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duffy3\OneDrive - McGill University\Storage Lists\REMAIN\"/>
    </mc:Choice>
  </mc:AlternateContent>
  <bookViews>
    <workbookView xWindow="0" yWindow="0" windowWidth="19200" windowHeight="7050"/>
  </bookViews>
  <sheets>
    <sheet name="Print Books" sheetId="1" r:id="rId1"/>
  </sheets>
  <definedNames>
    <definedName name="_xlnm._FilterDatabase" localSheetId="0" hidden="1">'Print Books'!$A$1:$BG$4216</definedName>
  </definedNames>
  <calcPr calcId="162913"/>
</workbook>
</file>

<file path=xl/calcChain.xml><?xml version="1.0" encoding="utf-8"?>
<calcChain xmlns="http://schemas.openxmlformats.org/spreadsheetml/2006/main">
  <c r="AW4216" i="1" l="1"/>
  <c r="AV4216" i="1"/>
  <c r="AW4215" i="1"/>
  <c r="AV4215" i="1"/>
  <c r="AW4214" i="1"/>
  <c r="AV4214" i="1"/>
  <c r="AW4213" i="1"/>
  <c r="AV4213" i="1"/>
  <c r="AW4212" i="1"/>
  <c r="AV4212" i="1"/>
  <c r="AW4211" i="1"/>
  <c r="AV4211" i="1"/>
  <c r="AW4210" i="1"/>
  <c r="AV4210" i="1"/>
  <c r="AW4209" i="1"/>
  <c r="AV4209" i="1"/>
  <c r="AW4208" i="1"/>
  <c r="AV4208" i="1"/>
  <c r="AW4207" i="1"/>
  <c r="AV4207" i="1"/>
  <c r="AW4206" i="1"/>
  <c r="AV4206" i="1"/>
  <c r="AW4205" i="1"/>
  <c r="AV4205" i="1"/>
  <c r="AW4204" i="1"/>
  <c r="AV4204" i="1"/>
  <c r="AW4203" i="1"/>
  <c r="AV4203" i="1"/>
  <c r="AW4202" i="1"/>
  <c r="AV4202" i="1"/>
  <c r="AW4201" i="1"/>
  <c r="AV4201" i="1"/>
  <c r="AW4200" i="1"/>
  <c r="AV4200" i="1"/>
  <c r="AW4199" i="1"/>
  <c r="AV4199" i="1"/>
  <c r="AW4198" i="1"/>
  <c r="AV4198" i="1"/>
  <c r="AW4197" i="1"/>
  <c r="AV4197" i="1"/>
  <c r="AW4196" i="1"/>
  <c r="AV4196" i="1"/>
  <c r="AW4195" i="1"/>
  <c r="AV4195" i="1"/>
  <c r="AW4194" i="1"/>
  <c r="AV4194" i="1"/>
  <c r="AW4193" i="1"/>
  <c r="AV4193" i="1"/>
  <c r="AW4192" i="1"/>
  <c r="AV4192" i="1"/>
  <c r="AW4191" i="1"/>
  <c r="AV4191" i="1"/>
  <c r="AW4190" i="1"/>
  <c r="AV4190" i="1"/>
  <c r="AU4190" i="1"/>
  <c r="AW4189" i="1"/>
  <c r="AV4189" i="1"/>
  <c r="AW4188" i="1"/>
  <c r="AV4188" i="1"/>
  <c r="AW4187" i="1"/>
  <c r="AV4187" i="1"/>
  <c r="AW4186" i="1"/>
  <c r="AV4186" i="1"/>
  <c r="AW4185" i="1"/>
  <c r="AV4185" i="1"/>
  <c r="AU4185" i="1"/>
  <c r="AW4184" i="1"/>
  <c r="AV4184" i="1"/>
  <c r="AU4184" i="1"/>
  <c r="AW4183" i="1"/>
  <c r="AV4183" i="1"/>
  <c r="AW4182" i="1"/>
  <c r="AV4182" i="1"/>
  <c r="AW4181" i="1"/>
  <c r="AV4181" i="1"/>
  <c r="AU4181" i="1"/>
  <c r="AW4180" i="1"/>
  <c r="AV4180" i="1"/>
  <c r="AU4180" i="1"/>
  <c r="AW4179" i="1"/>
  <c r="AV4179" i="1"/>
  <c r="AW4178" i="1"/>
  <c r="AV4178" i="1"/>
  <c r="AW4177" i="1"/>
  <c r="AV4177" i="1"/>
  <c r="AW4176" i="1"/>
  <c r="AV4176" i="1"/>
  <c r="AU4176" i="1"/>
  <c r="AW4175" i="1"/>
  <c r="AV4175" i="1"/>
  <c r="AW4174" i="1"/>
  <c r="AV4174" i="1"/>
  <c r="AW4173" i="1"/>
  <c r="AV4173" i="1"/>
  <c r="AW4172" i="1"/>
  <c r="AV4172" i="1"/>
  <c r="AW4171" i="1"/>
  <c r="AV4171" i="1"/>
  <c r="AW4170" i="1"/>
  <c r="AV4170" i="1"/>
  <c r="AW4169" i="1"/>
  <c r="AV4169" i="1"/>
  <c r="AW4168" i="1"/>
  <c r="AV4168" i="1"/>
  <c r="AU4168" i="1"/>
  <c r="AW4167" i="1"/>
  <c r="AV4167" i="1"/>
  <c r="AU4167" i="1"/>
  <c r="AW4166" i="1"/>
  <c r="AV4166" i="1"/>
  <c r="AW4165" i="1"/>
  <c r="AV4165" i="1"/>
  <c r="AU4165" i="1"/>
  <c r="AW4164" i="1"/>
  <c r="AV4164" i="1"/>
  <c r="AU4164" i="1"/>
  <c r="AW4163" i="1"/>
  <c r="AV4163" i="1"/>
  <c r="AU4163" i="1"/>
  <c r="AW4162" i="1"/>
  <c r="AV4162" i="1"/>
  <c r="AU4162" i="1"/>
  <c r="AW4161" i="1"/>
  <c r="AV4161" i="1"/>
  <c r="AW4160" i="1"/>
  <c r="AV4160" i="1"/>
  <c r="AW4159" i="1"/>
  <c r="AV4159" i="1"/>
  <c r="AW4158" i="1"/>
  <c r="AV4158" i="1"/>
  <c r="AU4158" i="1"/>
  <c r="AW4157" i="1"/>
  <c r="AV4157" i="1"/>
  <c r="AW4156" i="1"/>
  <c r="AV4156" i="1"/>
  <c r="AW4155" i="1"/>
  <c r="AV4155" i="1"/>
  <c r="AW4154" i="1"/>
  <c r="AV4154" i="1"/>
  <c r="AW4153" i="1"/>
  <c r="AV4153" i="1"/>
  <c r="AW4152" i="1"/>
  <c r="AV4152" i="1"/>
  <c r="AW4151" i="1"/>
  <c r="AV4151" i="1"/>
  <c r="AW4150" i="1"/>
  <c r="AV4150" i="1"/>
  <c r="AW4149" i="1"/>
  <c r="AV4149" i="1"/>
  <c r="AU4149" i="1"/>
  <c r="AW4148" i="1"/>
  <c r="AV4148" i="1"/>
  <c r="AW4147" i="1"/>
  <c r="AV4147" i="1"/>
  <c r="AW4146" i="1"/>
  <c r="AV4146" i="1"/>
  <c r="AU4146" i="1"/>
  <c r="AW4145" i="1"/>
  <c r="AV4145" i="1"/>
  <c r="AW4144" i="1"/>
  <c r="AV4144" i="1"/>
  <c r="AW4143" i="1"/>
  <c r="AV4143" i="1"/>
  <c r="AW4142" i="1"/>
  <c r="AV4142" i="1"/>
  <c r="AW4141" i="1"/>
  <c r="AV4141" i="1"/>
  <c r="AW4140" i="1"/>
  <c r="AV4140" i="1"/>
  <c r="AW4139" i="1"/>
  <c r="AV4139" i="1"/>
  <c r="AW4138" i="1"/>
  <c r="AV4138" i="1"/>
  <c r="AW4137" i="1"/>
  <c r="AV4137" i="1"/>
  <c r="AW4136" i="1"/>
  <c r="AV4136" i="1"/>
  <c r="AW4135" i="1"/>
  <c r="AV4135" i="1"/>
  <c r="AW4134" i="1"/>
  <c r="AV4134" i="1"/>
  <c r="AW4133" i="1"/>
  <c r="AV4133" i="1"/>
  <c r="AW4132" i="1"/>
  <c r="AV4132" i="1"/>
  <c r="AW4131" i="1"/>
  <c r="AV4131" i="1"/>
  <c r="AW4130" i="1"/>
  <c r="AV4130" i="1"/>
  <c r="AW4129" i="1"/>
  <c r="AV4129" i="1"/>
  <c r="AW4128" i="1"/>
  <c r="AV4128" i="1"/>
  <c r="AW4127" i="1"/>
  <c r="AV4127" i="1"/>
  <c r="AW4126" i="1"/>
  <c r="AV4126" i="1"/>
  <c r="AW4125" i="1"/>
  <c r="AV4125" i="1"/>
  <c r="AW4124" i="1"/>
  <c r="AV4124" i="1"/>
  <c r="AW4123" i="1"/>
  <c r="AV4123" i="1"/>
  <c r="AW4122" i="1"/>
  <c r="AV4122" i="1"/>
  <c r="AW4121" i="1"/>
  <c r="AV4121" i="1"/>
  <c r="AW4120" i="1"/>
  <c r="AV4120" i="1"/>
  <c r="AW4119" i="1"/>
  <c r="AV4119" i="1"/>
  <c r="AW4118" i="1"/>
  <c r="AV4118" i="1"/>
  <c r="AW4117" i="1"/>
  <c r="AV4117" i="1"/>
  <c r="AW4116" i="1"/>
  <c r="AV4116" i="1"/>
  <c r="AW4115" i="1"/>
  <c r="AV4115" i="1"/>
  <c r="AW4114" i="1"/>
  <c r="AV4114" i="1"/>
  <c r="AW4113" i="1"/>
  <c r="AV4113" i="1"/>
  <c r="AW4112" i="1"/>
  <c r="AV4112" i="1"/>
  <c r="AW4111" i="1"/>
  <c r="AV4111" i="1"/>
  <c r="AW4110" i="1"/>
  <c r="AV4110" i="1"/>
  <c r="AW4109" i="1"/>
  <c r="AV4109" i="1"/>
  <c r="AW4108" i="1"/>
  <c r="AV4108" i="1"/>
  <c r="AW4107" i="1"/>
  <c r="AV4107" i="1"/>
  <c r="AW4106" i="1"/>
  <c r="AV4106" i="1"/>
  <c r="AW4105" i="1"/>
  <c r="AV4105" i="1"/>
  <c r="AW4104" i="1"/>
  <c r="AV4104" i="1"/>
  <c r="AW4103" i="1"/>
  <c r="AV4103" i="1"/>
  <c r="AW4102" i="1"/>
  <c r="AV4102" i="1"/>
  <c r="AW4101" i="1"/>
  <c r="AV4101" i="1"/>
  <c r="AW4100" i="1"/>
  <c r="AV4100" i="1"/>
  <c r="AW4099" i="1"/>
  <c r="AV4099" i="1"/>
  <c r="AW4098" i="1"/>
  <c r="AV4098" i="1"/>
  <c r="AW4097" i="1"/>
  <c r="AV4097" i="1"/>
  <c r="AW4096" i="1"/>
  <c r="AV4096" i="1"/>
  <c r="AW4095" i="1"/>
  <c r="AV4095" i="1"/>
  <c r="AW4094" i="1"/>
  <c r="AV4094" i="1"/>
  <c r="AW4093" i="1"/>
  <c r="AV4093" i="1"/>
  <c r="AW4092" i="1"/>
  <c r="AV4092" i="1"/>
  <c r="AW4091" i="1"/>
  <c r="AV4091" i="1"/>
  <c r="AW4090" i="1"/>
  <c r="AV4090" i="1"/>
  <c r="AW4089" i="1"/>
  <c r="AV4089" i="1"/>
  <c r="AW4088" i="1"/>
  <c r="AV4088" i="1"/>
  <c r="AW4087" i="1"/>
  <c r="AV4087" i="1"/>
  <c r="AW4086" i="1"/>
  <c r="AV4086" i="1"/>
  <c r="AW4085" i="1"/>
  <c r="AV4085" i="1"/>
  <c r="AU4085" i="1"/>
  <c r="AW4084" i="1"/>
  <c r="AV4084" i="1"/>
  <c r="AW4083" i="1"/>
  <c r="AV4083" i="1"/>
  <c r="AW4082" i="1"/>
  <c r="AV4082" i="1"/>
  <c r="AW4081" i="1"/>
  <c r="AV4081" i="1"/>
  <c r="AW4080" i="1"/>
  <c r="AV4080" i="1"/>
  <c r="AW4079" i="1"/>
  <c r="AV4079" i="1"/>
  <c r="AW4078" i="1"/>
  <c r="AV4078" i="1"/>
  <c r="AW4077" i="1"/>
  <c r="AV4077" i="1"/>
  <c r="AW4076" i="1"/>
  <c r="AV4076" i="1"/>
  <c r="AW4075" i="1"/>
  <c r="AV4075" i="1"/>
  <c r="AW4074" i="1"/>
  <c r="AV4074" i="1"/>
  <c r="AW4073" i="1"/>
  <c r="AV4073" i="1"/>
  <c r="AW4072" i="1"/>
  <c r="AV4072" i="1"/>
  <c r="AW4071" i="1"/>
  <c r="AV4071" i="1"/>
  <c r="AW4070" i="1"/>
  <c r="AV4070" i="1"/>
  <c r="AU4070" i="1"/>
  <c r="AW4069" i="1"/>
  <c r="AV4069" i="1"/>
  <c r="AW4068" i="1"/>
  <c r="AV4068" i="1"/>
  <c r="AW4067" i="1"/>
  <c r="AV4067" i="1"/>
  <c r="AW4066" i="1"/>
  <c r="AV4066" i="1"/>
  <c r="AW4065" i="1"/>
  <c r="AV4065" i="1"/>
  <c r="AW4064" i="1"/>
  <c r="AV4064" i="1"/>
  <c r="AW4063" i="1"/>
  <c r="AV4063" i="1"/>
  <c r="AW4062" i="1"/>
  <c r="AV4062" i="1"/>
  <c r="AW4061" i="1"/>
  <c r="AV4061" i="1"/>
  <c r="AW4060" i="1"/>
  <c r="AV4060" i="1"/>
  <c r="AW4059" i="1"/>
  <c r="AV4059" i="1"/>
  <c r="AU4059" i="1"/>
  <c r="AW4058" i="1"/>
  <c r="AV4058" i="1"/>
  <c r="AW4057" i="1"/>
  <c r="AV4057" i="1"/>
  <c r="AW4056" i="1"/>
  <c r="AV4056" i="1"/>
  <c r="AU4056" i="1"/>
  <c r="AW4055" i="1"/>
  <c r="AV4055" i="1"/>
  <c r="AW4054" i="1"/>
  <c r="AV4054" i="1"/>
  <c r="AW4053" i="1"/>
  <c r="AV4053" i="1"/>
  <c r="AW4052" i="1"/>
  <c r="AV4052" i="1"/>
  <c r="AW4051" i="1"/>
  <c r="AV4051" i="1"/>
  <c r="AU4051" i="1"/>
  <c r="AW4050" i="1"/>
  <c r="AV4050" i="1"/>
  <c r="AW4049" i="1"/>
  <c r="AV4049" i="1"/>
  <c r="AW4048" i="1"/>
  <c r="AV4048" i="1"/>
  <c r="AW4047" i="1"/>
  <c r="AV4047" i="1"/>
  <c r="AW4046" i="1"/>
  <c r="AV4046" i="1"/>
  <c r="AW4045" i="1"/>
  <c r="AV4045" i="1"/>
  <c r="AW4044" i="1"/>
  <c r="AV4044" i="1"/>
  <c r="AW4043" i="1"/>
  <c r="AV4043" i="1"/>
  <c r="AU4043" i="1"/>
  <c r="AW4042" i="1"/>
  <c r="AV4042" i="1"/>
  <c r="AW4041" i="1"/>
  <c r="AV4041" i="1"/>
  <c r="AU4041" i="1"/>
  <c r="AW4040" i="1"/>
  <c r="AV4040" i="1"/>
  <c r="AW4039" i="1"/>
  <c r="AV4039" i="1"/>
  <c r="AU4039" i="1"/>
  <c r="AW4038" i="1"/>
  <c r="AV4038" i="1"/>
  <c r="AU4038" i="1"/>
  <c r="AW4037" i="1"/>
  <c r="AV4037" i="1"/>
  <c r="AU4037" i="1"/>
  <c r="AW4036" i="1"/>
  <c r="AV4036" i="1"/>
  <c r="AW4035" i="1"/>
  <c r="AV4035" i="1"/>
  <c r="AW4034" i="1"/>
  <c r="AV4034" i="1"/>
  <c r="AW4033" i="1"/>
  <c r="AV4033" i="1"/>
  <c r="AW4032" i="1"/>
  <c r="AV4032" i="1"/>
  <c r="AW4031" i="1"/>
  <c r="AV4031" i="1"/>
  <c r="AW4030" i="1"/>
  <c r="AV4030" i="1"/>
  <c r="AW4029" i="1"/>
  <c r="AV4029" i="1"/>
  <c r="AW4028" i="1"/>
  <c r="AV4028" i="1"/>
  <c r="AW4027" i="1"/>
  <c r="AV4027" i="1"/>
  <c r="AW4026" i="1"/>
  <c r="AV4026" i="1"/>
  <c r="AW4025" i="1"/>
  <c r="AV4025" i="1"/>
  <c r="AW4024" i="1"/>
  <c r="AV4024" i="1"/>
  <c r="AW4023" i="1"/>
  <c r="AV4023" i="1"/>
  <c r="AW4022" i="1"/>
  <c r="AV4022" i="1"/>
  <c r="AW4021" i="1"/>
  <c r="AV4021" i="1"/>
  <c r="AW4020" i="1"/>
  <c r="AV4020" i="1"/>
  <c r="AW4019" i="1"/>
  <c r="AV4019" i="1"/>
  <c r="AW4018" i="1"/>
  <c r="AV4018" i="1"/>
  <c r="AW4017" i="1"/>
  <c r="AV4017" i="1"/>
  <c r="AW4016" i="1"/>
  <c r="AV4016" i="1"/>
  <c r="AW4015" i="1"/>
  <c r="AV4015" i="1"/>
  <c r="AW4014" i="1"/>
  <c r="AV4014" i="1"/>
  <c r="AW4013" i="1"/>
  <c r="AV4013" i="1"/>
  <c r="AW4012" i="1"/>
  <c r="AV4012" i="1"/>
  <c r="AW4011" i="1"/>
  <c r="AV4011" i="1"/>
  <c r="AU4011" i="1"/>
  <c r="AW4010" i="1"/>
  <c r="AV4010" i="1"/>
  <c r="AW4009" i="1"/>
  <c r="AV4009" i="1"/>
  <c r="AW4008" i="1"/>
  <c r="AV4008" i="1"/>
  <c r="AU4008" i="1"/>
  <c r="AW4007" i="1"/>
  <c r="AV4007" i="1"/>
  <c r="AW4006" i="1"/>
  <c r="AV4006" i="1"/>
  <c r="AW4005" i="1"/>
  <c r="AV4005" i="1"/>
  <c r="AW4004" i="1"/>
  <c r="AV4004" i="1"/>
  <c r="AW4003" i="1"/>
  <c r="AV4003" i="1"/>
  <c r="AW4002" i="1"/>
  <c r="AV4002" i="1"/>
  <c r="AW4001" i="1"/>
  <c r="AV4001" i="1"/>
  <c r="AW4000" i="1"/>
  <c r="AV4000" i="1"/>
  <c r="AW3999" i="1"/>
  <c r="AV3999" i="1"/>
  <c r="AW3998" i="1"/>
  <c r="AV3998" i="1"/>
  <c r="AU3998" i="1"/>
  <c r="AW3997" i="1"/>
  <c r="AV3997" i="1"/>
  <c r="AW3996" i="1"/>
  <c r="AV3996" i="1"/>
  <c r="AW3995" i="1"/>
  <c r="AV3995" i="1"/>
  <c r="AW3994" i="1"/>
  <c r="AV3994" i="1"/>
  <c r="AW3993" i="1"/>
  <c r="AV3993" i="1"/>
  <c r="AW3992" i="1"/>
  <c r="AV3992" i="1"/>
  <c r="AW3991" i="1"/>
  <c r="AV3991" i="1"/>
  <c r="AW3990" i="1"/>
  <c r="AV3990" i="1"/>
  <c r="AW3989" i="1"/>
  <c r="AV3989" i="1"/>
  <c r="AW3988" i="1"/>
  <c r="AV3988" i="1"/>
  <c r="AW3987" i="1"/>
  <c r="AV3987" i="1"/>
  <c r="AW3986" i="1"/>
  <c r="AV3986" i="1"/>
  <c r="AW3985" i="1"/>
  <c r="AV3985" i="1"/>
  <c r="AU3985" i="1"/>
  <c r="AW3984" i="1"/>
  <c r="AV3984" i="1"/>
  <c r="AW3983" i="1"/>
  <c r="AV3983" i="1"/>
  <c r="AW3982" i="1"/>
  <c r="AV3982" i="1"/>
  <c r="AW3981" i="1"/>
  <c r="AV3981" i="1"/>
  <c r="AW3980" i="1"/>
  <c r="AV3980" i="1"/>
  <c r="AW3979" i="1"/>
  <c r="AV3979" i="1"/>
  <c r="AW3978" i="1"/>
  <c r="AV3978" i="1"/>
  <c r="AW3977" i="1"/>
  <c r="AV3977" i="1"/>
  <c r="AW3976" i="1"/>
  <c r="AV3976" i="1"/>
  <c r="AW3975" i="1"/>
  <c r="AV3975" i="1"/>
  <c r="AU3975" i="1"/>
  <c r="AW3974" i="1"/>
  <c r="AV3974" i="1"/>
  <c r="AU3974" i="1"/>
  <c r="AW3973" i="1"/>
  <c r="AV3973" i="1"/>
  <c r="AW3972" i="1"/>
  <c r="AV3972" i="1"/>
  <c r="AW3971" i="1"/>
  <c r="AV3971" i="1"/>
  <c r="AW3970" i="1"/>
  <c r="AV3970" i="1"/>
  <c r="AU3970" i="1"/>
  <c r="AW3969" i="1"/>
  <c r="AV3969" i="1"/>
  <c r="AW3968" i="1"/>
  <c r="AV3968" i="1"/>
  <c r="AW3967" i="1"/>
  <c r="AV3967" i="1"/>
  <c r="AW3966" i="1"/>
  <c r="AV3966" i="1"/>
  <c r="AW3965" i="1"/>
  <c r="AV3965" i="1"/>
  <c r="AW3964" i="1"/>
  <c r="AV3964" i="1"/>
  <c r="AW3963" i="1"/>
  <c r="AV3963" i="1"/>
  <c r="AW3962" i="1"/>
  <c r="AV3962" i="1"/>
  <c r="AU3962" i="1"/>
  <c r="AW3961" i="1"/>
  <c r="AV3961" i="1"/>
  <c r="AW3960" i="1"/>
  <c r="AV3960" i="1"/>
  <c r="AU3960" i="1"/>
  <c r="AW3959" i="1"/>
  <c r="AV3959" i="1"/>
  <c r="AU3959" i="1"/>
  <c r="AW3958" i="1"/>
  <c r="AV3958" i="1"/>
  <c r="AU3958" i="1"/>
  <c r="AW3957" i="1"/>
  <c r="AV3957" i="1"/>
  <c r="AW3956" i="1"/>
  <c r="AV3956" i="1"/>
  <c r="AU3956" i="1"/>
  <c r="AW3955" i="1"/>
  <c r="AV3955" i="1"/>
  <c r="AU3955" i="1"/>
  <c r="AW3954" i="1"/>
  <c r="AV3954" i="1"/>
  <c r="AW3953" i="1"/>
  <c r="AV3953" i="1"/>
  <c r="AW3952" i="1"/>
  <c r="AV3952" i="1"/>
  <c r="AW3951" i="1"/>
  <c r="AV3951" i="1"/>
  <c r="AU3951" i="1"/>
  <c r="AW3950" i="1"/>
  <c r="AV3950" i="1"/>
  <c r="AU3950" i="1"/>
  <c r="AW3949" i="1"/>
  <c r="AV3949" i="1"/>
  <c r="AU3949" i="1"/>
  <c r="AW3948" i="1"/>
  <c r="AV3948" i="1"/>
  <c r="AW3947" i="1"/>
  <c r="AV3947" i="1"/>
  <c r="AW3946" i="1"/>
  <c r="AV3946" i="1"/>
  <c r="AU3946" i="1"/>
  <c r="AW3945" i="1"/>
  <c r="AV3945" i="1"/>
  <c r="AU3945" i="1"/>
  <c r="AW3944" i="1"/>
  <c r="AV3944" i="1"/>
  <c r="AU3944" i="1"/>
  <c r="AW3943" i="1"/>
  <c r="AV3943" i="1"/>
  <c r="AU3943" i="1"/>
  <c r="AW3942" i="1"/>
  <c r="AV3942" i="1"/>
  <c r="AU3942" i="1"/>
  <c r="AW3941" i="1"/>
  <c r="AV3941" i="1"/>
  <c r="AW3940" i="1"/>
  <c r="AV3940" i="1"/>
  <c r="AW3939" i="1"/>
  <c r="AV3939" i="1"/>
  <c r="AW3938" i="1"/>
  <c r="AV3938" i="1"/>
  <c r="AW3937" i="1"/>
  <c r="AV3937" i="1"/>
  <c r="AW3936" i="1"/>
  <c r="AV3936" i="1"/>
  <c r="AW3935" i="1"/>
  <c r="AV3935" i="1"/>
  <c r="AW3934" i="1"/>
  <c r="AV3934" i="1"/>
  <c r="AW3933" i="1"/>
  <c r="AV3933" i="1"/>
  <c r="AW3932" i="1"/>
  <c r="AV3932" i="1"/>
  <c r="AW3931" i="1"/>
  <c r="AV3931" i="1"/>
  <c r="AW3930" i="1"/>
  <c r="AV3930" i="1"/>
  <c r="AW3929" i="1"/>
  <c r="AV3929" i="1"/>
  <c r="AW3928" i="1"/>
  <c r="AV3928" i="1"/>
  <c r="AW3927" i="1"/>
  <c r="AV3927" i="1"/>
  <c r="AW3926" i="1"/>
  <c r="AV3926" i="1"/>
  <c r="AW3925" i="1"/>
  <c r="AV3925" i="1"/>
  <c r="AW3924" i="1"/>
  <c r="AV3924" i="1"/>
  <c r="AW3923" i="1"/>
  <c r="AV3923" i="1"/>
  <c r="AW3922" i="1"/>
  <c r="AV3922" i="1"/>
  <c r="AW3921" i="1"/>
  <c r="AV3921" i="1"/>
  <c r="AW3920" i="1"/>
  <c r="AV3920" i="1"/>
  <c r="AW3919" i="1"/>
  <c r="AV3919" i="1"/>
  <c r="AW3918" i="1"/>
  <c r="AV3918" i="1"/>
  <c r="AW3917" i="1"/>
  <c r="AV3917" i="1"/>
  <c r="AW3916" i="1"/>
  <c r="AV3916" i="1"/>
  <c r="AW3915" i="1"/>
  <c r="AV3915" i="1"/>
  <c r="AU3915" i="1"/>
  <c r="AW3914" i="1"/>
  <c r="AV3914" i="1"/>
  <c r="AU3914" i="1"/>
  <c r="AW3913" i="1"/>
  <c r="AV3913" i="1"/>
  <c r="AU3913" i="1"/>
  <c r="AW3912" i="1"/>
  <c r="AV3912" i="1"/>
  <c r="AW3911" i="1"/>
  <c r="AV3911" i="1"/>
  <c r="AW3910" i="1"/>
  <c r="AV3910" i="1"/>
  <c r="AW3909" i="1"/>
  <c r="AV3909" i="1"/>
  <c r="AU3909" i="1"/>
  <c r="AW3908" i="1"/>
  <c r="AV3908" i="1"/>
  <c r="AW3907" i="1"/>
  <c r="AV3907" i="1"/>
  <c r="AW3906" i="1"/>
  <c r="AV3906" i="1"/>
  <c r="AW3905" i="1"/>
  <c r="AV3905" i="1"/>
  <c r="AW3904" i="1"/>
  <c r="AV3904" i="1"/>
  <c r="AW3903" i="1"/>
  <c r="AV3903" i="1"/>
  <c r="AW3902" i="1"/>
  <c r="AV3902" i="1"/>
  <c r="AW3901" i="1"/>
  <c r="AV3901" i="1"/>
  <c r="AW3900" i="1"/>
  <c r="AV3900" i="1"/>
  <c r="AW3899" i="1"/>
  <c r="AV3899" i="1"/>
  <c r="AW3898" i="1"/>
  <c r="AV3898" i="1"/>
  <c r="AU3898" i="1"/>
  <c r="AW3897" i="1"/>
  <c r="AV3897" i="1"/>
  <c r="AW3896" i="1"/>
  <c r="AV3896" i="1"/>
  <c r="AW3895" i="1"/>
  <c r="AV3895" i="1"/>
  <c r="AW3894" i="1"/>
  <c r="AV3894" i="1"/>
  <c r="AW3893" i="1"/>
  <c r="AV3893" i="1"/>
  <c r="AW3892" i="1"/>
  <c r="AV3892" i="1"/>
  <c r="AW3891" i="1"/>
  <c r="AV3891" i="1"/>
  <c r="AU3891" i="1"/>
  <c r="AW3890" i="1"/>
  <c r="AV3890" i="1"/>
  <c r="AW3889" i="1"/>
  <c r="AV3889" i="1"/>
  <c r="AW3888" i="1"/>
  <c r="AV3888" i="1"/>
  <c r="AW3887" i="1"/>
  <c r="AV3887" i="1"/>
  <c r="AW3886" i="1"/>
  <c r="AV3886" i="1"/>
  <c r="AU3886" i="1"/>
  <c r="AW3885" i="1"/>
  <c r="AV3885" i="1"/>
  <c r="AW3884" i="1"/>
  <c r="AV3884" i="1"/>
  <c r="AW3883" i="1"/>
  <c r="AV3883" i="1"/>
  <c r="AW3882" i="1"/>
  <c r="AV3882" i="1"/>
  <c r="AW3881" i="1"/>
  <c r="AV3881" i="1"/>
  <c r="AW3880" i="1"/>
  <c r="AV3880" i="1"/>
  <c r="AW3879" i="1"/>
  <c r="AV3879" i="1"/>
  <c r="AW3878" i="1"/>
  <c r="AV3878" i="1"/>
  <c r="AW3877" i="1"/>
  <c r="AV3877" i="1"/>
  <c r="AW3876" i="1"/>
  <c r="AV3876" i="1"/>
  <c r="AU3876" i="1"/>
  <c r="AW3875" i="1"/>
  <c r="AV3875" i="1"/>
  <c r="AW3874" i="1"/>
  <c r="AV3874" i="1"/>
  <c r="AW3873" i="1"/>
  <c r="AV3873" i="1"/>
  <c r="AW3872" i="1"/>
  <c r="AV3872" i="1"/>
  <c r="AW3871" i="1"/>
  <c r="AV3871" i="1"/>
  <c r="AW3870" i="1"/>
  <c r="AV3870" i="1"/>
  <c r="AW3869" i="1"/>
  <c r="AV3869" i="1"/>
  <c r="AW3868" i="1"/>
  <c r="AV3868" i="1"/>
  <c r="AW3867" i="1"/>
  <c r="AV3867" i="1"/>
  <c r="AW3866" i="1"/>
  <c r="AV3866" i="1"/>
  <c r="AW3865" i="1"/>
  <c r="AV3865" i="1"/>
  <c r="AW3864" i="1"/>
  <c r="AV3864" i="1"/>
  <c r="AW3863" i="1"/>
  <c r="AV3863" i="1"/>
  <c r="AU3863" i="1"/>
  <c r="AW3862" i="1"/>
  <c r="AV3862" i="1"/>
  <c r="AU3862" i="1"/>
  <c r="AW3861" i="1"/>
  <c r="AV3861" i="1"/>
  <c r="AU3861" i="1"/>
  <c r="AW3860" i="1"/>
  <c r="AV3860" i="1"/>
  <c r="AU3860" i="1"/>
  <c r="AW3859" i="1"/>
  <c r="AV3859" i="1"/>
  <c r="AW3858" i="1"/>
  <c r="AV3858" i="1"/>
  <c r="AW3857" i="1"/>
  <c r="AV3857" i="1"/>
  <c r="AU3857" i="1"/>
  <c r="AW3856" i="1"/>
  <c r="AV3856" i="1"/>
  <c r="AU3856" i="1"/>
  <c r="AW3855" i="1"/>
  <c r="AV3855" i="1"/>
  <c r="AU3855" i="1"/>
  <c r="AW3854" i="1"/>
  <c r="AV3854" i="1"/>
  <c r="AU3854" i="1"/>
  <c r="AW3853" i="1"/>
  <c r="AV3853" i="1"/>
  <c r="AU3853" i="1"/>
  <c r="AW3852" i="1"/>
  <c r="AV3852" i="1"/>
  <c r="AU3852" i="1"/>
  <c r="AW3851" i="1"/>
  <c r="AV3851" i="1"/>
  <c r="AW3850" i="1"/>
  <c r="AV3850" i="1"/>
  <c r="AW3849" i="1"/>
  <c r="AV3849" i="1"/>
  <c r="AW3848" i="1"/>
  <c r="AV3848" i="1"/>
  <c r="AW3847" i="1"/>
  <c r="AV3847" i="1"/>
  <c r="AW3846" i="1"/>
  <c r="AV3846" i="1"/>
  <c r="AW3845" i="1"/>
  <c r="AV3845" i="1"/>
  <c r="AW3844" i="1"/>
  <c r="AV3844" i="1"/>
  <c r="AW3843" i="1"/>
  <c r="AV3843" i="1"/>
  <c r="AU3843" i="1"/>
  <c r="AW3842" i="1"/>
  <c r="AV3842" i="1"/>
  <c r="AW3841" i="1"/>
  <c r="AV3841" i="1"/>
  <c r="AW3840" i="1"/>
  <c r="AV3840" i="1"/>
  <c r="AW3839" i="1"/>
  <c r="AV3839" i="1"/>
  <c r="AW3838" i="1"/>
  <c r="AV3838" i="1"/>
  <c r="AW3837" i="1"/>
  <c r="AV3837" i="1"/>
  <c r="AW3836" i="1"/>
  <c r="AV3836" i="1"/>
  <c r="AW3835" i="1"/>
  <c r="AV3835" i="1"/>
  <c r="AW3834" i="1"/>
  <c r="AV3834" i="1"/>
  <c r="AW3833" i="1"/>
  <c r="AV3833" i="1"/>
  <c r="AU3833" i="1"/>
  <c r="AW3832" i="1"/>
  <c r="AV3832" i="1"/>
  <c r="AW3831" i="1"/>
  <c r="AV3831" i="1"/>
  <c r="AW3830" i="1"/>
  <c r="AV3830" i="1"/>
  <c r="AW3829" i="1"/>
  <c r="AV3829" i="1"/>
  <c r="AW3828" i="1"/>
  <c r="AV3828" i="1"/>
  <c r="AW3827" i="1"/>
  <c r="AV3827" i="1"/>
  <c r="AW3826" i="1"/>
  <c r="AV3826" i="1"/>
  <c r="AW3825" i="1"/>
  <c r="AV3825" i="1"/>
  <c r="AW3824" i="1"/>
  <c r="AV3824" i="1"/>
  <c r="AW3823" i="1"/>
  <c r="AV3823" i="1"/>
  <c r="AW3822" i="1"/>
  <c r="AV3822" i="1"/>
  <c r="AW3821" i="1"/>
  <c r="AV3821" i="1"/>
  <c r="AW3820" i="1"/>
  <c r="AV3820" i="1"/>
  <c r="AW3819" i="1"/>
  <c r="AV3819" i="1"/>
  <c r="AW3818" i="1"/>
  <c r="AV3818" i="1"/>
  <c r="AW3817" i="1"/>
  <c r="AV3817" i="1"/>
  <c r="AW3816" i="1"/>
  <c r="AV3816" i="1"/>
  <c r="AW3815" i="1"/>
  <c r="AV3815" i="1"/>
  <c r="AW3814" i="1"/>
  <c r="AV3814" i="1"/>
  <c r="AW3813" i="1"/>
  <c r="AV3813" i="1"/>
  <c r="AW3812" i="1"/>
  <c r="AV3812" i="1"/>
  <c r="AW3811" i="1"/>
  <c r="AV3811" i="1"/>
  <c r="AW3810" i="1"/>
  <c r="AV3810" i="1"/>
  <c r="AW3809" i="1"/>
  <c r="AV3809" i="1"/>
  <c r="AW3808" i="1"/>
  <c r="AV3808" i="1"/>
  <c r="AW3807" i="1"/>
  <c r="AV3807" i="1"/>
  <c r="AW3806" i="1"/>
  <c r="AV3806" i="1"/>
  <c r="AW3805" i="1"/>
  <c r="AV3805" i="1"/>
  <c r="AW3804" i="1"/>
  <c r="AV3804" i="1"/>
  <c r="AU3804" i="1"/>
  <c r="AW3803" i="1"/>
  <c r="AV3803" i="1"/>
  <c r="AW3802" i="1"/>
  <c r="AV3802" i="1"/>
  <c r="AU3802" i="1"/>
  <c r="AW3801" i="1"/>
  <c r="AV3801" i="1"/>
  <c r="AW3800" i="1"/>
  <c r="AV3800" i="1"/>
  <c r="AW3799" i="1"/>
  <c r="AV3799" i="1"/>
  <c r="AW3798" i="1"/>
  <c r="AV3798" i="1"/>
  <c r="AW3797" i="1"/>
  <c r="AV3797" i="1"/>
  <c r="AW3796" i="1"/>
  <c r="AV3796" i="1"/>
  <c r="AW3795" i="1"/>
  <c r="AV3795" i="1"/>
  <c r="AW3794" i="1"/>
  <c r="AV3794" i="1"/>
  <c r="AW3793" i="1"/>
  <c r="AV3793" i="1"/>
  <c r="AW3792" i="1"/>
  <c r="AV3792" i="1"/>
  <c r="AW3791" i="1"/>
  <c r="AV3791" i="1"/>
  <c r="AW3790" i="1"/>
  <c r="AV3790" i="1"/>
  <c r="AW3789" i="1"/>
  <c r="AV3789" i="1"/>
  <c r="AW3788" i="1"/>
  <c r="AV3788" i="1"/>
  <c r="AW3787" i="1"/>
  <c r="AV3787" i="1"/>
  <c r="AW3786" i="1"/>
  <c r="AV3786" i="1"/>
  <c r="AW3785" i="1"/>
  <c r="AV3785" i="1"/>
  <c r="AU3785" i="1"/>
  <c r="AW3784" i="1"/>
  <c r="AV3784" i="1"/>
  <c r="AW3783" i="1"/>
  <c r="AV3783" i="1"/>
  <c r="AU3783" i="1"/>
  <c r="AW3782" i="1"/>
  <c r="AV3782" i="1"/>
  <c r="AW3781" i="1"/>
  <c r="AV3781" i="1"/>
  <c r="AW3780" i="1"/>
  <c r="AV3780" i="1"/>
  <c r="AW3779" i="1"/>
  <c r="AV3779" i="1"/>
  <c r="AW3778" i="1"/>
  <c r="AV3778" i="1"/>
  <c r="AW3777" i="1"/>
  <c r="AV3777" i="1"/>
  <c r="AW3776" i="1"/>
  <c r="AV3776" i="1"/>
  <c r="AW3775" i="1"/>
  <c r="AV3775" i="1"/>
  <c r="AW3774" i="1"/>
  <c r="AV3774" i="1"/>
  <c r="AW3773" i="1"/>
  <c r="AV3773" i="1"/>
  <c r="AW3772" i="1"/>
  <c r="AV3772" i="1"/>
  <c r="AW3771" i="1"/>
  <c r="AV3771" i="1"/>
  <c r="AW3770" i="1"/>
  <c r="AV3770" i="1"/>
  <c r="AU3770" i="1"/>
  <c r="AW3769" i="1"/>
  <c r="AV3769" i="1"/>
  <c r="AU3769" i="1"/>
  <c r="AW3768" i="1"/>
  <c r="AV3768" i="1"/>
  <c r="AW3767" i="1"/>
  <c r="AV3767" i="1"/>
  <c r="AW3766" i="1"/>
  <c r="AV3766" i="1"/>
  <c r="AW3765" i="1"/>
  <c r="AV3765" i="1"/>
  <c r="AW3764" i="1"/>
  <c r="AV3764" i="1"/>
  <c r="AW3763" i="1"/>
  <c r="AV3763" i="1"/>
  <c r="AW3762" i="1"/>
  <c r="AV3762" i="1"/>
  <c r="AW3761" i="1"/>
  <c r="AV3761" i="1"/>
  <c r="AW3760" i="1"/>
  <c r="AV3760" i="1"/>
  <c r="AW3759" i="1"/>
  <c r="AV3759" i="1"/>
  <c r="AW3758" i="1"/>
  <c r="AV3758" i="1"/>
  <c r="AU3758" i="1"/>
  <c r="AW3757" i="1"/>
  <c r="AV3757" i="1"/>
  <c r="AU3757" i="1"/>
  <c r="AW3756" i="1"/>
  <c r="AV3756" i="1"/>
  <c r="AW3755" i="1"/>
  <c r="AV3755" i="1"/>
  <c r="AW3754" i="1"/>
  <c r="AV3754" i="1"/>
  <c r="AW3753" i="1"/>
  <c r="AV3753" i="1"/>
  <c r="AW3752" i="1"/>
  <c r="AV3752" i="1"/>
  <c r="AW3751" i="1"/>
  <c r="AV3751" i="1"/>
  <c r="AW3750" i="1"/>
  <c r="AV3750" i="1"/>
  <c r="AU3750" i="1"/>
  <c r="AW3749" i="1"/>
  <c r="AV3749" i="1"/>
  <c r="AW3748" i="1"/>
  <c r="AV3748" i="1"/>
  <c r="AW3747" i="1"/>
  <c r="AV3747" i="1"/>
  <c r="AW3746" i="1"/>
  <c r="AV3746" i="1"/>
  <c r="AW3745" i="1"/>
  <c r="AV3745" i="1"/>
  <c r="AW3744" i="1"/>
  <c r="AV3744" i="1"/>
  <c r="AW3743" i="1"/>
  <c r="AV3743" i="1"/>
  <c r="AW3742" i="1"/>
  <c r="AV3742" i="1"/>
  <c r="AW3741" i="1"/>
  <c r="AV3741" i="1"/>
  <c r="AU3741" i="1"/>
  <c r="AW3740" i="1"/>
  <c r="AV3740" i="1"/>
  <c r="AW3739" i="1"/>
  <c r="AV3739" i="1"/>
  <c r="AW3738" i="1"/>
  <c r="AV3738" i="1"/>
  <c r="AW3737" i="1"/>
  <c r="AV3737" i="1"/>
  <c r="AW3736" i="1"/>
  <c r="AV3736" i="1"/>
  <c r="AW3735" i="1"/>
  <c r="AV3735" i="1"/>
  <c r="AW3734" i="1"/>
  <c r="AV3734" i="1"/>
  <c r="AU3734" i="1"/>
  <c r="AW3733" i="1"/>
  <c r="AV3733" i="1"/>
  <c r="AW3732" i="1"/>
  <c r="AV3732" i="1"/>
  <c r="AW3731" i="1"/>
  <c r="AV3731" i="1"/>
  <c r="AW3730" i="1"/>
  <c r="AV3730" i="1"/>
  <c r="AW3729" i="1"/>
  <c r="AV3729" i="1"/>
  <c r="AW3728" i="1"/>
  <c r="AV3728" i="1"/>
  <c r="AW3727" i="1"/>
  <c r="AV3727" i="1"/>
  <c r="AW3726" i="1"/>
  <c r="AV3726" i="1"/>
  <c r="AU3726" i="1"/>
  <c r="AW3725" i="1"/>
  <c r="AV3725" i="1"/>
  <c r="AU3725" i="1"/>
  <c r="AW3724" i="1"/>
  <c r="AV3724" i="1"/>
  <c r="AU3724" i="1"/>
  <c r="AW3723" i="1"/>
  <c r="AV3723" i="1"/>
  <c r="AW3722" i="1"/>
  <c r="AV3722" i="1"/>
  <c r="AU3722" i="1"/>
  <c r="AW3721" i="1"/>
  <c r="AV3721" i="1"/>
  <c r="AU3721" i="1"/>
  <c r="AW3720" i="1"/>
  <c r="AV3720" i="1"/>
  <c r="AW3719" i="1"/>
  <c r="AV3719" i="1"/>
  <c r="AW3718" i="1"/>
  <c r="AV3718" i="1"/>
  <c r="AW3717" i="1"/>
  <c r="AV3717" i="1"/>
  <c r="AW3716" i="1"/>
  <c r="AV3716" i="1"/>
  <c r="AW3715" i="1"/>
  <c r="AV3715" i="1"/>
  <c r="AW3714" i="1"/>
  <c r="AV3714" i="1"/>
  <c r="AW3713" i="1"/>
  <c r="AV3713" i="1"/>
  <c r="AW3712" i="1"/>
  <c r="AV3712" i="1"/>
  <c r="AU3712" i="1"/>
  <c r="AW3711" i="1"/>
  <c r="AV3711" i="1"/>
  <c r="AU3711" i="1"/>
  <c r="AW3710" i="1"/>
  <c r="AV3710" i="1"/>
  <c r="AW3709" i="1"/>
  <c r="AV3709" i="1"/>
  <c r="AW3708" i="1"/>
  <c r="AV3708" i="1"/>
  <c r="AW3707" i="1"/>
  <c r="AV3707" i="1"/>
  <c r="AU3707" i="1"/>
  <c r="AW3706" i="1"/>
  <c r="AV3706" i="1"/>
  <c r="AW3705" i="1"/>
  <c r="AV3705" i="1"/>
  <c r="AU3705" i="1"/>
  <c r="AW3704" i="1"/>
  <c r="AV3704" i="1"/>
  <c r="AW3703" i="1"/>
  <c r="AV3703" i="1"/>
  <c r="AW3702" i="1"/>
  <c r="AV3702" i="1"/>
  <c r="AW3701" i="1"/>
  <c r="AV3701" i="1"/>
  <c r="AW3700" i="1"/>
  <c r="AV3700" i="1"/>
  <c r="AW3699" i="1"/>
  <c r="AV3699" i="1"/>
  <c r="AW3698" i="1"/>
  <c r="AV3698" i="1"/>
  <c r="AW3697" i="1"/>
  <c r="AV3697" i="1"/>
  <c r="AW3696" i="1"/>
  <c r="AV3696" i="1"/>
  <c r="AW3695" i="1"/>
  <c r="AV3695" i="1"/>
  <c r="AW3694" i="1"/>
  <c r="AV3694" i="1"/>
  <c r="AW3693" i="1"/>
  <c r="AV3693" i="1"/>
  <c r="AW3692" i="1"/>
  <c r="AV3692" i="1"/>
  <c r="AW3691" i="1"/>
  <c r="AV3691" i="1"/>
  <c r="AW3690" i="1"/>
  <c r="AV3690" i="1"/>
  <c r="AW3689" i="1"/>
  <c r="AV3689" i="1"/>
  <c r="AW3688" i="1"/>
  <c r="AV3688" i="1"/>
  <c r="AW3687" i="1"/>
  <c r="AV3687" i="1"/>
  <c r="AW3686" i="1"/>
  <c r="AV3686" i="1"/>
  <c r="AW3685" i="1"/>
  <c r="AV3685" i="1"/>
  <c r="AW3684" i="1"/>
  <c r="AV3684" i="1"/>
  <c r="AW3683" i="1"/>
  <c r="AV3683" i="1"/>
  <c r="AW3682" i="1"/>
  <c r="AV3682" i="1"/>
  <c r="AU3682" i="1"/>
  <c r="AW3681" i="1"/>
  <c r="AV3681" i="1"/>
  <c r="AU3681" i="1"/>
  <c r="AW3680" i="1"/>
  <c r="AV3680" i="1"/>
  <c r="AU3680" i="1"/>
  <c r="AW3679" i="1"/>
  <c r="AV3679" i="1"/>
  <c r="AU3679" i="1"/>
  <c r="AW3678" i="1"/>
  <c r="AV3678" i="1"/>
  <c r="AU3678" i="1"/>
  <c r="AW3677" i="1"/>
  <c r="AV3677" i="1"/>
  <c r="AW3676" i="1"/>
  <c r="AV3676" i="1"/>
  <c r="AU3676" i="1"/>
  <c r="AW3675" i="1"/>
  <c r="AV3675" i="1"/>
  <c r="AW3674" i="1"/>
  <c r="AV3674" i="1"/>
  <c r="AW3673" i="1"/>
  <c r="AV3673" i="1"/>
  <c r="AW3672" i="1"/>
  <c r="AV3672" i="1"/>
  <c r="AW3671" i="1"/>
  <c r="AV3671" i="1"/>
  <c r="AW3670" i="1"/>
  <c r="AV3670" i="1"/>
  <c r="AW3669" i="1"/>
  <c r="AV3669" i="1"/>
  <c r="AW3668" i="1"/>
  <c r="AV3668" i="1"/>
  <c r="AW3667" i="1"/>
  <c r="AV3667" i="1"/>
  <c r="AW3666" i="1"/>
  <c r="AV3666" i="1"/>
  <c r="AW3665" i="1"/>
  <c r="AV3665" i="1"/>
  <c r="AW3664" i="1"/>
  <c r="AV3664" i="1"/>
  <c r="AW3663" i="1"/>
  <c r="AV3663" i="1"/>
  <c r="AW3662" i="1"/>
  <c r="AV3662" i="1"/>
  <c r="AW3661" i="1"/>
  <c r="AV3661" i="1"/>
  <c r="AW3660" i="1"/>
  <c r="AV3660" i="1"/>
  <c r="AW3659" i="1"/>
  <c r="AV3659" i="1"/>
  <c r="AW3658" i="1"/>
  <c r="AV3658" i="1"/>
  <c r="AW3657" i="1"/>
  <c r="AV3657" i="1"/>
  <c r="AU3657" i="1"/>
  <c r="AW3656" i="1"/>
  <c r="AV3656" i="1"/>
  <c r="AW3655" i="1"/>
  <c r="AV3655" i="1"/>
  <c r="AW3654" i="1"/>
  <c r="AV3654" i="1"/>
  <c r="AW3653" i="1"/>
  <c r="AV3653" i="1"/>
  <c r="AW3652" i="1"/>
  <c r="AV3652" i="1"/>
  <c r="AW3651" i="1"/>
  <c r="AV3651" i="1"/>
  <c r="AW3650" i="1"/>
  <c r="AV3650" i="1"/>
  <c r="AW3649" i="1"/>
  <c r="AV3649" i="1"/>
  <c r="AW3648" i="1"/>
  <c r="AV3648" i="1"/>
  <c r="AW3647" i="1"/>
  <c r="AV3647" i="1"/>
  <c r="AW3646" i="1"/>
  <c r="AV3646" i="1"/>
  <c r="AW3645" i="1"/>
  <c r="AV3645" i="1"/>
  <c r="AW3644" i="1"/>
  <c r="AV3644" i="1"/>
  <c r="AW3643" i="1"/>
  <c r="AV3643" i="1"/>
  <c r="AW3642" i="1"/>
  <c r="AV3642" i="1"/>
  <c r="AU3642" i="1"/>
  <c r="AW3641" i="1"/>
  <c r="AV3641" i="1"/>
  <c r="AW3640" i="1"/>
  <c r="AV3640" i="1"/>
  <c r="AW3639" i="1"/>
  <c r="AV3639" i="1"/>
  <c r="AW3638" i="1"/>
  <c r="AV3638" i="1"/>
  <c r="AW3637" i="1"/>
  <c r="AV3637" i="1"/>
  <c r="AW3636" i="1"/>
  <c r="AV3636" i="1"/>
  <c r="AW3635" i="1"/>
  <c r="AV3635" i="1"/>
  <c r="AW3634" i="1"/>
  <c r="AV3634" i="1"/>
  <c r="AW3633" i="1"/>
  <c r="AV3633" i="1"/>
  <c r="AW3632" i="1"/>
  <c r="AV3632" i="1"/>
  <c r="AW3631" i="1"/>
  <c r="AV3631" i="1"/>
  <c r="AW3630" i="1"/>
  <c r="AV3630" i="1"/>
  <c r="AW3629" i="1"/>
  <c r="AV3629" i="1"/>
  <c r="AW3628" i="1"/>
  <c r="AV3628" i="1"/>
  <c r="AW3627" i="1"/>
  <c r="AV3627" i="1"/>
  <c r="AW3626" i="1"/>
  <c r="AV3626" i="1"/>
  <c r="AW3625" i="1"/>
  <c r="AV3625" i="1"/>
  <c r="AW3624" i="1"/>
  <c r="AV3624" i="1"/>
  <c r="AW3623" i="1"/>
  <c r="AV3623" i="1"/>
  <c r="AW3622" i="1"/>
  <c r="AV3622" i="1"/>
  <c r="AU3622" i="1"/>
  <c r="AW3621" i="1"/>
  <c r="AV3621" i="1"/>
  <c r="AW3620" i="1"/>
  <c r="AV3620" i="1"/>
  <c r="AW3619" i="1"/>
  <c r="AV3619" i="1"/>
  <c r="AU3619" i="1"/>
  <c r="AW3618" i="1"/>
  <c r="AV3618" i="1"/>
  <c r="AU3618" i="1"/>
  <c r="AW3617" i="1"/>
  <c r="AV3617" i="1"/>
  <c r="AW3616" i="1"/>
  <c r="AV3616" i="1"/>
  <c r="AU3616" i="1"/>
  <c r="AW3615" i="1"/>
  <c r="AV3615" i="1"/>
  <c r="AW3614" i="1"/>
  <c r="AV3614" i="1"/>
  <c r="AW3613" i="1"/>
  <c r="AV3613" i="1"/>
  <c r="AU3613" i="1"/>
  <c r="AW3612" i="1"/>
  <c r="AV3612" i="1"/>
  <c r="AU3612" i="1"/>
  <c r="AW3611" i="1"/>
  <c r="AV3611" i="1"/>
  <c r="AW3610" i="1"/>
  <c r="AV3610" i="1"/>
  <c r="AW3609" i="1"/>
  <c r="AV3609" i="1"/>
  <c r="AU3609" i="1"/>
  <c r="AW3608" i="1"/>
  <c r="AV3608" i="1"/>
  <c r="AU3608" i="1"/>
  <c r="AW3607" i="1"/>
  <c r="AV3607" i="1"/>
  <c r="AU3607" i="1"/>
  <c r="AW3606" i="1"/>
  <c r="AV3606" i="1"/>
  <c r="AW3605" i="1"/>
  <c r="AV3605" i="1"/>
  <c r="AW3604" i="1"/>
  <c r="AV3604" i="1"/>
  <c r="AW3603" i="1"/>
  <c r="AV3603" i="1"/>
  <c r="AW3602" i="1"/>
  <c r="AV3602" i="1"/>
  <c r="AW3601" i="1"/>
  <c r="AV3601" i="1"/>
  <c r="AW3600" i="1"/>
  <c r="AV3600" i="1"/>
  <c r="AW3599" i="1"/>
  <c r="AV3599" i="1"/>
  <c r="AW3598" i="1"/>
  <c r="AV3598" i="1"/>
  <c r="AW3597" i="1"/>
  <c r="AV3597" i="1"/>
  <c r="AW3596" i="1"/>
  <c r="AV3596" i="1"/>
  <c r="AW3595" i="1"/>
  <c r="AV3595" i="1"/>
  <c r="AW3594" i="1"/>
  <c r="AV3594" i="1"/>
  <c r="AW3593" i="1"/>
  <c r="AV3593" i="1"/>
  <c r="AW3592" i="1"/>
  <c r="AV3592" i="1"/>
  <c r="AW3591" i="1"/>
  <c r="AV3591" i="1"/>
  <c r="AW3590" i="1"/>
  <c r="AV3590" i="1"/>
  <c r="AU3590" i="1"/>
  <c r="AW3589" i="1"/>
  <c r="AV3589" i="1"/>
  <c r="AU3589" i="1"/>
  <c r="AW3588" i="1"/>
  <c r="AV3588" i="1"/>
  <c r="AU3588" i="1"/>
  <c r="AW3587" i="1"/>
  <c r="AV3587" i="1"/>
  <c r="AW3586" i="1"/>
  <c r="AV3586" i="1"/>
  <c r="AW3585" i="1"/>
  <c r="AV3585" i="1"/>
  <c r="AW3584" i="1"/>
  <c r="AV3584" i="1"/>
  <c r="AW3583" i="1"/>
  <c r="AV3583" i="1"/>
  <c r="AW3582" i="1"/>
  <c r="AV3582" i="1"/>
  <c r="AU3582" i="1"/>
  <c r="AW3581" i="1"/>
  <c r="AV3581" i="1"/>
  <c r="AU3581" i="1"/>
  <c r="AW3580" i="1"/>
  <c r="AV3580" i="1"/>
  <c r="AW3579" i="1"/>
  <c r="AV3579" i="1"/>
  <c r="AW3578" i="1"/>
  <c r="AV3578" i="1"/>
  <c r="AW3577" i="1"/>
  <c r="AV3577" i="1"/>
  <c r="AU3577" i="1"/>
  <c r="AW3576" i="1"/>
  <c r="AV3576" i="1"/>
  <c r="AU3576" i="1"/>
  <c r="AW3575" i="1"/>
  <c r="AV3575" i="1"/>
  <c r="AU3575" i="1"/>
  <c r="AW3574" i="1"/>
  <c r="AV3574" i="1"/>
  <c r="AU3574" i="1"/>
  <c r="AW3573" i="1"/>
  <c r="AV3573" i="1"/>
  <c r="AW3572" i="1"/>
  <c r="AV3572" i="1"/>
  <c r="AW3571" i="1"/>
  <c r="AV3571" i="1"/>
  <c r="AW3570" i="1"/>
  <c r="AV3570" i="1"/>
  <c r="AW3569" i="1"/>
  <c r="AV3569" i="1"/>
  <c r="AW3568" i="1"/>
  <c r="AV3568" i="1"/>
  <c r="AU3568" i="1"/>
  <c r="AW3567" i="1"/>
  <c r="AV3567" i="1"/>
  <c r="AW3566" i="1"/>
  <c r="AV3566" i="1"/>
  <c r="AW3565" i="1"/>
  <c r="AV3565" i="1"/>
  <c r="AW3564" i="1"/>
  <c r="AV3564" i="1"/>
  <c r="AW3563" i="1"/>
  <c r="AV3563" i="1"/>
  <c r="AW3562" i="1"/>
  <c r="AV3562" i="1"/>
  <c r="AW3561" i="1"/>
  <c r="AV3561" i="1"/>
  <c r="AW3560" i="1"/>
  <c r="AV3560" i="1"/>
  <c r="AW3559" i="1"/>
  <c r="AV3559" i="1"/>
  <c r="AW3558" i="1"/>
  <c r="AV3558" i="1"/>
  <c r="AW3557" i="1"/>
  <c r="AV3557" i="1"/>
  <c r="AW3556" i="1"/>
  <c r="AV3556" i="1"/>
  <c r="AU3556" i="1"/>
  <c r="AW3555" i="1"/>
  <c r="AV3555" i="1"/>
  <c r="AW3554" i="1"/>
  <c r="AV3554" i="1"/>
  <c r="AW3553" i="1"/>
  <c r="AV3553" i="1"/>
  <c r="AW3552" i="1"/>
  <c r="AV3552" i="1"/>
  <c r="AU3552" i="1"/>
  <c r="AW3551" i="1"/>
  <c r="AV3551" i="1"/>
  <c r="AW3550" i="1"/>
  <c r="AV3550" i="1"/>
  <c r="AU3550" i="1"/>
  <c r="AW3549" i="1"/>
  <c r="AV3549" i="1"/>
  <c r="AW3548" i="1"/>
  <c r="AV3548" i="1"/>
  <c r="AW3547" i="1"/>
  <c r="AV3547" i="1"/>
  <c r="AW3546" i="1"/>
  <c r="AV3546" i="1"/>
  <c r="AW3545" i="1"/>
  <c r="AV3545" i="1"/>
  <c r="AW3544" i="1"/>
  <c r="AV3544" i="1"/>
  <c r="AW3543" i="1"/>
  <c r="AV3543" i="1"/>
  <c r="AW3542" i="1"/>
  <c r="AV3542" i="1"/>
  <c r="AW3541" i="1"/>
  <c r="AV3541" i="1"/>
  <c r="AW3540" i="1"/>
  <c r="AV3540" i="1"/>
  <c r="AW3539" i="1"/>
  <c r="AV3539" i="1"/>
  <c r="AU3539" i="1"/>
  <c r="AW3538" i="1"/>
  <c r="AV3538" i="1"/>
  <c r="AW3537" i="1"/>
  <c r="AV3537" i="1"/>
  <c r="AW3536" i="1"/>
  <c r="AV3536" i="1"/>
  <c r="AW3535" i="1"/>
  <c r="AV3535" i="1"/>
  <c r="AW3534" i="1"/>
  <c r="AV3534" i="1"/>
  <c r="AW3533" i="1"/>
  <c r="AV3533" i="1"/>
  <c r="AW3532" i="1"/>
  <c r="AV3532" i="1"/>
  <c r="AW3531" i="1"/>
  <c r="AV3531" i="1"/>
  <c r="AW3530" i="1"/>
  <c r="AV3530" i="1"/>
  <c r="AW3529" i="1"/>
  <c r="AV3529" i="1"/>
  <c r="AW3528" i="1"/>
  <c r="AV3528" i="1"/>
  <c r="AU3528" i="1"/>
  <c r="AW3527" i="1"/>
  <c r="AV3527" i="1"/>
  <c r="AW3526" i="1"/>
  <c r="AV3526" i="1"/>
  <c r="AW3525" i="1"/>
  <c r="AV3525" i="1"/>
  <c r="AW3524" i="1"/>
  <c r="AV3524" i="1"/>
  <c r="AU3524" i="1"/>
  <c r="AW3523" i="1"/>
  <c r="AV3523" i="1"/>
  <c r="AW3522" i="1"/>
  <c r="AV3522" i="1"/>
  <c r="AU3522" i="1"/>
  <c r="AW3521" i="1"/>
  <c r="AV3521" i="1"/>
  <c r="AW3520" i="1"/>
  <c r="AV3520" i="1"/>
  <c r="AW3519" i="1"/>
  <c r="AV3519" i="1"/>
  <c r="AW3518" i="1"/>
  <c r="AV3518" i="1"/>
  <c r="AW3517" i="1"/>
  <c r="AV3517" i="1"/>
  <c r="AU3517" i="1"/>
  <c r="AW3516" i="1"/>
  <c r="AV3516" i="1"/>
  <c r="AU3516" i="1"/>
  <c r="AW3515" i="1"/>
  <c r="AV3515" i="1"/>
  <c r="AW3514" i="1"/>
  <c r="AV3514" i="1"/>
  <c r="AW3513" i="1"/>
  <c r="AV3513" i="1"/>
  <c r="AW3512" i="1"/>
  <c r="AV3512" i="1"/>
  <c r="AW3511" i="1"/>
  <c r="AV3511" i="1"/>
  <c r="AW3510" i="1"/>
  <c r="AV3510" i="1"/>
  <c r="AW3509" i="1"/>
  <c r="AV3509" i="1"/>
  <c r="AW3508" i="1"/>
  <c r="AV3508" i="1"/>
  <c r="AW3507" i="1"/>
  <c r="AV3507" i="1"/>
  <c r="AU3507" i="1"/>
  <c r="AW3506" i="1"/>
  <c r="AV3506" i="1"/>
  <c r="AW3505" i="1"/>
  <c r="AV3505" i="1"/>
  <c r="AW3504" i="1"/>
  <c r="AV3504" i="1"/>
  <c r="AW3503" i="1"/>
  <c r="AV3503" i="1"/>
  <c r="AW3502" i="1"/>
  <c r="AV3502" i="1"/>
  <c r="AW3501" i="1"/>
  <c r="AV3501" i="1"/>
  <c r="AW3500" i="1"/>
  <c r="AV3500" i="1"/>
  <c r="AW3499" i="1"/>
  <c r="AV3499" i="1"/>
  <c r="AW3498" i="1"/>
  <c r="AV3498" i="1"/>
  <c r="AW3497" i="1"/>
  <c r="AV3497" i="1"/>
  <c r="AW3496" i="1"/>
  <c r="AV3496" i="1"/>
  <c r="AW3495" i="1"/>
  <c r="AV3495" i="1"/>
  <c r="AW3494" i="1"/>
  <c r="AV3494" i="1"/>
  <c r="AW3493" i="1"/>
  <c r="AV3493" i="1"/>
  <c r="AW3492" i="1"/>
  <c r="AV3492" i="1"/>
  <c r="AW3491" i="1"/>
  <c r="AV3491" i="1"/>
  <c r="AW3490" i="1"/>
  <c r="AV3490" i="1"/>
  <c r="AW3489" i="1"/>
  <c r="AV3489" i="1"/>
  <c r="AW3488" i="1"/>
  <c r="AV3488" i="1"/>
  <c r="AW3487" i="1"/>
  <c r="AV3487" i="1"/>
  <c r="AW3486" i="1"/>
  <c r="AV3486" i="1"/>
  <c r="AW3485" i="1"/>
  <c r="AV3485" i="1"/>
  <c r="AU3485" i="1"/>
  <c r="AW3484" i="1"/>
  <c r="AV3484" i="1"/>
  <c r="AW3483" i="1"/>
  <c r="AV3483" i="1"/>
  <c r="AW3482" i="1"/>
  <c r="AV3482" i="1"/>
  <c r="AW3481" i="1"/>
  <c r="AV3481" i="1"/>
  <c r="AW3480" i="1"/>
  <c r="AV3480" i="1"/>
  <c r="AW3479" i="1"/>
  <c r="AV3479" i="1"/>
  <c r="AU3479" i="1"/>
  <c r="AW3478" i="1"/>
  <c r="AV3478" i="1"/>
  <c r="AW3477" i="1"/>
  <c r="AV3477" i="1"/>
  <c r="AW3476" i="1"/>
  <c r="AV3476" i="1"/>
  <c r="AU3476" i="1"/>
  <c r="AW3475" i="1"/>
  <c r="AV3475" i="1"/>
  <c r="AW3474" i="1"/>
  <c r="AV3474" i="1"/>
  <c r="AU3474" i="1"/>
  <c r="AW3473" i="1"/>
  <c r="AV3473" i="1"/>
  <c r="AW3472" i="1"/>
  <c r="AV3472" i="1"/>
  <c r="AW3471" i="1"/>
  <c r="AV3471" i="1"/>
  <c r="AW3470" i="1"/>
  <c r="AV3470" i="1"/>
  <c r="AW3469" i="1"/>
  <c r="AV3469" i="1"/>
  <c r="AW3468" i="1"/>
  <c r="AV3468" i="1"/>
  <c r="AW3467" i="1"/>
  <c r="AV3467" i="1"/>
  <c r="AW3466" i="1"/>
  <c r="AV3466" i="1"/>
  <c r="AW3465" i="1"/>
  <c r="AV3465" i="1"/>
  <c r="AW3464" i="1"/>
  <c r="AV3464" i="1"/>
  <c r="AU3464" i="1"/>
  <c r="AW3463" i="1"/>
  <c r="AV3463" i="1"/>
  <c r="AW3462" i="1"/>
  <c r="AV3462" i="1"/>
  <c r="AW3461" i="1"/>
  <c r="AV3461" i="1"/>
  <c r="AW3460" i="1"/>
  <c r="AV3460" i="1"/>
  <c r="AU3460" i="1"/>
  <c r="AW3459" i="1"/>
  <c r="AV3459" i="1"/>
  <c r="AU3459" i="1"/>
  <c r="AW3458" i="1"/>
  <c r="AV3458" i="1"/>
  <c r="AW3457" i="1"/>
  <c r="AV3457" i="1"/>
  <c r="AU3457" i="1"/>
  <c r="AW3456" i="1"/>
  <c r="AV3456" i="1"/>
  <c r="AW3455" i="1"/>
  <c r="AV3455" i="1"/>
  <c r="AW3454" i="1"/>
  <c r="AV3454" i="1"/>
  <c r="AW3453" i="1"/>
  <c r="AV3453" i="1"/>
  <c r="AW3452" i="1"/>
  <c r="AV3452" i="1"/>
  <c r="AW3451" i="1"/>
  <c r="AV3451" i="1"/>
  <c r="AW3450" i="1"/>
  <c r="AV3450" i="1"/>
  <c r="AW3449" i="1"/>
  <c r="AV3449" i="1"/>
  <c r="AW3448" i="1"/>
  <c r="AV3448" i="1"/>
  <c r="AW3447" i="1"/>
  <c r="AV3447" i="1"/>
  <c r="AW3446" i="1"/>
  <c r="AV3446" i="1"/>
  <c r="AW3445" i="1"/>
  <c r="AV3445" i="1"/>
  <c r="AW3444" i="1"/>
  <c r="AV3444" i="1"/>
  <c r="AW3443" i="1"/>
  <c r="AV3443" i="1"/>
  <c r="AW3442" i="1"/>
  <c r="AV3442" i="1"/>
  <c r="AW3441" i="1"/>
  <c r="AV3441" i="1"/>
  <c r="AW3440" i="1"/>
  <c r="AV3440" i="1"/>
  <c r="AW3439" i="1"/>
  <c r="AV3439" i="1"/>
  <c r="AU3439" i="1"/>
  <c r="AW3438" i="1"/>
  <c r="AV3438" i="1"/>
  <c r="AU3438" i="1"/>
  <c r="AW3437" i="1"/>
  <c r="AV3437" i="1"/>
  <c r="AU3437" i="1"/>
  <c r="AW3436" i="1"/>
  <c r="AV3436" i="1"/>
  <c r="AW3435" i="1"/>
  <c r="AV3435" i="1"/>
  <c r="AW3434" i="1"/>
  <c r="AV3434" i="1"/>
  <c r="AW3433" i="1"/>
  <c r="AV3433" i="1"/>
  <c r="AW3432" i="1"/>
  <c r="AV3432" i="1"/>
  <c r="AW3431" i="1"/>
  <c r="AV3431" i="1"/>
  <c r="AW3430" i="1"/>
  <c r="AV3430" i="1"/>
  <c r="AU3430" i="1"/>
  <c r="AW3429" i="1"/>
  <c r="AV3429" i="1"/>
  <c r="AW3428" i="1"/>
  <c r="AV3428" i="1"/>
  <c r="AW3427" i="1"/>
  <c r="AV3427" i="1"/>
  <c r="AW3426" i="1"/>
  <c r="AV3426" i="1"/>
  <c r="AW3425" i="1"/>
  <c r="AV3425" i="1"/>
  <c r="AW3424" i="1"/>
  <c r="AV3424" i="1"/>
  <c r="AW3423" i="1"/>
  <c r="AV3423" i="1"/>
  <c r="AU3423" i="1"/>
  <c r="AW3422" i="1"/>
  <c r="AV3422" i="1"/>
  <c r="AU3422" i="1"/>
  <c r="AW3421" i="1"/>
  <c r="AV3421" i="1"/>
  <c r="AU3421" i="1"/>
  <c r="AW3420" i="1"/>
  <c r="AV3420" i="1"/>
  <c r="AW3419" i="1"/>
  <c r="AV3419" i="1"/>
  <c r="AW3418" i="1"/>
  <c r="AV3418" i="1"/>
  <c r="AW3417" i="1"/>
  <c r="AV3417" i="1"/>
  <c r="AW3416" i="1"/>
  <c r="AV3416" i="1"/>
  <c r="AW3415" i="1"/>
  <c r="AV3415" i="1"/>
  <c r="AW3414" i="1"/>
  <c r="AV3414" i="1"/>
  <c r="AW3413" i="1"/>
  <c r="AV3413" i="1"/>
  <c r="AW3412" i="1"/>
  <c r="AV3412" i="1"/>
  <c r="AW3411" i="1"/>
  <c r="AV3411" i="1"/>
  <c r="AW3410" i="1"/>
  <c r="AV3410" i="1"/>
  <c r="AW3409" i="1"/>
  <c r="AV3409" i="1"/>
  <c r="AW3408" i="1"/>
  <c r="AV3408" i="1"/>
  <c r="AW3407" i="1"/>
  <c r="AV3407" i="1"/>
  <c r="AW3406" i="1"/>
  <c r="AV3406" i="1"/>
  <c r="AW3405" i="1"/>
  <c r="AV3405" i="1"/>
  <c r="AU3405" i="1"/>
  <c r="AW3404" i="1"/>
  <c r="AV3404" i="1"/>
  <c r="AW3403" i="1"/>
  <c r="AV3403" i="1"/>
  <c r="AW3402" i="1"/>
  <c r="AV3402" i="1"/>
  <c r="AU3402" i="1"/>
  <c r="AW3401" i="1"/>
  <c r="AV3401" i="1"/>
  <c r="AU3401" i="1"/>
  <c r="AW3400" i="1"/>
  <c r="AV3400" i="1"/>
  <c r="AW3399" i="1"/>
  <c r="AV3399" i="1"/>
  <c r="AW3398" i="1"/>
  <c r="AV3398" i="1"/>
  <c r="AW3397" i="1"/>
  <c r="AV3397" i="1"/>
  <c r="AW3396" i="1"/>
  <c r="AV3396" i="1"/>
  <c r="AW3395" i="1"/>
  <c r="AV3395" i="1"/>
  <c r="AW3394" i="1"/>
  <c r="AV3394" i="1"/>
  <c r="AW3393" i="1"/>
  <c r="AV3393" i="1"/>
  <c r="AW3392" i="1"/>
  <c r="AV3392" i="1"/>
  <c r="AW3391" i="1"/>
  <c r="AV3391" i="1"/>
  <c r="AU3391" i="1"/>
  <c r="AW3390" i="1"/>
  <c r="AV3390" i="1"/>
  <c r="AU3390" i="1"/>
  <c r="AW3389" i="1"/>
  <c r="AV3389" i="1"/>
  <c r="AU3389" i="1"/>
  <c r="AW3388" i="1"/>
  <c r="AV3388" i="1"/>
  <c r="AU3388" i="1"/>
  <c r="AW3387" i="1"/>
  <c r="AV3387" i="1"/>
  <c r="AU3387" i="1"/>
  <c r="AW3386" i="1"/>
  <c r="AV3386" i="1"/>
  <c r="AW3385" i="1"/>
  <c r="AV3385" i="1"/>
  <c r="AW3384" i="1"/>
  <c r="AV3384" i="1"/>
  <c r="AW3383" i="1"/>
  <c r="AV3383" i="1"/>
  <c r="AW3382" i="1"/>
  <c r="AV3382" i="1"/>
  <c r="AW3381" i="1"/>
  <c r="AV3381" i="1"/>
  <c r="AU3381" i="1"/>
  <c r="AW3380" i="1"/>
  <c r="AV3380" i="1"/>
  <c r="AU3380" i="1"/>
  <c r="AW3379" i="1"/>
  <c r="AV3379" i="1"/>
  <c r="AW3378" i="1"/>
  <c r="AV3378" i="1"/>
  <c r="AW3377" i="1"/>
  <c r="AV3377" i="1"/>
  <c r="AW3376" i="1"/>
  <c r="AV3376" i="1"/>
  <c r="AW3375" i="1"/>
  <c r="AV3375" i="1"/>
  <c r="AW3374" i="1"/>
  <c r="AV3374" i="1"/>
  <c r="AW3373" i="1"/>
  <c r="AV3373" i="1"/>
  <c r="AW3372" i="1"/>
  <c r="AV3372" i="1"/>
  <c r="AW3371" i="1"/>
  <c r="AV3371" i="1"/>
  <c r="AW3370" i="1"/>
  <c r="AV3370" i="1"/>
  <c r="AW3369" i="1"/>
  <c r="AV3369" i="1"/>
  <c r="AW3368" i="1"/>
  <c r="AV3368" i="1"/>
  <c r="AU3368" i="1"/>
  <c r="AW3367" i="1"/>
  <c r="AV3367" i="1"/>
  <c r="AW3366" i="1"/>
  <c r="AV3366" i="1"/>
  <c r="AU3366" i="1"/>
  <c r="AW3365" i="1"/>
  <c r="AV3365" i="1"/>
  <c r="AW3364" i="1"/>
  <c r="AV3364" i="1"/>
  <c r="AU3364" i="1"/>
  <c r="AW3363" i="1"/>
  <c r="AV3363" i="1"/>
  <c r="AW3362" i="1"/>
  <c r="AV3362" i="1"/>
  <c r="AW3361" i="1"/>
  <c r="AV3361" i="1"/>
  <c r="AW3360" i="1"/>
  <c r="AV3360" i="1"/>
  <c r="AU3360" i="1"/>
  <c r="AW3359" i="1"/>
  <c r="AV3359" i="1"/>
  <c r="AW3358" i="1"/>
  <c r="AV3358" i="1"/>
  <c r="AU3358" i="1"/>
  <c r="AW3357" i="1"/>
  <c r="AV3357" i="1"/>
  <c r="AW3356" i="1"/>
  <c r="AV3356" i="1"/>
  <c r="AU3356" i="1"/>
  <c r="AW3355" i="1"/>
  <c r="AV3355" i="1"/>
  <c r="AW3354" i="1"/>
  <c r="AV3354" i="1"/>
  <c r="AW3353" i="1"/>
  <c r="AV3353" i="1"/>
  <c r="AU3353" i="1"/>
  <c r="AW3352" i="1"/>
  <c r="AV3352" i="1"/>
  <c r="AU3352" i="1"/>
  <c r="AW3351" i="1"/>
  <c r="AV3351" i="1"/>
  <c r="AW3350" i="1"/>
  <c r="AV3350" i="1"/>
  <c r="AU3350" i="1"/>
  <c r="AW3349" i="1"/>
  <c r="AV3349" i="1"/>
  <c r="AW3348" i="1"/>
  <c r="AV3348" i="1"/>
  <c r="AW3347" i="1"/>
  <c r="AV3347" i="1"/>
  <c r="AU3347" i="1"/>
  <c r="AW3346" i="1"/>
  <c r="AV3346" i="1"/>
  <c r="AW3345" i="1"/>
  <c r="AV3345" i="1"/>
  <c r="AW3344" i="1"/>
  <c r="AV3344" i="1"/>
  <c r="AW3343" i="1"/>
  <c r="AV3343" i="1"/>
  <c r="AW3342" i="1"/>
  <c r="AV3342" i="1"/>
  <c r="AW3341" i="1"/>
  <c r="AV3341" i="1"/>
  <c r="AW3340" i="1"/>
  <c r="AV3340" i="1"/>
  <c r="AW3339" i="1"/>
  <c r="AV3339" i="1"/>
  <c r="AW3338" i="1"/>
  <c r="AV3338" i="1"/>
  <c r="AW3337" i="1"/>
  <c r="AV3337" i="1"/>
  <c r="AW3336" i="1"/>
  <c r="AV3336" i="1"/>
  <c r="AW3335" i="1"/>
  <c r="AV3335" i="1"/>
  <c r="AW3334" i="1"/>
  <c r="AV3334" i="1"/>
  <c r="AW3333" i="1"/>
  <c r="AV3333" i="1"/>
  <c r="AW3332" i="1"/>
  <c r="AV3332" i="1"/>
  <c r="AW3331" i="1"/>
  <c r="AV3331" i="1"/>
  <c r="AW3330" i="1"/>
  <c r="AV3330" i="1"/>
  <c r="AW3329" i="1"/>
  <c r="AV3329" i="1"/>
  <c r="AW3328" i="1"/>
  <c r="AV3328" i="1"/>
  <c r="AW3327" i="1"/>
  <c r="AV3327" i="1"/>
  <c r="AW3326" i="1"/>
  <c r="AV3326" i="1"/>
  <c r="AW3325" i="1"/>
  <c r="AV3325" i="1"/>
  <c r="AU3325" i="1"/>
  <c r="AW3324" i="1"/>
  <c r="AV3324" i="1"/>
  <c r="AW3323" i="1"/>
  <c r="AV3323" i="1"/>
  <c r="AU3323" i="1"/>
  <c r="AW3322" i="1"/>
  <c r="AV3322" i="1"/>
  <c r="AW3321" i="1"/>
  <c r="AV3321" i="1"/>
  <c r="AW3320" i="1"/>
  <c r="AV3320" i="1"/>
  <c r="AW3319" i="1"/>
  <c r="AV3319" i="1"/>
  <c r="AW3318" i="1"/>
  <c r="AV3318" i="1"/>
  <c r="AW3317" i="1"/>
  <c r="AV3317" i="1"/>
  <c r="AW3316" i="1"/>
  <c r="AV3316" i="1"/>
  <c r="AW3315" i="1"/>
  <c r="AV3315" i="1"/>
  <c r="AW3314" i="1"/>
  <c r="AV3314" i="1"/>
  <c r="AU3314" i="1"/>
  <c r="AW3313" i="1"/>
  <c r="AV3313" i="1"/>
  <c r="AU3313" i="1"/>
  <c r="AW3312" i="1"/>
  <c r="AV3312" i="1"/>
  <c r="AW3311" i="1"/>
  <c r="AV3311" i="1"/>
  <c r="AW3310" i="1"/>
  <c r="AV3310" i="1"/>
  <c r="AU3310" i="1"/>
  <c r="AW3309" i="1"/>
  <c r="AV3309" i="1"/>
  <c r="AU3309" i="1"/>
  <c r="AW3308" i="1"/>
  <c r="AV3308" i="1"/>
  <c r="AW3307" i="1"/>
  <c r="AV3307" i="1"/>
  <c r="AW3306" i="1"/>
  <c r="AV3306" i="1"/>
  <c r="AW3305" i="1"/>
  <c r="AV3305" i="1"/>
  <c r="AW3304" i="1"/>
  <c r="AV3304" i="1"/>
  <c r="AW3303" i="1"/>
  <c r="AV3303" i="1"/>
  <c r="AW3302" i="1"/>
  <c r="AV3302" i="1"/>
  <c r="AW3301" i="1"/>
  <c r="AV3301" i="1"/>
  <c r="AW3300" i="1"/>
  <c r="AV3300" i="1"/>
  <c r="AW3299" i="1"/>
  <c r="AV3299" i="1"/>
  <c r="AW3298" i="1"/>
  <c r="AV3298" i="1"/>
  <c r="AU3298" i="1"/>
  <c r="AW3297" i="1"/>
  <c r="AV3297" i="1"/>
  <c r="AU3297" i="1"/>
  <c r="AW3296" i="1"/>
  <c r="AV3296" i="1"/>
  <c r="AW3295" i="1"/>
  <c r="AV3295" i="1"/>
  <c r="AU3295" i="1"/>
  <c r="AW3294" i="1"/>
  <c r="AV3294" i="1"/>
  <c r="AU3294" i="1"/>
  <c r="AW3293" i="1"/>
  <c r="AV3293" i="1"/>
  <c r="AU3293" i="1"/>
  <c r="AW3292" i="1"/>
  <c r="AV3292" i="1"/>
  <c r="AU3292" i="1"/>
  <c r="AW3291" i="1"/>
  <c r="AV3291" i="1"/>
  <c r="AU3291" i="1"/>
  <c r="AW3290" i="1"/>
  <c r="AV3290" i="1"/>
  <c r="AU3290" i="1"/>
  <c r="AW3289" i="1"/>
  <c r="AV3289" i="1"/>
  <c r="AW3288" i="1"/>
  <c r="AV3288" i="1"/>
  <c r="AU3288" i="1"/>
  <c r="AW3287" i="1"/>
  <c r="AV3287" i="1"/>
  <c r="AU3287" i="1"/>
  <c r="AW3286" i="1"/>
  <c r="AV3286" i="1"/>
  <c r="AU3286" i="1"/>
  <c r="AW3285" i="1"/>
  <c r="AV3285" i="1"/>
  <c r="AW3284" i="1"/>
  <c r="AV3284" i="1"/>
  <c r="AW3283" i="1"/>
  <c r="AV3283" i="1"/>
  <c r="AW3282" i="1"/>
  <c r="AV3282" i="1"/>
  <c r="AW3281" i="1"/>
  <c r="AV3281" i="1"/>
  <c r="AW3280" i="1"/>
  <c r="AV3280" i="1"/>
  <c r="AW3279" i="1"/>
  <c r="AV3279" i="1"/>
  <c r="AU3279" i="1"/>
  <c r="AW3278" i="1"/>
  <c r="AV3278" i="1"/>
  <c r="AW3277" i="1"/>
  <c r="AV3277" i="1"/>
  <c r="AW3276" i="1"/>
  <c r="AV3276" i="1"/>
  <c r="AW3275" i="1"/>
  <c r="AV3275" i="1"/>
  <c r="AW3274" i="1"/>
  <c r="AV3274" i="1"/>
  <c r="AW3273" i="1"/>
  <c r="AV3273" i="1"/>
  <c r="AW3272" i="1"/>
  <c r="AV3272" i="1"/>
  <c r="AW3271" i="1"/>
  <c r="AV3271" i="1"/>
  <c r="AW3270" i="1"/>
  <c r="AV3270" i="1"/>
  <c r="AW3269" i="1"/>
  <c r="AV3269" i="1"/>
  <c r="AW3268" i="1"/>
  <c r="AV3268" i="1"/>
  <c r="AW3267" i="1"/>
  <c r="AV3267" i="1"/>
  <c r="AU3267" i="1"/>
  <c r="AW3266" i="1"/>
  <c r="AV3266" i="1"/>
  <c r="AU3266" i="1"/>
  <c r="AW3265" i="1"/>
  <c r="AV3265" i="1"/>
  <c r="AU3265" i="1"/>
  <c r="AW3264" i="1"/>
  <c r="AV3264" i="1"/>
  <c r="AU3264" i="1"/>
  <c r="AW3263" i="1"/>
  <c r="AV3263" i="1"/>
  <c r="AU3263" i="1"/>
  <c r="AW3262" i="1"/>
  <c r="AV3262" i="1"/>
  <c r="AU3262" i="1"/>
  <c r="AW3261" i="1"/>
  <c r="AV3261" i="1"/>
  <c r="AU3261" i="1"/>
  <c r="AW3260" i="1"/>
  <c r="AV3260" i="1"/>
  <c r="AW3259" i="1"/>
  <c r="AV3259" i="1"/>
  <c r="AW3258" i="1"/>
  <c r="AV3258" i="1"/>
  <c r="AW3257" i="1"/>
  <c r="AV3257" i="1"/>
  <c r="AU3257" i="1"/>
  <c r="AW3256" i="1"/>
  <c r="AV3256" i="1"/>
  <c r="AU3256" i="1"/>
  <c r="AW3255" i="1"/>
  <c r="AV3255" i="1"/>
  <c r="AW3254" i="1"/>
  <c r="AV3254" i="1"/>
  <c r="AW3253" i="1"/>
  <c r="AV3253" i="1"/>
  <c r="AW3252" i="1"/>
  <c r="AV3252" i="1"/>
  <c r="AU3252" i="1"/>
  <c r="AW3251" i="1"/>
  <c r="AV3251" i="1"/>
  <c r="AW3250" i="1"/>
  <c r="AV3250" i="1"/>
  <c r="AU3250" i="1"/>
  <c r="AW3249" i="1"/>
  <c r="AV3249" i="1"/>
  <c r="AU3249" i="1"/>
  <c r="AW3248" i="1"/>
  <c r="AV3248" i="1"/>
  <c r="AU3248" i="1"/>
  <c r="AW3247" i="1"/>
  <c r="AV3247" i="1"/>
  <c r="AU3247" i="1"/>
  <c r="AW3246" i="1"/>
  <c r="AV3246" i="1"/>
  <c r="AU3246" i="1"/>
  <c r="AW3245" i="1"/>
  <c r="AV3245" i="1"/>
  <c r="AU3245" i="1"/>
  <c r="AW3244" i="1"/>
  <c r="AV3244" i="1"/>
  <c r="AU3244" i="1"/>
  <c r="AW3243" i="1"/>
  <c r="AV3243" i="1"/>
  <c r="AU3243" i="1"/>
  <c r="AW3242" i="1"/>
  <c r="AV3242" i="1"/>
  <c r="AW3241" i="1"/>
  <c r="AV3241" i="1"/>
  <c r="AW3240" i="1"/>
  <c r="AV3240" i="1"/>
  <c r="AU3240" i="1"/>
  <c r="AW3239" i="1"/>
  <c r="AV3239" i="1"/>
  <c r="AW3238" i="1"/>
  <c r="AV3238" i="1"/>
  <c r="AW3237" i="1"/>
  <c r="AV3237" i="1"/>
  <c r="AW3236" i="1"/>
  <c r="AV3236" i="1"/>
  <c r="AU3236" i="1"/>
  <c r="AW3235" i="1"/>
  <c r="AV3235" i="1"/>
  <c r="AW3234" i="1"/>
  <c r="AV3234" i="1"/>
  <c r="AU3234" i="1"/>
  <c r="AW3233" i="1"/>
  <c r="AV3233" i="1"/>
  <c r="AW3232" i="1"/>
  <c r="AV3232" i="1"/>
  <c r="AU3232" i="1"/>
  <c r="AW3231" i="1"/>
  <c r="AV3231" i="1"/>
  <c r="AU3231" i="1"/>
  <c r="AW3230" i="1"/>
  <c r="AV3230" i="1"/>
  <c r="AU3230" i="1"/>
  <c r="AW3229" i="1"/>
  <c r="AV3229" i="1"/>
  <c r="AU3229" i="1"/>
  <c r="AW3228" i="1"/>
  <c r="AV3228" i="1"/>
  <c r="AU3228" i="1"/>
  <c r="AW3227" i="1"/>
  <c r="AV3227" i="1"/>
  <c r="AW3226" i="1"/>
  <c r="AV3226" i="1"/>
  <c r="AU3226" i="1"/>
  <c r="AW3225" i="1"/>
  <c r="AV3225" i="1"/>
  <c r="AU3225" i="1"/>
  <c r="AW3224" i="1"/>
  <c r="AV3224" i="1"/>
  <c r="AW3223" i="1"/>
  <c r="AV3223" i="1"/>
  <c r="AW3222" i="1"/>
  <c r="AV3222" i="1"/>
  <c r="AW3221" i="1"/>
  <c r="AV3221" i="1"/>
  <c r="AU3221" i="1"/>
  <c r="AW3220" i="1"/>
  <c r="AV3220" i="1"/>
  <c r="AW3219" i="1"/>
  <c r="AV3219" i="1"/>
  <c r="AW3218" i="1"/>
  <c r="AV3218" i="1"/>
  <c r="AW3217" i="1"/>
  <c r="AV3217" i="1"/>
  <c r="AU3217" i="1"/>
  <c r="AW3216" i="1"/>
  <c r="AV3216" i="1"/>
  <c r="AU3216" i="1"/>
  <c r="AW3215" i="1"/>
  <c r="AV3215" i="1"/>
  <c r="AW3214" i="1"/>
  <c r="AV3214" i="1"/>
  <c r="AU3214" i="1"/>
  <c r="AW3213" i="1"/>
  <c r="AV3213" i="1"/>
  <c r="AW3212" i="1"/>
  <c r="AV3212" i="1"/>
  <c r="AW3211" i="1"/>
  <c r="AV3211" i="1"/>
  <c r="AU3211" i="1"/>
  <c r="AW3210" i="1"/>
  <c r="AV3210" i="1"/>
  <c r="AU3210" i="1"/>
  <c r="AW3209" i="1"/>
  <c r="AV3209" i="1"/>
  <c r="AW3208" i="1"/>
  <c r="AV3208" i="1"/>
  <c r="AU3208" i="1"/>
  <c r="AW3207" i="1"/>
  <c r="AV3207" i="1"/>
  <c r="AU3207" i="1"/>
  <c r="AW3206" i="1"/>
  <c r="AV3206" i="1"/>
  <c r="AW3205" i="1"/>
  <c r="AV3205" i="1"/>
  <c r="AW3204" i="1"/>
  <c r="AV3204" i="1"/>
  <c r="AW3203" i="1"/>
  <c r="AV3203" i="1"/>
  <c r="AW3202" i="1"/>
  <c r="AV3202" i="1"/>
  <c r="AW3201" i="1"/>
  <c r="AV3201" i="1"/>
  <c r="AU3201" i="1"/>
  <c r="AW3200" i="1"/>
  <c r="AV3200" i="1"/>
  <c r="AW3199" i="1"/>
  <c r="AV3199" i="1"/>
  <c r="AW3198" i="1"/>
  <c r="AV3198" i="1"/>
  <c r="AW3197" i="1"/>
  <c r="AV3197" i="1"/>
  <c r="AU3197" i="1"/>
  <c r="AW3196" i="1"/>
  <c r="AV3196" i="1"/>
  <c r="AW3195" i="1"/>
  <c r="AV3195" i="1"/>
  <c r="AU3195" i="1"/>
  <c r="AW3194" i="1"/>
  <c r="AV3194" i="1"/>
  <c r="AW3193" i="1"/>
  <c r="AV3193" i="1"/>
  <c r="AU3193" i="1"/>
  <c r="AW3192" i="1"/>
  <c r="AV3192" i="1"/>
  <c r="AW3191" i="1"/>
  <c r="AV3191" i="1"/>
  <c r="AU3191" i="1"/>
  <c r="AW3190" i="1"/>
  <c r="AV3190" i="1"/>
  <c r="AW3189" i="1"/>
  <c r="AV3189" i="1"/>
  <c r="AW3188" i="1"/>
  <c r="AV3188" i="1"/>
  <c r="AW3187" i="1"/>
  <c r="AV3187" i="1"/>
  <c r="AU3187" i="1"/>
  <c r="AW3186" i="1"/>
  <c r="AV3186" i="1"/>
  <c r="AU3186" i="1"/>
  <c r="AW3185" i="1"/>
  <c r="AV3185" i="1"/>
  <c r="AU3185" i="1"/>
  <c r="AW3184" i="1"/>
  <c r="AV3184" i="1"/>
  <c r="AU3184" i="1"/>
  <c r="AW3183" i="1"/>
  <c r="AV3183" i="1"/>
  <c r="AW3182" i="1"/>
  <c r="AV3182" i="1"/>
  <c r="AW3181" i="1"/>
  <c r="AV3181" i="1"/>
  <c r="AW3180" i="1"/>
  <c r="AV3180" i="1"/>
  <c r="AW3179" i="1"/>
  <c r="AV3179" i="1"/>
  <c r="AU3179" i="1"/>
  <c r="AW3178" i="1"/>
  <c r="AV3178" i="1"/>
  <c r="AW3177" i="1"/>
  <c r="AV3177" i="1"/>
  <c r="AW3176" i="1"/>
  <c r="AV3176" i="1"/>
  <c r="AW3175" i="1"/>
  <c r="AV3175" i="1"/>
  <c r="AW3174" i="1"/>
  <c r="AV3174" i="1"/>
  <c r="AW3173" i="1"/>
  <c r="AV3173" i="1"/>
  <c r="AU3173" i="1"/>
  <c r="AW3172" i="1"/>
  <c r="AV3172" i="1"/>
  <c r="AU3172" i="1"/>
  <c r="AW3171" i="1"/>
  <c r="AV3171" i="1"/>
  <c r="AW3170" i="1"/>
  <c r="AV3170" i="1"/>
  <c r="AW3169" i="1"/>
  <c r="AV3169" i="1"/>
  <c r="AW3168" i="1"/>
  <c r="AV3168" i="1"/>
  <c r="AW3167" i="1"/>
  <c r="AV3167" i="1"/>
  <c r="AW3166" i="1"/>
  <c r="AV3166" i="1"/>
  <c r="AW3165" i="1"/>
  <c r="AV3165" i="1"/>
  <c r="AW3164" i="1"/>
  <c r="AV3164" i="1"/>
  <c r="AW3163" i="1"/>
  <c r="AV3163" i="1"/>
  <c r="AW3162" i="1"/>
  <c r="AV3162" i="1"/>
  <c r="AW3161" i="1"/>
  <c r="AV3161" i="1"/>
  <c r="AW3160" i="1"/>
  <c r="AV3160" i="1"/>
  <c r="AW3159" i="1"/>
  <c r="AV3159" i="1"/>
  <c r="AW3158" i="1"/>
  <c r="AV3158" i="1"/>
  <c r="AU3158" i="1"/>
  <c r="AW3157" i="1"/>
  <c r="AV3157" i="1"/>
  <c r="AU3157" i="1"/>
  <c r="AW3156" i="1"/>
  <c r="AV3156" i="1"/>
  <c r="AW3155" i="1"/>
  <c r="AV3155" i="1"/>
  <c r="AW3154" i="1"/>
  <c r="AV3154" i="1"/>
  <c r="AW3153" i="1"/>
  <c r="AV3153" i="1"/>
  <c r="AW3152" i="1"/>
  <c r="AV3152" i="1"/>
  <c r="AW3151" i="1"/>
  <c r="AV3151" i="1"/>
  <c r="AU3151" i="1"/>
  <c r="AW3150" i="1"/>
  <c r="AV3150" i="1"/>
  <c r="AW3149" i="1"/>
  <c r="AV3149" i="1"/>
  <c r="AU3149" i="1"/>
  <c r="AW3148" i="1"/>
  <c r="AV3148" i="1"/>
  <c r="AU3148" i="1"/>
  <c r="AW3147" i="1"/>
  <c r="AV3147" i="1"/>
  <c r="AW3146" i="1"/>
  <c r="AV3146" i="1"/>
  <c r="AU3146" i="1"/>
  <c r="AW3145" i="1"/>
  <c r="AV3145" i="1"/>
  <c r="AU3145" i="1"/>
  <c r="AW3144" i="1"/>
  <c r="AV3144" i="1"/>
  <c r="AW3143" i="1"/>
  <c r="AV3143" i="1"/>
  <c r="AW3142" i="1"/>
  <c r="AV3142" i="1"/>
  <c r="AU3142" i="1"/>
  <c r="AW3141" i="1"/>
  <c r="AV3141" i="1"/>
  <c r="AW3140" i="1"/>
  <c r="AV3140" i="1"/>
  <c r="AW3139" i="1"/>
  <c r="AV3139" i="1"/>
  <c r="AW3138" i="1"/>
  <c r="AV3138" i="1"/>
  <c r="AU3138" i="1"/>
  <c r="AW3137" i="1"/>
  <c r="AV3137" i="1"/>
  <c r="AW3136" i="1"/>
  <c r="AV3136" i="1"/>
  <c r="AU3136" i="1"/>
  <c r="AW3135" i="1"/>
  <c r="AV3135" i="1"/>
  <c r="AW3134" i="1"/>
  <c r="AV3134" i="1"/>
  <c r="AW3133" i="1"/>
  <c r="AV3133" i="1"/>
  <c r="AU3133" i="1"/>
  <c r="AW3132" i="1"/>
  <c r="AV3132" i="1"/>
  <c r="AU3132" i="1"/>
  <c r="AW3131" i="1"/>
  <c r="AV3131" i="1"/>
  <c r="AW3130" i="1"/>
  <c r="AV3130" i="1"/>
  <c r="AW3129" i="1"/>
  <c r="AV3129" i="1"/>
  <c r="AU3129" i="1"/>
  <c r="AW3128" i="1"/>
  <c r="AV3128" i="1"/>
  <c r="AW3127" i="1"/>
  <c r="AV3127" i="1"/>
  <c r="AW3126" i="1"/>
  <c r="AV3126" i="1"/>
  <c r="AW3125" i="1"/>
  <c r="AV3125" i="1"/>
  <c r="AW3124" i="1"/>
  <c r="AV3124" i="1"/>
  <c r="AW3123" i="1"/>
  <c r="AV3123" i="1"/>
  <c r="AW3122" i="1"/>
  <c r="AV3122" i="1"/>
  <c r="AW3121" i="1"/>
  <c r="AV3121" i="1"/>
  <c r="AW3120" i="1"/>
  <c r="AV3120" i="1"/>
  <c r="AW3119" i="1"/>
  <c r="AV3119" i="1"/>
  <c r="AU3119" i="1"/>
  <c r="AW3118" i="1"/>
  <c r="AV3118" i="1"/>
  <c r="AW3117" i="1"/>
  <c r="AV3117" i="1"/>
  <c r="AW3116" i="1"/>
  <c r="AV3116" i="1"/>
  <c r="AU3116" i="1"/>
  <c r="AW3115" i="1"/>
  <c r="AV3115" i="1"/>
  <c r="AW3114" i="1"/>
  <c r="AV3114" i="1"/>
  <c r="AU3114" i="1"/>
  <c r="AW3113" i="1"/>
  <c r="AV3113" i="1"/>
  <c r="AW3112" i="1"/>
  <c r="AV3112" i="1"/>
  <c r="AW3111" i="1"/>
  <c r="AV3111" i="1"/>
  <c r="AU3111" i="1"/>
  <c r="AW3110" i="1"/>
  <c r="AV3110" i="1"/>
  <c r="AW3109" i="1"/>
  <c r="AV3109" i="1"/>
  <c r="AW3108" i="1"/>
  <c r="AV3108" i="1"/>
  <c r="AU3108" i="1"/>
  <c r="AW3107" i="1"/>
  <c r="AV3107" i="1"/>
  <c r="AU3107" i="1"/>
  <c r="AW3106" i="1"/>
  <c r="AV3106" i="1"/>
  <c r="AW3105" i="1"/>
  <c r="AV3105" i="1"/>
  <c r="AU3105" i="1"/>
  <c r="AW3104" i="1"/>
  <c r="AV3104" i="1"/>
  <c r="AU3104" i="1"/>
  <c r="AW3103" i="1"/>
  <c r="AV3103" i="1"/>
  <c r="AW3102" i="1"/>
  <c r="AV3102" i="1"/>
  <c r="AW3101" i="1"/>
  <c r="AV3101" i="1"/>
  <c r="AW3100" i="1"/>
  <c r="AV3100" i="1"/>
  <c r="AW3099" i="1"/>
  <c r="AV3099" i="1"/>
  <c r="AU3099" i="1"/>
  <c r="AW3098" i="1"/>
  <c r="AV3098" i="1"/>
  <c r="AW3097" i="1"/>
  <c r="AV3097" i="1"/>
  <c r="AW3096" i="1"/>
  <c r="AV3096" i="1"/>
  <c r="AW3095" i="1"/>
  <c r="AV3095" i="1"/>
  <c r="AW3094" i="1"/>
  <c r="AV3094" i="1"/>
  <c r="AW3093" i="1"/>
  <c r="AV3093" i="1"/>
  <c r="AU3093" i="1"/>
  <c r="AW3092" i="1"/>
  <c r="AV3092" i="1"/>
  <c r="AW3091" i="1"/>
  <c r="AV3091" i="1"/>
  <c r="AU3091" i="1"/>
  <c r="AW3090" i="1"/>
  <c r="AV3090" i="1"/>
  <c r="AU3090" i="1"/>
  <c r="AW3089" i="1"/>
  <c r="AV3089" i="1"/>
  <c r="AU3089" i="1"/>
  <c r="AW3088" i="1"/>
  <c r="AV3088" i="1"/>
  <c r="AW3087" i="1"/>
  <c r="AV3087" i="1"/>
  <c r="AW3086" i="1"/>
  <c r="AV3086" i="1"/>
  <c r="AW3085" i="1"/>
  <c r="AV3085" i="1"/>
  <c r="AW3084" i="1"/>
  <c r="AV3084" i="1"/>
  <c r="AW3083" i="1"/>
  <c r="AV3083" i="1"/>
  <c r="AW3082" i="1"/>
  <c r="AV3082" i="1"/>
  <c r="AW3081" i="1"/>
  <c r="AV3081" i="1"/>
  <c r="AW3080" i="1"/>
  <c r="AV3080" i="1"/>
  <c r="AU3080" i="1"/>
  <c r="AW3079" i="1"/>
  <c r="AV3079" i="1"/>
  <c r="AW3078" i="1"/>
  <c r="AV3078" i="1"/>
  <c r="AU3078" i="1"/>
  <c r="AW3077" i="1"/>
  <c r="AV3077" i="1"/>
  <c r="AU3077" i="1"/>
  <c r="AW3076" i="1"/>
  <c r="AV3076" i="1"/>
  <c r="AW3075" i="1"/>
  <c r="AV3075" i="1"/>
  <c r="AU3075" i="1"/>
  <c r="AW3074" i="1"/>
  <c r="AV3074" i="1"/>
  <c r="AW3073" i="1"/>
  <c r="AV3073" i="1"/>
  <c r="AW3072" i="1"/>
  <c r="AV3072" i="1"/>
  <c r="AU3072" i="1"/>
  <c r="AW3071" i="1"/>
  <c r="AV3071" i="1"/>
  <c r="AW3070" i="1"/>
  <c r="AV3070" i="1"/>
  <c r="AU3070" i="1"/>
  <c r="AW3069" i="1"/>
  <c r="AV3069" i="1"/>
  <c r="AW3068" i="1"/>
  <c r="AV3068" i="1"/>
  <c r="AW3067" i="1"/>
  <c r="AV3067" i="1"/>
  <c r="AW3066" i="1"/>
  <c r="AV3066" i="1"/>
  <c r="AU3066" i="1"/>
  <c r="AW3065" i="1"/>
  <c r="AV3065" i="1"/>
  <c r="AU3065" i="1"/>
  <c r="AW3064" i="1"/>
  <c r="AV3064" i="1"/>
  <c r="AU3064" i="1"/>
  <c r="AW3063" i="1"/>
  <c r="AV3063" i="1"/>
  <c r="AU3063" i="1"/>
  <c r="AW3062" i="1"/>
  <c r="AV3062" i="1"/>
  <c r="AW3061" i="1"/>
  <c r="AV3061" i="1"/>
  <c r="AW3060" i="1"/>
  <c r="AV3060" i="1"/>
  <c r="AU3060" i="1"/>
  <c r="AW3059" i="1"/>
  <c r="AV3059" i="1"/>
  <c r="AW3058" i="1"/>
  <c r="AV3058" i="1"/>
  <c r="AW3057" i="1"/>
  <c r="AV3057" i="1"/>
  <c r="AW3056" i="1"/>
  <c r="AV3056" i="1"/>
  <c r="AU3056" i="1"/>
  <c r="AW3055" i="1"/>
  <c r="AV3055" i="1"/>
  <c r="AW3054" i="1"/>
  <c r="AV3054" i="1"/>
  <c r="AW3053" i="1"/>
  <c r="AV3053" i="1"/>
  <c r="AU3053" i="1"/>
  <c r="AW3052" i="1"/>
  <c r="AV3052" i="1"/>
  <c r="AW3051" i="1"/>
  <c r="AV3051" i="1"/>
  <c r="AW3050" i="1"/>
  <c r="AV3050" i="1"/>
  <c r="AU3050" i="1"/>
  <c r="AW3049" i="1"/>
  <c r="AV3049" i="1"/>
  <c r="AW3048" i="1"/>
  <c r="AV3048" i="1"/>
  <c r="AU3048" i="1"/>
  <c r="AW3047" i="1"/>
  <c r="AV3047" i="1"/>
  <c r="AU3047" i="1"/>
  <c r="AW3046" i="1"/>
  <c r="AV3046" i="1"/>
  <c r="AU3046" i="1"/>
  <c r="AW3045" i="1"/>
  <c r="AV3045" i="1"/>
  <c r="AU3045" i="1"/>
  <c r="AW3044" i="1"/>
  <c r="AV3044" i="1"/>
  <c r="AW3043" i="1"/>
  <c r="AV3043" i="1"/>
  <c r="AU3043" i="1"/>
  <c r="AW3042" i="1"/>
  <c r="AV3042" i="1"/>
  <c r="AW3041" i="1"/>
  <c r="AV3041" i="1"/>
  <c r="AU3041" i="1"/>
  <c r="AW3040" i="1"/>
  <c r="AV3040" i="1"/>
  <c r="AW3039" i="1"/>
  <c r="AV3039" i="1"/>
  <c r="AU3039" i="1"/>
  <c r="AW3038" i="1"/>
  <c r="AV3038" i="1"/>
  <c r="AW3037" i="1"/>
  <c r="AV3037" i="1"/>
  <c r="AU3037" i="1"/>
  <c r="AW3036" i="1"/>
  <c r="AV3036" i="1"/>
  <c r="AW3035" i="1"/>
  <c r="AV3035" i="1"/>
  <c r="AW3034" i="1"/>
  <c r="AV3034" i="1"/>
  <c r="AW3033" i="1"/>
  <c r="AV3033" i="1"/>
  <c r="AU3033" i="1"/>
  <c r="AW3032" i="1"/>
  <c r="AV3032" i="1"/>
  <c r="AW3031" i="1"/>
  <c r="AV3031" i="1"/>
  <c r="AW3030" i="1"/>
  <c r="AV3030" i="1"/>
  <c r="AW3029" i="1"/>
  <c r="AV3029" i="1"/>
  <c r="AW3028" i="1"/>
  <c r="AV3028" i="1"/>
  <c r="AW3027" i="1"/>
  <c r="AV3027" i="1"/>
  <c r="AU3027" i="1"/>
  <c r="AW3026" i="1"/>
  <c r="AV3026" i="1"/>
  <c r="AU3026" i="1"/>
  <c r="AW3025" i="1"/>
  <c r="AV3025" i="1"/>
  <c r="AU3025" i="1"/>
  <c r="AW3024" i="1"/>
  <c r="AV3024" i="1"/>
  <c r="AU3024" i="1"/>
  <c r="AW3023" i="1"/>
  <c r="AV3023" i="1"/>
  <c r="AU3023" i="1"/>
  <c r="AW3022" i="1"/>
  <c r="AV3022" i="1"/>
  <c r="AU3022" i="1"/>
  <c r="AW3021" i="1"/>
  <c r="AV3021" i="1"/>
  <c r="AU3021" i="1"/>
  <c r="AW3020" i="1"/>
  <c r="AV3020" i="1"/>
  <c r="AU3020" i="1"/>
  <c r="AW3019" i="1"/>
  <c r="AV3019" i="1"/>
  <c r="AU3019" i="1"/>
  <c r="AW3018" i="1"/>
  <c r="AV3018" i="1"/>
  <c r="AU3018" i="1"/>
  <c r="AW3017" i="1"/>
  <c r="AV3017" i="1"/>
  <c r="AU3017" i="1"/>
  <c r="AW3016" i="1"/>
  <c r="AV3016" i="1"/>
  <c r="AU3016" i="1"/>
  <c r="AW3015" i="1"/>
  <c r="AV3015" i="1"/>
  <c r="AU3015" i="1"/>
  <c r="AW3014" i="1"/>
  <c r="AV3014" i="1"/>
  <c r="AU3014" i="1"/>
  <c r="AW3013" i="1"/>
  <c r="AV3013" i="1"/>
  <c r="AU3013" i="1"/>
  <c r="AW3012" i="1"/>
  <c r="AV3012" i="1"/>
  <c r="AU3012" i="1"/>
  <c r="AW3011" i="1"/>
  <c r="AV3011" i="1"/>
  <c r="AU3011" i="1"/>
  <c r="AW3010" i="1"/>
  <c r="AV3010" i="1"/>
  <c r="AU3010" i="1"/>
  <c r="AW3009" i="1"/>
  <c r="AV3009" i="1"/>
  <c r="AU3009" i="1"/>
  <c r="AW3008" i="1"/>
  <c r="AV3008" i="1"/>
  <c r="AU3008" i="1"/>
  <c r="AW3007" i="1"/>
  <c r="AV3007" i="1"/>
  <c r="AU3007" i="1"/>
  <c r="AW3006" i="1"/>
  <c r="AV3006" i="1"/>
  <c r="AW3005" i="1"/>
  <c r="AV3005" i="1"/>
  <c r="AW3004" i="1"/>
  <c r="AV3004" i="1"/>
  <c r="AW3003" i="1"/>
  <c r="AV3003" i="1"/>
  <c r="AW3002" i="1"/>
  <c r="AV3002" i="1"/>
  <c r="AW3001" i="1"/>
  <c r="AV3001" i="1"/>
  <c r="AW3000" i="1"/>
  <c r="AV3000" i="1"/>
  <c r="AU3000" i="1"/>
  <c r="AW2999" i="1"/>
  <c r="AV2999" i="1"/>
  <c r="AU2999" i="1"/>
  <c r="AW2998" i="1"/>
  <c r="AV2998" i="1"/>
  <c r="AU2998" i="1"/>
  <c r="AW2997" i="1"/>
  <c r="AV2997" i="1"/>
  <c r="AU2997" i="1"/>
  <c r="AW2996" i="1"/>
  <c r="AV2996" i="1"/>
  <c r="AU2996" i="1"/>
  <c r="AW2995" i="1"/>
  <c r="AV2995" i="1"/>
  <c r="AW2994" i="1"/>
  <c r="AV2994" i="1"/>
  <c r="AW2993" i="1"/>
  <c r="AV2993" i="1"/>
  <c r="AW2992" i="1"/>
  <c r="AV2992" i="1"/>
  <c r="AU2992" i="1"/>
  <c r="AW2991" i="1"/>
  <c r="AV2991" i="1"/>
  <c r="AU2991" i="1"/>
  <c r="AW2990" i="1"/>
  <c r="AV2990" i="1"/>
  <c r="AW2989" i="1"/>
  <c r="AV2989" i="1"/>
  <c r="AW2988" i="1"/>
  <c r="AV2988" i="1"/>
  <c r="AW2987" i="1"/>
  <c r="AV2987" i="1"/>
  <c r="AW2986" i="1"/>
  <c r="AV2986" i="1"/>
  <c r="AW2985" i="1"/>
  <c r="AV2985" i="1"/>
  <c r="AU2985" i="1"/>
  <c r="AW2984" i="1"/>
  <c r="AV2984" i="1"/>
  <c r="AW2983" i="1"/>
  <c r="AV2983" i="1"/>
  <c r="AW2982" i="1"/>
  <c r="AV2982" i="1"/>
  <c r="AU2982" i="1"/>
  <c r="AW2981" i="1"/>
  <c r="AV2981" i="1"/>
  <c r="AW2980" i="1"/>
  <c r="AV2980" i="1"/>
  <c r="AW2979" i="1"/>
  <c r="AV2979" i="1"/>
  <c r="AU2979" i="1"/>
  <c r="AW2978" i="1"/>
  <c r="AV2978" i="1"/>
  <c r="AU2978" i="1"/>
  <c r="AW2977" i="1"/>
  <c r="AV2977" i="1"/>
  <c r="AW2976" i="1"/>
  <c r="AV2976" i="1"/>
  <c r="AW2975" i="1"/>
  <c r="AV2975" i="1"/>
  <c r="AW2974" i="1"/>
  <c r="AV2974" i="1"/>
  <c r="AW2973" i="1"/>
  <c r="AV2973" i="1"/>
  <c r="AW2972" i="1"/>
  <c r="AV2972" i="1"/>
  <c r="AW2971" i="1"/>
  <c r="AV2971" i="1"/>
  <c r="AU2971" i="1"/>
  <c r="AW2970" i="1"/>
  <c r="AV2970" i="1"/>
  <c r="AW2969" i="1"/>
  <c r="AV2969" i="1"/>
  <c r="AW2968" i="1"/>
  <c r="AV2968" i="1"/>
  <c r="AU2968" i="1"/>
  <c r="AW2967" i="1"/>
  <c r="AV2967" i="1"/>
  <c r="AW2966" i="1"/>
  <c r="AV2966" i="1"/>
  <c r="AW2965" i="1"/>
  <c r="AV2965" i="1"/>
  <c r="AU2965" i="1"/>
  <c r="AW2964" i="1"/>
  <c r="AV2964" i="1"/>
  <c r="AU2964" i="1"/>
  <c r="AW2963" i="1"/>
  <c r="AV2963" i="1"/>
  <c r="AU2963" i="1"/>
  <c r="AW2962" i="1"/>
  <c r="AV2962" i="1"/>
  <c r="AU2962" i="1"/>
  <c r="AW2961" i="1"/>
  <c r="AV2961" i="1"/>
  <c r="AU2961" i="1"/>
  <c r="AW2960" i="1"/>
  <c r="AV2960" i="1"/>
  <c r="AU2960" i="1"/>
  <c r="AW2959" i="1"/>
  <c r="AV2959" i="1"/>
  <c r="AU2959" i="1"/>
  <c r="AW2958" i="1"/>
  <c r="AV2958" i="1"/>
  <c r="AU2958" i="1"/>
  <c r="AW2957" i="1"/>
  <c r="AV2957" i="1"/>
  <c r="AU2957" i="1"/>
  <c r="AW2956" i="1"/>
  <c r="AV2956" i="1"/>
  <c r="AU2956" i="1"/>
  <c r="AW2955" i="1"/>
  <c r="AV2955" i="1"/>
  <c r="AU2955" i="1"/>
  <c r="AW2954" i="1"/>
  <c r="AV2954" i="1"/>
  <c r="AU2954" i="1"/>
  <c r="AW2953" i="1"/>
  <c r="AV2953" i="1"/>
  <c r="AU2953" i="1"/>
  <c r="AW2952" i="1"/>
  <c r="AV2952" i="1"/>
  <c r="AU2952" i="1"/>
  <c r="AW2951" i="1"/>
  <c r="AV2951" i="1"/>
  <c r="AU2951" i="1"/>
  <c r="AW2950" i="1"/>
  <c r="AV2950" i="1"/>
  <c r="AU2950" i="1"/>
  <c r="AW2949" i="1"/>
  <c r="AV2949" i="1"/>
  <c r="AU2949" i="1"/>
  <c r="AW2948" i="1"/>
  <c r="AV2948" i="1"/>
  <c r="AW2947" i="1"/>
  <c r="AV2947" i="1"/>
  <c r="AW2946" i="1"/>
  <c r="AV2946" i="1"/>
  <c r="AW2945" i="1"/>
  <c r="AV2945" i="1"/>
  <c r="AW2944" i="1"/>
  <c r="AV2944" i="1"/>
  <c r="AW2943" i="1"/>
  <c r="AV2943" i="1"/>
  <c r="AW2942" i="1"/>
  <c r="AV2942" i="1"/>
  <c r="AW2941" i="1"/>
  <c r="AV2941" i="1"/>
  <c r="AW2940" i="1"/>
  <c r="AV2940" i="1"/>
  <c r="AW2939" i="1"/>
  <c r="AV2939" i="1"/>
  <c r="AW2938" i="1"/>
  <c r="AV2938" i="1"/>
  <c r="AW2937" i="1"/>
  <c r="AV2937" i="1"/>
  <c r="AW2936" i="1"/>
  <c r="AV2936" i="1"/>
  <c r="AW2935" i="1"/>
  <c r="AV2935" i="1"/>
  <c r="AW2934" i="1"/>
  <c r="AV2934" i="1"/>
  <c r="AW2933" i="1"/>
  <c r="AV2933" i="1"/>
  <c r="AU2933" i="1"/>
  <c r="AW2932" i="1"/>
  <c r="AV2932" i="1"/>
  <c r="AU2932" i="1"/>
  <c r="AW2931" i="1"/>
  <c r="AV2931" i="1"/>
  <c r="AU2931" i="1"/>
  <c r="AW2930" i="1"/>
  <c r="AV2930" i="1"/>
  <c r="AW2929" i="1"/>
  <c r="AV2929" i="1"/>
  <c r="AU2929" i="1"/>
  <c r="AW2928" i="1"/>
  <c r="AV2928" i="1"/>
  <c r="AW2927" i="1"/>
  <c r="AV2927" i="1"/>
  <c r="AW2926" i="1"/>
  <c r="AV2926" i="1"/>
  <c r="AW2925" i="1"/>
  <c r="AV2925" i="1"/>
  <c r="AW2924" i="1"/>
  <c r="AV2924" i="1"/>
  <c r="AW2923" i="1"/>
  <c r="AV2923" i="1"/>
  <c r="AU2923" i="1"/>
  <c r="AW2922" i="1"/>
  <c r="AV2922" i="1"/>
  <c r="AU2922" i="1"/>
  <c r="AW2921" i="1"/>
  <c r="AV2921" i="1"/>
  <c r="AW2920" i="1"/>
  <c r="AV2920" i="1"/>
  <c r="AW2919" i="1"/>
  <c r="AV2919" i="1"/>
  <c r="AW2918" i="1"/>
  <c r="AV2918" i="1"/>
  <c r="AW2917" i="1"/>
  <c r="AV2917" i="1"/>
  <c r="AU2917" i="1"/>
  <c r="AW2916" i="1"/>
  <c r="AV2916" i="1"/>
  <c r="AW2915" i="1"/>
  <c r="AV2915" i="1"/>
  <c r="AU2915" i="1"/>
  <c r="AW2914" i="1"/>
  <c r="AV2914" i="1"/>
  <c r="AU2914" i="1"/>
  <c r="AW2913" i="1"/>
  <c r="AV2913" i="1"/>
  <c r="AU2913" i="1"/>
  <c r="AW2912" i="1"/>
  <c r="AV2912" i="1"/>
  <c r="AW2911" i="1"/>
  <c r="AV2911" i="1"/>
  <c r="AW2910" i="1"/>
  <c r="AV2910" i="1"/>
  <c r="AW2909" i="1"/>
  <c r="AV2909" i="1"/>
  <c r="AW2908" i="1"/>
  <c r="AV2908" i="1"/>
  <c r="AW2907" i="1"/>
  <c r="AV2907" i="1"/>
  <c r="AU2907" i="1"/>
  <c r="AW2906" i="1"/>
  <c r="AV2906" i="1"/>
  <c r="AW2905" i="1"/>
  <c r="AV2905" i="1"/>
  <c r="AW2904" i="1"/>
  <c r="AV2904" i="1"/>
  <c r="AU2904" i="1"/>
  <c r="AW2903" i="1"/>
  <c r="AV2903" i="1"/>
  <c r="AW2902" i="1"/>
  <c r="AV2902" i="1"/>
  <c r="AW2901" i="1"/>
  <c r="AV2901" i="1"/>
  <c r="AW2900" i="1"/>
  <c r="AV2900" i="1"/>
  <c r="AW2899" i="1"/>
  <c r="AV2899" i="1"/>
  <c r="AW2898" i="1"/>
  <c r="AV2898" i="1"/>
  <c r="AW2897" i="1"/>
  <c r="AV2897" i="1"/>
  <c r="AW2896" i="1"/>
  <c r="AV2896" i="1"/>
  <c r="AU2896" i="1"/>
  <c r="AW2895" i="1"/>
  <c r="AV2895" i="1"/>
  <c r="AW2894" i="1"/>
  <c r="AV2894" i="1"/>
  <c r="AU2894" i="1"/>
  <c r="AW2893" i="1"/>
  <c r="AV2893" i="1"/>
  <c r="AW2892" i="1"/>
  <c r="AV2892" i="1"/>
  <c r="AW2891" i="1"/>
  <c r="AV2891" i="1"/>
  <c r="AW2890" i="1"/>
  <c r="AV2890" i="1"/>
  <c r="AW2889" i="1"/>
  <c r="AV2889" i="1"/>
  <c r="AW2888" i="1"/>
  <c r="AV2888" i="1"/>
  <c r="AU2888" i="1"/>
  <c r="AW2887" i="1"/>
  <c r="AV2887" i="1"/>
  <c r="AW2886" i="1"/>
  <c r="AV2886" i="1"/>
  <c r="AW2885" i="1"/>
  <c r="AV2885" i="1"/>
  <c r="AW2884" i="1"/>
  <c r="AV2884" i="1"/>
  <c r="AU2884" i="1"/>
  <c r="AW2883" i="1"/>
  <c r="AV2883" i="1"/>
  <c r="AW2882" i="1"/>
  <c r="AV2882" i="1"/>
  <c r="AW2881" i="1"/>
  <c r="AV2881" i="1"/>
  <c r="AW2880" i="1"/>
  <c r="AV2880" i="1"/>
  <c r="AU2880" i="1"/>
  <c r="AW2879" i="1"/>
  <c r="AV2879" i="1"/>
  <c r="AU2879" i="1"/>
  <c r="AW2878" i="1"/>
  <c r="AV2878" i="1"/>
  <c r="AU2878" i="1"/>
  <c r="AW2877" i="1"/>
  <c r="AV2877" i="1"/>
  <c r="AW2876" i="1"/>
  <c r="AV2876" i="1"/>
  <c r="AW2875" i="1"/>
  <c r="AV2875" i="1"/>
  <c r="AW2874" i="1"/>
  <c r="AV2874" i="1"/>
  <c r="AW2873" i="1"/>
  <c r="AV2873" i="1"/>
  <c r="AW2872" i="1"/>
  <c r="AV2872" i="1"/>
  <c r="AW2871" i="1"/>
  <c r="AV2871" i="1"/>
  <c r="AW2870" i="1"/>
  <c r="AV2870" i="1"/>
  <c r="AW2869" i="1"/>
  <c r="AV2869" i="1"/>
  <c r="AU2869" i="1"/>
  <c r="AW2868" i="1"/>
  <c r="AV2868" i="1"/>
  <c r="AU2868" i="1"/>
  <c r="AW2867" i="1"/>
  <c r="AV2867" i="1"/>
  <c r="AW2866" i="1"/>
  <c r="AV2866" i="1"/>
  <c r="AU2866" i="1"/>
  <c r="AW2865" i="1"/>
  <c r="AV2865" i="1"/>
  <c r="AW2864" i="1"/>
  <c r="AV2864" i="1"/>
  <c r="AU2864" i="1"/>
  <c r="AW2863" i="1"/>
  <c r="AV2863" i="1"/>
  <c r="AU2863" i="1"/>
  <c r="AW2862" i="1"/>
  <c r="AV2862" i="1"/>
  <c r="AU2862" i="1"/>
  <c r="AW2861" i="1"/>
  <c r="AV2861" i="1"/>
  <c r="AU2861" i="1"/>
  <c r="AW2860" i="1"/>
  <c r="AV2860" i="1"/>
  <c r="AW2859" i="1"/>
  <c r="AV2859" i="1"/>
  <c r="AW2858" i="1"/>
  <c r="AV2858" i="1"/>
  <c r="AW2857" i="1"/>
  <c r="AV2857" i="1"/>
  <c r="AW2856" i="1"/>
  <c r="AV2856" i="1"/>
  <c r="AW2855" i="1"/>
  <c r="AV2855" i="1"/>
  <c r="AU2855" i="1"/>
  <c r="AW2854" i="1"/>
  <c r="AV2854" i="1"/>
  <c r="AU2854" i="1"/>
  <c r="AW2853" i="1"/>
  <c r="AV2853" i="1"/>
  <c r="AU2853" i="1"/>
  <c r="AW2852" i="1"/>
  <c r="AV2852" i="1"/>
  <c r="AU2852" i="1"/>
  <c r="AW2851" i="1"/>
  <c r="AV2851" i="1"/>
  <c r="AW2850" i="1"/>
  <c r="AV2850" i="1"/>
  <c r="AW2849" i="1"/>
  <c r="AV2849" i="1"/>
  <c r="AU2849" i="1"/>
  <c r="AW2848" i="1"/>
  <c r="AV2848" i="1"/>
  <c r="AU2848" i="1"/>
  <c r="AW2847" i="1"/>
  <c r="AV2847" i="1"/>
  <c r="AW2846" i="1"/>
  <c r="AV2846" i="1"/>
  <c r="AW2845" i="1"/>
  <c r="AV2845" i="1"/>
  <c r="AU2845" i="1"/>
  <c r="AW2844" i="1"/>
  <c r="AV2844" i="1"/>
  <c r="AW2843" i="1"/>
  <c r="AV2843" i="1"/>
  <c r="AW2842" i="1"/>
  <c r="AV2842" i="1"/>
  <c r="AU2842" i="1"/>
  <c r="AW2841" i="1"/>
  <c r="AV2841" i="1"/>
  <c r="AU2841" i="1"/>
  <c r="AW2840" i="1"/>
  <c r="AV2840" i="1"/>
  <c r="AW2839" i="1"/>
  <c r="AV2839" i="1"/>
  <c r="AU2839" i="1"/>
  <c r="AW2838" i="1"/>
  <c r="AV2838" i="1"/>
  <c r="AW2837" i="1"/>
  <c r="AV2837" i="1"/>
  <c r="AW2836" i="1"/>
  <c r="AV2836" i="1"/>
  <c r="AW2835" i="1"/>
  <c r="AV2835" i="1"/>
  <c r="AW2834" i="1"/>
  <c r="AV2834" i="1"/>
  <c r="AW2833" i="1"/>
  <c r="AV2833" i="1"/>
  <c r="AW2832" i="1"/>
  <c r="AV2832" i="1"/>
  <c r="AU2832" i="1"/>
  <c r="AW2831" i="1"/>
  <c r="AV2831" i="1"/>
  <c r="AW2830" i="1"/>
  <c r="AV2830" i="1"/>
  <c r="AW2829" i="1"/>
  <c r="AV2829" i="1"/>
  <c r="AW2828" i="1"/>
  <c r="AV2828" i="1"/>
  <c r="AW2827" i="1"/>
  <c r="AV2827" i="1"/>
  <c r="AW2826" i="1"/>
  <c r="AV2826" i="1"/>
  <c r="AW2825" i="1"/>
  <c r="AV2825" i="1"/>
  <c r="AW2824" i="1"/>
  <c r="AV2824" i="1"/>
  <c r="AW2823" i="1"/>
  <c r="AV2823" i="1"/>
  <c r="AW2822" i="1"/>
  <c r="AV2822" i="1"/>
  <c r="AW2821" i="1"/>
  <c r="AV2821" i="1"/>
  <c r="AW2820" i="1"/>
  <c r="AV2820" i="1"/>
  <c r="AW2819" i="1"/>
  <c r="AV2819" i="1"/>
  <c r="AW2818" i="1"/>
  <c r="AV2818" i="1"/>
  <c r="AW2817" i="1"/>
  <c r="AV2817" i="1"/>
  <c r="AW2816" i="1"/>
  <c r="AV2816" i="1"/>
  <c r="AW2815" i="1"/>
  <c r="AV2815" i="1"/>
  <c r="AW2814" i="1"/>
  <c r="AV2814" i="1"/>
  <c r="AW2813" i="1"/>
  <c r="AV2813" i="1"/>
  <c r="AU2813" i="1"/>
  <c r="AW2812" i="1"/>
  <c r="AV2812" i="1"/>
  <c r="AW2811" i="1"/>
  <c r="AV2811" i="1"/>
  <c r="AU2811" i="1"/>
  <c r="AW2810" i="1"/>
  <c r="AV2810" i="1"/>
  <c r="AU2810" i="1"/>
  <c r="AW2809" i="1"/>
  <c r="AV2809" i="1"/>
  <c r="AW2808" i="1"/>
  <c r="AV2808" i="1"/>
  <c r="AW2807" i="1"/>
  <c r="AV2807" i="1"/>
  <c r="AW2806" i="1"/>
  <c r="AV2806" i="1"/>
  <c r="AU2806" i="1"/>
  <c r="AW2805" i="1"/>
  <c r="AV2805" i="1"/>
  <c r="AU2805" i="1"/>
  <c r="AW2804" i="1"/>
  <c r="AV2804" i="1"/>
  <c r="AU2804" i="1"/>
  <c r="AW2803" i="1"/>
  <c r="AV2803" i="1"/>
  <c r="AU2803" i="1"/>
  <c r="AW2802" i="1"/>
  <c r="AV2802" i="1"/>
  <c r="AU2802" i="1"/>
  <c r="AW2801" i="1"/>
  <c r="AV2801" i="1"/>
  <c r="AU2801" i="1"/>
  <c r="AW2800" i="1"/>
  <c r="AV2800" i="1"/>
  <c r="AU2800" i="1"/>
  <c r="AW2799" i="1"/>
  <c r="AV2799" i="1"/>
  <c r="AU2799" i="1"/>
  <c r="AW2798" i="1"/>
  <c r="AV2798" i="1"/>
  <c r="AU2798" i="1"/>
  <c r="AW2797" i="1"/>
  <c r="AV2797" i="1"/>
  <c r="AU2797" i="1"/>
  <c r="AW2796" i="1"/>
  <c r="AV2796" i="1"/>
  <c r="AU2796" i="1"/>
  <c r="AW2795" i="1"/>
  <c r="AV2795" i="1"/>
  <c r="AU2795" i="1"/>
  <c r="AW2794" i="1"/>
  <c r="AV2794" i="1"/>
  <c r="AU2794" i="1"/>
  <c r="AW2793" i="1"/>
  <c r="AV2793" i="1"/>
  <c r="AU2793" i="1"/>
  <c r="AW2792" i="1"/>
  <c r="AV2792" i="1"/>
  <c r="AW2791" i="1"/>
  <c r="AV2791" i="1"/>
  <c r="AU2791" i="1"/>
  <c r="AW2790" i="1"/>
  <c r="AV2790" i="1"/>
  <c r="AW2789" i="1"/>
  <c r="AV2789" i="1"/>
  <c r="AW2788" i="1"/>
  <c r="AV2788" i="1"/>
  <c r="AW2787" i="1"/>
  <c r="AV2787" i="1"/>
  <c r="AW2786" i="1"/>
  <c r="AV2786" i="1"/>
  <c r="AW2785" i="1"/>
  <c r="AV2785" i="1"/>
  <c r="AW2784" i="1"/>
  <c r="AV2784" i="1"/>
  <c r="AW2783" i="1"/>
  <c r="AV2783" i="1"/>
  <c r="AU2783" i="1"/>
  <c r="AW2782" i="1"/>
  <c r="AV2782" i="1"/>
  <c r="AW2781" i="1"/>
  <c r="AV2781" i="1"/>
  <c r="AW2780" i="1"/>
  <c r="AV2780" i="1"/>
  <c r="AW2779" i="1"/>
  <c r="AV2779" i="1"/>
  <c r="AW2778" i="1"/>
  <c r="AV2778" i="1"/>
  <c r="AU2778" i="1"/>
  <c r="AW2777" i="1"/>
  <c r="AV2777" i="1"/>
  <c r="AW2776" i="1"/>
  <c r="AV2776" i="1"/>
  <c r="AW2775" i="1"/>
  <c r="AV2775" i="1"/>
  <c r="AW2774" i="1"/>
  <c r="AV2774" i="1"/>
  <c r="AW2773" i="1"/>
  <c r="AV2773" i="1"/>
  <c r="AW2772" i="1"/>
  <c r="AV2772" i="1"/>
  <c r="AU2772" i="1"/>
  <c r="AW2771" i="1"/>
  <c r="AV2771" i="1"/>
  <c r="AU2771" i="1"/>
  <c r="AW2770" i="1"/>
  <c r="AV2770" i="1"/>
  <c r="AU2770" i="1"/>
  <c r="AW2769" i="1"/>
  <c r="AV2769" i="1"/>
  <c r="AW2768" i="1"/>
  <c r="AV2768" i="1"/>
  <c r="AW2767" i="1"/>
  <c r="AV2767" i="1"/>
  <c r="AW2766" i="1"/>
  <c r="AV2766" i="1"/>
  <c r="AU2766" i="1"/>
  <c r="AW2765" i="1"/>
  <c r="AV2765" i="1"/>
  <c r="AU2765" i="1"/>
  <c r="AW2764" i="1"/>
  <c r="AV2764" i="1"/>
  <c r="AW2763" i="1"/>
  <c r="AV2763" i="1"/>
  <c r="AW2762" i="1"/>
  <c r="AV2762" i="1"/>
  <c r="AU2762" i="1"/>
  <c r="AW2761" i="1"/>
  <c r="AV2761" i="1"/>
  <c r="AU2761" i="1"/>
  <c r="AW2760" i="1"/>
  <c r="AV2760" i="1"/>
  <c r="AW2759" i="1"/>
  <c r="AV2759" i="1"/>
  <c r="AW2758" i="1"/>
  <c r="AV2758" i="1"/>
  <c r="AW2757" i="1"/>
  <c r="AV2757" i="1"/>
  <c r="AW2756" i="1"/>
  <c r="AV2756" i="1"/>
  <c r="AW2755" i="1"/>
  <c r="AV2755" i="1"/>
  <c r="AW2754" i="1"/>
  <c r="AV2754" i="1"/>
  <c r="AW2753" i="1"/>
  <c r="AV2753" i="1"/>
  <c r="AW2752" i="1"/>
  <c r="AV2752" i="1"/>
  <c r="AU2752" i="1"/>
  <c r="AW2751" i="1"/>
  <c r="AV2751" i="1"/>
  <c r="AW2750" i="1"/>
  <c r="AV2750" i="1"/>
  <c r="AU2750" i="1"/>
  <c r="AW2749" i="1"/>
  <c r="AV2749" i="1"/>
  <c r="AW2748" i="1"/>
  <c r="AV2748" i="1"/>
  <c r="AW2747" i="1"/>
  <c r="AV2747" i="1"/>
  <c r="AU2747" i="1"/>
  <c r="AW2746" i="1"/>
  <c r="AV2746" i="1"/>
  <c r="AU2746" i="1"/>
  <c r="AW2745" i="1"/>
  <c r="AV2745" i="1"/>
  <c r="AW2744" i="1"/>
  <c r="AV2744" i="1"/>
  <c r="AW2743" i="1"/>
  <c r="AV2743" i="1"/>
  <c r="AW2742" i="1"/>
  <c r="AV2742" i="1"/>
  <c r="AW2741" i="1"/>
  <c r="AV2741" i="1"/>
  <c r="AW2740" i="1"/>
  <c r="AV2740" i="1"/>
  <c r="AW2739" i="1"/>
  <c r="AV2739" i="1"/>
  <c r="AW2738" i="1"/>
  <c r="AV2738" i="1"/>
  <c r="AW2737" i="1"/>
  <c r="AV2737" i="1"/>
  <c r="AW2736" i="1"/>
  <c r="AV2736" i="1"/>
  <c r="AW2735" i="1"/>
  <c r="AV2735" i="1"/>
  <c r="AW2734" i="1"/>
  <c r="AV2734" i="1"/>
  <c r="AW2733" i="1"/>
  <c r="AV2733" i="1"/>
  <c r="AW2732" i="1"/>
  <c r="AV2732" i="1"/>
  <c r="AW2731" i="1"/>
  <c r="AV2731" i="1"/>
  <c r="AW2730" i="1"/>
  <c r="AV2730" i="1"/>
  <c r="AW2729" i="1"/>
  <c r="AV2729" i="1"/>
  <c r="AW2728" i="1"/>
  <c r="AV2728" i="1"/>
  <c r="AW2727" i="1"/>
  <c r="AV2727" i="1"/>
  <c r="AW2726" i="1"/>
  <c r="AV2726" i="1"/>
  <c r="AW2725" i="1"/>
  <c r="AV2725" i="1"/>
  <c r="AW2724" i="1"/>
  <c r="AV2724" i="1"/>
  <c r="AW2723" i="1"/>
  <c r="AV2723" i="1"/>
  <c r="AW2722" i="1"/>
  <c r="AV2722" i="1"/>
  <c r="AW2721" i="1"/>
  <c r="AV2721" i="1"/>
  <c r="AU2721" i="1"/>
  <c r="AW2720" i="1"/>
  <c r="AV2720" i="1"/>
  <c r="AU2720" i="1"/>
  <c r="AW2719" i="1"/>
  <c r="AV2719" i="1"/>
  <c r="AU2719" i="1"/>
  <c r="AW2718" i="1"/>
  <c r="AV2718" i="1"/>
  <c r="AW2717" i="1"/>
  <c r="AV2717" i="1"/>
  <c r="AW2716" i="1"/>
  <c r="AV2716" i="1"/>
  <c r="AW2715" i="1"/>
  <c r="AV2715" i="1"/>
  <c r="AW2714" i="1"/>
  <c r="AV2714" i="1"/>
  <c r="AW2713" i="1"/>
  <c r="AV2713" i="1"/>
  <c r="AW2712" i="1"/>
  <c r="AV2712" i="1"/>
  <c r="AU2712" i="1"/>
  <c r="AW2711" i="1"/>
  <c r="AV2711" i="1"/>
  <c r="AU2711" i="1"/>
  <c r="AW2710" i="1"/>
  <c r="AV2710" i="1"/>
  <c r="AU2710" i="1"/>
  <c r="AW2709" i="1"/>
  <c r="AV2709" i="1"/>
  <c r="AW2708" i="1"/>
  <c r="AV2708" i="1"/>
  <c r="AU2708" i="1"/>
  <c r="AW2707" i="1"/>
  <c r="AV2707" i="1"/>
  <c r="AU2707" i="1"/>
  <c r="AW2706" i="1"/>
  <c r="AV2706" i="1"/>
  <c r="AW2705" i="1"/>
  <c r="AV2705" i="1"/>
  <c r="AU2705" i="1"/>
  <c r="AW2704" i="1"/>
  <c r="AV2704" i="1"/>
  <c r="AU2704" i="1"/>
  <c r="AW2703" i="1"/>
  <c r="AV2703" i="1"/>
  <c r="AU2703" i="1"/>
  <c r="AW2702" i="1"/>
  <c r="AV2702" i="1"/>
  <c r="AW2701" i="1"/>
  <c r="AV2701" i="1"/>
  <c r="AW2700" i="1"/>
  <c r="AV2700" i="1"/>
  <c r="AW2699" i="1"/>
  <c r="AV2699" i="1"/>
  <c r="AW2698" i="1"/>
  <c r="AV2698" i="1"/>
  <c r="AW2697" i="1"/>
  <c r="AV2697" i="1"/>
  <c r="AW2696" i="1"/>
  <c r="AV2696" i="1"/>
  <c r="AW2695" i="1"/>
  <c r="AV2695" i="1"/>
  <c r="AU2695" i="1"/>
  <c r="AW2694" i="1"/>
  <c r="AV2694" i="1"/>
  <c r="AW2693" i="1"/>
  <c r="AV2693" i="1"/>
  <c r="AW2692" i="1"/>
  <c r="AV2692" i="1"/>
  <c r="AW2691" i="1"/>
  <c r="AV2691" i="1"/>
  <c r="AW2690" i="1"/>
  <c r="AV2690" i="1"/>
  <c r="AW2689" i="1"/>
  <c r="AV2689" i="1"/>
  <c r="AW2688" i="1"/>
  <c r="AV2688" i="1"/>
  <c r="AW2687" i="1"/>
  <c r="AV2687" i="1"/>
  <c r="AU2687" i="1"/>
  <c r="AW2686" i="1"/>
  <c r="AV2686" i="1"/>
  <c r="AU2686" i="1"/>
  <c r="AW2685" i="1"/>
  <c r="AV2685" i="1"/>
  <c r="AW2684" i="1"/>
  <c r="AV2684" i="1"/>
  <c r="AW2683" i="1"/>
  <c r="AV2683" i="1"/>
  <c r="AU2683" i="1"/>
  <c r="AW2682" i="1"/>
  <c r="AV2682" i="1"/>
  <c r="AW2681" i="1"/>
  <c r="AV2681" i="1"/>
  <c r="AW2680" i="1"/>
  <c r="AV2680" i="1"/>
  <c r="AW2679" i="1"/>
  <c r="AV2679" i="1"/>
  <c r="AW2678" i="1"/>
  <c r="AV2678" i="1"/>
  <c r="AW2677" i="1"/>
  <c r="AV2677" i="1"/>
  <c r="AW2676" i="1"/>
  <c r="AV2676" i="1"/>
  <c r="AW2675" i="1"/>
  <c r="AV2675" i="1"/>
  <c r="AU2675" i="1"/>
  <c r="AW2674" i="1"/>
  <c r="AV2674" i="1"/>
  <c r="AW2673" i="1"/>
  <c r="AV2673" i="1"/>
  <c r="AW2672" i="1"/>
  <c r="AV2672" i="1"/>
  <c r="AW2671" i="1"/>
  <c r="AV2671" i="1"/>
  <c r="AW2670" i="1"/>
  <c r="AV2670" i="1"/>
  <c r="AW2669" i="1"/>
  <c r="AV2669" i="1"/>
  <c r="AU2669" i="1"/>
  <c r="AW2668" i="1"/>
  <c r="AV2668" i="1"/>
  <c r="AU2668" i="1"/>
  <c r="AW2667" i="1"/>
  <c r="AV2667" i="1"/>
  <c r="AU2667" i="1"/>
  <c r="AW2666" i="1"/>
  <c r="AV2666" i="1"/>
  <c r="AW2665" i="1"/>
  <c r="AV2665" i="1"/>
  <c r="AW2664" i="1"/>
  <c r="AV2664" i="1"/>
  <c r="AU2664" i="1"/>
  <c r="AW2663" i="1"/>
  <c r="AV2663" i="1"/>
  <c r="AW2662" i="1"/>
  <c r="AV2662" i="1"/>
  <c r="AW2661" i="1"/>
  <c r="AV2661" i="1"/>
  <c r="AW2660" i="1"/>
  <c r="AV2660" i="1"/>
  <c r="AW2659" i="1"/>
  <c r="AV2659" i="1"/>
  <c r="AU2659" i="1"/>
  <c r="AW2658" i="1"/>
  <c r="AV2658" i="1"/>
  <c r="AU2658" i="1"/>
  <c r="AW2657" i="1"/>
  <c r="AV2657" i="1"/>
  <c r="AU2657" i="1"/>
  <c r="AW2656" i="1"/>
  <c r="AV2656" i="1"/>
  <c r="AW2655" i="1"/>
  <c r="AV2655" i="1"/>
  <c r="AU2655" i="1"/>
  <c r="AW2654" i="1"/>
  <c r="AV2654" i="1"/>
  <c r="AU2654" i="1"/>
  <c r="AW2653" i="1"/>
  <c r="AV2653" i="1"/>
  <c r="AU2653" i="1"/>
  <c r="AW2652" i="1"/>
  <c r="AV2652" i="1"/>
  <c r="AW2651" i="1"/>
  <c r="AV2651" i="1"/>
  <c r="AW2650" i="1"/>
  <c r="AV2650" i="1"/>
  <c r="AW2649" i="1"/>
  <c r="AV2649" i="1"/>
  <c r="AW2648" i="1"/>
  <c r="AV2648" i="1"/>
  <c r="AW2647" i="1"/>
  <c r="AV2647" i="1"/>
  <c r="AW2646" i="1"/>
  <c r="AV2646" i="1"/>
  <c r="AW2645" i="1"/>
  <c r="AV2645" i="1"/>
  <c r="AU2645" i="1"/>
  <c r="AW2644" i="1"/>
  <c r="AV2644" i="1"/>
  <c r="AW2643" i="1"/>
  <c r="AV2643" i="1"/>
  <c r="AU2643" i="1"/>
  <c r="AW2642" i="1"/>
  <c r="AV2642" i="1"/>
  <c r="AU2642" i="1"/>
  <c r="AW2641" i="1"/>
  <c r="AV2641" i="1"/>
  <c r="AW2640" i="1"/>
  <c r="AV2640" i="1"/>
  <c r="AW2639" i="1"/>
  <c r="AV2639" i="1"/>
  <c r="AU2639" i="1"/>
  <c r="AW2638" i="1"/>
  <c r="AV2638" i="1"/>
  <c r="AW2637" i="1"/>
  <c r="AV2637" i="1"/>
  <c r="AW2636" i="1"/>
  <c r="AV2636" i="1"/>
  <c r="AW2635" i="1"/>
  <c r="AV2635" i="1"/>
  <c r="AW2634" i="1"/>
  <c r="AV2634" i="1"/>
  <c r="AW2633" i="1"/>
  <c r="AV2633" i="1"/>
  <c r="AU2633" i="1"/>
  <c r="AW2632" i="1"/>
  <c r="AV2632" i="1"/>
  <c r="AU2632" i="1"/>
  <c r="AW2631" i="1"/>
  <c r="AV2631" i="1"/>
  <c r="AW2630" i="1"/>
  <c r="AV2630" i="1"/>
  <c r="AW2629" i="1"/>
  <c r="AV2629" i="1"/>
  <c r="AW2628" i="1"/>
  <c r="AV2628" i="1"/>
  <c r="AW2627" i="1"/>
  <c r="AV2627" i="1"/>
  <c r="AW2626" i="1"/>
  <c r="AV2626" i="1"/>
  <c r="AW2625" i="1"/>
  <c r="AV2625" i="1"/>
  <c r="AU2625" i="1"/>
  <c r="AW2624" i="1"/>
  <c r="AV2624" i="1"/>
  <c r="AU2624" i="1"/>
  <c r="AW2623" i="1"/>
  <c r="AV2623" i="1"/>
  <c r="AW2622" i="1"/>
  <c r="AV2622" i="1"/>
  <c r="AW2621" i="1"/>
  <c r="AV2621" i="1"/>
  <c r="AW2620" i="1"/>
  <c r="AV2620" i="1"/>
  <c r="AW2619" i="1"/>
  <c r="AV2619" i="1"/>
  <c r="AW2618" i="1"/>
  <c r="AV2618" i="1"/>
  <c r="AU2618" i="1"/>
  <c r="AW2617" i="1"/>
  <c r="AV2617" i="1"/>
  <c r="AU2617" i="1"/>
  <c r="AW2616" i="1"/>
  <c r="AV2616" i="1"/>
  <c r="AW2615" i="1"/>
  <c r="AV2615" i="1"/>
  <c r="AU2615" i="1"/>
  <c r="AW2614" i="1"/>
  <c r="AV2614" i="1"/>
  <c r="AU2614" i="1"/>
  <c r="AW2613" i="1"/>
  <c r="AV2613" i="1"/>
  <c r="AW2612" i="1"/>
  <c r="AV2612" i="1"/>
  <c r="AU2612" i="1"/>
  <c r="AW2611" i="1"/>
  <c r="AV2611" i="1"/>
  <c r="AU2611" i="1"/>
  <c r="AW2610" i="1"/>
  <c r="AV2610" i="1"/>
  <c r="AU2610" i="1"/>
  <c r="AW2609" i="1"/>
  <c r="AV2609" i="1"/>
  <c r="AW2608" i="1"/>
  <c r="AV2608" i="1"/>
  <c r="AU2608" i="1"/>
  <c r="AW2607" i="1"/>
  <c r="AV2607" i="1"/>
  <c r="AU2607" i="1"/>
  <c r="AW2606" i="1"/>
  <c r="AV2606" i="1"/>
  <c r="AU2606" i="1"/>
  <c r="AW2605" i="1"/>
  <c r="AV2605" i="1"/>
  <c r="AU2605" i="1"/>
  <c r="AW2604" i="1"/>
  <c r="AV2604" i="1"/>
  <c r="AU2604" i="1"/>
  <c r="AW2603" i="1"/>
  <c r="AV2603" i="1"/>
  <c r="AU2603" i="1"/>
  <c r="AW2602" i="1"/>
  <c r="AV2602" i="1"/>
  <c r="AU2602" i="1"/>
  <c r="AW2601" i="1"/>
  <c r="AV2601" i="1"/>
  <c r="AW2600" i="1"/>
  <c r="AV2600" i="1"/>
  <c r="AU2600" i="1"/>
  <c r="AW2599" i="1"/>
  <c r="AV2599" i="1"/>
  <c r="AW2598" i="1"/>
  <c r="AV2598" i="1"/>
  <c r="AW2597" i="1"/>
  <c r="AV2597" i="1"/>
  <c r="AW2596" i="1"/>
  <c r="AV2596" i="1"/>
  <c r="AW2595" i="1"/>
  <c r="AV2595" i="1"/>
  <c r="AW2594" i="1"/>
  <c r="AV2594" i="1"/>
  <c r="AU2594" i="1"/>
  <c r="AW2593" i="1"/>
  <c r="AV2593" i="1"/>
  <c r="AU2593" i="1"/>
  <c r="AW2592" i="1"/>
  <c r="AV2592" i="1"/>
  <c r="AW2591" i="1"/>
  <c r="AV2591" i="1"/>
  <c r="AW2590" i="1"/>
  <c r="AV2590" i="1"/>
  <c r="AW2589" i="1"/>
  <c r="AV2589" i="1"/>
  <c r="AW2588" i="1"/>
  <c r="AV2588" i="1"/>
  <c r="AW2587" i="1"/>
  <c r="AV2587" i="1"/>
  <c r="AW2586" i="1"/>
  <c r="AV2586" i="1"/>
  <c r="AW2585" i="1"/>
  <c r="AV2585" i="1"/>
  <c r="AW2584" i="1"/>
  <c r="AV2584" i="1"/>
  <c r="AU2584" i="1"/>
  <c r="AW2583" i="1"/>
  <c r="AV2583" i="1"/>
  <c r="AW2582" i="1"/>
  <c r="AV2582" i="1"/>
  <c r="AW2581" i="1"/>
  <c r="AV2581" i="1"/>
  <c r="AU2581" i="1"/>
  <c r="AW2580" i="1"/>
  <c r="AV2580" i="1"/>
  <c r="AU2580" i="1"/>
  <c r="AW2579" i="1"/>
  <c r="AV2579" i="1"/>
  <c r="AU2579" i="1"/>
  <c r="AW2578" i="1"/>
  <c r="AV2578" i="1"/>
  <c r="AW2577" i="1"/>
  <c r="AV2577" i="1"/>
  <c r="AW2576" i="1"/>
  <c r="AV2576" i="1"/>
  <c r="AW2575" i="1"/>
  <c r="AV2575" i="1"/>
  <c r="AW2574" i="1"/>
  <c r="AV2574" i="1"/>
  <c r="AW2573" i="1"/>
  <c r="AV2573" i="1"/>
  <c r="AW2572" i="1"/>
  <c r="AV2572" i="1"/>
  <c r="AW2571" i="1"/>
  <c r="AV2571" i="1"/>
  <c r="AW2570" i="1"/>
  <c r="AV2570" i="1"/>
  <c r="AU2570" i="1"/>
  <c r="AW2569" i="1"/>
  <c r="AV2569" i="1"/>
  <c r="AW2568" i="1"/>
  <c r="AV2568" i="1"/>
  <c r="AW2567" i="1"/>
  <c r="AV2567" i="1"/>
  <c r="AU2567" i="1"/>
  <c r="AW2566" i="1"/>
  <c r="AV2566" i="1"/>
  <c r="AU2566" i="1"/>
  <c r="AW2565" i="1"/>
  <c r="AV2565" i="1"/>
  <c r="AU2565" i="1"/>
  <c r="AW2564" i="1"/>
  <c r="AV2564" i="1"/>
  <c r="AW2563" i="1"/>
  <c r="AV2563" i="1"/>
  <c r="AU2563" i="1"/>
  <c r="AW2562" i="1"/>
  <c r="AV2562" i="1"/>
  <c r="AW2561" i="1"/>
  <c r="AV2561" i="1"/>
  <c r="AW2560" i="1"/>
  <c r="AV2560" i="1"/>
  <c r="AW2559" i="1"/>
  <c r="AV2559" i="1"/>
  <c r="AW2558" i="1"/>
  <c r="AV2558" i="1"/>
  <c r="AW2557" i="1"/>
  <c r="AV2557" i="1"/>
  <c r="AW2556" i="1"/>
  <c r="AV2556" i="1"/>
  <c r="AU2556" i="1"/>
  <c r="AW2555" i="1"/>
  <c r="AV2555" i="1"/>
  <c r="AU2555" i="1"/>
  <c r="AW2554" i="1"/>
  <c r="AV2554" i="1"/>
  <c r="AW2553" i="1"/>
  <c r="AV2553" i="1"/>
  <c r="AW2552" i="1"/>
  <c r="AV2552" i="1"/>
  <c r="AW2551" i="1"/>
  <c r="AV2551" i="1"/>
  <c r="AU2551" i="1"/>
  <c r="AW2550" i="1"/>
  <c r="AV2550" i="1"/>
  <c r="AW2549" i="1"/>
  <c r="AV2549" i="1"/>
  <c r="AW2548" i="1"/>
  <c r="AV2548" i="1"/>
  <c r="AW2547" i="1"/>
  <c r="AV2547" i="1"/>
  <c r="AW2546" i="1"/>
  <c r="AV2546" i="1"/>
  <c r="AW2545" i="1"/>
  <c r="AV2545" i="1"/>
  <c r="AW2544" i="1"/>
  <c r="AV2544" i="1"/>
  <c r="AW2543" i="1"/>
  <c r="AV2543" i="1"/>
  <c r="AW2542" i="1"/>
  <c r="AV2542" i="1"/>
  <c r="AW2541" i="1"/>
  <c r="AV2541" i="1"/>
  <c r="AW2540" i="1"/>
  <c r="AV2540" i="1"/>
  <c r="AU2540" i="1"/>
  <c r="AW2539" i="1"/>
  <c r="AV2539" i="1"/>
  <c r="AW2538" i="1"/>
  <c r="AV2538" i="1"/>
  <c r="AW2537" i="1"/>
  <c r="AV2537" i="1"/>
  <c r="AW2536" i="1"/>
  <c r="AV2536" i="1"/>
  <c r="AW2535" i="1"/>
  <c r="AV2535" i="1"/>
  <c r="AW2534" i="1"/>
  <c r="AV2534" i="1"/>
  <c r="AU2534" i="1"/>
  <c r="AW2533" i="1"/>
  <c r="AV2533" i="1"/>
  <c r="AU2533" i="1"/>
  <c r="AW2532" i="1"/>
  <c r="AV2532" i="1"/>
  <c r="AW2531" i="1"/>
  <c r="AV2531" i="1"/>
  <c r="AW2530" i="1"/>
  <c r="AV2530" i="1"/>
  <c r="AW2529" i="1"/>
  <c r="AV2529" i="1"/>
  <c r="AU2529" i="1"/>
  <c r="AW2528" i="1"/>
  <c r="AV2528" i="1"/>
  <c r="AW2527" i="1"/>
  <c r="AV2527" i="1"/>
  <c r="AW2526" i="1"/>
  <c r="AV2526" i="1"/>
  <c r="AW2525" i="1"/>
  <c r="AV2525" i="1"/>
  <c r="AW2524" i="1"/>
  <c r="AV2524" i="1"/>
  <c r="AW2523" i="1"/>
  <c r="AV2523" i="1"/>
  <c r="AW2522" i="1"/>
  <c r="AV2522" i="1"/>
  <c r="AW2521" i="1"/>
  <c r="AV2521" i="1"/>
  <c r="AW2520" i="1"/>
  <c r="AV2520" i="1"/>
  <c r="AW2519" i="1"/>
  <c r="AV2519" i="1"/>
  <c r="AW2518" i="1"/>
  <c r="AV2518" i="1"/>
  <c r="AW2517" i="1"/>
  <c r="AV2517" i="1"/>
  <c r="AW2516" i="1"/>
  <c r="AV2516" i="1"/>
  <c r="AW2515" i="1"/>
  <c r="AV2515" i="1"/>
  <c r="AW2514" i="1"/>
  <c r="AV2514" i="1"/>
  <c r="AW2513" i="1"/>
  <c r="AV2513" i="1"/>
  <c r="AU2513" i="1"/>
  <c r="AW2512" i="1"/>
  <c r="AV2512" i="1"/>
  <c r="AU2512" i="1"/>
  <c r="AW2511" i="1"/>
  <c r="AV2511" i="1"/>
  <c r="AW2510" i="1"/>
  <c r="AV2510" i="1"/>
  <c r="AU2510" i="1"/>
  <c r="AW2509" i="1"/>
  <c r="AV2509" i="1"/>
  <c r="AU2509" i="1"/>
  <c r="AW2508" i="1"/>
  <c r="AV2508" i="1"/>
  <c r="AU2508" i="1"/>
  <c r="AW2507" i="1"/>
  <c r="AV2507" i="1"/>
  <c r="AW2506" i="1"/>
  <c r="AV2506" i="1"/>
  <c r="AW2505" i="1"/>
  <c r="AV2505" i="1"/>
  <c r="AU2505" i="1"/>
  <c r="AW2504" i="1"/>
  <c r="AV2504" i="1"/>
  <c r="AU2504" i="1"/>
  <c r="AW2503" i="1"/>
  <c r="AV2503" i="1"/>
  <c r="AU2503" i="1"/>
  <c r="AW2502" i="1"/>
  <c r="AV2502" i="1"/>
  <c r="AU2502" i="1"/>
  <c r="AW2501" i="1"/>
  <c r="AV2501" i="1"/>
  <c r="AU2501" i="1"/>
  <c r="AW2500" i="1"/>
  <c r="AV2500" i="1"/>
  <c r="AU2500" i="1"/>
  <c r="AW2499" i="1"/>
  <c r="AV2499" i="1"/>
  <c r="AW2498" i="1"/>
  <c r="AV2498" i="1"/>
  <c r="AU2498" i="1"/>
  <c r="AW2497" i="1"/>
  <c r="AV2497" i="1"/>
  <c r="AU2497" i="1"/>
  <c r="AW2496" i="1"/>
  <c r="AV2496" i="1"/>
  <c r="AU2496" i="1"/>
  <c r="AW2495" i="1"/>
  <c r="AV2495" i="1"/>
  <c r="AU2495" i="1"/>
  <c r="AW2494" i="1"/>
  <c r="AV2494" i="1"/>
  <c r="AU2494" i="1"/>
  <c r="AW2493" i="1"/>
  <c r="AV2493" i="1"/>
  <c r="AU2493" i="1"/>
  <c r="AW2492" i="1"/>
  <c r="AV2492" i="1"/>
  <c r="AU2492" i="1"/>
  <c r="AW2491" i="1"/>
  <c r="AV2491" i="1"/>
  <c r="AW2490" i="1"/>
  <c r="AV2490" i="1"/>
  <c r="AW2489" i="1"/>
  <c r="AV2489" i="1"/>
  <c r="AW2488" i="1"/>
  <c r="AV2488" i="1"/>
  <c r="AW2487" i="1"/>
  <c r="AV2487" i="1"/>
  <c r="AU2487" i="1"/>
  <c r="AW2486" i="1"/>
  <c r="AV2486" i="1"/>
  <c r="AW2485" i="1"/>
  <c r="AV2485" i="1"/>
  <c r="AU2485" i="1"/>
  <c r="AW2484" i="1"/>
  <c r="AV2484" i="1"/>
  <c r="AW2483" i="1"/>
  <c r="AV2483" i="1"/>
  <c r="AU2483" i="1"/>
  <c r="AW2482" i="1"/>
  <c r="AV2482" i="1"/>
  <c r="AU2482" i="1"/>
  <c r="AW2481" i="1"/>
  <c r="AV2481" i="1"/>
  <c r="AU2481" i="1"/>
  <c r="AW2480" i="1"/>
  <c r="AV2480" i="1"/>
  <c r="AU2480" i="1"/>
  <c r="AW2479" i="1"/>
  <c r="AV2479" i="1"/>
  <c r="AU2479" i="1"/>
  <c r="AW2478" i="1"/>
  <c r="AV2478" i="1"/>
  <c r="AU2478" i="1"/>
  <c r="AW2477" i="1"/>
  <c r="AV2477" i="1"/>
  <c r="AW2476" i="1"/>
  <c r="AV2476" i="1"/>
  <c r="AU2476" i="1"/>
  <c r="AW2475" i="1"/>
  <c r="AV2475" i="1"/>
  <c r="AW2474" i="1"/>
  <c r="AV2474" i="1"/>
  <c r="AW2473" i="1"/>
  <c r="AV2473" i="1"/>
  <c r="AW2472" i="1"/>
  <c r="AV2472" i="1"/>
  <c r="AW2471" i="1"/>
  <c r="AV2471" i="1"/>
  <c r="AW2470" i="1"/>
  <c r="AV2470" i="1"/>
  <c r="AW2469" i="1"/>
  <c r="AV2469" i="1"/>
  <c r="AW2468" i="1"/>
  <c r="AV2468" i="1"/>
  <c r="AW2467" i="1"/>
  <c r="AV2467" i="1"/>
  <c r="AW2466" i="1"/>
  <c r="AV2466" i="1"/>
  <c r="AW2465" i="1"/>
  <c r="AV2465" i="1"/>
  <c r="AW2464" i="1"/>
  <c r="AV2464" i="1"/>
  <c r="AU2464" i="1"/>
  <c r="AW2463" i="1"/>
  <c r="AV2463" i="1"/>
  <c r="AW2462" i="1"/>
  <c r="AV2462" i="1"/>
  <c r="AU2462" i="1"/>
  <c r="AW2461" i="1"/>
  <c r="AV2461" i="1"/>
  <c r="AW2460" i="1"/>
  <c r="AV2460" i="1"/>
  <c r="AW2459" i="1"/>
  <c r="AV2459" i="1"/>
  <c r="AW2458" i="1"/>
  <c r="AV2458" i="1"/>
  <c r="AW2457" i="1"/>
  <c r="AV2457" i="1"/>
  <c r="AW2456" i="1"/>
  <c r="AV2456" i="1"/>
  <c r="AW2455" i="1"/>
  <c r="AV2455" i="1"/>
  <c r="AW2454" i="1"/>
  <c r="AV2454" i="1"/>
  <c r="AU2454" i="1"/>
  <c r="AW2453" i="1"/>
  <c r="AV2453" i="1"/>
  <c r="AW2452" i="1"/>
  <c r="AV2452" i="1"/>
  <c r="AW2451" i="1"/>
  <c r="AV2451" i="1"/>
  <c r="AW2450" i="1"/>
  <c r="AV2450" i="1"/>
  <c r="AU2450" i="1"/>
  <c r="AW2449" i="1"/>
  <c r="AV2449" i="1"/>
  <c r="AW2448" i="1"/>
  <c r="AV2448" i="1"/>
  <c r="AW2447" i="1"/>
  <c r="AV2447" i="1"/>
  <c r="AW2446" i="1"/>
  <c r="AV2446" i="1"/>
  <c r="AW2445" i="1"/>
  <c r="AV2445" i="1"/>
  <c r="AU2445" i="1"/>
  <c r="AW2444" i="1"/>
  <c r="AV2444" i="1"/>
  <c r="AU2444" i="1"/>
  <c r="AW2443" i="1"/>
  <c r="AV2443" i="1"/>
  <c r="AW2442" i="1"/>
  <c r="AV2442" i="1"/>
  <c r="AW2441" i="1"/>
  <c r="AV2441" i="1"/>
  <c r="AW2440" i="1"/>
  <c r="AV2440" i="1"/>
  <c r="AW2439" i="1"/>
  <c r="AV2439" i="1"/>
  <c r="AW2438" i="1"/>
  <c r="AV2438" i="1"/>
  <c r="AW2437" i="1"/>
  <c r="AV2437" i="1"/>
  <c r="AU2437" i="1"/>
  <c r="AW2436" i="1"/>
  <c r="AV2436" i="1"/>
  <c r="AW2435" i="1"/>
  <c r="AV2435" i="1"/>
  <c r="AU2435" i="1"/>
  <c r="AW2434" i="1"/>
  <c r="AV2434" i="1"/>
  <c r="AW2433" i="1"/>
  <c r="AV2433" i="1"/>
  <c r="AU2433" i="1"/>
  <c r="AW2432" i="1"/>
  <c r="AV2432" i="1"/>
  <c r="AW2431" i="1"/>
  <c r="AV2431" i="1"/>
  <c r="AW2430" i="1"/>
  <c r="AV2430" i="1"/>
  <c r="AW2429" i="1"/>
  <c r="AV2429" i="1"/>
  <c r="AW2428" i="1"/>
  <c r="AV2428" i="1"/>
  <c r="AW2427" i="1"/>
  <c r="AV2427" i="1"/>
  <c r="AW2426" i="1"/>
  <c r="AV2426" i="1"/>
  <c r="AW2425" i="1"/>
  <c r="AV2425" i="1"/>
  <c r="AW2424" i="1"/>
  <c r="AV2424" i="1"/>
  <c r="AW2423" i="1"/>
  <c r="AV2423" i="1"/>
  <c r="AW2422" i="1"/>
  <c r="AV2422" i="1"/>
  <c r="AW2421" i="1"/>
  <c r="AV2421" i="1"/>
  <c r="AU2421" i="1"/>
  <c r="AW2420" i="1"/>
  <c r="AV2420" i="1"/>
  <c r="AW2419" i="1"/>
  <c r="AV2419" i="1"/>
  <c r="AW2418" i="1"/>
  <c r="AV2418" i="1"/>
  <c r="AW2417" i="1"/>
  <c r="AV2417" i="1"/>
  <c r="AU2417" i="1"/>
  <c r="AW2416" i="1"/>
  <c r="AV2416" i="1"/>
  <c r="AW2415" i="1"/>
  <c r="AV2415" i="1"/>
  <c r="AW2414" i="1"/>
  <c r="AV2414" i="1"/>
  <c r="AU2414" i="1"/>
  <c r="AW2413" i="1"/>
  <c r="AV2413" i="1"/>
  <c r="AW2412" i="1"/>
  <c r="AV2412" i="1"/>
  <c r="AW2411" i="1"/>
  <c r="AV2411" i="1"/>
  <c r="AU2411" i="1"/>
  <c r="AW2410" i="1"/>
  <c r="AV2410" i="1"/>
  <c r="AU2410" i="1"/>
  <c r="AW2409" i="1"/>
  <c r="AV2409" i="1"/>
  <c r="AW2408" i="1"/>
  <c r="AV2408" i="1"/>
  <c r="AW2407" i="1"/>
  <c r="AV2407" i="1"/>
  <c r="AU2407" i="1"/>
  <c r="AW2406" i="1"/>
  <c r="AV2406" i="1"/>
  <c r="AW2405" i="1"/>
  <c r="AV2405" i="1"/>
  <c r="AW2404" i="1"/>
  <c r="AV2404" i="1"/>
  <c r="AU2404" i="1"/>
  <c r="AW2403" i="1"/>
  <c r="AV2403" i="1"/>
  <c r="AU2403" i="1"/>
  <c r="AW2402" i="1"/>
  <c r="AV2402" i="1"/>
  <c r="AU2402" i="1"/>
  <c r="AW2401" i="1"/>
  <c r="AV2401" i="1"/>
  <c r="AU2401" i="1"/>
  <c r="AW2400" i="1"/>
  <c r="AV2400" i="1"/>
  <c r="AW2399" i="1"/>
  <c r="AV2399" i="1"/>
  <c r="AW2398" i="1"/>
  <c r="AV2398" i="1"/>
  <c r="AW2397" i="1"/>
  <c r="AV2397" i="1"/>
  <c r="AU2397" i="1"/>
  <c r="AW2396" i="1"/>
  <c r="AV2396" i="1"/>
  <c r="AW2395" i="1"/>
  <c r="AV2395" i="1"/>
  <c r="AU2395" i="1"/>
  <c r="AW2394" i="1"/>
  <c r="AV2394" i="1"/>
  <c r="AW2393" i="1"/>
  <c r="AV2393" i="1"/>
  <c r="AU2393" i="1"/>
  <c r="AW2392" i="1"/>
  <c r="AV2392" i="1"/>
  <c r="AW2391" i="1"/>
  <c r="AV2391" i="1"/>
  <c r="AW2390" i="1"/>
  <c r="AV2390" i="1"/>
  <c r="AW2389" i="1"/>
  <c r="AV2389" i="1"/>
  <c r="AW2388" i="1"/>
  <c r="AV2388" i="1"/>
  <c r="AW2387" i="1"/>
  <c r="AV2387" i="1"/>
  <c r="AW2386" i="1"/>
  <c r="AV2386" i="1"/>
  <c r="AW2385" i="1"/>
  <c r="AV2385" i="1"/>
  <c r="AW2384" i="1"/>
  <c r="AV2384" i="1"/>
  <c r="AW2383" i="1"/>
  <c r="AV2383" i="1"/>
  <c r="AW2382" i="1"/>
  <c r="AV2382" i="1"/>
  <c r="AU2382" i="1"/>
  <c r="AW2381" i="1"/>
  <c r="AV2381" i="1"/>
  <c r="AU2381" i="1"/>
  <c r="AW2380" i="1"/>
  <c r="AV2380" i="1"/>
  <c r="AU2380" i="1"/>
  <c r="AW2379" i="1"/>
  <c r="AV2379" i="1"/>
  <c r="AW2378" i="1"/>
  <c r="AV2378" i="1"/>
  <c r="AW2377" i="1"/>
  <c r="AV2377" i="1"/>
  <c r="AW2376" i="1"/>
  <c r="AV2376" i="1"/>
  <c r="AU2376" i="1"/>
  <c r="AW2375" i="1"/>
  <c r="AV2375" i="1"/>
  <c r="AW2374" i="1"/>
  <c r="AV2374" i="1"/>
  <c r="AU2374" i="1"/>
  <c r="AW2373" i="1"/>
  <c r="AV2373" i="1"/>
  <c r="AW2372" i="1"/>
  <c r="AV2372" i="1"/>
  <c r="AU2372" i="1"/>
  <c r="AW2371" i="1"/>
  <c r="AV2371" i="1"/>
  <c r="AU2371" i="1"/>
  <c r="AW2370" i="1"/>
  <c r="AV2370" i="1"/>
  <c r="AU2370" i="1"/>
  <c r="AW2369" i="1"/>
  <c r="AV2369" i="1"/>
  <c r="AU2369" i="1"/>
  <c r="AW2368" i="1"/>
  <c r="AV2368" i="1"/>
  <c r="AU2368" i="1"/>
  <c r="AW2367" i="1"/>
  <c r="AV2367" i="1"/>
  <c r="AW2366" i="1"/>
  <c r="AV2366" i="1"/>
  <c r="AU2366" i="1"/>
  <c r="AW2365" i="1"/>
  <c r="AV2365" i="1"/>
  <c r="AW2364" i="1"/>
  <c r="AV2364" i="1"/>
  <c r="AW2363" i="1"/>
  <c r="AV2363" i="1"/>
  <c r="AW2362" i="1"/>
  <c r="AV2362" i="1"/>
  <c r="AU2362" i="1"/>
  <c r="AW2361" i="1"/>
  <c r="AV2361" i="1"/>
  <c r="AU2361" i="1"/>
  <c r="AW2360" i="1"/>
  <c r="AV2360" i="1"/>
  <c r="AU2360" i="1"/>
  <c r="AW2359" i="1"/>
  <c r="AV2359" i="1"/>
  <c r="AU2359" i="1"/>
  <c r="AW2358" i="1"/>
  <c r="AV2358" i="1"/>
  <c r="AU2358" i="1"/>
  <c r="AW2357" i="1"/>
  <c r="AV2357" i="1"/>
  <c r="AU2357" i="1"/>
  <c r="AW2356" i="1"/>
  <c r="AV2356" i="1"/>
  <c r="AW2355" i="1"/>
  <c r="AV2355" i="1"/>
  <c r="AU2355" i="1"/>
  <c r="AW2354" i="1"/>
  <c r="AV2354" i="1"/>
  <c r="AW2353" i="1"/>
  <c r="AV2353" i="1"/>
  <c r="AU2353" i="1"/>
  <c r="AW2352" i="1"/>
  <c r="AV2352" i="1"/>
  <c r="AW2351" i="1"/>
  <c r="AV2351" i="1"/>
  <c r="AW2350" i="1"/>
  <c r="AV2350" i="1"/>
  <c r="AU2350" i="1"/>
  <c r="AW2349" i="1"/>
  <c r="AV2349" i="1"/>
  <c r="AW2348" i="1"/>
  <c r="AV2348" i="1"/>
  <c r="AW2347" i="1"/>
  <c r="AV2347" i="1"/>
  <c r="AU2347" i="1"/>
  <c r="AW2346" i="1"/>
  <c r="AV2346" i="1"/>
  <c r="AU2346" i="1"/>
  <c r="AW2345" i="1"/>
  <c r="AV2345" i="1"/>
  <c r="AU2345" i="1"/>
  <c r="AW2344" i="1"/>
  <c r="AV2344" i="1"/>
  <c r="AU2344" i="1"/>
  <c r="AW2343" i="1"/>
  <c r="AV2343" i="1"/>
  <c r="AU2343" i="1"/>
  <c r="AW2342" i="1"/>
  <c r="AV2342" i="1"/>
  <c r="AU2342" i="1"/>
  <c r="AW2341" i="1"/>
  <c r="AV2341" i="1"/>
  <c r="AU2341" i="1"/>
  <c r="AW2340" i="1"/>
  <c r="AV2340" i="1"/>
  <c r="AU2340" i="1"/>
  <c r="AW2339" i="1"/>
  <c r="AV2339" i="1"/>
  <c r="AU2339" i="1"/>
  <c r="AW2338" i="1"/>
  <c r="AV2338" i="1"/>
  <c r="AW2337" i="1"/>
  <c r="AV2337" i="1"/>
  <c r="AW2336" i="1"/>
  <c r="AV2336" i="1"/>
  <c r="AU2336" i="1"/>
  <c r="AW2335" i="1"/>
  <c r="AV2335" i="1"/>
  <c r="AW2334" i="1"/>
  <c r="AV2334" i="1"/>
  <c r="AW2333" i="1"/>
  <c r="AV2333" i="1"/>
  <c r="AW2332" i="1"/>
  <c r="AV2332" i="1"/>
  <c r="AW2331" i="1"/>
  <c r="AV2331" i="1"/>
  <c r="AW2330" i="1"/>
  <c r="AV2330" i="1"/>
  <c r="AW2329" i="1"/>
  <c r="AV2329" i="1"/>
  <c r="AW2328" i="1"/>
  <c r="AV2328" i="1"/>
  <c r="AU2328" i="1"/>
  <c r="AW2327" i="1"/>
  <c r="AV2327" i="1"/>
  <c r="AW2326" i="1"/>
  <c r="AV2326" i="1"/>
  <c r="AU2326" i="1"/>
  <c r="AW2325" i="1"/>
  <c r="AV2325" i="1"/>
  <c r="AU2325" i="1"/>
  <c r="AW2324" i="1"/>
  <c r="AV2324" i="1"/>
  <c r="AW2323" i="1"/>
  <c r="AV2323" i="1"/>
  <c r="AW2322" i="1"/>
  <c r="AV2322" i="1"/>
  <c r="AU2322" i="1"/>
  <c r="AW2321" i="1"/>
  <c r="AV2321" i="1"/>
  <c r="AW2320" i="1"/>
  <c r="AV2320" i="1"/>
  <c r="AU2320" i="1"/>
  <c r="AW2319" i="1"/>
  <c r="AV2319" i="1"/>
  <c r="AU2319" i="1"/>
  <c r="AW2318" i="1"/>
  <c r="AV2318" i="1"/>
  <c r="AW2317" i="1"/>
  <c r="AV2317" i="1"/>
  <c r="AW2316" i="1"/>
  <c r="AV2316" i="1"/>
  <c r="AW2315" i="1"/>
  <c r="AV2315" i="1"/>
  <c r="AW2314" i="1"/>
  <c r="AV2314" i="1"/>
  <c r="AU2314" i="1"/>
  <c r="AW2313" i="1"/>
  <c r="AV2313" i="1"/>
  <c r="AU2313" i="1"/>
  <c r="AW2312" i="1"/>
  <c r="AV2312" i="1"/>
  <c r="AU2312" i="1"/>
  <c r="AW2311" i="1"/>
  <c r="AV2311" i="1"/>
  <c r="AW2310" i="1"/>
  <c r="AV2310" i="1"/>
  <c r="AU2310" i="1"/>
  <c r="AW2309" i="1"/>
  <c r="AV2309" i="1"/>
  <c r="AU2309" i="1"/>
  <c r="AW2308" i="1"/>
  <c r="AV2308" i="1"/>
  <c r="AW2307" i="1"/>
  <c r="AV2307" i="1"/>
  <c r="AU2307" i="1"/>
  <c r="AW2306" i="1"/>
  <c r="AV2306" i="1"/>
  <c r="AW2305" i="1"/>
  <c r="AV2305" i="1"/>
  <c r="AW2304" i="1"/>
  <c r="AV2304" i="1"/>
  <c r="AW2303" i="1"/>
  <c r="AV2303" i="1"/>
  <c r="AW2302" i="1"/>
  <c r="AV2302" i="1"/>
  <c r="AW2301" i="1"/>
  <c r="AV2301" i="1"/>
  <c r="AW2300" i="1"/>
  <c r="AV2300" i="1"/>
  <c r="AW2299" i="1"/>
  <c r="AV2299" i="1"/>
  <c r="AW2298" i="1"/>
  <c r="AV2298" i="1"/>
  <c r="AW2297" i="1"/>
  <c r="AV2297" i="1"/>
  <c r="AW2296" i="1"/>
  <c r="AV2296" i="1"/>
  <c r="AU2296" i="1"/>
  <c r="AW2295" i="1"/>
  <c r="AV2295" i="1"/>
  <c r="AU2295" i="1"/>
  <c r="AW2294" i="1"/>
  <c r="AV2294" i="1"/>
  <c r="AU2294" i="1"/>
  <c r="AW2293" i="1"/>
  <c r="AV2293" i="1"/>
  <c r="AW2292" i="1"/>
  <c r="AV2292" i="1"/>
  <c r="AW2291" i="1"/>
  <c r="AV2291" i="1"/>
  <c r="AU2291" i="1"/>
  <c r="AW2290" i="1"/>
  <c r="AV2290" i="1"/>
  <c r="AW2289" i="1"/>
  <c r="AV2289" i="1"/>
  <c r="AU2289" i="1"/>
  <c r="AW2288" i="1"/>
  <c r="AV2288" i="1"/>
  <c r="AW2287" i="1"/>
  <c r="AV2287" i="1"/>
  <c r="AW2286" i="1"/>
  <c r="AV2286" i="1"/>
  <c r="AW2285" i="1"/>
  <c r="AV2285" i="1"/>
  <c r="AW2284" i="1"/>
  <c r="AV2284" i="1"/>
  <c r="AW2283" i="1"/>
  <c r="AV2283" i="1"/>
  <c r="AW2282" i="1"/>
  <c r="AV2282" i="1"/>
  <c r="AU2282" i="1"/>
  <c r="AW2281" i="1"/>
  <c r="AV2281" i="1"/>
  <c r="AW2280" i="1"/>
  <c r="AV2280" i="1"/>
  <c r="AW2279" i="1"/>
  <c r="AV2279" i="1"/>
  <c r="AW2278" i="1"/>
  <c r="AV2278" i="1"/>
  <c r="AW2277" i="1"/>
  <c r="AV2277" i="1"/>
  <c r="AW2276" i="1"/>
  <c r="AV2276" i="1"/>
  <c r="AW2275" i="1"/>
  <c r="AV2275" i="1"/>
  <c r="AW2274" i="1"/>
  <c r="AV2274" i="1"/>
  <c r="AU2274" i="1"/>
  <c r="AW2273" i="1"/>
  <c r="AV2273" i="1"/>
  <c r="AW2272" i="1"/>
  <c r="AV2272" i="1"/>
  <c r="AW2271" i="1"/>
  <c r="AV2271" i="1"/>
  <c r="AW2270" i="1"/>
  <c r="AV2270" i="1"/>
  <c r="AW2269" i="1"/>
  <c r="AV2269" i="1"/>
  <c r="AW2268" i="1"/>
  <c r="AV2268" i="1"/>
  <c r="AW2267" i="1"/>
  <c r="AV2267" i="1"/>
  <c r="AW2266" i="1"/>
  <c r="AV2266" i="1"/>
  <c r="AW2265" i="1"/>
  <c r="AV2265" i="1"/>
  <c r="AW2264" i="1"/>
  <c r="AV2264" i="1"/>
  <c r="AU2264" i="1"/>
  <c r="AW2263" i="1"/>
  <c r="AV2263" i="1"/>
  <c r="AU2263" i="1"/>
  <c r="AW2262" i="1"/>
  <c r="AV2262" i="1"/>
  <c r="AW2261" i="1"/>
  <c r="AV2261" i="1"/>
  <c r="AW2260" i="1"/>
  <c r="AV2260" i="1"/>
  <c r="AW2259" i="1"/>
  <c r="AV2259" i="1"/>
  <c r="AU2259" i="1"/>
  <c r="AW2258" i="1"/>
  <c r="AV2258" i="1"/>
  <c r="AW2257" i="1"/>
  <c r="AV2257" i="1"/>
  <c r="AU2257" i="1"/>
  <c r="AW2256" i="1"/>
  <c r="AV2256" i="1"/>
  <c r="AW2255" i="1"/>
  <c r="AV2255" i="1"/>
  <c r="AW2254" i="1"/>
  <c r="AV2254" i="1"/>
  <c r="AW2253" i="1"/>
  <c r="AV2253" i="1"/>
  <c r="AW2252" i="1"/>
  <c r="AV2252" i="1"/>
  <c r="AU2252" i="1"/>
  <c r="AW2251" i="1"/>
  <c r="AV2251" i="1"/>
  <c r="AU2251" i="1"/>
  <c r="AW2250" i="1"/>
  <c r="AV2250" i="1"/>
  <c r="AW2249" i="1"/>
  <c r="AV2249" i="1"/>
  <c r="AW2248" i="1"/>
  <c r="AV2248" i="1"/>
  <c r="AU2248" i="1"/>
  <c r="AW2247" i="1"/>
  <c r="AV2247" i="1"/>
  <c r="AW2246" i="1"/>
  <c r="AV2246" i="1"/>
  <c r="AW2245" i="1"/>
  <c r="AV2245" i="1"/>
  <c r="AW2244" i="1"/>
  <c r="AV2244" i="1"/>
  <c r="AU2244" i="1"/>
  <c r="AW2243" i="1"/>
  <c r="AV2243" i="1"/>
  <c r="AW2242" i="1"/>
  <c r="AV2242" i="1"/>
  <c r="AW2241" i="1"/>
  <c r="AV2241" i="1"/>
  <c r="AW2240" i="1"/>
  <c r="AV2240" i="1"/>
  <c r="AW2239" i="1"/>
  <c r="AV2239" i="1"/>
  <c r="AW2238" i="1"/>
  <c r="AV2238" i="1"/>
  <c r="AW2237" i="1"/>
  <c r="AV2237" i="1"/>
  <c r="AW2236" i="1"/>
  <c r="AV2236" i="1"/>
  <c r="AW2235" i="1"/>
  <c r="AV2235" i="1"/>
  <c r="AW2234" i="1"/>
  <c r="AV2234" i="1"/>
  <c r="AW2233" i="1"/>
  <c r="AV2233" i="1"/>
  <c r="AW2232" i="1"/>
  <c r="AV2232" i="1"/>
  <c r="AU2232" i="1"/>
  <c r="AW2231" i="1"/>
  <c r="AV2231" i="1"/>
  <c r="AW2230" i="1"/>
  <c r="AV2230" i="1"/>
  <c r="AW2229" i="1"/>
  <c r="AV2229" i="1"/>
  <c r="AW2228" i="1"/>
  <c r="AV2228" i="1"/>
  <c r="AW2227" i="1"/>
  <c r="AV2227" i="1"/>
  <c r="AW2226" i="1"/>
  <c r="AV2226" i="1"/>
  <c r="AW2225" i="1"/>
  <c r="AV2225" i="1"/>
  <c r="AW2224" i="1"/>
  <c r="AV2224" i="1"/>
  <c r="AW2223" i="1"/>
  <c r="AV2223" i="1"/>
  <c r="AW2222" i="1"/>
  <c r="AV2222" i="1"/>
  <c r="AW2221" i="1"/>
  <c r="AV2221" i="1"/>
  <c r="AW2220" i="1"/>
  <c r="AV2220" i="1"/>
  <c r="AW2219" i="1"/>
  <c r="AV2219" i="1"/>
  <c r="AU2219" i="1"/>
  <c r="AW2218" i="1"/>
  <c r="AV2218" i="1"/>
  <c r="AW2217" i="1"/>
  <c r="AV2217" i="1"/>
  <c r="AW2216" i="1"/>
  <c r="AV2216" i="1"/>
  <c r="AW2215" i="1"/>
  <c r="AV2215" i="1"/>
  <c r="AW2214" i="1"/>
  <c r="AV2214" i="1"/>
  <c r="AW2213" i="1"/>
  <c r="AV2213" i="1"/>
  <c r="AW2212" i="1"/>
  <c r="AV2212" i="1"/>
  <c r="AW2211" i="1"/>
  <c r="AV2211" i="1"/>
  <c r="AW2210" i="1"/>
  <c r="AV2210" i="1"/>
  <c r="AW2209" i="1"/>
  <c r="AV2209" i="1"/>
  <c r="AW2208" i="1"/>
  <c r="AV2208" i="1"/>
  <c r="AW2207" i="1"/>
  <c r="AV2207" i="1"/>
  <c r="AW2206" i="1"/>
  <c r="AV2206" i="1"/>
  <c r="AW2205" i="1"/>
  <c r="AV2205" i="1"/>
  <c r="AW2204" i="1"/>
  <c r="AV2204" i="1"/>
  <c r="AW2203" i="1"/>
  <c r="AV2203" i="1"/>
  <c r="AW2202" i="1"/>
  <c r="AV2202" i="1"/>
  <c r="AU2202" i="1"/>
  <c r="AW2201" i="1"/>
  <c r="AV2201" i="1"/>
  <c r="AW2200" i="1"/>
  <c r="AV2200" i="1"/>
  <c r="AW2199" i="1"/>
  <c r="AV2199" i="1"/>
  <c r="AW2198" i="1"/>
  <c r="AV2198" i="1"/>
  <c r="AU2198" i="1"/>
  <c r="AW2197" i="1"/>
  <c r="AV2197" i="1"/>
  <c r="AW2196" i="1"/>
  <c r="AV2196" i="1"/>
  <c r="AU2196" i="1"/>
  <c r="AW2195" i="1"/>
  <c r="AV2195" i="1"/>
  <c r="AW2194" i="1"/>
  <c r="AV2194" i="1"/>
  <c r="AW2193" i="1"/>
  <c r="AV2193" i="1"/>
  <c r="AW2192" i="1"/>
  <c r="AV2192" i="1"/>
  <c r="AW2191" i="1"/>
  <c r="AV2191" i="1"/>
  <c r="AW2190" i="1"/>
  <c r="AV2190" i="1"/>
  <c r="AW2189" i="1"/>
  <c r="AV2189" i="1"/>
  <c r="AW2188" i="1"/>
  <c r="AV2188" i="1"/>
  <c r="AU2188" i="1"/>
  <c r="AW2187" i="1"/>
  <c r="AV2187" i="1"/>
  <c r="AU2187" i="1"/>
  <c r="AW2186" i="1"/>
  <c r="AV2186" i="1"/>
  <c r="AW2185" i="1"/>
  <c r="AV2185" i="1"/>
  <c r="AW2184" i="1"/>
  <c r="AV2184" i="1"/>
  <c r="AW2183" i="1"/>
  <c r="AV2183" i="1"/>
  <c r="AW2182" i="1"/>
  <c r="AV2182" i="1"/>
  <c r="AU2182" i="1"/>
  <c r="AW2181" i="1"/>
  <c r="AV2181" i="1"/>
  <c r="AU2181" i="1"/>
  <c r="AW2180" i="1"/>
  <c r="AV2180" i="1"/>
  <c r="AW2179" i="1"/>
  <c r="AV2179" i="1"/>
  <c r="AW2178" i="1"/>
  <c r="AV2178" i="1"/>
  <c r="AW2177" i="1"/>
  <c r="AV2177" i="1"/>
  <c r="AW2176" i="1"/>
  <c r="AV2176" i="1"/>
  <c r="AU2176" i="1"/>
  <c r="AW2175" i="1"/>
  <c r="AV2175" i="1"/>
  <c r="AW2174" i="1"/>
  <c r="AV2174" i="1"/>
  <c r="AW2173" i="1"/>
  <c r="AV2173" i="1"/>
  <c r="AW2172" i="1"/>
  <c r="AV2172" i="1"/>
  <c r="AW2171" i="1"/>
  <c r="AV2171" i="1"/>
  <c r="AW2170" i="1"/>
  <c r="AV2170" i="1"/>
  <c r="AU2170" i="1"/>
  <c r="AW2169" i="1"/>
  <c r="AV2169" i="1"/>
  <c r="AW2168" i="1"/>
  <c r="AV2168" i="1"/>
  <c r="AW2167" i="1"/>
  <c r="AV2167" i="1"/>
  <c r="AW2166" i="1"/>
  <c r="AV2166" i="1"/>
  <c r="AW2165" i="1"/>
  <c r="AV2165" i="1"/>
  <c r="AU2165" i="1"/>
  <c r="AW2164" i="1"/>
  <c r="AV2164" i="1"/>
  <c r="AW2163" i="1"/>
  <c r="AV2163" i="1"/>
  <c r="AW2162" i="1"/>
  <c r="AV2162" i="1"/>
  <c r="AW2161" i="1"/>
  <c r="AV2161" i="1"/>
  <c r="AU2161" i="1"/>
  <c r="AW2160" i="1"/>
  <c r="AV2160" i="1"/>
  <c r="AW2159" i="1"/>
  <c r="AV2159" i="1"/>
  <c r="AW2158" i="1"/>
  <c r="AV2158" i="1"/>
  <c r="AU2158" i="1"/>
  <c r="AW2157" i="1"/>
  <c r="AV2157" i="1"/>
  <c r="AU2157" i="1"/>
  <c r="AW2156" i="1"/>
  <c r="AV2156" i="1"/>
  <c r="AW2155" i="1"/>
  <c r="AV2155" i="1"/>
  <c r="AW2154" i="1"/>
  <c r="AV2154" i="1"/>
  <c r="AW2153" i="1"/>
  <c r="AV2153" i="1"/>
  <c r="AW2152" i="1"/>
  <c r="AV2152" i="1"/>
  <c r="AW2151" i="1"/>
  <c r="AV2151" i="1"/>
  <c r="AW2150" i="1"/>
  <c r="AV2150" i="1"/>
  <c r="AU2150" i="1"/>
  <c r="AW2149" i="1"/>
  <c r="AV2149" i="1"/>
  <c r="AU2149" i="1"/>
  <c r="AW2148" i="1"/>
  <c r="AV2148" i="1"/>
  <c r="AW2147" i="1"/>
  <c r="AV2147" i="1"/>
  <c r="AW2146" i="1"/>
  <c r="AV2146" i="1"/>
  <c r="AU2146" i="1"/>
  <c r="AW2145" i="1"/>
  <c r="AV2145" i="1"/>
  <c r="AW2144" i="1"/>
  <c r="AV2144" i="1"/>
  <c r="AU2144" i="1"/>
  <c r="AW2143" i="1"/>
  <c r="AV2143" i="1"/>
  <c r="AW2142" i="1"/>
  <c r="AV2142" i="1"/>
  <c r="AW2141" i="1"/>
  <c r="AV2141" i="1"/>
  <c r="AW2140" i="1"/>
  <c r="AV2140" i="1"/>
  <c r="AU2140" i="1"/>
  <c r="AW2139" i="1"/>
  <c r="AV2139" i="1"/>
  <c r="AW2138" i="1"/>
  <c r="AV2138" i="1"/>
  <c r="AW2137" i="1"/>
  <c r="AV2137" i="1"/>
  <c r="AW2136" i="1"/>
  <c r="AV2136" i="1"/>
  <c r="AW2135" i="1"/>
  <c r="AV2135" i="1"/>
  <c r="AW2134" i="1"/>
  <c r="AV2134" i="1"/>
  <c r="AW2133" i="1"/>
  <c r="AV2133" i="1"/>
  <c r="AW2132" i="1"/>
  <c r="AV2132" i="1"/>
  <c r="AU2132" i="1"/>
  <c r="AW2131" i="1"/>
  <c r="AV2131" i="1"/>
  <c r="AW2130" i="1"/>
  <c r="AV2130" i="1"/>
  <c r="AW2129" i="1"/>
  <c r="AV2129" i="1"/>
  <c r="AW2128" i="1"/>
  <c r="AV2128" i="1"/>
  <c r="AW2127" i="1"/>
  <c r="AV2127" i="1"/>
  <c r="AW2126" i="1"/>
  <c r="AV2126" i="1"/>
  <c r="AW2125" i="1"/>
  <c r="AV2125" i="1"/>
  <c r="AW2124" i="1"/>
  <c r="AV2124" i="1"/>
  <c r="AW2123" i="1"/>
  <c r="AV2123" i="1"/>
  <c r="AW2122" i="1"/>
  <c r="AV2122" i="1"/>
  <c r="AW2121" i="1"/>
  <c r="AV2121" i="1"/>
  <c r="AU2121" i="1"/>
  <c r="AW2120" i="1"/>
  <c r="AV2120" i="1"/>
  <c r="AW2119" i="1"/>
  <c r="AV2119" i="1"/>
  <c r="AW2118" i="1"/>
  <c r="AV2118" i="1"/>
  <c r="AU2118" i="1"/>
  <c r="AW2117" i="1"/>
  <c r="AV2117" i="1"/>
  <c r="AW2116" i="1"/>
  <c r="AV2116" i="1"/>
  <c r="AW2115" i="1"/>
  <c r="AV2115" i="1"/>
  <c r="AW2114" i="1"/>
  <c r="AV2114" i="1"/>
  <c r="AU2114" i="1"/>
  <c r="AW2113" i="1"/>
  <c r="AV2113" i="1"/>
  <c r="AW2112" i="1"/>
  <c r="AV2112" i="1"/>
  <c r="AW2111" i="1"/>
  <c r="AV2111" i="1"/>
  <c r="AW2110" i="1"/>
  <c r="AV2110" i="1"/>
  <c r="AW2109" i="1"/>
  <c r="AV2109" i="1"/>
  <c r="AW2108" i="1"/>
  <c r="AV2108" i="1"/>
  <c r="AW2107" i="1"/>
  <c r="AV2107" i="1"/>
  <c r="AW2106" i="1"/>
  <c r="AV2106" i="1"/>
  <c r="AW2105" i="1"/>
  <c r="AV2105" i="1"/>
  <c r="AW2104" i="1"/>
  <c r="AV2104" i="1"/>
  <c r="AU2104" i="1"/>
  <c r="AW2103" i="1"/>
  <c r="AV2103" i="1"/>
  <c r="AW2102" i="1"/>
  <c r="AV2102" i="1"/>
  <c r="AW2101" i="1"/>
  <c r="AV2101" i="1"/>
  <c r="AW2100" i="1"/>
  <c r="AV2100" i="1"/>
  <c r="AW2099" i="1"/>
  <c r="AV2099" i="1"/>
  <c r="AW2098" i="1"/>
  <c r="AV2098" i="1"/>
  <c r="AW2097" i="1"/>
  <c r="AV2097" i="1"/>
  <c r="AU2097" i="1"/>
  <c r="AW2096" i="1"/>
  <c r="AV2096" i="1"/>
  <c r="AU2096" i="1"/>
  <c r="AW2095" i="1"/>
  <c r="AV2095" i="1"/>
  <c r="AW2094" i="1"/>
  <c r="AV2094" i="1"/>
  <c r="AW2093" i="1"/>
  <c r="AV2093" i="1"/>
  <c r="AW2092" i="1"/>
  <c r="AV2092" i="1"/>
  <c r="AW2091" i="1"/>
  <c r="AV2091" i="1"/>
  <c r="AW2090" i="1"/>
  <c r="AV2090" i="1"/>
  <c r="AW2089" i="1"/>
  <c r="AV2089" i="1"/>
  <c r="AW2088" i="1"/>
  <c r="AV2088" i="1"/>
  <c r="AW2087" i="1"/>
  <c r="AV2087" i="1"/>
  <c r="AW2086" i="1"/>
  <c r="AV2086" i="1"/>
  <c r="AW2085" i="1"/>
  <c r="AV2085" i="1"/>
  <c r="AW2084" i="1"/>
  <c r="AV2084" i="1"/>
  <c r="AW2083" i="1"/>
  <c r="AV2083" i="1"/>
  <c r="AW2082" i="1"/>
  <c r="AV2082" i="1"/>
  <c r="AU2082" i="1"/>
  <c r="AW2081" i="1"/>
  <c r="AV2081" i="1"/>
  <c r="AU2081" i="1"/>
  <c r="AW2080" i="1"/>
  <c r="AV2080" i="1"/>
  <c r="AW2079" i="1"/>
  <c r="AV2079" i="1"/>
  <c r="AU2079" i="1"/>
  <c r="AW2078" i="1"/>
  <c r="AV2078" i="1"/>
  <c r="AW2077" i="1"/>
  <c r="AV2077" i="1"/>
  <c r="AW2076" i="1"/>
  <c r="AV2076" i="1"/>
  <c r="AW2075" i="1"/>
  <c r="AV2075" i="1"/>
  <c r="AW2074" i="1"/>
  <c r="AV2074" i="1"/>
  <c r="AW2073" i="1"/>
  <c r="AV2073" i="1"/>
  <c r="AW2072" i="1"/>
  <c r="AV2072" i="1"/>
  <c r="AW2071" i="1"/>
  <c r="AV2071" i="1"/>
  <c r="AW2070" i="1"/>
  <c r="AV2070" i="1"/>
  <c r="AW2069" i="1"/>
  <c r="AV2069" i="1"/>
  <c r="AW2068" i="1"/>
  <c r="AV2068" i="1"/>
  <c r="AW2067" i="1"/>
  <c r="AV2067" i="1"/>
  <c r="AW2066" i="1"/>
  <c r="AV2066" i="1"/>
  <c r="AW2065" i="1"/>
  <c r="AV2065" i="1"/>
  <c r="AW2064" i="1"/>
  <c r="AV2064" i="1"/>
  <c r="AW2063" i="1"/>
  <c r="AV2063" i="1"/>
  <c r="AW2062" i="1"/>
  <c r="AV2062" i="1"/>
  <c r="AW2061" i="1"/>
  <c r="AV2061" i="1"/>
  <c r="AW2060" i="1"/>
  <c r="AV2060" i="1"/>
  <c r="AW2059" i="1"/>
  <c r="AV2059" i="1"/>
  <c r="AW2058" i="1"/>
  <c r="AV2058" i="1"/>
  <c r="AW2057" i="1"/>
  <c r="AV2057" i="1"/>
  <c r="AW2056" i="1"/>
  <c r="AV2056" i="1"/>
  <c r="AW2055" i="1"/>
  <c r="AV2055" i="1"/>
  <c r="AW2054" i="1"/>
  <c r="AV2054" i="1"/>
  <c r="AW2053" i="1"/>
  <c r="AV2053" i="1"/>
  <c r="AU2053" i="1"/>
  <c r="AW2052" i="1"/>
  <c r="AV2052" i="1"/>
  <c r="AW2051" i="1"/>
  <c r="AV2051" i="1"/>
  <c r="AW2050" i="1"/>
  <c r="AV2050" i="1"/>
  <c r="AW2049" i="1"/>
  <c r="AV2049" i="1"/>
  <c r="AW2048" i="1"/>
  <c r="AV2048" i="1"/>
  <c r="AW2047" i="1"/>
  <c r="AV2047" i="1"/>
  <c r="AW2046" i="1"/>
  <c r="AV2046" i="1"/>
  <c r="AW2045" i="1"/>
  <c r="AV2045" i="1"/>
  <c r="AW2044" i="1"/>
  <c r="AV2044" i="1"/>
  <c r="AU2044" i="1"/>
  <c r="AW2043" i="1"/>
  <c r="AV2043" i="1"/>
  <c r="AW2042" i="1"/>
  <c r="AV2042" i="1"/>
  <c r="AW2041" i="1"/>
  <c r="AV2041" i="1"/>
  <c r="AU2041" i="1"/>
  <c r="AW2040" i="1"/>
  <c r="AV2040" i="1"/>
  <c r="AW2039" i="1"/>
  <c r="AV2039" i="1"/>
  <c r="AW2038" i="1"/>
  <c r="AV2038" i="1"/>
  <c r="AW2037" i="1"/>
  <c r="AV2037" i="1"/>
  <c r="AW2036" i="1"/>
  <c r="AV2036" i="1"/>
  <c r="AW2035" i="1"/>
  <c r="AV2035" i="1"/>
  <c r="AW2034" i="1"/>
  <c r="AV2034" i="1"/>
  <c r="AW2033" i="1"/>
  <c r="AV2033" i="1"/>
  <c r="AW2032" i="1"/>
  <c r="AV2032" i="1"/>
  <c r="AW2031" i="1"/>
  <c r="AV2031" i="1"/>
  <c r="AW2030" i="1"/>
  <c r="AV2030" i="1"/>
  <c r="AW2029" i="1"/>
  <c r="AV2029" i="1"/>
  <c r="AW2028" i="1"/>
  <c r="AV2028" i="1"/>
  <c r="AW2027" i="1"/>
  <c r="AV2027" i="1"/>
  <c r="AW2026" i="1"/>
  <c r="AV2026" i="1"/>
  <c r="AW2025" i="1"/>
  <c r="AV2025" i="1"/>
  <c r="AW2024" i="1"/>
  <c r="AV2024" i="1"/>
  <c r="AW2023" i="1"/>
  <c r="AV2023" i="1"/>
  <c r="AW2022" i="1"/>
  <c r="AV2022" i="1"/>
  <c r="AW2021" i="1"/>
  <c r="AV2021" i="1"/>
  <c r="AW2020" i="1"/>
  <c r="AV2020" i="1"/>
  <c r="AW2019" i="1"/>
  <c r="AV2019" i="1"/>
  <c r="AU2019" i="1"/>
  <c r="AW2018" i="1"/>
  <c r="AV2018" i="1"/>
  <c r="AU2018" i="1"/>
  <c r="AW2017" i="1"/>
  <c r="AV2017" i="1"/>
  <c r="AW2016" i="1"/>
  <c r="AV2016" i="1"/>
  <c r="AW2015" i="1"/>
  <c r="AV2015" i="1"/>
  <c r="AW2014" i="1"/>
  <c r="AV2014" i="1"/>
  <c r="AW2013" i="1"/>
  <c r="AV2013" i="1"/>
  <c r="AW2012" i="1"/>
  <c r="AV2012" i="1"/>
  <c r="AU2012" i="1"/>
  <c r="AW2011" i="1"/>
  <c r="AV2011" i="1"/>
  <c r="AW2010" i="1"/>
  <c r="AV2010" i="1"/>
  <c r="AW2009" i="1"/>
  <c r="AV2009" i="1"/>
  <c r="AU2009" i="1"/>
  <c r="AW2008" i="1"/>
  <c r="AV2008" i="1"/>
  <c r="AW2007" i="1"/>
  <c r="AV2007" i="1"/>
  <c r="AW2006" i="1"/>
  <c r="AV2006" i="1"/>
  <c r="AW2005" i="1"/>
  <c r="AV2005" i="1"/>
  <c r="AW2004" i="1"/>
  <c r="AV2004" i="1"/>
  <c r="AW2003" i="1"/>
  <c r="AV2003" i="1"/>
  <c r="AW2002" i="1"/>
  <c r="AV2002" i="1"/>
  <c r="AW2001" i="1"/>
  <c r="AV2001" i="1"/>
  <c r="AW2000" i="1"/>
  <c r="AV2000" i="1"/>
  <c r="AW1999" i="1"/>
  <c r="AV1999" i="1"/>
  <c r="AW1998" i="1"/>
  <c r="AV1998" i="1"/>
  <c r="AW1997" i="1"/>
  <c r="AV1997" i="1"/>
  <c r="AW1996" i="1"/>
  <c r="AV1996" i="1"/>
  <c r="AW1995" i="1"/>
  <c r="AV1995" i="1"/>
  <c r="AW1994" i="1"/>
  <c r="AV1994" i="1"/>
  <c r="AW1993" i="1"/>
  <c r="AV1993" i="1"/>
  <c r="AW1992" i="1"/>
  <c r="AV1992" i="1"/>
  <c r="AW1991" i="1"/>
  <c r="AV1991" i="1"/>
  <c r="AW1990" i="1"/>
  <c r="AV1990" i="1"/>
  <c r="AW1989" i="1"/>
  <c r="AV1989" i="1"/>
  <c r="AW1988" i="1"/>
  <c r="AV1988" i="1"/>
  <c r="AW1987" i="1"/>
  <c r="AV1987" i="1"/>
  <c r="AU1987" i="1"/>
  <c r="AW1986" i="1"/>
  <c r="AV1986" i="1"/>
  <c r="AW1985" i="1"/>
  <c r="AV1985" i="1"/>
  <c r="AW1984" i="1"/>
  <c r="AV1984" i="1"/>
  <c r="AW1983" i="1"/>
  <c r="AV1983" i="1"/>
  <c r="AW1982" i="1"/>
  <c r="AV1982" i="1"/>
  <c r="AU1982" i="1"/>
  <c r="AW1981" i="1"/>
  <c r="AV1981" i="1"/>
  <c r="AU1981" i="1"/>
  <c r="AW1980" i="1"/>
  <c r="AV1980" i="1"/>
  <c r="AW1979" i="1"/>
  <c r="AV1979" i="1"/>
  <c r="AW1978" i="1"/>
  <c r="AV1978" i="1"/>
  <c r="AW1977" i="1"/>
  <c r="AV1977" i="1"/>
  <c r="AU1977" i="1"/>
  <c r="AW1976" i="1"/>
  <c r="AV1976" i="1"/>
  <c r="AU1976" i="1"/>
  <c r="AW1975" i="1"/>
  <c r="AV1975" i="1"/>
  <c r="AU1975" i="1"/>
  <c r="AW1974" i="1"/>
  <c r="AV1974" i="1"/>
  <c r="AU1974" i="1"/>
  <c r="AW1973" i="1"/>
  <c r="AV1973" i="1"/>
  <c r="AU1973" i="1"/>
  <c r="AW1972" i="1"/>
  <c r="AV1972" i="1"/>
  <c r="AU1972" i="1"/>
  <c r="AW1971" i="1"/>
  <c r="AV1971" i="1"/>
  <c r="AW1970" i="1"/>
  <c r="AV1970" i="1"/>
  <c r="AW1969" i="1"/>
  <c r="AV1969" i="1"/>
  <c r="AW1968" i="1"/>
  <c r="AV1968" i="1"/>
  <c r="AW1967" i="1"/>
  <c r="AV1967" i="1"/>
  <c r="AU1967" i="1"/>
  <c r="AW1966" i="1"/>
  <c r="AV1966" i="1"/>
  <c r="AU1966" i="1"/>
  <c r="AW1965" i="1"/>
  <c r="AV1965" i="1"/>
  <c r="AW1964" i="1"/>
  <c r="AV1964" i="1"/>
  <c r="AU1964" i="1"/>
  <c r="AW1963" i="1"/>
  <c r="AV1963" i="1"/>
  <c r="AU1963" i="1"/>
  <c r="AW1962" i="1"/>
  <c r="AV1962" i="1"/>
  <c r="AU1962" i="1"/>
  <c r="AW1961" i="1"/>
  <c r="AV1961" i="1"/>
  <c r="AU1961" i="1"/>
  <c r="AW1960" i="1"/>
  <c r="AV1960" i="1"/>
  <c r="AW1959" i="1"/>
  <c r="AV1959" i="1"/>
  <c r="AW1958" i="1"/>
  <c r="AV1958" i="1"/>
  <c r="AW1957" i="1"/>
  <c r="AV1957" i="1"/>
  <c r="AW1956" i="1"/>
  <c r="AV1956" i="1"/>
  <c r="AU1956" i="1"/>
  <c r="AW1955" i="1"/>
  <c r="AV1955" i="1"/>
  <c r="AW1954" i="1"/>
  <c r="AV1954" i="1"/>
  <c r="AU1954" i="1"/>
  <c r="AW1953" i="1"/>
  <c r="AV1953" i="1"/>
  <c r="AU1953" i="1"/>
  <c r="AW1952" i="1"/>
  <c r="AV1952" i="1"/>
  <c r="AW1951" i="1"/>
  <c r="AV1951" i="1"/>
  <c r="AU1951" i="1"/>
  <c r="AW1950" i="1"/>
  <c r="AV1950" i="1"/>
  <c r="AW1949" i="1"/>
  <c r="AV1949" i="1"/>
  <c r="AW1948" i="1"/>
  <c r="AV1948" i="1"/>
  <c r="AW1947" i="1"/>
  <c r="AV1947" i="1"/>
  <c r="AW1946" i="1"/>
  <c r="AV1946" i="1"/>
  <c r="AU1946" i="1"/>
  <c r="AW1945" i="1"/>
  <c r="AV1945" i="1"/>
  <c r="AU1945" i="1"/>
  <c r="AW1944" i="1"/>
  <c r="AV1944" i="1"/>
  <c r="AU1944" i="1"/>
  <c r="AW1943" i="1"/>
  <c r="AV1943" i="1"/>
  <c r="AW1942" i="1"/>
  <c r="AV1942" i="1"/>
  <c r="AU1942" i="1"/>
  <c r="AW1941" i="1"/>
  <c r="AV1941" i="1"/>
  <c r="AW1940" i="1"/>
  <c r="AV1940" i="1"/>
  <c r="AW1939" i="1"/>
  <c r="AV1939" i="1"/>
  <c r="AW1938" i="1"/>
  <c r="AV1938" i="1"/>
  <c r="AW1937" i="1"/>
  <c r="AV1937" i="1"/>
  <c r="AW1936" i="1"/>
  <c r="AV1936" i="1"/>
  <c r="AU1936" i="1"/>
  <c r="AW1935" i="1"/>
  <c r="AV1935" i="1"/>
  <c r="AU1935" i="1"/>
  <c r="AW1934" i="1"/>
  <c r="AV1934" i="1"/>
  <c r="AU1934" i="1"/>
  <c r="AW1933" i="1"/>
  <c r="AV1933" i="1"/>
  <c r="AW1932" i="1"/>
  <c r="AV1932" i="1"/>
  <c r="AW1931" i="1"/>
  <c r="AV1931" i="1"/>
  <c r="AW1930" i="1"/>
  <c r="AV1930" i="1"/>
  <c r="AW1929" i="1"/>
  <c r="AV1929" i="1"/>
  <c r="AU1929" i="1"/>
  <c r="AW1928" i="1"/>
  <c r="AV1928" i="1"/>
  <c r="AU1928" i="1"/>
  <c r="AW1927" i="1"/>
  <c r="AV1927" i="1"/>
  <c r="AU1927" i="1"/>
  <c r="AW1926" i="1"/>
  <c r="AV1926" i="1"/>
  <c r="AW1925" i="1"/>
  <c r="AV1925" i="1"/>
  <c r="AW1924" i="1"/>
  <c r="AV1924" i="1"/>
  <c r="AW1923" i="1"/>
  <c r="AV1923" i="1"/>
  <c r="AW1922" i="1"/>
  <c r="AV1922" i="1"/>
  <c r="AU1922" i="1"/>
  <c r="AW1921" i="1"/>
  <c r="AV1921" i="1"/>
  <c r="AW1920" i="1"/>
  <c r="AV1920" i="1"/>
  <c r="AU1920" i="1"/>
  <c r="AW1919" i="1"/>
  <c r="AV1919" i="1"/>
  <c r="AW1918" i="1"/>
  <c r="AV1918" i="1"/>
  <c r="AW1917" i="1"/>
  <c r="AV1917" i="1"/>
  <c r="AU1917" i="1"/>
  <c r="AW1916" i="1"/>
  <c r="AV1916" i="1"/>
  <c r="AW1915" i="1"/>
  <c r="AV1915" i="1"/>
  <c r="AW1914" i="1"/>
  <c r="AV1914" i="1"/>
  <c r="AW1913" i="1"/>
  <c r="AV1913" i="1"/>
  <c r="AW1912" i="1"/>
  <c r="AV1912" i="1"/>
  <c r="AW1911" i="1"/>
  <c r="AV1911" i="1"/>
  <c r="AW1910" i="1"/>
  <c r="AV1910" i="1"/>
  <c r="AW1909" i="1"/>
  <c r="AV1909" i="1"/>
  <c r="AW1908" i="1"/>
  <c r="AV1908" i="1"/>
  <c r="AW1907" i="1"/>
  <c r="AV1907" i="1"/>
  <c r="AW1906" i="1"/>
  <c r="AV1906" i="1"/>
  <c r="AW1905" i="1"/>
  <c r="AV1905" i="1"/>
  <c r="AW1904" i="1"/>
  <c r="AV1904" i="1"/>
  <c r="AW1903" i="1"/>
  <c r="AV1903" i="1"/>
  <c r="AW1902" i="1"/>
  <c r="AV1902" i="1"/>
  <c r="AU1902" i="1"/>
  <c r="AW1901" i="1"/>
  <c r="AV1901" i="1"/>
  <c r="AU1901" i="1"/>
  <c r="AW1900" i="1"/>
  <c r="AV1900" i="1"/>
  <c r="AW1899" i="1"/>
  <c r="AV1899" i="1"/>
  <c r="AU1899" i="1"/>
  <c r="AW1898" i="1"/>
  <c r="AV1898" i="1"/>
  <c r="AU1898" i="1"/>
  <c r="AW1897" i="1"/>
  <c r="AV1897" i="1"/>
  <c r="AU1897" i="1"/>
  <c r="AW1896" i="1"/>
  <c r="AV1896" i="1"/>
  <c r="AU1896" i="1"/>
  <c r="AW1895" i="1"/>
  <c r="AV1895" i="1"/>
  <c r="AU1895" i="1"/>
  <c r="AW1894" i="1"/>
  <c r="AV1894" i="1"/>
  <c r="AU1894" i="1"/>
  <c r="AW1893" i="1"/>
  <c r="AV1893" i="1"/>
  <c r="AU1893" i="1"/>
  <c r="AW1892" i="1"/>
  <c r="AV1892" i="1"/>
  <c r="AW1891" i="1"/>
  <c r="AV1891" i="1"/>
  <c r="AW1890" i="1"/>
  <c r="AV1890" i="1"/>
  <c r="AW1889" i="1"/>
  <c r="AV1889" i="1"/>
  <c r="AU1889" i="1"/>
  <c r="AW1888" i="1"/>
  <c r="AV1888" i="1"/>
  <c r="AU1888" i="1"/>
  <c r="AW1887" i="1"/>
  <c r="AV1887" i="1"/>
  <c r="AU1887" i="1"/>
  <c r="AW1886" i="1"/>
  <c r="AV1886" i="1"/>
  <c r="AW1885" i="1"/>
  <c r="AV1885" i="1"/>
  <c r="AW1884" i="1"/>
  <c r="AV1884" i="1"/>
  <c r="AU1884" i="1"/>
  <c r="AW1883" i="1"/>
  <c r="AV1883" i="1"/>
  <c r="AU1883" i="1"/>
  <c r="AW1882" i="1"/>
  <c r="AV1882" i="1"/>
  <c r="AW1881" i="1"/>
  <c r="AV1881" i="1"/>
  <c r="AU1881" i="1"/>
  <c r="AW1880" i="1"/>
  <c r="AV1880" i="1"/>
  <c r="AU1880" i="1"/>
  <c r="AW1879" i="1"/>
  <c r="AV1879" i="1"/>
  <c r="AU1879" i="1"/>
  <c r="AW1878" i="1"/>
  <c r="AV1878" i="1"/>
  <c r="AW1877" i="1"/>
  <c r="AV1877" i="1"/>
  <c r="AU1877" i="1"/>
  <c r="AW1876" i="1"/>
  <c r="AV1876" i="1"/>
  <c r="AU1876" i="1"/>
  <c r="AW1875" i="1"/>
  <c r="AV1875" i="1"/>
  <c r="AW1874" i="1"/>
  <c r="AV1874" i="1"/>
  <c r="AW1873" i="1"/>
  <c r="AV1873" i="1"/>
  <c r="AW1872" i="1"/>
  <c r="AV1872" i="1"/>
  <c r="AW1871" i="1"/>
  <c r="AV1871" i="1"/>
  <c r="AW1870" i="1"/>
  <c r="AV1870" i="1"/>
  <c r="AU1870" i="1"/>
  <c r="AW1869" i="1"/>
  <c r="AV1869" i="1"/>
  <c r="AU1869" i="1"/>
  <c r="AW1868" i="1"/>
  <c r="AV1868" i="1"/>
  <c r="AW1867" i="1"/>
  <c r="AV1867" i="1"/>
  <c r="AW1866" i="1"/>
  <c r="AV1866" i="1"/>
  <c r="AW1865" i="1"/>
  <c r="AV1865" i="1"/>
  <c r="AW1864" i="1"/>
  <c r="AV1864" i="1"/>
  <c r="AW1863" i="1"/>
  <c r="AV1863" i="1"/>
  <c r="AW1862" i="1"/>
  <c r="AV1862" i="1"/>
  <c r="AW1861" i="1"/>
  <c r="AV1861" i="1"/>
  <c r="AW1860" i="1"/>
  <c r="AV1860" i="1"/>
  <c r="AW1859" i="1"/>
  <c r="AV1859" i="1"/>
  <c r="AW1858" i="1"/>
  <c r="AV1858" i="1"/>
  <c r="AW1857" i="1"/>
  <c r="AV1857" i="1"/>
  <c r="AW1856" i="1"/>
  <c r="AV1856" i="1"/>
  <c r="AW1855" i="1"/>
  <c r="AV1855" i="1"/>
  <c r="AW1854" i="1"/>
  <c r="AV1854" i="1"/>
  <c r="AW1853" i="1"/>
  <c r="AV1853" i="1"/>
  <c r="AW1852" i="1"/>
  <c r="AV1852" i="1"/>
  <c r="AW1851" i="1"/>
  <c r="AV1851" i="1"/>
  <c r="AW1850" i="1"/>
  <c r="AV1850" i="1"/>
  <c r="AW1849" i="1"/>
  <c r="AV1849" i="1"/>
  <c r="AW1848" i="1"/>
  <c r="AV1848" i="1"/>
  <c r="AW1847" i="1"/>
  <c r="AV1847" i="1"/>
  <c r="AW1846" i="1"/>
  <c r="AV1846" i="1"/>
  <c r="AW1845" i="1"/>
  <c r="AV1845" i="1"/>
  <c r="AW1844" i="1"/>
  <c r="AV1844" i="1"/>
  <c r="AW1843" i="1"/>
  <c r="AV1843" i="1"/>
  <c r="AW1842" i="1"/>
  <c r="AV1842" i="1"/>
  <c r="AW1841" i="1"/>
  <c r="AV1841" i="1"/>
  <c r="AW1840" i="1"/>
  <c r="AV1840" i="1"/>
  <c r="AW1839" i="1"/>
  <c r="AV1839" i="1"/>
  <c r="AW1838" i="1"/>
  <c r="AV1838" i="1"/>
  <c r="AW1837" i="1"/>
  <c r="AV1837" i="1"/>
  <c r="AW1836" i="1"/>
  <c r="AV1836" i="1"/>
  <c r="AW1835" i="1"/>
  <c r="AV1835" i="1"/>
  <c r="AW1834" i="1"/>
  <c r="AV1834" i="1"/>
  <c r="AW1833" i="1"/>
  <c r="AV1833" i="1"/>
  <c r="AW1832" i="1"/>
  <c r="AV1832" i="1"/>
  <c r="AW1831" i="1"/>
  <c r="AV1831" i="1"/>
  <c r="AW1830" i="1"/>
  <c r="AV1830" i="1"/>
  <c r="AW1829" i="1"/>
  <c r="AV1829" i="1"/>
  <c r="AW1828" i="1"/>
  <c r="AV1828" i="1"/>
  <c r="AW1827" i="1"/>
  <c r="AV1827" i="1"/>
  <c r="AW1826" i="1"/>
  <c r="AV1826" i="1"/>
  <c r="AW1825" i="1"/>
  <c r="AV1825" i="1"/>
  <c r="AW1824" i="1"/>
  <c r="AV1824" i="1"/>
  <c r="AW1823" i="1"/>
  <c r="AV1823" i="1"/>
  <c r="AW1822" i="1"/>
  <c r="AV1822" i="1"/>
  <c r="AW1821" i="1"/>
  <c r="AV1821" i="1"/>
  <c r="AW1820" i="1"/>
  <c r="AV1820" i="1"/>
  <c r="AW1819" i="1"/>
  <c r="AV1819" i="1"/>
  <c r="AW1818" i="1"/>
  <c r="AV1818" i="1"/>
  <c r="AW1817" i="1"/>
  <c r="AV1817" i="1"/>
  <c r="AU1817" i="1"/>
  <c r="AW1816" i="1"/>
  <c r="AV1816" i="1"/>
  <c r="AW1815" i="1"/>
  <c r="AV1815" i="1"/>
  <c r="AW1814" i="1"/>
  <c r="AV1814" i="1"/>
  <c r="AW1813" i="1"/>
  <c r="AV1813" i="1"/>
  <c r="AW1812" i="1"/>
  <c r="AV1812" i="1"/>
  <c r="AW1811" i="1"/>
  <c r="AV1811" i="1"/>
  <c r="AW1810" i="1"/>
  <c r="AV1810" i="1"/>
  <c r="AW1809" i="1"/>
  <c r="AV1809" i="1"/>
  <c r="AW1808" i="1"/>
  <c r="AV1808" i="1"/>
  <c r="AW1807" i="1"/>
  <c r="AV1807" i="1"/>
  <c r="AU1807" i="1"/>
  <c r="AW1806" i="1"/>
  <c r="AV1806" i="1"/>
  <c r="AW1805" i="1"/>
  <c r="AV1805" i="1"/>
  <c r="AW1804" i="1"/>
  <c r="AV1804" i="1"/>
  <c r="AW1803" i="1"/>
  <c r="AV1803" i="1"/>
  <c r="AW1802" i="1"/>
  <c r="AV1802" i="1"/>
  <c r="AU1802" i="1"/>
  <c r="AW1801" i="1"/>
  <c r="AV1801" i="1"/>
  <c r="AW1800" i="1"/>
  <c r="AV1800" i="1"/>
  <c r="AW1799" i="1"/>
  <c r="AV1799" i="1"/>
  <c r="AU1799" i="1"/>
  <c r="AW1798" i="1"/>
  <c r="AV1798" i="1"/>
  <c r="AW1797" i="1"/>
  <c r="AV1797" i="1"/>
  <c r="AU1797" i="1"/>
  <c r="AW1796" i="1"/>
  <c r="AV1796" i="1"/>
  <c r="AU1796" i="1"/>
  <c r="AW1795" i="1"/>
  <c r="AV1795" i="1"/>
  <c r="AU1795" i="1"/>
  <c r="AW1794" i="1"/>
  <c r="AV1794" i="1"/>
  <c r="AW1793" i="1"/>
  <c r="AV1793" i="1"/>
  <c r="AW1792" i="1"/>
  <c r="AV1792" i="1"/>
  <c r="AW1791" i="1"/>
  <c r="AV1791" i="1"/>
  <c r="AW1790" i="1"/>
  <c r="AV1790" i="1"/>
  <c r="AU1790" i="1"/>
  <c r="AW1789" i="1"/>
  <c r="AV1789" i="1"/>
  <c r="AU1789" i="1"/>
  <c r="AW1788" i="1"/>
  <c r="AV1788" i="1"/>
  <c r="AU1788" i="1"/>
  <c r="AW1787" i="1"/>
  <c r="AV1787" i="1"/>
  <c r="AU1787" i="1"/>
  <c r="AW1786" i="1"/>
  <c r="AV1786" i="1"/>
  <c r="AU1786" i="1"/>
  <c r="AW1785" i="1"/>
  <c r="AV1785" i="1"/>
  <c r="AW1784" i="1"/>
  <c r="AV1784" i="1"/>
  <c r="AW1783" i="1"/>
  <c r="AV1783" i="1"/>
  <c r="AW1782" i="1"/>
  <c r="AV1782" i="1"/>
  <c r="AU1782" i="1"/>
  <c r="AW1781" i="1"/>
  <c r="AV1781" i="1"/>
  <c r="AW1780" i="1"/>
  <c r="AV1780" i="1"/>
  <c r="AU1780" i="1"/>
  <c r="AW1779" i="1"/>
  <c r="AV1779" i="1"/>
  <c r="AU1779" i="1"/>
  <c r="AW1778" i="1"/>
  <c r="AV1778" i="1"/>
  <c r="AU1778" i="1"/>
  <c r="AW1777" i="1"/>
  <c r="AV1777" i="1"/>
  <c r="AW1776" i="1"/>
  <c r="AV1776" i="1"/>
  <c r="AW1775" i="1"/>
  <c r="AV1775" i="1"/>
  <c r="AU1775" i="1"/>
  <c r="AW1774" i="1"/>
  <c r="AV1774" i="1"/>
  <c r="AU1774" i="1"/>
  <c r="AW1773" i="1"/>
  <c r="AV1773" i="1"/>
  <c r="AW1772" i="1"/>
  <c r="AV1772" i="1"/>
  <c r="AW1771" i="1"/>
  <c r="AV1771" i="1"/>
  <c r="AW1770" i="1"/>
  <c r="AV1770" i="1"/>
  <c r="AW1769" i="1"/>
  <c r="AV1769" i="1"/>
  <c r="AW1768" i="1"/>
  <c r="AV1768" i="1"/>
  <c r="AW1767" i="1"/>
  <c r="AV1767" i="1"/>
  <c r="AW1766" i="1"/>
  <c r="AV1766" i="1"/>
  <c r="AW1765" i="1"/>
  <c r="AV1765" i="1"/>
  <c r="AW1764" i="1"/>
  <c r="AV1764" i="1"/>
  <c r="AW1763" i="1"/>
  <c r="AV1763" i="1"/>
  <c r="AW1762" i="1"/>
  <c r="AV1762" i="1"/>
  <c r="AU1762" i="1"/>
  <c r="AW1761" i="1"/>
  <c r="AV1761" i="1"/>
  <c r="AW1760" i="1"/>
  <c r="AV1760" i="1"/>
  <c r="AW1759" i="1"/>
  <c r="AV1759" i="1"/>
  <c r="AW1758" i="1"/>
  <c r="AV1758" i="1"/>
  <c r="AU1758" i="1"/>
  <c r="AW1757" i="1"/>
  <c r="AV1757" i="1"/>
  <c r="AU1757" i="1"/>
  <c r="AW1756" i="1"/>
  <c r="AV1756" i="1"/>
  <c r="AW1755" i="1"/>
  <c r="AV1755" i="1"/>
  <c r="AW1754" i="1"/>
  <c r="AV1754" i="1"/>
  <c r="AU1754" i="1"/>
  <c r="AW1753" i="1"/>
  <c r="AV1753" i="1"/>
  <c r="AW1752" i="1"/>
  <c r="AV1752" i="1"/>
  <c r="AW1751" i="1"/>
  <c r="AV1751" i="1"/>
  <c r="AW1750" i="1"/>
  <c r="AV1750" i="1"/>
  <c r="AW1749" i="1"/>
  <c r="AV1749" i="1"/>
  <c r="AW1748" i="1"/>
  <c r="AV1748" i="1"/>
  <c r="AU1748" i="1"/>
  <c r="AW1747" i="1"/>
  <c r="AV1747" i="1"/>
  <c r="AU1747" i="1"/>
  <c r="AW1746" i="1"/>
  <c r="AV1746" i="1"/>
  <c r="AW1745" i="1"/>
  <c r="AV1745" i="1"/>
  <c r="AW1744" i="1"/>
  <c r="AV1744" i="1"/>
  <c r="AU1744" i="1"/>
  <c r="AW1743" i="1"/>
  <c r="AV1743" i="1"/>
  <c r="AU1743" i="1"/>
  <c r="AW1742" i="1"/>
  <c r="AV1742" i="1"/>
  <c r="AU1742" i="1"/>
  <c r="AW1741" i="1"/>
  <c r="AV1741" i="1"/>
  <c r="AU1741" i="1"/>
  <c r="AW1740" i="1"/>
  <c r="AV1740" i="1"/>
  <c r="AU1740" i="1"/>
  <c r="AW1739" i="1"/>
  <c r="AV1739" i="1"/>
  <c r="AW1738" i="1"/>
  <c r="AV1738" i="1"/>
  <c r="AU1738" i="1"/>
  <c r="AW1737" i="1"/>
  <c r="AV1737" i="1"/>
  <c r="AU1737" i="1"/>
  <c r="AW1736" i="1"/>
  <c r="AV1736" i="1"/>
  <c r="AW1735" i="1"/>
  <c r="AV1735" i="1"/>
  <c r="AW1734" i="1"/>
  <c r="AV1734" i="1"/>
  <c r="AW1733" i="1"/>
  <c r="AV1733" i="1"/>
  <c r="AW1732" i="1"/>
  <c r="AV1732" i="1"/>
  <c r="AU1732" i="1"/>
  <c r="AW1731" i="1"/>
  <c r="AV1731" i="1"/>
  <c r="AU1731" i="1"/>
  <c r="AW1730" i="1"/>
  <c r="AV1730" i="1"/>
  <c r="AU1730" i="1"/>
  <c r="AW1729" i="1"/>
  <c r="AV1729" i="1"/>
  <c r="AW1728" i="1"/>
  <c r="AV1728" i="1"/>
  <c r="AU1728" i="1"/>
  <c r="AW1727" i="1"/>
  <c r="AV1727" i="1"/>
  <c r="AU1727" i="1"/>
  <c r="AW1726" i="1"/>
  <c r="AV1726" i="1"/>
  <c r="AU1726" i="1"/>
  <c r="AW1725" i="1"/>
  <c r="AV1725" i="1"/>
  <c r="AU1725" i="1"/>
  <c r="AW1724" i="1"/>
  <c r="AV1724" i="1"/>
  <c r="AW1723" i="1"/>
  <c r="AV1723" i="1"/>
  <c r="AW1722" i="1"/>
  <c r="AV1722" i="1"/>
  <c r="AW1721" i="1"/>
  <c r="AV1721" i="1"/>
  <c r="AU1721" i="1"/>
  <c r="AW1720" i="1"/>
  <c r="AV1720" i="1"/>
  <c r="AW1719" i="1"/>
  <c r="AV1719" i="1"/>
  <c r="AW1718" i="1"/>
  <c r="AV1718" i="1"/>
  <c r="AW1717" i="1"/>
  <c r="AV1717" i="1"/>
  <c r="AW1716" i="1"/>
  <c r="AV1716" i="1"/>
  <c r="AU1716" i="1"/>
  <c r="AW1715" i="1"/>
  <c r="AV1715" i="1"/>
  <c r="AW1714" i="1"/>
  <c r="AV1714" i="1"/>
  <c r="AW1713" i="1"/>
  <c r="AV1713" i="1"/>
  <c r="AU1713" i="1"/>
  <c r="AW1712" i="1"/>
  <c r="AV1712" i="1"/>
  <c r="AU1712" i="1"/>
  <c r="AW1711" i="1"/>
  <c r="AV1711" i="1"/>
  <c r="AU1711" i="1"/>
  <c r="AW1710" i="1"/>
  <c r="AV1710" i="1"/>
  <c r="AU1710" i="1"/>
  <c r="AW1709" i="1"/>
  <c r="AV1709" i="1"/>
  <c r="AW1708" i="1"/>
  <c r="AV1708" i="1"/>
  <c r="AU1708" i="1"/>
  <c r="AW1707" i="1"/>
  <c r="AV1707" i="1"/>
  <c r="AW1706" i="1"/>
  <c r="AV1706" i="1"/>
  <c r="AW1705" i="1"/>
  <c r="AV1705" i="1"/>
  <c r="AW1704" i="1"/>
  <c r="AV1704" i="1"/>
  <c r="AW1703" i="1"/>
  <c r="AV1703" i="1"/>
  <c r="AW1702" i="1"/>
  <c r="AV1702" i="1"/>
  <c r="AW1701" i="1"/>
  <c r="AV1701" i="1"/>
  <c r="AW1700" i="1"/>
  <c r="AV1700" i="1"/>
  <c r="AW1699" i="1"/>
  <c r="AV1699" i="1"/>
  <c r="AW1698" i="1"/>
  <c r="AV1698" i="1"/>
  <c r="AW1697" i="1"/>
  <c r="AV1697" i="1"/>
  <c r="AW1696" i="1"/>
  <c r="AV1696" i="1"/>
  <c r="AW1695" i="1"/>
  <c r="AV1695" i="1"/>
  <c r="AU1695" i="1"/>
  <c r="AW1694" i="1"/>
  <c r="AV1694" i="1"/>
  <c r="AW1693" i="1"/>
  <c r="AV1693" i="1"/>
  <c r="AW1692" i="1"/>
  <c r="AV1692" i="1"/>
  <c r="AW1691" i="1"/>
  <c r="AV1691" i="1"/>
  <c r="AW1690" i="1"/>
  <c r="AV1690" i="1"/>
  <c r="AW1689" i="1"/>
  <c r="AV1689" i="1"/>
  <c r="AU1689" i="1"/>
  <c r="AW1688" i="1"/>
  <c r="AV1688" i="1"/>
  <c r="AU1688" i="1"/>
  <c r="AW1687" i="1"/>
  <c r="AV1687" i="1"/>
  <c r="AW1686" i="1"/>
  <c r="AV1686" i="1"/>
  <c r="AU1686" i="1"/>
  <c r="AW1685" i="1"/>
  <c r="AV1685" i="1"/>
  <c r="AU1685" i="1"/>
  <c r="AW1684" i="1"/>
  <c r="AV1684" i="1"/>
  <c r="AW1683" i="1"/>
  <c r="AV1683" i="1"/>
  <c r="AU1683" i="1"/>
  <c r="AW1682" i="1"/>
  <c r="AV1682" i="1"/>
  <c r="AU1682" i="1"/>
  <c r="AW1681" i="1"/>
  <c r="AV1681" i="1"/>
  <c r="AU1681" i="1"/>
  <c r="AW1680" i="1"/>
  <c r="AV1680" i="1"/>
  <c r="AW1679" i="1"/>
  <c r="AV1679" i="1"/>
  <c r="AW1678" i="1"/>
  <c r="AV1678" i="1"/>
  <c r="AW1677" i="1"/>
  <c r="AV1677" i="1"/>
  <c r="AU1677" i="1"/>
  <c r="AW1676" i="1"/>
  <c r="AV1676" i="1"/>
  <c r="AU1676" i="1"/>
  <c r="AW1675" i="1"/>
  <c r="AV1675" i="1"/>
  <c r="AU1675" i="1"/>
  <c r="AW1674" i="1"/>
  <c r="AV1674" i="1"/>
  <c r="AU1674" i="1"/>
  <c r="AW1673" i="1"/>
  <c r="AV1673" i="1"/>
  <c r="AW1672" i="1"/>
  <c r="AV1672" i="1"/>
  <c r="AW1671" i="1"/>
  <c r="AV1671" i="1"/>
  <c r="AU1671" i="1"/>
  <c r="AW1670" i="1"/>
  <c r="AV1670" i="1"/>
  <c r="AU1670" i="1"/>
  <c r="AW1669" i="1"/>
  <c r="AV1669" i="1"/>
  <c r="AW1668" i="1"/>
  <c r="AV1668" i="1"/>
  <c r="AW1667" i="1"/>
  <c r="AV1667" i="1"/>
  <c r="AW1666" i="1"/>
  <c r="AV1666" i="1"/>
  <c r="AW1665" i="1"/>
  <c r="AV1665" i="1"/>
  <c r="AU1665" i="1"/>
  <c r="AW1664" i="1"/>
  <c r="AV1664" i="1"/>
  <c r="AW1663" i="1"/>
  <c r="AV1663" i="1"/>
  <c r="AW1662" i="1"/>
  <c r="AV1662" i="1"/>
  <c r="AU1662" i="1"/>
  <c r="AW1661" i="1"/>
  <c r="AV1661" i="1"/>
  <c r="AU1661" i="1"/>
  <c r="AW1660" i="1"/>
  <c r="AV1660" i="1"/>
  <c r="AW1659" i="1"/>
  <c r="AV1659" i="1"/>
  <c r="AW1658" i="1"/>
  <c r="AV1658" i="1"/>
  <c r="AW1657" i="1"/>
  <c r="AV1657" i="1"/>
  <c r="AW1656" i="1"/>
  <c r="AV1656" i="1"/>
  <c r="AW1655" i="1"/>
  <c r="AV1655" i="1"/>
  <c r="AW1654" i="1"/>
  <c r="AV1654" i="1"/>
  <c r="AW1653" i="1"/>
  <c r="AV1653" i="1"/>
  <c r="AU1653" i="1"/>
  <c r="AW1652" i="1"/>
  <c r="AV1652" i="1"/>
  <c r="AU1652" i="1"/>
  <c r="AW1651" i="1"/>
  <c r="AV1651" i="1"/>
  <c r="AU1651" i="1"/>
  <c r="AW1650" i="1"/>
  <c r="AV1650" i="1"/>
  <c r="AU1650" i="1"/>
  <c r="AW1649" i="1"/>
  <c r="AV1649" i="1"/>
  <c r="AW1648" i="1"/>
  <c r="AV1648" i="1"/>
  <c r="AW1647" i="1"/>
  <c r="AV1647" i="1"/>
  <c r="AW1646" i="1"/>
  <c r="AV1646" i="1"/>
  <c r="AU1646" i="1"/>
  <c r="AW1645" i="1"/>
  <c r="AV1645" i="1"/>
  <c r="AW1644" i="1"/>
  <c r="AV1644" i="1"/>
  <c r="AW1643" i="1"/>
  <c r="AV1643" i="1"/>
  <c r="AU1643" i="1"/>
  <c r="AW1642" i="1"/>
  <c r="AV1642" i="1"/>
  <c r="AU1642" i="1"/>
  <c r="AW1641" i="1"/>
  <c r="AV1641" i="1"/>
  <c r="AW1640" i="1"/>
  <c r="AV1640" i="1"/>
  <c r="AU1640" i="1"/>
  <c r="AW1639" i="1"/>
  <c r="AV1639" i="1"/>
  <c r="AW1638" i="1"/>
  <c r="AV1638" i="1"/>
  <c r="AU1638" i="1"/>
  <c r="AW1637" i="1"/>
  <c r="AV1637" i="1"/>
  <c r="AU1637" i="1"/>
  <c r="AW1636" i="1"/>
  <c r="AV1636" i="1"/>
  <c r="AW1635" i="1"/>
  <c r="AV1635" i="1"/>
  <c r="AW1634" i="1"/>
  <c r="AV1634" i="1"/>
  <c r="AW1633" i="1"/>
  <c r="AV1633" i="1"/>
  <c r="AW1632" i="1"/>
  <c r="AV1632" i="1"/>
  <c r="AW1631" i="1"/>
  <c r="AV1631" i="1"/>
  <c r="AU1631" i="1"/>
  <c r="AW1630" i="1"/>
  <c r="AV1630" i="1"/>
  <c r="AU1630" i="1"/>
  <c r="AW1629" i="1"/>
  <c r="AV1629" i="1"/>
  <c r="AU1629" i="1"/>
  <c r="AW1628" i="1"/>
  <c r="AV1628" i="1"/>
  <c r="AU1628" i="1"/>
  <c r="AW1627" i="1"/>
  <c r="AV1627" i="1"/>
  <c r="AW1626" i="1"/>
  <c r="AV1626" i="1"/>
  <c r="AW1625" i="1"/>
  <c r="AV1625" i="1"/>
  <c r="AW1624" i="1"/>
  <c r="AV1624" i="1"/>
  <c r="AW1623" i="1"/>
  <c r="AV1623" i="1"/>
  <c r="AW1622" i="1"/>
  <c r="AV1622" i="1"/>
  <c r="AW1621" i="1"/>
  <c r="AV1621" i="1"/>
  <c r="AW1620" i="1"/>
  <c r="AV1620" i="1"/>
  <c r="AW1619" i="1"/>
  <c r="AV1619" i="1"/>
  <c r="AW1618" i="1"/>
  <c r="AV1618" i="1"/>
  <c r="AW1617" i="1"/>
  <c r="AV1617" i="1"/>
  <c r="AW1616" i="1"/>
  <c r="AV1616" i="1"/>
  <c r="AW1615" i="1"/>
  <c r="AV1615" i="1"/>
  <c r="AW1614" i="1"/>
  <c r="AV1614" i="1"/>
  <c r="AW1613" i="1"/>
  <c r="AV1613" i="1"/>
  <c r="AU1613" i="1"/>
  <c r="AW1612" i="1"/>
  <c r="AV1612" i="1"/>
  <c r="AU1612" i="1"/>
  <c r="AW1611" i="1"/>
  <c r="AV1611" i="1"/>
  <c r="AW1610" i="1"/>
  <c r="AV1610" i="1"/>
  <c r="AW1609" i="1"/>
  <c r="AV1609" i="1"/>
  <c r="AW1608" i="1"/>
  <c r="AV1608" i="1"/>
  <c r="AW1607" i="1"/>
  <c r="AV1607" i="1"/>
  <c r="AW1606" i="1"/>
  <c r="AV1606" i="1"/>
  <c r="AU1606" i="1"/>
  <c r="AW1605" i="1"/>
  <c r="AV1605" i="1"/>
  <c r="AU1605" i="1"/>
  <c r="AW1604" i="1"/>
  <c r="AV1604" i="1"/>
  <c r="AU1604" i="1"/>
  <c r="AW1603" i="1"/>
  <c r="AV1603" i="1"/>
  <c r="AU1603" i="1"/>
  <c r="AW1602" i="1"/>
  <c r="AV1602" i="1"/>
  <c r="AU1602" i="1"/>
  <c r="AW1601" i="1"/>
  <c r="AV1601" i="1"/>
  <c r="AU1601" i="1"/>
  <c r="AW1600" i="1"/>
  <c r="AV1600" i="1"/>
  <c r="AU1600" i="1"/>
  <c r="AW1599" i="1"/>
  <c r="AV1599" i="1"/>
  <c r="AU1599" i="1"/>
  <c r="AW1598" i="1"/>
  <c r="AV1598" i="1"/>
  <c r="AU1598" i="1"/>
  <c r="AW1597" i="1"/>
  <c r="AV1597" i="1"/>
  <c r="AU1597" i="1"/>
  <c r="AW1596" i="1"/>
  <c r="AV1596" i="1"/>
  <c r="AU1596" i="1"/>
  <c r="AW1595" i="1"/>
  <c r="AV1595" i="1"/>
  <c r="AU1595" i="1"/>
  <c r="AW1594" i="1"/>
  <c r="AV1594" i="1"/>
  <c r="AU1594" i="1"/>
  <c r="AW1593" i="1"/>
  <c r="AV1593" i="1"/>
  <c r="AU1593" i="1"/>
  <c r="AW1592" i="1"/>
  <c r="AV1592" i="1"/>
  <c r="AU1592" i="1"/>
  <c r="AW1591" i="1"/>
  <c r="AV1591" i="1"/>
  <c r="AU1591" i="1"/>
  <c r="AW1590" i="1"/>
  <c r="AV1590" i="1"/>
  <c r="AU1590" i="1"/>
  <c r="AW1589" i="1"/>
  <c r="AV1589" i="1"/>
  <c r="AU1589" i="1"/>
  <c r="AW1588" i="1"/>
  <c r="AV1588" i="1"/>
  <c r="AU1588" i="1"/>
  <c r="AW1587" i="1"/>
  <c r="AV1587" i="1"/>
  <c r="AU1587" i="1"/>
  <c r="AW1586" i="1"/>
  <c r="AV1586" i="1"/>
  <c r="AW1585" i="1"/>
  <c r="AV1585" i="1"/>
  <c r="AU1585" i="1"/>
  <c r="AW1584" i="1"/>
  <c r="AV1584" i="1"/>
  <c r="AW1583" i="1"/>
  <c r="AV1583" i="1"/>
  <c r="AW1582" i="1"/>
  <c r="AV1582" i="1"/>
  <c r="AW1581" i="1"/>
  <c r="AV1581" i="1"/>
  <c r="AW1580" i="1"/>
  <c r="AV1580" i="1"/>
  <c r="AW1579" i="1"/>
  <c r="AV1579" i="1"/>
  <c r="AU1579" i="1"/>
  <c r="AW1578" i="1"/>
  <c r="AV1578" i="1"/>
  <c r="AU1578" i="1"/>
  <c r="AW1577" i="1"/>
  <c r="AV1577" i="1"/>
  <c r="AW1576" i="1"/>
  <c r="AV1576" i="1"/>
  <c r="AW1575" i="1"/>
  <c r="AV1575" i="1"/>
  <c r="AU1575" i="1"/>
  <c r="AW1574" i="1"/>
  <c r="AV1574" i="1"/>
  <c r="AW1573" i="1"/>
  <c r="AV1573" i="1"/>
  <c r="AW1572" i="1"/>
  <c r="AV1572" i="1"/>
  <c r="AW1571" i="1"/>
  <c r="AV1571" i="1"/>
  <c r="AW1570" i="1"/>
  <c r="AV1570" i="1"/>
  <c r="AW1569" i="1"/>
  <c r="AV1569" i="1"/>
  <c r="AW1568" i="1"/>
  <c r="AV1568" i="1"/>
  <c r="AU1568" i="1"/>
  <c r="AW1567" i="1"/>
  <c r="AV1567" i="1"/>
  <c r="AU1567" i="1"/>
  <c r="AW1566" i="1"/>
  <c r="AV1566" i="1"/>
  <c r="AW1565" i="1"/>
  <c r="AV1565" i="1"/>
  <c r="AW1564" i="1"/>
  <c r="AV1564" i="1"/>
  <c r="AW1563" i="1"/>
  <c r="AV1563" i="1"/>
  <c r="AW1562" i="1"/>
  <c r="AV1562" i="1"/>
  <c r="AW1561" i="1"/>
  <c r="AV1561" i="1"/>
  <c r="AW1560" i="1"/>
  <c r="AV1560" i="1"/>
  <c r="AU1560" i="1"/>
  <c r="AW1559" i="1"/>
  <c r="AV1559" i="1"/>
  <c r="AW1558" i="1"/>
  <c r="AV1558" i="1"/>
  <c r="AW1557" i="1"/>
  <c r="AV1557" i="1"/>
  <c r="AW1556" i="1"/>
  <c r="AV1556" i="1"/>
  <c r="AW1555" i="1"/>
  <c r="AV1555" i="1"/>
  <c r="AW1554" i="1"/>
  <c r="AV1554" i="1"/>
  <c r="AW1553" i="1"/>
  <c r="AV1553" i="1"/>
  <c r="AW1552" i="1"/>
  <c r="AV1552" i="1"/>
  <c r="AW1551" i="1"/>
  <c r="AV1551" i="1"/>
  <c r="AW1550" i="1"/>
  <c r="AV1550" i="1"/>
  <c r="AU1550" i="1"/>
  <c r="AW1549" i="1"/>
  <c r="AV1549" i="1"/>
  <c r="AU1549" i="1"/>
  <c r="AW1548" i="1"/>
  <c r="AV1548" i="1"/>
  <c r="AU1548" i="1"/>
  <c r="AW1547" i="1"/>
  <c r="AV1547" i="1"/>
  <c r="AU1547" i="1"/>
  <c r="AW1546" i="1"/>
  <c r="AV1546" i="1"/>
  <c r="AW1545" i="1"/>
  <c r="AV1545" i="1"/>
  <c r="AW1544" i="1"/>
  <c r="AV1544" i="1"/>
  <c r="AW1543" i="1"/>
  <c r="AV1543" i="1"/>
  <c r="AW1542" i="1"/>
  <c r="AV1542" i="1"/>
  <c r="AW1541" i="1"/>
  <c r="AV1541" i="1"/>
  <c r="AW1540" i="1"/>
  <c r="AV1540" i="1"/>
  <c r="AW1539" i="1"/>
  <c r="AV1539" i="1"/>
  <c r="AW1538" i="1"/>
  <c r="AV1538" i="1"/>
  <c r="AU1538" i="1"/>
  <c r="AW1537" i="1"/>
  <c r="AV1537" i="1"/>
  <c r="AW1536" i="1"/>
  <c r="AV1536" i="1"/>
  <c r="AW1535" i="1"/>
  <c r="AV1535" i="1"/>
  <c r="AW1534" i="1"/>
  <c r="AV1534" i="1"/>
  <c r="AW1533" i="1"/>
  <c r="AV1533" i="1"/>
  <c r="AW1532" i="1"/>
  <c r="AV1532" i="1"/>
  <c r="AW1531" i="1"/>
  <c r="AV1531" i="1"/>
  <c r="AW1530" i="1"/>
  <c r="AV1530" i="1"/>
  <c r="AW1529" i="1"/>
  <c r="AV1529" i="1"/>
  <c r="AW1528" i="1"/>
  <c r="AV1528" i="1"/>
  <c r="AU1528" i="1"/>
  <c r="AW1527" i="1"/>
  <c r="AV1527" i="1"/>
  <c r="AU1527" i="1"/>
  <c r="AW1526" i="1"/>
  <c r="AV1526" i="1"/>
  <c r="AU1526" i="1"/>
  <c r="AW1525" i="1"/>
  <c r="AV1525" i="1"/>
  <c r="AU1525" i="1"/>
  <c r="AW1524" i="1"/>
  <c r="AV1524" i="1"/>
  <c r="AU1524" i="1"/>
  <c r="AW1523" i="1"/>
  <c r="AV1523" i="1"/>
  <c r="AU1523" i="1"/>
  <c r="AW1522" i="1"/>
  <c r="AV1522" i="1"/>
  <c r="AW1521" i="1"/>
  <c r="AV1521" i="1"/>
  <c r="AU1521" i="1"/>
  <c r="AW1520" i="1"/>
  <c r="AV1520" i="1"/>
  <c r="AU1520" i="1"/>
  <c r="AW1519" i="1"/>
  <c r="AV1519" i="1"/>
  <c r="AW1518" i="1"/>
  <c r="AV1518" i="1"/>
  <c r="AW1517" i="1"/>
  <c r="AV1517" i="1"/>
  <c r="AW1516" i="1"/>
  <c r="AV1516" i="1"/>
  <c r="AW1515" i="1"/>
  <c r="AV1515" i="1"/>
  <c r="AU1515" i="1"/>
  <c r="AW1514" i="1"/>
  <c r="AV1514" i="1"/>
  <c r="AU1514" i="1"/>
  <c r="AW1513" i="1"/>
  <c r="AV1513" i="1"/>
  <c r="AU1513" i="1"/>
  <c r="AW1512" i="1"/>
  <c r="AV1512" i="1"/>
  <c r="AU1512" i="1"/>
  <c r="AW1511" i="1"/>
  <c r="AV1511" i="1"/>
  <c r="AU1511" i="1"/>
  <c r="AW1510" i="1"/>
  <c r="AV1510" i="1"/>
  <c r="AU1510" i="1"/>
  <c r="AW1509" i="1"/>
  <c r="AV1509" i="1"/>
  <c r="AU1509" i="1"/>
  <c r="AW1508" i="1"/>
  <c r="AV1508" i="1"/>
  <c r="AU1508" i="1"/>
  <c r="AW1507" i="1"/>
  <c r="AV1507" i="1"/>
  <c r="AU1507" i="1"/>
  <c r="AW1506" i="1"/>
  <c r="AV1506" i="1"/>
  <c r="AW1505" i="1"/>
  <c r="AV1505" i="1"/>
  <c r="AW1504" i="1"/>
  <c r="AV1504" i="1"/>
  <c r="AW1503" i="1"/>
  <c r="AV1503" i="1"/>
  <c r="AU1503" i="1"/>
  <c r="AW1502" i="1"/>
  <c r="AV1502" i="1"/>
  <c r="AU1502" i="1"/>
  <c r="AW1501" i="1"/>
  <c r="AV1501" i="1"/>
  <c r="AU1501" i="1"/>
  <c r="AW1500" i="1"/>
  <c r="AV1500" i="1"/>
  <c r="AU1500" i="1"/>
  <c r="AW1499" i="1"/>
  <c r="AV1499" i="1"/>
  <c r="AU1499" i="1"/>
  <c r="AW1498" i="1"/>
  <c r="AV1498" i="1"/>
  <c r="AW1497" i="1"/>
  <c r="AV1497" i="1"/>
  <c r="AW1496" i="1"/>
  <c r="AV1496" i="1"/>
  <c r="AW1495" i="1"/>
  <c r="AV1495" i="1"/>
  <c r="AW1494" i="1"/>
  <c r="AV1494" i="1"/>
  <c r="AU1494" i="1"/>
  <c r="AW1493" i="1"/>
  <c r="AV1493" i="1"/>
  <c r="AW1492" i="1"/>
  <c r="AV1492" i="1"/>
  <c r="AU1492" i="1"/>
  <c r="AW1491" i="1"/>
  <c r="AV1491" i="1"/>
  <c r="AW1490" i="1"/>
  <c r="AV1490" i="1"/>
  <c r="AW1489" i="1"/>
  <c r="AV1489" i="1"/>
  <c r="AU1489" i="1"/>
  <c r="AW1488" i="1"/>
  <c r="AV1488" i="1"/>
  <c r="AU1488" i="1"/>
  <c r="AW1487" i="1"/>
  <c r="AV1487" i="1"/>
  <c r="AW1486" i="1"/>
  <c r="AV1486" i="1"/>
  <c r="AW1485" i="1"/>
  <c r="AV1485" i="1"/>
  <c r="AW1484" i="1"/>
  <c r="AV1484" i="1"/>
  <c r="AW1483" i="1"/>
  <c r="AV1483" i="1"/>
  <c r="AU1483" i="1"/>
  <c r="AW1482" i="1"/>
  <c r="AV1482" i="1"/>
  <c r="AW1481" i="1"/>
  <c r="AV1481" i="1"/>
  <c r="AU1481" i="1"/>
  <c r="AW1480" i="1"/>
  <c r="AV1480" i="1"/>
  <c r="AW1479" i="1"/>
  <c r="AV1479" i="1"/>
  <c r="AW1478" i="1"/>
  <c r="AV1478" i="1"/>
  <c r="AW1477" i="1"/>
  <c r="AV1477" i="1"/>
  <c r="AU1477" i="1"/>
  <c r="AW1476" i="1"/>
  <c r="AV1476" i="1"/>
  <c r="AU1476" i="1"/>
  <c r="AW1475" i="1"/>
  <c r="AV1475" i="1"/>
  <c r="AW1474" i="1"/>
  <c r="AV1474" i="1"/>
  <c r="AW1473" i="1"/>
  <c r="AV1473" i="1"/>
  <c r="AW1472" i="1"/>
  <c r="AV1472" i="1"/>
  <c r="AW1471" i="1"/>
  <c r="AV1471" i="1"/>
  <c r="AU1471" i="1"/>
  <c r="AW1470" i="1"/>
  <c r="AV1470" i="1"/>
  <c r="AU1470" i="1"/>
  <c r="AW1469" i="1"/>
  <c r="AV1469" i="1"/>
  <c r="AW1468" i="1"/>
  <c r="AV1468" i="1"/>
  <c r="AW1467" i="1"/>
  <c r="AV1467" i="1"/>
  <c r="AW1466" i="1"/>
  <c r="AV1466" i="1"/>
  <c r="AU1466" i="1"/>
  <c r="AW1465" i="1"/>
  <c r="AV1465" i="1"/>
  <c r="AU1465" i="1"/>
  <c r="AW1464" i="1"/>
  <c r="AV1464" i="1"/>
  <c r="AU1464" i="1"/>
  <c r="AW1463" i="1"/>
  <c r="AV1463" i="1"/>
  <c r="AW1462" i="1"/>
  <c r="AV1462" i="1"/>
  <c r="AW1461" i="1"/>
  <c r="AV1461" i="1"/>
  <c r="AU1461" i="1"/>
  <c r="AW1460" i="1"/>
  <c r="AV1460" i="1"/>
  <c r="AU1460" i="1"/>
  <c r="AW1459" i="1"/>
  <c r="AV1459" i="1"/>
  <c r="AU1459" i="1"/>
  <c r="AW1458" i="1"/>
  <c r="AV1458" i="1"/>
  <c r="AU1458" i="1"/>
  <c r="AW1457" i="1"/>
  <c r="AV1457" i="1"/>
  <c r="AU1457" i="1"/>
  <c r="AW1456" i="1"/>
  <c r="AV1456" i="1"/>
  <c r="AW1455" i="1"/>
  <c r="AV1455" i="1"/>
  <c r="AW1454" i="1"/>
  <c r="AV1454" i="1"/>
  <c r="AU1454" i="1"/>
  <c r="AW1453" i="1"/>
  <c r="AV1453" i="1"/>
  <c r="AW1452" i="1"/>
  <c r="AV1452" i="1"/>
  <c r="AW1451" i="1"/>
  <c r="AV1451" i="1"/>
  <c r="AU1451" i="1"/>
  <c r="AW1450" i="1"/>
  <c r="AV1450" i="1"/>
  <c r="AU1450" i="1"/>
  <c r="AW1449" i="1"/>
  <c r="AV1449" i="1"/>
  <c r="AW1448" i="1"/>
  <c r="AV1448" i="1"/>
  <c r="AW1447" i="1"/>
  <c r="AV1447" i="1"/>
  <c r="AW1446" i="1"/>
  <c r="AV1446" i="1"/>
  <c r="AW1445" i="1"/>
  <c r="AV1445" i="1"/>
  <c r="AU1445" i="1"/>
  <c r="AW1444" i="1"/>
  <c r="AV1444" i="1"/>
  <c r="AU1444" i="1"/>
  <c r="AW1443" i="1"/>
  <c r="AV1443" i="1"/>
  <c r="AW1442" i="1"/>
  <c r="AV1442" i="1"/>
  <c r="AW1441" i="1"/>
  <c r="AV1441" i="1"/>
  <c r="AW1440" i="1"/>
  <c r="AV1440" i="1"/>
  <c r="AU1440" i="1"/>
  <c r="AW1439" i="1"/>
  <c r="AV1439" i="1"/>
  <c r="AU1439" i="1"/>
  <c r="AW1438" i="1"/>
  <c r="AV1438" i="1"/>
  <c r="AU1438" i="1"/>
  <c r="AW1437" i="1"/>
  <c r="AV1437" i="1"/>
  <c r="AU1437" i="1"/>
  <c r="AW1436" i="1"/>
  <c r="AV1436" i="1"/>
  <c r="AU1436" i="1"/>
  <c r="AW1435" i="1"/>
  <c r="AV1435" i="1"/>
  <c r="AW1434" i="1"/>
  <c r="AV1434" i="1"/>
  <c r="AW1433" i="1"/>
  <c r="AV1433" i="1"/>
  <c r="AU1433" i="1"/>
  <c r="AW1432" i="1"/>
  <c r="AV1432" i="1"/>
  <c r="AU1432" i="1"/>
  <c r="AW1431" i="1"/>
  <c r="AV1431" i="1"/>
  <c r="AU1431" i="1"/>
  <c r="AW1430" i="1"/>
  <c r="AV1430" i="1"/>
  <c r="AU1430" i="1"/>
  <c r="AW1429" i="1"/>
  <c r="AV1429" i="1"/>
  <c r="AU1429" i="1"/>
  <c r="AW1428" i="1"/>
  <c r="AV1428" i="1"/>
  <c r="AW1427" i="1"/>
  <c r="AV1427" i="1"/>
  <c r="AW1426" i="1"/>
  <c r="AV1426" i="1"/>
  <c r="AU1426" i="1"/>
  <c r="AW1425" i="1"/>
  <c r="AV1425" i="1"/>
  <c r="AU1425" i="1"/>
  <c r="AW1424" i="1"/>
  <c r="AV1424" i="1"/>
  <c r="AU1424" i="1"/>
  <c r="AW1423" i="1"/>
  <c r="AV1423" i="1"/>
  <c r="AU1423" i="1"/>
  <c r="AW1422" i="1"/>
  <c r="AV1422" i="1"/>
  <c r="AU1422" i="1"/>
  <c r="AW1421" i="1"/>
  <c r="AV1421" i="1"/>
  <c r="AW1420" i="1"/>
  <c r="AV1420" i="1"/>
  <c r="AW1419" i="1"/>
  <c r="AV1419" i="1"/>
  <c r="AW1418" i="1"/>
  <c r="AV1418" i="1"/>
  <c r="AW1417" i="1"/>
  <c r="AV1417" i="1"/>
  <c r="AW1416" i="1"/>
  <c r="AV1416" i="1"/>
  <c r="AW1415" i="1"/>
  <c r="AV1415" i="1"/>
  <c r="AW1414" i="1"/>
  <c r="AV1414" i="1"/>
  <c r="AU1414" i="1"/>
  <c r="AW1413" i="1"/>
  <c r="AV1413" i="1"/>
  <c r="AW1412" i="1"/>
  <c r="AV1412" i="1"/>
  <c r="AW1411" i="1"/>
  <c r="AV1411" i="1"/>
  <c r="AW1410" i="1"/>
  <c r="AV1410" i="1"/>
  <c r="AU1410" i="1"/>
  <c r="AW1409" i="1"/>
  <c r="AV1409" i="1"/>
  <c r="AW1408" i="1"/>
  <c r="AV1408" i="1"/>
  <c r="AU1408" i="1"/>
  <c r="AW1407" i="1"/>
  <c r="AV1407" i="1"/>
  <c r="AW1406" i="1"/>
  <c r="AV1406" i="1"/>
  <c r="AW1405" i="1"/>
  <c r="AV1405" i="1"/>
  <c r="AW1404" i="1"/>
  <c r="AV1404" i="1"/>
  <c r="AW1403" i="1"/>
  <c r="AV1403" i="1"/>
  <c r="AW1402" i="1"/>
  <c r="AV1402" i="1"/>
  <c r="AW1401" i="1"/>
  <c r="AV1401" i="1"/>
  <c r="AU1401" i="1"/>
  <c r="AW1400" i="1"/>
  <c r="AV1400" i="1"/>
  <c r="AW1399" i="1"/>
  <c r="AV1399" i="1"/>
  <c r="AW1398" i="1"/>
  <c r="AV1398" i="1"/>
  <c r="AW1397" i="1"/>
  <c r="AV1397" i="1"/>
  <c r="AW1396" i="1"/>
  <c r="AV1396" i="1"/>
  <c r="AW1395" i="1"/>
  <c r="AV1395" i="1"/>
  <c r="AW1394" i="1"/>
  <c r="AV1394" i="1"/>
  <c r="AW1393" i="1"/>
  <c r="AV1393" i="1"/>
  <c r="AW1392" i="1"/>
  <c r="AV1392" i="1"/>
  <c r="AU1392" i="1"/>
  <c r="AW1391" i="1"/>
  <c r="AV1391" i="1"/>
  <c r="AW1390" i="1"/>
  <c r="AV1390" i="1"/>
  <c r="AW1389" i="1"/>
  <c r="AV1389" i="1"/>
  <c r="AW1388" i="1"/>
  <c r="AV1388" i="1"/>
  <c r="AW1387" i="1"/>
  <c r="AV1387" i="1"/>
  <c r="AW1386" i="1"/>
  <c r="AV1386" i="1"/>
  <c r="AW1385" i="1"/>
  <c r="AV1385" i="1"/>
  <c r="AU1385" i="1"/>
  <c r="AW1384" i="1"/>
  <c r="AV1384" i="1"/>
  <c r="AW1383" i="1"/>
  <c r="AV1383" i="1"/>
  <c r="AU1383" i="1"/>
  <c r="AW1382" i="1"/>
  <c r="AV1382" i="1"/>
  <c r="AW1381" i="1"/>
  <c r="AV1381" i="1"/>
  <c r="AU1381" i="1"/>
  <c r="AW1380" i="1"/>
  <c r="AV1380" i="1"/>
  <c r="AU1380" i="1"/>
  <c r="AW1379" i="1"/>
  <c r="AV1379" i="1"/>
  <c r="AW1378" i="1"/>
  <c r="AV1378" i="1"/>
  <c r="AW1377" i="1"/>
  <c r="AV1377" i="1"/>
  <c r="AW1376" i="1"/>
  <c r="AV1376" i="1"/>
  <c r="AU1376" i="1"/>
  <c r="AW1375" i="1"/>
  <c r="AV1375" i="1"/>
  <c r="AW1374" i="1"/>
  <c r="AV1374" i="1"/>
  <c r="AU1374" i="1"/>
  <c r="AW1373" i="1"/>
  <c r="AV1373" i="1"/>
  <c r="AW1372" i="1"/>
  <c r="AV1372" i="1"/>
  <c r="AW1371" i="1"/>
  <c r="AV1371" i="1"/>
  <c r="AW1370" i="1"/>
  <c r="AV1370" i="1"/>
  <c r="AU1370" i="1"/>
  <c r="AW1369" i="1"/>
  <c r="AV1369" i="1"/>
  <c r="AU1369" i="1"/>
  <c r="AW1368" i="1"/>
  <c r="AV1368" i="1"/>
  <c r="AW1367" i="1"/>
  <c r="AV1367" i="1"/>
  <c r="AW1366" i="1"/>
  <c r="AV1366" i="1"/>
  <c r="AW1365" i="1"/>
  <c r="AV1365" i="1"/>
  <c r="AW1364" i="1"/>
  <c r="AV1364" i="1"/>
  <c r="AW1363" i="1"/>
  <c r="AV1363" i="1"/>
  <c r="AW1362" i="1"/>
  <c r="AV1362" i="1"/>
  <c r="AW1361" i="1"/>
  <c r="AV1361" i="1"/>
  <c r="AW1360" i="1"/>
  <c r="AV1360" i="1"/>
  <c r="AW1359" i="1"/>
  <c r="AV1359" i="1"/>
  <c r="AW1358" i="1"/>
  <c r="AV1358" i="1"/>
  <c r="AW1357" i="1"/>
  <c r="AV1357" i="1"/>
  <c r="AW1356" i="1"/>
  <c r="AV1356" i="1"/>
  <c r="AW1355" i="1"/>
  <c r="AV1355" i="1"/>
  <c r="AW1354" i="1"/>
  <c r="AV1354" i="1"/>
  <c r="AW1353" i="1"/>
  <c r="AV1353" i="1"/>
  <c r="AW1352" i="1"/>
  <c r="AV1352" i="1"/>
  <c r="AW1351" i="1"/>
  <c r="AV1351" i="1"/>
  <c r="AU1351" i="1"/>
  <c r="AW1350" i="1"/>
  <c r="AV1350" i="1"/>
  <c r="AW1349" i="1"/>
  <c r="AV1349" i="1"/>
  <c r="AU1349" i="1"/>
  <c r="AW1348" i="1"/>
  <c r="AV1348" i="1"/>
  <c r="AU1348" i="1"/>
  <c r="AW1347" i="1"/>
  <c r="AV1347" i="1"/>
  <c r="AU1347" i="1"/>
  <c r="AW1346" i="1"/>
  <c r="AV1346" i="1"/>
  <c r="AW1345" i="1"/>
  <c r="AV1345" i="1"/>
  <c r="AU1345" i="1"/>
  <c r="AW1344" i="1"/>
  <c r="AV1344" i="1"/>
  <c r="AU1344" i="1"/>
  <c r="AW1343" i="1"/>
  <c r="AV1343" i="1"/>
  <c r="AW1342" i="1"/>
  <c r="AV1342" i="1"/>
  <c r="AW1341" i="1"/>
  <c r="AV1341" i="1"/>
  <c r="AW1340" i="1"/>
  <c r="AV1340" i="1"/>
  <c r="AW1339" i="1"/>
  <c r="AV1339" i="1"/>
  <c r="AW1338" i="1"/>
  <c r="AV1338" i="1"/>
  <c r="AW1337" i="1"/>
  <c r="AV1337" i="1"/>
  <c r="AW1336" i="1"/>
  <c r="AV1336" i="1"/>
  <c r="AW1335" i="1"/>
  <c r="AV1335" i="1"/>
  <c r="AU1335" i="1"/>
  <c r="AW1334" i="1"/>
  <c r="AV1334" i="1"/>
  <c r="AW1333" i="1"/>
  <c r="AV1333" i="1"/>
  <c r="AW1332" i="1"/>
  <c r="AV1332" i="1"/>
  <c r="AW1331" i="1"/>
  <c r="AV1331" i="1"/>
  <c r="AU1331" i="1"/>
  <c r="AW1330" i="1"/>
  <c r="AV1330" i="1"/>
  <c r="AW1329" i="1"/>
  <c r="AV1329" i="1"/>
  <c r="AW1328" i="1"/>
  <c r="AV1328" i="1"/>
  <c r="AW1327" i="1"/>
  <c r="AV1327" i="1"/>
  <c r="AW1326" i="1"/>
  <c r="AV1326" i="1"/>
  <c r="AW1325" i="1"/>
  <c r="AV1325" i="1"/>
  <c r="AW1324" i="1"/>
  <c r="AV1324" i="1"/>
  <c r="AW1323" i="1"/>
  <c r="AV1323" i="1"/>
  <c r="AW1322" i="1"/>
  <c r="AV1322" i="1"/>
  <c r="AW1321" i="1"/>
  <c r="AV1321" i="1"/>
  <c r="AW1320" i="1"/>
  <c r="AV1320" i="1"/>
  <c r="AW1319" i="1"/>
  <c r="AV1319" i="1"/>
  <c r="AW1318" i="1"/>
  <c r="AV1318" i="1"/>
  <c r="AW1317" i="1"/>
  <c r="AV1317" i="1"/>
  <c r="AW1316" i="1"/>
  <c r="AV1316" i="1"/>
  <c r="AW1315" i="1"/>
  <c r="AV1315" i="1"/>
  <c r="AU1315" i="1"/>
  <c r="AW1314" i="1"/>
  <c r="AV1314" i="1"/>
  <c r="AW1313" i="1"/>
  <c r="AV1313" i="1"/>
  <c r="AW1312" i="1"/>
  <c r="AV1312" i="1"/>
  <c r="AW1311" i="1"/>
  <c r="AV1311" i="1"/>
  <c r="AW1310" i="1"/>
  <c r="AV1310" i="1"/>
  <c r="AU1310" i="1"/>
  <c r="AW1309" i="1"/>
  <c r="AV1309" i="1"/>
  <c r="AW1308" i="1"/>
  <c r="AV1308" i="1"/>
  <c r="AW1307" i="1"/>
  <c r="AV1307" i="1"/>
  <c r="AU1307" i="1"/>
  <c r="AW1306" i="1"/>
  <c r="AV1306" i="1"/>
  <c r="AW1305" i="1"/>
  <c r="AV1305" i="1"/>
  <c r="AW1304" i="1"/>
  <c r="AV1304" i="1"/>
  <c r="AW1303" i="1"/>
  <c r="AV1303" i="1"/>
  <c r="AW1302" i="1"/>
  <c r="AV1302" i="1"/>
  <c r="AW1301" i="1"/>
  <c r="AV1301" i="1"/>
  <c r="AW1300" i="1"/>
  <c r="AV1300" i="1"/>
  <c r="AW1299" i="1"/>
  <c r="AV1299" i="1"/>
  <c r="AW1298" i="1"/>
  <c r="AV1298" i="1"/>
  <c r="AW1297" i="1"/>
  <c r="AV1297" i="1"/>
  <c r="AU1297" i="1"/>
  <c r="AW1296" i="1"/>
  <c r="AV1296" i="1"/>
  <c r="AU1296" i="1"/>
  <c r="AW1295" i="1"/>
  <c r="AV1295" i="1"/>
  <c r="AU1295" i="1"/>
  <c r="AW1294" i="1"/>
  <c r="AV1294" i="1"/>
  <c r="AW1293" i="1"/>
  <c r="AV1293" i="1"/>
  <c r="AW1292" i="1"/>
  <c r="AV1292" i="1"/>
  <c r="AU1292" i="1"/>
  <c r="AW1291" i="1"/>
  <c r="AV1291" i="1"/>
  <c r="AW1290" i="1"/>
  <c r="AV1290" i="1"/>
  <c r="AU1290" i="1"/>
  <c r="AW1289" i="1"/>
  <c r="AV1289" i="1"/>
  <c r="AU1289" i="1"/>
  <c r="AW1288" i="1"/>
  <c r="AV1288" i="1"/>
  <c r="AU1288" i="1"/>
  <c r="AW1287" i="1"/>
  <c r="AV1287" i="1"/>
  <c r="AW1286" i="1"/>
  <c r="AV1286" i="1"/>
  <c r="AU1286" i="1"/>
  <c r="AW1285" i="1"/>
  <c r="AV1285" i="1"/>
  <c r="AU1285" i="1"/>
  <c r="AW1284" i="1"/>
  <c r="AV1284" i="1"/>
  <c r="AW1283" i="1"/>
  <c r="AV1283" i="1"/>
  <c r="AU1283" i="1"/>
  <c r="AW1282" i="1"/>
  <c r="AV1282" i="1"/>
  <c r="AU1282" i="1"/>
  <c r="AW1281" i="1"/>
  <c r="AV1281" i="1"/>
  <c r="AW1280" i="1"/>
  <c r="AV1280" i="1"/>
  <c r="AW1279" i="1"/>
  <c r="AV1279" i="1"/>
  <c r="AW1278" i="1"/>
  <c r="AV1278" i="1"/>
  <c r="AW1277" i="1"/>
  <c r="AV1277" i="1"/>
  <c r="AU1277" i="1"/>
  <c r="AW1276" i="1"/>
  <c r="AV1276" i="1"/>
  <c r="AW1275" i="1"/>
  <c r="AV1275" i="1"/>
  <c r="AW1274" i="1"/>
  <c r="AV1274" i="1"/>
  <c r="AW1273" i="1"/>
  <c r="AV1273" i="1"/>
  <c r="AW1272" i="1"/>
  <c r="AV1272" i="1"/>
  <c r="AW1271" i="1"/>
  <c r="AV1271" i="1"/>
  <c r="AW1270" i="1"/>
  <c r="AV1270" i="1"/>
  <c r="AW1269" i="1"/>
  <c r="AV1269" i="1"/>
  <c r="AU1269" i="1"/>
  <c r="AW1268" i="1"/>
  <c r="AV1268" i="1"/>
  <c r="AU1268" i="1"/>
  <c r="AW1267" i="1"/>
  <c r="AV1267" i="1"/>
  <c r="AW1266" i="1"/>
  <c r="AV1266" i="1"/>
  <c r="AW1265" i="1"/>
  <c r="AV1265" i="1"/>
  <c r="AW1264" i="1"/>
  <c r="AV1264" i="1"/>
  <c r="AW1263" i="1"/>
  <c r="AV1263" i="1"/>
  <c r="AU1263" i="1"/>
  <c r="AW1262" i="1"/>
  <c r="AV1262" i="1"/>
  <c r="AW1261" i="1"/>
  <c r="AV1261" i="1"/>
  <c r="AU1261" i="1"/>
  <c r="AW1260" i="1"/>
  <c r="AV1260" i="1"/>
  <c r="AW1259" i="1"/>
  <c r="AV1259" i="1"/>
  <c r="AW1258" i="1"/>
  <c r="AV1258" i="1"/>
  <c r="AW1257" i="1"/>
  <c r="AV1257" i="1"/>
  <c r="AW1256" i="1"/>
  <c r="AV1256" i="1"/>
  <c r="AW1255" i="1"/>
  <c r="AV1255" i="1"/>
  <c r="AW1254" i="1"/>
  <c r="AV1254" i="1"/>
  <c r="AU1254" i="1"/>
  <c r="AW1253" i="1"/>
  <c r="AV1253" i="1"/>
  <c r="AW1252" i="1"/>
  <c r="AV1252" i="1"/>
  <c r="AW1251" i="1"/>
  <c r="AV1251" i="1"/>
  <c r="AW1250" i="1"/>
  <c r="AV1250" i="1"/>
  <c r="AU1250" i="1"/>
  <c r="AW1249" i="1"/>
  <c r="AV1249" i="1"/>
  <c r="AW1248" i="1"/>
  <c r="AV1248" i="1"/>
  <c r="AW1247" i="1"/>
  <c r="AV1247" i="1"/>
  <c r="AW1246" i="1"/>
  <c r="AV1246" i="1"/>
  <c r="AU1246" i="1"/>
  <c r="AW1245" i="1"/>
  <c r="AV1245" i="1"/>
  <c r="AU1245" i="1"/>
  <c r="AW1244" i="1"/>
  <c r="AV1244" i="1"/>
  <c r="AW1243" i="1"/>
  <c r="AV1243" i="1"/>
  <c r="AU1243" i="1"/>
  <c r="AW1242" i="1"/>
  <c r="AV1242" i="1"/>
  <c r="AU1242" i="1"/>
  <c r="AW1241" i="1"/>
  <c r="AV1241" i="1"/>
  <c r="AU1241" i="1"/>
  <c r="AW1240" i="1"/>
  <c r="AV1240" i="1"/>
  <c r="AU1240" i="1"/>
  <c r="AW1239" i="1"/>
  <c r="AV1239" i="1"/>
  <c r="AW1238" i="1"/>
  <c r="AV1238" i="1"/>
  <c r="AU1238" i="1"/>
  <c r="AW1237" i="1"/>
  <c r="AV1237" i="1"/>
  <c r="AW1236" i="1"/>
  <c r="AV1236" i="1"/>
  <c r="AW1235" i="1"/>
  <c r="AV1235" i="1"/>
  <c r="AW1234" i="1"/>
  <c r="AV1234" i="1"/>
  <c r="AW1233" i="1"/>
  <c r="AV1233" i="1"/>
  <c r="AW1232" i="1"/>
  <c r="AV1232" i="1"/>
  <c r="AW1231" i="1"/>
  <c r="AV1231" i="1"/>
  <c r="AW1230" i="1"/>
  <c r="AV1230" i="1"/>
  <c r="AW1229" i="1"/>
  <c r="AV1229" i="1"/>
  <c r="AW1228" i="1"/>
  <c r="AV1228" i="1"/>
  <c r="AW1227" i="1"/>
  <c r="AV1227" i="1"/>
  <c r="AU1227" i="1"/>
  <c r="AW1226" i="1"/>
  <c r="AV1226" i="1"/>
  <c r="AW1225" i="1"/>
  <c r="AV1225" i="1"/>
  <c r="AW1224" i="1"/>
  <c r="AV1224" i="1"/>
  <c r="AW1223" i="1"/>
  <c r="AV1223" i="1"/>
  <c r="AW1222" i="1"/>
  <c r="AV1222" i="1"/>
  <c r="AW1221" i="1"/>
  <c r="AV1221" i="1"/>
  <c r="AU1221" i="1"/>
  <c r="AW1220" i="1"/>
  <c r="AV1220" i="1"/>
  <c r="AW1219" i="1"/>
  <c r="AV1219" i="1"/>
  <c r="AW1218" i="1"/>
  <c r="AV1218" i="1"/>
  <c r="AW1217" i="1"/>
  <c r="AV1217" i="1"/>
  <c r="AU1217" i="1"/>
  <c r="AW1216" i="1"/>
  <c r="AV1216" i="1"/>
  <c r="AU1216" i="1"/>
  <c r="AW1215" i="1"/>
  <c r="AV1215" i="1"/>
  <c r="AW1214" i="1"/>
  <c r="AV1214" i="1"/>
  <c r="AW1213" i="1"/>
  <c r="AV1213" i="1"/>
  <c r="AW1212" i="1"/>
  <c r="AV1212" i="1"/>
  <c r="AU1212" i="1"/>
  <c r="AW1211" i="1"/>
  <c r="AV1211" i="1"/>
  <c r="AW1210" i="1"/>
  <c r="AV1210" i="1"/>
  <c r="AW1209" i="1"/>
  <c r="AV1209" i="1"/>
  <c r="AW1208" i="1"/>
  <c r="AV1208" i="1"/>
  <c r="AU1208" i="1"/>
  <c r="AW1207" i="1"/>
  <c r="AV1207" i="1"/>
  <c r="AU1207" i="1"/>
  <c r="AW1206" i="1"/>
  <c r="AV1206" i="1"/>
  <c r="AW1205" i="1"/>
  <c r="AV1205" i="1"/>
  <c r="AW1204" i="1"/>
  <c r="AV1204" i="1"/>
  <c r="AW1203" i="1"/>
  <c r="AV1203" i="1"/>
  <c r="AU1203" i="1"/>
  <c r="AW1202" i="1"/>
  <c r="AV1202" i="1"/>
  <c r="AW1201" i="1"/>
  <c r="AV1201" i="1"/>
  <c r="AW1200" i="1"/>
  <c r="AV1200" i="1"/>
  <c r="AW1199" i="1"/>
  <c r="AV1199" i="1"/>
  <c r="AW1198" i="1"/>
  <c r="AV1198" i="1"/>
  <c r="AW1197" i="1"/>
  <c r="AV1197" i="1"/>
  <c r="AU1197" i="1"/>
  <c r="AW1196" i="1"/>
  <c r="AV1196" i="1"/>
  <c r="AW1195" i="1"/>
  <c r="AV1195" i="1"/>
  <c r="AW1194" i="1"/>
  <c r="AV1194" i="1"/>
  <c r="AW1193" i="1"/>
  <c r="AV1193" i="1"/>
  <c r="AW1192" i="1"/>
  <c r="AV1192" i="1"/>
  <c r="AW1191" i="1"/>
  <c r="AV1191" i="1"/>
  <c r="AU1191" i="1"/>
  <c r="AW1190" i="1"/>
  <c r="AV1190" i="1"/>
  <c r="AW1189" i="1"/>
  <c r="AV1189" i="1"/>
  <c r="AU1189" i="1"/>
  <c r="AW1188" i="1"/>
  <c r="AV1188" i="1"/>
  <c r="AU1188" i="1"/>
  <c r="AW1187" i="1"/>
  <c r="AV1187" i="1"/>
  <c r="AW1186" i="1"/>
  <c r="AV1186" i="1"/>
  <c r="AW1185" i="1"/>
  <c r="AV1185" i="1"/>
  <c r="AU1185" i="1"/>
  <c r="AW1184" i="1"/>
  <c r="AV1184" i="1"/>
  <c r="AU1184" i="1"/>
  <c r="AW1183" i="1"/>
  <c r="AV1183" i="1"/>
  <c r="AU1183" i="1"/>
  <c r="AW1182" i="1"/>
  <c r="AV1182" i="1"/>
  <c r="AW1181" i="1"/>
  <c r="AV1181" i="1"/>
  <c r="AU1181" i="1"/>
  <c r="AW1180" i="1"/>
  <c r="AV1180" i="1"/>
  <c r="AU1180" i="1"/>
  <c r="AW1179" i="1"/>
  <c r="AV1179" i="1"/>
  <c r="AU1179" i="1"/>
  <c r="AW1178" i="1"/>
  <c r="AV1178" i="1"/>
  <c r="AW1177" i="1"/>
  <c r="AV1177" i="1"/>
  <c r="AW1176" i="1"/>
  <c r="AV1176" i="1"/>
  <c r="AW1175" i="1"/>
  <c r="AV1175" i="1"/>
  <c r="AU1175" i="1"/>
  <c r="AW1174" i="1"/>
  <c r="AV1174" i="1"/>
  <c r="AW1173" i="1"/>
  <c r="AV1173" i="1"/>
  <c r="AW1172" i="1"/>
  <c r="AV1172" i="1"/>
  <c r="AW1171" i="1"/>
  <c r="AV1171" i="1"/>
  <c r="AW1170" i="1"/>
  <c r="AV1170" i="1"/>
  <c r="AW1169" i="1"/>
  <c r="AV1169" i="1"/>
  <c r="AU1169" i="1"/>
  <c r="AW1168" i="1"/>
  <c r="AV1168" i="1"/>
  <c r="AW1167" i="1"/>
  <c r="AV1167" i="1"/>
  <c r="AW1166" i="1"/>
  <c r="AV1166" i="1"/>
  <c r="AU1166" i="1"/>
  <c r="AW1165" i="1"/>
  <c r="AV1165" i="1"/>
  <c r="AU1165" i="1"/>
  <c r="AW1164" i="1"/>
  <c r="AV1164" i="1"/>
  <c r="AU1164" i="1"/>
  <c r="AW1163" i="1"/>
  <c r="AV1163" i="1"/>
  <c r="AW1162" i="1"/>
  <c r="AV1162" i="1"/>
  <c r="AU1162" i="1"/>
  <c r="AW1161" i="1"/>
  <c r="AV1161" i="1"/>
  <c r="AU1161" i="1"/>
  <c r="AW1160" i="1"/>
  <c r="AV1160" i="1"/>
  <c r="AU1160" i="1"/>
  <c r="AW1159" i="1"/>
  <c r="AV1159" i="1"/>
  <c r="AW1158" i="1"/>
  <c r="AV1158" i="1"/>
  <c r="AW1157" i="1"/>
  <c r="AV1157" i="1"/>
  <c r="AW1156" i="1"/>
  <c r="AV1156" i="1"/>
  <c r="AW1155" i="1"/>
  <c r="AV1155" i="1"/>
  <c r="AW1154" i="1"/>
  <c r="AV1154" i="1"/>
  <c r="AW1153" i="1"/>
  <c r="AV1153" i="1"/>
  <c r="AW1152" i="1"/>
  <c r="AV1152" i="1"/>
  <c r="AU1152" i="1"/>
  <c r="AW1151" i="1"/>
  <c r="AV1151" i="1"/>
  <c r="AW1150" i="1"/>
  <c r="AV1150" i="1"/>
  <c r="AW1149" i="1"/>
  <c r="AV1149" i="1"/>
  <c r="AW1148" i="1"/>
  <c r="AV1148" i="1"/>
  <c r="AW1147" i="1"/>
  <c r="AV1147" i="1"/>
  <c r="AW1146" i="1"/>
  <c r="AV1146" i="1"/>
  <c r="AW1145" i="1"/>
  <c r="AV1145" i="1"/>
  <c r="AW1144" i="1"/>
  <c r="AV1144" i="1"/>
  <c r="AW1143" i="1"/>
  <c r="AV1143" i="1"/>
  <c r="AU1143" i="1"/>
  <c r="AW1142" i="1"/>
  <c r="AV1142" i="1"/>
  <c r="AU1142" i="1"/>
  <c r="AW1141" i="1"/>
  <c r="AV1141" i="1"/>
  <c r="AU1141" i="1"/>
  <c r="AW1140" i="1"/>
  <c r="AV1140" i="1"/>
  <c r="AU1140" i="1"/>
  <c r="AW1139" i="1"/>
  <c r="AV1139" i="1"/>
  <c r="AW1138" i="1"/>
  <c r="AV1138" i="1"/>
  <c r="AU1138" i="1"/>
  <c r="AW1137" i="1"/>
  <c r="AV1137" i="1"/>
  <c r="AW1136" i="1"/>
  <c r="AV1136" i="1"/>
  <c r="AU1136" i="1"/>
  <c r="AW1135" i="1"/>
  <c r="AV1135" i="1"/>
  <c r="AU1135" i="1"/>
  <c r="AW1134" i="1"/>
  <c r="AV1134" i="1"/>
  <c r="AW1133" i="1"/>
  <c r="AV1133" i="1"/>
  <c r="AU1133" i="1"/>
  <c r="AW1132" i="1"/>
  <c r="AV1132" i="1"/>
  <c r="AW1131" i="1"/>
  <c r="AV1131" i="1"/>
  <c r="AW1130" i="1"/>
  <c r="AV1130" i="1"/>
  <c r="AW1129" i="1"/>
  <c r="AV1129" i="1"/>
  <c r="AW1128" i="1"/>
  <c r="AV1128" i="1"/>
  <c r="AU1128" i="1"/>
  <c r="AW1127" i="1"/>
  <c r="AV1127" i="1"/>
  <c r="AW1126" i="1"/>
  <c r="AV1126" i="1"/>
  <c r="AW1125" i="1"/>
  <c r="AV1125" i="1"/>
  <c r="AW1124" i="1"/>
  <c r="AV1124" i="1"/>
  <c r="AW1123" i="1"/>
  <c r="AV1123" i="1"/>
  <c r="AW1122" i="1"/>
  <c r="AV1122" i="1"/>
  <c r="AW1121" i="1"/>
  <c r="AV1121" i="1"/>
  <c r="AW1120" i="1"/>
  <c r="AV1120" i="1"/>
  <c r="AW1119" i="1"/>
  <c r="AV1119" i="1"/>
  <c r="AW1118" i="1"/>
  <c r="AV1118" i="1"/>
  <c r="AW1117" i="1"/>
  <c r="AV1117" i="1"/>
  <c r="AW1116" i="1"/>
  <c r="AV1116" i="1"/>
  <c r="AU1116" i="1"/>
  <c r="AW1115" i="1"/>
  <c r="AV1115" i="1"/>
  <c r="AW1114" i="1"/>
  <c r="AV1114" i="1"/>
  <c r="AU1114" i="1"/>
  <c r="AW1113" i="1"/>
  <c r="AV1113" i="1"/>
  <c r="AU1113" i="1"/>
  <c r="AW1112" i="1"/>
  <c r="AV1112" i="1"/>
  <c r="AU1112" i="1"/>
  <c r="AW1111" i="1"/>
  <c r="AV1111" i="1"/>
  <c r="AU1111" i="1"/>
  <c r="AW1110" i="1"/>
  <c r="AV1110" i="1"/>
  <c r="AW1109" i="1"/>
  <c r="AV1109" i="1"/>
  <c r="AU1109" i="1"/>
  <c r="AW1108" i="1"/>
  <c r="AV1108" i="1"/>
  <c r="AW1107" i="1"/>
  <c r="AV1107" i="1"/>
  <c r="AW1106" i="1"/>
  <c r="AV1106" i="1"/>
  <c r="AW1105" i="1"/>
  <c r="AV1105" i="1"/>
  <c r="AW1104" i="1"/>
  <c r="AV1104" i="1"/>
  <c r="AW1103" i="1"/>
  <c r="AV1103" i="1"/>
  <c r="AU1103" i="1"/>
  <c r="AW1102" i="1"/>
  <c r="AV1102" i="1"/>
  <c r="AW1101" i="1"/>
  <c r="AV1101" i="1"/>
  <c r="AU1101" i="1"/>
  <c r="AW1100" i="1"/>
  <c r="AV1100" i="1"/>
  <c r="AW1099" i="1"/>
  <c r="AV1099" i="1"/>
  <c r="AU1099" i="1"/>
  <c r="AW1098" i="1"/>
  <c r="AV1098" i="1"/>
  <c r="AW1097" i="1"/>
  <c r="AV1097" i="1"/>
  <c r="AU1097" i="1"/>
  <c r="AW1096" i="1"/>
  <c r="AV1096" i="1"/>
  <c r="AU1096" i="1"/>
  <c r="AW1095" i="1"/>
  <c r="AV1095" i="1"/>
  <c r="AU1095" i="1"/>
  <c r="AW1094" i="1"/>
  <c r="AV1094" i="1"/>
  <c r="AU1094" i="1"/>
  <c r="AW1093" i="1"/>
  <c r="AV1093" i="1"/>
  <c r="AW1092" i="1"/>
  <c r="AV1092" i="1"/>
  <c r="AW1091" i="1"/>
  <c r="AV1091" i="1"/>
  <c r="AW1090" i="1"/>
  <c r="AV1090" i="1"/>
  <c r="AW1089" i="1"/>
  <c r="AV1089" i="1"/>
  <c r="AU1089" i="1"/>
  <c r="AW1088" i="1"/>
  <c r="AV1088" i="1"/>
  <c r="AU1088" i="1"/>
  <c r="AW1087" i="1"/>
  <c r="AV1087" i="1"/>
  <c r="AU1087" i="1"/>
  <c r="AW1086" i="1"/>
  <c r="AV1086" i="1"/>
  <c r="AU1086" i="1"/>
  <c r="AW1085" i="1"/>
  <c r="AV1085" i="1"/>
  <c r="AU1085" i="1"/>
  <c r="AW1084" i="1"/>
  <c r="AV1084" i="1"/>
  <c r="AW1083" i="1"/>
  <c r="AV1083" i="1"/>
  <c r="AW1082" i="1"/>
  <c r="AV1082" i="1"/>
  <c r="AU1082" i="1"/>
  <c r="AW1081" i="1"/>
  <c r="AV1081" i="1"/>
  <c r="AU1081" i="1"/>
  <c r="AW1080" i="1"/>
  <c r="AV1080" i="1"/>
  <c r="AU1080" i="1"/>
  <c r="AW1079" i="1"/>
  <c r="AV1079" i="1"/>
  <c r="AU1079" i="1"/>
  <c r="AW1078" i="1"/>
  <c r="AV1078" i="1"/>
  <c r="AU1078" i="1"/>
  <c r="AW1077" i="1"/>
  <c r="AV1077" i="1"/>
  <c r="AU1077" i="1"/>
  <c r="AW1076" i="1"/>
  <c r="AV1076" i="1"/>
  <c r="AU1076" i="1"/>
  <c r="AW1075" i="1"/>
  <c r="AV1075" i="1"/>
  <c r="AU1075" i="1"/>
  <c r="AW1074" i="1"/>
  <c r="AV1074" i="1"/>
  <c r="AW1073" i="1"/>
  <c r="AV1073" i="1"/>
  <c r="AW1072" i="1"/>
  <c r="AV1072" i="1"/>
  <c r="AW1071" i="1"/>
  <c r="AV1071" i="1"/>
  <c r="AW1070" i="1"/>
  <c r="AV1070" i="1"/>
  <c r="AU1070" i="1"/>
  <c r="AW1069" i="1"/>
  <c r="AV1069" i="1"/>
  <c r="AW1068" i="1"/>
  <c r="AV1068" i="1"/>
  <c r="AW1067" i="1"/>
  <c r="AV1067" i="1"/>
  <c r="AW1066" i="1"/>
  <c r="AV1066" i="1"/>
  <c r="AU1066" i="1"/>
  <c r="AW1065" i="1"/>
  <c r="AV1065" i="1"/>
  <c r="AW1064" i="1"/>
  <c r="AV1064" i="1"/>
  <c r="AW1063" i="1"/>
  <c r="AV1063" i="1"/>
  <c r="AU1063" i="1"/>
  <c r="AW1062" i="1"/>
  <c r="AV1062" i="1"/>
  <c r="AW1061" i="1"/>
  <c r="AV1061" i="1"/>
  <c r="AW1060" i="1"/>
  <c r="AV1060" i="1"/>
  <c r="AU1060" i="1"/>
  <c r="AW1059" i="1"/>
  <c r="AV1059" i="1"/>
  <c r="AW1058" i="1"/>
  <c r="AV1058" i="1"/>
  <c r="AW1057" i="1"/>
  <c r="AV1057" i="1"/>
  <c r="AW1056" i="1"/>
  <c r="AV1056" i="1"/>
  <c r="AW1055" i="1"/>
  <c r="AV1055" i="1"/>
  <c r="AW1054" i="1"/>
  <c r="AV1054" i="1"/>
  <c r="AW1053" i="1"/>
  <c r="AV1053" i="1"/>
  <c r="AW1052" i="1"/>
  <c r="AV1052" i="1"/>
  <c r="AW1051" i="1"/>
  <c r="AV1051" i="1"/>
  <c r="AW1050" i="1"/>
  <c r="AV1050" i="1"/>
  <c r="AU1050" i="1"/>
  <c r="AW1049" i="1"/>
  <c r="AV1049" i="1"/>
  <c r="AU1049" i="1"/>
  <c r="AW1048" i="1"/>
  <c r="AV1048" i="1"/>
  <c r="AW1047" i="1"/>
  <c r="AV1047" i="1"/>
  <c r="AW1046" i="1"/>
  <c r="AV1046" i="1"/>
  <c r="AW1045" i="1"/>
  <c r="AV1045" i="1"/>
  <c r="AW1044" i="1"/>
  <c r="AV1044" i="1"/>
  <c r="AW1043" i="1"/>
  <c r="AV1043" i="1"/>
  <c r="AW1042" i="1"/>
  <c r="AV1042" i="1"/>
  <c r="AW1041" i="1"/>
  <c r="AV1041" i="1"/>
  <c r="AU1041" i="1"/>
  <c r="AW1040" i="1"/>
  <c r="AV1040" i="1"/>
  <c r="AU1040" i="1"/>
  <c r="AW1039" i="1"/>
  <c r="AV1039" i="1"/>
  <c r="AU1039" i="1"/>
  <c r="AW1038" i="1"/>
  <c r="AV1038" i="1"/>
  <c r="AW1037" i="1"/>
  <c r="AV1037" i="1"/>
  <c r="AW1036" i="1"/>
  <c r="AV1036" i="1"/>
  <c r="AU1036" i="1"/>
  <c r="AW1035" i="1"/>
  <c r="AV1035" i="1"/>
  <c r="AW1034" i="1"/>
  <c r="AV1034" i="1"/>
  <c r="AW1033" i="1"/>
  <c r="AV1033" i="1"/>
  <c r="AW1032" i="1"/>
  <c r="AV1032" i="1"/>
  <c r="AU1032" i="1"/>
  <c r="AW1031" i="1"/>
  <c r="AV1031" i="1"/>
  <c r="AW1030" i="1"/>
  <c r="AV1030" i="1"/>
  <c r="AU1030" i="1"/>
  <c r="AW1029" i="1"/>
  <c r="AV1029" i="1"/>
  <c r="AW1028" i="1"/>
  <c r="AV1028" i="1"/>
  <c r="AW1027" i="1"/>
  <c r="AV1027" i="1"/>
  <c r="AU1027" i="1"/>
  <c r="AW1026" i="1"/>
  <c r="AV1026" i="1"/>
  <c r="AU1026" i="1"/>
  <c r="AW1025" i="1"/>
  <c r="AV1025" i="1"/>
  <c r="AU1025" i="1"/>
  <c r="AW1024" i="1"/>
  <c r="AV1024" i="1"/>
  <c r="AW1023" i="1"/>
  <c r="AV1023" i="1"/>
  <c r="AU1023" i="1"/>
  <c r="AW1022" i="1"/>
  <c r="AV1022" i="1"/>
  <c r="AU1022" i="1"/>
  <c r="AW1021" i="1"/>
  <c r="AV1021" i="1"/>
  <c r="AU1021" i="1"/>
  <c r="AW1020" i="1"/>
  <c r="AV1020" i="1"/>
  <c r="AU1020" i="1"/>
  <c r="AW1019" i="1"/>
  <c r="AV1019" i="1"/>
  <c r="AW1018" i="1"/>
  <c r="AV1018" i="1"/>
  <c r="AU1018" i="1"/>
  <c r="AW1017" i="1"/>
  <c r="AV1017" i="1"/>
  <c r="AW1016" i="1"/>
  <c r="AV1016" i="1"/>
  <c r="AW1015" i="1"/>
  <c r="AV1015" i="1"/>
  <c r="AW1014" i="1"/>
  <c r="AV1014" i="1"/>
  <c r="AW1013" i="1"/>
  <c r="AV1013" i="1"/>
  <c r="AW1012" i="1"/>
  <c r="AV1012" i="1"/>
  <c r="AW1011" i="1"/>
  <c r="AV1011" i="1"/>
  <c r="AW1010" i="1"/>
  <c r="AV1010" i="1"/>
  <c r="AW1009" i="1"/>
  <c r="AV1009" i="1"/>
  <c r="AU1009" i="1"/>
  <c r="AW1008" i="1"/>
  <c r="AV1008" i="1"/>
  <c r="AU1008" i="1"/>
  <c r="AW1007" i="1"/>
  <c r="AV1007" i="1"/>
  <c r="AW1006" i="1"/>
  <c r="AV1006" i="1"/>
  <c r="AU1006" i="1"/>
  <c r="AW1005" i="1"/>
  <c r="AV1005" i="1"/>
  <c r="AW1004" i="1"/>
  <c r="AV1004" i="1"/>
  <c r="AW1003" i="1"/>
  <c r="AV1003" i="1"/>
  <c r="AU1003" i="1"/>
  <c r="AW1002" i="1"/>
  <c r="AV1002" i="1"/>
  <c r="AU1002" i="1"/>
  <c r="AW1001" i="1"/>
  <c r="AV1001" i="1"/>
  <c r="AW1000" i="1"/>
  <c r="AV1000" i="1"/>
  <c r="AW999" i="1"/>
  <c r="AV999" i="1"/>
  <c r="AW998" i="1"/>
  <c r="AV998" i="1"/>
  <c r="AW997" i="1"/>
  <c r="AV997" i="1"/>
  <c r="AW996" i="1"/>
  <c r="AV996" i="1"/>
  <c r="AU996" i="1"/>
  <c r="AW995" i="1"/>
  <c r="AV995" i="1"/>
  <c r="AW994" i="1"/>
  <c r="AV994" i="1"/>
  <c r="AW993" i="1"/>
  <c r="AV993" i="1"/>
  <c r="AW992" i="1"/>
  <c r="AV992" i="1"/>
  <c r="AW991" i="1"/>
  <c r="AV991" i="1"/>
  <c r="AW990" i="1"/>
  <c r="AV990" i="1"/>
  <c r="AU990" i="1"/>
  <c r="AW989" i="1"/>
  <c r="AV989" i="1"/>
  <c r="AW988" i="1"/>
  <c r="AV988" i="1"/>
  <c r="AW987" i="1"/>
  <c r="AV987" i="1"/>
  <c r="AU987" i="1"/>
  <c r="AW986" i="1"/>
  <c r="AV986" i="1"/>
  <c r="AU986" i="1"/>
  <c r="AW985" i="1"/>
  <c r="AV985" i="1"/>
  <c r="AU985" i="1"/>
  <c r="AW984" i="1"/>
  <c r="AV984" i="1"/>
  <c r="AU984" i="1"/>
  <c r="AW983" i="1"/>
  <c r="AV983" i="1"/>
  <c r="AU983" i="1"/>
  <c r="AW982" i="1"/>
  <c r="AV982" i="1"/>
  <c r="AU982" i="1"/>
  <c r="AW981" i="1"/>
  <c r="AV981" i="1"/>
  <c r="AU981" i="1"/>
  <c r="AW980" i="1"/>
  <c r="AV980" i="1"/>
  <c r="AW979" i="1"/>
  <c r="AV979" i="1"/>
  <c r="AU979" i="1"/>
  <c r="AW978" i="1"/>
  <c r="AV978" i="1"/>
  <c r="AW977" i="1"/>
  <c r="AV977" i="1"/>
  <c r="AW976" i="1"/>
  <c r="AV976" i="1"/>
  <c r="AW975" i="1"/>
  <c r="AV975" i="1"/>
  <c r="AU975" i="1"/>
  <c r="AW974" i="1"/>
  <c r="AV974" i="1"/>
  <c r="AU974" i="1"/>
  <c r="AW973" i="1"/>
  <c r="AV973" i="1"/>
  <c r="AW972" i="1"/>
  <c r="AV972" i="1"/>
  <c r="AW971" i="1"/>
  <c r="AV971" i="1"/>
  <c r="AW970" i="1"/>
  <c r="AV970" i="1"/>
  <c r="AW969" i="1"/>
  <c r="AV969" i="1"/>
  <c r="AU969" i="1"/>
  <c r="AW968" i="1"/>
  <c r="AV968" i="1"/>
  <c r="AU968" i="1"/>
  <c r="AW967" i="1"/>
  <c r="AV967" i="1"/>
  <c r="AU967" i="1"/>
  <c r="AW966" i="1"/>
  <c r="AV966" i="1"/>
  <c r="AW965" i="1"/>
  <c r="AV965" i="1"/>
  <c r="AU965" i="1"/>
  <c r="AW964" i="1"/>
  <c r="AV964" i="1"/>
  <c r="AU964" i="1"/>
  <c r="AW963" i="1"/>
  <c r="AV963" i="1"/>
  <c r="AU963" i="1"/>
  <c r="AW962" i="1"/>
  <c r="AV962" i="1"/>
  <c r="AW961" i="1"/>
  <c r="AV961" i="1"/>
  <c r="AW960" i="1"/>
  <c r="AV960" i="1"/>
  <c r="AW959" i="1"/>
  <c r="AV959" i="1"/>
  <c r="AW958" i="1"/>
  <c r="AV958" i="1"/>
  <c r="AW957" i="1"/>
  <c r="AV957" i="1"/>
  <c r="AW956" i="1"/>
  <c r="AV956" i="1"/>
  <c r="AU956" i="1"/>
  <c r="AW955" i="1"/>
  <c r="AV955" i="1"/>
  <c r="AU955" i="1"/>
  <c r="AW954" i="1"/>
  <c r="AV954" i="1"/>
  <c r="AW953" i="1"/>
  <c r="AV953" i="1"/>
  <c r="AU953" i="1"/>
  <c r="AW952" i="1"/>
  <c r="AV952" i="1"/>
  <c r="AU952" i="1"/>
  <c r="AW951" i="1"/>
  <c r="AV951" i="1"/>
  <c r="AU951" i="1"/>
  <c r="AW950" i="1"/>
  <c r="AV950" i="1"/>
  <c r="AU950" i="1"/>
  <c r="AW949" i="1"/>
  <c r="AV949" i="1"/>
  <c r="AU949" i="1"/>
  <c r="AW948" i="1"/>
  <c r="AV948" i="1"/>
  <c r="AU948" i="1"/>
  <c r="AW947" i="1"/>
  <c r="AV947" i="1"/>
  <c r="AU947" i="1"/>
  <c r="AW946" i="1"/>
  <c r="AV946" i="1"/>
  <c r="AU946" i="1"/>
  <c r="AW945" i="1"/>
  <c r="AV945" i="1"/>
  <c r="AU945" i="1"/>
  <c r="AW944" i="1"/>
  <c r="AV944" i="1"/>
  <c r="AU944" i="1"/>
  <c r="AW943" i="1"/>
  <c r="AV943" i="1"/>
  <c r="AU943" i="1"/>
  <c r="AW942" i="1"/>
  <c r="AV942" i="1"/>
  <c r="AU942" i="1"/>
  <c r="AW941" i="1"/>
  <c r="AV941" i="1"/>
  <c r="AU941" i="1"/>
  <c r="AW940" i="1"/>
  <c r="AV940" i="1"/>
  <c r="AU940" i="1"/>
  <c r="AW939" i="1"/>
  <c r="AV939" i="1"/>
  <c r="AU939" i="1"/>
  <c r="AW938" i="1"/>
  <c r="AV938" i="1"/>
  <c r="AU938" i="1"/>
  <c r="AW937" i="1"/>
  <c r="AV937" i="1"/>
  <c r="AU937" i="1"/>
  <c r="AW936" i="1"/>
  <c r="AV936" i="1"/>
  <c r="AU936" i="1"/>
  <c r="AW935" i="1"/>
  <c r="AV935" i="1"/>
  <c r="AU935" i="1"/>
  <c r="AW934" i="1"/>
  <c r="AV934" i="1"/>
  <c r="AU934" i="1"/>
  <c r="AW933" i="1"/>
  <c r="AV933" i="1"/>
  <c r="AU933" i="1"/>
  <c r="AW932" i="1"/>
  <c r="AV932" i="1"/>
  <c r="AU932" i="1"/>
  <c r="AW931" i="1"/>
  <c r="AV931" i="1"/>
  <c r="AW930" i="1"/>
  <c r="AV930" i="1"/>
  <c r="AW929" i="1"/>
  <c r="AV929" i="1"/>
  <c r="AW928" i="1"/>
  <c r="AV928" i="1"/>
  <c r="AU928" i="1"/>
  <c r="AW927" i="1"/>
  <c r="AV927" i="1"/>
  <c r="AU927" i="1"/>
  <c r="AW926" i="1"/>
  <c r="AV926" i="1"/>
  <c r="AW925" i="1"/>
  <c r="AV925" i="1"/>
  <c r="AW924" i="1"/>
  <c r="AV924" i="1"/>
  <c r="AW923" i="1"/>
  <c r="AV923" i="1"/>
  <c r="AU923" i="1"/>
  <c r="AW922" i="1"/>
  <c r="AV922" i="1"/>
  <c r="AU922" i="1"/>
  <c r="AW921" i="1"/>
  <c r="AV921" i="1"/>
  <c r="AU921" i="1"/>
  <c r="AW920" i="1"/>
  <c r="AV920" i="1"/>
  <c r="AU920" i="1"/>
  <c r="AW919" i="1"/>
  <c r="AV919" i="1"/>
  <c r="AW918" i="1"/>
  <c r="AV918" i="1"/>
  <c r="AW917" i="1"/>
  <c r="AV917" i="1"/>
  <c r="AW916" i="1"/>
  <c r="AV916" i="1"/>
  <c r="AW915" i="1"/>
  <c r="AV915" i="1"/>
  <c r="AW914" i="1"/>
  <c r="AV914" i="1"/>
  <c r="AW913" i="1"/>
  <c r="AV913" i="1"/>
  <c r="AW912" i="1"/>
  <c r="AV912" i="1"/>
  <c r="AU912" i="1"/>
  <c r="AW911" i="1"/>
  <c r="AV911" i="1"/>
  <c r="AU911" i="1"/>
  <c r="AW910" i="1"/>
  <c r="AV910" i="1"/>
  <c r="AU910" i="1"/>
  <c r="AW909" i="1"/>
  <c r="AV909" i="1"/>
  <c r="AU909" i="1"/>
  <c r="AW908" i="1"/>
  <c r="AV908" i="1"/>
  <c r="AU908" i="1"/>
  <c r="AW907" i="1"/>
  <c r="AV907" i="1"/>
  <c r="AU907" i="1"/>
  <c r="AW906" i="1"/>
  <c r="AV906" i="1"/>
  <c r="AU906" i="1"/>
  <c r="AW905" i="1"/>
  <c r="AV905" i="1"/>
  <c r="AU905" i="1"/>
  <c r="AW904" i="1"/>
  <c r="AV904" i="1"/>
  <c r="AW903" i="1"/>
  <c r="AV903" i="1"/>
  <c r="AW902" i="1"/>
  <c r="AV902" i="1"/>
  <c r="AW901" i="1"/>
  <c r="AV901" i="1"/>
  <c r="AU901" i="1"/>
  <c r="AW900" i="1"/>
  <c r="AV900" i="1"/>
  <c r="AW899" i="1"/>
  <c r="AV899" i="1"/>
  <c r="AW898" i="1"/>
  <c r="AV898" i="1"/>
  <c r="AU898" i="1"/>
  <c r="AW897" i="1"/>
  <c r="AV897" i="1"/>
  <c r="AW896" i="1"/>
  <c r="AV896" i="1"/>
  <c r="AW895" i="1"/>
  <c r="AV895" i="1"/>
  <c r="AW894" i="1"/>
  <c r="AV894" i="1"/>
  <c r="AW893" i="1"/>
  <c r="AV893" i="1"/>
  <c r="AW892" i="1"/>
  <c r="AV892" i="1"/>
  <c r="AU892" i="1"/>
  <c r="AW891" i="1"/>
  <c r="AV891" i="1"/>
  <c r="AU891" i="1"/>
  <c r="AW890" i="1"/>
  <c r="AV890" i="1"/>
  <c r="AW889" i="1"/>
  <c r="AV889" i="1"/>
  <c r="AU889" i="1"/>
  <c r="AW888" i="1"/>
  <c r="AV888" i="1"/>
  <c r="AU888" i="1"/>
  <c r="AW887" i="1"/>
  <c r="AV887" i="1"/>
  <c r="AW886" i="1"/>
  <c r="AV886" i="1"/>
  <c r="AU886" i="1"/>
  <c r="AW885" i="1"/>
  <c r="AV885" i="1"/>
  <c r="AU885" i="1"/>
  <c r="AW884" i="1"/>
  <c r="AV884" i="1"/>
  <c r="AW883" i="1"/>
  <c r="AV883" i="1"/>
  <c r="AW882" i="1"/>
  <c r="AV882" i="1"/>
  <c r="AU882" i="1"/>
  <c r="AW881" i="1"/>
  <c r="AV881" i="1"/>
  <c r="AU881" i="1"/>
  <c r="AW880" i="1"/>
  <c r="AV880" i="1"/>
  <c r="AW879" i="1"/>
  <c r="AV879" i="1"/>
  <c r="AW878" i="1"/>
  <c r="AV878" i="1"/>
  <c r="AU878" i="1"/>
  <c r="AW877" i="1"/>
  <c r="AV877" i="1"/>
  <c r="AU877" i="1"/>
  <c r="AW876" i="1"/>
  <c r="AV876" i="1"/>
  <c r="AW875" i="1"/>
  <c r="AV875" i="1"/>
  <c r="AW874" i="1"/>
  <c r="AV874" i="1"/>
  <c r="AW873" i="1"/>
  <c r="AV873" i="1"/>
  <c r="AW872" i="1"/>
  <c r="AV872" i="1"/>
  <c r="AW871" i="1"/>
  <c r="AV871" i="1"/>
  <c r="AW870" i="1"/>
  <c r="AV870" i="1"/>
  <c r="AU870" i="1"/>
  <c r="AW869" i="1"/>
  <c r="AV869" i="1"/>
  <c r="AU869" i="1"/>
  <c r="AW868" i="1"/>
  <c r="AV868" i="1"/>
  <c r="AU868" i="1"/>
  <c r="AW867" i="1"/>
  <c r="AV867" i="1"/>
  <c r="AU867" i="1"/>
  <c r="AW866" i="1"/>
  <c r="AV866" i="1"/>
  <c r="AU866" i="1"/>
  <c r="AW865" i="1"/>
  <c r="AV865" i="1"/>
  <c r="AW864" i="1"/>
  <c r="AV864" i="1"/>
  <c r="AW863" i="1"/>
  <c r="AV863" i="1"/>
  <c r="AW862" i="1"/>
  <c r="AV862" i="1"/>
  <c r="AU862" i="1"/>
  <c r="AW861" i="1"/>
  <c r="AV861" i="1"/>
  <c r="AU861" i="1"/>
  <c r="AW860" i="1"/>
  <c r="AV860" i="1"/>
  <c r="AU860" i="1"/>
  <c r="AW859" i="1"/>
  <c r="AV859" i="1"/>
  <c r="AU859" i="1"/>
  <c r="AW858" i="1"/>
  <c r="AV858" i="1"/>
  <c r="AU858" i="1"/>
  <c r="AW857" i="1"/>
  <c r="AV857" i="1"/>
  <c r="AU857" i="1"/>
  <c r="AW856" i="1"/>
  <c r="AV856" i="1"/>
  <c r="AU856" i="1"/>
  <c r="AW855" i="1"/>
  <c r="AV855" i="1"/>
  <c r="AU855" i="1"/>
  <c r="AW854" i="1"/>
  <c r="AV854" i="1"/>
  <c r="AU854" i="1"/>
  <c r="AW853" i="1"/>
  <c r="AV853" i="1"/>
  <c r="AU853" i="1"/>
  <c r="AW852" i="1"/>
  <c r="AV852" i="1"/>
  <c r="AW851" i="1"/>
  <c r="AV851" i="1"/>
  <c r="AU851" i="1"/>
  <c r="AW850" i="1"/>
  <c r="AV850" i="1"/>
  <c r="AU850" i="1"/>
  <c r="AW849" i="1"/>
  <c r="AV849" i="1"/>
  <c r="AW848" i="1"/>
  <c r="AV848" i="1"/>
  <c r="AU848" i="1"/>
  <c r="AW847" i="1"/>
  <c r="AV847" i="1"/>
  <c r="AU847" i="1"/>
  <c r="AW846" i="1"/>
  <c r="AV846" i="1"/>
  <c r="AU846" i="1"/>
  <c r="AW845" i="1"/>
  <c r="AV845" i="1"/>
  <c r="AU845" i="1"/>
  <c r="AW844" i="1"/>
  <c r="AV844" i="1"/>
  <c r="AU844" i="1"/>
  <c r="AW843" i="1"/>
  <c r="AV843" i="1"/>
  <c r="AU843" i="1"/>
  <c r="AW842" i="1"/>
  <c r="AV842" i="1"/>
  <c r="AU842" i="1"/>
  <c r="AW841" i="1"/>
  <c r="AV841" i="1"/>
  <c r="AW840" i="1"/>
  <c r="AV840" i="1"/>
  <c r="AW839" i="1"/>
  <c r="AV839" i="1"/>
  <c r="AW838" i="1"/>
  <c r="AV838" i="1"/>
  <c r="AU838" i="1"/>
  <c r="AW837" i="1"/>
  <c r="AV837" i="1"/>
  <c r="AW836" i="1"/>
  <c r="AV836" i="1"/>
  <c r="AW835" i="1"/>
  <c r="AV835" i="1"/>
  <c r="AW834" i="1"/>
  <c r="AV834" i="1"/>
  <c r="AW833" i="1"/>
  <c r="AV833" i="1"/>
  <c r="AW832" i="1"/>
  <c r="AV832" i="1"/>
  <c r="AW831" i="1"/>
  <c r="AV831" i="1"/>
  <c r="AW830" i="1"/>
  <c r="AV830" i="1"/>
  <c r="AW829" i="1"/>
  <c r="AV829" i="1"/>
  <c r="AW828" i="1"/>
  <c r="AV828" i="1"/>
  <c r="AW827" i="1"/>
  <c r="AV827" i="1"/>
  <c r="AW826" i="1"/>
  <c r="AV826" i="1"/>
  <c r="AW825" i="1"/>
  <c r="AV825" i="1"/>
  <c r="AW824" i="1"/>
  <c r="AV824" i="1"/>
  <c r="AW823" i="1"/>
  <c r="AV823" i="1"/>
  <c r="AW822" i="1"/>
  <c r="AV822" i="1"/>
  <c r="AW821" i="1"/>
  <c r="AV821" i="1"/>
  <c r="AW820" i="1"/>
  <c r="AV820" i="1"/>
  <c r="AW819" i="1"/>
  <c r="AV819" i="1"/>
  <c r="AW818" i="1"/>
  <c r="AV818" i="1"/>
  <c r="AW817" i="1"/>
  <c r="AV817" i="1"/>
  <c r="AW816" i="1"/>
  <c r="AV816" i="1"/>
  <c r="AW815" i="1"/>
  <c r="AV815" i="1"/>
  <c r="AW814" i="1"/>
  <c r="AV814" i="1"/>
  <c r="AW813" i="1"/>
  <c r="AV813" i="1"/>
  <c r="AW812" i="1"/>
  <c r="AV812" i="1"/>
  <c r="AW811" i="1"/>
  <c r="AV811" i="1"/>
  <c r="AW810" i="1"/>
  <c r="AV810" i="1"/>
  <c r="AW809" i="1"/>
  <c r="AV809" i="1"/>
  <c r="AW808" i="1"/>
  <c r="AV808" i="1"/>
  <c r="AW807" i="1"/>
  <c r="AV807" i="1"/>
  <c r="AW806" i="1"/>
  <c r="AV806" i="1"/>
  <c r="AW805" i="1"/>
  <c r="AV805" i="1"/>
  <c r="AW804" i="1"/>
  <c r="AV804" i="1"/>
  <c r="AW803" i="1"/>
  <c r="AV803" i="1"/>
  <c r="AW802" i="1"/>
  <c r="AV802" i="1"/>
  <c r="AW801" i="1"/>
  <c r="AV801" i="1"/>
  <c r="AW800" i="1"/>
  <c r="AV800" i="1"/>
  <c r="AW799" i="1"/>
  <c r="AV799" i="1"/>
  <c r="AW798" i="1"/>
  <c r="AV798" i="1"/>
  <c r="AW797" i="1"/>
  <c r="AV797" i="1"/>
  <c r="AW796" i="1"/>
  <c r="AV796" i="1"/>
  <c r="AW795" i="1"/>
  <c r="AV795" i="1"/>
  <c r="AW794" i="1"/>
  <c r="AV794" i="1"/>
  <c r="AW793" i="1"/>
  <c r="AV793" i="1"/>
  <c r="AW792" i="1"/>
  <c r="AV792" i="1"/>
  <c r="AW791" i="1"/>
  <c r="AV791" i="1"/>
  <c r="AW790" i="1"/>
  <c r="AV790" i="1"/>
  <c r="AW789" i="1"/>
  <c r="AV789" i="1"/>
  <c r="AW788" i="1"/>
  <c r="AV788" i="1"/>
  <c r="AW787" i="1"/>
  <c r="AV787" i="1"/>
  <c r="AU787" i="1"/>
  <c r="AW786" i="1"/>
  <c r="AV786" i="1"/>
  <c r="AW785" i="1"/>
  <c r="AV785" i="1"/>
  <c r="AU785" i="1"/>
  <c r="AW784" i="1"/>
  <c r="AV784" i="1"/>
  <c r="AU784" i="1"/>
  <c r="AW783" i="1"/>
  <c r="AV783" i="1"/>
  <c r="AU783" i="1"/>
  <c r="AW782" i="1"/>
  <c r="AV782" i="1"/>
  <c r="AU782" i="1"/>
  <c r="AW781" i="1"/>
  <c r="AV781" i="1"/>
  <c r="AU781" i="1"/>
  <c r="AW780" i="1"/>
  <c r="AV780" i="1"/>
  <c r="AW779" i="1"/>
  <c r="AV779" i="1"/>
  <c r="AW778" i="1"/>
  <c r="AV778" i="1"/>
  <c r="AW777" i="1"/>
  <c r="AV777" i="1"/>
  <c r="AW776" i="1"/>
  <c r="AV776" i="1"/>
  <c r="AW775" i="1"/>
  <c r="AV775" i="1"/>
  <c r="AW774" i="1"/>
  <c r="AV774" i="1"/>
  <c r="AW773" i="1"/>
  <c r="AV773" i="1"/>
  <c r="AW772" i="1"/>
  <c r="AV772" i="1"/>
  <c r="AW771" i="1"/>
  <c r="AV771" i="1"/>
  <c r="AW770" i="1"/>
  <c r="AV770" i="1"/>
  <c r="AW769" i="1"/>
  <c r="AV769" i="1"/>
  <c r="AU769" i="1"/>
  <c r="AW768" i="1"/>
  <c r="AV768" i="1"/>
  <c r="AU768" i="1"/>
  <c r="AW767" i="1"/>
  <c r="AV767" i="1"/>
  <c r="AW766" i="1"/>
  <c r="AV766" i="1"/>
  <c r="AW765" i="1"/>
  <c r="AV765" i="1"/>
  <c r="AU765" i="1"/>
  <c r="AW764" i="1"/>
  <c r="AV764" i="1"/>
  <c r="AU764" i="1"/>
  <c r="AW763" i="1"/>
  <c r="AV763" i="1"/>
  <c r="AU763" i="1"/>
  <c r="AW762" i="1"/>
  <c r="AV762" i="1"/>
  <c r="AW761" i="1"/>
  <c r="AV761" i="1"/>
  <c r="AW760" i="1"/>
  <c r="AV760" i="1"/>
  <c r="AW759" i="1"/>
  <c r="AV759" i="1"/>
  <c r="AW758" i="1"/>
  <c r="AV758" i="1"/>
  <c r="AW757" i="1"/>
  <c r="AV757" i="1"/>
  <c r="AW756" i="1"/>
  <c r="AV756" i="1"/>
  <c r="AW755" i="1"/>
  <c r="AV755" i="1"/>
  <c r="AW754" i="1"/>
  <c r="AV754" i="1"/>
  <c r="AW753" i="1"/>
  <c r="AV753" i="1"/>
  <c r="AW752" i="1"/>
  <c r="AV752" i="1"/>
  <c r="AU752" i="1"/>
  <c r="AW751" i="1"/>
  <c r="AV751" i="1"/>
  <c r="AW750" i="1"/>
  <c r="AV750" i="1"/>
  <c r="AW749" i="1"/>
  <c r="AV749" i="1"/>
  <c r="AW748" i="1"/>
  <c r="AV748" i="1"/>
  <c r="AW747" i="1"/>
  <c r="AV747" i="1"/>
  <c r="AU747" i="1"/>
  <c r="AW746" i="1"/>
  <c r="AV746" i="1"/>
  <c r="AW745" i="1"/>
  <c r="AV745" i="1"/>
  <c r="AW744" i="1"/>
  <c r="AV744" i="1"/>
  <c r="AW743" i="1"/>
  <c r="AV743" i="1"/>
  <c r="AW742" i="1"/>
  <c r="AV742" i="1"/>
  <c r="AW741" i="1"/>
  <c r="AV741" i="1"/>
  <c r="AU741" i="1"/>
  <c r="AW740" i="1"/>
  <c r="AV740" i="1"/>
  <c r="AW739" i="1"/>
  <c r="AV739" i="1"/>
  <c r="AW738" i="1"/>
  <c r="AV738" i="1"/>
  <c r="AW737" i="1"/>
  <c r="AV737" i="1"/>
  <c r="AU737" i="1"/>
  <c r="AW736" i="1"/>
  <c r="AV736" i="1"/>
  <c r="AW735" i="1"/>
  <c r="AV735" i="1"/>
  <c r="AW734" i="1"/>
  <c r="AV734" i="1"/>
  <c r="AW733" i="1"/>
  <c r="AV733" i="1"/>
  <c r="AU733" i="1"/>
  <c r="AW732" i="1"/>
  <c r="AV732" i="1"/>
  <c r="AW731" i="1"/>
  <c r="AV731" i="1"/>
  <c r="AW730" i="1"/>
  <c r="AV730" i="1"/>
  <c r="AU730" i="1"/>
  <c r="AW729" i="1"/>
  <c r="AV729" i="1"/>
  <c r="AW728" i="1"/>
  <c r="AV728" i="1"/>
  <c r="AW727" i="1"/>
  <c r="AV727" i="1"/>
  <c r="AW726" i="1"/>
  <c r="AV726" i="1"/>
  <c r="AW725" i="1"/>
  <c r="AV725" i="1"/>
  <c r="AW724" i="1"/>
  <c r="AV724" i="1"/>
  <c r="AW723" i="1"/>
  <c r="AV723" i="1"/>
  <c r="AW722" i="1"/>
  <c r="AV722" i="1"/>
  <c r="AU722" i="1"/>
  <c r="AW721" i="1"/>
  <c r="AV721" i="1"/>
  <c r="AW720" i="1"/>
  <c r="AV720" i="1"/>
  <c r="AU720" i="1"/>
  <c r="AW719" i="1"/>
  <c r="AV719" i="1"/>
  <c r="AW718" i="1"/>
  <c r="AV718" i="1"/>
  <c r="AW717" i="1"/>
  <c r="AV717" i="1"/>
  <c r="AW716" i="1"/>
  <c r="AV716" i="1"/>
  <c r="AW715" i="1"/>
  <c r="AV715" i="1"/>
  <c r="AU715" i="1"/>
  <c r="AW714" i="1"/>
  <c r="AV714" i="1"/>
  <c r="AU714" i="1"/>
  <c r="AW713" i="1"/>
  <c r="AV713" i="1"/>
  <c r="AU713" i="1"/>
  <c r="AW712" i="1"/>
  <c r="AV712" i="1"/>
  <c r="AU712" i="1"/>
  <c r="AW711" i="1"/>
  <c r="AV711" i="1"/>
  <c r="AW710" i="1"/>
  <c r="AV710" i="1"/>
  <c r="AW709" i="1"/>
  <c r="AV709" i="1"/>
  <c r="AW708" i="1"/>
  <c r="AV708" i="1"/>
  <c r="AU708" i="1"/>
  <c r="AW707" i="1"/>
  <c r="AV707" i="1"/>
  <c r="AW706" i="1"/>
  <c r="AV706" i="1"/>
  <c r="AW705" i="1"/>
  <c r="AV705" i="1"/>
  <c r="AW704" i="1"/>
  <c r="AV704" i="1"/>
  <c r="AW703" i="1"/>
  <c r="AV703" i="1"/>
  <c r="AW702" i="1"/>
  <c r="AV702" i="1"/>
  <c r="AW701" i="1"/>
  <c r="AV701" i="1"/>
  <c r="AW700" i="1"/>
  <c r="AV700" i="1"/>
  <c r="AW699" i="1"/>
  <c r="AV699" i="1"/>
  <c r="AW698" i="1"/>
  <c r="AV698" i="1"/>
  <c r="AU698" i="1"/>
  <c r="AW697" i="1"/>
  <c r="AV697" i="1"/>
  <c r="AU697" i="1"/>
  <c r="AW696" i="1"/>
  <c r="AV696" i="1"/>
  <c r="AU696" i="1"/>
  <c r="AW695" i="1"/>
  <c r="AV695" i="1"/>
  <c r="AW694" i="1"/>
  <c r="AV694" i="1"/>
  <c r="AW693" i="1"/>
  <c r="AV693" i="1"/>
  <c r="AW692" i="1"/>
  <c r="AV692" i="1"/>
  <c r="AW691" i="1"/>
  <c r="AV691" i="1"/>
  <c r="AU691" i="1"/>
  <c r="AW690" i="1"/>
  <c r="AV690" i="1"/>
  <c r="AW689" i="1"/>
  <c r="AV689" i="1"/>
  <c r="AW688" i="1"/>
  <c r="AV688" i="1"/>
  <c r="AW687" i="1"/>
  <c r="AV687" i="1"/>
  <c r="AU687" i="1"/>
  <c r="AW686" i="1"/>
  <c r="AV686" i="1"/>
  <c r="AW685" i="1"/>
  <c r="AV685" i="1"/>
  <c r="AW684" i="1"/>
  <c r="AV684" i="1"/>
  <c r="AW683" i="1"/>
  <c r="AV683" i="1"/>
  <c r="AU683" i="1"/>
  <c r="AW682" i="1"/>
  <c r="AV682" i="1"/>
  <c r="AW681" i="1"/>
  <c r="AV681" i="1"/>
  <c r="AW680" i="1"/>
  <c r="AV680" i="1"/>
  <c r="AW679" i="1"/>
  <c r="AV679" i="1"/>
  <c r="AW678" i="1"/>
  <c r="AV678" i="1"/>
  <c r="AW677" i="1"/>
  <c r="AV677" i="1"/>
  <c r="AW676" i="1"/>
  <c r="AV676" i="1"/>
  <c r="AU676" i="1"/>
  <c r="AW675" i="1"/>
  <c r="AV675" i="1"/>
  <c r="AU675" i="1"/>
  <c r="AW674" i="1"/>
  <c r="AV674" i="1"/>
  <c r="AW673" i="1"/>
  <c r="AV673" i="1"/>
  <c r="AW672" i="1"/>
  <c r="AV672" i="1"/>
  <c r="AU672" i="1"/>
  <c r="AW671" i="1"/>
  <c r="AV671" i="1"/>
  <c r="AU671" i="1"/>
  <c r="AW670" i="1"/>
  <c r="AV670" i="1"/>
  <c r="AU670" i="1"/>
  <c r="AW669" i="1"/>
  <c r="AV669" i="1"/>
  <c r="AU669" i="1"/>
  <c r="AW668" i="1"/>
  <c r="AV668" i="1"/>
  <c r="AU668" i="1"/>
  <c r="AW667" i="1"/>
  <c r="AV667" i="1"/>
  <c r="AU667" i="1"/>
  <c r="AW666" i="1"/>
  <c r="AV666" i="1"/>
  <c r="AU666" i="1"/>
  <c r="AW665" i="1"/>
  <c r="AV665" i="1"/>
  <c r="AU665" i="1"/>
  <c r="AW664" i="1"/>
  <c r="AV664" i="1"/>
  <c r="AU664" i="1"/>
  <c r="AW663" i="1"/>
  <c r="AV663" i="1"/>
  <c r="AW662" i="1"/>
  <c r="AV662" i="1"/>
  <c r="AW661" i="1"/>
  <c r="AV661" i="1"/>
  <c r="AU661" i="1"/>
  <c r="AW660" i="1"/>
  <c r="AV660" i="1"/>
  <c r="AU660" i="1"/>
  <c r="AW659" i="1"/>
  <c r="AV659" i="1"/>
  <c r="AU659" i="1"/>
  <c r="AW658" i="1"/>
  <c r="AV658" i="1"/>
  <c r="AW657" i="1"/>
  <c r="AV657" i="1"/>
  <c r="AU657" i="1"/>
  <c r="AW656" i="1"/>
  <c r="AV656" i="1"/>
  <c r="AW655" i="1"/>
  <c r="AV655" i="1"/>
  <c r="AW654" i="1"/>
  <c r="AV654" i="1"/>
  <c r="AW653" i="1"/>
  <c r="AV653" i="1"/>
  <c r="AW652" i="1"/>
  <c r="AV652" i="1"/>
  <c r="AW651" i="1"/>
  <c r="AV651" i="1"/>
  <c r="AW650" i="1"/>
  <c r="AV650" i="1"/>
  <c r="AU650" i="1"/>
  <c r="AW649" i="1"/>
  <c r="AV649" i="1"/>
  <c r="AU649" i="1"/>
  <c r="AW648" i="1"/>
  <c r="AV648" i="1"/>
  <c r="AW647" i="1"/>
  <c r="AV647" i="1"/>
  <c r="AW646" i="1"/>
  <c r="AV646" i="1"/>
  <c r="AW645" i="1"/>
  <c r="AV645" i="1"/>
  <c r="AU645" i="1"/>
  <c r="AW644" i="1"/>
  <c r="AV644" i="1"/>
  <c r="AU644" i="1"/>
  <c r="AW643" i="1"/>
  <c r="AV643" i="1"/>
  <c r="AU643" i="1"/>
  <c r="AW642" i="1"/>
  <c r="AV642" i="1"/>
  <c r="AU642" i="1"/>
  <c r="AW641" i="1"/>
  <c r="AV641" i="1"/>
  <c r="AU641" i="1"/>
  <c r="AW640" i="1"/>
  <c r="AV640" i="1"/>
  <c r="AW639" i="1"/>
  <c r="AV639" i="1"/>
  <c r="AU639" i="1"/>
  <c r="AW638" i="1"/>
  <c r="AV638" i="1"/>
  <c r="AU638" i="1"/>
  <c r="AW637" i="1"/>
  <c r="AV637" i="1"/>
  <c r="AU637" i="1"/>
  <c r="AW636" i="1"/>
  <c r="AV636" i="1"/>
  <c r="AW635" i="1"/>
  <c r="AV635" i="1"/>
  <c r="AU635" i="1"/>
  <c r="AW634" i="1"/>
  <c r="AV634" i="1"/>
  <c r="AU634" i="1"/>
  <c r="AW633" i="1"/>
  <c r="AV633" i="1"/>
  <c r="AU633" i="1"/>
  <c r="AW632" i="1"/>
  <c r="AV632" i="1"/>
  <c r="AU632" i="1"/>
  <c r="AW631" i="1"/>
  <c r="AV631" i="1"/>
  <c r="AU631" i="1"/>
  <c r="AW630" i="1"/>
  <c r="AV630" i="1"/>
  <c r="AU630" i="1"/>
  <c r="AW629" i="1"/>
  <c r="AV629" i="1"/>
  <c r="AU629" i="1"/>
  <c r="AW628" i="1"/>
  <c r="AV628" i="1"/>
  <c r="AU628" i="1"/>
  <c r="AW627" i="1"/>
  <c r="AV627" i="1"/>
  <c r="AU627" i="1"/>
  <c r="AW626" i="1"/>
  <c r="AV626" i="1"/>
  <c r="AU626" i="1"/>
  <c r="AW625" i="1"/>
  <c r="AV625" i="1"/>
  <c r="AU625" i="1"/>
  <c r="AW624" i="1"/>
  <c r="AV624" i="1"/>
  <c r="AU624" i="1"/>
  <c r="AW623" i="1"/>
  <c r="AV623" i="1"/>
  <c r="AW622" i="1"/>
  <c r="AV622" i="1"/>
  <c r="AW621" i="1"/>
  <c r="AV621" i="1"/>
  <c r="AW620" i="1"/>
  <c r="AV620" i="1"/>
  <c r="AU620" i="1"/>
  <c r="AW619" i="1"/>
  <c r="AV619" i="1"/>
  <c r="AW618" i="1"/>
  <c r="AV618" i="1"/>
  <c r="AU618" i="1"/>
  <c r="AW617" i="1"/>
  <c r="AV617" i="1"/>
  <c r="AU617" i="1"/>
  <c r="AW616" i="1"/>
  <c r="AV616" i="1"/>
  <c r="AW615" i="1"/>
  <c r="AV615" i="1"/>
  <c r="AU615" i="1"/>
  <c r="AW614" i="1"/>
  <c r="AV614" i="1"/>
  <c r="AU614" i="1"/>
  <c r="AW613" i="1"/>
  <c r="AV613" i="1"/>
  <c r="AU613" i="1"/>
  <c r="AW612" i="1"/>
  <c r="AV612" i="1"/>
  <c r="AU612" i="1"/>
  <c r="AW611" i="1"/>
  <c r="AV611" i="1"/>
  <c r="AU611" i="1"/>
  <c r="AW610" i="1"/>
  <c r="AV610" i="1"/>
  <c r="AU610" i="1"/>
  <c r="AW609" i="1"/>
  <c r="AV609" i="1"/>
  <c r="AW608" i="1"/>
  <c r="AV608" i="1"/>
  <c r="AW607" i="1"/>
  <c r="AV607" i="1"/>
  <c r="AW606" i="1"/>
  <c r="AV606" i="1"/>
  <c r="AW605" i="1"/>
  <c r="AV605" i="1"/>
  <c r="AU605" i="1"/>
  <c r="AW604" i="1"/>
  <c r="AV604" i="1"/>
  <c r="AW603" i="1"/>
  <c r="AV603" i="1"/>
  <c r="AU603" i="1"/>
  <c r="AW602" i="1"/>
  <c r="AV602" i="1"/>
  <c r="AW601" i="1"/>
  <c r="AV601" i="1"/>
  <c r="AU601" i="1"/>
  <c r="AW600" i="1"/>
  <c r="AV600" i="1"/>
  <c r="AW599" i="1"/>
  <c r="AV599" i="1"/>
  <c r="AW598" i="1"/>
  <c r="AV598" i="1"/>
  <c r="AW597" i="1"/>
  <c r="AV597" i="1"/>
  <c r="AW596" i="1"/>
  <c r="AV596" i="1"/>
  <c r="AW595" i="1"/>
  <c r="AV595" i="1"/>
  <c r="AW594" i="1"/>
  <c r="AV594" i="1"/>
  <c r="AW593" i="1"/>
  <c r="AV593" i="1"/>
  <c r="AW592" i="1"/>
  <c r="AV592" i="1"/>
  <c r="AW591" i="1"/>
  <c r="AV591" i="1"/>
  <c r="AU591" i="1"/>
  <c r="AW590" i="1"/>
  <c r="AV590" i="1"/>
  <c r="AW589" i="1"/>
  <c r="AV589" i="1"/>
  <c r="AW588" i="1"/>
  <c r="AV588" i="1"/>
  <c r="AW587" i="1"/>
  <c r="AV587" i="1"/>
  <c r="AW586" i="1"/>
  <c r="AV586" i="1"/>
  <c r="AW585" i="1"/>
  <c r="AV585" i="1"/>
  <c r="AW584" i="1"/>
  <c r="AV584" i="1"/>
  <c r="AW583" i="1"/>
  <c r="AV583" i="1"/>
  <c r="AW582" i="1"/>
  <c r="AV582" i="1"/>
  <c r="AW581" i="1"/>
  <c r="AV581" i="1"/>
  <c r="AW580" i="1"/>
  <c r="AV580" i="1"/>
  <c r="AW579" i="1"/>
  <c r="AV579" i="1"/>
  <c r="AW578" i="1"/>
  <c r="AV578" i="1"/>
  <c r="AW577" i="1"/>
  <c r="AV577" i="1"/>
  <c r="AW576" i="1"/>
  <c r="AV576" i="1"/>
  <c r="AW575" i="1"/>
  <c r="AV575" i="1"/>
  <c r="AW574" i="1"/>
  <c r="AV574" i="1"/>
  <c r="AW573" i="1"/>
  <c r="AV573" i="1"/>
  <c r="AW572" i="1"/>
  <c r="AV572" i="1"/>
  <c r="AU572" i="1"/>
  <c r="AW571" i="1"/>
  <c r="AV571" i="1"/>
  <c r="AW570" i="1"/>
  <c r="AV570" i="1"/>
  <c r="AW569" i="1"/>
  <c r="AV569" i="1"/>
  <c r="AU569" i="1"/>
  <c r="AW568" i="1"/>
  <c r="AV568" i="1"/>
  <c r="AW567" i="1"/>
  <c r="AV567" i="1"/>
  <c r="AU567" i="1"/>
  <c r="AW566" i="1"/>
  <c r="AV566" i="1"/>
  <c r="AW565" i="1"/>
  <c r="AV565" i="1"/>
  <c r="AW564" i="1"/>
  <c r="AV564" i="1"/>
  <c r="AU564" i="1"/>
  <c r="AW563" i="1"/>
  <c r="AV563" i="1"/>
  <c r="AU563" i="1"/>
  <c r="AW562" i="1"/>
  <c r="AV562" i="1"/>
  <c r="AW561" i="1"/>
  <c r="AV561" i="1"/>
  <c r="AW560" i="1"/>
  <c r="AV560" i="1"/>
  <c r="AW559" i="1"/>
  <c r="AV559" i="1"/>
  <c r="AW558" i="1"/>
  <c r="AV558" i="1"/>
  <c r="AU558" i="1"/>
  <c r="AW557" i="1"/>
  <c r="AV557" i="1"/>
  <c r="AU557" i="1"/>
  <c r="AW556" i="1"/>
  <c r="AV556" i="1"/>
  <c r="AW555" i="1"/>
  <c r="AV555" i="1"/>
  <c r="AW554" i="1"/>
  <c r="AV554" i="1"/>
  <c r="AU554" i="1"/>
  <c r="AW553" i="1"/>
  <c r="AV553" i="1"/>
  <c r="AU553" i="1"/>
  <c r="AW552" i="1"/>
  <c r="AV552" i="1"/>
  <c r="AU552" i="1"/>
  <c r="AW551" i="1"/>
  <c r="AV551" i="1"/>
  <c r="AW550" i="1"/>
  <c r="AV550" i="1"/>
  <c r="AW549" i="1"/>
  <c r="AV549" i="1"/>
  <c r="AW548" i="1"/>
  <c r="AV548" i="1"/>
  <c r="AW547" i="1"/>
  <c r="AV547" i="1"/>
  <c r="AU547" i="1"/>
  <c r="AW546" i="1"/>
  <c r="AV546" i="1"/>
  <c r="AU546" i="1"/>
  <c r="AW545" i="1"/>
  <c r="AV545" i="1"/>
  <c r="AW544" i="1"/>
  <c r="AV544" i="1"/>
  <c r="AW543" i="1"/>
  <c r="AV543" i="1"/>
  <c r="AU543" i="1"/>
  <c r="AW542" i="1"/>
  <c r="AV542" i="1"/>
  <c r="AU542" i="1"/>
  <c r="AW541" i="1"/>
  <c r="AV541" i="1"/>
  <c r="AW540" i="1"/>
  <c r="AV540" i="1"/>
  <c r="AW539" i="1"/>
  <c r="AV539" i="1"/>
  <c r="AW538" i="1"/>
  <c r="AV538" i="1"/>
  <c r="AU538" i="1"/>
  <c r="AW537" i="1"/>
  <c r="AV537" i="1"/>
  <c r="AW536" i="1"/>
  <c r="AV536" i="1"/>
  <c r="AW535" i="1"/>
  <c r="AV535" i="1"/>
  <c r="AW534" i="1"/>
  <c r="AV534" i="1"/>
  <c r="AW533" i="1"/>
  <c r="AV533" i="1"/>
  <c r="AW532" i="1"/>
  <c r="AV532" i="1"/>
  <c r="AW531" i="1"/>
  <c r="AV531" i="1"/>
  <c r="AW530" i="1"/>
  <c r="AV530" i="1"/>
  <c r="AW529" i="1"/>
  <c r="AV529" i="1"/>
  <c r="AW528" i="1"/>
  <c r="AV528" i="1"/>
  <c r="AW527" i="1"/>
  <c r="AV527" i="1"/>
  <c r="AW526" i="1"/>
  <c r="AV526" i="1"/>
  <c r="AU526" i="1"/>
  <c r="AW525" i="1"/>
  <c r="AV525" i="1"/>
  <c r="AW524" i="1"/>
  <c r="AV524" i="1"/>
  <c r="AU524" i="1"/>
  <c r="AW523" i="1"/>
  <c r="AV523" i="1"/>
  <c r="AW522" i="1"/>
  <c r="AV522" i="1"/>
  <c r="AW521" i="1"/>
  <c r="AV521" i="1"/>
  <c r="AU521" i="1"/>
  <c r="AW520" i="1"/>
  <c r="AV520" i="1"/>
  <c r="AU520" i="1"/>
  <c r="AW519" i="1"/>
  <c r="AV519" i="1"/>
  <c r="AU519" i="1"/>
  <c r="AW518" i="1"/>
  <c r="AV518" i="1"/>
  <c r="AU518" i="1"/>
  <c r="AW517" i="1"/>
  <c r="AV517" i="1"/>
  <c r="AW516" i="1"/>
  <c r="AV516" i="1"/>
  <c r="AW515" i="1"/>
  <c r="AV515" i="1"/>
  <c r="AW514" i="1"/>
  <c r="AV514" i="1"/>
  <c r="AW513" i="1"/>
  <c r="AV513" i="1"/>
  <c r="AU513" i="1"/>
  <c r="AW512" i="1"/>
  <c r="AV512" i="1"/>
  <c r="AW511" i="1"/>
  <c r="AV511" i="1"/>
  <c r="AW510" i="1"/>
  <c r="AV510" i="1"/>
  <c r="AW509" i="1"/>
  <c r="AV509" i="1"/>
  <c r="AU509" i="1"/>
  <c r="AW508" i="1"/>
  <c r="AV508" i="1"/>
  <c r="AU508" i="1"/>
  <c r="AW507" i="1"/>
  <c r="AV507" i="1"/>
  <c r="AU507" i="1"/>
  <c r="AW506" i="1"/>
  <c r="AV506" i="1"/>
  <c r="AU506" i="1"/>
  <c r="AW505" i="1"/>
  <c r="AV505" i="1"/>
  <c r="AU505" i="1"/>
  <c r="AW504" i="1"/>
  <c r="AV504" i="1"/>
  <c r="AU504" i="1"/>
  <c r="AW503" i="1"/>
  <c r="AV503" i="1"/>
  <c r="AU503" i="1"/>
  <c r="AW502" i="1"/>
  <c r="AV502" i="1"/>
  <c r="AW501" i="1"/>
  <c r="AV501" i="1"/>
  <c r="AW500" i="1"/>
  <c r="AV500" i="1"/>
  <c r="AU500" i="1"/>
  <c r="AW499" i="1"/>
  <c r="AV499" i="1"/>
  <c r="AU499" i="1"/>
  <c r="AW498" i="1"/>
  <c r="AV498" i="1"/>
  <c r="AW497" i="1"/>
  <c r="AV497" i="1"/>
  <c r="AU497" i="1"/>
  <c r="AW496" i="1"/>
  <c r="AV496" i="1"/>
  <c r="AU496" i="1"/>
  <c r="AW495" i="1"/>
  <c r="AV495" i="1"/>
  <c r="AU495" i="1"/>
  <c r="AW494" i="1"/>
  <c r="AV494" i="1"/>
  <c r="AU494" i="1"/>
  <c r="AW493" i="1"/>
  <c r="AV493" i="1"/>
  <c r="AU493" i="1"/>
  <c r="AW492" i="1"/>
  <c r="AV492" i="1"/>
  <c r="AU492" i="1"/>
  <c r="AW491" i="1"/>
  <c r="AV491" i="1"/>
  <c r="AW490" i="1"/>
  <c r="AV490" i="1"/>
  <c r="AW489" i="1"/>
  <c r="AV489" i="1"/>
  <c r="AW488" i="1"/>
  <c r="AV488" i="1"/>
  <c r="AW487" i="1"/>
  <c r="AV487" i="1"/>
  <c r="AW486" i="1"/>
  <c r="AV486" i="1"/>
  <c r="AW485" i="1"/>
  <c r="AV485" i="1"/>
  <c r="AW484" i="1"/>
  <c r="AV484" i="1"/>
  <c r="AW483" i="1"/>
  <c r="AV483" i="1"/>
  <c r="AW482" i="1"/>
  <c r="AV482" i="1"/>
  <c r="AW481" i="1"/>
  <c r="AV481" i="1"/>
  <c r="AU481" i="1"/>
  <c r="AW480" i="1"/>
  <c r="AV480" i="1"/>
  <c r="AW479" i="1"/>
  <c r="AV479" i="1"/>
  <c r="AW478" i="1"/>
  <c r="AV478" i="1"/>
  <c r="AW477" i="1"/>
  <c r="AV477" i="1"/>
  <c r="AU477" i="1"/>
  <c r="AW476" i="1"/>
  <c r="AV476" i="1"/>
  <c r="AU476" i="1"/>
  <c r="AW475" i="1"/>
  <c r="AV475" i="1"/>
  <c r="AW474" i="1"/>
  <c r="AV474" i="1"/>
  <c r="AW473" i="1"/>
  <c r="AV473" i="1"/>
  <c r="AW472" i="1"/>
  <c r="AV472" i="1"/>
  <c r="AU472" i="1"/>
  <c r="AW471" i="1"/>
  <c r="AV471" i="1"/>
  <c r="AU471" i="1"/>
  <c r="AW470" i="1"/>
  <c r="AV470" i="1"/>
  <c r="AW469" i="1"/>
  <c r="AV469" i="1"/>
  <c r="AW468" i="1"/>
  <c r="AV468" i="1"/>
  <c r="AW467" i="1"/>
  <c r="AV467" i="1"/>
  <c r="AW466" i="1"/>
  <c r="AV466" i="1"/>
  <c r="AU466" i="1"/>
  <c r="AW465" i="1"/>
  <c r="AV465" i="1"/>
  <c r="AU465" i="1"/>
  <c r="AW464" i="1"/>
  <c r="AV464" i="1"/>
  <c r="AU464" i="1"/>
  <c r="AW463" i="1"/>
  <c r="AV463" i="1"/>
  <c r="AU463" i="1"/>
  <c r="AW462" i="1"/>
  <c r="AV462" i="1"/>
  <c r="AW461" i="1"/>
  <c r="AV461" i="1"/>
  <c r="AW460" i="1"/>
  <c r="AV460" i="1"/>
  <c r="AW459" i="1"/>
  <c r="AV459" i="1"/>
  <c r="AW458" i="1"/>
  <c r="AV458" i="1"/>
  <c r="AW457" i="1"/>
  <c r="AV457" i="1"/>
  <c r="AU457" i="1"/>
  <c r="AW456" i="1"/>
  <c r="AV456" i="1"/>
  <c r="AU456" i="1"/>
  <c r="AW455" i="1"/>
  <c r="AV455" i="1"/>
  <c r="AU455" i="1"/>
  <c r="AW454" i="1"/>
  <c r="AV454" i="1"/>
  <c r="AU454" i="1"/>
  <c r="AW453" i="1"/>
  <c r="AV453" i="1"/>
  <c r="AW452" i="1"/>
  <c r="AV452" i="1"/>
  <c r="AW451" i="1"/>
  <c r="AV451" i="1"/>
  <c r="AU451" i="1"/>
  <c r="AW450" i="1"/>
  <c r="AV450" i="1"/>
  <c r="AW449" i="1"/>
  <c r="AV449" i="1"/>
  <c r="AW448" i="1"/>
  <c r="AV448" i="1"/>
  <c r="AU448" i="1"/>
  <c r="AW447" i="1"/>
  <c r="AV447" i="1"/>
  <c r="AW446" i="1"/>
  <c r="AV446" i="1"/>
  <c r="AW445" i="1"/>
  <c r="AV445" i="1"/>
  <c r="AU445" i="1"/>
  <c r="AW444" i="1"/>
  <c r="AV444" i="1"/>
  <c r="AW443" i="1"/>
  <c r="AV443" i="1"/>
  <c r="AW442" i="1"/>
  <c r="AV442" i="1"/>
  <c r="AW441" i="1"/>
  <c r="AV441" i="1"/>
  <c r="AW440" i="1"/>
  <c r="AV440" i="1"/>
  <c r="AW439" i="1"/>
  <c r="AV439" i="1"/>
  <c r="AW438" i="1"/>
  <c r="AV438" i="1"/>
  <c r="AW437" i="1"/>
  <c r="AV437" i="1"/>
  <c r="AW436" i="1"/>
  <c r="AV436" i="1"/>
  <c r="AW435" i="1"/>
  <c r="AV435" i="1"/>
  <c r="AW434" i="1"/>
  <c r="AV434" i="1"/>
  <c r="AW433" i="1"/>
  <c r="AV433" i="1"/>
  <c r="AW432" i="1"/>
  <c r="AV432" i="1"/>
  <c r="AW431" i="1"/>
  <c r="AV431" i="1"/>
  <c r="AW430" i="1"/>
  <c r="AV430" i="1"/>
  <c r="AW429" i="1"/>
  <c r="AV429" i="1"/>
  <c r="AW428" i="1"/>
  <c r="AV428" i="1"/>
  <c r="AW427" i="1"/>
  <c r="AV427" i="1"/>
  <c r="AW426" i="1"/>
  <c r="AV426" i="1"/>
  <c r="AW425" i="1"/>
  <c r="AV425" i="1"/>
  <c r="AU425" i="1"/>
  <c r="AW424" i="1"/>
  <c r="AV424" i="1"/>
  <c r="AW423" i="1"/>
  <c r="AV423" i="1"/>
  <c r="AW422" i="1"/>
  <c r="AV422" i="1"/>
  <c r="AW421" i="1"/>
  <c r="AV421" i="1"/>
  <c r="AW420" i="1"/>
  <c r="AV420" i="1"/>
  <c r="AW419" i="1"/>
  <c r="AV419" i="1"/>
  <c r="AW418" i="1"/>
  <c r="AV418" i="1"/>
  <c r="AW417" i="1"/>
  <c r="AV417" i="1"/>
  <c r="AU417" i="1"/>
  <c r="AW416" i="1"/>
  <c r="AV416" i="1"/>
  <c r="AU416" i="1"/>
  <c r="AW415" i="1"/>
  <c r="AV415" i="1"/>
  <c r="AW414" i="1"/>
  <c r="AV414" i="1"/>
  <c r="AW413" i="1"/>
  <c r="AV413" i="1"/>
  <c r="AW412" i="1"/>
  <c r="AV412" i="1"/>
  <c r="AW411" i="1"/>
  <c r="AV411" i="1"/>
  <c r="AW410" i="1"/>
  <c r="AV410" i="1"/>
  <c r="AW409" i="1"/>
  <c r="AV409" i="1"/>
  <c r="AW408" i="1"/>
  <c r="AV408" i="1"/>
  <c r="AU408" i="1"/>
  <c r="AW407" i="1"/>
  <c r="AV407" i="1"/>
  <c r="AW406" i="1"/>
  <c r="AV406" i="1"/>
  <c r="AW405" i="1"/>
  <c r="AV405" i="1"/>
  <c r="AW404" i="1"/>
  <c r="AV404" i="1"/>
  <c r="AU404" i="1"/>
  <c r="AW403" i="1"/>
  <c r="AV403" i="1"/>
  <c r="AW402" i="1"/>
  <c r="AV402" i="1"/>
  <c r="AW401" i="1"/>
  <c r="AV401" i="1"/>
  <c r="AU401" i="1"/>
  <c r="AW400" i="1"/>
  <c r="AV400" i="1"/>
  <c r="AW399" i="1"/>
  <c r="AV399" i="1"/>
  <c r="AU399" i="1"/>
  <c r="AW398" i="1"/>
  <c r="AV398" i="1"/>
  <c r="AW397" i="1"/>
  <c r="AV397" i="1"/>
  <c r="AW396" i="1"/>
  <c r="AV396" i="1"/>
  <c r="AW395" i="1"/>
  <c r="AV395" i="1"/>
  <c r="AW394" i="1"/>
  <c r="AV394" i="1"/>
  <c r="AW393" i="1"/>
  <c r="AV393" i="1"/>
  <c r="AW392" i="1"/>
  <c r="AV392" i="1"/>
  <c r="AW391" i="1"/>
  <c r="AV391" i="1"/>
  <c r="AW390" i="1"/>
  <c r="AV390" i="1"/>
  <c r="AW389" i="1"/>
  <c r="AV389" i="1"/>
  <c r="AW388" i="1"/>
  <c r="AV388" i="1"/>
  <c r="AW387" i="1"/>
  <c r="AV387" i="1"/>
  <c r="AW386" i="1"/>
  <c r="AV386" i="1"/>
  <c r="AW385" i="1"/>
  <c r="AV385" i="1"/>
  <c r="AW384" i="1"/>
  <c r="AV384" i="1"/>
  <c r="AW383" i="1"/>
  <c r="AV383" i="1"/>
  <c r="AW382" i="1"/>
  <c r="AV382" i="1"/>
  <c r="AW381" i="1"/>
  <c r="AV381" i="1"/>
  <c r="AU381" i="1"/>
  <c r="AW380" i="1"/>
  <c r="AV380" i="1"/>
  <c r="AW379" i="1"/>
  <c r="AV379" i="1"/>
  <c r="AW378" i="1"/>
  <c r="AV378" i="1"/>
  <c r="AW377" i="1"/>
  <c r="AV377" i="1"/>
  <c r="AU377" i="1"/>
  <c r="AW376" i="1"/>
  <c r="AV376" i="1"/>
  <c r="AW375" i="1"/>
  <c r="AV375" i="1"/>
  <c r="AW374" i="1"/>
  <c r="AV374" i="1"/>
  <c r="AW373" i="1"/>
  <c r="AV373" i="1"/>
  <c r="AW372" i="1"/>
  <c r="AV372" i="1"/>
  <c r="AU372" i="1"/>
  <c r="AW371" i="1"/>
  <c r="AV371" i="1"/>
  <c r="AW370" i="1"/>
  <c r="AV370" i="1"/>
  <c r="AW369" i="1"/>
  <c r="AV369" i="1"/>
  <c r="AW368" i="1"/>
  <c r="AV368" i="1"/>
  <c r="AW367" i="1"/>
  <c r="AV367" i="1"/>
  <c r="AW366" i="1"/>
  <c r="AV366" i="1"/>
  <c r="AW365" i="1"/>
  <c r="AV365" i="1"/>
  <c r="AU365" i="1"/>
  <c r="AW364" i="1"/>
  <c r="AV364" i="1"/>
  <c r="AW363" i="1"/>
  <c r="AV363" i="1"/>
  <c r="AU363" i="1"/>
  <c r="AW362" i="1"/>
  <c r="AV362" i="1"/>
  <c r="AW361" i="1"/>
  <c r="AV361" i="1"/>
  <c r="AW360" i="1"/>
  <c r="AV360" i="1"/>
  <c r="AW359" i="1"/>
  <c r="AV359" i="1"/>
  <c r="AW358" i="1"/>
  <c r="AV358" i="1"/>
  <c r="AW357" i="1"/>
  <c r="AV357" i="1"/>
  <c r="AW356" i="1"/>
  <c r="AV356" i="1"/>
  <c r="AW355" i="1"/>
  <c r="AV355" i="1"/>
  <c r="AW354" i="1"/>
  <c r="AV354" i="1"/>
  <c r="AU354" i="1"/>
  <c r="AW353" i="1"/>
  <c r="AV353" i="1"/>
  <c r="AW352" i="1"/>
  <c r="AV352" i="1"/>
  <c r="AU352" i="1"/>
  <c r="AW351" i="1"/>
  <c r="AV351" i="1"/>
  <c r="AW350" i="1"/>
  <c r="AV350" i="1"/>
  <c r="AW349" i="1"/>
  <c r="AV349" i="1"/>
  <c r="AW348" i="1"/>
  <c r="AV348" i="1"/>
  <c r="AW347" i="1"/>
  <c r="AV347" i="1"/>
  <c r="AW346" i="1"/>
  <c r="AV346" i="1"/>
  <c r="AU346" i="1"/>
  <c r="AW345" i="1"/>
  <c r="AV345" i="1"/>
  <c r="AU345" i="1"/>
  <c r="AW344" i="1"/>
  <c r="AV344" i="1"/>
  <c r="AU344" i="1"/>
  <c r="AW343" i="1"/>
  <c r="AV343" i="1"/>
  <c r="AW342" i="1"/>
  <c r="AV342" i="1"/>
  <c r="AW341" i="1"/>
  <c r="AV341" i="1"/>
  <c r="AU341" i="1"/>
  <c r="AW340" i="1"/>
  <c r="AV340" i="1"/>
  <c r="AW339" i="1"/>
  <c r="AV339" i="1"/>
  <c r="AW338" i="1"/>
  <c r="AV338" i="1"/>
  <c r="AU338" i="1"/>
  <c r="AW337" i="1"/>
  <c r="AV337" i="1"/>
  <c r="AU337" i="1"/>
  <c r="AW336" i="1"/>
  <c r="AV336" i="1"/>
  <c r="AW335" i="1"/>
  <c r="AV335" i="1"/>
  <c r="AW334" i="1"/>
  <c r="AV334" i="1"/>
  <c r="AW333" i="1"/>
  <c r="AV333" i="1"/>
  <c r="AW332" i="1"/>
  <c r="AV332" i="1"/>
  <c r="AW331" i="1"/>
  <c r="AV331" i="1"/>
  <c r="AW330" i="1"/>
  <c r="AV330" i="1"/>
  <c r="AU330" i="1"/>
  <c r="AW329" i="1"/>
  <c r="AV329" i="1"/>
  <c r="AU329" i="1"/>
  <c r="AW328" i="1"/>
  <c r="AV328" i="1"/>
  <c r="AW327" i="1"/>
  <c r="AV327" i="1"/>
  <c r="AW326" i="1"/>
  <c r="AV326" i="1"/>
  <c r="AW325" i="1"/>
  <c r="AV325" i="1"/>
  <c r="AW324" i="1"/>
  <c r="AV324" i="1"/>
  <c r="AW323" i="1"/>
  <c r="AV323" i="1"/>
  <c r="AU323" i="1"/>
  <c r="AW322" i="1"/>
  <c r="AV322" i="1"/>
  <c r="AW321" i="1"/>
  <c r="AV321" i="1"/>
  <c r="AU321" i="1"/>
  <c r="AW320" i="1"/>
  <c r="AV320" i="1"/>
  <c r="AU320" i="1"/>
  <c r="AW319" i="1"/>
  <c r="AV319" i="1"/>
  <c r="AW318" i="1"/>
  <c r="AV318" i="1"/>
  <c r="AW317" i="1"/>
  <c r="AV317" i="1"/>
  <c r="AW316" i="1"/>
  <c r="AV316" i="1"/>
  <c r="AW315" i="1"/>
  <c r="AV315" i="1"/>
  <c r="AW314" i="1"/>
  <c r="AV314" i="1"/>
  <c r="AW313" i="1"/>
  <c r="AV313" i="1"/>
  <c r="AW312" i="1"/>
  <c r="AV312" i="1"/>
  <c r="AW311" i="1"/>
  <c r="AV311" i="1"/>
  <c r="AW310" i="1"/>
  <c r="AV310" i="1"/>
  <c r="AW309" i="1"/>
  <c r="AV309" i="1"/>
  <c r="AW308" i="1"/>
  <c r="AV308" i="1"/>
  <c r="AW307" i="1"/>
  <c r="AV307" i="1"/>
  <c r="AU307" i="1"/>
  <c r="AW306" i="1"/>
  <c r="AV306" i="1"/>
  <c r="AW305" i="1"/>
  <c r="AV305" i="1"/>
  <c r="AW304" i="1"/>
  <c r="AV304" i="1"/>
  <c r="AW303" i="1"/>
  <c r="AV303" i="1"/>
  <c r="AW302" i="1"/>
  <c r="AV302" i="1"/>
  <c r="AW301" i="1"/>
  <c r="AV301" i="1"/>
  <c r="AW300" i="1"/>
  <c r="AV300" i="1"/>
  <c r="AW299" i="1"/>
  <c r="AV299" i="1"/>
  <c r="AW298" i="1"/>
  <c r="AV298" i="1"/>
  <c r="AW297" i="1"/>
  <c r="AV297" i="1"/>
  <c r="AW296" i="1"/>
  <c r="AV296" i="1"/>
  <c r="AW295" i="1"/>
  <c r="AV295" i="1"/>
  <c r="AW294" i="1"/>
  <c r="AV294" i="1"/>
  <c r="AW293" i="1"/>
  <c r="AV293" i="1"/>
  <c r="AW292" i="1"/>
  <c r="AV292" i="1"/>
  <c r="AW291" i="1"/>
  <c r="AV291" i="1"/>
  <c r="AU291" i="1"/>
  <c r="AW290" i="1"/>
  <c r="AV290" i="1"/>
  <c r="AW289" i="1"/>
  <c r="AV289" i="1"/>
  <c r="AU289" i="1"/>
  <c r="AW288" i="1"/>
  <c r="AV288" i="1"/>
  <c r="AW287" i="1"/>
  <c r="AV287" i="1"/>
  <c r="AU287" i="1"/>
  <c r="AW286" i="1"/>
  <c r="AV286" i="1"/>
  <c r="AW285" i="1"/>
  <c r="AV285" i="1"/>
  <c r="AW284" i="1"/>
  <c r="AV284" i="1"/>
  <c r="AW283" i="1"/>
  <c r="AV283" i="1"/>
  <c r="AW282" i="1"/>
  <c r="AV282" i="1"/>
  <c r="AW281" i="1"/>
  <c r="AV281" i="1"/>
  <c r="AU281" i="1"/>
  <c r="AW280" i="1"/>
  <c r="AV280" i="1"/>
  <c r="AU280" i="1"/>
  <c r="AW279" i="1"/>
  <c r="AV279" i="1"/>
  <c r="AU279" i="1"/>
  <c r="AW278" i="1"/>
  <c r="AV278" i="1"/>
  <c r="AW277" i="1"/>
  <c r="AV277" i="1"/>
  <c r="AW276" i="1"/>
  <c r="AV276" i="1"/>
  <c r="AU276" i="1"/>
  <c r="AW275" i="1"/>
  <c r="AV275" i="1"/>
  <c r="AU275" i="1"/>
  <c r="AW274" i="1"/>
  <c r="AV274" i="1"/>
  <c r="AW273" i="1"/>
  <c r="AV273" i="1"/>
  <c r="AW272" i="1"/>
  <c r="AV272" i="1"/>
  <c r="AW271" i="1"/>
  <c r="AV271" i="1"/>
  <c r="AW270" i="1"/>
  <c r="AV270" i="1"/>
  <c r="AW269" i="1"/>
  <c r="AV269" i="1"/>
  <c r="AW268" i="1"/>
  <c r="AV268" i="1"/>
  <c r="AW267" i="1"/>
  <c r="AV267" i="1"/>
  <c r="AW266" i="1"/>
  <c r="AV266" i="1"/>
  <c r="AU266" i="1"/>
  <c r="AW265" i="1"/>
  <c r="AV265" i="1"/>
  <c r="AW264" i="1"/>
  <c r="AV264" i="1"/>
  <c r="AU264" i="1"/>
  <c r="AW263" i="1"/>
  <c r="AV263" i="1"/>
  <c r="AW262" i="1"/>
  <c r="AV262" i="1"/>
  <c r="AU262" i="1"/>
  <c r="AW261" i="1"/>
  <c r="AV261" i="1"/>
  <c r="AU261" i="1"/>
  <c r="AW260" i="1"/>
  <c r="AV260" i="1"/>
  <c r="AW259" i="1"/>
  <c r="AV259" i="1"/>
  <c r="AW258" i="1"/>
  <c r="AV258" i="1"/>
  <c r="AW257" i="1"/>
  <c r="AV257" i="1"/>
  <c r="AW256" i="1"/>
  <c r="AV256" i="1"/>
  <c r="AU256" i="1"/>
  <c r="AW255" i="1"/>
  <c r="AV255" i="1"/>
  <c r="AW254" i="1"/>
  <c r="AV254" i="1"/>
  <c r="AW253" i="1"/>
  <c r="AV253" i="1"/>
  <c r="AW252" i="1"/>
  <c r="AV252" i="1"/>
  <c r="AU252" i="1"/>
  <c r="AW251" i="1"/>
  <c r="AV251" i="1"/>
  <c r="AU251" i="1"/>
  <c r="AW250" i="1"/>
  <c r="AV250" i="1"/>
  <c r="AW249" i="1"/>
  <c r="AV249" i="1"/>
  <c r="AW248" i="1"/>
  <c r="AV248" i="1"/>
  <c r="AW247" i="1"/>
  <c r="AV247" i="1"/>
  <c r="AW246" i="1"/>
  <c r="AV246" i="1"/>
  <c r="AW245" i="1"/>
  <c r="AV245" i="1"/>
  <c r="AU245" i="1"/>
  <c r="AW244" i="1"/>
  <c r="AV244" i="1"/>
  <c r="AW243" i="1"/>
  <c r="AV243" i="1"/>
  <c r="AW242" i="1"/>
  <c r="AV242" i="1"/>
  <c r="AU242" i="1"/>
  <c r="AW241" i="1"/>
  <c r="AV241" i="1"/>
  <c r="AW240" i="1"/>
  <c r="AV240" i="1"/>
  <c r="AW239" i="1"/>
  <c r="AV239" i="1"/>
  <c r="AU239" i="1"/>
  <c r="AW238" i="1"/>
  <c r="AV238" i="1"/>
  <c r="AU238" i="1"/>
  <c r="AW237" i="1"/>
  <c r="AV237" i="1"/>
  <c r="AW236" i="1"/>
  <c r="AV236" i="1"/>
  <c r="AW235" i="1"/>
  <c r="AV235" i="1"/>
  <c r="AW234" i="1"/>
  <c r="AV234" i="1"/>
  <c r="AU234" i="1"/>
  <c r="AW233" i="1"/>
  <c r="AV233" i="1"/>
  <c r="AU233" i="1"/>
  <c r="AW232" i="1"/>
  <c r="AV232" i="1"/>
  <c r="AW231" i="1"/>
  <c r="AV231" i="1"/>
  <c r="AW230" i="1"/>
  <c r="AV230" i="1"/>
  <c r="AU230" i="1"/>
  <c r="AW229" i="1"/>
  <c r="AV229" i="1"/>
  <c r="AW228" i="1"/>
  <c r="AV228" i="1"/>
  <c r="AW227" i="1"/>
  <c r="AV227" i="1"/>
  <c r="AW226" i="1"/>
  <c r="AV226" i="1"/>
  <c r="AW225" i="1"/>
  <c r="AV225" i="1"/>
  <c r="AW224" i="1"/>
  <c r="AV224" i="1"/>
  <c r="AU224" i="1"/>
  <c r="AW223" i="1"/>
  <c r="AV223" i="1"/>
  <c r="AW222" i="1"/>
  <c r="AV222" i="1"/>
  <c r="AW221" i="1"/>
  <c r="AV221" i="1"/>
  <c r="AW220" i="1"/>
  <c r="AV220" i="1"/>
  <c r="AW219" i="1"/>
  <c r="AV219" i="1"/>
  <c r="AW218" i="1"/>
  <c r="AV218" i="1"/>
  <c r="AW217" i="1"/>
  <c r="AV217" i="1"/>
  <c r="AU217" i="1"/>
  <c r="AW216" i="1"/>
  <c r="AV216" i="1"/>
  <c r="AW215" i="1"/>
  <c r="AV215" i="1"/>
  <c r="AU215" i="1"/>
  <c r="AW214" i="1"/>
  <c r="AV214" i="1"/>
  <c r="AW213" i="1"/>
  <c r="AV213" i="1"/>
  <c r="AW212" i="1"/>
  <c r="AV212" i="1"/>
  <c r="AW211" i="1"/>
  <c r="AV211" i="1"/>
  <c r="AW210" i="1"/>
  <c r="AV210" i="1"/>
  <c r="AU210" i="1"/>
  <c r="AW209" i="1"/>
  <c r="AV209" i="1"/>
  <c r="AW208" i="1"/>
  <c r="AV208" i="1"/>
  <c r="AW207" i="1"/>
  <c r="AV207" i="1"/>
  <c r="AW206" i="1"/>
  <c r="AV206" i="1"/>
  <c r="AW205" i="1"/>
  <c r="AV205" i="1"/>
  <c r="AU205" i="1"/>
  <c r="AW204" i="1"/>
  <c r="AV204" i="1"/>
  <c r="AU204" i="1"/>
  <c r="AW203" i="1"/>
  <c r="AV203" i="1"/>
  <c r="AW202" i="1"/>
  <c r="AV202" i="1"/>
  <c r="AW201" i="1"/>
  <c r="AV201" i="1"/>
  <c r="AU201" i="1"/>
  <c r="AW200" i="1"/>
  <c r="AV200" i="1"/>
  <c r="AW199" i="1"/>
  <c r="AV199" i="1"/>
  <c r="AW198" i="1"/>
  <c r="AV198" i="1"/>
  <c r="AW197" i="1"/>
  <c r="AV197" i="1"/>
  <c r="AW196" i="1"/>
  <c r="AV196" i="1"/>
  <c r="AW195" i="1"/>
  <c r="AV195" i="1"/>
  <c r="AU195" i="1"/>
  <c r="AW194" i="1"/>
  <c r="AV194" i="1"/>
  <c r="AW193" i="1"/>
  <c r="AV193" i="1"/>
  <c r="AW192" i="1"/>
  <c r="AV192" i="1"/>
  <c r="AU192" i="1"/>
  <c r="AW191" i="1"/>
  <c r="AV191" i="1"/>
  <c r="AW190" i="1"/>
  <c r="AV190" i="1"/>
  <c r="AW189" i="1"/>
  <c r="AV189" i="1"/>
  <c r="AU189" i="1"/>
  <c r="AW188" i="1"/>
  <c r="AV188" i="1"/>
  <c r="AU188" i="1"/>
  <c r="AW187" i="1"/>
  <c r="AV187" i="1"/>
  <c r="AU187" i="1"/>
  <c r="AW186" i="1"/>
  <c r="AV186" i="1"/>
  <c r="AU186" i="1"/>
  <c r="AW185" i="1"/>
  <c r="AV185" i="1"/>
  <c r="AW184" i="1"/>
  <c r="AV184" i="1"/>
  <c r="AW183" i="1"/>
  <c r="AV183" i="1"/>
  <c r="AW182" i="1"/>
  <c r="AV182" i="1"/>
  <c r="AW181" i="1"/>
  <c r="AV181" i="1"/>
  <c r="AW180" i="1"/>
  <c r="AV180" i="1"/>
  <c r="AW179" i="1"/>
  <c r="AV179" i="1"/>
  <c r="AW178" i="1"/>
  <c r="AV178" i="1"/>
  <c r="AW177" i="1"/>
  <c r="AV177" i="1"/>
  <c r="AW176" i="1"/>
  <c r="AV176" i="1"/>
  <c r="AU176" i="1"/>
  <c r="AW175" i="1"/>
  <c r="AV175" i="1"/>
  <c r="AW174" i="1"/>
  <c r="AV174" i="1"/>
  <c r="AW173" i="1"/>
  <c r="AV173" i="1"/>
  <c r="AW172" i="1"/>
  <c r="AV172" i="1"/>
  <c r="AW171" i="1"/>
  <c r="AV171" i="1"/>
  <c r="AW170" i="1"/>
  <c r="AV170" i="1"/>
  <c r="AW169" i="1"/>
  <c r="AV169" i="1"/>
  <c r="AW168" i="1"/>
  <c r="AV168" i="1"/>
  <c r="AW167" i="1"/>
  <c r="AV167" i="1"/>
  <c r="AW166" i="1"/>
  <c r="AV166" i="1"/>
  <c r="AW165" i="1"/>
  <c r="AV165" i="1"/>
  <c r="AW164" i="1"/>
  <c r="AV164" i="1"/>
  <c r="AW163" i="1"/>
  <c r="AV163" i="1"/>
  <c r="AW162" i="1"/>
  <c r="AV162" i="1"/>
  <c r="AW161" i="1"/>
  <c r="AV161" i="1"/>
  <c r="AW160" i="1"/>
  <c r="AV160" i="1"/>
  <c r="AW159" i="1"/>
  <c r="AV159" i="1"/>
  <c r="AW158" i="1"/>
  <c r="AV158" i="1"/>
  <c r="AW157" i="1"/>
  <c r="AV157" i="1"/>
  <c r="AW156" i="1"/>
  <c r="AV156" i="1"/>
  <c r="AW155" i="1"/>
  <c r="AV155" i="1"/>
  <c r="AW154" i="1"/>
  <c r="AV154" i="1"/>
  <c r="AW153" i="1"/>
  <c r="AV153" i="1"/>
  <c r="AW152" i="1"/>
  <c r="AV152" i="1"/>
  <c r="AW151" i="1"/>
  <c r="AV151" i="1"/>
  <c r="AW150" i="1"/>
  <c r="AV150" i="1"/>
  <c r="AU150" i="1"/>
  <c r="AW149" i="1"/>
  <c r="AV149" i="1"/>
  <c r="AW148" i="1"/>
  <c r="AV148" i="1"/>
  <c r="AU148" i="1"/>
  <c r="AW147" i="1"/>
  <c r="AV147" i="1"/>
  <c r="AW146" i="1"/>
  <c r="AV146" i="1"/>
  <c r="AW145" i="1"/>
  <c r="AV145" i="1"/>
  <c r="AW144" i="1"/>
  <c r="AV144" i="1"/>
  <c r="AW143" i="1"/>
  <c r="AV143" i="1"/>
  <c r="AW142" i="1"/>
  <c r="AV142" i="1"/>
  <c r="AW141" i="1"/>
  <c r="AV141" i="1"/>
  <c r="AW140" i="1"/>
  <c r="AV140" i="1"/>
  <c r="AU140" i="1"/>
  <c r="AW139" i="1"/>
  <c r="AV139" i="1"/>
  <c r="AW138" i="1"/>
  <c r="AV138" i="1"/>
  <c r="AW137" i="1"/>
  <c r="AV137" i="1"/>
  <c r="AW136" i="1"/>
  <c r="AV136" i="1"/>
  <c r="AW135" i="1"/>
  <c r="AV135" i="1"/>
  <c r="AW134" i="1"/>
  <c r="AV134" i="1"/>
  <c r="AW133" i="1"/>
  <c r="AV133" i="1"/>
  <c r="AW132" i="1"/>
  <c r="AV132" i="1"/>
  <c r="AW131" i="1"/>
  <c r="AV131" i="1"/>
  <c r="AW130" i="1"/>
  <c r="AV130" i="1"/>
  <c r="AW129" i="1"/>
  <c r="AV129" i="1"/>
  <c r="AW128" i="1"/>
  <c r="AV128" i="1"/>
  <c r="AU128" i="1"/>
  <c r="AW127" i="1"/>
  <c r="AV127" i="1"/>
  <c r="AW126" i="1"/>
  <c r="AV126" i="1"/>
  <c r="AW125" i="1"/>
  <c r="AV125" i="1"/>
  <c r="AU125" i="1"/>
  <c r="AW124" i="1"/>
  <c r="AV124" i="1"/>
  <c r="AW123" i="1"/>
  <c r="AV123" i="1"/>
  <c r="AW122" i="1"/>
  <c r="AV122" i="1"/>
  <c r="AW121" i="1"/>
  <c r="AV121" i="1"/>
  <c r="AU121" i="1"/>
  <c r="AW120" i="1"/>
  <c r="AV120" i="1"/>
  <c r="AU120" i="1"/>
  <c r="AW119" i="1"/>
  <c r="AV119" i="1"/>
  <c r="AU119" i="1"/>
  <c r="AW118" i="1"/>
  <c r="AV118" i="1"/>
  <c r="AU118" i="1"/>
  <c r="AW117" i="1"/>
  <c r="AV117" i="1"/>
  <c r="AW116" i="1"/>
  <c r="AV116" i="1"/>
  <c r="AW115" i="1"/>
  <c r="AV115" i="1"/>
  <c r="AU115" i="1"/>
  <c r="AW114" i="1"/>
  <c r="AV114" i="1"/>
  <c r="AU114" i="1"/>
  <c r="AW113" i="1"/>
  <c r="AV113" i="1"/>
  <c r="AU113" i="1"/>
  <c r="AW112" i="1"/>
  <c r="AV112" i="1"/>
  <c r="AU112" i="1"/>
  <c r="AW111" i="1"/>
  <c r="AV111" i="1"/>
  <c r="AU111" i="1"/>
  <c r="AW110" i="1"/>
  <c r="AV110" i="1"/>
  <c r="AU110" i="1"/>
  <c r="AW109" i="1"/>
  <c r="AV109" i="1"/>
  <c r="AU109" i="1"/>
  <c r="AW108" i="1"/>
  <c r="AV108" i="1"/>
  <c r="AU108" i="1"/>
  <c r="AW107" i="1"/>
  <c r="AV107" i="1"/>
  <c r="AU107" i="1"/>
  <c r="AW106" i="1"/>
  <c r="AV106" i="1"/>
  <c r="AU106" i="1"/>
  <c r="AW105" i="1"/>
  <c r="AV105" i="1"/>
  <c r="AU105" i="1"/>
  <c r="AW104" i="1"/>
  <c r="AV104" i="1"/>
  <c r="AU104" i="1"/>
  <c r="AW103" i="1"/>
  <c r="AV103" i="1"/>
  <c r="AU103" i="1"/>
  <c r="AW102" i="1"/>
  <c r="AV102" i="1"/>
  <c r="AU102" i="1"/>
  <c r="AW101" i="1"/>
  <c r="AV101" i="1"/>
  <c r="AW100" i="1"/>
  <c r="AV100" i="1"/>
  <c r="AW99" i="1"/>
  <c r="AV99" i="1"/>
  <c r="AU99" i="1"/>
  <c r="AW98" i="1"/>
  <c r="AV98" i="1"/>
  <c r="AU98" i="1"/>
  <c r="AW97" i="1"/>
  <c r="AV97" i="1"/>
  <c r="AW96" i="1"/>
  <c r="AV96" i="1"/>
  <c r="AW95" i="1"/>
  <c r="AV95" i="1"/>
  <c r="AU95" i="1"/>
  <c r="AW94" i="1"/>
  <c r="AV94" i="1"/>
  <c r="AU94" i="1"/>
  <c r="AW93" i="1"/>
  <c r="AV93" i="1"/>
  <c r="AW92" i="1"/>
  <c r="AV92" i="1"/>
  <c r="AU92" i="1"/>
  <c r="AW91" i="1"/>
  <c r="AV91" i="1"/>
  <c r="AU91" i="1"/>
  <c r="AW90" i="1"/>
  <c r="AV90" i="1"/>
  <c r="AU90" i="1"/>
  <c r="AW89" i="1"/>
  <c r="AV89" i="1"/>
  <c r="AW88" i="1"/>
  <c r="AV88" i="1"/>
  <c r="AW87" i="1"/>
  <c r="AV87" i="1"/>
  <c r="AU87" i="1"/>
  <c r="AW86" i="1"/>
  <c r="AV86" i="1"/>
  <c r="AU86" i="1"/>
  <c r="AW85" i="1"/>
  <c r="AV85" i="1"/>
  <c r="AU85" i="1"/>
  <c r="AW84" i="1"/>
  <c r="AV84" i="1"/>
  <c r="AU84" i="1"/>
  <c r="AW83" i="1"/>
  <c r="AV83" i="1"/>
  <c r="AU83" i="1"/>
  <c r="AW82" i="1"/>
  <c r="AV82" i="1"/>
  <c r="AU82" i="1"/>
  <c r="AW81" i="1"/>
  <c r="AV81" i="1"/>
  <c r="AU81" i="1"/>
  <c r="AW80" i="1"/>
  <c r="AV80" i="1"/>
  <c r="AU80" i="1"/>
  <c r="AW79" i="1"/>
  <c r="AV79" i="1"/>
  <c r="AU79" i="1"/>
  <c r="AW78" i="1"/>
  <c r="AV78" i="1"/>
  <c r="AU78" i="1"/>
  <c r="AW77" i="1"/>
  <c r="AV77" i="1"/>
  <c r="AU77" i="1"/>
  <c r="AW76" i="1"/>
  <c r="AV76" i="1"/>
  <c r="AU76" i="1"/>
  <c r="AW75" i="1"/>
  <c r="AV75" i="1"/>
  <c r="AW74" i="1"/>
  <c r="AV74" i="1"/>
  <c r="AW73" i="1"/>
  <c r="AV73" i="1"/>
  <c r="AU73" i="1"/>
  <c r="AW72" i="1"/>
  <c r="AV72" i="1"/>
  <c r="AU72" i="1"/>
  <c r="AW71" i="1"/>
  <c r="AV71" i="1"/>
  <c r="AU71" i="1"/>
  <c r="AW70" i="1"/>
  <c r="AV70" i="1"/>
  <c r="AU70" i="1"/>
  <c r="AW69" i="1"/>
  <c r="AV69" i="1"/>
  <c r="AU69" i="1"/>
  <c r="AW68" i="1"/>
  <c r="AV68" i="1"/>
  <c r="AU68" i="1"/>
  <c r="AW67" i="1"/>
  <c r="AV67" i="1"/>
  <c r="AU67" i="1"/>
  <c r="AW66" i="1"/>
  <c r="AV66" i="1"/>
  <c r="AU66" i="1"/>
  <c r="AW65" i="1"/>
  <c r="AV65" i="1"/>
  <c r="AU65" i="1"/>
  <c r="AW64" i="1"/>
  <c r="AV64" i="1"/>
  <c r="AW63" i="1"/>
  <c r="AV63" i="1"/>
  <c r="AW62" i="1"/>
  <c r="AV62" i="1"/>
  <c r="AU62" i="1"/>
  <c r="AW61" i="1"/>
  <c r="AV61" i="1"/>
  <c r="AU61" i="1"/>
  <c r="AW60" i="1"/>
  <c r="AV60" i="1"/>
  <c r="AW59" i="1"/>
  <c r="AV59" i="1"/>
  <c r="AW58" i="1"/>
  <c r="AV58" i="1"/>
  <c r="AW57" i="1"/>
  <c r="AV57" i="1"/>
  <c r="AW56" i="1"/>
  <c r="AV56" i="1"/>
  <c r="AW55" i="1"/>
  <c r="AV55" i="1"/>
  <c r="AW54" i="1"/>
  <c r="AV54" i="1"/>
  <c r="AW53" i="1"/>
  <c r="AV53" i="1"/>
  <c r="AW52" i="1"/>
  <c r="AV52" i="1"/>
  <c r="AW51" i="1"/>
  <c r="AV51" i="1"/>
  <c r="AU51" i="1"/>
  <c r="AW50" i="1"/>
  <c r="AV50" i="1"/>
  <c r="AW49" i="1"/>
  <c r="AV49" i="1"/>
  <c r="AW48" i="1"/>
  <c r="AV48" i="1"/>
  <c r="AW47" i="1"/>
  <c r="AV47" i="1"/>
  <c r="AU47" i="1"/>
  <c r="AW46" i="1"/>
  <c r="AV46" i="1"/>
  <c r="AU46" i="1"/>
  <c r="AW45" i="1"/>
  <c r="AV45" i="1"/>
  <c r="AW44" i="1"/>
  <c r="AV44" i="1"/>
  <c r="AW43" i="1"/>
  <c r="AV43" i="1"/>
  <c r="AW42" i="1"/>
  <c r="AV42" i="1"/>
  <c r="AU42" i="1"/>
  <c r="AW41" i="1"/>
  <c r="AV41" i="1"/>
  <c r="AU41" i="1"/>
  <c r="AW40" i="1"/>
  <c r="AV40" i="1"/>
  <c r="AU40" i="1"/>
  <c r="AW39" i="1"/>
  <c r="AV39" i="1"/>
  <c r="AU39" i="1"/>
  <c r="AW38" i="1"/>
  <c r="AV38" i="1"/>
  <c r="AW37" i="1"/>
  <c r="AV37" i="1"/>
  <c r="AU37" i="1"/>
  <c r="AW36" i="1"/>
  <c r="AV36" i="1"/>
  <c r="AU36" i="1"/>
  <c r="AW35" i="1"/>
  <c r="AV35" i="1"/>
  <c r="AU35" i="1"/>
  <c r="AW34" i="1"/>
  <c r="AV34" i="1"/>
  <c r="AW33" i="1"/>
  <c r="AV33" i="1"/>
  <c r="AW32" i="1"/>
  <c r="AV32" i="1"/>
  <c r="AW31" i="1"/>
  <c r="AV31" i="1"/>
  <c r="AW30" i="1"/>
  <c r="AV30" i="1"/>
  <c r="AW29" i="1"/>
  <c r="AV29" i="1"/>
  <c r="AW28" i="1"/>
  <c r="AV28" i="1"/>
  <c r="AW27" i="1"/>
  <c r="AV27" i="1"/>
  <c r="AU27" i="1"/>
  <c r="AW26" i="1"/>
  <c r="AV26" i="1"/>
  <c r="AU26" i="1"/>
  <c r="AW25" i="1"/>
  <c r="AV25" i="1"/>
  <c r="AW24" i="1"/>
  <c r="AV24" i="1"/>
  <c r="AW23" i="1"/>
  <c r="AV23" i="1"/>
  <c r="AU23" i="1"/>
  <c r="AW22" i="1"/>
  <c r="AV22" i="1"/>
  <c r="AU22" i="1"/>
  <c r="AW21" i="1"/>
  <c r="AV21" i="1"/>
  <c r="AW20" i="1"/>
  <c r="AV20" i="1"/>
  <c r="AW19" i="1"/>
  <c r="AV19" i="1"/>
  <c r="AW18" i="1"/>
  <c r="AV18" i="1"/>
  <c r="AW17" i="1"/>
  <c r="AV17" i="1"/>
  <c r="AW16" i="1"/>
  <c r="AV16" i="1"/>
  <c r="AW15" i="1"/>
  <c r="AV15" i="1"/>
  <c r="AW14" i="1"/>
  <c r="AV14" i="1"/>
  <c r="AW13" i="1"/>
  <c r="AV13" i="1"/>
  <c r="AU13" i="1"/>
  <c r="AW12" i="1"/>
  <c r="AV12" i="1"/>
  <c r="AW11" i="1"/>
  <c r="AV11" i="1"/>
  <c r="AW10" i="1"/>
  <c r="AV10" i="1"/>
  <c r="AW9" i="1"/>
  <c r="AV9" i="1"/>
  <c r="AW8" i="1"/>
  <c r="AV8" i="1"/>
  <c r="AW7" i="1"/>
  <c r="AV7" i="1"/>
  <c r="AW6" i="1"/>
  <c r="AV6" i="1"/>
  <c r="AW5" i="1"/>
  <c r="AV5" i="1"/>
  <c r="AW4" i="1"/>
  <c r="AV4" i="1"/>
  <c r="AW3" i="1"/>
  <c r="AV3" i="1"/>
  <c r="AW2" i="1"/>
  <c r="AV2" i="1"/>
</calcChain>
</file>

<file path=xl/sharedStrings.xml><?xml version="1.0" encoding="utf-8"?>
<sst xmlns="http://schemas.openxmlformats.org/spreadsheetml/2006/main" count="130986" uniqueCount="41943">
  <si>
    <t>Collection Code</t>
  </si>
  <si>
    <t>Location Code</t>
  </si>
  <si>
    <t>Display Call Number</t>
  </si>
  <si>
    <t>Display Call Number Normalized</t>
  </si>
  <si>
    <t>Title</t>
  </si>
  <si>
    <t>Enumeration</t>
  </si>
  <si>
    <t>Possible Multi-Volume Set</t>
  </si>
  <si>
    <t>Copy Number</t>
  </si>
  <si>
    <t>Possible Duplicate</t>
  </si>
  <si>
    <t>Multi-Edition Title</t>
  </si>
  <si>
    <t>Number of Related Ebooks</t>
  </si>
  <si>
    <t>Author</t>
  </si>
  <si>
    <t>Publisher</t>
  </si>
  <si>
    <t>Publication Year</t>
  </si>
  <si>
    <t>Edition</t>
  </si>
  <si>
    <t>Primary Language</t>
  </si>
  <si>
    <t>Series</t>
  </si>
  <si>
    <t>LC Subclass</t>
  </si>
  <si>
    <t>Recorded Uses - Item</t>
  </si>
  <si>
    <t>Recorded Uses - Title</t>
  </si>
  <si>
    <t>Last Charge Date - Item</t>
  </si>
  <si>
    <t>Last Charge Date - Title</t>
  </si>
  <si>
    <t>Last Add Date - Item</t>
  </si>
  <si>
    <t>Last Add Date - Title</t>
  </si>
  <si>
    <t>Global Holdings - Same Edition</t>
  </si>
  <si>
    <t>Canada Holdings - Same Edition</t>
  </si>
  <si>
    <t>Canada Holdings - Any Edition</t>
  </si>
  <si>
    <t>Quebec Holdings - Same Edition</t>
  </si>
  <si>
    <t>Quebec Holdings - Any Edition</t>
  </si>
  <si>
    <t>All Comparator Library Holdings - Same Edition</t>
  </si>
  <si>
    <t>All Comparator Library Holdings - Any Edition</t>
  </si>
  <si>
    <t>BCI - Same Edition</t>
  </si>
  <si>
    <t>BCI - Any Edition</t>
  </si>
  <si>
    <t>ARL Libraries - Same Edition</t>
  </si>
  <si>
    <t>ARL Libraries - Any Edition</t>
  </si>
  <si>
    <t>CARL - Same Edition</t>
  </si>
  <si>
    <t>CARL - Any Edition</t>
  </si>
  <si>
    <t>AAU - Same Edition</t>
  </si>
  <si>
    <t>AAU - Any Edition</t>
  </si>
  <si>
    <t>HathiTrust Retention Commitments - Same Edition</t>
  </si>
  <si>
    <t>HathiTrust Retention Commitments - Any Edition</t>
  </si>
  <si>
    <t>CRKN - Same Edition</t>
  </si>
  <si>
    <t>CRKN - Any Edition</t>
  </si>
  <si>
    <t>Published in Canada</t>
  </si>
  <si>
    <t>HathiTrust Public Domain</t>
  </si>
  <si>
    <t>HathiTrust In Copyright</t>
  </si>
  <si>
    <t>HathiTrust URL</t>
  </si>
  <si>
    <t>OPAC URL</t>
  </si>
  <si>
    <t>WorldCat URL</t>
  </si>
  <si>
    <t>OCLC Work ID</t>
  </si>
  <si>
    <t>WorldCat OCLC Number</t>
  </si>
  <si>
    <t>Bib Record Number</t>
  </si>
  <si>
    <t>Bib Control Number</t>
  </si>
  <si>
    <t>Item Control Number</t>
  </si>
  <si>
    <t>Item Type Code</t>
  </si>
  <si>
    <t>Item Status Code</t>
  </si>
  <si>
    <t>ISBN</t>
  </si>
  <si>
    <t>Barcode</t>
  </si>
  <si>
    <t>SCS Item ID</t>
  </si>
  <si>
    <t>LGGG</t>
  </si>
  <si>
    <t>- Main Collection - Regular Loan</t>
  </si>
  <si>
    <t>PQ4001 A6 v. 34</t>
  </si>
  <si>
    <t>0                      PQ 4001000A  6                                                       v. 34</t>
  </si>
  <si>
    <t>Speaking truth to power from medieval to modern Italy / Jo Ann Cavallo and Carlo Lottieri.</t>
  </si>
  <si>
    <t>v. 34*</t>
  </si>
  <si>
    <t>No</t>
  </si>
  <si>
    <t>0</t>
  </si>
  <si>
    <t>Chapel Hill, NC : University of North Carolina at Chapel Hill, [2016]</t>
  </si>
  <si>
    <t>2016</t>
  </si>
  <si>
    <t>eng</t>
  </si>
  <si>
    <t>Annali d'italianistica, 0741-7527 ; volume 34, year 2016</t>
  </si>
  <si>
    <t xml:space="preserve">PQ </t>
  </si>
  <si>
    <t>2019-02-02</t>
  </si>
  <si>
    <t>3906771608:eng</t>
  </si>
  <si>
    <t>960689320</t>
  </si>
  <si>
    <t>ocn960689320</t>
  </si>
  <si>
    <t>3103709971Z</t>
  </si>
  <si>
    <t>Book</t>
  </si>
  <si>
    <t>AVAILABLE</t>
  </si>
  <si>
    <t>9780692794135</t>
  </si>
  <si>
    <t>795023206</t>
  </si>
  <si>
    <t>PQ4001 A6 v. 36</t>
  </si>
  <si>
    <t>0                      PQ 4001000A  6                                                       v. 36</t>
  </si>
  <si>
    <t>The new Italy and the Jews : from Massimo d'Azeglio to Primo Levi / edited by Jonathan Druker and L. Scott Lerner.</t>
  </si>
  <si>
    <t>v. 36*</t>
  </si>
  <si>
    <t>Tempe, AZ : Arizona Center for Medieval and Renaissance Studies, Arizona State University, [2018]</t>
  </si>
  <si>
    <t>2018</t>
  </si>
  <si>
    <t>Annali d'italianistica ; vol. 36, 2018</t>
  </si>
  <si>
    <t>9124790263:eng</t>
  </si>
  <si>
    <t>1080532821</t>
  </si>
  <si>
    <t>on1080532821</t>
  </si>
  <si>
    <t>3103859391G</t>
  </si>
  <si>
    <t>9780866988612</t>
  </si>
  <si>
    <t>795074532</t>
  </si>
  <si>
    <t>PQ4001 A6 v.24</t>
  </si>
  <si>
    <t>0                      PQ 4001000A  6                                                       v.24</t>
  </si>
  <si>
    <t>Negotiating Italian identities / edited by Norma Bouchard.</t>
  </si>
  <si>
    <t>v.24*</t>
  </si>
  <si>
    <t>Chapel Hill : University of North Carolina, 2006.</t>
  </si>
  <si>
    <t>2006</t>
  </si>
  <si>
    <t>Annali d'italianistica, 0741-7527 ; v. 24</t>
  </si>
  <si>
    <t>2018-07-31</t>
  </si>
  <si>
    <t>63114972:eng</t>
  </si>
  <si>
    <t>77541446</t>
  </si>
  <si>
    <t>ocm77541446</t>
  </si>
  <si>
    <t>3102683469D</t>
  </si>
  <si>
    <t>ON_LOAN</t>
  </si>
  <si>
    <t>794192065</t>
  </si>
  <si>
    <t>PQ4001 A6 v.28</t>
  </si>
  <si>
    <t>0                      PQ 4001000A  6                                                       v.28</t>
  </si>
  <si>
    <t>Capital city: Rome 1870-2010 / edited by Cristina Mazzoni.</t>
  </si>
  <si>
    <t>v.28*</t>
  </si>
  <si>
    <t>Chapel Hill, NC : University of North Carolina at Chapel Hill, ©2010.</t>
  </si>
  <si>
    <t>2010</t>
  </si>
  <si>
    <t>Annali d'italianistica, 0741-7527 ; vol. 28, 2010</t>
  </si>
  <si>
    <t>2012-08-27</t>
  </si>
  <si>
    <t>1356270320:eng</t>
  </si>
  <si>
    <t>689127748</t>
  </si>
  <si>
    <t>ocn689127748</t>
  </si>
  <si>
    <t>31031275954</t>
  </si>
  <si>
    <t>794854888</t>
  </si>
  <si>
    <t>PQ4001 A6 v.29</t>
  </si>
  <si>
    <t>0                      PQ 4001000A  6                                                       v.29</t>
  </si>
  <si>
    <t>Italian critical theory / edited by Alessandro Carrera.</t>
  </si>
  <si>
    <t>v.29*</t>
  </si>
  <si>
    <t>Chapel Hill, N.C. : University of North Carolina at Chapel Hill, ©2011.</t>
  </si>
  <si>
    <t>2011</t>
  </si>
  <si>
    <t>Annali d'italianistica, 0741-7527 ; vol. 29, 2011</t>
  </si>
  <si>
    <t>2013-10-01</t>
  </si>
  <si>
    <t>1356270334:eng</t>
  </si>
  <si>
    <t>761193815</t>
  </si>
  <si>
    <t>ocn761193815</t>
  </si>
  <si>
    <t>31034409540</t>
  </si>
  <si>
    <t>794899055</t>
  </si>
  <si>
    <t>PQ4001 A6 v.30</t>
  </si>
  <si>
    <t>0                      PQ 4001000A  6                                                       v.30</t>
  </si>
  <si>
    <t>Cinema italiano contemporaneo / edited by Antonio Vitti.</t>
  </si>
  <si>
    <t>v.30*</t>
  </si>
  <si>
    <t>Chapel Hill, NC : University of North Carolina at Chapel Hill, ©2012.</t>
  </si>
  <si>
    <t>2012</t>
  </si>
  <si>
    <t>ita</t>
  </si>
  <si>
    <t>Annali d'italianistica, 0741-7527 ; v. 30, 2012</t>
  </si>
  <si>
    <t>1356270348:ita</t>
  </si>
  <si>
    <t>816514049</t>
  </si>
  <si>
    <t>ocn816514049</t>
  </si>
  <si>
    <t>31035062777</t>
  </si>
  <si>
    <t>794933179</t>
  </si>
  <si>
    <t>PQ4001 A6 v.31</t>
  </si>
  <si>
    <t>0                      PQ 4001000A  6                                                       v.31</t>
  </si>
  <si>
    <t>Boccaccio's Decameron : rewriting the Christian Middle Ages / edited by Dino S. Cervigni.</t>
  </si>
  <si>
    <t>v.31*</t>
  </si>
  <si>
    <t>Chapel Hill, N.C. : University of North Carolina at Chapel Hill, [2013]</t>
  </si>
  <si>
    <t>2013</t>
  </si>
  <si>
    <t>Annali d'italianistica 0741-7527 ; vol. 31, 2013</t>
  </si>
  <si>
    <t>1425829337:eng</t>
  </si>
  <si>
    <t>863646912</t>
  </si>
  <si>
    <t>ocn863646912</t>
  </si>
  <si>
    <t>3103554675F</t>
  </si>
  <si>
    <t>794961424</t>
  </si>
  <si>
    <t>PQ4001 A6 v.32</t>
  </si>
  <si>
    <t>0                      PQ 4001000A  6                                                       v.32</t>
  </si>
  <si>
    <t>From "otium" and "occupatio" to work and labor in Italian culture / guest editors, Norma Bouchard &amp; Valerio Ferme.</t>
  </si>
  <si>
    <t>v.32*</t>
  </si>
  <si>
    <t>Chapel Hill, NC : University of North Carolina at Chapel Hill, [2014]</t>
  </si>
  <si>
    <t>2014</t>
  </si>
  <si>
    <t>Annali d'italianistica, 0741-7527 ; volume 32 (2014)</t>
  </si>
  <si>
    <t>5090481109:eng</t>
  </si>
  <si>
    <t>897365346</t>
  </si>
  <si>
    <t>ocn897365346</t>
  </si>
  <si>
    <t>3103199773X</t>
  </si>
  <si>
    <t>794985058</t>
  </si>
  <si>
    <t>PQ4001 A6 v.33</t>
  </si>
  <si>
    <t>0                      PQ 4001000A  6                                                       v.33</t>
  </si>
  <si>
    <t>The Great War and the modernist imagination in Italy / guest editors, Luca Somigli &amp; Simona Storchi.</t>
  </si>
  <si>
    <t>v.33*</t>
  </si>
  <si>
    <t>Chapel Hill, NC : University of North Carolina at Chapel Hill, [2015]</t>
  </si>
  <si>
    <t>2015</t>
  </si>
  <si>
    <t>Annali d'italianistica, 0741-7527 ; volume 33, 2015</t>
  </si>
  <si>
    <t>4038241548:eng</t>
  </si>
  <si>
    <t>931091608</t>
  </si>
  <si>
    <t>ocn931091608</t>
  </si>
  <si>
    <t>3103658498H</t>
  </si>
  <si>
    <t>795007423</t>
  </si>
  <si>
    <t>PQ4001 A6 v.35</t>
  </si>
  <si>
    <t>0                      PQ 4001000A  6                                                       v.35</t>
  </si>
  <si>
    <t>Violence, resistance, tolerance, sacrifice in Italy's literary &amp; cultural history / edited by Chiara Ferrari, Olimpia Pelosi, Dino S. Cervigni.</t>
  </si>
  <si>
    <t>v.35*</t>
  </si>
  <si>
    <t>Tempe, AZ : Arizona Center for Medieval and Renaissance Studies, Arizona State University, [2017]</t>
  </si>
  <si>
    <t>2017</t>
  </si>
  <si>
    <t>Annali d'italianistica ; vol. 35, 2017</t>
  </si>
  <si>
    <t>5345815894:eng</t>
  </si>
  <si>
    <t>1006593897</t>
  </si>
  <si>
    <t>on1006593897</t>
  </si>
  <si>
    <t>3103794750M</t>
  </si>
  <si>
    <t>9780866988551</t>
  </si>
  <si>
    <t>795043187</t>
  </si>
  <si>
    <t>PQ4001 C6748 2009</t>
  </si>
  <si>
    <t>0                      PQ 4001000C  6748        2009</t>
  </si>
  <si>
    <t>Nello specchio del mito : riflessi di una tradizione : atti del convegno di studi, Università degli studi Roma Tre, Roma 17-19 febbraio 2010 / a cura di Giuseppe Izzi, Luca Marcozzi e Concetta Ranieri.</t>
  </si>
  <si>
    <t>Convegno Nello specchio del mito, riflessi di una tradizione (2009 : Rome, Italy)</t>
  </si>
  <si>
    <t>Firenze : F. Cesati, ©2012.</t>
  </si>
  <si>
    <t>Quaderni della Rassegna ; 70</t>
  </si>
  <si>
    <t>1100398565:ita</t>
  </si>
  <si>
    <t>785336056</t>
  </si>
  <si>
    <t>ocn785336056</t>
  </si>
  <si>
    <t>3103126416R</t>
  </si>
  <si>
    <t>9788876674266</t>
  </si>
  <si>
    <t>794914806</t>
  </si>
  <si>
    <t>SHSS</t>
  </si>
  <si>
    <t>Yes</t>
  </si>
  <si>
    <t>1893</t>
  </si>
  <si>
    <t>2017-05-02</t>
  </si>
  <si>
    <t>2019-11-19</t>
  </si>
  <si>
    <t>1</t>
  </si>
  <si>
    <t>1983</t>
  </si>
  <si>
    <t>2018-01-23</t>
  </si>
  <si>
    <t>2019-09-06</t>
  </si>
  <si>
    <t>PQ4004 B525 A58 2007</t>
  </si>
  <si>
    <t>0                      PQ 4004000B  525                A  58          2007</t>
  </si>
  <si>
    <t>L'antiche e le moderne carte : studi in memoria di Giuseppe Billanovich / a cura di Antonio Manfredi e Carla Maria Monti.</t>
  </si>
  <si>
    <t>Roma : Antenore, 2007.</t>
  </si>
  <si>
    <t>2007</t>
  </si>
  <si>
    <t>Medioevo e umanesimo ; 112</t>
  </si>
  <si>
    <t>2019-01-22</t>
  </si>
  <si>
    <t>892227060:ita</t>
  </si>
  <si>
    <t>137232774</t>
  </si>
  <si>
    <t>ocn137232774</t>
  </si>
  <si>
    <t>3102826277N</t>
  </si>
  <si>
    <t>9788884556127</t>
  </si>
  <si>
    <t>794233056</t>
  </si>
  <si>
    <t>PQ4004 C68 D32 2014</t>
  </si>
  <si>
    <t>0                      PQ 4004000C  68                 D  32          2014</t>
  </si>
  <si>
    <t>Da Dante al Novecento : in onore di Alfredo Cottignoli / a cura di Sebastiana Nobili, Vittorio Roda, Gino Ruozzi, Paola Vecchi Galli.</t>
  </si>
  <si>
    <t>Da Dante al Novecento (Pàtron editore)</t>
  </si>
  <si>
    <t>Bologna : Pàtron editore, 2014.</t>
  </si>
  <si>
    <t>Prima edizione.</t>
  </si>
  <si>
    <t>2293585933:ita</t>
  </si>
  <si>
    <t>903203093</t>
  </si>
  <si>
    <t>ocn903203093</t>
  </si>
  <si>
    <t>3103621653A</t>
  </si>
  <si>
    <t>9788855532730</t>
  </si>
  <si>
    <t>794988852</t>
  </si>
  <si>
    <t>PQ4004 F65 O53 1993</t>
  </si>
  <si>
    <t>0                      PQ 4004000F  65                 O  53          1993</t>
  </si>
  <si>
    <t>Omaggio a Gianfranco Folena.</t>
  </si>
  <si>
    <t>v.1</t>
  </si>
  <si>
    <t>Padova : Programma, ©1993.</t>
  </si>
  <si>
    <t>1993</t>
  </si>
  <si>
    <t>2015-11-26</t>
  </si>
  <si>
    <t>53077972:ita</t>
  </si>
  <si>
    <t>31711295</t>
  </si>
  <si>
    <t>ocm31711295</t>
  </si>
  <si>
    <t>3101398389Z</t>
  </si>
  <si>
    <t>9788871231051</t>
  </si>
  <si>
    <t>793366370</t>
  </si>
  <si>
    <t>v.3</t>
  </si>
  <si>
    <t>31013983848</t>
  </si>
  <si>
    <t>793366368</t>
  </si>
  <si>
    <t>v.2</t>
  </si>
  <si>
    <t>3101398408K</t>
  </si>
  <si>
    <t>793366369</t>
  </si>
  <si>
    <t>PQ4004.F72 T73 2019</t>
  </si>
  <si>
    <t>0                      PQ 4004000F  72                 T  73          2019</t>
  </si>
  <si>
    <t>Tra lo stil de' moderni e 'l sermon prisco : studi di allievi e amici offerti a Giuseppe Frasso / a cura di Edoardo R. Barbieri, Marco Giola, Daniele Piccini.</t>
  </si>
  <si>
    <t>Pisa : Edizioni ETS, [2019]</t>
  </si>
  <si>
    <t>2019</t>
  </si>
  <si>
    <t>2020-01-15</t>
  </si>
  <si>
    <t>9649125851:ita</t>
  </si>
  <si>
    <t>1128030460</t>
  </si>
  <si>
    <t>on1128030460</t>
  </si>
  <si>
    <t>3103875725L</t>
  </si>
  <si>
    <t>9788846755230</t>
  </si>
  <si>
    <t>795086278</t>
  </si>
  <si>
    <t>PQ4004 K54 A23 2011</t>
  </si>
  <si>
    <t>0                      PQ 4004000K  54                 A  23          2011</t>
  </si>
  <si>
    <t>"Accessus ad auctores" : studies in honor of Christopher Kleinhenz / edited by Fabian Alfie and Andrea Dini.</t>
  </si>
  <si>
    <t>Tempe, Ariz. : ACMRS, Arizona Center for Medieval and Renaissance Studies, ©2011.</t>
  </si>
  <si>
    <t>Medieval and Renaissance texts and studies ; v. 397</t>
  </si>
  <si>
    <t>2012-07-13</t>
  </si>
  <si>
    <t>1056505201:eng</t>
  </si>
  <si>
    <t>765483087</t>
  </si>
  <si>
    <t>ocn765483087</t>
  </si>
  <si>
    <t>3103421510Q</t>
  </si>
  <si>
    <t>9780866984454</t>
  </si>
  <si>
    <t>794900647</t>
  </si>
  <si>
    <t>PQ4004 M3995 C85 2017</t>
  </si>
  <si>
    <t>0                      PQ 4004000M  3995               C  85          2017</t>
  </si>
  <si>
    <t>Cultural reception, translation and transformation from medieval to modern Italy : essays in honour of Martin McLaughlin / edited by Guido Bonsaver, Brian Richardson and Giuseppe Stellardi.</t>
  </si>
  <si>
    <t>Cambridge, UK : Legenda, an imprint of Modern Humanities Research Association, 2017.</t>
  </si>
  <si>
    <t>4471543750:eng</t>
  </si>
  <si>
    <t>990013423</t>
  </si>
  <si>
    <t>ocn990013423</t>
  </si>
  <si>
    <t>3103739947E</t>
  </si>
  <si>
    <t>9781781884690</t>
  </si>
  <si>
    <t>795037439</t>
  </si>
  <si>
    <t>PQ4004 S474 B74 2013</t>
  </si>
  <si>
    <t>0                      PQ 4004000S  474                B  74          2013</t>
  </si>
  <si>
    <t>La breccia dell'impensabile : studi sul fantastico in memoria di Filippo Secchieri / a cura di Anna Dolfi e Stefano Prandi.</t>
  </si>
  <si>
    <t>Ospedaletto (Pisa) : Pacini editore, [2012]</t>
  </si>
  <si>
    <t>Studi e testi di letteratura linguistica ; 2</t>
  </si>
  <si>
    <t>1391858383:ita</t>
  </si>
  <si>
    <t>843755354</t>
  </si>
  <si>
    <t>ocn843755354</t>
  </si>
  <si>
    <t>3103126224V</t>
  </si>
  <si>
    <t>9788863154795</t>
  </si>
  <si>
    <t>794948142</t>
  </si>
  <si>
    <t>PQ4005 D5</t>
  </si>
  <si>
    <t>0                      PQ 4005000D  5</t>
  </si>
  <si>
    <t>Geografia e storia della letteratura italiana. [Di] Carlo Dionisotti.</t>
  </si>
  <si>
    <t>Dionisotti, Carlo.</t>
  </si>
  <si>
    <t>Torino, G. Einaudi, 1967.</t>
  </si>
  <si>
    <t>1967</t>
  </si>
  <si>
    <t>Piccola biblioteca Einaudi ; 163</t>
  </si>
  <si>
    <t>2017-08-10</t>
  </si>
  <si>
    <t>2019-12-09</t>
  </si>
  <si>
    <t>5218647522:ita</t>
  </si>
  <si>
    <t>4926709</t>
  </si>
  <si>
    <t>ocm04926709</t>
  </si>
  <si>
    <t>3000609995P</t>
  </si>
  <si>
    <t>792393989</t>
  </si>
  <si>
    <t>3000200797S</t>
  </si>
  <si>
    <t>792393990</t>
  </si>
  <si>
    <t>PQ4005 G87 2015</t>
  </si>
  <si>
    <t>0                      PQ 4005000G  87          2015</t>
  </si>
  <si>
    <t>Carte vive : esercizi di critica militante (2004-2015) / Elena Gurrieri.</t>
  </si>
  <si>
    <t>Gurrieri, Elena, author.</t>
  </si>
  <si>
    <t>Firenze : Mauro Pagliai editore, [2015]</t>
  </si>
  <si>
    <t>Studi e testi di letteratura italiana e straniera ; 6</t>
  </si>
  <si>
    <t>2598462961:ita</t>
  </si>
  <si>
    <t>909284932</t>
  </si>
  <si>
    <t>ocn909284932</t>
  </si>
  <si>
    <t>3103637630N</t>
  </si>
  <si>
    <t>9788856403077</t>
  </si>
  <si>
    <t>794995379</t>
  </si>
  <si>
    <t>PQ4005 S23 2010</t>
  </si>
  <si>
    <t>0                      PQ 4005000S  23          2010</t>
  </si>
  <si>
    <t>Ritorni : la seconda lettura / Eduardo Saccone ; con una introduzione di Matteo Palumbo.</t>
  </si>
  <si>
    <t>Saccone, Eduardo, 1938-</t>
  </si>
  <si>
    <t>Napoli : Liguori, 2010.</t>
  </si>
  <si>
    <t>1. ed. italiana.</t>
  </si>
  <si>
    <t>Biblioteca</t>
  </si>
  <si>
    <t>687860397:ita</t>
  </si>
  <si>
    <t>671867366</t>
  </si>
  <si>
    <t>ocn671867366</t>
  </si>
  <si>
    <t>3103125226Z</t>
  </si>
  <si>
    <t>9788820747145</t>
  </si>
  <si>
    <t>794849255</t>
  </si>
  <si>
    <t>PQ4005 V85 1958</t>
  </si>
  <si>
    <t>0                      PQ 4005000V  85          1958</t>
  </si>
  <si>
    <t>High points in the history of Italian literature.</t>
  </si>
  <si>
    <t>Vittorini, Domenico.</t>
  </si>
  <si>
    <t>New York, D. McKay Co. [1958]</t>
  </si>
  <si>
    <t>1958</t>
  </si>
  <si>
    <t>2017-01-17</t>
  </si>
  <si>
    <t>1424658:eng</t>
  </si>
  <si>
    <t>279835</t>
  </si>
  <si>
    <t>ocm00279835</t>
  </si>
  <si>
    <t>3103592899C</t>
  </si>
  <si>
    <t>791321852</t>
  </si>
  <si>
    <t>PQ4013 A77 2001</t>
  </si>
  <si>
    <t>0                      PQ 4013000A  77          2001</t>
  </si>
  <si>
    <t>Letteratura italiana : secoli ed epoche / Gian Mario Anselmi, Paolo Ferratini.</t>
  </si>
  <si>
    <t>Anselmi, Gian Mario, 1947-</t>
  </si>
  <si>
    <t>Roma : Carocci, 2001.</t>
  </si>
  <si>
    <t>2001</t>
  </si>
  <si>
    <t>1. ed.</t>
  </si>
  <si>
    <t>Le bussole ; 16. Studi linguistico-letterari</t>
  </si>
  <si>
    <t>2016-05-03</t>
  </si>
  <si>
    <t>37557639:ita</t>
  </si>
  <si>
    <t>47988576</t>
  </si>
  <si>
    <t>ocm47988576</t>
  </si>
  <si>
    <t>31031508948</t>
  </si>
  <si>
    <t>9788843019274</t>
  </si>
  <si>
    <t>793712867</t>
  </si>
  <si>
    <t>PQ4023 B56 W35 2013</t>
  </si>
  <si>
    <t>0                      PQ 4023000B  56                 W  35          2013</t>
  </si>
  <si>
    <t>Lo storicismo critico di Walter Binni : atti dell'incontro di studio "Walter Binni e lo storicismo," Università di Perugia, Facoltà di Lettere e Filosofia, Palazzo Manzoni, 20-21 novembre 2013 / Enza Biagini [and eleven others].</t>
  </si>
  <si>
    <t>Walter Binni e lo storicismo (Conference) (2013 : Università di Perugia)</t>
  </si>
  <si>
    <t>Firenze : Il Ponte editore, settembre 2014.</t>
  </si>
  <si>
    <t>I edizione.</t>
  </si>
  <si>
    <t>Saggi ; 18</t>
  </si>
  <si>
    <t>5623288216:ita</t>
  </si>
  <si>
    <t>919085829</t>
  </si>
  <si>
    <t>ocn919085829</t>
  </si>
  <si>
    <t>3103630340U</t>
  </si>
  <si>
    <t>9788888861449</t>
  </si>
  <si>
    <t>795001514</t>
  </si>
  <si>
    <t>PQ4023 C66 R57 1989</t>
  </si>
  <si>
    <t>0                      PQ 4023000C  66                 R  57          1989</t>
  </si>
  <si>
    <t>Diligenza e voluttà : Ludovica Ripa di Meana interroga Gianfranco Contini.</t>
  </si>
  <si>
    <t>Contini, Gianfranco, 1912-1990.</t>
  </si>
  <si>
    <t>Milano : A. Mondadori editore, 1989.</t>
  </si>
  <si>
    <t>1989</t>
  </si>
  <si>
    <t>2018-08-30</t>
  </si>
  <si>
    <t>346321341:ita</t>
  </si>
  <si>
    <t>35150855</t>
  </si>
  <si>
    <t>ocm35150855</t>
  </si>
  <si>
    <t>31009482759</t>
  </si>
  <si>
    <t>9788804325338</t>
  </si>
  <si>
    <t>793445385</t>
  </si>
  <si>
    <t>PQ4023 D4 N94 2012</t>
  </si>
  <si>
    <t>0                      PQ 4023000D  4                  N  94          2012</t>
  </si>
  <si>
    <t>La nuova scienza come rinascita dell'identità nazionale : la Storia della letteratura italiana di Francesco De Sanctis (1870-2010) / a cura di Toni Iermano e Pasquale Sabbatino.</t>
  </si>
  <si>
    <t>Napoli : Edizioni scientifiche italiane, ©2012.</t>
  </si>
  <si>
    <t>Viaggio d'Europa ; nuova ser., 19</t>
  </si>
  <si>
    <t>1192252205:ita</t>
  </si>
  <si>
    <t>823205917</t>
  </si>
  <si>
    <t>ocn823205917</t>
  </si>
  <si>
    <t>3103126046X</t>
  </si>
  <si>
    <t>9788849524666</t>
  </si>
  <si>
    <t>794936979</t>
  </si>
  <si>
    <t>PQ4023 E5 P34 2011</t>
  </si>
  <si>
    <t>0                      PQ 4023000E  5                  P  34          2011</t>
  </si>
  <si>
    <t>Emiliani Giudici, Tenca e Il crepuscolo : critica letteraria e stampa periodica alla vigilia dell'unità / Gisella Padovani.</t>
  </si>
  <si>
    <t>Padovani, Gisella.</t>
  </si>
  <si>
    <t>Milano : F. Angeli, 2011.</t>
  </si>
  <si>
    <t>Critica letteraria e linguistica ; 77</t>
  </si>
  <si>
    <t>900365868:ita</t>
  </si>
  <si>
    <t>724302735</t>
  </si>
  <si>
    <t>ocn724302735</t>
  </si>
  <si>
    <t>3103125432R</t>
  </si>
  <si>
    <t>9788856830750</t>
  </si>
  <si>
    <t>794876290</t>
  </si>
  <si>
    <t>PQ4023 P58 F47 2011</t>
  </si>
  <si>
    <t>0                      PQ 4023000P  58                 F  47          2011</t>
  </si>
  <si>
    <t>Fernanda Pivano : viaggi, cose, persone / a cura di Ida Castiglioni.</t>
  </si>
  <si>
    <t>Cinisello Balsamo (Milano) : Silvana, 2011.</t>
  </si>
  <si>
    <t>2017-09-05</t>
  </si>
  <si>
    <t>3860905947:ita</t>
  </si>
  <si>
    <t>713178248</t>
  </si>
  <si>
    <t>ocn713178248</t>
  </si>
  <si>
    <t>3103125577G</t>
  </si>
  <si>
    <t>9788836620265</t>
  </si>
  <si>
    <t>794872552</t>
  </si>
  <si>
    <t>PQ4023 R36 C37 2010</t>
  </si>
  <si>
    <t>0                      PQ 4023000R  36                 C  37          2010</t>
  </si>
  <si>
    <t>Ferdinando Ranalli, o, Della pedanteria onesta / Mascia Cardelli.</t>
  </si>
  <si>
    <t>Cardelli, Mascia.</t>
  </si>
  <si>
    <t>Firenze : M.C.E., 2010.</t>
  </si>
  <si>
    <t>Explicandi via ; 1</t>
  </si>
  <si>
    <t>1058224939:ita</t>
  </si>
  <si>
    <t>732280232</t>
  </si>
  <si>
    <t>ocn732280232</t>
  </si>
  <si>
    <t>3103125426T</t>
  </si>
  <si>
    <t>9788890202636</t>
  </si>
  <si>
    <t>794881223</t>
  </si>
  <si>
    <t>PQ4025 C45 2001</t>
  </si>
  <si>
    <t>0                      PQ 4025000C  45          2001</t>
  </si>
  <si>
    <t>Che cos'è un testo letterario / Loredana Chines, Carlo Varotti.</t>
  </si>
  <si>
    <t>Chines, Loredana.</t>
  </si>
  <si>
    <t>Le bussole ; 18</t>
  </si>
  <si>
    <t>2016-05-09</t>
  </si>
  <si>
    <t>37068322:ita</t>
  </si>
  <si>
    <t>48407991</t>
  </si>
  <si>
    <t>ocm48407991</t>
  </si>
  <si>
    <t>31032167559</t>
  </si>
  <si>
    <t>9788843019977</t>
  </si>
  <si>
    <t>793720404</t>
  </si>
  <si>
    <t>PQ4025 R6 1930</t>
  </si>
  <si>
    <t>0                      PQ 4025000R  6           1930</t>
  </si>
  <si>
    <t>Scritti di critica letteraria, di Vittorio Rossi.</t>
  </si>
  <si>
    <t>Rossi, Vittorio, 1865-1938.</t>
  </si>
  <si>
    <t>Firenze, G.C. Sansoni, editore, 1930.</t>
  </si>
  <si>
    <t>1930</t>
  </si>
  <si>
    <t>2019-05-22</t>
  </si>
  <si>
    <t>330119071:ita</t>
  </si>
  <si>
    <t>33192100</t>
  </si>
  <si>
    <t>ocm33192100</t>
  </si>
  <si>
    <t>3100425143E</t>
  </si>
  <si>
    <t>793403946</t>
  </si>
  <si>
    <t>3000793592G</t>
  </si>
  <si>
    <t>793403948</t>
  </si>
  <si>
    <t>31032990839</t>
  </si>
  <si>
    <t>793403947</t>
  </si>
  <si>
    <t>PQ4027 L363 2008</t>
  </si>
  <si>
    <t>0                      PQ 4027000L  363         2008</t>
  </si>
  <si>
    <t>Storia parecchio alternativa della letteratura italiana : dalle sbornie di Dante alle amanti di Foscolo, dalla sorella di Pascoli alla costola di D'Annunzio / Antonella Landi.</t>
  </si>
  <si>
    <t>Landi, Antonella.</t>
  </si>
  <si>
    <t>Milano : Mondadori, 2008.</t>
  </si>
  <si>
    <t>2008</t>
  </si>
  <si>
    <t>2015-06-22</t>
  </si>
  <si>
    <t>1036327103:ita</t>
  </si>
  <si>
    <t>234368253</t>
  </si>
  <si>
    <t>ocn234368253</t>
  </si>
  <si>
    <t>3103078559Q</t>
  </si>
  <si>
    <t>9788804578604</t>
  </si>
  <si>
    <t>794369597</t>
  </si>
  <si>
    <t>PQ4027 W4</t>
  </si>
  <si>
    <t>0                      PQ 4027000W  4</t>
  </si>
  <si>
    <t>A history of literary criticism in the Italian Renaissance.</t>
  </si>
  <si>
    <t>V. 1</t>
  </si>
  <si>
    <t>Weinberg, Bernard, 1909-1973.</t>
  </si>
  <si>
    <t>[Chicago] University of Chicago Press [1961]</t>
  </si>
  <si>
    <t>1961</t>
  </si>
  <si>
    <t>2014-05-21</t>
  </si>
  <si>
    <t>2017-04-05</t>
  </si>
  <si>
    <t>1487159:eng</t>
  </si>
  <si>
    <t>343862</t>
  </si>
  <si>
    <t>ocm00343862</t>
  </si>
  <si>
    <t>3102689292Q</t>
  </si>
  <si>
    <t>791344301</t>
  </si>
  <si>
    <t>3100147386O</t>
  </si>
  <si>
    <t>791344298</t>
  </si>
  <si>
    <t>V. 2</t>
  </si>
  <si>
    <t>2013-04-15</t>
  </si>
  <si>
    <t>3102689297Q</t>
  </si>
  <si>
    <t>791344300</t>
  </si>
  <si>
    <t>2007-11-06</t>
  </si>
  <si>
    <t>3103224841B</t>
  </si>
  <si>
    <t>791344299</t>
  </si>
  <si>
    <t>PQ4028 D52 2011</t>
  </si>
  <si>
    <t>0                      PQ 4028000D  52          2011</t>
  </si>
  <si>
    <t>La tradizione classica nella letteratura italiana / Gabriele Di Giammarino.</t>
  </si>
  <si>
    <t>Di Giammarino, Gabriele, 1932-</t>
  </si>
  <si>
    <t>Roma : Di Renzo, 2011.</t>
  </si>
  <si>
    <t>2. ed., riv. e ampliata.</t>
  </si>
  <si>
    <t>351819428:ita</t>
  </si>
  <si>
    <t>738359701</t>
  </si>
  <si>
    <t>ocn738359701</t>
  </si>
  <si>
    <t>3103125469L</t>
  </si>
  <si>
    <t>794882620</t>
  </si>
  <si>
    <t>PQ4028 Q44 2004</t>
  </si>
  <si>
    <t>0                      PQ 4028000Q  44          2004</t>
  </si>
  <si>
    <t>Queer italia : same-sex desire in Italian literature and film / [edited by] Gary P. Cestaro.</t>
  </si>
  <si>
    <t>New York : Palgrave Macmillan, 2004.</t>
  </si>
  <si>
    <t>2004</t>
  </si>
  <si>
    <t>1st ed.</t>
  </si>
  <si>
    <t>Italian and Italian American studies</t>
  </si>
  <si>
    <t>2016-10-26</t>
  </si>
  <si>
    <t>1044585083:eng</t>
  </si>
  <si>
    <t>53223737</t>
  </si>
  <si>
    <t>ocm53223737</t>
  </si>
  <si>
    <t>3102385072X</t>
  </si>
  <si>
    <t>9780312240240</t>
  </si>
  <si>
    <t>793824082</t>
  </si>
  <si>
    <t>PQ4028 R66 2013</t>
  </si>
  <si>
    <t>0                      PQ 4028000R  66          2013</t>
  </si>
  <si>
    <t>La letteratura concentrazionaria : opere di autori italiani deportati sotto il nazifascismo / Elena Rondena.</t>
  </si>
  <si>
    <t>Rondena, Elena, 1979-</t>
  </si>
  <si>
    <t>Novara : Interlinea, [2013]</t>
  </si>
  <si>
    <t>Biblioteca letteraria dell'Italia unita ; 22</t>
  </si>
  <si>
    <t>1256581926:ita</t>
  </si>
  <si>
    <t>830363107</t>
  </si>
  <si>
    <t>ocn830363107</t>
  </si>
  <si>
    <t>3103126130W</t>
  </si>
  <si>
    <t>9788882128982</t>
  </si>
  <si>
    <t>794943340</t>
  </si>
  <si>
    <t>PQ4029 A65 1997</t>
  </si>
  <si>
    <t>0                      PQ 4029000A  65          1997</t>
  </si>
  <si>
    <t>Autonomia non è indifferenza : scritti dal 1929 al 1963 / Luciano Anceschi ; scelti e ordinati da Luca Cesari ; prefazione di Carlo Gentili ; saggio di Luca Cesari.</t>
  </si>
  <si>
    <t>Anceschi, Luciano.</t>
  </si>
  <si>
    <t>Rimini : Raffaelli, ©1997.</t>
  </si>
  <si>
    <t>1997</t>
  </si>
  <si>
    <t>2016-09-20</t>
  </si>
  <si>
    <t>198522969:ita</t>
  </si>
  <si>
    <t>39170732</t>
  </si>
  <si>
    <t>ocm39170732</t>
  </si>
  <si>
    <t>31019078950</t>
  </si>
  <si>
    <t>793539738</t>
  </si>
  <si>
    <t>PQ4029 C4</t>
  </si>
  <si>
    <t>0                      PQ 4029000C  4</t>
  </si>
  <si>
    <t>Ritratti e profili : saggi e note di letteratura italiana / Emilio Cecchi.</t>
  </si>
  <si>
    <t>Cecchi, Emilio, 1884-1966.</t>
  </si>
  <si>
    <t>[Milano] : Garzanti, 1957.</t>
  </si>
  <si>
    <t>1957</t>
  </si>
  <si>
    <t>Saggi</t>
  </si>
  <si>
    <t>2017-02-11</t>
  </si>
  <si>
    <t>1643572:ita</t>
  </si>
  <si>
    <t>610519</t>
  </si>
  <si>
    <t>ocm00610519</t>
  </si>
  <si>
    <t>3000792122L</t>
  </si>
  <si>
    <t>791427720</t>
  </si>
  <si>
    <t>PQ4029 C637</t>
  </si>
  <si>
    <t>0                      PQ 4029000C  637</t>
  </si>
  <si>
    <t>Il viaggio testuale / Maria Corti.</t>
  </si>
  <si>
    <t>Corti, Maria.</t>
  </si>
  <si>
    <t>Torino : Einaudi, [©1978]</t>
  </si>
  <si>
    <t>1978</t>
  </si>
  <si>
    <t>Einaudi paperbacks ; 90</t>
  </si>
  <si>
    <t>2018-10-23</t>
  </si>
  <si>
    <t>350007142:ita</t>
  </si>
  <si>
    <t>5735591</t>
  </si>
  <si>
    <t>ocm05735591</t>
  </si>
  <si>
    <t>3000322157Z</t>
  </si>
  <si>
    <t>9788806300807</t>
  </si>
  <si>
    <t>792450010</t>
  </si>
  <si>
    <t>PQ4029 M23 2010</t>
  </si>
  <si>
    <t>0                      PQ 4029000M  23          2010</t>
  </si>
  <si>
    <t>Macramè : studi sulla letteratura e le arti / a cura di Rosa Giulio, Donato Salvatore, Annamaria Sapienza.</t>
  </si>
  <si>
    <t>Domini.</t>
  </si>
  <si>
    <t>1120476274:ita</t>
  </si>
  <si>
    <t>785335966</t>
  </si>
  <si>
    <t>ocn785335966</t>
  </si>
  <si>
    <t>3103125769C</t>
  </si>
  <si>
    <t>9788820750527</t>
  </si>
  <si>
    <t>794914803</t>
  </si>
  <si>
    <t>3103125770A</t>
  </si>
  <si>
    <t>794914802</t>
  </si>
  <si>
    <t>PQ4029 M324 2007</t>
  </si>
  <si>
    <t>0                      PQ 4029000M  324         2007</t>
  </si>
  <si>
    <t>Zapping di varia letteratura : verifica filologica, definizione critica, teoria estetica / Mario Martelli.</t>
  </si>
  <si>
    <t>Martelli, Mario.</t>
  </si>
  <si>
    <t>Prato : Gli ori, ©2007.</t>
  </si>
  <si>
    <t>2018-08-29</t>
  </si>
  <si>
    <t>892180726:ita</t>
  </si>
  <si>
    <t>124073635</t>
  </si>
  <si>
    <t>ocn124073635</t>
  </si>
  <si>
    <t>31027988863</t>
  </si>
  <si>
    <t>9788873362401</t>
  </si>
  <si>
    <t>794230417</t>
  </si>
  <si>
    <t>PQ4029 P2814 1984</t>
  </si>
  <si>
    <t>0                      PQ 4029000P  2814        1984</t>
  </si>
  <si>
    <t>Descriptions de descriptions / Pier Paolo Pasolini ; traduit de l'italien par René de Ceccatty.</t>
  </si>
  <si>
    <t>Pasolini, Pier Paolo, 1922-1975.</t>
  </si>
  <si>
    <t>Marseille [France] : Rivages, ©1984.</t>
  </si>
  <si>
    <t>1984</t>
  </si>
  <si>
    <t>fre</t>
  </si>
  <si>
    <t>2015-04-29</t>
  </si>
  <si>
    <t>5611784463:fre</t>
  </si>
  <si>
    <t>22270808</t>
  </si>
  <si>
    <t>ocm22270808</t>
  </si>
  <si>
    <t>3000475889G</t>
  </si>
  <si>
    <t>9782903059484</t>
  </si>
  <si>
    <t>793138884</t>
  </si>
  <si>
    <t>PQ4032 C38 2018</t>
  </si>
  <si>
    <t>0                      PQ 4032000C  38          2018</t>
  </si>
  <si>
    <t>Sud : ovvero la questione meridionale tra storia e letteratura / Luisa Catapano.</t>
  </si>
  <si>
    <t>Catapano, Luisa, author.</t>
  </si>
  <si>
    <t>Barrafranca (Viale Signore Ritrovato, 5 - 94012 Barrafranca (Enna)) : Bonfirraro Editore.</t>
  </si>
  <si>
    <t>I saggi</t>
  </si>
  <si>
    <t>2019-06-04</t>
  </si>
  <si>
    <t>5187781855:ita</t>
  </si>
  <si>
    <t>1103324294</t>
  </si>
  <si>
    <t>on1103324294</t>
  </si>
  <si>
    <t>3103863494U</t>
  </si>
  <si>
    <t>9788862721493</t>
  </si>
  <si>
    <t>795082573</t>
  </si>
  <si>
    <t>PQ4032 F67 2016</t>
  </si>
  <si>
    <t>0                      PQ 4032000F  67          2016</t>
  </si>
  <si>
    <t>La critica letteraria nell'Italia del Settecento : forme e problemi / a cura di Gabriele Bucchi e Carlo Enrico Roggia.</t>
  </si>
  <si>
    <t>Forme della critica letteraria nell'Italia del Settecento (Conference) (2016 : Università di Losanna)</t>
  </si>
  <si>
    <t>Ravenna : Longo editore, [2017]</t>
  </si>
  <si>
    <t>Il portico ; 176. Sezione Materiali letterari</t>
  </si>
  <si>
    <t>4729907242:ita</t>
  </si>
  <si>
    <t>1016397929</t>
  </si>
  <si>
    <t>on1016397929</t>
  </si>
  <si>
    <t>3103721131X</t>
  </si>
  <si>
    <t>9788880639886</t>
  </si>
  <si>
    <t>795048418</t>
  </si>
  <si>
    <t>PQ4034 Z55 2010</t>
  </si>
  <si>
    <t>0                      PQ 4034000Z  55          2010</t>
  </si>
  <si>
    <t>Le idee e le forme : la critica letteraria in Italia dal 1900 ai nostri giorni / Emanuele Zinato.</t>
  </si>
  <si>
    <t>Zinato, Emanuele.</t>
  </si>
  <si>
    <t>Roma : Carocci, 2010.</t>
  </si>
  <si>
    <t>1a ed.</t>
  </si>
  <si>
    <t>Frecce ; 105</t>
  </si>
  <si>
    <t>766686367:ita</t>
  </si>
  <si>
    <t>694058151</t>
  </si>
  <si>
    <t>ocn694058151</t>
  </si>
  <si>
    <t>3103125260R</t>
  </si>
  <si>
    <t>9788843055814</t>
  </si>
  <si>
    <t>794857099</t>
  </si>
  <si>
    <t>PQ4037 A657 2013</t>
  </si>
  <si>
    <t>0                      PQ 4037000A  657         2013</t>
  </si>
  <si>
    <t>Narrare storia e storie : narrare il mondo / Gian Mario Anselmi.</t>
  </si>
  <si>
    <t>Milano, Italy : FrancoAngeli, ©2013.</t>
  </si>
  <si>
    <t>Letteratura italiana. Saggi e strumenti ; 15</t>
  </si>
  <si>
    <t>1379078635:ita</t>
  </si>
  <si>
    <t>852145321</t>
  </si>
  <si>
    <t>ocn852145321</t>
  </si>
  <si>
    <t>3103126294H</t>
  </si>
  <si>
    <t>9788820421830</t>
  </si>
  <si>
    <t>794951152</t>
  </si>
  <si>
    <t>PQ4037 A845 2010</t>
  </si>
  <si>
    <t>0                      PQ 4037000A  845         2010</t>
  </si>
  <si>
    <t>Atlante della letteratura italiana / a cura di Sergio Luzzatto e Gabriele Pedullà.</t>
  </si>
  <si>
    <t>Torino : G. Einaudi, ©2010-©2012.</t>
  </si>
  <si>
    <t>5342900001:ita</t>
  </si>
  <si>
    <t>692270165</t>
  </si>
  <si>
    <t>ocn692270165</t>
  </si>
  <si>
    <t>3103482832G</t>
  </si>
  <si>
    <t>9788806185251</t>
  </si>
  <si>
    <t>794856014</t>
  </si>
  <si>
    <t>3103125566I</t>
  </si>
  <si>
    <t>794856015</t>
  </si>
  <si>
    <t>3103125254T</t>
  </si>
  <si>
    <t>794856016</t>
  </si>
  <si>
    <t>PQ4037 B46 2016</t>
  </si>
  <si>
    <t>0                      PQ 4037000B  46          2016</t>
  </si>
  <si>
    <t>L'ordine e il pericolo : conflitti, idee, dissacrazioni nella cultura letteraria tra Cinque e Settecento / Alberto Beniscelli.</t>
  </si>
  <si>
    <t>Beniscelli, Alberto, author.</t>
  </si>
  <si>
    <t>Lecce - Italia : Argo, [2016]</t>
  </si>
  <si>
    <t>Bbl, Biblioteca barocca e dei Lumi ; 17</t>
  </si>
  <si>
    <t>4211412861:ita</t>
  </si>
  <si>
    <t>987269066</t>
  </si>
  <si>
    <t>ocn987269066</t>
  </si>
  <si>
    <t>3103720943$</t>
  </si>
  <si>
    <t>9788882342159</t>
  </si>
  <si>
    <t>795035938</t>
  </si>
  <si>
    <t>PQ4037 B58 1993</t>
  </si>
  <si>
    <t>0                      PQ 4037000B  58          1993</t>
  </si>
  <si>
    <t>Tradizione e fortuna dei classici italiani / Corrado Bologna.</t>
  </si>
  <si>
    <t>Bologna, Corrado.</t>
  </si>
  <si>
    <t>Torino : G. Einaudi, ©1993.</t>
  </si>
  <si>
    <t>Piccola biblioteca Einaudi ; 603-604</t>
  </si>
  <si>
    <t>2019-07-26</t>
  </si>
  <si>
    <t>32651212:ita</t>
  </si>
  <si>
    <t>30661044</t>
  </si>
  <si>
    <t>ocm30661044</t>
  </si>
  <si>
    <t>3101430802B</t>
  </si>
  <si>
    <t>9788806121754</t>
  </si>
  <si>
    <t>793341231</t>
  </si>
  <si>
    <t>3101430794L</t>
  </si>
  <si>
    <t>793341232</t>
  </si>
  <si>
    <t>PQ4037 C47 1935</t>
  </si>
  <si>
    <t>0                      PQ 4037000C  47          1935</t>
  </si>
  <si>
    <t>Scrittori nostri : raccolta antologica di scritti inediti.</t>
  </si>
  <si>
    <t>Milano : A. Mondadori, 1935.</t>
  </si>
  <si>
    <t>1935</t>
  </si>
  <si>
    <t>2016-12-18</t>
  </si>
  <si>
    <t>1124937907:ita</t>
  </si>
  <si>
    <t>18726917</t>
  </si>
  <si>
    <t>ocm18726917</t>
  </si>
  <si>
    <t>3000530614N</t>
  </si>
  <si>
    <t>793035524</t>
  </si>
  <si>
    <t>PQ4037 C67 2012</t>
  </si>
  <si>
    <t>0                      PQ 4037000C  67          2012</t>
  </si>
  <si>
    <t>Lingue, testi, culture : l'eredità di Folena vent'anni dopo : atti del XL Convegno interuniversitario (Bressanone, 12-15 luglio 2012) / a cura di Ivano Paccagnella e Elisa Gregori.</t>
  </si>
  <si>
    <t>Convegno interuniversitario di studi (40th : 2012 : Bressanone, Italy)</t>
  </si>
  <si>
    <t>Padova : Esedra editrice, [2014]</t>
  </si>
  <si>
    <t>Quaderni del Circolo filologico linguistico padovano ; 28</t>
  </si>
  <si>
    <t>2036010760:ita</t>
  </si>
  <si>
    <t>884732977</t>
  </si>
  <si>
    <t>ocn884732977</t>
  </si>
  <si>
    <t>31035882276</t>
  </si>
  <si>
    <t>9788860580474</t>
  </si>
  <si>
    <t>794976626</t>
  </si>
  <si>
    <t>PQ4037 D413</t>
  </si>
  <si>
    <t>0                      PQ 4037000D  413</t>
  </si>
  <si>
    <t>History of Italian literature, by Francesco de Sanctis; translated by Joan Redfern ...</t>
  </si>
  <si>
    <t>De Sanctis, Francesco, 1817-1883.</t>
  </si>
  <si>
    <t>New York, Harcourt, Brace and Company [©1931]</t>
  </si>
  <si>
    <t>1931</t>
  </si>
  <si>
    <t>2018-06-29</t>
  </si>
  <si>
    <t>3373582812:eng</t>
  </si>
  <si>
    <t>426963</t>
  </si>
  <si>
    <t>ocm00426963</t>
  </si>
  <si>
    <t>3000793648F</t>
  </si>
  <si>
    <t>791375831</t>
  </si>
  <si>
    <t>31012754825</t>
  </si>
  <si>
    <t>791375830</t>
  </si>
  <si>
    <t>PQ4037 D613 1969</t>
  </si>
  <si>
    <t>0                      PQ 4037000D  613         1969</t>
  </si>
  <si>
    <t>A history of Italian literature : with additional materials on twentieth-century literature / by Ettore Mazzali and Robert J. Clements. Translated by Richard Monges.</t>
  </si>
  <si>
    <t>Donadoni, Eugenio, 1870-1924.</t>
  </si>
  <si>
    <t>New York, New York University Press, 1969.</t>
  </si>
  <si>
    <t>1969</t>
  </si>
  <si>
    <t>The Gotham library</t>
  </si>
  <si>
    <t>2908671290:eng</t>
  </si>
  <si>
    <t>78177</t>
  </si>
  <si>
    <t>ocm00078177</t>
  </si>
  <si>
    <t>3100147402F</t>
  </si>
  <si>
    <t>791247998</t>
  </si>
  <si>
    <t>3000245158D</t>
  </si>
  <si>
    <t>791247999</t>
  </si>
  <si>
    <t>PQ4037 D725 1991</t>
  </si>
  <si>
    <t>0                      PQ 4037000D  725         1991</t>
  </si>
  <si>
    <t>Storia della letteratura italiana / Ugo Dotti.</t>
  </si>
  <si>
    <t>Dotti, Ugo, 1933-2017.</t>
  </si>
  <si>
    <t>Roma : Laterza, 1991.</t>
  </si>
  <si>
    <t>1991</t>
  </si>
  <si>
    <t>Enciclopedie del sapere</t>
  </si>
  <si>
    <t>2018-04-12</t>
  </si>
  <si>
    <t>30298356:ita</t>
  </si>
  <si>
    <t>28115169</t>
  </si>
  <si>
    <t>ocm28115169</t>
  </si>
  <si>
    <t>31012080952</t>
  </si>
  <si>
    <t>9788842038702</t>
  </si>
  <si>
    <t>793280184</t>
  </si>
  <si>
    <t>PQ4037 F45 1991</t>
  </si>
  <si>
    <t>0                      PQ 4037000F  45          1991</t>
  </si>
  <si>
    <t>Storia della letteratura italiana / Giulio Ferroni.</t>
  </si>
  <si>
    <t>Ferroni, Giulio, 1943-</t>
  </si>
  <si>
    <t>Milano : Edinaudi, 1991.</t>
  </si>
  <si>
    <t>2016-07-12</t>
  </si>
  <si>
    <t>2018-12-21</t>
  </si>
  <si>
    <t>2865053037:ita</t>
  </si>
  <si>
    <t>25512722</t>
  </si>
  <si>
    <t>ocm25512722</t>
  </si>
  <si>
    <t>3101888084S</t>
  </si>
  <si>
    <t>9788806127855</t>
  </si>
  <si>
    <t>793223575</t>
  </si>
  <si>
    <t>v.4</t>
  </si>
  <si>
    <t>3101999300U</t>
  </si>
  <si>
    <t>793223572</t>
  </si>
  <si>
    <t>3101941002Y</t>
  </si>
  <si>
    <t>793223574</t>
  </si>
  <si>
    <t>3101941004U</t>
  </si>
  <si>
    <t>793223573</t>
  </si>
  <si>
    <t>PQ4037 G37 2011</t>
  </si>
  <si>
    <t>0                      PQ 4037000G  37          2011</t>
  </si>
  <si>
    <t>Per una biblioteca indispensabile : cinquantadue classici della letteratura italiana / Nicola Gardini.</t>
  </si>
  <si>
    <t>Gardini, Nicola.</t>
  </si>
  <si>
    <t>Torino : G. Einaudi, ©2011.</t>
  </si>
  <si>
    <t>Piccola biblioteca Einaudi. Mappe ; 30</t>
  </si>
  <si>
    <t>2019-11-09</t>
  </si>
  <si>
    <t>900366333:ita</t>
  </si>
  <si>
    <t>724303279</t>
  </si>
  <si>
    <t>ocn724303279</t>
  </si>
  <si>
    <t>3103125396I</t>
  </si>
  <si>
    <t>9788806206352</t>
  </si>
  <si>
    <t>794876292</t>
  </si>
  <si>
    <t>PQ4037 G56 2016</t>
  </si>
  <si>
    <t>0                      PQ 4037000G  56          2016</t>
  </si>
  <si>
    <t>La letteratura italiana moderna e contemporanea : guida allo studio / Paolo Giovannetti.</t>
  </si>
  <si>
    <t>Giovannetti, Paolo, 1958-</t>
  </si>
  <si>
    <t>Roma : Carocci, 2016.</t>
  </si>
  <si>
    <t>1a ed. Aulmagna.</t>
  </si>
  <si>
    <t>Aulamagna ; 9</t>
  </si>
  <si>
    <t>2018-01-11</t>
  </si>
  <si>
    <t>890528098:ita</t>
  </si>
  <si>
    <t>968238702</t>
  </si>
  <si>
    <t>ocn968238702</t>
  </si>
  <si>
    <t>3103718404W</t>
  </si>
  <si>
    <t>9788843083077</t>
  </si>
  <si>
    <t>795027044</t>
  </si>
  <si>
    <t>PQ4037 L457 1982</t>
  </si>
  <si>
    <t>0                      PQ 4037000L  457         1982</t>
  </si>
  <si>
    <t>Letteratura italiana / [direzione, Alberto Asor Rosa].</t>
  </si>
  <si>
    <t>V. 3/2</t>
  </si>
  <si>
    <t>Torino : G. Einaudi, ©1982-</t>
  </si>
  <si>
    <t>1982</t>
  </si>
  <si>
    <t>2014-06-18</t>
  </si>
  <si>
    <t>2016-02-05</t>
  </si>
  <si>
    <t>1825793610:ita</t>
  </si>
  <si>
    <t>427013030</t>
  </si>
  <si>
    <t>ocn427013030</t>
  </si>
  <si>
    <t>3101116935W</t>
  </si>
  <si>
    <t>9788806054755</t>
  </si>
  <si>
    <t>794518185</t>
  </si>
  <si>
    <t>2016-02-02</t>
  </si>
  <si>
    <t>3000366010L</t>
  </si>
  <si>
    <t>794518188</t>
  </si>
  <si>
    <t>V. 5</t>
  </si>
  <si>
    <t>2009-02-26</t>
  </si>
  <si>
    <t>3100463003G</t>
  </si>
  <si>
    <t>794518183</t>
  </si>
  <si>
    <t>V. 3/1</t>
  </si>
  <si>
    <t>3100463001K</t>
  </si>
  <si>
    <t>794518186</t>
  </si>
  <si>
    <t>V. 4</t>
  </si>
  <si>
    <t>2009-11-13</t>
  </si>
  <si>
    <t>3103144516M</t>
  </si>
  <si>
    <t>794518184</t>
  </si>
  <si>
    <t>3100463000M</t>
  </si>
  <si>
    <t>794518187</t>
  </si>
  <si>
    <t>V. 6</t>
  </si>
  <si>
    <t>3100463004E</t>
  </si>
  <si>
    <t>794518182</t>
  </si>
  <si>
    <t>PQ4037 L465 1992</t>
  </si>
  <si>
    <t>0                      PQ 4037000L  465         1992</t>
  </si>
  <si>
    <t>Letteratura italiana. Le opere / [direzione, Alberto Asor Rosa].</t>
  </si>
  <si>
    <t>Torino : Giulio Einaudi editore, ©1992-</t>
  </si>
  <si>
    <t>1992</t>
  </si>
  <si>
    <t>2010-08-27</t>
  </si>
  <si>
    <t>2018-11-29</t>
  </si>
  <si>
    <t>3377294608:ita</t>
  </si>
  <si>
    <t>27941247</t>
  </si>
  <si>
    <t>ocm27941247</t>
  </si>
  <si>
    <t>3101276246C</t>
  </si>
  <si>
    <t>9788806130251</t>
  </si>
  <si>
    <t>793276021</t>
  </si>
  <si>
    <t>v.4:pt.1</t>
  </si>
  <si>
    <t>31015428708</t>
  </si>
  <si>
    <t>793276018</t>
  </si>
  <si>
    <t>2003-10-19</t>
  </si>
  <si>
    <t>3101467899S</t>
  </si>
  <si>
    <t>793276019</t>
  </si>
  <si>
    <t>2012-08-12</t>
  </si>
  <si>
    <t>3101356008X</t>
  </si>
  <si>
    <t>793276020</t>
  </si>
  <si>
    <t>v.4:pt2</t>
  </si>
  <si>
    <t>2017-09-07</t>
  </si>
  <si>
    <t>31015973556</t>
  </si>
  <si>
    <t>793276017</t>
  </si>
  <si>
    <t>PQ4037 L48 2008</t>
  </si>
  <si>
    <t>0                      PQ 4037000L  48          2008</t>
  </si>
  <si>
    <t>Letteratura di base / [a cura di Giovanna Bellini and others].</t>
  </si>
  <si>
    <t>suppl.</t>
  </si>
  <si>
    <t>Roma : Editori Laterza, 2008-</t>
  </si>
  <si>
    <t>La LetteraturaLaterza</t>
  </si>
  <si>
    <t>2016-05-19</t>
  </si>
  <si>
    <t>907871533:ita</t>
  </si>
  <si>
    <t>729574960</t>
  </si>
  <si>
    <t>ocn729574960</t>
  </si>
  <si>
    <t>3103340276N</t>
  </si>
  <si>
    <t>9788842108313</t>
  </si>
  <si>
    <t>794879517</t>
  </si>
  <si>
    <t>3103340281L</t>
  </si>
  <si>
    <t>794879516</t>
  </si>
  <si>
    <t>PQ4037 L4x v. 5</t>
  </si>
  <si>
    <t>0                      PQ 4037000L  4x                                                      v. 5</t>
  </si>
  <si>
    <t>Opere minori / Dante Alighieri ; a cura di Domenico De Robertis [and others].</t>
  </si>
  <si>
    <t>t. 1-1</t>
  </si>
  <si>
    <t>Dante Alighieri, 1265-1321.</t>
  </si>
  <si>
    <t>Milano ; Napoli : R. Ricciardi, [1979-1988]</t>
  </si>
  <si>
    <t>1979</t>
  </si>
  <si>
    <t>La Letteratura italiana. Storia e testi ; v. 5</t>
  </si>
  <si>
    <t>2006-08-09</t>
  </si>
  <si>
    <t>2017-03-28</t>
  </si>
  <si>
    <t>3149581649:ita</t>
  </si>
  <si>
    <t>5787829</t>
  </si>
  <si>
    <t>ocm05787829</t>
  </si>
  <si>
    <t>30004285132</t>
  </si>
  <si>
    <t>792453979</t>
  </si>
  <si>
    <t>t. 2</t>
  </si>
  <si>
    <t>3000179569Z</t>
  </si>
  <si>
    <t>792453977</t>
  </si>
  <si>
    <t>t. 1, pt. 2</t>
  </si>
  <si>
    <t>2005-05-05</t>
  </si>
  <si>
    <t>3100462984X</t>
  </si>
  <si>
    <t>792453978</t>
  </si>
  <si>
    <t>PQ4037 L4x v.12 t.1</t>
  </si>
  <si>
    <t>0                      PQ 4037000L  4x                                                      v.12 t.1</t>
  </si>
  <si>
    <t>Scrittori di religione / a cura di Don Giuseppe de Luca.</t>
  </si>
  <si>
    <t>v.12 t.1*</t>
  </si>
  <si>
    <t>De Luca, Giuseppe, 1898-1962.</t>
  </si>
  <si>
    <t>Milano : Ricciardi, [1954]</t>
  </si>
  <si>
    <t>1954</t>
  </si>
  <si>
    <t>Prosatori minori del trecento ; t. 1</t>
  </si>
  <si>
    <t>2018-10-18</t>
  </si>
  <si>
    <t>3372702490:ita</t>
  </si>
  <si>
    <t>20971693</t>
  </si>
  <si>
    <t>ocm20971693</t>
  </si>
  <si>
    <t>3000200810P</t>
  </si>
  <si>
    <t>793104581</t>
  </si>
  <si>
    <t>PQ4037 L4x v.22</t>
  </si>
  <si>
    <t>0                      PQ 4037000L  4x                                                      v.22</t>
  </si>
  <si>
    <t>Prose / Torquato Tasso ; a cura di Ettore Mazzali ; con una premessa de Francesco Flora.</t>
  </si>
  <si>
    <t>v.22*</t>
  </si>
  <si>
    <t>Tasso, Torquato, 1544-1595.</t>
  </si>
  <si>
    <t>Milano : R. Ricciardi, 1959.</t>
  </si>
  <si>
    <t>1959</t>
  </si>
  <si>
    <t>La letteratura italiana. Storia e testi ; v. 22</t>
  </si>
  <si>
    <t>2019-03-20</t>
  </si>
  <si>
    <t>2694350:ita</t>
  </si>
  <si>
    <t>1969236</t>
  </si>
  <si>
    <t>ocm01969236</t>
  </si>
  <si>
    <t>30002008189</t>
  </si>
  <si>
    <t>792020327</t>
  </si>
  <si>
    <t>PQ4037 L4x v.34 t.2</t>
  </si>
  <si>
    <t>0                      PQ 4037000L  4x                                                      v.34 t.2</t>
  </si>
  <si>
    <t>Scienziati del seicento / a cura di Maria Luisa Altieri Biagi e di Bruno Basile.</t>
  </si>
  <si>
    <t>v.34 t.2*</t>
  </si>
  <si>
    <t>Milano : R. Ricciardi, 1980.</t>
  </si>
  <si>
    <t>1980</t>
  </si>
  <si>
    <t>Galileo e gli scienziati del seicento ; t. 2</t>
  </si>
  <si>
    <t>2018-11-28</t>
  </si>
  <si>
    <t>1772863:ita</t>
  </si>
  <si>
    <t>7312291</t>
  </si>
  <si>
    <t>ocm07312291</t>
  </si>
  <si>
    <t>3000151264Z</t>
  </si>
  <si>
    <t>792552838</t>
  </si>
  <si>
    <t>PQ4037 L4x v.35 t.2</t>
  </si>
  <si>
    <t>0                      PQ 4037000L  4x                                                      v.35 t.2</t>
  </si>
  <si>
    <t>Storici e politici veneti del Cinquecento e del Seicento / a cura di Gino Benzoni e Tiziano Zanato.</t>
  </si>
  <si>
    <t>v.35 t.2*</t>
  </si>
  <si>
    <t>Milano ; Napoli : R. Ricciardi, [1982]</t>
  </si>
  <si>
    <t>Storici, politici e moralisti del Seicento ; t. 2</t>
  </si>
  <si>
    <t>2016-09-12</t>
  </si>
  <si>
    <t>350977510:ita</t>
  </si>
  <si>
    <t>9277458</t>
  </si>
  <si>
    <t>ocm09277458</t>
  </si>
  <si>
    <t>30003523749</t>
  </si>
  <si>
    <t>792667514</t>
  </si>
  <si>
    <t>PQ4037 L4x v.4</t>
  </si>
  <si>
    <t>0                      PQ 4037000L  4x                                                      v.4</t>
  </si>
  <si>
    <t>La divina commedia / Dante Alighieri, a cura di Natalino Sapegno.</t>
  </si>
  <si>
    <t>v.4*</t>
  </si>
  <si>
    <t>2</t>
  </si>
  <si>
    <t>Milano : Ricciardi, 1957.</t>
  </si>
  <si>
    <t>La letteratura italiana : storia e testi ; 4</t>
  </si>
  <si>
    <t>2018-09-28</t>
  </si>
  <si>
    <t>4452229528:ita</t>
  </si>
  <si>
    <t>2499212</t>
  </si>
  <si>
    <t>ocm02499212</t>
  </si>
  <si>
    <t>30004999523</t>
  </si>
  <si>
    <t>792135845</t>
  </si>
  <si>
    <t>PQ4037 L4x v.61</t>
  </si>
  <si>
    <t>0                      PQ 4037000L  4x                                                      v.61</t>
  </si>
  <si>
    <t>Opere / Giovanni Pascoli ; a cura di Maurizio Perugi.</t>
  </si>
  <si>
    <t>t. 1</t>
  </si>
  <si>
    <t>Pascoli, Giovanni, 1855-1912.</t>
  </si>
  <si>
    <t>Milano : Ricciardi, 1980-</t>
  </si>
  <si>
    <t>La Letteratura italiana: Storia e testi ; v. 61</t>
  </si>
  <si>
    <t>2018-09-20</t>
  </si>
  <si>
    <t>5092063176:ita</t>
  </si>
  <si>
    <t>6670601</t>
  </si>
  <si>
    <t>ocm06670601</t>
  </si>
  <si>
    <t>3000315532Q</t>
  </si>
  <si>
    <t>792515521</t>
  </si>
  <si>
    <t>31004629634</t>
  </si>
  <si>
    <t>792515520</t>
  </si>
  <si>
    <t>PQ4037 P275 2016</t>
  </si>
  <si>
    <t>0                      PQ 4037000P  275         2016</t>
  </si>
  <si>
    <t>"La varietà delle circunstanze" : esperimenti di lettura dal Medioevo al Novecento / Matteo Palumbo.</t>
  </si>
  <si>
    <t>Palumbo, Matteo, 1946- author.</t>
  </si>
  <si>
    <t>Roma : Salerno editrice, [2016]</t>
  </si>
  <si>
    <t>Studi e saggi. Fuori collana ; XV</t>
  </si>
  <si>
    <t>4090127966:ita</t>
  </si>
  <si>
    <t>974567370</t>
  </si>
  <si>
    <t>ocn974567370</t>
  </si>
  <si>
    <t>31037161615</t>
  </si>
  <si>
    <t>9788869731778</t>
  </si>
  <si>
    <t>795029663</t>
  </si>
  <si>
    <t>PQ4037 R245 2011</t>
  </si>
  <si>
    <t>0                      PQ 4037000R  245         2011</t>
  </si>
  <si>
    <t>Un teatro delle idee : ragione e immaginazione dal Rinascimento al romanticismo / Ezio Raimondi ; a cura di Davide Monda.</t>
  </si>
  <si>
    <t>Raimondi, Ezio.</t>
  </si>
  <si>
    <t>Milano : BUR Rizzoli, 2011.</t>
  </si>
  <si>
    <t>1. ed. BUR Alta fedeltà.</t>
  </si>
  <si>
    <t>Alta fedeltà</t>
  </si>
  <si>
    <t>1064721117:ita</t>
  </si>
  <si>
    <t>768810370</t>
  </si>
  <si>
    <t>ocn768810370</t>
  </si>
  <si>
    <t>3103125628N</t>
  </si>
  <si>
    <t>9788817050777</t>
  </si>
  <si>
    <t>794902862</t>
  </si>
  <si>
    <t>PQ4037 S9 1995</t>
  </si>
  <si>
    <t>0                      PQ 4037000S  9           1995</t>
  </si>
  <si>
    <t>Storia della letteratura italiana / diretta da Enrico Malato.</t>
  </si>
  <si>
    <t>Roma : Salerno, ©1995-©2005.</t>
  </si>
  <si>
    <t>1995</t>
  </si>
  <si>
    <t>2018-07-14</t>
  </si>
  <si>
    <t>3980267776:ita</t>
  </si>
  <si>
    <t>34190272</t>
  </si>
  <si>
    <t>ocm34190272</t>
  </si>
  <si>
    <t>3102136278M</t>
  </si>
  <si>
    <t>9788884021588</t>
  </si>
  <si>
    <t>793421096</t>
  </si>
  <si>
    <t>v.7</t>
  </si>
  <si>
    <t>31021362701</t>
  </si>
  <si>
    <t>793421090</t>
  </si>
  <si>
    <t>v.10</t>
  </si>
  <si>
    <t>31021687310</t>
  </si>
  <si>
    <t>793421087</t>
  </si>
  <si>
    <t>2002-01-23</t>
  </si>
  <si>
    <t>3102136273W</t>
  </si>
  <si>
    <t>793421094</t>
  </si>
  <si>
    <t>v. 14</t>
  </si>
  <si>
    <t>31025579683</t>
  </si>
  <si>
    <t>793421083</t>
  </si>
  <si>
    <t>3102136269N</t>
  </si>
  <si>
    <t>793421095</t>
  </si>
  <si>
    <t>v. 12</t>
  </si>
  <si>
    <t>2012-09-10</t>
  </si>
  <si>
    <t>3102536542X</t>
  </si>
  <si>
    <t>793421085</t>
  </si>
  <si>
    <t>v. 11</t>
  </si>
  <si>
    <t>31025239157</t>
  </si>
  <si>
    <t>793421086</t>
  </si>
  <si>
    <t>v.8</t>
  </si>
  <si>
    <t>2005-04-21</t>
  </si>
  <si>
    <t>3102136266T</t>
  </si>
  <si>
    <t>793421089</t>
  </si>
  <si>
    <t>3102136277O</t>
  </si>
  <si>
    <t>793421093</t>
  </si>
  <si>
    <t>v.9</t>
  </si>
  <si>
    <t>2018-04-11</t>
  </si>
  <si>
    <t>3102136265V</t>
  </si>
  <si>
    <t>793421088</t>
  </si>
  <si>
    <t>v.5</t>
  </si>
  <si>
    <t>2004-07-07</t>
  </si>
  <si>
    <t>3102136281X</t>
  </si>
  <si>
    <t>793421092</t>
  </si>
  <si>
    <t>v.6</t>
  </si>
  <si>
    <t>3102136274U</t>
  </si>
  <si>
    <t>793421091</t>
  </si>
  <si>
    <t>v. 13</t>
  </si>
  <si>
    <t>31025239205</t>
  </si>
  <si>
    <t>793421084</t>
  </si>
  <si>
    <t>PQ4038 C35 1996</t>
  </si>
  <si>
    <t>0                      PQ 4038000C  35          1996</t>
  </si>
  <si>
    <t>The Cambridge history of Italian literature / edited by Peter Brand and Lino Pertile.</t>
  </si>
  <si>
    <t>Cambridge [England] ; New York : Cambridge University Press, 1996.</t>
  </si>
  <si>
    <t>1996</t>
  </si>
  <si>
    <t>4917842274:eng</t>
  </si>
  <si>
    <t>33897423</t>
  </si>
  <si>
    <t>ocm33897423</t>
  </si>
  <si>
    <t>31018126567</t>
  </si>
  <si>
    <t>9780521434928</t>
  </si>
  <si>
    <t>793413332</t>
  </si>
  <si>
    <t>PQ4038 P37 2015</t>
  </si>
  <si>
    <t>0                      PQ 4038000P  37          2015</t>
  </si>
  <si>
    <t>A literary tour of Italy / Tim Parks.</t>
  </si>
  <si>
    <t>Parks, Tim, author.</t>
  </si>
  <si>
    <t>Richmond, Surrey, United Kingdom : Alma Books, 2015.</t>
  </si>
  <si>
    <t>2017-02-18</t>
  </si>
  <si>
    <t>2550134308:eng</t>
  </si>
  <si>
    <t>911171264</t>
  </si>
  <si>
    <t>ocn911171264</t>
  </si>
  <si>
    <t>31036531427</t>
  </si>
  <si>
    <t>9781846883521</t>
  </si>
  <si>
    <t>794998118</t>
  </si>
  <si>
    <t>PQ4038 W5 1974</t>
  </si>
  <si>
    <t>0                      PQ 4038000W  5           1974</t>
  </si>
  <si>
    <t>A history of Italian literature / by Ernest Hatch Wilkins.</t>
  </si>
  <si>
    <t>Wilkins, Ernest Hatch, 1880-1966.</t>
  </si>
  <si>
    <t>Cambridge : Harvard University Press, 1974.</t>
  </si>
  <si>
    <t>1974</t>
  </si>
  <si>
    <t>Rev. / by Thomas G. Bergin.</t>
  </si>
  <si>
    <t>521472:eng</t>
  </si>
  <si>
    <t>1197422</t>
  </si>
  <si>
    <t>ocm01197422</t>
  </si>
  <si>
    <t>31036017847</t>
  </si>
  <si>
    <t>9780674397019</t>
  </si>
  <si>
    <t>791570846</t>
  </si>
  <si>
    <t>PQ4042 A86 2009</t>
  </si>
  <si>
    <t>0                      PQ 4042000A  86          2009</t>
  </si>
  <si>
    <t>Storia europea della letteratura italiana / Alberto Asor Rosa.</t>
  </si>
  <si>
    <t>Asor Rosa, Alberto.</t>
  </si>
  <si>
    <t>Torino : G. Einaudi, 2009.</t>
  </si>
  <si>
    <t>2009</t>
  </si>
  <si>
    <t>Piccola biblioteca Einaudi ; nuova ser. 426-428</t>
  </si>
  <si>
    <t>4020492434:ita</t>
  </si>
  <si>
    <t>311818554</t>
  </si>
  <si>
    <t>ocn311818554</t>
  </si>
  <si>
    <t>3103127023X</t>
  </si>
  <si>
    <t>9788806167189</t>
  </si>
  <si>
    <t>794436580</t>
  </si>
  <si>
    <t>3103127024X</t>
  </si>
  <si>
    <t>794436579</t>
  </si>
  <si>
    <t>3103127022X</t>
  </si>
  <si>
    <t>794436581</t>
  </si>
  <si>
    <t>PQ4043 H35 2012</t>
  </si>
  <si>
    <t>0                      PQ 4043000H  35          2012</t>
  </si>
  <si>
    <t>Italian literature : a very short introduction / Peter Hainsworth &amp; David Robey.</t>
  </si>
  <si>
    <t>Hainsworth, Peter.</t>
  </si>
  <si>
    <t>Oxford ; New York : Oxford University Press, 2012.</t>
  </si>
  <si>
    <t>Very short introductions ; 304</t>
  </si>
  <si>
    <t>1104503416:eng</t>
  </si>
  <si>
    <t>749871197</t>
  </si>
  <si>
    <t>ocn749871197</t>
  </si>
  <si>
    <t>3103408752V</t>
  </si>
  <si>
    <t>9780199231799</t>
  </si>
  <si>
    <t>794889982</t>
  </si>
  <si>
    <t>PQ4045 P7</t>
  </si>
  <si>
    <t>0                      PQ 4045000P  7</t>
  </si>
  <si>
    <t>Storia tascabile della letteratura italiana / Giuseppe Prezzolini.</t>
  </si>
  <si>
    <t>Prezzolini, Giuseppe, 1882-1982.</t>
  </si>
  <si>
    <t>Milano : Pan, ©1976.</t>
  </si>
  <si>
    <t>1976</t>
  </si>
  <si>
    <t>L'Indicatore ; n. 2</t>
  </si>
  <si>
    <t>197656013:ita</t>
  </si>
  <si>
    <t>2403079</t>
  </si>
  <si>
    <t>ocm02403079</t>
  </si>
  <si>
    <t>30004065914</t>
  </si>
  <si>
    <t>792117464</t>
  </si>
  <si>
    <t>PQ4046 C86 1956</t>
  </si>
  <si>
    <t>0                      PQ 4046000C  86          1956</t>
  </si>
  <si>
    <t>La critica stilistica e il barocco letterario. Atti del secondo Congresso internazionale di studi italiani, a cura della Associazione internazionale per gli studi di lingua e letteratura italiana.</t>
  </si>
  <si>
    <t>Congresso internazionale di studi italiani (2nd : 1956 : Venice)</t>
  </si>
  <si>
    <t>Firenze, F. Le Monnier [1958]</t>
  </si>
  <si>
    <t>427494035:ita</t>
  </si>
  <si>
    <t>2975175</t>
  </si>
  <si>
    <t>ocm02975175</t>
  </si>
  <si>
    <t>3000617719G</t>
  </si>
  <si>
    <t>792201487</t>
  </si>
  <si>
    <t>PQ4048 S7 B4</t>
  </si>
  <si>
    <t>0                      PQ 4048000S  7                  B  4</t>
  </si>
  <si>
    <t>Come un racconto gli anni del Premio Strega. Con 43 illustrazioni fuori testo.</t>
  </si>
  <si>
    <t>Bellonci, Maria.</t>
  </si>
  <si>
    <t>[Milano] A. Mondadori, 1971.</t>
  </si>
  <si>
    <t>1971</t>
  </si>
  <si>
    <t>2015-03-14</t>
  </si>
  <si>
    <t>2345037:ita</t>
  </si>
  <si>
    <t>1392631</t>
  </si>
  <si>
    <t>ocm01392631</t>
  </si>
  <si>
    <t>3000613487V</t>
  </si>
  <si>
    <t>791617322</t>
  </si>
  <si>
    <t>PQ4049 D59 2009</t>
  </si>
  <si>
    <t>0                      PQ 4049000D  59          2009</t>
  </si>
  <si>
    <t>Diversity, otherness, and pluralism in Italian literature, cinema, language, and pedagogy : yesterday, today, and tomorrow / edited by Filomena Calabrese [and others].</t>
  </si>
  <si>
    <t>Ottawa ; New York : Legas, ©2009.</t>
  </si>
  <si>
    <t>2015-05-27</t>
  </si>
  <si>
    <t>323211451:ita</t>
  </si>
  <si>
    <t>437081466</t>
  </si>
  <si>
    <t>ocn437081466</t>
  </si>
  <si>
    <t>3103071925B</t>
  </si>
  <si>
    <t>9781897493120</t>
  </si>
  <si>
    <t>794785373</t>
  </si>
  <si>
    <t>PQ4049 P37 2005</t>
  </si>
  <si>
    <t>0                      PQ 4049000P  37          2005</t>
  </si>
  <si>
    <t>Migration Italy : the art of talking back in a destination culture / Graziella Parati.</t>
  </si>
  <si>
    <t>Parati, Graziella.</t>
  </si>
  <si>
    <t>Toronto ; Buffalo : University of Toronto Press, ©2005.</t>
  </si>
  <si>
    <t>2005</t>
  </si>
  <si>
    <t>Toronto Italian studies</t>
  </si>
  <si>
    <t>2018-01-04</t>
  </si>
  <si>
    <t>364073178:eng</t>
  </si>
  <si>
    <t>59136595</t>
  </si>
  <si>
    <t>ocm59136595</t>
  </si>
  <si>
    <t>3102536915R</t>
  </si>
  <si>
    <t>9780802039248</t>
  </si>
  <si>
    <t>793927745</t>
  </si>
  <si>
    <t>PQ4050 E5 K57 1995</t>
  </si>
  <si>
    <t>0                      PQ 4050000E  5                  K  57          1995</t>
  </si>
  <si>
    <t>English and Italian literature from Dante to Shakespeare : a study of source, analogue, and divergence / Robin Kirkpatrick.</t>
  </si>
  <si>
    <t>Kirkpatrick, Robin, 1943-</t>
  </si>
  <si>
    <t>London ; New York : Longman, 1995.</t>
  </si>
  <si>
    <t>Longman medieval and Renaissance library</t>
  </si>
  <si>
    <t>2019-03-29</t>
  </si>
  <si>
    <t>32503737:eng</t>
  </si>
  <si>
    <t>30700629</t>
  </si>
  <si>
    <t>ocm30700629</t>
  </si>
  <si>
    <t>3101488215U</t>
  </si>
  <si>
    <t>9780582065598</t>
  </si>
  <si>
    <t>793342596</t>
  </si>
  <si>
    <t>PQ4050 P6 D48 2013</t>
  </si>
  <si>
    <t>0                      PQ 4050000P  6                  D  48          2013</t>
  </si>
  <si>
    <t>Le devenir postmoderne : la sensibilité postmoderne dans les littératures italienne et portugaise / Ana Maria Binet &amp; Martine Bovo Romoeuf (dir.).</t>
  </si>
  <si>
    <t>Bruxelles : P.I.E. Peter Lang, [2013]</t>
  </si>
  <si>
    <t>Moving texts ; no 5</t>
  </si>
  <si>
    <t>1791426733:fre</t>
  </si>
  <si>
    <t>879204684</t>
  </si>
  <si>
    <t>ocn879204684</t>
  </si>
  <si>
    <t>3103516951M</t>
  </si>
  <si>
    <t>9782875741240</t>
  </si>
  <si>
    <t>794971809</t>
  </si>
  <si>
    <t>PQ4051.5 B75 2015</t>
  </si>
  <si>
    <t>0                      PQ 4051500B  75          2015</t>
  </si>
  <si>
    <t>The Somali within : language, race and belonging in minor Italian literature / Simone Brioni.</t>
  </si>
  <si>
    <t>Brioni, Simone, author.</t>
  </si>
  <si>
    <t>Cambridge : Legenda, Modern Humanities Research Association and Maney Publishing, 2015.</t>
  </si>
  <si>
    <t>Italian perspectives, 1464-1879 ; 33</t>
  </si>
  <si>
    <t>2296242248:eng</t>
  </si>
  <si>
    <t>903424813</t>
  </si>
  <si>
    <t>ocn903424813</t>
  </si>
  <si>
    <t>31036988513</t>
  </si>
  <si>
    <t>9781909662643</t>
  </si>
  <si>
    <t>794989120</t>
  </si>
  <si>
    <t>PQ4051.5 C66 2010</t>
  </si>
  <si>
    <t>0                      PQ 4051500C  66          2010</t>
  </si>
  <si>
    <t>Scrivere nella lingua dell'altro : la letteratura degli immigrati in Italia (1989-2007) / Daniele Comberiati.</t>
  </si>
  <si>
    <t>Comberiati, Daniele, 1979-</t>
  </si>
  <si>
    <t>Bruxelles : Peter Lang, 2010.</t>
  </si>
  <si>
    <t>Destini incrociati ; no 2</t>
  </si>
  <si>
    <t>2017-12-04</t>
  </si>
  <si>
    <t>793286812:ita</t>
  </si>
  <si>
    <t>700399708</t>
  </si>
  <si>
    <t>ocn700399708</t>
  </si>
  <si>
    <t>3103653957$</t>
  </si>
  <si>
    <t>9789052015972</t>
  </si>
  <si>
    <t>794862017</t>
  </si>
  <si>
    <t>PQ4051.5 M46 2013</t>
  </si>
  <si>
    <t>0                      PQ 4051500M  46          2013</t>
  </si>
  <si>
    <t>Narrazioni contese : vent'anni di scritture italiane della migrazione / Chiara Mengozzi.</t>
  </si>
  <si>
    <t>Mengozzi, Chiara.</t>
  </si>
  <si>
    <t>Roma : Carocci, 2013.</t>
  </si>
  <si>
    <t>Lingue e letterature Carocci ; 156</t>
  </si>
  <si>
    <t>1784250530:ita</t>
  </si>
  <si>
    <t>841181024</t>
  </si>
  <si>
    <t>ocn841181024</t>
  </si>
  <si>
    <t>31035567724</t>
  </si>
  <si>
    <t>9788843069323</t>
  </si>
  <si>
    <t>794946552</t>
  </si>
  <si>
    <t>PQ4051.5 M67 2012</t>
  </si>
  <si>
    <t>0                      PQ 4051500M  67          2012</t>
  </si>
  <si>
    <t>Letteratura-mondo italiana / Rosanna Morace.</t>
  </si>
  <si>
    <t>Morace, Rosanna, 1980-</t>
  </si>
  <si>
    <t>Pisa : ETS, ©2012.</t>
  </si>
  <si>
    <t>La modernità letteraria ; 36</t>
  </si>
  <si>
    <t>2014-08-19</t>
  </si>
  <si>
    <t>1182626611:ita</t>
  </si>
  <si>
    <t>818724890</t>
  </si>
  <si>
    <t>ocn818724890</t>
  </si>
  <si>
    <t>31031259852</t>
  </si>
  <si>
    <t>9788846734020</t>
  </si>
  <si>
    <t>794934101</t>
  </si>
  <si>
    <t>PQ4053 A55 S57 2010</t>
  </si>
  <si>
    <t>0                      PQ 4053000A  55                 S  57          2010</t>
  </si>
  <si>
    <t>Storie e immagini di animali nella letteratura italiana / Pietro Sisto.</t>
  </si>
  <si>
    <t>v. 1</t>
  </si>
  <si>
    <t>Sisto, Pietro.</t>
  </si>
  <si>
    <t>Pisa : F. Serra, 2010-&lt;2015 &gt;</t>
  </si>
  <si>
    <t>Biblioteca di "Paratesto", 1828-8693 ; 7, 11</t>
  </si>
  <si>
    <t>2768049645:ita</t>
  </si>
  <si>
    <t>927103445</t>
  </si>
  <si>
    <t>ocn927103445</t>
  </si>
  <si>
    <t>3103125227Z</t>
  </si>
  <si>
    <t>9788862272490</t>
  </si>
  <si>
    <t>795005609</t>
  </si>
  <si>
    <t>PQ4053.A55 S57 2010</t>
  </si>
  <si>
    <t>standing order: v.2-</t>
  </si>
  <si>
    <t>B001377882</t>
  </si>
  <si>
    <t>795005608</t>
  </si>
  <si>
    <t>PQ4053 A55 S588 2015</t>
  </si>
  <si>
    <t>0                      PQ 4053000A  55                 S  588         2015</t>
  </si>
  <si>
    <t>L'asino con la rosa in mano : storie e immagini di animali nella letteratura italiana II / Pietro Sisto.</t>
  </si>
  <si>
    <t>Pisa : Fabrizio Serra editore, 2015.</t>
  </si>
  <si>
    <t>Biblioteca di "paratesto" ; 11</t>
  </si>
  <si>
    <t>2593246845:ita</t>
  </si>
  <si>
    <t>927407034</t>
  </si>
  <si>
    <t>ocn927407034</t>
  </si>
  <si>
    <t>3103190690V</t>
  </si>
  <si>
    <t>9788862277600</t>
  </si>
  <si>
    <t>795005895</t>
  </si>
  <si>
    <t>PQ4053 A55 T48 2014</t>
  </si>
  <si>
    <t>0                      PQ 4053000A  55                 T  48          2014</t>
  </si>
  <si>
    <t>Thinking Italian animals : human and posthuman in modern Italian literature and film / edited by Deborah Amberson and Elena Past.</t>
  </si>
  <si>
    <t>New York : Palgrave Macmillan, 2014.</t>
  </si>
  <si>
    <t>2016-04-05</t>
  </si>
  <si>
    <t>2038679715:eng</t>
  </si>
  <si>
    <t>881064280</t>
  </si>
  <si>
    <t>ocn881064280</t>
  </si>
  <si>
    <t>3103653449I</t>
  </si>
  <si>
    <t>9781137454751</t>
  </si>
  <si>
    <t>794973748</t>
  </si>
  <si>
    <t>PQ4053 A68 C66 2012</t>
  </si>
  <si>
    <t>0                      PQ 4053000A  68                 C  66          2012</t>
  </si>
  <si>
    <t>Faber in fabula : casi di intertestualità artistica nella letteratura italiana / a cura di Ulla Musarra-Schrøder e Franco Musarra.</t>
  </si>
  <si>
    <t>Congresso A.I.P.I. (20th : 2012 : Salzburg, Austria)</t>
  </si>
  <si>
    <t>Firenze : Franco Cesati editore, [2014]</t>
  </si>
  <si>
    <t>Civiltà italiana ; terza serie, 2</t>
  </si>
  <si>
    <t>2057684668:ita</t>
  </si>
  <si>
    <t>874573326</t>
  </si>
  <si>
    <t>ocn874573326</t>
  </si>
  <si>
    <t>3103126414R</t>
  </si>
  <si>
    <t>9788876674778</t>
  </si>
  <si>
    <t>794968908</t>
  </si>
  <si>
    <t>PQ4053 A7 A78 2014</t>
  </si>
  <si>
    <t>0                      PQ 4053000A  7                  A  78          2014</t>
  </si>
  <si>
    <t>The Arthur of the Italians : the Arthurian legend in medieval Italian literature and culture / edited by Gloria Allaire and F. Regina Psaki.</t>
  </si>
  <si>
    <t>Cardiff : University of Wales Press, 2014.</t>
  </si>
  <si>
    <t>Arthurian literature in the Middle Ages ; VII</t>
  </si>
  <si>
    <t>2017-09-14</t>
  </si>
  <si>
    <t>1861822732:eng</t>
  </si>
  <si>
    <t>872415850</t>
  </si>
  <si>
    <t>ocn872415850</t>
  </si>
  <si>
    <t>3103531863X</t>
  </si>
  <si>
    <t>9781783160501</t>
  </si>
  <si>
    <t>794968095</t>
  </si>
  <si>
    <t>PQ4053 A7 G3 1971</t>
  </si>
  <si>
    <t>0                      PQ 4053000A  7                  G  3           1971</t>
  </si>
  <si>
    <t>The Arthurian legend in Italian literature.</t>
  </si>
  <si>
    <t>Gardner, Edmund G., 1869-1935.</t>
  </si>
  <si>
    <t>New York, Octagon Books, 1971.</t>
  </si>
  <si>
    <t>762885:eng</t>
  </si>
  <si>
    <t>146642</t>
  </si>
  <si>
    <t>ocm00146642</t>
  </si>
  <si>
    <t>3000613485Z</t>
  </si>
  <si>
    <t>9780374929992</t>
  </si>
  <si>
    <t>791271789</t>
  </si>
  <si>
    <t>PQ4053 B53 C66 2009</t>
  </si>
  <si>
    <t>0                      PQ 4053000B  53                 C  66          2009</t>
  </si>
  <si>
    <t>Gli scrittori italiani e la Bibbia : atti del Convegno di Portogruaro, 21-22 ottobre 2009 / a cura di Tiziana Piras.</t>
  </si>
  <si>
    <t>Convegno Gli scrittori italiani e la Bibbia (2009 : Portogruaro, Italy)</t>
  </si>
  <si>
    <t>Trieste : EUT, Edizioni Università di Trieste, ©2011.</t>
  </si>
  <si>
    <t>2013-09-21</t>
  </si>
  <si>
    <t>950401161:ita</t>
  </si>
  <si>
    <t>742505206</t>
  </si>
  <si>
    <t>ocn742505206</t>
  </si>
  <si>
    <t>3103125502U</t>
  </si>
  <si>
    <t>9788883033223</t>
  </si>
  <si>
    <t>794884988</t>
  </si>
  <si>
    <t>PQ4053 B64 B63 2010</t>
  </si>
  <si>
    <t>0                      PQ 4053000B  64                 B  63          2010</t>
  </si>
  <si>
    <t>The body in early modern Italy / edited by Julia L. Hairston and Walter Stephens.</t>
  </si>
  <si>
    <t>Baltimore : Johns Hopkins University Press, 2010.</t>
  </si>
  <si>
    <t>2019-11-08</t>
  </si>
  <si>
    <t>364637348:eng</t>
  </si>
  <si>
    <t>320697462</t>
  </si>
  <si>
    <t>ocn320697462</t>
  </si>
  <si>
    <t>31031563517</t>
  </si>
  <si>
    <t>9780801894145</t>
  </si>
  <si>
    <t>794486778</t>
  </si>
  <si>
    <t>PQ4053 C495 S77 2014</t>
  </si>
  <si>
    <t>0                      PQ 4053000C  495                S  77          2014</t>
  </si>
  <si>
    <t>La Spagna nella letteratura cavalleresca italiana / Franca Strologo.</t>
  </si>
  <si>
    <t>Strologo, Franca.</t>
  </si>
  <si>
    <t>Roma ; Padova : Editrice Antenore, 2014.</t>
  </si>
  <si>
    <t>Medioevo e umanesimo ; 119</t>
  </si>
  <si>
    <t>2014-11-13</t>
  </si>
  <si>
    <t>2208502837:ita</t>
  </si>
  <si>
    <t>893612111</t>
  </si>
  <si>
    <t>ocn893612111</t>
  </si>
  <si>
    <t>3103589864D</t>
  </si>
  <si>
    <t>9788884556837</t>
  </si>
  <si>
    <t>794981771</t>
  </si>
  <si>
    <t>PQ4053 C55 C58 2012</t>
  </si>
  <si>
    <t>0                      PQ 4053000C  55                 C  58          2012</t>
  </si>
  <si>
    <t>La città e l'esperienza del moderno / a cura di Mario Barenghi, Giuseppe Langella, Gianni Turchetta.</t>
  </si>
  <si>
    <t>Società italiana per lo studio della modernità letteraria. Convegno annuale (2010 : Milan, Italy)</t>
  </si>
  <si>
    <t>Pisa : Edizioni ETS, [2012]</t>
  </si>
  <si>
    <t>La modernità letteraria ; 32</t>
  </si>
  <si>
    <t>3375920703:ita</t>
  </si>
  <si>
    <t>805054399</t>
  </si>
  <si>
    <t>ocn805054399</t>
  </si>
  <si>
    <t>31031258913</t>
  </si>
  <si>
    <t>9788846733139</t>
  </si>
  <si>
    <t>794926171</t>
  </si>
  <si>
    <t>31031258895</t>
  </si>
  <si>
    <t>794926173</t>
  </si>
  <si>
    <t>31031258903</t>
  </si>
  <si>
    <t>794926172</t>
  </si>
  <si>
    <t>PQ4053 C63 P38 2015</t>
  </si>
  <si>
    <t>0                      PQ 4053000C  63                 P  38          2015</t>
  </si>
  <si>
    <t>Cortesi e scortesi : percorsi di pragmatica storica da Castiglione a Collodi / Annick Paternoster.</t>
  </si>
  <si>
    <t>Paternoster, Annick, author.</t>
  </si>
  <si>
    <t>Roma : Carocci editore, marzo 2015.</t>
  </si>
  <si>
    <t>1a edizione.</t>
  </si>
  <si>
    <t>Lingue e letterature Carocci ; 191</t>
  </si>
  <si>
    <t>2531122864:ita</t>
  </si>
  <si>
    <t>909284933</t>
  </si>
  <si>
    <t>ocn909284933</t>
  </si>
  <si>
    <t>31036285764</t>
  </si>
  <si>
    <t>9788843075409</t>
  </si>
  <si>
    <t>794995380</t>
  </si>
  <si>
    <t>PQ4053 D38 G54 1995</t>
  </si>
  <si>
    <t>0                      PQ 4053000D  38                 G  54          1995</t>
  </si>
  <si>
    <t>La morte nella letteratura italiana : Poliziano, Ariosto, Tasso, Ciro di Pers, Leopardi / Michele Pietro Ghezzo ; con un'appendice su Il gattopardo di Francesca Masi ; Genesi e fonetica di Amore e morte di Martina Zamprogna.</t>
  </si>
  <si>
    <t>Ghezzo, Michele Pietro.</t>
  </si>
  <si>
    <t>Padova : UNIPRESS, 1995.</t>
  </si>
  <si>
    <t>2016-12-09</t>
  </si>
  <si>
    <t>39708723:ita</t>
  </si>
  <si>
    <t>34137464</t>
  </si>
  <si>
    <t>ocm34137464</t>
  </si>
  <si>
    <t>3101493580Q</t>
  </si>
  <si>
    <t>9788880980070</t>
  </si>
  <si>
    <t>793420001</t>
  </si>
  <si>
    <t>PQ4053 D4 P45 2013</t>
  </si>
  <si>
    <t>0                      PQ 4053000D  4                  P  45          2013</t>
  </si>
  <si>
    <t>Il grande sonno : immagini della morte in Verga, De Roberto, Pirandello, Tomasi di Lampedusa, Sciascia, Bufalino / Ernestina Pellegrini ; con un percorso fotografico di Cecilia Tosques.</t>
  </si>
  <si>
    <t>Pellegrini, Ernestina, 1951-</t>
  </si>
  <si>
    <t>Firenze : Florence Art Edizioni, [2013]</t>
  </si>
  <si>
    <t>Saggi e ricerche</t>
  </si>
  <si>
    <t>1746025648:ita</t>
  </si>
  <si>
    <t>841762379</t>
  </si>
  <si>
    <t>ocn841762379</t>
  </si>
  <si>
    <t>3103126231T</t>
  </si>
  <si>
    <t>9788895631837</t>
  </si>
  <si>
    <t>794947136</t>
  </si>
  <si>
    <t>PQ4053 D7 C66 2006</t>
  </si>
  <si>
    <t>0                      PQ 4053000D  7                  C  66          2006</t>
  </si>
  <si>
    <t>I sogni e la scienza nella letteratura italiana : atti del Convegno di Siena, 16-18 novembre 2006 / a cura di Natascia Tonelli.</t>
  </si>
  <si>
    <t>Convegno su "I sogni e la scienza nella letteratura italiana" (2006 : Siena, Italy)</t>
  </si>
  <si>
    <t>Ospedaletto (Pisa) : Pacini, ©2008.</t>
  </si>
  <si>
    <t>Testi e culture in Europa ; 2</t>
  </si>
  <si>
    <t>2017-03-17</t>
  </si>
  <si>
    <t>891826701:ita</t>
  </si>
  <si>
    <t>262884582</t>
  </si>
  <si>
    <t>ocn262884582</t>
  </si>
  <si>
    <t>3103041197$</t>
  </si>
  <si>
    <t>9788877819598</t>
  </si>
  <si>
    <t>794402504</t>
  </si>
  <si>
    <t>PQ4053 E74 N46 2016</t>
  </si>
  <si>
    <t>0                      PQ 4053000E  74                 N  46          2016</t>
  </si>
  <si>
    <t>La prosa dell'ermetismo : caratteri e esemplari / Francesca Nencioni.</t>
  </si>
  <si>
    <t>Nencioni, Francesca, author.</t>
  </si>
  <si>
    <t>Firenze, Italy : Firenze University Press, [2016]</t>
  </si>
  <si>
    <t>Premio Ricerca "Città di Firenze" ; 52</t>
  </si>
  <si>
    <t>4049643071:ita</t>
  </si>
  <si>
    <t>970769230</t>
  </si>
  <si>
    <t>ocn970769230</t>
  </si>
  <si>
    <t>31037161607</t>
  </si>
  <si>
    <t>9788864533643</t>
  </si>
  <si>
    <t>795027824</t>
  </si>
  <si>
    <t>PQ4053 F36 C46 2010</t>
  </si>
  <si>
    <t>0                      PQ 4053000F  36                 C  46          2010</t>
  </si>
  <si>
    <t>Lo specchio infranto : la relazione tra padre e figlia in alcune scrittrici italiane contemporanee / Saveria Chemotti.</t>
  </si>
  <si>
    <t>Chemotti, Saveria, 1947-</t>
  </si>
  <si>
    <t>Padova : Il poligrafo, ©2010.</t>
  </si>
  <si>
    <t>Soggetti rivelati ; 28</t>
  </si>
  <si>
    <t>457816847:ita</t>
  </si>
  <si>
    <t>587030152</t>
  </si>
  <si>
    <t>ocn587030152</t>
  </si>
  <si>
    <t>31031249974</t>
  </si>
  <si>
    <t>9788871156811</t>
  </si>
  <si>
    <t>794814268</t>
  </si>
  <si>
    <t>PQ4053 F58 P36 2013</t>
  </si>
  <si>
    <t>0                      PQ 4053000F  58                 P  36          2013</t>
  </si>
  <si>
    <t>Savoring power, consuming the times : the metaphors of food in medieval and Renaissance Italian literature / Pina Palma.</t>
  </si>
  <si>
    <t>Palma, Pina.</t>
  </si>
  <si>
    <t>Notre Dame, Indiana : University of Notre Dame Press, [2013]</t>
  </si>
  <si>
    <t>1333398328:eng</t>
  </si>
  <si>
    <t>826859580</t>
  </si>
  <si>
    <t>ocn826859580</t>
  </si>
  <si>
    <t>3103529416S</t>
  </si>
  <si>
    <t>9780268038397</t>
  </si>
  <si>
    <t>794939449</t>
  </si>
  <si>
    <t>PQ4053 F58 T33 2010</t>
  </si>
  <si>
    <t>0                      PQ 4053000F  58                 T  33          2010</t>
  </si>
  <si>
    <t>Table talk : perspectives on food in medieval Italian literature / edited by Christiana Purdy Moudarres.</t>
  </si>
  <si>
    <t>Northeast Modern Language Association (U.S.). Conference (2009 : Boston)</t>
  </si>
  <si>
    <t>Newcastle upon Tyne : Cambridge Scholars, 2010.</t>
  </si>
  <si>
    <t>2019-02-23</t>
  </si>
  <si>
    <t>999655450:eng</t>
  </si>
  <si>
    <t>666718210</t>
  </si>
  <si>
    <t>ocn666718210</t>
  </si>
  <si>
    <t>31032347753</t>
  </si>
  <si>
    <t>9781443825115</t>
  </si>
  <si>
    <t>794845332</t>
  </si>
  <si>
    <t>PQ4053 F6 C65 2013</t>
  </si>
  <si>
    <t>0                      PQ 4053000F  6                  C  65          2013</t>
  </si>
  <si>
    <t>Fortuna : atti del quinto Colloquio internazionale di Letteratura italiana : Università degli studi Suor Orsola Benincasa, Napoli, 2-3 maggio 2013 / a cura di Silvia Zoppi Garampi.</t>
  </si>
  <si>
    <t>Colloquio internazionale di letteratura italiana (5th : 2013 : Naples, Italy)</t>
  </si>
  <si>
    <t>Studi e saggi ; 57</t>
  </si>
  <si>
    <t>4138628163:ita</t>
  </si>
  <si>
    <t>981219053</t>
  </si>
  <si>
    <t>ocn981219053</t>
  </si>
  <si>
    <t>31037942521</t>
  </si>
  <si>
    <t>9788869731372</t>
  </si>
  <si>
    <t>795033949</t>
  </si>
  <si>
    <t>PQ4053 F87 D34 2016</t>
  </si>
  <si>
    <t>0                      PQ 4053000F  87                 D  34          2016</t>
  </si>
  <si>
    <t>Italian futurism and the First World War / Selena Daly.</t>
  </si>
  <si>
    <t>Daly, Selena, author.</t>
  </si>
  <si>
    <t>Toronto ; Buffalo ; London : University of Toronto Press, 2016.</t>
  </si>
  <si>
    <t>3029521373:eng</t>
  </si>
  <si>
    <t>950057060</t>
  </si>
  <si>
    <t>ocn950057060</t>
  </si>
  <si>
    <t>3103646426L</t>
  </si>
  <si>
    <t>9781442649064</t>
  </si>
  <si>
    <t>795016533</t>
  </si>
  <si>
    <t>PQ4053 F87 F47 2016</t>
  </si>
  <si>
    <t>0                      PQ 4053000F  87                 F  47          2016</t>
  </si>
  <si>
    <t>Futurismo come prefascismo : emozione contro ragione : il filo rosso della storia italiana / Franco Ferrarotti.</t>
  </si>
  <si>
    <t>Ferrarotti, Franco, author.</t>
  </si>
  <si>
    <t>Chieti : Solfanelli, [2016]</t>
  </si>
  <si>
    <t>Intervento ; 19</t>
  </si>
  <si>
    <t>3086823001:ita</t>
  </si>
  <si>
    <t>950888925</t>
  </si>
  <si>
    <t>ocn950888925</t>
  </si>
  <si>
    <t>3103663031A</t>
  </si>
  <si>
    <t>9788874979509</t>
  </si>
  <si>
    <t>795016868</t>
  </si>
  <si>
    <t>PQ4053 F87 F56 2014</t>
  </si>
  <si>
    <t>0                      PQ 4053000F  87                 F  56          2014</t>
  </si>
  <si>
    <t>I Futuristi e la Grande Guerra / Roberto Floreani.</t>
  </si>
  <si>
    <t>Floreani, Roberto, 1956- author.</t>
  </si>
  <si>
    <t>Pasian di Prato (UD) Italia : Campanotto editore, [2014]</t>
  </si>
  <si>
    <t>Baléni ; 4</t>
  </si>
  <si>
    <t>2588665205:ita</t>
  </si>
  <si>
    <t>908688032</t>
  </si>
  <si>
    <t>ocn908688032</t>
  </si>
  <si>
    <t>3103628551K</t>
  </si>
  <si>
    <t>9788845614460</t>
  </si>
  <si>
    <t>794994986</t>
  </si>
  <si>
    <t>PQ4053 F87 S25 2012</t>
  </si>
  <si>
    <t>0                      PQ 4053000F  87                 S  25          2012</t>
  </si>
  <si>
    <t>Riviste futuriste : collezione Echaurren Salaris / Claudia Salaris.</t>
  </si>
  <si>
    <t>Salaris, Claudia.</t>
  </si>
  <si>
    <t>Roma : Fondazione Echaurren Salaris ; Pistoia : Gli Ori, ©2012.</t>
  </si>
  <si>
    <t>1216684225:ita</t>
  </si>
  <si>
    <t>833395706</t>
  </si>
  <si>
    <t>ocn833395706</t>
  </si>
  <si>
    <t>31035061966</t>
  </si>
  <si>
    <t>9788873364696</t>
  </si>
  <si>
    <t>794944172</t>
  </si>
  <si>
    <t>PQ4053 F87 S53 2016</t>
  </si>
  <si>
    <t>0                      PQ 4053000F  87                 S  53          2016</t>
  </si>
  <si>
    <t>Futurist women : Florence, feminism and the new sciences / Paola Sica.</t>
  </si>
  <si>
    <t>Sica, Paola, 1961- author.</t>
  </si>
  <si>
    <t>Basingstoke, Hampshire : Palgrave Macmillan, 2016.</t>
  </si>
  <si>
    <t>Palgrave studies in modern European literature</t>
  </si>
  <si>
    <t>2809804151:eng</t>
  </si>
  <si>
    <t>930301356</t>
  </si>
  <si>
    <t>ocn930301356</t>
  </si>
  <si>
    <t>31036541171</t>
  </si>
  <si>
    <t>9781137508034</t>
  </si>
  <si>
    <t>795007016</t>
  </si>
  <si>
    <t>PQ4053 H35 M33 2011</t>
  </si>
  <si>
    <t>0                      PQ 4053000H  35                 M  33          2011</t>
  </si>
  <si>
    <t>"Erano i capei d'oro a l'aura sparsi" : metamorfosi delle chiome femminili tra Petrarca e Tasso / Alessandra Paola Macinante.</t>
  </si>
  <si>
    <t>Macinante, Alessandra Paola.</t>
  </si>
  <si>
    <t>Roma : Salerno Editrice, [2011]</t>
  </si>
  <si>
    <t>Quaderni di "Filologia e critica" ; 23</t>
  </si>
  <si>
    <t>1176284884:ita</t>
  </si>
  <si>
    <t>788360769</t>
  </si>
  <si>
    <t>ocn788360769</t>
  </si>
  <si>
    <t>3103125825H</t>
  </si>
  <si>
    <t>9788884027375</t>
  </si>
  <si>
    <t>794916459</t>
  </si>
  <si>
    <t>PQ4053 H57 L63 2011</t>
  </si>
  <si>
    <t>0                      PQ 4053000H  57                 L  63          2011</t>
  </si>
  <si>
    <t>A local habitation and a name : imagining histories in the Italian renaissance / Albert Russell Ascoli.</t>
  </si>
  <si>
    <t>Ascoli, Albert Russell, 1953-</t>
  </si>
  <si>
    <t>New York : Fordham University Press, 2011.</t>
  </si>
  <si>
    <t>2014-08-15</t>
  </si>
  <si>
    <t>767724475:eng</t>
  </si>
  <si>
    <t>694832801</t>
  </si>
  <si>
    <t>ocn694832801</t>
  </si>
  <si>
    <t>3103383570J</t>
  </si>
  <si>
    <t>9780823234288</t>
  </si>
  <si>
    <t>794858000</t>
  </si>
  <si>
    <t>PQ4053 L36 P34 2015</t>
  </si>
  <si>
    <t>0                      PQ 4053000L  36                 P  34          2015</t>
  </si>
  <si>
    <t>The making and unmaking of Mediterranean landscape in Italian literature : the case of Liguria / Tullio Pagano.</t>
  </si>
  <si>
    <t>Pagano, Tullio, author.</t>
  </si>
  <si>
    <t>Madison [New Jersey] : Fairleigh Dickinson University Press, [2015]</t>
  </si>
  <si>
    <t>The Fairleigh Dickinson University Press series in Italian studies</t>
  </si>
  <si>
    <t>2615858508:eng</t>
  </si>
  <si>
    <t>903675135</t>
  </si>
  <si>
    <t>ocn903675135</t>
  </si>
  <si>
    <t>31036101550</t>
  </si>
  <si>
    <t>9781611476392</t>
  </si>
  <si>
    <t>794989609</t>
  </si>
  <si>
    <t>PQ4053 M315 P53 2015</t>
  </si>
  <si>
    <t>0                      PQ 4053000M  315                P  53          2015</t>
  </si>
  <si>
    <t>The Mafia in Italian lives and literature : life sentences and their geographies / Robin Pickering-Iazzi.</t>
  </si>
  <si>
    <t>Pickering-Iazzi, Robin, author.</t>
  </si>
  <si>
    <t>Toronto ; Buffalo ; London : University of Toronto Press, [2015]</t>
  </si>
  <si>
    <t>Cultural spaces</t>
  </si>
  <si>
    <t>2501952944:eng</t>
  </si>
  <si>
    <t>907661855</t>
  </si>
  <si>
    <t>ocn907661855</t>
  </si>
  <si>
    <t>3103644574G</t>
  </si>
  <si>
    <t>9781442631892</t>
  </si>
  <si>
    <t>794993784</t>
  </si>
  <si>
    <t>PQ4053 M56 I55 2012</t>
  </si>
  <si>
    <t>0                      PQ 4053000M  56                 I  55          2012</t>
  </si>
  <si>
    <t>Per speculum : da Dante al Novecento / Giovanna Ioli ; con un saggio introduttivo di Claudio Magris.</t>
  </si>
  <si>
    <t>Ioli, Giovanna.</t>
  </si>
  <si>
    <t>Milano : Jaca Book, 2012.</t>
  </si>
  <si>
    <t>Di fronte e attraverso ; 1061</t>
  </si>
  <si>
    <t>1124056293:ita</t>
  </si>
  <si>
    <t>798609717</t>
  </si>
  <si>
    <t>ocn798609717</t>
  </si>
  <si>
    <t>3103125942A</t>
  </si>
  <si>
    <t>9788816411616</t>
  </si>
  <si>
    <t>794923794</t>
  </si>
  <si>
    <t>PQ4053 M85 M65 2015</t>
  </si>
  <si>
    <t>0                      PQ 4053000M  85                 M  65          2015</t>
  </si>
  <si>
    <t>L'infinito sotto casa : letteratura e transculturalità nell'Italia contemporanea / Nora Moll.</t>
  </si>
  <si>
    <t>Moll, Nora, author.</t>
  </si>
  <si>
    <t>Bologna : Pàtron editore, 2015.</t>
  </si>
  <si>
    <t>Letteraria ; 1</t>
  </si>
  <si>
    <t>2550893471:ita</t>
  </si>
  <si>
    <t>905553143</t>
  </si>
  <si>
    <t>ocn905553143</t>
  </si>
  <si>
    <t>3103623638X</t>
  </si>
  <si>
    <t>9788855533027</t>
  </si>
  <si>
    <t>794991561</t>
  </si>
  <si>
    <t>PQ4053 N29 G34 2011</t>
  </si>
  <si>
    <t>0                      PQ 4053000N  29                 G  34          2011</t>
  </si>
  <si>
    <t>Irresistible signs : the genius of language and Italian national identity / Paola Gambarota.</t>
  </si>
  <si>
    <t>Gambarota, Paola.</t>
  </si>
  <si>
    <t>Toronto : University of Toronto Press, ©2011.</t>
  </si>
  <si>
    <t>Toronto Italian studies series</t>
  </si>
  <si>
    <t>2014-03-23</t>
  </si>
  <si>
    <t>684756051:eng</t>
  </si>
  <si>
    <t>669242359</t>
  </si>
  <si>
    <t>ocn669242359</t>
  </si>
  <si>
    <t>31032681122</t>
  </si>
  <si>
    <t>9781442642980</t>
  </si>
  <si>
    <t>794846861</t>
  </si>
  <si>
    <t>PQ4053 N29 S53 2012</t>
  </si>
  <si>
    <t>0                      PQ 4053000N  29                 S  53          2012</t>
  </si>
  <si>
    <t>Shaping an identity : adapting, rewriting and remaking Italian literature / edited by Pamela Arancibia ... [et al.].</t>
  </si>
  <si>
    <t>Ottawa : Legas, c2012.</t>
  </si>
  <si>
    <t>Language, media &amp; education studies ; 53</t>
  </si>
  <si>
    <t>2015-02-26</t>
  </si>
  <si>
    <t>1117994009:eng</t>
  </si>
  <si>
    <t>794618837</t>
  </si>
  <si>
    <t>ocn794618837</t>
  </si>
  <si>
    <t>3103402298P</t>
  </si>
  <si>
    <t>9781897493359</t>
  </si>
  <si>
    <t>794920178</t>
  </si>
  <si>
    <t>PQ4053 O46 F33 2012</t>
  </si>
  <si>
    <t>0                      PQ 4053000O  46                 F  33          2012</t>
  </si>
  <si>
    <t>Naso d'autore : l'odorato nella cultura e nella storia letteraria italiana / Maria Chiara Fabbian.</t>
  </si>
  <si>
    <t>Fabbian, Chiara, author.</t>
  </si>
  <si>
    <t>Ravenna : Longo, 2012.</t>
  </si>
  <si>
    <t>L'interprete ; 102</t>
  </si>
  <si>
    <t>1090059021:ita</t>
  </si>
  <si>
    <t>780946797</t>
  </si>
  <si>
    <t>ocn780946797</t>
  </si>
  <si>
    <t>3103125701O</t>
  </si>
  <si>
    <t>9788880636977</t>
  </si>
  <si>
    <t>794912410</t>
  </si>
  <si>
    <t>PQ4053 P37 C37 2011</t>
  </si>
  <si>
    <t>0                      PQ 4053000P  37                 C  37          2011</t>
  </si>
  <si>
    <t>Parodiae libertas : sulla parodia italiana nel Cinquecento / Nicola Catelli.</t>
  </si>
  <si>
    <t>Catelli, Nicola, 1977-</t>
  </si>
  <si>
    <t>Critica letteraria e linguistica ; 82</t>
  </si>
  <si>
    <t>1019343781:ita</t>
  </si>
  <si>
    <t>755700579</t>
  </si>
  <si>
    <t>ocn755700579</t>
  </si>
  <si>
    <t>3103125561I</t>
  </si>
  <si>
    <t>9788856839036</t>
  </si>
  <si>
    <t>794893908</t>
  </si>
  <si>
    <t>PQ4053 P46 E55 2015</t>
  </si>
  <si>
    <t>0                      PQ 4053000P  46                 E  55          2015</t>
  </si>
  <si>
    <t>Enlightening encounters : photography in Italian literature / edited by Giorgia Alù and Nancy Pedri.</t>
  </si>
  <si>
    <t>2016-04-20</t>
  </si>
  <si>
    <t>2255880523:eng</t>
  </si>
  <si>
    <t>888557637</t>
  </si>
  <si>
    <t>ocn888557637</t>
  </si>
  <si>
    <t>3103495953T</t>
  </si>
  <si>
    <t>9781442648074</t>
  </si>
  <si>
    <t>794978127</t>
  </si>
  <si>
    <t>PQ4053 P53 T73 2018</t>
  </si>
  <si>
    <t>0                      PQ 4053000P  53                 T  73          2018</t>
  </si>
  <si>
    <t>The theme of the plague in Italian letters / Vincenzo Traversa.</t>
  </si>
  <si>
    <t>Traversa, Vincenzo, 1923- author.</t>
  </si>
  <si>
    <t>New York : Peter Lang, [2018]</t>
  </si>
  <si>
    <t>Currents in comparative Romance languages and literatures ; vol. 253</t>
  </si>
  <si>
    <t>2020-01-13</t>
  </si>
  <si>
    <t>5404671449:eng</t>
  </si>
  <si>
    <t>1050143663</t>
  </si>
  <si>
    <t>on1050143663</t>
  </si>
  <si>
    <t>3103808621N</t>
  </si>
  <si>
    <t>TRANSIT</t>
  </si>
  <si>
    <t>9781433151521</t>
  </si>
  <si>
    <t>795061359</t>
  </si>
  <si>
    <t>PQ4053 P67 P87 2011</t>
  </si>
  <si>
    <t>0                      PQ 4053000P  67                 P  87          2011</t>
  </si>
  <si>
    <t>Scrittori polemisti : Pasolini, Sciascia, Arbasino, Testori, Eco / Bruno Pischedda.</t>
  </si>
  <si>
    <t>Pischedda, Bruno, 1956-</t>
  </si>
  <si>
    <t>Torino : Bollati Boringhieri, 2011.</t>
  </si>
  <si>
    <t>Temi ; 213</t>
  </si>
  <si>
    <t>9021429705:ita</t>
  </si>
  <si>
    <t>724303072</t>
  </si>
  <si>
    <t>ocn724303072</t>
  </si>
  <si>
    <t>3103125454N</t>
  </si>
  <si>
    <t>9788833922409</t>
  </si>
  <si>
    <t>794876291</t>
  </si>
  <si>
    <t>PQ4053 P74 B65 2010</t>
  </si>
  <si>
    <t>0                      PQ 4053000P  74                 B  65          2010</t>
  </si>
  <si>
    <t>Il cuore di cristallo : ragionamenti d'amore, poesia e ritratto nel Rinascimento / Lina Bolzoni.</t>
  </si>
  <si>
    <t>Bolzoni, Lina.</t>
  </si>
  <si>
    <t>Torino : G. Einaudi, ©2010.</t>
  </si>
  <si>
    <t>Saggi ; 914</t>
  </si>
  <si>
    <t>793794038:ita</t>
  </si>
  <si>
    <t>669907106</t>
  </si>
  <si>
    <t>ocn669907106</t>
  </si>
  <si>
    <t>31031252042</t>
  </si>
  <si>
    <t>9788806188283</t>
  </si>
  <si>
    <t>794847190</t>
  </si>
  <si>
    <t>PQ4053 P77 P76 2014</t>
  </si>
  <si>
    <t>0                      PQ 4053000P  77                 P  76          2014</t>
  </si>
  <si>
    <t>Il proverbio nella letteratura italiana dal XV al XVII secolo : atti delle giornate di studio, Università degli studi Roma Tre, Fondazione Marco Besso, Roma 5-6 dicembre 2012 / a cura di Giuseppe Crimi e Franco Pignatti.</t>
  </si>
  <si>
    <t>Manziana (Roma) : Vecchiarelli editore, [2014]</t>
  </si>
  <si>
    <t>Cinquecento. Studi ; 50 (n.s. 14)</t>
  </si>
  <si>
    <t>2498166520:ita</t>
  </si>
  <si>
    <t>914253331</t>
  </si>
  <si>
    <t>ocn914253331</t>
  </si>
  <si>
    <t>31036299242</t>
  </si>
  <si>
    <t>9788882473655</t>
  </si>
  <si>
    <t>795000016</t>
  </si>
  <si>
    <t>PQ4053 P85 I85 2001</t>
  </si>
  <si>
    <t>0                      PQ 4053000P  85                 I  85          2001</t>
  </si>
  <si>
    <t>Italian pulp fiction : the new narrative of the Giovani Cannibali writers / edited and translated by Stefania Lucamante.</t>
  </si>
  <si>
    <t>Madison [N.J.] : Fairleigh Dickinson University Press, ©2001.</t>
  </si>
  <si>
    <t>2018-03-14</t>
  </si>
  <si>
    <t>34677154:eng</t>
  </si>
  <si>
    <t>45420460</t>
  </si>
  <si>
    <t>ocm45420460</t>
  </si>
  <si>
    <t>31021347986</t>
  </si>
  <si>
    <t>9780838638927</t>
  </si>
  <si>
    <t>793671158</t>
  </si>
  <si>
    <t>PQ4053 Q47 P47 2014</t>
  </si>
  <si>
    <t>0                      PQ 4053000Q  47                 P  47          2014</t>
  </si>
  <si>
    <t>Renaissance truths : humanism, scholasticism and the search for the perfect language / by Alan R. Perreiah.</t>
  </si>
  <si>
    <t>Perreiah, Alan R., author.</t>
  </si>
  <si>
    <t>Farnham, Surrey, England ; Burlington, VT : Ashgate, [2014]</t>
  </si>
  <si>
    <t>1414849813:eng</t>
  </si>
  <si>
    <t>862399417</t>
  </si>
  <si>
    <t>ocn862399417</t>
  </si>
  <si>
    <t>3103530454E</t>
  </si>
  <si>
    <t>9781472411525</t>
  </si>
  <si>
    <t>794960338</t>
  </si>
  <si>
    <t>PQ4053 R34 C382 2017</t>
  </si>
  <si>
    <t>0                      PQ 4053000R  34                 C  382         2017</t>
  </si>
  <si>
    <t>La crudeltà dello scrittore : saggi e ineterventi / Raffaele Cavalluzzi.</t>
  </si>
  <si>
    <t>Cavalluzzi, Raffaele, author.</t>
  </si>
  <si>
    <t>Bari : Progedit, marzo 2017.</t>
  </si>
  <si>
    <t>Letterature</t>
  </si>
  <si>
    <t>4474745786:ita</t>
  </si>
  <si>
    <t>1002095233</t>
  </si>
  <si>
    <t>on1002095233</t>
  </si>
  <si>
    <t>31037209510</t>
  </si>
  <si>
    <t>9788861943322</t>
  </si>
  <si>
    <t>795040904</t>
  </si>
  <si>
    <t>PQ4053 R4 I83 2012</t>
  </si>
  <si>
    <t>0                      PQ 4053000R  4                  I  83          2012</t>
  </si>
  <si>
    <t>Letteratura italiana e religione : atti del convegno internazionale (Italian Studies - University of Toronto, 11-13 ottobre 2012) / a cura di Salvatore Bancheri e Francesco Guardiani.</t>
  </si>
  <si>
    <t>Italian Literature and Religion (Conference) (2012 : University of Toronto), author.</t>
  </si>
  <si>
    <t>Firenze : Franco Cesati editore, [2015]</t>
  </si>
  <si>
    <t>University of Toronto series. Emilio Goggio chair in Italian studies ; 1</t>
  </si>
  <si>
    <t>5623654091:ita</t>
  </si>
  <si>
    <t>929450840</t>
  </si>
  <si>
    <t>ocn929450840</t>
  </si>
  <si>
    <t>31036242379</t>
  </si>
  <si>
    <t>9788876675515</t>
  </si>
  <si>
    <t>795006545</t>
  </si>
  <si>
    <t>PQ4053 S23 R44 2016</t>
  </si>
  <si>
    <t>0                      PQ 4053000S  23                 R  44          2016</t>
  </si>
  <si>
    <t>Nel varco tra le due culture : letteratura e scienza in Italia / Stefano Redaelli.</t>
  </si>
  <si>
    <t>Redaelli, Stefano, author.</t>
  </si>
  <si>
    <t>Roma : Bulzoni editore, [2016]</t>
  </si>
  <si>
    <t>Biblioteca di cultura ; 747</t>
  </si>
  <si>
    <t>4092859046:ita</t>
  </si>
  <si>
    <t>974708741</t>
  </si>
  <si>
    <t>ocn974708741</t>
  </si>
  <si>
    <t>3103716158V</t>
  </si>
  <si>
    <t>9788868970598</t>
  </si>
  <si>
    <t>795029801</t>
  </si>
  <si>
    <t>PQ4053 S48 C66 2012</t>
  </si>
  <si>
    <t>0                      PQ 4053000S  48                 C  66          2012</t>
  </si>
  <si>
    <t>Spazio domestico e spazio quotidiano nella letteratura e nel cinema dall'Ottocento a oggi / a cura di Kathrin Ackermann e Susanne Winter.</t>
  </si>
  <si>
    <t>Civiltà italiana ; terza serie, 3</t>
  </si>
  <si>
    <t>2031541651:ita</t>
  </si>
  <si>
    <t>881825472</t>
  </si>
  <si>
    <t>ocn881825472</t>
  </si>
  <si>
    <t>3103623674T</t>
  </si>
  <si>
    <t>9788876674907</t>
  </si>
  <si>
    <t>794974830</t>
  </si>
  <si>
    <t>PQ4053 S52 C65 2012</t>
  </si>
  <si>
    <t>0                      PQ 4053000S  52                 C  65          2012</t>
  </si>
  <si>
    <t>Silenzio : atti del terzo Colloquio internazionale di letteratura italiana, Università degli studi suor Orsola Benincasa, Napoli, 2-4 ottobre 2008 / a cura di Silvia Zoppi Garampi.</t>
  </si>
  <si>
    <t>Colloquio internazionale di letteratura italiana (3rd : 2008 : Naples, Italy)</t>
  </si>
  <si>
    <t>Roma : Salerno, ©2012.</t>
  </si>
  <si>
    <t>Studi e saggi ; 50</t>
  </si>
  <si>
    <t>1171415023:ita</t>
  </si>
  <si>
    <t>812362211</t>
  </si>
  <si>
    <t>ocn812362211</t>
  </si>
  <si>
    <t>31035340952</t>
  </si>
  <si>
    <t>9788884027412</t>
  </si>
  <si>
    <t>794930930</t>
  </si>
  <si>
    <t>PQ4053 S8 R6</t>
  </si>
  <si>
    <t>0                      PQ 4053000S  8                  R  6</t>
  </si>
  <si>
    <t>The last cross : a history of the suicide theme in Italian literature / Daniel Rolfs.</t>
  </si>
  <si>
    <t>Rolfs, Daniel, author.</t>
  </si>
  <si>
    <t>Ravenna [Italy] : Longo, 1981.</t>
  </si>
  <si>
    <t>1981</t>
  </si>
  <si>
    <t>L'Interprete ; 26</t>
  </si>
  <si>
    <t>2017-09-17</t>
  </si>
  <si>
    <t>890234946:eng</t>
  </si>
  <si>
    <t>11315957</t>
  </si>
  <si>
    <t>ocm11315957</t>
  </si>
  <si>
    <t>3000334415N</t>
  </si>
  <si>
    <t>792768264</t>
  </si>
  <si>
    <t>PQ4053 T75 B59 2008</t>
  </si>
  <si>
    <t>0                      PQ 4053000T  75                 B  59          2008</t>
  </si>
  <si>
    <t>Rewriting the journey in contemporary Italian literature : figures of subjectivity in progress / Cinzia Sartini Blum.</t>
  </si>
  <si>
    <t>Blum, Cinzia Sartini.</t>
  </si>
  <si>
    <t>Toronto ; Buffalo : University of Toronto Press, ©2008.</t>
  </si>
  <si>
    <t>2015-05-13</t>
  </si>
  <si>
    <t>866144440:eng</t>
  </si>
  <si>
    <t>225773383</t>
  </si>
  <si>
    <t>ocn225773383</t>
  </si>
  <si>
    <t>31027071359</t>
  </si>
  <si>
    <t>9780802097897</t>
  </si>
  <si>
    <t>794342378</t>
  </si>
  <si>
    <t>PQ4053 T75 S23 2015</t>
  </si>
  <si>
    <t>0                      PQ 4053000T  75                 S  23          2015</t>
  </si>
  <si>
    <t>Scritture e atlanti di viaggio : dal Medioevo al Novecento / Pasquale Sabbatino.</t>
  </si>
  <si>
    <t>Sabbatino, Pasquale, 1953- author.</t>
  </si>
  <si>
    <t>Lingue e letterature Carocci ; 196</t>
  </si>
  <si>
    <t>2520193386:ita</t>
  </si>
  <si>
    <t>908687976</t>
  </si>
  <si>
    <t>ocn908687976</t>
  </si>
  <si>
    <t>31036285861</t>
  </si>
  <si>
    <t>9788843076390</t>
  </si>
  <si>
    <t>794994985</t>
  </si>
  <si>
    <t>PQ4053 V47 F66 1992</t>
  </si>
  <si>
    <t>0                      PQ 4053000V  47                 F  66          1992</t>
  </si>
  <si>
    <t>I verismi regionali : atti del congresso internazionale di studi : Catania, 27-29 aprile 1992.</t>
  </si>
  <si>
    <t>Catania : Fondazione Verga, 1996.</t>
  </si>
  <si>
    <t>Biblioteca della Fondazione Verga. Serie Convegni ; n. 7</t>
  </si>
  <si>
    <t>2015-02-04</t>
  </si>
  <si>
    <t>475534281:ita</t>
  </si>
  <si>
    <t>37132612</t>
  </si>
  <si>
    <t>ocm37132612</t>
  </si>
  <si>
    <t>3101725182C</t>
  </si>
  <si>
    <t>793491385</t>
  </si>
  <si>
    <t>3101725200$</t>
  </si>
  <si>
    <t>793491386</t>
  </si>
  <si>
    <t>PQ4053 W6 G46 1996</t>
  </si>
  <si>
    <t>0                      PQ 4053000W  6                  G  46          1996</t>
  </si>
  <si>
    <t>Gendered contexts : new perspectives in Italian cultural studies / edited by Laura Benedetti, Julia L. Hairston &amp; Silvia M. Ross.</t>
  </si>
  <si>
    <t>New York : P. Lang, ©1996.</t>
  </si>
  <si>
    <t>Studies in Italian culture--Literature in history ; vol. 10</t>
  </si>
  <si>
    <t>898276241:eng</t>
  </si>
  <si>
    <t>33009825</t>
  </si>
  <si>
    <t>ocm33009825</t>
  </si>
  <si>
    <t>3101706797J</t>
  </si>
  <si>
    <t>9780820418872</t>
  </si>
  <si>
    <t>793399620</t>
  </si>
  <si>
    <t>PQ4053 W6 S53 1998</t>
  </si>
  <si>
    <t>0                      PQ 4053000W  6                  S  53          1998</t>
  </si>
  <si>
    <t>Ladies errant : wayward women and social order in early modern Italy / Deanna Shemek.</t>
  </si>
  <si>
    <t>Shemek, Deanna.</t>
  </si>
  <si>
    <t>Durham : Duke University Press, [1998]</t>
  </si>
  <si>
    <t>1998</t>
  </si>
  <si>
    <t>2017-02-06</t>
  </si>
  <si>
    <t>891594050:eng</t>
  </si>
  <si>
    <t>37864501</t>
  </si>
  <si>
    <t>ocm37864501</t>
  </si>
  <si>
    <t>3102797347U</t>
  </si>
  <si>
    <t>9780822321552</t>
  </si>
  <si>
    <t>793508721</t>
  </si>
  <si>
    <t>PQ4054 A5 A54 2013</t>
  </si>
  <si>
    <t>0                      PQ 4054000A  5                  A  54          2013</t>
  </si>
  <si>
    <t>The mirage of America in contemporary Italian literature and film / Barbara Alfano.</t>
  </si>
  <si>
    <t>Alfano, Barbara, author.</t>
  </si>
  <si>
    <t>Toronto ; Buffalo : University of Toronto Press, ©2013.</t>
  </si>
  <si>
    <t>2019-11-03</t>
  </si>
  <si>
    <t>1415569218:eng</t>
  </si>
  <si>
    <t>854469421</t>
  </si>
  <si>
    <t>ocn854469421</t>
  </si>
  <si>
    <t>3103492611L</t>
  </si>
  <si>
    <t>9781442644052</t>
  </si>
  <si>
    <t>794952427</t>
  </si>
  <si>
    <t>PQ4055 W6 A99 2012</t>
  </si>
  <si>
    <t>0                      PQ 4055000W  6                  A  99          2012</t>
  </si>
  <si>
    <t>Di silenzio e d'ombra : scrittura e identità femminile nel Novecento italiano / Paola Azzolini.</t>
  </si>
  <si>
    <t>Azzolini, Paola.</t>
  </si>
  <si>
    <t>Padova : Il poligrafo, ©2012.</t>
  </si>
  <si>
    <t>Soggetti rivelati: ritratti, storie, scritture di donne ; 43</t>
  </si>
  <si>
    <t>2013-04-16</t>
  </si>
  <si>
    <t>1118128018:ita</t>
  </si>
  <si>
    <t>794703871</t>
  </si>
  <si>
    <t>ocn794703871</t>
  </si>
  <si>
    <t>3103125803L</t>
  </si>
  <si>
    <t>9788871157733</t>
  </si>
  <si>
    <t>794920323</t>
  </si>
  <si>
    <t>PQ4055 W6 F455 1994</t>
  </si>
  <si>
    <t>0                      PQ 4055000W  6                  F  455         1994</t>
  </si>
  <si>
    <t>Les femmes écrivains en Italie au Moyen Age et à la Renaissance : actes du colloque international, Aix-en-Provence, 12, 13, 14 novembre 1992.</t>
  </si>
  <si>
    <t>Aix-en-Provence : Université de Provence, 1994.</t>
  </si>
  <si>
    <t>1994</t>
  </si>
  <si>
    <t>2016-02-17</t>
  </si>
  <si>
    <t>351489571:fre</t>
  </si>
  <si>
    <t>32166658</t>
  </si>
  <si>
    <t>ocm32166658</t>
  </si>
  <si>
    <t>3101538391X</t>
  </si>
  <si>
    <t>9782853993364</t>
  </si>
  <si>
    <t>793377142</t>
  </si>
  <si>
    <t>PQ4055 W6 H57 2000</t>
  </si>
  <si>
    <t>0                      PQ 4055000W  6                  H  57          2000</t>
  </si>
  <si>
    <t>A history of women's writing in Italy / edited by Letizia Panizza and Sharon Wood.</t>
  </si>
  <si>
    <t>Cambridge [England] ; New York : Cambridge University Press, 2000.</t>
  </si>
  <si>
    <t>2000</t>
  </si>
  <si>
    <t>2015-07-03</t>
  </si>
  <si>
    <t>350548192:eng</t>
  </si>
  <si>
    <t>43811269</t>
  </si>
  <si>
    <t>ocm43811269</t>
  </si>
  <si>
    <t>3102090721W</t>
  </si>
  <si>
    <t>9780521570886</t>
  </si>
  <si>
    <t>793635270</t>
  </si>
  <si>
    <t>PQ4055 W6 I53 2011</t>
  </si>
  <si>
    <t>0                      PQ 4055000W  6                  I  53          2011</t>
  </si>
  <si>
    <t>In dialogue with the other voice in sixteenth-century Italy : literary and social contexts for women's writing / edited by Julie D. Campbell &amp; Maria Galli Stampino.</t>
  </si>
  <si>
    <t>Toronto : Iter Inc., c2011.</t>
  </si>
  <si>
    <t>Other voice in early modern Europe. Toronto series ; 11</t>
  </si>
  <si>
    <t>904617277:eng</t>
  </si>
  <si>
    <t>727455291</t>
  </si>
  <si>
    <t>ocn727455291</t>
  </si>
  <si>
    <t>31033258353</t>
  </si>
  <si>
    <t>9780772720856</t>
  </si>
  <si>
    <t>794878123</t>
  </si>
  <si>
    <t>PQ4055 W6 I85 2003</t>
  </si>
  <si>
    <t>0                      PQ 4055000W  6                  I  85          2003</t>
  </si>
  <si>
    <t>Italian women and the city : essays / edited by Janet Levarie Smarr and Daria Valentini.</t>
  </si>
  <si>
    <t>Madison : Fairleigh Dickinson University Press ; London : Associated University Presses, ©2003.</t>
  </si>
  <si>
    <t>2003</t>
  </si>
  <si>
    <t>367585573:eng</t>
  </si>
  <si>
    <t>50079897</t>
  </si>
  <si>
    <t>ocm50079897</t>
  </si>
  <si>
    <t>3102240754P</t>
  </si>
  <si>
    <t>9780838639658</t>
  </si>
  <si>
    <t>793755088</t>
  </si>
  <si>
    <t>PQ4055 W6 L83 2008</t>
  </si>
  <si>
    <t>0                      PQ 4055000W  6                  L  83          2008</t>
  </si>
  <si>
    <t>A multitude of women : the challenges of the contemporary Italian novel / Stefania Lucamante.</t>
  </si>
  <si>
    <t>Lucamante, Stefania.</t>
  </si>
  <si>
    <t>2016-05-30</t>
  </si>
  <si>
    <t>848831964:eng</t>
  </si>
  <si>
    <t>181602804</t>
  </si>
  <si>
    <t>ocn181602804</t>
  </si>
  <si>
    <t>3102707497P</t>
  </si>
  <si>
    <t>9780802097941</t>
  </si>
  <si>
    <t>794282939</t>
  </si>
  <si>
    <t>PQ4055 W6 M55 2018</t>
  </si>
  <si>
    <t>0                      PQ 4055000W  6                  M  55          2018</t>
  </si>
  <si>
    <t>Moral combat : women, gender, and war in Italian Renaissance literature / Gerry Milligan.</t>
  </si>
  <si>
    <t>Milligan, Gerry, 1972- author.</t>
  </si>
  <si>
    <t>Toronto ; Buffalo ; London : University of Toronto Press, [2018]</t>
  </si>
  <si>
    <t>4982722252:eng</t>
  </si>
  <si>
    <t>1005105237</t>
  </si>
  <si>
    <t>on1005105237</t>
  </si>
  <si>
    <t>3103729918R</t>
  </si>
  <si>
    <t>9781487503147</t>
  </si>
  <si>
    <t>795042403</t>
  </si>
  <si>
    <t>PQ4055 W6 P37 1996</t>
  </si>
  <si>
    <t>0                      PQ 4055000W  6                  P  37          1996</t>
  </si>
  <si>
    <t>Public history, private stories : Italian women's autobiography / Graziella Parati.</t>
  </si>
  <si>
    <t>Minneapolis : University of Minnesota Press, ©1996.</t>
  </si>
  <si>
    <t>2015-11-15</t>
  </si>
  <si>
    <t>794050326:eng</t>
  </si>
  <si>
    <t>33334007</t>
  </si>
  <si>
    <t>ocm33334007</t>
  </si>
  <si>
    <t>31015761059</t>
  </si>
  <si>
    <t>9780816626069</t>
  </si>
  <si>
    <t>793407058</t>
  </si>
  <si>
    <t>PQ4055 W6 R36 2018</t>
  </si>
  <si>
    <t>0                      PQ 4055000W  6                  R  36          2018</t>
  </si>
  <si>
    <t>Performing bodies : female illness in Italian literature and cinema (1860-1920) / Catherine Ramsey-Portolano.</t>
  </si>
  <si>
    <t>Ramsey-Portolano, Catherine, author.</t>
  </si>
  <si>
    <t>Vancouver ; Madison [New Jersey] : Fairleigh Dickinson University Press ; Lanham, Maryland : Copublished by the Rowman &amp; Littlefield Publishing Group, Inc., [2018]</t>
  </si>
  <si>
    <t>4574556062:eng</t>
  </si>
  <si>
    <t>1005683820</t>
  </si>
  <si>
    <t>on1005683820</t>
  </si>
  <si>
    <t>31037295704</t>
  </si>
  <si>
    <t>9781683931317</t>
  </si>
  <si>
    <t>795042692</t>
  </si>
  <si>
    <t>PQ4055 W6 R67 2015</t>
  </si>
  <si>
    <t>0                      PQ 4055000W  6                  R  67          2015</t>
  </si>
  <si>
    <t>Eccentricity and sameness : discourses on lesbianism and desire between women in Italy, 1860s-1930s / Charlotte Ross.</t>
  </si>
  <si>
    <t>Ross, Charlotte, 1974- author.</t>
  </si>
  <si>
    <t>Oxford ; New York : Peter Lang, [2015]</t>
  </si>
  <si>
    <t>Italian modernities ; vol. 22</t>
  </si>
  <si>
    <t>2019-03-28</t>
  </si>
  <si>
    <t>2475079363:eng</t>
  </si>
  <si>
    <t>898717321</t>
  </si>
  <si>
    <t>ocn898717321</t>
  </si>
  <si>
    <t>3103652942H</t>
  </si>
  <si>
    <t>9783034318204</t>
  </si>
  <si>
    <t>794986513</t>
  </si>
  <si>
    <t>PQ4055 W6 W66 1995</t>
  </si>
  <si>
    <t>0                      PQ 4055000W  6                  W  66          1995</t>
  </si>
  <si>
    <t>Italian women's writing, 1860-1994 / Sharon Wood.</t>
  </si>
  <si>
    <t>Wood, Sharon, 1957-</t>
  </si>
  <si>
    <t>London ; Atlantic Highlands, NJ : Athlone, 1995.</t>
  </si>
  <si>
    <t>Women in context ; 2</t>
  </si>
  <si>
    <t>37359003:eng</t>
  </si>
  <si>
    <t>33009924</t>
  </si>
  <si>
    <t>ocm33009924</t>
  </si>
  <si>
    <t>3101417155W</t>
  </si>
  <si>
    <t>9780485910025</t>
  </si>
  <si>
    <t>793399628</t>
  </si>
  <si>
    <t>PQ4056 A36 C37 2013</t>
  </si>
  <si>
    <t>0                      PQ 4056000A  36                 C  37          2013</t>
  </si>
  <si>
    <t>Adonis : the Myth of the Dying God in the Italian Renaissance / Carlo Caruso.</t>
  </si>
  <si>
    <t>Caruso, Carlo.</t>
  </si>
  <si>
    <t>London : Bloomsbury Academic, 2013.</t>
  </si>
  <si>
    <t>2015-01-22</t>
  </si>
  <si>
    <t>1783166903:eng</t>
  </si>
  <si>
    <t>861273796</t>
  </si>
  <si>
    <t>ocn861273796</t>
  </si>
  <si>
    <t>3103503620H</t>
  </si>
  <si>
    <t>9781780932149</t>
  </si>
  <si>
    <t>794958979</t>
  </si>
  <si>
    <t>PQ4056 J84 C67 2012</t>
  </si>
  <si>
    <t>0                      PQ 4056000J  84                 C  67          2012</t>
  </si>
  <si>
    <t>Le virtù di Giuditta : il tema biblico della "mulier fortis" nella letteratura del '500 e del '600 / Paola Cosentino.</t>
  </si>
  <si>
    <t>Cosentino, Paola.</t>
  </si>
  <si>
    <t>Roma : Aracne Editrice, ottobre 2012.</t>
  </si>
  <si>
    <t>Dulces musae ; 7</t>
  </si>
  <si>
    <t>2013-10-09</t>
  </si>
  <si>
    <t>1417185197:ita</t>
  </si>
  <si>
    <t>834493974</t>
  </si>
  <si>
    <t>ocn834493974</t>
  </si>
  <si>
    <t>3103126275L</t>
  </si>
  <si>
    <t>9788854852365</t>
  </si>
  <si>
    <t>794944357</t>
  </si>
  <si>
    <t>- McLennan Basement - Main Collection - By Request</t>
  </si>
  <si>
    <t>PQ4057 C83 1983</t>
  </si>
  <si>
    <t>0                      PQ 4057000C  83          1983</t>
  </si>
  <si>
    <t>Dizionario della poesia italiana : i poeti di ogni tempo, la metrica, i gruppi e le tendenze / Maurizio Cucchi.</t>
  </si>
  <si>
    <t>Cucchi, Maurizio.</t>
  </si>
  <si>
    <t>Milano : A. Mondadori, 1983.</t>
  </si>
  <si>
    <t>1a ed. Studio Mondadori.</t>
  </si>
  <si>
    <t>Studio-dizionari</t>
  </si>
  <si>
    <t>2015-09-29</t>
  </si>
  <si>
    <t>806876914:ita</t>
  </si>
  <si>
    <t>11313883</t>
  </si>
  <si>
    <t>ocm11313883</t>
  </si>
  <si>
    <t>30009527502</t>
  </si>
  <si>
    <t>792768160</t>
  </si>
  <si>
    <t>PQ4063 A37 2004</t>
  </si>
  <si>
    <t>0                      PQ 4063000A  37          2004</t>
  </si>
  <si>
    <t>Across genres, generations and borders : Italian women writing lives / edited by Susanna Scarparo and Rita Wilson.</t>
  </si>
  <si>
    <t>Newark [Del.] : University of Delaware Press, 2004.</t>
  </si>
  <si>
    <t>1st American ed.</t>
  </si>
  <si>
    <t>Monash Romance studies</t>
  </si>
  <si>
    <t>2017-10-22</t>
  </si>
  <si>
    <t>905862974:eng</t>
  </si>
  <si>
    <t>57530014</t>
  </si>
  <si>
    <t>ocm57530014</t>
  </si>
  <si>
    <t>31024812476</t>
  </si>
  <si>
    <t>9780874139181</t>
  </si>
  <si>
    <t>793914873</t>
  </si>
  <si>
    <t>PQ4063 B45 2012</t>
  </si>
  <si>
    <t>0                      PQ 4063000B  45          2012</t>
  </si>
  <si>
    <t>Scrittrici della prima avanguardia : concezione, caratteri e testimonianze del femminile nel futurismo / Cecilia Bello Minciacchi.</t>
  </si>
  <si>
    <t>Bello Minciacchi, Cecilia, 1968-</t>
  </si>
  <si>
    <t>Firenze : Le lettere, ©2012.</t>
  </si>
  <si>
    <t>1172613243:ita</t>
  </si>
  <si>
    <t>813005141</t>
  </si>
  <si>
    <t>ocn813005141</t>
  </si>
  <si>
    <t>3103125915G</t>
  </si>
  <si>
    <t>9788860875754</t>
  </si>
  <si>
    <t>794931363</t>
  </si>
  <si>
    <t>PQ4063 C685 2011</t>
  </si>
  <si>
    <t>0                      PQ 4063000C  685         2011</t>
  </si>
  <si>
    <t>The prodigious muse : women's writing in counter-reformation Italy / Virginia Cox.</t>
  </si>
  <si>
    <t>Cox, Virginia.</t>
  </si>
  <si>
    <t>Baltimore : Johns Hopkins University Press, 2011.</t>
  </si>
  <si>
    <t>1043181716:eng</t>
  </si>
  <si>
    <t>688559457</t>
  </si>
  <si>
    <t>ocn688559457</t>
  </si>
  <si>
    <t>31033840341</t>
  </si>
  <si>
    <t>9781421400327</t>
  </si>
  <si>
    <t>794854453</t>
  </si>
  <si>
    <t>PQ4063 C69 2008</t>
  </si>
  <si>
    <t>0                      PQ 4063000C  69          2008</t>
  </si>
  <si>
    <t>Women's writing in Italy, 1400-1650 / Virginia Cox.</t>
  </si>
  <si>
    <t>Baltimore : Johns Hopkins University Press, 2008.</t>
  </si>
  <si>
    <t>2019-04-03</t>
  </si>
  <si>
    <t>113184163:eng</t>
  </si>
  <si>
    <t>167518437</t>
  </si>
  <si>
    <t>ocn167518437</t>
  </si>
  <si>
    <t>3102883698Q</t>
  </si>
  <si>
    <t>9780801888199</t>
  </si>
  <si>
    <t>794262621</t>
  </si>
  <si>
    <t>PQ4063 D35 2018</t>
  </si>
  <si>
    <t>0                      PQ 4063000D  35          2018</t>
  </si>
  <si>
    <t>Arms and the woman : classical tradition and women writers in the Venetian Renaissance / Francesca D'Alessandro Behr.</t>
  </si>
  <si>
    <t>D'Alessandro Behr, Francesca, author.</t>
  </si>
  <si>
    <t>Columbus : The Ohio State University Press, [2018]</t>
  </si>
  <si>
    <t>Classical memories/modern identities</t>
  </si>
  <si>
    <t>4752282619:eng</t>
  </si>
  <si>
    <t>1002681128</t>
  </si>
  <si>
    <t>on1002681128</t>
  </si>
  <si>
    <t>31036700458</t>
  </si>
  <si>
    <t>9780814213711</t>
  </si>
  <si>
    <t>795041195</t>
  </si>
  <si>
    <t>PQ4063 F45 1997</t>
  </si>
  <si>
    <t>0                      PQ 4063000F  45          1997</t>
  </si>
  <si>
    <t>The feminist encyclopedia of Italian literature / edited by Rinaldina Russell.</t>
  </si>
  <si>
    <t>Westport, Conn. : Greenwood Press, 1997.</t>
  </si>
  <si>
    <t>56109301:eng</t>
  </si>
  <si>
    <t>35558956</t>
  </si>
  <si>
    <t>ocm35558956</t>
  </si>
  <si>
    <t>3101843928E</t>
  </si>
  <si>
    <t>9780313294358</t>
  </si>
  <si>
    <t>793452070</t>
  </si>
  <si>
    <t>PQ4063 F47 2017</t>
  </si>
  <si>
    <t>0                      PQ 4063000F  47          2017</t>
  </si>
  <si>
    <t>Volevo scrivere : saggio sulla letteratura femminile del primo Novecento / Maria Grazia Ferraris.</t>
  </si>
  <si>
    <t>Ferraris, Maria Grazia, author.</t>
  </si>
  <si>
    <t>Arezzo : Edizioni Helicon, [2017]</t>
  </si>
  <si>
    <t>4477541069:ita</t>
  </si>
  <si>
    <t>983210222</t>
  </si>
  <si>
    <t>ocn983210222</t>
  </si>
  <si>
    <t>3103720830C</t>
  </si>
  <si>
    <t>9788864664309</t>
  </si>
  <si>
    <t>795034723</t>
  </si>
  <si>
    <t>PQ4063 G54 2016</t>
  </si>
  <si>
    <t>0                      PQ 4063000G  54          2016</t>
  </si>
  <si>
    <t>Mesdemoiselles : le nuove signore della scrittura / Giorgio Ghiotti.</t>
  </si>
  <si>
    <t>Ghiotti, Giorgio, 1994- interviewer.</t>
  </si>
  <si>
    <t>Roma : Giulio Perrone editore S.r.l., gennaio 2016.</t>
  </si>
  <si>
    <t>Biotón</t>
  </si>
  <si>
    <t>2785517647:ita</t>
  </si>
  <si>
    <t>927413775</t>
  </si>
  <si>
    <t>ocn927413775</t>
  </si>
  <si>
    <t>31036621159</t>
  </si>
  <si>
    <t>9788860044136</t>
  </si>
  <si>
    <t>795005907</t>
  </si>
  <si>
    <t>PQ4063 I8 2011</t>
  </si>
  <si>
    <t>0                      PQ 4063000I  8           2011</t>
  </si>
  <si>
    <t>Italian women and autobiography : ideology, discourse and identity in female life narratives from fascism to the present / edited by Ioana Raluca Larco and Fabiana Cecchini.</t>
  </si>
  <si>
    <t>Newcastle upon Tyne : Cambridge Scholars, 2011.</t>
  </si>
  <si>
    <t>1179010301:eng</t>
  </si>
  <si>
    <t>697774481</t>
  </si>
  <si>
    <t>ocn697774481</t>
  </si>
  <si>
    <t>31032354984</t>
  </si>
  <si>
    <t>9781443826556</t>
  </si>
  <si>
    <t>794860277</t>
  </si>
  <si>
    <t>PQ4063 I88 1994</t>
  </si>
  <si>
    <t>0                      PQ 4063000I  88          1994</t>
  </si>
  <si>
    <t>Italian women writers : a bio-bibliographical sourcebook / edited by Rinaldina Russell.</t>
  </si>
  <si>
    <t>Westport, Conn. : Greenwood Press, 1994.</t>
  </si>
  <si>
    <t>2018-05-17</t>
  </si>
  <si>
    <t>836731039:eng</t>
  </si>
  <si>
    <t>29598655</t>
  </si>
  <si>
    <t>ocm29598655</t>
  </si>
  <si>
    <t>3101485453T</t>
  </si>
  <si>
    <t>9780313283475</t>
  </si>
  <si>
    <t>793315802</t>
  </si>
  <si>
    <t>PQ4063 I885 1996</t>
  </si>
  <si>
    <t>0                      PQ 4063000I  885         1996</t>
  </si>
  <si>
    <t>Italian women writers from the Renaissance to the present : revising the canon / edited with an introduction by Maria Ornella Marotti.</t>
  </si>
  <si>
    <t>University Park, Pa. : Pennsylvania State University Press, ©1996.</t>
  </si>
  <si>
    <t>34137076:eng</t>
  </si>
  <si>
    <t>32311666</t>
  </si>
  <si>
    <t>ocm32311666</t>
  </si>
  <si>
    <t>3101713235X</t>
  </si>
  <si>
    <t>9780271015057</t>
  </si>
  <si>
    <t>793380703</t>
  </si>
  <si>
    <t>PQ4063 J34 2002</t>
  </si>
  <si>
    <t>0                      PQ 4063000J  34          2002</t>
  </si>
  <si>
    <t>Shining eyes, cruel fortune : the lives and loves of Italian Renaissance women poets / Irma B. Jaffe with Gernando Colombardo.</t>
  </si>
  <si>
    <t>(text + CD)</t>
  </si>
  <si>
    <t>Jaffe, Irma B., author.</t>
  </si>
  <si>
    <t>New York : Fordham University Press, 2002.</t>
  </si>
  <si>
    <t>2002</t>
  </si>
  <si>
    <t>37418161:eng</t>
  </si>
  <si>
    <t>48469219</t>
  </si>
  <si>
    <t>ocm48469219</t>
  </si>
  <si>
    <t>31021869773</t>
  </si>
  <si>
    <t>9780823221806</t>
  </si>
  <si>
    <t>793721810</t>
  </si>
  <si>
    <t>PQ4063 R53 1996</t>
  </si>
  <si>
    <t>0                      PQ 4063000R  53          1996</t>
  </si>
  <si>
    <t>La scrittura nascosta : donne di lettere e loro immagini tra Arcadia e Restaurazione / Luisa Ricaldone.</t>
  </si>
  <si>
    <t>Ricaldone, Luisa.</t>
  </si>
  <si>
    <t>Paris : Honoré Champion ; Fiesole : Cadmo, 1996.</t>
  </si>
  <si>
    <t>Textes et études : Domaine italien, 1246-7464 ; 8</t>
  </si>
  <si>
    <t>347547529:ita</t>
  </si>
  <si>
    <t>35232877</t>
  </si>
  <si>
    <t>ocm35232877</t>
  </si>
  <si>
    <t>3101802551R</t>
  </si>
  <si>
    <t>9788879230322</t>
  </si>
  <si>
    <t>793447409</t>
  </si>
  <si>
    <t>PQ4063.5 M55 B65 2010</t>
  </si>
  <si>
    <t>0                      PQ 4063500M  55                 B  65          2010</t>
  </si>
  <si>
    <t>Letterature nascoste : storia della scrittura e degli autori in lingua minoritaria in Italia / Anna Bogaro ; prefazione di Tullio De Mauro.</t>
  </si>
  <si>
    <t>Bogaro, Anna.</t>
  </si>
  <si>
    <t>1. ed,</t>
  </si>
  <si>
    <t>Lingue e letterature Carocci ; 118</t>
  </si>
  <si>
    <t>865042079:ita</t>
  </si>
  <si>
    <t>682881336</t>
  </si>
  <si>
    <t>ocn682881336</t>
  </si>
  <si>
    <t>3103125318Y</t>
  </si>
  <si>
    <t>9788843057405</t>
  </si>
  <si>
    <t>794852932</t>
  </si>
  <si>
    <t>PQ4063.5 M55 S45 2014</t>
  </si>
  <si>
    <t>0                      PQ 4063500M  55                 S  45          2014</t>
  </si>
  <si>
    <t>Shifting and shaping a national identity : transnational writers and pluriculturalism in Italy today / edited by Grace Russo Bullaro and Elena Benelli.</t>
  </si>
  <si>
    <t>Leicestershire, UK : Troubador, ©2014.</t>
  </si>
  <si>
    <t>Troubador Italian studies</t>
  </si>
  <si>
    <t>2018-09-27</t>
  </si>
  <si>
    <t>1928741018:eng</t>
  </si>
  <si>
    <t>883515178</t>
  </si>
  <si>
    <t>ocn883515178</t>
  </si>
  <si>
    <t>3103533599S</t>
  </si>
  <si>
    <t>9781783063789</t>
  </si>
  <si>
    <t>794975647</t>
  </si>
  <si>
    <t>PQ4064 A57 2011</t>
  </si>
  <si>
    <t>0                      PQ 4064000A  57          2011</t>
  </si>
  <si>
    <t>Letteratura e civiltà tra Medioevo e umanesimo / Gian Mario Anselmi.</t>
  </si>
  <si>
    <t>Roma : Carocci, 2011.</t>
  </si>
  <si>
    <t>Lingue e letterature Carocci</t>
  </si>
  <si>
    <t>818459063:ita</t>
  </si>
  <si>
    <t>707459731</t>
  </si>
  <si>
    <t>ocn707459731</t>
  </si>
  <si>
    <t>3103125381K</t>
  </si>
  <si>
    <t>9788843059171</t>
  </si>
  <si>
    <t>794867750</t>
  </si>
  <si>
    <t>PQ4064 D63 2010</t>
  </si>
  <si>
    <t>0                      PQ 4064000D  63          2010</t>
  </si>
  <si>
    <t>La rivoluzione incompiuta : società politica e cultura in Italia da Dante a Machiavelli / Ugo Dotti.</t>
  </si>
  <si>
    <t>Dotti, Ugo, 1933-2017, author.</t>
  </si>
  <si>
    <t>Savigliano : N. Aragno, ©2010.</t>
  </si>
  <si>
    <t>Biblioteca Aragno</t>
  </si>
  <si>
    <t>3944403755:ita</t>
  </si>
  <si>
    <t>797003451</t>
  </si>
  <si>
    <t>ocn797003451</t>
  </si>
  <si>
    <t>3103125937C</t>
  </si>
  <si>
    <t>9788884194879</t>
  </si>
  <si>
    <t>794922591</t>
  </si>
  <si>
    <t>PQ4065 C26 2011</t>
  </si>
  <si>
    <t>0                      PQ 4065000C  26          2011</t>
  </si>
  <si>
    <t>Contesti : intertestualità e interdiscorsività nella letteratura italiana del Medioevo / Maria Clotilde Camboni.</t>
  </si>
  <si>
    <t>Camboni, Maria Clotilde.</t>
  </si>
  <si>
    <t>Pisa : ETS, ©2011.</t>
  </si>
  <si>
    <t>Alla giornata ; 8</t>
  </si>
  <si>
    <t>1162401527:ita</t>
  </si>
  <si>
    <t>807032127</t>
  </si>
  <si>
    <t>ocn807032127</t>
  </si>
  <si>
    <t>3103125939C</t>
  </si>
  <si>
    <t>9788846731227</t>
  </si>
  <si>
    <t>794927186</t>
  </si>
  <si>
    <t>PQ4065 L36 2010</t>
  </si>
  <si>
    <t>0                      PQ 4065000L  36          2010</t>
  </si>
  <si>
    <t>Spigolature di letteratura italiana antica / Antonio Lanza.</t>
  </si>
  <si>
    <t>Lanza, Antonio, 1949-</t>
  </si>
  <si>
    <t>Roma : Aracne, 2010.</t>
  </si>
  <si>
    <t>Orti oricellari ; 1</t>
  </si>
  <si>
    <t>2011-05-18</t>
  </si>
  <si>
    <t>8911403639:ita</t>
  </si>
  <si>
    <t>688495743</t>
  </si>
  <si>
    <t>ocn688495743</t>
  </si>
  <si>
    <t>3103125272P</t>
  </si>
  <si>
    <t>9788854835146</t>
  </si>
  <si>
    <t>794854366</t>
  </si>
  <si>
    <t>PQ4065 S75 1984</t>
  </si>
  <si>
    <t>0                      PQ 4065000S  75          1984</t>
  </si>
  <si>
    <t>Studi offerti a Gianfranco Contini / dagli allievi pisani.</t>
  </si>
  <si>
    <t>Firenze : Casa editrice Le lettere : Libreria commissionaria Sansoni, 1984.</t>
  </si>
  <si>
    <t>Quaderno / Società dantesca italiana ; 2</t>
  </si>
  <si>
    <t>2018-07-07</t>
  </si>
  <si>
    <t>5479196:ita</t>
  </si>
  <si>
    <t>13009725</t>
  </si>
  <si>
    <t>ocm13009725</t>
  </si>
  <si>
    <t>30003812384</t>
  </si>
  <si>
    <t>792837234</t>
  </si>
  <si>
    <t>PQ4065 V552 2016</t>
  </si>
  <si>
    <t>0                      PQ 4065000V  552         2016</t>
  </si>
  <si>
    <t>La voce e le parole : studi sulla letteratura del Medioevo e del Rinascimento / Marco Villoresi.</t>
  </si>
  <si>
    <t>Villoresi, Marco, 1965- author.</t>
  </si>
  <si>
    <t>Firenze : Società editrice fiorentina, [2016]</t>
  </si>
  <si>
    <t>Studi ; 22</t>
  </si>
  <si>
    <t>4122516386:ita</t>
  </si>
  <si>
    <t>967674326</t>
  </si>
  <si>
    <t>ocn967674326</t>
  </si>
  <si>
    <t>3103716174X</t>
  </si>
  <si>
    <t>9788860323996</t>
  </si>
  <si>
    <t>795026649</t>
  </si>
  <si>
    <t>PQ4067 M58 2010</t>
  </si>
  <si>
    <t>0                      PQ 4067000M  58          2010</t>
  </si>
  <si>
    <t>Miscellanea boiardesca / a cura di Cristina Montagnani.</t>
  </si>
  <si>
    <t>Novara : Interlinea, ©2010.</t>
  </si>
  <si>
    <t>Studi boiardeschi / Centro studi Matteo Maria Boiardo ; 8</t>
  </si>
  <si>
    <t>457811479:ita</t>
  </si>
  <si>
    <t>587030054</t>
  </si>
  <si>
    <t>ocn587030054</t>
  </si>
  <si>
    <t>31031250302</t>
  </si>
  <si>
    <t>9788882127305</t>
  </si>
  <si>
    <t>794814267</t>
  </si>
  <si>
    <t>PQ4067 P35 2013</t>
  </si>
  <si>
    <t>0                      PQ 4067000P  35          2013</t>
  </si>
  <si>
    <t>La Chanson de Roland in Italia nel medioevo / Giovanni Palumbo ; prefazione di Cesare Segre.</t>
  </si>
  <si>
    <t>Palumbo, Giovanni.</t>
  </si>
  <si>
    <t>Roma : Salerno Editrice, [2013]</t>
  </si>
  <si>
    <t>Studi e saggi (Salerno editrice)</t>
  </si>
  <si>
    <t>2013-10-11</t>
  </si>
  <si>
    <t>1298594441:ita</t>
  </si>
  <si>
    <t>840403812</t>
  </si>
  <si>
    <t>ocn840403812</t>
  </si>
  <si>
    <t>3103126193K</t>
  </si>
  <si>
    <t>9788884027443</t>
  </si>
  <si>
    <t>794945924</t>
  </si>
  <si>
    <t>PQ4069 S87 2005</t>
  </si>
  <si>
    <t>0                      PQ 4069000S  87          2005</t>
  </si>
  <si>
    <t>Il Duecento e il Trecento / Luigi Surdich.</t>
  </si>
  <si>
    <t>Surdich, Luigi.</t>
  </si>
  <si>
    <t>Bologna : Il Mulino, ©2005.</t>
  </si>
  <si>
    <t>Itinerari. Critica letteraria</t>
  </si>
  <si>
    <t>2016-08-09</t>
  </si>
  <si>
    <t>366961492:ita</t>
  </si>
  <si>
    <t>63808577</t>
  </si>
  <si>
    <t>ocm63808577</t>
  </si>
  <si>
    <t>3103216746B</t>
  </si>
  <si>
    <t>9788815106087</t>
  </si>
  <si>
    <t>794123252</t>
  </si>
  <si>
    <t>PQ4071 S313 2016</t>
  </si>
  <si>
    <t>0                      PQ 4071000S  313         2016</t>
  </si>
  <si>
    <t>A literary history of the fourteenth century : Dante, Petrarch, Boccaccio : a study of their times and works / Natalino Sapegno ; translated with a foreword by Vincenzo Traversa.</t>
  </si>
  <si>
    <t>Sapegno, Natalino, 1901-1990, author.</t>
  </si>
  <si>
    <t>New York : Peter Lang, [2016]</t>
  </si>
  <si>
    <t>Currents in comparative Romance languages and literatures ; Vol. 242</t>
  </si>
  <si>
    <t>3159888378:eng</t>
  </si>
  <si>
    <t>925782522</t>
  </si>
  <si>
    <t>ocn925782522</t>
  </si>
  <si>
    <t>3103698867P</t>
  </si>
  <si>
    <t>9781433131158</t>
  </si>
  <si>
    <t>795005178</t>
  </si>
  <si>
    <t>PQ4072 P45 1990</t>
  </si>
  <si>
    <t>0                      PQ 4072000P  45          1990</t>
  </si>
  <si>
    <t>Pellegrini scrittori : viaggiatori toscani del Trecento in Terrasanta / a cura di Antonio Lanza e Marcellina Troncarelli.</t>
  </si>
  <si>
    <t>Firenze : Ponte alle Grazie, ©1990.</t>
  </si>
  <si>
    <t>1990</t>
  </si>
  <si>
    <t>Grandi opere</t>
  </si>
  <si>
    <t>2016-01-08</t>
  </si>
  <si>
    <t>889399345:ita</t>
  </si>
  <si>
    <t>24459125</t>
  </si>
  <si>
    <t>ocm24459125</t>
  </si>
  <si>
    <t>3101425841J</t>
  </si>
  <si>
    <t>793198632</t>
  </si>
  <si>
    <t>PQ4072 P47 1992</t>
  </si>
  <si>
    <t>0                      PQ 4072000P  47          1992</t>
  </si>
  <si>
    <t>Medioevo da leggere : guida allo studio delle testimonianze scritte del Medioevo italiano / Armando Petrucci.</t>
  </si>
  <si>
    <t>Petrucci, Armando.</t>
  </si>
  <si>
    <t>Torino : G. Einaudi, ©1992.</t>
  </si>
  <si>
    <t>Piccola biblioteca Einaudi ; 571</t>
  </si>
  <si>
    <t>2016-01-05</t>
  </si>
  <si>
    <t>890250834:ita</t>
  </si>
  <si>
    <t>28715152</t>
  </si>
  <si>
    <t>ocm28715152</t>
  </si>
  <si>
    <t>3101340579Q</t>
  </si>
  <si>
    <t>9788806129958</t>
  </si>
  <si>
    <t>793294579</t>
  </si>
  <si>
    <t>PQ4075 A347 2016</t>
  </si>
  <si>
    <t>0                      PQ 4075000A  347         2016</t>
  </si>
  <si>
    <t>Il Rinascimento : un'introduzione al Cinquecento letterario italiano / Giancarlo Alfano, Claudio Gigante, Emilio Russo.</t>
  </si>
  <si>
    <t>Alfano, Giancarlo, author.</t>
  </si>
  <si>
    <t>Sestante ; 37</t>
  </si>
  <si>
    <t>3588145651:ita</t>
  </si>
  <si>
    <t>957465802</t>
  </si>
  <si>
    <t>ocn957465802</t>
  </si>
  <si>
    <t>3103564835C</t>
  </si>
  <si>
    <t>9788884029577</t>
  </si>
  <si>
    <t>795020964</t>
  </si>
  <si>
    <t>PQ4075 A78 1915</t>
  </si>
  <si>
    <t>0                      PQ 4075000A  78          1915</t>
  </si>
  <si>
    <t>Life and letters in the Italian Renaissance / by Christopher Hare.</t>
  </si>
  <si>
    <t>Hare, Christopher, 1839-1929.</t>
  </si>
  <si>
    <t>London : Stanley Paul, 1915.</t>
  </si>
  <si>
    <t>1915</t>
  </si>
  <si>
    <t>2018-03-28</t>
  </si>
  <si>
    <t>42099511:eng</t>
  </si>
  <si>
    <t>39376113</t>
  </si>
  <si>
    <t>ocm39376113</t>
  </si>
  <si>
    <t>31002356327</t>
  </si>
  <si>
    <t>793545032</t>
  </si>
  <si>
    <t>3102379006$</t>
  </si>
  <si>
    <t>793545031</t>
  </si>
  <si>
    <t>PQ4075 B76 2005</t>
  </si>
  <si>
    <t>0                      PQ 4075000B  76          2005</t>
  </si>
  <si>
    <t>Il Quattrocento e il Cinquecento / Riccardo Bruscagli.</t>
  </si>
  <si>
    <t>Bruscagli, Riccardo.</t>
  </si>
  <si>
    <t>366961789:ita</t>
  </si>
  <si>
    <t>64118563</t>
  </si>
  <si>
    <t>ocm64118563</t>
  </si>
  <si>
    <t>31032167697</t>
  </si>
  <si>
    <t>9788815106506</t>
  </si>
  <si>
    <t>794124326</t>
  </si>
  <si>
    <t>PQ4075 G375 2013</t>
  </si>
  <si>
    <t>0                      PQ 4075000G  375         2013</t>
  </si>
  <si>
    <t>Hollow men : writing, objects, and public image in Renaissance Italy / Susan Gaylard.</t>
  </si>
  <si>
    <t>Gaylard, Susan.</t>
  </si>
  <si>
    <t>New York : Fordham University Press, 2013.</t>
  </si>
  <si>
    <t>First edition.</t>
  </si>
  <si>
    <t>1356977959:eng</t>
  </si>
  <si>
    <t>826859599</t>
  </si>
  <si>
    <t>ocn826859599</t>
  </si>
  <si>
    <t>3103529394F</t>
  </si>
  <si>
    <t>9780823251742</t>
  </si>
  <si>
    <t>794939451</t>
  </si>
  <si>
    <t>PQ4075 I83 2009</t>
  </si>
  <si>
    <t>0                      PQ 4075000I  83          2009</t>
  </si>
  <si>
    <t>Italy and the classical tradition : language, thought and poetry, 1300-1600 / edited by Carlo Caruso &amp; Andrew Laird.</t>
  </si>
  <si>
    <t>London : Duckworth, 2009.</t>
  </si>
  <si>
    <t>2016-02-04</t>
  </si>
  <si>
    <t>501048673:eng</t>
  </si>
  <si>
    <t>214307397</t>
  </si>
  <si>
    <t>ocn214307397</t>
  </si>
  <si>
    <t>3102859611X</t>
  </si>
  <si>
    <t>9780715637371</t>
  </si>
  <si>
    <t>794313735</t>
  </si>
  <si>
    <t>PQ4075 L28 1988</t>
  </si>
  <si>
    <t>0                      PQ 4075000L  28          1988</t>
  </si>
  <si>
    <t>The Languages of literature in Renaissance Italy / edited by Peter Hainsworth [and others].</t>
  </si>
  <si>
    <t>Oxford : Clarendon Press ; New York : Oxford University Press, 1988.</t>
  </si>
  <si>
    <t>1988</t>
  </si>
  <si>
    <t>2017-05-31</t>
  </si>
  <si>
    <t>346092958:eng</t>
  </si>
  <si>
    <t>15631339</t>
  </si>
  <si>
    <t>ocm15631339</t>
  </si>
  <si>
    <t>3000528592A</t>
  </si>
  <si>
    <t>9780198158325</t>
  </si>
  <si>
    <t>792937722</t>
  </si>
  <si>
    <t>PQ4075 M45 1995</t>
  </si>
  <si>
    <t>0                      PQ 4075000M  45          1995</t>
  </si>
  <si>
    <t>Literary imitation in the Italian Renaissance : the theory and practice of literary imitation in Italy from Dante to Bembo / Martin L. McLaughlin.</t>
  </si>
  <si>
    <t>McLaughlin, M. L. (Martin L.)</t>
  </si>
  <si>
    <t>Oxford : Clarendon Press ; Oxford ; New York : Oxford University Press, 1995.</t>
  </si>
  <si>
    <t>Oxford modern languages and literature monographs</t>
  </si>
  <si>
    <t>2018-01-15</t>
  </si>
  <si>
    <t>12411103:eng</t>
  </si>
  <si>
    <t>32396512</t>
  </si>
  <si>
    <t>ocm32396512</t>
  </si>
  <si>
    <t>31017068601</t>
  </si>
  <si>
    <t>9780198158998</t>
  </si>
  <si>
    <t>793383036</t>
  </si>
  <si>
    <t>PQ4075 N49 2012</t>
  </si>
  <si>
    <t>0                      PQ 4075000N  49          2012</t>
  </si>
  <si>
    <t>New worlds and the Italian Renaissance : contributions to the history of European intellectual culture / edited by Andrea Moudarres and Christiana Purdy Moudarres.</t>
  </si>
  <si>
    <t>Leiden ; Boston : Brill, 2012.</t>
  </si>
  <si>
    <t>Brill's Studies in Intellectual History, 0920-8607 ; Volume 216</t>
  </si>
  <si>
    <t>2017-05-26</t>
  </si>
  <si>
    <t>1165600960:eng</t>
  </si>
  <si>
    <t>793494105</t>
  </si>
  <si>
    <t>ocn793494105</t>
  </si>
  <si>
    <t>3103468435E</t>
  </si>
  <si>
    <t>9789004224308</t>
  </si>
  <si>
    <t>794918251</t>
  </si>
  <si>
    <t>PQ4075 R53 2009</t>
  </si>
  <si>
    <t>0                      PQ 4075000R  53          2009</t>
  </si>
  <si>
    <t>Manuscript culture in Renaissance Italy / Brian Richardson.</t>
  </si>
  <si>
    <t>Richardson, Brian (Brian F.)</t>
  </si>
  <si>
    <t>Cambridge, UK ; New York : Cambridge University Press, 2009.</t>
  </si>
  <si>
    <t>2019-05-28</t>
  </si>
  <si>
    <t>763036574:eng</t>
  </si>
  <si>
    <t>430344509</t>
  </si>
  <si>
    <t>ocn430344509</t>
  </si>
  <si>
    <t>3103155046M</t>
  </si>
  <si>
    <t>9780521888479</t>
  </si>
  <si>
    <t>794780791</t>
  </si>
  <si>
    <t>PQ4075 R6</t>
  </si>
  <si>
    <t>0                      PQ 4075000R  6</t>
  </si>
  <si>
    <t>Neoplatonism of the Italian Renaissance / by Nesca A. Robb.</t>
  </si>
  <si>
    <t>Robb, Nesca A. (Nesca Adeline)</t>
  </si>
  <si>
    <t>London : G. Allen, 1935.</t>
  </si>
  <si>
    <t>2018-03-27</t>
  </si>
  <si>
    <t>451314:eng</t>
  </si>
  <si>
    <t>223147346</t>
  </si>
  <si>
    <t>ocn223147346</t>
  </si>
  <si>
    <t>3101356028R</t>
  </si>
  <si>
    <t>794334303</t>
  </si>
  <si>
    <t>PQ4075 R65 2016</t>
  </si>
  <si>
    <t>0                      PQ 4075000R  65          2016</t>
  </si>
  <si>
    <t>Pedagogia e corte nel Rinascimento italiano ed europeo / Michele Rossi ; prefazione di Fabio Finotti.</t>
  </si>
  <si>
    <t>Rossi, Michele, 1977- author.</t>
  </si>
  <si>
    <t>Venezia : Marsilio, 2016.</t>
  </si>
  <si>
    <t>1188587704:ita</t>
  </si>
  <si>
    <t>970789881</t>
  </si>
  <si>
    <t>ocn970789881</t>
  </si>
  <si>
    <t>31037161542</t>
  </si>
  <si>
    <t>9788831724678</t>
  </si>
  <si>
    <t>795027831</t>
  </si>
  <si>
    <t>PQ4075 R75 2015</t>
  </si>
  <si>
    <t>0                      PQ 4075000R  75          2015</t>
  </si>
  <si>
    <t>Speaking spirits : ventriloquizing the dead in Renaissance Italy / Sherry Roush.</t>
  </si>
  <si>
    <t>Roush, Sherry, author.</t>
  </si>
  <si>
    <t>Toronto ; Buffalo : University of Toronto Press, [2015]</t>
  </si>
  <si>
    <t>2017-04-04</t>
  </si>
  <si>
    <t>2520138754:eng</t>
  </si>
  <si>
    <t>903423020</t>
  </si>
  <si>
    <t>ocn903423020</t>
  </si>
  <si>
    <t>3103496141E</t>
  </si>
  <si>
    <t>9781442650404</t>
  </si>
  <si>
    <t>794989096</t>
  </si>
  <si>
    <t>PQ4075 S23 1997</t>
  </si>
  <si>
    <t>0                      PQ 4075000S  23          1997</t>
  </si>
  <si>
    <t>La bellezza di Elena : l'imitazione nella letteratura e nelle arti figurative del Rinascimento / Pasquale Sabbatino.</t>
  </si>
  <si>
    <t>Sabbatino, Pasquale, 1953-</t>
  </si>
  <si>
    <t>Firenze : L.S. Olschki, 1997.</t>
  </si>
  <si>
    <t>Biblioteca dell'"Archivum Romanicum." Serie I, Storia, letteratura, paleografia, 0066-6807 ; 278</t>
  </si>
  <si>
    <t>2015-11-25</t>
  </si>
  <si>
    <t>9593405621:ita</t>
  </si>
  <si>
    <t>36885176</t>
  </si>
  <si>
    <t>ocm36885176</t>
  </si>
  <si>
    <t>3101826107E</t>
  </si>
  <si>
    <t>9788822245038</t>
  </si>
  <si>
    <t>793486732</t>
  </si>
  <si>
    <t>PQ4075 S48 2017</t>
  </si>
  <si>
    <t>0                      PQ 4075000S  48          2017</t>
  </si>
  <si>
    <t>Leggere i moderni con gli antichi e gli antichi coi moderni : Petrarca, Valla e Beroaldo / Andrea Severi.</t>
  </si>
  <si>
    <t>Severi, Andrea, 1981- author.</t>
  </si>
  <si>
    <t>Bologna : Pàtron editore, maggio 2017.</t>
  </si>
  <si>
    <t>Cultura umanistica e saperi moderni, 2421-2725 ; 12</t>
  </si>
  <si>
    <t>4504225616:ita</t>
  </si>
  <si>
    <t>989893840</t>
  </si>
  <si>
    <t>ocn989893840</t>
  </si>
  <si>
    <t>3103721215R</t>
  </si>
  <si>
    <t>9788855533843</t>
  </si>
  <si>
    <t>795037316</t>
  </si>
  <si>
    <t>PQ4079 A73 2016</t>
  </si>
  <si>
    <t>0                      PQ 4079000A  73          2016</t>
  </si>
  <si>
    <t>Gli archivi digitali dei Gonzaga e la cultura letteraria in età moderna / a cura di Luca Morlino e Daniela Sogliani.</t>
  </si>
  <si>
    <t>Milano : Skira, [2016]</t>
  </si>
  <si>
    <t>I Gonzaga digitali ; I</t>
  </si>
  <si>
    <t>4083618042:ita</t>
  </si>
  <si>
    <t>973885838</t>
  </si>
  <si>
    <t>ocn973885838</t>
  </si>
  <si>
    <t>31037161704</t>
  </si>
  <si>
    <t>9788857233833</t>
  </si>
  <si>
    <t>795029335</t>
  </si>
  <si>
    <t>PQ4079 B58 2011</t>
  </si>
  <si>
    <t>0                      PQ 4079000B  58          2011</t>
  </si>
  <si>
    <t>Dalla parte dei sileni : percorsi nella letteratura italiana del Cinque e Seicento / Nicola Bonazzi.</t>
  </si>
  <si>
    <t>Bonazzi, Nicola.</t>
  </si>
  <si>
    <t>Bologna : Il mulino, ©2011.</t>
  </si>
  <si>
    <t>Collana del Dipartimento di italianistica, Università di Bologna. Sezione di italianistica ; 24</t>
  </si>
  <si>
    <t>1081148046:ita</t>
  </si>
  <si>
    <t>777474712</t>
  </si>
  <si>
    <t>ocn777474712</t>
  </si>
  <si>
    <t>3103125680B</t>
  </si>
  <si>
    <t>9788815234933</t>
  </si>
  <si>
    <t>794908825</t>
  </si>
  <si>
    <t>PQ4079 C59 2004</t>
  </si>
  <si>
    <t>0                      PQ 4079000C  59          2004</t>
  </si>
  <si>
    <t>La civiltà del Rinascimento : pagine di letteratura italiana / [a cura di] Gian Mario Anselmi, Giorgio Forni, Giuseppe Ledda.</t>
  </si>
  <si>
    <t>Roma : Carocci, 2004.</t>
  </si>
  <si>
    <t>Antologie ; 11</t>
  </si>
  <si>
    <t>2019-07-25</t>
  </si>
  <si>
    <t>366418630:ita</t>
  </si>
  <si>
    <t>54473729</t>
  </si>
  <si>
    <t>ocm54473729</t>
  </si>
  <si>
    <t>3103150879C</t>
  </si>
  <si>
    <t>9788843028276</t>
  </si>
  <si>
    <t>793862522</t>
  </si>
  <si>
    <t>PQ4079 F67 2012</t>
  </si>
  <si>
    <t>0                      PQ 4079000F  67          2012</t>
  </si>
  <si>
    <t>Cinquecento inquieto : autori e generi nel sogno della letteratura / Carla Forno.</t>
  </si>
  <si>
    <t>Forno, Carla, 1958-</t>
  </si>
  <si>
    <t>Roma : Aracne, 2012.</t>
  </si>
  <si>
    <t>Oggetti e soggetti ; 7</t>
  </si>
  <si>
    <t>1331329517:ita</t>
  </si>
  <si>
    <t>825554680</t>
  </si>
  <si>
    <t>ocn825554680</t>
  </si>
  <si>
    <t>3103126175O</t>
  </si>
  <si>
    <t>9788854856233</t>
  </si>
  <si>
    <t>794938604</t>
  </si>
  <si>
    <t>PQ4079 T76 1994</t>
  </si>
  <si>
    <t>0                      PQ 4079000T  76          1994</t>
  </si>
  <si>
    <t>Il primo Cinquecento / Paolo Trovato.</t>
  </si>
  <si>
    <t>Trovato, Paolo.</t>
  </si>
  <si>
    <t>Bologna : Il Mulino, ©1994.</t>
  </si>
  <si>
    <t>Storia della lingua italiana</t>
  </si>
  <si>
    <t>2018-07-24</t>
  </si>
  <si>
    <t>350082654:ita</t>
  </si>
  <si>
    <t>31702292</t>
  </si>
  <si>
    <t>ocm31702292</t>
  </si>
  <si>
    <t>3101407182Z</t>
  </si>
  <si>
    <t>9788815045720</t>
  </si>
  <si>
    <t>793365940</t>
  </si>
  <si>
    <t>PQ4080 B3</t>
  </si>
  <si>
    <t>0                      PQ 4080000B  3</t>
  </si>
  <si>
    <t>Il petrarchismo italiano nel Cinquecento / Luigi Baldacci.</t>
  </si>
  <si>
    <t>Baldacci, Luigi.</t>
  </si>
  <si>
    <t>Padova : Liviana, 1974.</t>
  </si>
  <si>
    <t>Nuova ed. accresciuta.</t>
  </si>
  <si>
    <t>Guide di cultura contemporanea</t>
  </si>
  <si>
    <t>2018-07-09</t>
  </si>
  <si>
    <t>352040292:ita</t>
  </si>
  <si>
    <t>1345663</t>
  </si>
  <si>
    <t>ocm01345663</t>
  </si>
  <si>
    <t>3000443791O</t>
  </si>
  <si>
    <t>791605608</t>
  </si>
  <si>
    <t>PQ4080 B35 2008</t>
  </si>
  <si>
    <t>0                      PQ 4080000B  35          2008</t>
  </si>
  <si>
    <t>Periferie del petrarchismo / Armando Balduino ; a cura di Beatrice Bartolomeo e Attilio Motta ; presentazione di Manlio Pastore Stocchi.</t>
  </si>
  <si>
    <t>Balduino, Armando, 1937-</t>
  </si>
  <si>
    <t>Roma : Antenore, 2008.</t>
  </si>
  <si>
    <t>Studi sul Petrarca ; 36</t>
  </si>
  <si>
    <t>139211900:ita</t>
  </si>
  <si>
    <t>232963493</t>
  </si>
  <si>
    <t>ocn232963493</t>
  </si>
  <si>
    <t>3103030784T</t>
  </si>
  <si>
    <t>9788884556257</t>
  </si>
  <si>
    <t>794364553</t>
  </si>
  <si>
    <t>PQ4080 B47 2000</t>
  </si>
  <si>
    <t>0                      PQ 4080000B  47          2000</t>
  </si>
  <si>
    <t>The absence of grace : sprezzatura and suspicion in two Renaissance courtesy books / Harry Berger Jr.</t>
  </si>
  <si>
    <t>Berger, Harry, Jr., 1924-</t>
  </si>
  <si>
    <t>Stanford, Calif. : Stanford University Press, 2000.</t>
  </si>
  <si>
    <t>2016-04-12</t>
  </si>
  <si>
    <t>20685222:eng</t>
  </si>
  <si>
    <t>43656921</t>
  </si>
  <si>
    <t>ocm43656921</t>
  </si>
  <si>
    <t>3102810608H</t>
  </si>
  <si>
    <t>9780804739047</t>
  </si>
  <si>
    <t>793631915</t>
  </si>
  <si>
    <t>PQ4080 E98 2010</t>
  </si>
  <si>
    <t>0                      PQ 4080000E  98          2010</t>
  </si>
  <si>
    <t>Extravagances amoureuses : l'amour au-delà de la norme à la Renaissance : actes du colloque international du groupe de recherche Cinquecento plurale, Tours, 18-20 septembre 2008 = Stravaganze amorose ... / sous la direction de Élise Boillet, Chiara Lastraioli.</t>
  </si>
  <si>
    <t>Paris : H. Champion, 2010.</t>
  </si>
  <si>
    <t>Travaux du Centre d'études supérieures de la Renaissance de Tours ; 19</t>
  </si>
  <si>
    <t>890199061:fre</t>
  </si>
  <si>
    <t>716094469</t>
  </si>
  <si>
    <t>ocn716094469</t>
  </si>
  <si>
    <t>3103484444I</t>
  </si>
  <si>
    <t>9782745321497</t>
  </si>
  <si>
    <t>794874009</t>
  </si>
  <si>
    <t>PQ4080 F56 2004</t>
  </si>
  <si>
    <t>0                      PQ 4080000F  56          2004</t>
  </si>
  <si>
    <t>Retorica della diffrazione : Bembo, Aretino, Giulio Romano e Tasso : letteratura e scena cortigiana / Fabio Finotti.</t>
  </si>
  <si>
    <t>Finotti, Fabio.</t>
  </si>
  <si>
    <t>Firenze : L.S. Olschki, 2004.</t>
  </si>
  <si>
    <t>Biblioteca di "Lettere italiane", 0075-8892 ; 63</t>
  </si>
  <si>
    <t>2016-07-11</t>
  </si>
  <si>
    <t>18579431:ita</t>
  </si>
  <si>
    <t>57515042</t>
  </si>
  <si>
    <t>ocm57515042</t>
  </si>
  <si>
    <t>3102518977H</t>
  </si>
  <si>
    <t>9788822253842</t>
  </si>
  <si>
    <t>793914569</t>
  </si>
  <si>
    <t>PQ4080 F564 2004</t>
  </si>
  <si>
    <t>0                      PQ 4080000F  564         2004</t>
  </si>
  <si>
    <t>Savoir, pouvoir et socialité : regards sur la culture italienne de la Renaissance / Adelin Charles Fiorato.</t>
  </si>
  <si>
    <t>Fiorato, Adelin Charles.</t>
  </si>
  <si>
    <t>Alessandria : Edizioni dell'Orso, ©2004.</t>
  </si>
  <si>
    <t>Gillo Menagio ; 4</t>
  </si>
  <si>
    <t>2017-01-25</t>
  </si>
  <si>
    <t>892720786:fre</t>
  </si>
  <si>
    <t>62283535</t>
  </si>
  <si>
    <t>ocm62283535</t>
  </si>
  <si>
    <t>3102717093W</t>
  </si>
  <si>
    <t>9788876946493</t>
  </si>
  <si>
    <t>794103786</t>
  </si>
  <si>
    <t>PQ4080 G58 2010</t>
  </si>
  <si>
    <t>0                      PQ 4080000G  58          2010</t>
  </si>
  <si>
    <t>Giulio II : la cultura non classicista : sessione finale del Convegno Metafore di un pontificato, Giulio II (1503-1513) : Viterbo, S. Maria in Gradi, 13 maggio 2009 / a cura di Paolo Procaccioli ; con la collaborazione di M. Chiabò, A. Modigliani.</t>
  </si>
  <si>
    <t>Convegno Metafore di un pontificato, Giulio II (1503-1513) (2008 : Savona, Italy)</t>
  </si>
  <si>
    <t>Roma : Roma nel Rinascimento, 2010.</t>
  </si>
  <si>
    <t>RR inedita. Saggi ; 45</t>
  </si>
  <si>
    <t>3761485430:ita</t>
  </si>
  <si>
    <t>659712107</t>
  </si>
  <si>
    <t>ocn659712107</t>
  </si>
  <si>
    <t>3103125237X</t>
  </si>
  <si>
    <t>9788885913554</t>
  </si>
  <si>
    <t>794836390</t>
  </si>
  <si>
    <t>PQ4080 I68 2016</t>
  </si>
  <si>
    <t>0                      PQ 4080000I  68          2016</t>
  </si>
  <si>
    <t>Interactions between orality and writing in early modern Italian culture / edited by Luca Degl'Innocenti, Brian Richardson, and Chiara Sbordoni.</t>
  </si>
  <si>
    <t>Farnham, Surrey, UK ; Burlington, VT : Ashgate Publishing Limited, 2016.</t>
  </si>
  <si>
    <t>2952032431:eng</t>
  </si>
  <si>
    <t>927618407</t>
  </si>
  <si>
    <t>ocn927618407</t>
  </si>
  <si>
    <t>31036572682</t>
  </si>
  <si>
    <t>9781472474902</t>
  </si>
  <si>
    <t>795006023</t>
  </si>
  <si>
    <t>PQ4080 J43 2011</t>
  </si>
  <si>
    <t>0                      PQ 4080000J  43          2011</t>
  </si>
  <si>
    <t>Wings for our courage : gender, erudition, and republican thought / Stephanie H. Jed.</t>
  </si>
  <si>
    <t>Jed, Stephanie H, 1953-</t>
  </si>
  <si>
    <t>Berkeley : University of California Press, ©2011.</t>
  </si>
  <si>
    <t>FlashPoints ; 6</t>
  </si>
  <si>
    <t>792651729:eng</t>
  </si>
  <si>
    <t>703870932</t>
  </si>
  <si>
    <t>ocn703870932</t>
  </si>
  <si>
    <t>31034082687</t>
  </si>
  <si>
    <t>9780520267695</t>
  </si>
  <si>
    <t>794865132</t>
  </si>
  <si>
    <t>PQ4080 K65 2005</t>
  </si>
  <si>
    <t>0                      PQ 4080000K  65          2005</t>
  </si>
  <si>
    <t>The ghost of Boccaccio : writings on famous women in Renaissance Italy / by Stephen Kolsky.</t>
  </si>
  <si>
    <t>Kolsky, Stephen.</t>
  </si>
  <si>
    <t>Turnhout : Brepols, ©2005.</t>
  </si>
  <si>
    <t>Late medieval and early modern studies ; 7</t>
  </si>
  <si>
    <t>2017-05-23</t>
  </si>
  <si>
    <t>197706493:eng</t>
  </si>
  <si>
    <t>60611862</t>
  </si>
  <si>
    <t>ocm60611862</t>
  </si>
  <si>
    <t>3102491394P</t>
  </si>
  <si>
    <t>9782503521909</t>
  </si>
  <si>
    <t>793940971</t>
  </si>
  <si>
    <t>PQ4080 P6</t>
  </si>
  <si>
    <t>0                      PQ 4080000P  6</t>
  </si>
  <si>
    <t>Lingua e cultura del Cinquecento : Dolce, Aretino, Machiavelli, Guicciardini, Sarpi, Borghini / Mario Pozzi.</t>
  </si>
  <si>
    <t>Pozzi, Mario.</t>
  </si>
  <si>
    <t>Padova : Liviana, 1975.</t>
  </si>
  <si>
    <t>1975</t>
  </si>
  <si>
    <t>Quaderni del Circolo filologico-linguistico padovano ; 7</t>
  </si>
  <si>
    <t>319828475:ita</t>
  </si>
  <si>
    <t>2543960</t>
  </si>
  <si>
    <t>ocm02543960</t>
  </si>
  <si>
    <t>30004068247</t>
  </si>
  <si>
    <t>792141695</t>
  </si>
  <si>
    <t>PQ4080 P63 2010</t>
  </si>
  <si>
    <t>0                      PQ 4080000P  63          2010</t>
  </si>
  <si>
    <t>The poetics of masculinity in early modern Italy and Spain / edited by Gerry Milligan and Jane Tylus.</t>
  </si>
  <si>
    <t>Toronto : Centre for Reformation and Renaissance Studies, 2010.</t>
  </si>
  <si>
    <t>Essays and studies ; 22</t>
  </si>
  <si>
    <t>476578263:eng</t>
  </si>
  <si>
    <t>607611060</t>
  </si>
  <si>
    <t>ocn607611060</t>
  </si>
  <si>
    <t>3103266557R</t>
  </si>
  <si>
    <t>9780772720719</t>
  </si>
  <si>
    <t>794818312</t>
  </si>
  <si>
    <t>PQ4080 R58 2005</t>
  </si>
  <si>
    <t>0                      PQ 4080000R  58          2005</t>
  </si>
  <si>
    <t>Il Rinascimento italiano di fronte alla Riforma: letteratura e arte = Sixteenth-century Italian art and literature and the Reformation : atti del colloquio internazionale, London, the Warburg Institute, 30-31 gennaio 2004 / a cura di Chrysa Damianaki, Paolo Procaccioli, Angelo Romano.</t>
  </si>
  <si>
    <t>Manziana (Roma) : Vecchiarelli, ©2005.</t>
  </si>
  <si>
    <t>Cinquecento. Studi / Università della Tuscia, Dipartimento di storia e culture del testo e del documento ; 12</t>
  </si>
  <si>
    <t>2016-11-30</t>
  </si>
  <si>
    <t>53132995:ita</t>
  </si>
  <si>
    <t>62487493</t>
  </si>
  <si>
    <t>ocm62487493</t>
  </si>
  <si>
    <t>3102609738Q</t>
  </si>
  <si>
    <t>9788882471651</t>
  </si>
  <si>
    <t>794108530</t>
  </si>
  <si>
    <t>PQ4080 Z36 2004</t>
  </si>
  <si>
    <t>0                      PQ 4080000Z  36          2004</t>
  </si>
  <si>
    <t>Cultural non-conformity in early modern Florence / Domenico Zanrè.</t>
  </si>
  <si>
    <t>Zanrè, Domenico, 1969-</t>
  </si>
  <si>
    <t>Aldershot, Hampshire, U.K. ; Burlington, Vt. : Ashgate, ©2004.</t>
  </si>
  <si>
    <t>1042979:eng</t>
  </si>
  <si>
    <t>55015071</t>
  </si>
  <si>
    <t>ocm55015071</t>
  </si>
  <si>
    <t>3102377628M</t>
  </si>
  <si>
    <t>9780754630074</t>
  </si>
  <si>
    <t>793872560</t>
  </si>
  <si>
    <t>PQ4081 A73 2005</t>
  </si>
  <si>
    <t>0                      PQ 4081000A  73          2005</t>
  </si>
  <si>
    <t>Il Seicento / Erminia Ardissino.</t>
  </si>
  <si>
    <t>Ardissino, Erminia.</t>
  </si>
  <si>
    <t>3769892630:ita</t>
  </si>
  <si>
    <t>64118565</t>
  </si>
  <si>
    <t>ocm64118565</t>
  </si>
  <si>
    <t>3103222615V</t>
  </si>
  <si>
    <t>9788815106513</t>
  </si>
  <si>
    <t>794124327</t>
  </si>
  <si>
    <t>PQ4081 B37 2017</t>
  </si>
  <si>
    <t>0                      PQ 4081000B  37          2017</t>
  </si>
  <si>
    <t>Il cannocchiale barocco : rime e prose / Giorgio Bàrberi Squarotti.</t>
  </si>
  <si>
    <t>Bàrberi Squarotti, Giorgio, author.</t>
  </si>
  <si>
    <t>Cercenasco TO : Marco Valerio, 2017.</t>
  </si>
  <si>
    <t>2018-12-20</t>
  </si>
  <si>
    <t>4429605535:ita</t>
  </si>
  <si>
    <t>987270937</t>
  </si>
  <si>
    <t>ocn987270937</t>
  </si>
  <si>
    <t>31037212003</t>
  </si>
  <si>
    <t>9788875474423</t>
  </si>
  <si>
    <t>795035943</t>
  </si>
  <si>
    <t>PQ4081 B45 1947</t>
  </si>
  <si>
    <t>0                      PQ 4081000B  45          1947</t>
  </si>
  <si>
    <t>Il Seicento, a cura di Antonio Belloni.</t>
  </si>
  <si>
    <t>Belloni, Antonio, 1868-1934.</t>
  </si>
  <si>
    <t>Milano, Casa editrice dottor Francesco Vallardi, 1947.</t>
  </si>
  <si>
    <t>1947</t>
  </si>
  <si>
    <t>Storia letteraria d'Italia</t>
  </si>
  <si>
    <t>2002-03-13</t>
  </si>
  <si>
    <t>2016-01-18</t>
  </si>
  <si>
    <t>347798321:ita</t>
  </si>
  <si>
    <t>13056519</t>
  </si>
  <si>
    <t>ocm13056519</t>
  </si>
  <si>
    <t>3000792008J</t>
  </si>
  <si>
    <t>792838607</t>
  </si>
  <si>
    <t>3000486981H</t>
  </si>
  <si>
    <t>792838606</t>
  </si>
  <si>
    <t>PQ4082 C33 2010</t>
  </si>
  <si>
    <t>0                      PQ 4082000C  33          2010</t>
  </si>
  <si>
    <t>Eroi comici : saggi su un genere seicentesco / Maria Cristina Cabani.</t>
  </si>
  <si>
    <t>Cabani, Maria Cristina, 1954-</t>
  </si>
  <si>
    <t>Lecce : Pensa multimedia, ©2010.</t>
  </si>
  <si>
    <t>Mneme ; 7</t>
  </si>
  <si>
    <t>793927686:ita</t>
  </si>
  <si>
    <t>704509717</t>
  </si>
  <si>
    <t>ocn704509717</t>
  </si>
  <si>
    <t>3103125309$</t>
  </si>
  <si>
    <t>9788882327804</t>
  </si>
  <si>
    <t>794865734</t>
  </si>
  <si>
    <t>PQ4082 G384 2017</t>
  </si>
  <si>
    <t>0                      PQ 4082000G  384         2017</t>
  </si>
  <si>
    <t>Generi letterari e costruzione di una lingua comune tra Cinque e Seicento / a cura di Fabio Rossi.</t>
  </si>
  <si>
    <t>Roma : Artemide, [2017]</t>
  </si>
  <si>
    <t>Proteo ; 106</t>
  </si>
  <si>
    <t>4445307774:ita</t>
  </si>
  <si>
    <t>999364654</t>
  </si>
  <si>
    <t>ocn999364654</t>
  </si>
  <si>
    <t>3103720983O</t>
  </si>
  <si>
    <t>9788875752736</t>
  </si>
  <si>
    <t>795039885</t>
  </si>
  <si>
    <t>PQ4082 G73 2013</t>
  </si>
  <si>
    <t>0                      PQ 4082000G  73          2013</t>
  </si>
  <si>
    <t>Carte leggere : le lettere nella narrativa italiana del Seicento / Liliana Grassi.</t>
  </si>
  <si>
    <t>Grassi, Liliana, author.</t>
  </si>
  <si>
    <t>Bologna : I libri di Emil, [2013]</t>
  </si>
  <si>
    <t>2265664880:ita</t>
  </si>
  <si>
    <t>910505706</t>
  </si>
  <si>
    <t>ocn910505706</t>
  </si>
  <si>
    <t>31036249938</t>
  </si>
  <si>
    <t>9788866800668</t>
  </si>
  <si>
    <t>794996219</t>
  </si>
  <si>
    <t>PQ4082 M328 2015</t>
  </si>
  <si>
    <t>0                      PQ 4082000M  328         2015</t>
  </si>
  <si>
    <t>Per documento e per meraviglia : storia e scrittura nel Seicento italiano / Massimiliano Malavasi.</t>
  </si>
  <si>
    <t>Malavasi, Massimiliano, author.</t>
  </si>
  <si>
    <t>Roma : Aracne editrice int.le S.r.l., maggio 2015.</t>
  </si>
  <si>
    <t>Dulces musae ; 11</t>
  </si>
  <si>
    <t>2552384190:ita</t>
  </si>
  <si>
    <t>911267305</t>
  </si>
  <si>
    <t>ocn911267305</t>
  </si>
  <si>
    <t>3103624754Q</t>
  </si>
  <si>
    <t>9788854879003</t>
  </si>
  <si>
    <t>794998279</t>
  </si>
  <si>
    <t>PQ4083 A57 2017</t>
  </si>
  <si>
    <t>0                      PQ 4083000A  57          2017</t>
  </si>
  <si>
    <t>L'immaginario e la ragione : letteratura italiana e modernità / Gian Mario Anselmi.</t>
  </si>
  <si>
    <t>Anselmi, Gian Mario, 1947- author.</t>
  </si>
  <si>
    <t>Roma : Carocci editore, febbraio 2017.</t>
  </si>
  <si>
    <t>Lingue e letterature Carocci ; 227</t>
  </si>
  <si>
    <t>4152565387:ita</t>
  </si>
  <si>
    <t>982448694</t>
  </si>
  <si>
    <t>ocn982448694</t>
  </si>
  <si>
    <t>3103720947S</t>
  </si>
  <si>
    <t>9788843086641</t>
  </si>
  <si>
    <t>795034521</t>
  </si>
  <si>
    <t>PQ4083 B46 2005</t>
  </si>
  <si>
    <t>0                      PQ 4083000B  46          2005</t>
  </si>
  <si>
    <t>Il Settecento / Alberto Beniscelli.</t>
  </si>
  <si>
    <t>Beniscelli, Alberto.</t>
  </si>
  <si>
    <t>2017-06-09</t>
  </si>
  <si>
    <t>3901893239:ita</t>
  </si>
  <si>
    <t>64665887</t>
  </si>
  <si>
    <t>ocm64665887</t>
  </si>
  <si>
    <t>3103150855G</t>
  </si>
  <si>
    <t>9788815106308</t>
  </si>
  <si>
    <t>794131185</t>
  </si>
  <si>
    <t>PQ4083 C34 2007</t>
  </si>
  <si>
    <t>0                      PQ 4083000C  34          2007</t>
  </si>
  <si>
    <t>Modern Italian literature / Ann Hallamore Caesar and Michael Caesar.</t>
  </si>
  <si>
    <t>Caesar, Ann.</t>
  </si>
  <si>
    <t>Cambridge : Polity, 2007.</t>
  </si>
  <si>
    <t>Cultural history of literature</t>
  </si>
  <si>
    <t>112830356:eng</t>
  </si>
  <si>
    <t>166281771</t>
  </si>
  <si>
    <t>ocn166281771</t>
  </si>
  <si>
    <t>3102642003O</t>
  </si>
  <si>
    <t>9780745627991</t>
  </si>
  <si>
    <t>794259901</t>
  </si>
  <si>
    <t>PQ4083 C37 2010</t>
  </si>
  <si>
    <t>0                      PQ 4083000C  37          2010</t>
  </si>
  <si>
    <t>Classicismo e modernità : Monti, Foscolo, Leopardi / Roberto Cardini.</t>
  </si>
  <si>
    <t>Cardini, Roberto.</t>
  </si>
  <si>
    <t>Firenze : Polistampa, ©2010.</t>
  </si>
  <si>
    <t>Biblioteca neoclassica. 2. serie ; 1</t>
  </si>
  <si>
    <t>796535876:ita</t>
  </si>
  <si>
    <t>659712035</t>
  </si>
  <si>
    <t>ocn659712035</t>
  </si>
  <si>
    <t>3103125173S</t>
  </si>
  <si>
    <t>9788859608080</t>
  </si>
  <si>
    <t>794836387</t>
  </si>
  <si>
    <t>PQ4083 C47 2010</t>
  </si>
  <si>
    <t>0                      PQ 4083000C  47          2010</t>
  </si>
  <si>
    <t>Le rose di Aglaia : classicismo e dinamica storica fra Settecento e Ottocento / Marco Cerruti.</t>
  </si>
  <si>
    <t>Cerruti, Marco.</t>
  </si>
  <si>
    <t>Alessandria : Edizioni dell'Orso, ©2010.</t>
  </si>
  <si>
    <t>Mnemosyne ; 3</t>
  </si>
  <si>
    <t>572473951:ita</t>
  </si>
  <si>
    <t>656502083</t>
  </si>
  <si>
    <t>ocn656502083</t>
  </si>
  <si>
    <t>3103125175S</t>
  </si>
  <si>
    <t>9788862741934</t>
  </si>
  <si>
    <t>794834864</t>
  </si>
  <si>
    <t>PQ4083 F4</t>
  </si>
  <si>
    <t>0                      PQ 4083000F  4</t>
  </si>
  <si>
    <t>Addio al Parnaso / . Franco Ferrucci.</t>
  </si>
  <si>
    <t>Ferrucci, Franco, 1936-</t>
  </si>
  <si>
    <t>Milano : Bompiani, 1971.</t>
  </si>
  <si>
    <t>Nuovi saggi italiani ; 7</t>
  </si>
  <si>
    <t>2018-04-13</t>
  </si>
  <si>
    <t>5534173528:ita</t>
  </si>
  <si>
    <t>352612386</t>
  </si>
  <si>
    <t>ocn352612386</t>
  </si>
  <si>
    <t>30006132589</t>
  </si>
  <si>
    <t>794491832</t>
  </si>
  <si>
    <t>PQ4083 F8 1975</t>
  </si>
  <si>
    <t>0                      PQ 4083000F  8           1975</t>
  </si>
  <si>
    <t>Dal Muratori al Baretti : studi sulla critica e sulla cultura del Settecento / Mario Fubini.</t>
  </si>
  <si>
    <t>Fubini, Mario.</t>
  </si>
  <si>
    <t>Roma ; Bari : Laterza, 1975.</t>
  </si>
  <si>
    <t>1. ed. nella Universale Laterza riveduta e ampliata.</t>
  </si>
  <si>
    <t>Universale Laterza ; 329-330</t>
  </si>
  <si>
    <t>4714352943:ita</t>
  </si>
  <si>
    <t>2496833</t>
  </si>
  <si>
    <t>ocm02496833</t>
  </si>
  <si>
    <t>3000410595K</t>
  </si>
  <si>
    <t>792135549</t>
  </si>
  <si>
    <t>3100244645Y</t>
  </si>
  <si>
    <t>792135550</t>
  </si>
  <si>
    <t>PQ4083 M55 2011</t>
  </si>
  <si>
    <t>0                      PQ 4083000M  55          2011</t>
  </si>
  <si>
    <t>Cultura e illuminismo : la letteratura nell'Italia del Settecento / Nicolò Mineo.</t>
  </si>
  <si>
    <t>Mineo, Nicolò.</t>
  </si>
  <si>
    <t>Acireale : Bonanno, ©2011.</t>
  </si>
  <si>
    <t>Occasioni critiche ; 11</t>
  </si>
  <si>
    <t>1170032106:ita</t>
  </si>
  <si>
    <t>811589240</t>
  </si>
  <si>
    <t>ocn811589240</t>
  </si>
  <si>
    <t>31031260024</t>
  </si>
  <si>
    <t>9788877968081</t>
  </si>
  <si>
    <t>794930175</t>
  </si>
  <si>
    <t>31031260034</t>
  </si>
  <si>
    <t>794930174</t>
  </si>
  <si>
    <t>PQ4083 N34</t>
  </si>
  <si>
    <t>0                      PQ 4083000N  34</t>
  </si>
  <si>
    <t>Il Settecento / Giulio Natali.</t>
  </si>
  <si>
    <t>Natali, Giulio, 1875-1965.</t>
  </si>
  <si>
    <t>Milano : [publisher not identified], [1950, 1947]</t>
  </si>
  <si>
    <t>1950</t>
  </si>
  <si>
    <t>3a ed.</t>
  </si>
  <si>
    <t>2017-02-10</t>
  </si>
  <si>
    <t>8908861795:ita</t>
  </si>
  <si>
    <t>427233296</t>
  </si>
  <si>
    <t>ocn427233296</t>
  </si>
  <si>
    <t>3000793479C</t>
  </si>
  <si>
    <t>794549160</t>
  </si>
  <si>
    <t>3100244674R</t>
  </si>
  <si>
    <t>794549159</t>
  </si>
  <si>
    <t>PQ4084 C68 2014</t>
  </si>
  <si>
    <t>0                      PQ 4084000C  68          2014</t>
  </si>
  <si>
    <t>La tristitia del presente : tra Lumi e cultura romantica : aspetti teorici ed esperienze di scrittura / Renata Cotrone.</t>
  </si>
  <si>
    <t>Cotrone, Renata, author.</t>
  </si>
  <si>
    <t>Lecce : Pensa multimedia, [2014]</t>
  </si>
  <si>
    <t>La stadera, 2384-9592 ; [50]</t>
  </si>
  <si>
    <t>2459590494:ita</t>
  </si>
  <si>
    <t>904592945</t>
  </si>
  <si>
    <t>ocn904592945</t>
  </si>
  <si>
    <t>3103621750C</t>
  </si>
  <si>
    <t>9788867602261</t>
  </si>
  <si>
    <t>794990634</t>
  </si>
  <si>
    <t>PQ4084 L48 2003</t>
  </si>
  <si>
    <t>0                      PQ 4084000L  48          2003</t>
  </si>
  <si>
    <t>Letteratura italiana e cultura europea tra illuminismo e romanticismo : atti del convegno internazionale di studi Padova-Venezia, 11-13 maggio 2000 / Guido Santato.</t>
  </si>
  <si>
    <t>Genève : Libr. Droz, 2003.</t>
  </si>
  <si>
    <t>Histoire des idées et critique littéraire, 0073-2397 ; vol. 406</t>
  </si>
  <si>
    <t>2015-12-11</t>
  </si>
  <si>
    <t>892057295:ita</t>
  </si>
  <si>
    <t>53476708</t>
  </si>
  <si>
    <t>ocm53476708</t>
  </si>
  <si>
    <t>3102306457O</t>
  </si>
  <si>
    <t>9782600006699</t>
  </si>
  <si>
    <t>793829157</t>
  </si>
  <si>
    <t>PQ4084 P48 2010</t>
  </si>
  <si>
    <t>0                      PQ 4084000P  48          2010</t>
  </si>
  <si>
    <t>L'innato amore alla menzogna : studi sulla letteratura italiana del Sette e dell'Ottocento / Fulvio Pevere ; prefazione di Barbara Zandrino.</t>
  </si>
  <si>
    <t>Pevere, Fulvio.</t>
  </si>
  <si>
    <t>Milano : UNICOPLI, 2010.</t>
  </si>
  <si>
    <t>Parole allo specchio / Università degli studi di Parma, Dipartimento di italianistica ; 23</t>
  </si>
  <si>
    <t>495966558:ita</t>
  </si>
  <si>
    <t>631125799</t>
  </si>
  <si>
    <t>ocn631125799</t>
  </si>
  <si>
    <t>3103125093R</t>
  </si>
  <si>
    <t>9788840014180</t>
  </si>
  <si>
    <t>794824780</t>
  </si>
  <si>
    <t>PQ4084 S353 2000</t>
  </si>
  <si>
    <t>0                      PQ 4084000S  353         2000</t>
  </si>
  <si>
    <t>Neoclassico / Giovanna Scianatico.</t>
  </si>
  <si>
    <t>Scianatico, Giovanna.</t>
  </si>
  <si>
    <t>[Settimo Milanese, Milano] : Marzorati ; Roma : Editalia, ©2000.</t>
  </si>
  <si>
    <t>LIME, Letteratura italiana Marzorati Editalia ; 3</t>
  </si>
  <si>
    <t>2018-05-14</t>
  </si>
  <si>
    <t>34534042:ita</t>
  </si>
  <si>
    <t>44951564</t>
  </si>
  <si>
    <t>ocm44951564</t>
  </si>
  <si>
    <t>3102090537P</t>
  </si>
  <si>
    <t>9788870604382</t>
  </si>
  <si>
    <t>793661192</t>
  </si>
  <si>
    <t>PQ4085 B28 2010</t>
  </si>
  <si>
    <t>0                      PQ 4085000B  28          2010</t>
  </si>
  <si>
    <t>Manzoni, Nievo e altro Ottocento : pagine di storia letteraria / Armando Balduino.</t>
  </si>
  <si>
    <t>Lingue e letterature Carocci ; 113</t>
  </si>
  <si>
    <t>796424003:ita</t>
  </si>
  <si>
    <t>650438478</t>
  </si>
  <si>
    <t>ocn650438478</t>
  </si>
  <si>
    <t>3103125137$</t>
  </si>
  <si>
    <t>9788843054480</t>
  </si>
  <si>
    <t>794832484</t>
  </si>
  <si>
    <t>PQ4085 B3x</t>
  </si>
  <si>
    <t>0                      PQ 4085000B  3x</t>
  </si>
  <si>
    <t>Letteratura e verità; saggi e cronache sull'otto e sul novecento italiani.</t>
  </si>
  <si>
    <t>Milano, R. Ricciardi, 1963.</t>
  </si>
  <si>
    <t>1963</t>
  </si>
  <si>
    <t>2015-01-31</t>
  </si>
  <si>
    <t>874945903:ita</t>
  </si>
  <si>
    <t>581491</t>
  </si>
  <si>
    <t>ocm00581491</t>
  </si>
  <si>
    <t>3000617807J</t>
  </si>
  <si>
    <t>791420662</t>
  </si>
  <si>
    <t>PQ4085 B772 2015</t>
  </si>
  <si>
    <t>0                      PQ 4085000B  772         2015</t>
  </si>
  <si>
    <t>Calliope e oltre : arte e letteratura da Winckelmann a Foscolo / Arnaldo Bruni.</t>
  </si>
  <si>
    <t>Bruni, Arnaldo, author.</t>
  </si>
  <si>
    <t>Ariccia (RM) : Aracne editrice int.le S.r.l., maggio 2015.</t>
  </si>
  <si>
    <t>Ottocento neoclassico e romantico ; 1</t>
  </si>
  <si>
    <t>2018-03-23</t>
  </si>
  <si>
    <t>2811060365:ita</t>
  </si>
  <si>
    <t>913745149</t>
  </si>
  <si>
    <t>ocn913745149</t>
  </si>
  <si>
    <t>3103629966N</t>
  </si>
  <si>
    <t>9788854881068</t>
  </si>
  <si>
    <t>794999564</t>
  </si>
  <si>
    <t>PQ4085 C47 2012</t>
  </si>
  <si>
    <t>0                      PQ 4085000C  47          2012</t>
  </si>
  <si>
    <t>A piè di pagina : saggi di letteratura italiana / Saveria Chemotti.</t>
  </si>
  <si>
    <t>Padova : Poligrafo, ©2012.</t>
  </si>
  <si>
    <t>Humanitas ; 16</t>
  </si>
  <si>
    <t>1101331101:ita</t>
  </si>
  <si>
    <t>785862879</t>
  </si>
  <si>
    <t>ocn785862879</t>
  </si>
  <si>
    <t>3103125763C</t>
  </si>
  <si>
    <t>9788871157726</t>
  </si>
  <si>
    <t>794915375</t>
  </si>
  <si>
    <t>PQ4085 C75</t>
  </si>
  <si>
    <t>0                      PQ 4085000C  75</t>
  </si>
  <si>
    <t>La letteratura della nuova Italia; saggi critici.</t>
  </si>
  <si>
    <t>Croce, Benedetto, 1866-1952.</t>
  </si>
  <si>
    <t>Bari, G. Laterza &amp; figli, 1921-</t>
  </si>
  <si>
    <t>1921</t>
  </si>
  <si>
    <t>2. ed., riveduta dall'autore ...</t>
  </si>
  <si>
    <t>His Scritti di storia letteraria e politica, III-VI, 31, 33</t>
  </si>
  <si>
    <t>2019-04-18</t>
  </si>
  <si>
    <t>365770716:ita</t>
  </si>
  <si>
    <t>36912281</t>
  </si>
  <si>
    <t>ocm36912281</t>
  </si>
  <si>
    <t>30004043135</t>
  </si>
  <si>
    <t>793487481</t>
  </si>
  <si>
    <t>3100244678J</t>
  </si>
  <si>
    <t>793487480</t>
  </si>
  <si>
    <t>3100244679H</t>
  </si>
  <si>
    <t>793487476</t>
  </si>
  <si>
    <t>3100460858B</t>
  </si>
  <si>
    <t>793487477</t>
  </si>
  <si>
    <t>V. 3</t>
  </si>
  <si>
    <t>3100460856F</t>
  </si>
  <si>
    <t>793487479</t>
  </si>
  <si>
    <t>3100460857D</t>
  </si>
  <si>
    <t>793487478</t>
  </si>
  <si>
    <t>PQ4085 D38 2010</t>
  </si>
  <si>
    <t>0                      PQ 4085000D  38          2010</t>
  </si>
  <si>
    <t>Occasioni letterarie : studi otto-novecenteschi / Wanda De Nunzio Schilardi.</t>
  </si>
  <si>
    <t>De Nunzio Schilardi, Wanda.</t>
  </si>
  <si>
    <t>Bari : Palomar, ©2010.</t>
  </si>
  <si>
    <t>Palomar athenaeum ; 72</t>
  </si>
  <si>
    <t>908958346:ita</t>
  </si>
  <si>
    <t>515403696</t>
  </si>
  <si>
    <t>ocn515403696</t>
  </si>
  <si>
    <t>31031250136</t>
  </si>
  <si>
    <t>9788876003240</t>
  </si>
  <si>
    <t>794808013</t>
  </si>
  <si>
    <t>PQ4085 I262 2014</t>
  </si>
  <si>
    <t>0                      PQ 4085000I  262         2014</t>
  </si>
  <si>
    <t>L'opera di Verga e altri studi di critica letteraria / Lina Iannuzzi.</t>
  </si>
  <si>
    <t>Iannuzzi, Lina, author.</t>
  </si>
  <si>
    <t>Avellino : Edizioni Sinestesie, [2014]</t>
  </si>
  <si>
    <t>Biblioteca di sinestesie ; 20</t>
  </si>
  <si>
    <t>2580789845:ita</t>
  </si>
  <si>
    <t>914471166</t>
  </si>
  <si>
    <t>ocn914471166</t>
  </si>
  <si>
    <t>3103630037V</t>
  </si>
  <si>
    <t>9788898169528</t>
  </si>
  <si>
    <t>795000247</t>
  </si>
  <si>
    <t>PQ4085 M55 2014</t>
  </si>
  <si>
    <t>0                      PQ 4085000M  55          2014</t>
  </si>
  <si>
    <t>Da Porta a Calvino : saggi e ritratti critici / Claudio Milanini ; a cura di Martino Marazzi.</t>
  </si>
  <si>
    <t>Milanini, Claudio, author.</t>
  </si>
  <si>
    <t>Milano : LED, [2014]</t>
  </si>
  <si>
    <t>Studi e ricerche, 1721-3096</t>
  </si>
  <si>
    <t>2245563047:ita</t>
  </si>
  <si>
    <t>881499719</t>
  </si>
  <si>
    <t>ocn881499719</t>
  </si>
  <si>
    <t>3103126466H</t>
  </si>
  <si>
    <t>9788879166799</t>
  </si>
  <si>
    <t>794974529</t>
  </si>
  <si>
    <t>PQ4085 P48 2010</t>
  </si>
  <si>
    <t>0                      PQ 4085000P  48          2010</t>
  </si>
  <si>
    <t>The revolt of the scribe in modern Italian literature / Thomas E. Peterson.</t>
  </si>
  <si>
    <t>Peterson, Thomas E. (Thomas Erling)</t>
  </si>
  <si>
    <t>Toronto : University of Toronto Press, ©2010.</t>
  </si>
  <si>
    <t>2016-09-25</t>
  </si>
  <si>
    <t>349281302:eng</t>
  </si>
  <si>
    <t>466659604</t>
  </si>
  <si>
    <t>ocn466659604</t>
  </si>
  <si>
    <t>3103266551R</t>
  </si>
  <si>
    <t>9781442640894</t>
  </si>
  <si>
    <t>794794843</t>
  </si>
  <si>
    <t>PQ4086 A26 2012</t>
  </si>
  <si>
    <t>0                      PQ 4086000A  26          2012</t>
  </si>
  <si>
    <t>Effetto Nordau : figure della degenerazione nella letteratura italiana tra Ottocento e Novecento / Silvia Acocella.</t>
  </si>
  <si>
    <t>Acocella, Silvia.</t>
  </si>
  <si>
    <t>Napoli : Liguori, 2012.</t>
  </si>
  <si>
    <t>Letterature ; 86</t>
  </si>
  <si>
    <t>2013-09-18</t>
  </si>
  <si>
    <t>1770266226:ita</t>
  </si>
  <si>
    <t>815378711</t>
  </si>
  <si>
    <t>ocn815378711</t>
  </si>
  <si>
    <t>3103126060T</t>
  </si>
  <si>
    <t>9788820758448</t>
  </si>
  <si>
    <t>794932451</t>
  </si>
  <si>
    <t>PQ4086 A43 2011</t>
  </si>
  <si>
    <t>0                      PQ 4086000A  43          2011</t>
  </si>
  <si>
    <t>Non vedo l'ora di vederti : legami, affetti, ritrosie nei carteggi di Porta, Grossi &amp; Manzoni / Giovanni Albertocchi.</t>
  </si>
  <si>
    <t>Albertocchi, Giovanni, 1946-</t>
  </si>
  <si>
    <t>Firenze : Clinamen, 2011.</t>
  </si>
  <si>
    <t>Spiraculum ; 6</t>
  </si>
  <si>
    <t>909079479:ita</t>
  </si>
  <si>
    <t>730396214</t>
  </si>
  <si>
    <t>ocn730396214</t>
  </si>
  <si>
    <t>3103125453N</t>
  </si>
  <si>
    <t>9788884101662</t>
  </si>
  <si>
    <t>794879974</t>
  </si>
  <si>
    <t>PQ4086 A8 2015</t>
  </si>
  <si>
    <t>0                      PQ 4086000A  8           2015</t>
  </si>
  <si>
    <t>Scrittori e popolo, 1965 ; Scrittori e massa, 2015 / Alberto Asor Rosa.</t>
  </si>
  <si>
    <t>Asor Rosa, Alberto, author.</t>
  </si>
  <si>
    <t>Torino : Giulio Einaudi editore, [2015]</t>
  </si>
  <si>
    <t>Piccola biblioteca Einaudi ; Nuova serie 640</t>
  </si>
  <si>
    <t>2017-11-21</t>
  </si>
  <si>
    <t>2554554245:ita</t>
  </si>
  <si>
    <t>924160400</t>
  </si>
  <si>
    <t>ocn924160400</t>
  </si>
  <si>
    <t>31037081077</t>
  </si>
  <si>
    <t>9788806225971</t>
  </si>
  <si>
    <t>795004721</t>
  </si>
  <si>
    <t>PQ4086 B54 1997</t>
  </si>
  <si>
    <t>0                      PQ 4086000B  54          1997</t>
  </si>
  <si>
    <t>Le periferie della letteratura : da Verga a Tabucchi / Gian Paolo Biasin.</t>
  </si>
  <si>
    <t>Biasin, Gian Paolo.</t>
  </si>
  <si>
    <t>Ravenna : Longo, ©1997.</t>
  </si>
  <si>
    <t>L'interprete ; 59</t>
  </si>
  <si>
    <t>2017-01-18</t>
  </si>
  <si>
    <t>795092060:ita</t>
  </si>
  <si>
    <t>37269923</t>
  </si>
  <si>
    <t>ocm37269923</t>
  </si>
  <si>
    <t>31018264307</t>
  </si>
  <si>
    <t>9788880631255</t>
  </si>
  <si>
    <t>793494704</t>
  </si>
  <si>
    <t>PQ4086 B6145 2015</t>
  </si>
  <si>
    <t>0                      PQ 4086000B  6145        2015</t>
  </si>
  <si>
    <t>Drammaturgia dell'esilio : il Risorgimento italiano fuori dai confini / Rossella Bonfatti.</t>
  </si>
  <si>
    <t>Bonfatti, Rossella, author.</t>
  </si>
  <si>
    <t>Ravenna : Giorgio Pozzi editore, [2015]</t>
  </si>
  <si>
    <t>La politica dei letterati ; 4</t>
  </si>
  <si>
    <t>2501571552:ita</t>
  </si>
  <si>
    <t>907638924</t>
  </si>
  <si>
    <t>ocn907638924</t>
  </si>
  <si>
    <t>3103628080X</t>
  </si>
  <si>
    <t>9788896117422</t>
  </si>
  <si>
    <t>794993651</t>
  </si>
  <si>
    <t>PQ4086 C596 2011</t>
  </si>
  <si>
    <t>0                      PQ 4086000C  596         2011</t>
  </si>
  <si>
    <t>Il racconto del Risorgimento nell'Italia nuova : tra memorialismo, narrativa e drammaturgia / a cura di Toni Iermano e Pasquale Sabbatino.</t>
  </si>
  <si>
    <t>Convegno Il Risorgimento nell'Italia nuova (2011: Cassino, Italy)</t>
  </si>
  <si>
    <t>Viaggio d'Europa ; 16</t>
  </si>
  <si>
    <t>1110347294:ita</t>
  </si>
  <si>
    <t>794031530</t>
  </si>
  <si>
    <t>ocn794031530</t>
  </si>
  <si>
    <t>3103125768C</t>
  </si>
  <si>
    <t>9788849523263</t>
  </si>
  <si>
    <t>794918953</t>
  </si>
  <si>
    <t>PQ4086 D42 1996</t>
  </si>
  <si>
    <t>0                      PQ 4086000D  42          1996</t>
  </si>
  <si>
    <t>Rebellion, death, and aesthetics in Italy : the demons of Scapigliatura / David Del Principe.</t>
  </si>
  <si>
    <t>Del Principe, David, 1960-</t>
  </si>
  <si>
    <t>Madison : Fairleigh Dickinson University Press, ©1996.</t>
  </si>
  <si>
    <t>2018-12-17</t>
  </si>
  <si>
    <t>38412857:eng</t>
  </si>
  <si>
    <t>33440750</t>
  </si>
  <si>
    <t>ocm33440750</t>
  </si>
  <si>
    <t>3101571569T</t>
  </si>
  <si>
    <t>9780838636381</t>
  </si>
  <si>
    <t>793409547</t>
  </si>
  <si>
    <t>PQ4086 F36 2010</t>
  </si>
  <si>
    <t>0                      PQ 4086000F  36          2010</t>
  </si>
  <si>
    <t>Paesaggio e sentimento nella letteratura italiana : dal preromanticismo al decadentismo / Angela Fariello.</t>
  </si>
  <si>
    <t>Fariello, Angela.</t>
  </si>
  <si>
    <t>Roma : Bulzoni, c 2010.</t>
  </si>
  <si>
    <t>Biblioteca di cultura ; 711</t>
  </si>
  <si>
    <t>793987077:ita</t>
  </si>
  <si>
    <t>613309612</t>
  </si>
  <si>
    <t>ocn613309612</t>
  </si>
  <si>
    <t>3103125068X</t>
  </si>
  <si>
    <t>9788878704718</t>
  </si>
  <si>
    <t>794821852</t>
  </si>
  <si>
    <t>PQ4086 G85 2011</t>
  </si>
  <si>
    <t>0                      PQ 4086000G  85          2011</t>
  </si>
  <si>
    <t>L'altro Risorgimento nella letteratura dei Folliero de Luna / Patrizia Guida.</t>
  </si>
  <si>
    <t>Guida, Patrizia, 1961-</t>
  </si>
  <si>
    <t>Lecce : Milella, 2011.</t>
  </si>
  <si>
    <t>La scrittura possibile ; 26</t>
  </si>
  <si>
    <t>1081148029:ita</t>
  </si>
  <si>
    <t>777474678</t>
  </si>
  <si>
    <t>ocn777474678</t>
  </si>
  <si>
    <t>3103125681B</t>
  </si>
  <si>
    <t>9788870484960</t>
  </si>
  <si>
    <t>794908823</t>
  </si>
  <si>
    <t>PQ4086 I34 2015</t>
  </si>
  <si>
    <t>0                      PQ 4086000I  34          2015</t>
  </si>
  <si>
    <t>Identity and conflict in Tuscany / edited by Silvia Ross, Claire Honess.</t>
  </si>
  <si>
    <t>Firenze : Firenze University Press, 2015.</t>
  </si>
  <si>
    <t>Studi e saggi ; 147</t>
  </si>
  <si>
    <t>3261793915:eng</t>
  </si>
  <si>
    <t>952393513</t>
  </si>
  <si>
    <t>ocn952393513</t>
  </si>
  <si>
    <t>31036621256</t>
  </si>
  <si>
    <t>9788866558613</t>
  </si>
  <si>
    <t>795018234</t>
  </si>
  <si>
    <t>PQ4086 I82 2018</t>
  </si>
  <si>
    <t>0                      PQ 4086000I  82          2018</t>
  </si>
  <si>
    <t>Italia ribelle : narratori, poeti e personaggi della rivolta (1860-1920) / a cura di Claudio Brancaleoni, Sandro Gentili, Chiara Piola Caselli.</t>
  </si>
  <si>
    <t>Perugia : Morlacchi editore U.P., 2018.</t>
  </si>
  <si>
    <t>Testi e studi di letteratura italiana ; 14</t>
  </si>
  <si>
    <t>2019-05-07</t>
  </si>
  <si>
    <t>5173236277:ita</t>
  </si>
  <si>
    <t>1039932015</t>
  </si>
  <si>
    <t>on1039932015</t>
  </si>
  <si>
    <t>31038744502</t>
  </si>
  <si>
    <t>9788860749468</t>
  </si>
  <si>
    <t>795058961</t>
  </si>
  <si>
    <t>PQ4086 M284 2011</t>
  </si>
  <si>
    <t>0                      PQ 4086000M  284         2011</t>
  </si>
  <si>
    <t>Descrizione e percezione : i sensi nella letteratura naturalista e verista / Dora Marchese.</t>
  </si>
  <si>
    <t>Marchese, Dora.</t>
  </si>
  <si>
    <t>Firenze : Le Monnier università, 2011.</t>
  </si>
  <si>
    <t>1. ed. Le Monnier università.</t>
  </si>
  <si>
    <t>929372120:ita</t>
  </si>
  <si>
    <t>740627442</t>
  </si>
  <si>
    <t>ocn740627442</t>
  </si>
  <si>
    <t>3103125494F</t>
  </si>
  <si>
    <t>9788800740753</t>
  </si>
  <si>
    <t>794883382</t>
  </si>
  <si>
    <t>PQ4086 M29155 2012</t>
  </si>
  <si>
    <t>0                      PQ 4086000M  29155       2012</t>
  </si>
  <si>
    <t>Viva Garibaldi! : realtà, eroismo e mitologia nella letteratura del Risorgimento / Quinto Marini.</t>
  </si>
  <si>
    <t>Marini, Quinto.</t>
  </si>
  <si>
    <t>Roma : Edizioni di storia e letteratura, 2012.</t>
  </si>
  <si>
    <t>Temi e testi ; 115</t>
  </si>
  <si>
    <t>1353332976:ita</t>
  </si>
  <si>
    <t>840403835</t>
  </si>
  <si>
    <t>ocn840403835</t>
  </si>
  <si>
    <t>3103126199K</t>
  </si>
  <si>
    <t>9788863724882</t>
  </si>
  <si>
    <t>794945928</t>
  </si>
  <si>
    <t>PQ4086 M54 2012</t>
  </si>
  <si>
    <t>0                      PQ 4086000M  54          2012</t>
  </si>
  <si>
    <t>Cadde risorse e (non) giacque : il Risorgimento e i risorgimenti d'Italia nella letteratura italiana dell'Ottocento / Giovanna Minardi Zincone.</t>
  </si>
  <si>
    <t>Minardi Zincone, Giovanna.</t>
  </si>
  <si>
    <t>Catania : Edizioni del Prisma, [2012]</t>
  </si>
  <si>
    <t>I territori dello storico ; 13</t>
  </si>
  <si>
    <t>1259304914:ita</t>
  </si>
  <si>
    <t>828889205</t>
  </si>
  <si>
    <t>ocn828889205</t>
  </si>
  <si>
    <t>3103126178O</t>
  </si>
  <si>
    <t>9788886808453</t>
  </si>
  <si>
    <t>794941874</t>
  </si>
  <si>
    <t>PQ4086 N44 2011</t>
  </si>
  <si>
    <t>0                      PQ 4086000N  44          2011</t>
  </si>
  <si>
    <t>Perché lavorare? : ideologie del lavoro nella letteratura italiana del secondo Ottocento / Giuseppe Nencioni.</t>
  </si>
  <si>
    <t>Nencioni, Giuseppe, 1952-</t>
  </si>
  <si>
    <t>Firenze : F. Cesati, ©2011.</t>
  </si>
  <si>
    <t>Strumenti di letteratura italiana ; 38</t>
  </si>
  <si>
    <t>1009103323:ita</t>
  </si>
  <si>
    <t>751741980</t>
  </si>
  <si>
    <t>ocn751741980</t>
  </si>
  <si>
    <t>3103125517S</t>
  </si>
  <si>
    <t>9788876674167</t>
  </si>
  <si>
    <t>794890780</t>
  </si>
  <si>
    <t>PQ4086 P58 2018</t>
  </si>
  <si>
    <t>0                      PQ 4086000P  58          2018</t>
  </si>
  <si>
    <t>The poetics of decadence in fin-de-siècle Italy : degeneration and regeneration in literature and the arts / edited by Stefano Evangelista, Valeria Giannantonio and Elisabetta Selmi.</t>
  </si>
  <si>
    <t>Oxford ; New York : Peter Lang Ltd, International Academic Publishers, 2018.</t>
  </si>
  <si>
    <t>4432498186:eng</t>
  </si>
  <si>
    <t>1002418873</t>
  </si>
  <si>
    <t>on1002418873</t>
  </si>
  <si>
    <t>3103670281X</t>
  </si>
  <si>
    <t>9783034322607</t>
  </si>
  <si>
    <t>795041141</t>
  </si>
  <si>
    <t>PQ4086 R54 2005</t>
  </si>
  <si>
    <t>0                      PQ 4086000R  54          2005</t>
  </si>
  <si>
    <t>Risorgimento in modern Italian culture : revisiting the nineteenth-century past in history, narrative, and cinema / edited by Norma Bouchard.</t>
  </si>
  <si>
    <t>Madison : Fairleigh Dickinson University Press, ©2005.</t>
  </si>
  <si>
    <t>2017-10-30</t>
  </si>
  <si>
    <t>905866714:eng</t>
  </si>
  <si>
    <t>56404604</t>
  </si>
  <si>
    <t>ocm56404604</t>
  </si>
  <si>
    <t>31024455275</t>
  </si>
  <si>
    <t>9780838640548</t>
  </si>
  <si>
    <t>793892401</t>
  </si>
  <si>
    <t>PQ4086 R543 2004</t>
  </si>
  <si>
    <t>0                      PQ 4086000R  543         2004</t>
  </si>
  <si>
    <t>Riuscire postcrociani senza essere anticrociani : Gianfranco Contini e gli studi letterari del secondo Novecento : atti del convegno di studio, Napoli, 2-4 dicembre 2002 / a cura di Angelo R. Pupino.</t>
  </si>
  <si>
    <t>Tavarnuzze (Firenze) : SISMEL edizioni del Galluzzo ; Firenze : Fondazione Ezio Franceschini, 2004.</t>
  </si>
  <si>
    <t>Carte e carteggi ; 9</t>
  </si>
  <si>
    <t>917958413:ita</t>
  </si>
  <si>
    <t>58526863</t>
  </si>
  <si>
    <t>ocm58526863</t>
  </si>
  <si>
    <t>3102506612E</t>
  </si>
  <si>
    <t>9788884501271</t>
  </si>
  <si>
    <t>793921932</t>
  </si>
  <si>
    <t>PQ4087 A38 2015</t>
  </si>
  <si>
    <t>0                      PQ 4087000A  38          2015</t>
  </si>
  <si>
    <t>Scritti diversi e dispersi : (2000-2014) / Gualberto Alvino ; prefazione di Mario Lunetta.</t>
  </si>
  <si>
    <t>Alvino, Gualberto, 1953- author.</t>
  </si>
  <si>
    <t>[Rome] : Fermenti, [2015]</t>
  </si>
  <si>
    <t>Collana Nuovi Fermenti. Saggistica</t>
  </si>
  <si>
    <t>2520193835:ita</t>
  </si>
  <si>
    <t>908688071</t>
  </si>
  <si>
    <t>ocn908688071</t>
  </si>
  <si>
    <t>3103628534K</t>
  </si>
  <si>
    <t>9788897171584</t>
  </si>
  <si>
    <t>794994988</t>
  </si>
  <si>
    <t>PQ4087 A86 1999</t>
  </si>
  <si>
    <t>0                      PQ 4087000A  86          1999</t>
  </si>
  <si>
    <t>Un altro Novecento / Alberto Asor Rosa.</t>
  </si>
  <si>
    <t>Scandicci (Firenze) : La nuova Italia, 1999.</t>
  </si>
  <si>
    <t>1999</t>
  </si>
  <si>
    <t>La ricerca letteraria ; 2</t>
  </si>
  <si>
    <t>5218457777:ita</t>
  </si>
  <si>
    <t>41951637</t>
  </si>
  <si>
    <t>ocm41951637</t>
  </si>
  <si>
    <t>31020112376</t>
  </si>
  <si>
    <t>9788822128461</t>
  </si>
  <si>
    <t>793599841</t>
  </si>
  <si>
    <t>PQ4087 A882 2011</t>
  </si>
  <si>
    <t>0                      PQ 4087000A  882         2011</t>
  </si>
  <si>
    <t>Autori, lettori e mercato nella modernità letteraria / a cura di Ilaria Crotti [and others] ; con la collaborazione di Stefano Tonon.</t>
  </si>
  <si>
    <t>t.1:pt.1</t>
  </si>
  <si>
    <t>La modernità letteraria ; 26</t>
  </si>
  <si>
    <t>2936691171:ita</t>
  </si>
  <si>
    <t>741557480</t>
  </si>
  <si>
    <t>ocn741557480</t>
  </si>
  <si>
    <t>3103425776T</t>
  </si>
  <si>
    <t>9788846729965</t>
  </si>
  <si>
    <t>794884293</t>
  </si>
  <si>
    <t>t. 2:pt.2</t>
  </si>
  <si>
    <t>B001441137</t>
  </si>
  <si>
    <t>794884292</t>
  </si>
  <si>
    <t>PQ4087 B43 2010</t>
  </si>
  <si>
    <t>0                      PQ 4087000B  43          2010</t>
  </si>
  <si>
    <t>Novecento : il secolo lungo : saggi su Prezzolini, Muscetta, Asor Rosa, Ortese, La Capria e Saviano / Aurelio Benevento.</t>
  </si>
  <si>
    <t>Benevento, Aurelio.</t>
  </si>
  <si>
    <t>Napoli : Edizioni scientifiche italiane, ©2010.</t>
  </si>
  <si>
    <t>Il portale ; 9</t>
  </si>
  <si>
    <t>857879298:ita</t>
  </si>
  <si>
    <t>709663768</t>
  </si>
  <si>
    <t>ocn709663768</t>
  </si>
  <si>
    <t>3103125332U</t>
  </si>
  <si>
    <t>9788849520880</t>
  </si>
  <si>
    <t>794869537</t>
  </si>
  <si>
    <t>PQ4087 B74 2011</t>
  </si>
  <si>
    <t>0                      PQ 4087000B  74          2011</t>
  </si>
  <si>
    <t>Piccole zone di simmetria : scrittori del Novecento / Mimma Bresciani Califano.</t>
  </si>
  <si>
    <t>Bresciani Califano, Mimma.</t>
  </si>
  <si>
    <t>Firenze : Firenze University Press, 2011.</t>
  </si>
  <si>
    <t>Studi e saggi ; 96</t>
  </si>
  <si>
    <t>1075145307:ita</t>
  </si>
  <si>
    <t>773668131</t>
  </si>
  <si>
    <t>ocn773668131</t>
  </si>
  <si>
    <t>3103125666F</t>
  </si>
  <si>
    <t>9788864532615</t>
  </si>
  <si>
    <t>794905855</t>
  </si>
  <si>
    <t>PQ4087 C38 2007</t>
  </si>
  <si>
    <t>0                      PQ 4087000C  38          2007</t>
  </si>
  <si>
    <t>Manuale di letteratura italiana contemporanea / Alberto Casadei, Marco Santagata.</t>
  </si>
  <si>
    <t>Casadei, Alberto.</t>
  </si>
  <si>
    <t>Roma : GLF editori Laterza, 2007.</t>
  </si>
  <si>
    <t>Manuali di base ; 35</t>
  </si>
  <si>
    <t>2018-03-22</t>
  </si>
  <si>
    <t>102560811:ita</t>
  </si>
  <si>
    <t>123900832</t>
  </si>
  <si>
    <t>ocn123900832</t>
  </si>
  <si>
    <t>31030388550</t>
  </si>
  <si>
    <t>9788842082743</t>
  </si>
  <si>
    <t>794228521</t>
  </si>
  <si>
    <t>PQ4087 C43 1972</t>
  </si>
  <si>
    <t>0                      PQ 4087000C  43          1972</t>
  </si>
  <si>
    <t>Letteratura italiana del Novecento. A cura di Pietro Citati. Con 234 illustrazioni nel testo.</t>
  </si>
  <si>
    <t>[Milano], A. Mondadori, 1972.</t>
  </si>
  <si>
    <t>1972</t>
  </si>
  <si>
    <t>His Opere [1]</t>
  </si>
  <si>
    <t>2015-11-14</t>
  </si>
  <si>
    <t>1820727:ita</t>
  </si>
  <si>
    <t>648430</t>
  </si>
  <si>
    <t>ocm00648430</t>
  </si>
  <si>
    <t>3100244663W</t>
  </si>
  <si>
    <t>791437155</t>
  </si>
  <si>
    <t>30002458080</t>
  </si>
  <si>
    <t>791437156</t>
  </si>
  <si>
    <t>PQ4087 C655 2009</t>
  </si>
  <si>
    <t>0                      PQ 4087000C  655         2009</t>
  </si>
  <si>
    <t>Finzione cronaca realtà : scambi, intrecci e prospettive nella narrativa italiana contemporanea / a cura di Hanna Serkowska.</t>
  </si>
  <si>
    <t>Convegno Fiction faction reality, incontri, scambi, intrecci nella letteratura italiana dal 1990 ad oggi (2009 : Warsaw, Poland)</t>
  </si>
  <si>
    <t>Massa : Transeuropa, ©2011.</t>
  </si>
  <si>
    <t>Pronto intervento ; [5]</t>
  </si>
  <si>
    <t>2017-08-31</t>
  </si>
  <si>
    <t>1032933884:ita</t>
  </si>
  <si>
    <t>758439192</t>
  </si>
  <si>
    <t>ocn758439192</t>
  </si>
  <si>
    <t>3103125565I</t>
  </si>
  <si>
    <t>9788875801465</t>
  </si>
  <si>
    <t>794896423</t>
  </si>
  <si>
    <t>PQ4087 C66 2013</t>
  </si>
  <si>
    <t>0                      PQ 4087000C  66          2013</t>
  </si>
  <si>
    <t>Gli "anni di piombo" nella letteratura italiana / Ermanno Conti.</t>
  </si>
  <si>
    <t>Conti, Ermanno, 1969-</t>
  </si>
  <si>
    <t>Ravenna : Longo Editore, [2013]</t>
  </si>
  <si>
    <t>Il portico. Materiali letterari ; 164</t>
  </si>
  <si>
    <t>5218999127:ita</t>
  </si>
  <si>
    <t>868575445</t>
  </si>
  <si>
    <t>ocn868575445</t>
  </si>
  <si>
    <t>31035567754</t>
  </si>
  <si>
    <t>9788880637691</t>
  </si>
  <si>
    <t>794964800</t>
  </si>
  <si>
    <t>PQ4087 C665 2007</t>
  </si>
  <si>
    <t>0                      PQ 4087000C  665         2007</t>
  </si>
  <si>
    <t>Scrittura e verità : "Li vuci di l'omini" nella letteratura italiana contemporanea / a cura di Domenica Perrone.</t>
  </si>
  <si>
    <t>Convegno Scrittura e verità, "Li vuci di l'omini" nella letteratura italiana del '900 (2007 : Palermo, Italy)</t>
  </si>
  <si>
    <t>Acireale : Bonanno, ©2010.</t>
  </si>
  <si>
    <t>Percorsi diversi ; 8</t>
  </si>
  <si>
    <t>796457024:ita</t>
  </si>
  <si>
    <t>642806315</t>
  </si>
  <si>
    <t>ocn642806315</t>
  </si>
  <si>
    <t>31031251241</t>
  </si>
  <si>
    <t>9788877966193</t>
  </si>
  <si>
    <t>794828394</t>
  </si>
  <si>
    <t>PQ4087 D51 2012</t>
  </si>
  <si>
    <t>0                      PQ 4087000D  51          2012</t>
  </si>
  <si>
    <t>Un altro Novecento / Antonio Di Grado.</t>
  </si>
  <si>
    <t>Di Grado, Antonio, 1949-</t>
  </si>
  <si>
    <t>Napoli : Ad est dell'equatore, 2012.</t>
  </si>
  <si>
    <t>I barbari</t>
  </si>
  <si>
    <t>2017-06-05</t>
  </si>
  <si>
    <t>1149506542:ita</t>
  </si>
  <si>
    <t>805054175</t>
  </si>
  <si>
    <t>ocn805054175</t>
  </si>
  <si>
    <t>31031260220</t>
  </si>
  <si>
    <t>9788895797427</t>
  </si>
  <si>
    <t>794926170</t>
  </si>
  <si>
    <t>PQ4087 D55 2011</t>
  </si>
  <si>
    <t>0                      PQ 4087000D  55          2011</t>
  </si>
  <si>
    <t>La pagina a fianco : saggi su narratori e poeti contemporanei / Alessandro Di Prima.</t>
  </si>
  <si>
    <t>Di Prima, Alessandro, 1973-</t>
  </si>
  <si>
    <t>Caltanissetta-Roma : Salvatore Sciascia, ©2011.</t>
  </si>
  <si>
    <t>Sentieri saggistici</t>
  </si>
  <si>
    <t>967654810:ita</t>
  </si>
  <si>
    <t>744283448</t>
  </si>
  <si>
    <t>ocn744283448</t>
  </si>
  <si>
    <t>3103125490F</t>
  </si>
  <si>
    <t>9788882413613</t>
  </si>
  <si>
    <t>794885884</t>
  </si>
  <si>
    <t>PQ4087 G74 2013</t>
  </si>
  <si>
    <t>0                      PQ 4087000G  74          2013</t>
  </si>
  <si>
    <t>The Great War in Italy : representation and interpretation / edited by Patrizia Piredda.</t>
  </si>
  <si>
    <t>Great War in Italy : Representation and Interpretation (Conference) (2012 : Oxford, England), author.</t>
  </si>
  <si>
    <t>Leicester, UK : Troubador Publishing, [2013]</t>
  </si>
  <si>
    <t>1407737869:eng</t>
  </si>
  <si>
    <t>855585458</t>
  </si>
  <si>
    <t>ocn855585458</t>
  </si>
  <si>
    <t>3103504343I</t>
  </si>
  <si>
    <t>9781783062379</t>
  </si>
  <si>
    <t>794953643</t>
  </si>
  <si>
    <t>PQ4087 L45 2004</t>
  </si>
  <si>
    <t>0                      PQ 4087000L  45          2004</t>
  </si>
  <si>
    <t>La letteratura italiana : il Novecento / diretta da Ezio Raimondi ; a cura di Gabriella Fenocchio.</t>
  </si>
  <si>
    <t>Milano : B. Mondadori, ©2004.</t>
  </si>
  <si>
    <t>Sintesi</t>
  </si>
  <si>
    <t>2011-11-06</t>
  </si>
  <si>
    <t>2017-05-11</t>
  </si>
  <si>
    <t>3769761748:ita</t>
  </si>
  <si>
    <t>57302951</t>
  </si>
  <si>
    <t>ocm57302951</t>
  </si>
  <si>
    <t>3102463296Z</t>
  </si>
  <si>
    <t>9788842491552</t>
  </si>
  <si>
    <t>793910302</t>
  </si>
  <si>
    <t>31024633317</t>
  </si>
  <si>
    <t>793910301</t>
  </si>
  <si>
    <t>PQ4087 L78 1981</t>
  </si>
  <si>
    <t>0                      PQ 4087000L  78          1981</t>
  </si>
  <si>
    <t>Il Novecento : apparati ideologici, ceto intellettuale, sistemi formali nella letteratura italiana contemporanea / Romano Luperini.</t>
  </si>
  <si>
    <t>T. 1</t>
  </si>
  <si>
    <t>Luperini, Romano, 1940-</t>
  </si>
  <si>
    <t>Torino : Loescher, ©1981.</t>
  </si>
  <si>
    <t>Loescher università. Lingua e letteratura italiana</t>
  </si>
  <si>
    <t>2016-09-27</t>
  </si>
  <si>
    <t>2016-10-24</t>
  </si>
  <si>
    <t>134489120:ita</t>
  </si>
  <si>
    <t>8492021</t>
  </si>
  <si>
    <t>ocm08492021</t>
  </si>
  <si>
    <t>3000357942A</t>
  </si>
  <si>
    <t>792622570</t>
  </si>
  <si>
    <t>T. 2</t>
  </si>
  <si>
    <t>3102930364Z</t>
  </si>
  <si>
    <t>792622569</t>
  </si>
  <si>
    <t>PQ4087 M33</t>
  </si>
  <si>
    <t>0                      PQ 4087000M  33</t>
  </si>
  <si>
    <t>Storia della letteratura italiana tra le due guerre, 1919-1943 / Giuliano Manacorda.</t>
  </si>
  <si>
    <t>Manacorda, Giuliano.</t>
  </si>
  <si>
    <t>Roma : Editori riuniti, 1980.</t>
  </si>
  <si>
    <t>Nuova biblioteca di cultura ; 208</t>
  </si>
  <si>
    <t>2018-11-23</t>
  </si>
  <si>
    <t>43325337:ita</t>
  </si>
  <si>
    <t>9943813</t>
  </si>
  <si>
    <t>ocm09943813</t>
  </si>
  <si>
    <t>3000312413C</t>
  </si>
  <si>
    <t>9788835920946</t>
  </si>
  <si>
    <t>792701312</t>
  </si>
  <si>
    <t>PQ4087 M3654 2014</t>
  </si>
  <si>
    <t>0                      PQ 4087000M  3654        2014</t>
  </si>
  <si>
    <t>Altri labirinti : percorsi negli spazi letterari / Luigi Martellini.</t>
  </si>
  <si>
    <t>Martellini, Luigi, author.</t>
  </si>
  <si>
    <t>Viterbo : Edizioni Sette città, luglio 2015.</t>
  </si>
  <si>
    <t>Biblioteca ; 30</t>
  </si>
  <si>
    <t>2624872756:ita</t>
  </si>
  <si>
    <t>921842881</t>
  </si>
  <si>
    <t>ocn921842881</t>
  </si>
  <si>
    <t>3103624739M</t>
  </si>
  <si>
    <t>9788878533882</t>
  </si>
  <si>
    <t>795003316</t>
  </si>
  <si>
    <t>PQ4087 M662 2014</t>
  </si>
  <si>
    <t>0                      PQ 4087000M  662         2014</t>
  </si>
  <si>
    <t>Questi Piemontesi : profili di scrittori italiani tra Otto e Novecento / Lorenzo Mondo ; a cura di Mariarosa Masoero.</t>
  </si>
  <si>
    <t>Mondo, Lorenzo, author.</t>
  </si>
  <si>
    <t>Firenze : Leo S. Olschki, 2014.</t>
  </si>
  <si>
    <t>Centro di studi di letteratura italiana in Piemonte "Guido Gozzano - Cesare Pavese" ; vol. 22. Saggi</t>
  </si>
  <si>
    <t>2526373358:ita</t>
  </si>
  <si>
    <t>907366532</t>
  </si>
  <si>
    <t>ocn907366532</t>
  </si>
  <si>
    <t>3103201251C</t>
  </si>
  <si>
    <t>9788822263681</t>
  </si>
  <si>
    <t>794993267</t>
  </si>
  <si>
    <t>PQ4087 P377 2006</t>
  </si>
  <si>
    <t>0                      PQ 4087000P  377         2006</t>
  </si>
  <si>
    <t>La farmacia degli incurabili : da Collodi a Calvino / Federica G. Pedriali.</t>
  </si>
  <si>
    <t>Pedriali, Federica.</t>
  </si>
  <si>
    <t>Ravenna : Longo, 2006.</t>
  </si>
  <si>
    <t>L'interprete ; 90</t>
  </si>
  <si>
    <t>2018-12-04</t>
  </si>
  <si>
    <t>890612104:ita</t>
  </si>
  <si>
    <t>78204103</t>
  </si>
  <si>
    <t>ocm78204103</t>
  </si>
  <si>
    <t>3102872335J</t>
  </si>
  <si>
    <t>9788880635277</t>
  </si>
  <si>
    <t>794194675</t>
  </si>
  <si>
    <t>PQ4087 P38</t>
  </si>
  <si>
    <t>0                      PQ 4087000P  38</t>
  </si>
  <si>
    <t>Alcuni studi: Pascoli, Serra, Ambrosini, Campana, Ungaretti, M. Novaro, Govoni, Slataper, Moscardelli, Borgese, Bacchelli, Cecchi, "Il gattopardo."</t>
  </si>
  <si>
    <t>Peritore, Giuseppe Angelo, 1897-</t>
  </si>
  <si>
    <t>Imola, Galeati, 1961.</t>
  </si>
  <si>
    <t>2018-11-08</t>
  </si>
  <si>
    <t>1668341:ita</t>
  </si>
  <si>
    <t>664486</t>
  </si>
  <si>
    <t>ocm00664486</t>
  </si>
  <si>
    <t>3000617202G</t>
  </si>
  <si>
    <t>791440870</t>
  </si>
  <si>
    <t>PQ4087 R54 1959</t>
  </si>
  <si>
    <t>0                      PQ 4087000R  54          1959</t>
  </si>
  <si>
    <t>Il mestiere del furbo : panorama della narrativa italiana contemporanea / Giose Rimanelli.</t>
  </si>
  <si>
    <t>Rimanelli, Giose, 1926-</t>
  </si>
  <si>
    <t>Milano : Sugar, [1959].</t>
  </si>
  <si>
    <t>2018-09-17</t>
  </si>
  <si>
    <t>475158864:ita</t>
  </si>
  <si>
    <t>13896113</t>
  </si>
  <si>
    <t>ocm13896113</t>
  </si>
  <si>
    <t>3000793572M</t>
  </si>
  <si>
    <t>792870953</t>
  </si>
  <si>
    <t>PQ4087 R66 2010</t>
  </si>
  <si>
    <t>0                      PQ 4087000R  66          2010</t>
  </si>
  <si>
    <t>Romanzi di (de)formazione (1988-2010) / Ronald de Rooy, Beniamino Mirisola, Viva Paci.</t>
  </si>
  <si>
    <t>Rooy, Ronald de (Ronald Mark), 1965-</t>
  </si>
  <si>
    <t>Firenze : Cesati, 2011.</t>
  </si>
  <si>
    <t>Strumenti di letteratura italiana ; 36</t>
  </si>
  <si>
    <t>2011-07-21</t>
  </si>
  <si>
    <t>836226758:ita</t>
  </si>
  <si>
    <t>708029639</t>
  </si>
  <si>
    <t>ocn708029639</t>
  </si>
  <si>
    <t>3103125351Q</t>
  </si>
  <si>
    <t>9788876674037</t>
  </si>
  <si>
    <t>794868560</t>
  </si>
  <si>
    <t>PQ4087 S482 2018</t>
  </si>
  <si>
    <t>0                      PQ 4087000S  482         2018</t>
  </si>
  <si>
    <t>La letteratura circostante : narrativa e poesia nell'Italia contemporanea / Gianluigi Simonetti.</t>
  </si>
  <si>
    <t>Simonetti, Gianluigi, 1973- author.</t>
  </si>
  <si>
    <t>Bologna : Società editrice il Mulino, [2018]</t>
  </si>
  <si>
    <t>Le vie della civiltà</t>
  </si>
  <si>
    <t>2019-04-09</t>
  </si>
  <si>
    <t>5114783787:ita</t>
  </si>
  <si>
    <t>1022082691</t>
  </si>
  <si>
    <t>on1022082691</t>
  </si>
  <si>
    <t>3103785166W</t>
  </si>
  <si>
    <t>9788815274977</t>
  </si>
  <si>
    <t>795051324</t>
  </si>
  <si>
    <t>PQ4087 S692 2015</t>
  </si>
  <si>
    <t>0                      PQ 4087000S  692         2015</t>
  </si>
  <si>
    <t>Un'irresistibile salute precaria : Saba, Il Canzoniere e altri saggi di letteratura italiana / Arrigo Stara.</t>
  </si>
  <si>
    <t>Stara, Arrigo, author.</t>
  </si>
  <si>
    <t>Firenze : Le Monnier università, gennaio 2015.</t>
  </si>
  <si>
    <t>2585167479:ita</t>
  </si>
  <si>
    <t>909285043</t>
  </si>
  <si>
    <t>ocn909285043</t>
  </si>
  <si>
    <t>3103628596Z</t>
  </si>
  <si>
    <t>9788800745857</t>
  </si>
  <si>
    <t>794995381</t>
  </si>
  <si>
    <t>PQ4087 T67 2012</t>
  </si>
  <si>
    <t>0                      PQ 4087000T  67          2012</t>
  </si>
  <si>
    <t>Letteratura e politiche culturali : note critiche sul Novecento italiano / Massimiliano Tortora.</t>
  </si>
  <si>
    <t>Tortora, Massimiliano, 1973-</t>
  </si>
  <si>
    <t>Perugia : Morlacchi, 2012.</t>
  </si>
  <si>
    <t>Testi e studi di letteratura italiana ; 3</t>
  </si>
  <si>
    <t>1108630366:ita</t>
  </si>
  <si>
    <t>793723701</t>
  </si>
  <si>
    <t>ocn793723701</t>
  </si>
  <si>
    <t>31031259872</t>
  </si>
  <si>
    <t>9788860744685</t>
  </si>
  <si>
    <t>794918637</t>
  </si>
  <si>
    <t>PQ4087 T73 1988</t>
  </si>
  <si>
    <t>0                      PQ 4087000T  73          1988</t>
  </si>
  <si>
    <t>Tra due secoli : il tardo Ottocento e il primo Novecento nella critica italiana dell'ultimo ventennio / edited by Francesco Loriggio.</t>
  </si>
  <si>
    <t>[Ottawa, Ont.] : Canadian Society for Italian Studies : Groupe de Recherches international "1900" (Carleton University), ©1988.</t>
  </si>
  <si>
    <t>Biblioteca di Quaderni d'italianistica ; v. 4</t>
  </si>
  <si>
    <t>16611709:ita</t>
  </si>
  <si>
    <t>35249146</t>
  </si>
  <si>
    <t>ocm35249146</t>
  </si>
  <si>
    <t>3100225820C</t>
  </si>
  <si>
    <t>9780969197942</t>
  </si>
  <si>
    <t>793447805</t>
  </si>
  <si>
    <t>PQ4087 U583</t>
  </si>
  <si>
    <t>0                      PQ 4087000U  583</t>
  </si>
  <si>
    <t>Idéologies et politique: contributions à l'histoire récente des intellectuels italiens [du risorgimento au fascisme: Manzoni, Labriola, Michelstaedter, Borgese, Alvaro, Gobetti, Bottai].</t>
  </si>
  <si>
    <t>Abbeville: Impr. F. Paillart, 1978.</t>
  </si>
  <si>
    <t>[Publication] - Groupe cultures, idéologies et sociétés des XIXe et XXe siècles, Section italien, Univesité de Paris VIII-Vincennes ; t. 3</t>
  </si>
  <si>
    <t>2018-11-24</t>
  </si>
  <si>
    <t>5612908298:fre</t>
  </si>
  <si>
    <t>427060054</t>
  </si>
  <si>
    <t>ocn427060054</t>
  </si>
  <si>
    <t>3000325695T</t>
  </si>
  <si>
    <t>9782853140188</t>
  </si>
  <si>
    <t>794518895</t>
  </si>
  <si>
    <t>PQ4087 V38 2012</t>
  </si>
  <si>
    <t>0                      PQ 4087000V  38          2012</t>
  </si>
  <si>
    <t>Maestri e no : dodici incontri tra vita e letteratura / Sebastiano Vassalli.</t>
  </si>
  <si>
    <t>Vassalli, Sebastiano.</t>
  </si>
  <si>
    <t>Novara : Interlinea, 2012.</t>
  </si>
  <si>
    <t>Biblioteca del Centro novarese di studi letterari ; 55 Saggi e testi</t>
  </si>
  <si>
    <t>1117899111:ita</t>
  </si>
  <si>
    <t>794580123</t>
  </si>
  <si>
    <t>ocn794580123</t>
  </si>
  <si>
    <t>3103125832F</t>
  </si>
  <si>
    <t>9788882128005</t>
  </si>
  <si>
    <t>794920047</t>
  </si>
  <si>
    <t>PQ4087 V44 2006</t>
  </si>
  <si>
    <t>0                      PQ 4087000V  44          2006</t>
  </si>
  <si>
    <t>Vested voices : literary transvestism in Italian literature / Erminia Passannanti, Rossella Riccobono (eds.).</t>
  </si>
  <si>
    <t>Leicester : Troubador, 2006.</t>
  </si>
  <si>
    <t>Transference</t>
  </si>
  <si>
    <t>2017-04-27</t>
  </si>
  <si>
    <t>364185487:eng</t>
  </si>
  <si>
    <t>75966194</t>
  </si>
  <si>
    <t>ocm75966194</t>
  </si>
  <si>
    <t>31025687502</t>
  </si>
  <si>
    <t>9781905237104</t>
  </si>
  <si>
    <t>794175399</t>
  </si>
  <si>
    <t>PQ4087 Z35 2011</t>
  </si>
  <si>
    <t>0                      PQ 4087000Z  35          2011</t>
  </si>
  <si>
    <t>Scrittrici : scrittori : saggi di letteratura contemporanea / Patrizia Zambon.</t>
  </si>
  <si>
    <t>Zambon, Patrizia.</t>
  </si>
  <si>
    <t>Padova : Il poligrafo, ©2011.</t>
  </si>
  <si>
    <t>Il testo e le forme / Dipartimento di italianistica dell'Università degli studi di Padova ; 4</t>
  </si>
  <si>
    <t>1042848329:ita</t>
  </si>
  <si>
    <t>760053830</t>
  </si>
  <si>
    <t>ocn760053830</t>
  </si>
  <si>
    <t>3103125576G</t>
  </si>
  <si>
    <t>9788871157207</t>
  </si>
  <si>
    <t>794898170</t>
  </si>
  <si>
    <t>PQ4088 A37 2014</t>
  </si>
  <si>
    <t>0                      PQ 4088000A  37          2014</t>
  </si>
  <si>
    <t>Ciò che ritorna : gli effetti della guerra nella letteratura italiana del Novecento / Giancarlo Alfano.</t>
  </si>
  <si>
    <t>Resoconti di letteratura italiana ; 11</t>
  </si>
  <si>
    <t>2516729848:ita</t>
  </si>
  <si>
    <t>892848976</t>
  </si>
  <si>
    <t>ocn892848976</t>
  </si>
  <si>
    <t>31036647283</t>
  </si>
  <si>
    <t>9788876675072</t>
  </si>
  <si>
    <t>794981171</t>
  </si>
  <si>
    <t>PQ4088 B356 2016</t>
  </si>
  <si>
    <t>0                      PQ 4088000B  356         2016</t>
  </si>
  <si>
    <t>Il codice del corpo : genere e sessualità nella letteratura italiana del Novecento / Marco Antonio Bazzocchi.</t>
  </si>
  <si>
    <t>Bazzocchi, Marco Antonio, author.</t>
  </si>
  <si>
    <t>Bologna : Pendragon, [2016]</t>
  </si>
  <si>
    <t>2966444242:ita</t>
  </si>
  <si>
    <t>945659259</t>
  </si>
  <si>
    <t>ocn945659259</t>
  </si>
  <si>
    <t>3103564810G</t>
  </si>
  <si>
    <t>9788865987100</t>
  </si>
  <si>
    <t>795013765</t>
  </si>
  <si>
    <t>PQ4088 B385 2007</t>
  </si>
  <si>
    <t>0                      PQ 4088000B  385         2007</t>
  </si>
  <si>
    <t>The tigress in the snow : motherhood and literature in twentieth-century Italy / Laura Benedetti.</t>
  </si>
  <si>
    <t>Benedetti, Laura.</t>
  </si>
  <si>
    <t>Toronto ; Buffalo : University of Toronto Press, ©2007.</t>
  </si>
  <si>
    <t>2019-12-03</t>
  </si>
  <si>
    <t>320918936:eng</t>
  </si>
  <si>
    <t>155849481</t>
  </si>
  <si>
    <t>ocn155849481</t>
  </si>
  <si>
    <t>31027053587</t>
  </si>
  <si>
    <t>9780802097446</t>
  </si>
  <si>
    <t>794253827</t>
  </si>
  <si>
    <t>PQ4088 B566 2010</t>
  </si>
  <si>
    <t>0                      PQ 4088000B  566         2010</t>
  </si>
  <si>
    <t>Il tempo e l'evento : Dino Buzzati e l'Italia magica / Alvaro Biondi.</t>
  </si>
  <si>
    <t>Biondi, Alvaro.</t>
  </si>
  <si>
    <t>Roma : Bulzoni, 2010.</t>
  </si>
  <si>
    <t>Narrativa Novecento ; 8</t>
  </si>
  <si>
    <t>766686046:ita</t>
  </si>
  <si>
    <t>694057286</t>
  </si>
  <si>
    <t>ocn694057286</t>
  </si>
  <si>
    <t>3103125258T</t>
  </si>
  <si>
    <t>9788878705159</t>
  </si>
  <si>
    <t>794857090</t>
  </si>
  <si>
    <t>PQ4088 B57 2002</t>
  </si>
  <si>
    <t>0                      PQ 4088000B  57          2002</t>
  </si>
  <si>
    <t>Scrittori e miti totalitari : Malaparte, Pratolini, Silone / Marino Biondi.</t>
  </si>
  <si>
    <t>Biondi, Marino.</t>
  </si>
  <si>
    <t>Firenze : Polistampa, ©2002.</t>
  </si>
  <si>
    <t>2018-04-05</t>
  </si>
  <si>
    <t>891824991:ita</t>
  </si>
  <si>
    <t>49983208</t>
  </si>
  <si>
    <t>ocm49983208</t>
  </si>
  <si>
    <t>3102285198W</t>
  </si>
  <si>
    <t>9788883044168</t>
  </si>
  <si>
    <t>793752808</t>
  </si>
  <si>
    <t>PQ4088 B764 2012</t>
  </si>
  <si>
    <t>0                      PQ 4088000B  764         2012</t>
  </si>
  <si>
    <t>Giovani : vita e scrittura tra fascismo e dopoguerra / Daniela Brogi.</t>
  </si>
  <si>
    <t>Brogi, Daniela.</t>
  </si>
  <si>
    <t>Palermo : Duepunti, ©2012.</t>
  </si>
  <si>
    <t>Dossier ; 8</t>
  </si>
  <si>
    <t>1366236193:ita</t>
  </si>
  <si>
    <t>852145377</t>
  </si>
  <si>
    <t>ocn852145377</t>
  </si>
  <si>
    <t>3103126295H</t>
  </si>
  <si>
    <t>9788889987964</t>
  </si>
  <si>
    <t>794951153</t>
  </si>
  <si>
    <t>PQ4088 C25 2015</t>
  </si>
  <si>
    <t>0                      PQ 4088000C  25          2015</t>
  </si>
  <si>
    <t>Primo Novecento : con analisi specifiche su Pascoli, d'Annunzio, Saba e Montale / Giuseppe Antonio Camerino.</t>
  </si>
  <si>
    <t>Camerino, Giuseppe Antonio, author.</t>
  </si>
  <si>
    <t>Avellino : Edizioni Sinestesie, [2015]</t>
  </si>
  <si>
    <t>Biblioteca di Sinestesie ; 29</t>
  </si>
  <si>
    <t>2598631504:ita</t>
  </si>
  <si>
    <t>922837005</t>
  </si>
  <si>
    <t>ocn922837005</t>
  </si>
  <si>
    <t>31036302983</t>
  </si>
  <si>
    <t>9788898169849</t>
  </si>
  <si>
    <t>795004161</t>
  </si>
  <si>
    <t>PQ4088 C27 1978</t>
  </si>
  <si>
    <t>0                      PQ 4088000C  27          1978</t>
  </si>
  <si>
    <t>Letteratura e classi subalterne / Ferdinando Camon.</t>
  </si>
  <si>
    <t>Camon, Ferdinando, 1935-</t>
  </si>
  <si>
    <t>Padova : Marsilio Editori, 1978, ©1974.</t>
  </si>
  <si>
    <t>2. ed.</t>
  </si>
  <si>
    <t>Saggi (Marsilio Editori) ; n. 60</t>
  </si>
  <si>
    <t>4159855345:ita</t>
  </si>
  <si>
    <t>11271881</t>
  </si>
  <si>
    <t>ocm11271881</t>
  </si>
  <si>
    <t>3100961427Z</t>
  </si>
  <si>
    <t>792766336</t>
  </si>
  <si>
    <t>PQ4088 C2892 2017</t>
  </si>
  <si>
    <t>0                      PQ 4088000C  2892        2017</t>
  </si>
  <si>
    <t>I fronti della scrittura : letteratura e Grande Guerra / Giovanni Capecchi.</t>
  </si>
  <si>
    <t>Capecchi, Giovanni, author.</t>
  </si>
  <si>
    <t>Milano : Edizioni Unicopli, febbraio 2017.</t>
  </si>
  <si>
    <t>Biblioteca di storia contemporanea ; 53</t>
  </si>
  <si>
    <t>4403919624:ita</t>
  </si>
  <si>
    <t>984475420</t>
  </si>
  <si>
    <t>ocn984475420</t>
  </si>
  <si>
    <t>3103718160Y</t>
  </si>
  <si>
    <t>9788840019345</t>
  </si>
  <si>
    <t>795034999</t>
  </si>
  <si>
    <t>PQ4088 C38 2005</t>
  </si>
  <si>
    <t>0                      PQ 4088000C  38          2005</t>
  </si>
  <si>
    <t>Women of a certain age : contemporary Italian fictions of female aging / Rita C. Cavigioli.</t>
  </si>
  <si>
    <t>Cavigioli, Rita.</t>
  </si>
  <si>
    <t>Madison, N.J. : Fairleigh Dickinson University Press, 2005.</t>
  </si>
  <si>
    <t>2019-04-12</t>
  </si>
  <si>
    <t>801692107:eng</t>
  </si>
  <si>
    <t>58043399</t>
  </si>
  <si>
    <t>ocm58043399</t>
  </si>
  <si>
    <t>3102491709V</t>
  </si>
  <si>
    <t>9780838640654</t>
  </si>
  <si>
    <t>793919683</t>
  </si>
  <si>
    <t>PQ4088 C39 2010</t>
  </si>
  <si>
    <t>0                      PQ 4088000C  39          2010</t>
  </si>
  <si>
    <t>Scrivere contro : viaggio nella narrativa sperimentale italiana del XX secolo / Beppe Cavatorta.</t>
  </si>
  <si>
    <t>Cavatorta, Beppe.</t>
  </si>
  <si>
    <t>Piacenza : Scritture, 2010.</t>
  </si>
  <si>
    <t>772527482:ita</t>
  </si>
  <si>
    <t>698165266</t>
  </si>
  <si>
    <t>ocn698165266</t>
  </si>
  <si>
    <t>3103125265R</t>
  </si>
  <si>
    <t>9788889864265</t>
  </si>
  <si>
    <t>794860662</t>
  </si>
  <si>
    <t>PQ4088 C562 2016</t>
  </si>
  <si>
    <t>0                      PQ 4088000C  562         2016</t>
  </si>
  <si>
    <t>Sulle tracce del surrealismo italiano : (flâneurs, visionari, sognatori) / Silvana Cirillo.</t>
  </si>
  <si>
    <t>Cirillo, Silvana, author.</t>
  </si>
  <si>
    <t>Padova : Esedra editrice, [2016]</t>
  </si>
  <si>
    <t>Il drappo verde ; 7</t>
  </si>
  <si>
    <t>3171004865:ita</t>
  </si>
  <si>
    <t>953450252</t>
  </si>
  <si>
    <t>ocn953450252</t>
  </si>
  <si>
    <t>3103662120G</t>
  </si>
  <si>
    <t>9788860580719</t>
  </si>
  <si>
    <t>795018745</t>
  </si>
  <si>
    <t>PQ4088 C66 2017</t>
  </si>
  <si>
    <t>0                      PQ 4088000C  66          2017</t>
  </si>
  <si>
    <t>Marginalia : autori e opere ai margini del Novecento / Daniele Comberiati.</t>
  </si>
  <si>
    <t>Comberiati, Daniele, 1979- author.</t>
  </si>
  <si>
    <t>Canterano (RM) : Aracne editrice, settembre 2017.</t>
  </si>
  <si>
    <t>Fuori margine ; 1</t>
  </si>
  <si>
    <t>4752298536:ita</t>
  </si>
  <si>
    <t>1022082955</t>
  </si>
  <si>
    <t>on1022082955</t>
  </si>
  <si>
    <t>31037208506</t>
  </si>
  <si>
    <t>9788825505863</t>
  </si>
  <si>
    <t>795051326</t>
  </si>
  <si>
    <t>PQ4088 C666 2015</t>
  </si>
  <si>
    <t>0                      PQ 4088000C  666         2015</t>
  </si>
  <si>
    <t>Anni di piombo, penne di latta : (1963-1980, gli scrittori dentro gli anni complicati) / Roberto Contu.</t>
  </si>
  <si>
    <t>Contu, Roberto, 1976- author.</t>
  </si>
  <si>
    <t>Passignano s.T. : Aguaplano, [2015]</t>
  </si>
  <si>
    <t>Aguaplano/Biblioteca</t>
  </si>
  <si>
    <t>9738020731:ita</t>
  </si>
  <si>
    <t>914252731</t>
  </si>
  <si>
    <t>ocn914252731</t>
  </si>
  <si>
    <t>3103629971U</t>
  </si>
  <si>
    <t>9788897738527</t>
  </si>
  <si>
    <t>795000011</t>
  </si>
  <si>
    <t>PQ4088 C668 2016</t>
  </si>
  <si>
    <t>0                      PQ 4088000C  668         2016</t>
  </si>
  <si>
    <t>Da Primo Levi alla generazione dei "salvati" : incursioni critiche nella letteratura italiana della Shoah dal dopoguerra ai giorni nostri : atti del Convegno internazionale sulla letteratura italiana della Shoah, Zurigo, 10-11 maggio 2016 / a cura di Sibilla Destefani.</t>
  </si>
  <si>
    <t>Convegno internazionale sulla letteratura italiana della Shoah (2016 : Zurich, Switzerland)</t>
  </si>
  <si>
    <t>Firenze : Giuntina, [2017]</t>
  </si>
  <si>
    <t>4229081442:ita</t>
  </si>
  <si>
    <t>988336498</t>
  </si>
  <si>
    <t>ocn988336498</t>
  </si>
  <si>
    <t>3103721135P</t>
  </si>
  <si>
    <t>9788880577010</t>
  </si>
  <si>
    <t>795036719</t>
  </si>
  <si>
    <t>PQ4088 C676 2010</t>
  </si>
  <si>
    <t>0                      PQ 4088000C  676         2010</t>
  </si>
  <si>
    <t>Negli archivi e per le strade : il ritorno alla realtà nella narrativa di inizio millennio / a cura di Luca Somigli.</t>
  </si>
  <si>
    <t>Convegno "Negli archivi e per le strade, il "ritorno al reale" nella narrativa italiana di inizio millennio" (2010 : University of Toronto)</t>
  </si>
  <si>
    <t>Roma : Aracne, 2013.</t>
  </si>
  <si>
    <t>2018-05-24</t>
  </si>
  <si>
    <t>1366236012:ita</t>
  </si>
  <si>
    <t>840430352</t>
  </si>
  <si>
    <t>ocn840430352</t>
  </si>
  <si>
    <t>31035865059</t>
  </si>
  <si>
    <t>9788854858626</t>
  </si>
  <si>
    <t>794945958</t>
  </si>
  <si>
    <t>PQ4088 D23 2002</t>
  </si>
  <si>
    <t>0                      PQ 4088000D  23          2002</t>
  </si>
  <si>
    <t>Da Calvino agli ipertesti : prospettive della postmodernità nella letteratura italiana / a cura di Laura Rorato, Simona Storchi.</t>
  </si>
  <si>
    <t>Firenze : F. Cesati, ©2002.</t>
  </si>
  <si>
    <t>Quaderni della Rassegna ; 25</t>
  </si>
  <si>
    <t>2015-06-04</t>
  </si>
  <si>
    <t>890854867:ita</t>
  </si>
  <si>
    <t>51534189</t>
  </si>
  <si>
    <t>ocm51534189</t>
  </si>
  <si>
    <t>3102300371A</t>
  </si>
  <si>
    <t>9788876671340</t>
  </si>
  <si>
    <t>793786311</t>
  </si>
  <si>
    <t>PQ4088 D476 2015</t>
  </si>
  <si>
    <t>0                      PQ 4088000D  476         2015</t>
  </si>
  <si>
    <t>La scrittura e la malattia : il "male oscuro" della letteratura / Carlo Di Lieto ; prefazione di Claudio Toscani.</t>
  </si>
  <si>
    <t>Di Lieto, Carlo, author.</t>
  </si>
  <si>
    <t>Venezia : Marsilio, maggio 2015.</t>
  </si>
  <si>
    <t>Ricerche</t>
  </si>
  <si>
    <t>2615981708:ita</t>
  </si>
  <si>
    <t>913217643</t>
  </si>
  <si>
    <t>ocn913217643</t>
  </si>
  <si>
    <t>3103629980T</t>
  </si>
  <si>
    <t>9788831721493</t>
  </si>
  <si>
    <t>794999239</t>
  </si>
  <si>
    <t>PQ4088 D86 2006</t>
  </si>
  <si>
    <t>0                      PQ 4088000D  86          2006</t>
  </si>
  <si>
    <t>Reading and writing Italian homosexuality : a case of possible difference / Derek Duncan.</t>
  </si>
  <si>
    <t>Duncan, Derek.</t>
  </si>
  <si>
    <t>Aldershot, Hampshire, England ; Burlington, VT : Ashgate, ©2006.</t>
  </si>
  <si>
    <t>2017-11-17</t>
  </si>
  <si>
    <t>20296771:eng</t>
  </si>
  <si>
    <t>59280004</t>
  </si>
  <si>
    <t>ocm59280004</t>
  </si>
  <si>
    <t>3102489046H</t>
  </si>
  <si>
    <t>9780754653912</t>
  </si>
  <si>
    <t>793929023</t>
  </si>
  <si>
    <t>PQ4088 E53 2017</t>
  </si>
  <si>
    <t>0                      PQ 4088000E  53          2017</t>
  </si>
  <si>
    <t>Encounters with the real in contemporary Italian literature and cinema / edited by Loredana Di Martino and Pasquale Verdicchio.</t>
  </si>
  <si>
    <t>Newcastle upon Tyne, UK : Cambridge Scholars Publishing, 2017.</t>
  </si>
  <si>
    <t>This book first published 2017.</t>
  </si>
  <si>
    <t>3921127349:eng</t>
  </si>
  <si>
    <t>961199565</t>
  </si>
  <si>
    <t>ocn961199565</t>
  </si>
  <si>
    <t>3103704241N</t>
  </si>
  <si>
    <t>9781443811231</t>
  </si>
  <si>
    <t>795023704</t>
  </si>
  <si>
    <t>PQ4088 F336 2017</t>
  </si>
  <si>
    <t>0                      PQ 4088000F  336         2017</t>
  </si>
  <si>
    <t>Soliloqui e tradimenti : narrativa italiana tra modernismo e postmoderno / Patrizia Farinelli.</t>
  </si>
  <si>
    <t>Farinelli, Patrizia, author.</t>
  </si>
  <si>
    <t>Roma : Edizioni di storia e letteratura, settembre 2017.</t>
  </si>
  <si>
    <t>Letture di pensiero e d'arte ; 114</t>
  </si>
  <si>
    <t>4544808299:ita</t>
  </si>
  <si>
    <t>1015194650</t>
  </si>
  <si>
    <t>on1015194650</t>
  </si>
  <si>
    <t>3103721214T</t>
  </si>
  <si>
    <t>9788893590747</t>
  </si>
  <si>
    <t>795047776</t>
  </si>
  <si>
    <t>PQ4088 F4</t>
  </si>
  <si>
    <t>0                      PQ 4088000F  4</t>
  </si>
  <si>
    <t>La letteratura del rifiuto.</t>
  </si>
  <si>
    <t>Ferretti, Gian Carlo, 1930-</t>
  </si>
  <si>
    <t>[Milano] Mursia [1968]</t>
  </si>
  <si>
    <t>1968</t>
  </si>
  <si>
    <t>Civiltà letteraria del Novecento. Saggi n. 12 ^A237091 ^A237091</t>
  </si>
  <si>
    <t>2018-04-06</t>
  </si>
  <si>
    <t>9988623686:ita</t>
  </si>
  <si>
    <t>12280212</t>
  </si>
  <si>
    <t>ocm12280212</t>
  </si>
  <si>
    <t>3000618260Y</t>
  </si>
  <si>
    <t>792808699</t>
  </si>
  <si>
    <t>PQ4088 F47 2013</t>
  </si>
  <si>
    <t>0                      PQ 4088000F  47          2013</t>
  </si>
  <si>
    <t>The rhetoric of violence and sacrifice in fascist Italy : Mussolini, Gadda, Vittorini / Chiara Ferrari.</t>
  </si>
  <si>
    <t>Ferrari, Chiara, author.</t>
  </si>
  <si>
    <t>Toronto : University of Toronto Press, [2013]</t>
  </si>
  <si>
    <t>2015-12-03</t>
  </si>
  <si>
    <t>1304045159:eng</t>
  </si>
  <si>
    <t>842499894</t>
  </si>
  <si>
    <t>ocn842499894</t>
  </si>
  <si>
    <t>3103492610L</t>
  </si>
  <si>
    <t>9781442645677</t>
  </si>
  <si>
    <t>794947534</t>
  </si>
  <si>
    <t>PQ4088 F77 2010</t>
  </si>
  <si>
    <t>0                      PQ 4088000F  77          2010</t>
  </si>
  <si>
    <t>Fuori centro : percorsi postcoloniali nella letteratura italiana / a cura di Roberto Derobertis.</t>
  </si>
  <si>
    <t>Roma : Aracne, ©2010.</t>
  </si>
  <si>
    <t>Scienze dell'antichità, filologico-letterarie e storico-artistiche ; 612</t>
  </si>
  <si>
    <t>796457039:ita</t>
  </si>
  <si>
    <t>644523550</t>
  </si>
  <si>
    <t>ocn644523550</t>
  </si>
  <si>
    <t>31031251035</t>
  </si>
  <si>
    <t>9788854831902</t>
  </si>
  <si>
    <t>794829208</t>
  </si>
  <si>
    <t>PQ4088 G536 2011</t>
  </si>
  <si>
    <t>0                      PQ 4088000G  536         2011</t>
  </si>
  <si>
    <t>L'esilio e l'attesa : scritture del dispatrio da Fausta Cialente a Luigi Meneghello / Andrea Gialloreto.</t>
  </si>
  <si>
    <t>Gialloreto, Andrea, 1975-</t>
  </si>
  <si>
    <t>Lanciano : Carabba, ©2011.</t>
  </si>
  <si>
    <t>Universale Carabba. Sezione studi</t>
  </si>
  <si>
    <t>943034306:ita</t>
  </si>
  <si>
    <t>741557563</t>
  </si>
  <si>
    <t>ocn741557563</t>
  </si>
  <si>
    <t>3103125505U</t>
  </si>
  <si>
    <t>9788863441567</t>
  </si>
  <si>
    <t>794884318</t>
  </si>
  <si>
    <t>PQ4088 I8</t>
  </si>
  <si>
    <t>0                      PQ 4088000I  8</t>
  </si>
  <si>
    <t>Il mito della grande guerra da Marinetti a Malaparte.</t>
  </si>
  <si>
    <t>Isnenghi, Mario, 1938-</t>
  </si>
  <si>
    <t>Bari, Laterza, 1970.</t>
  </si>
  <si>
    <t>1970</t>
  </si>
  <si>
    <t>Biblioteca di cultura moderna, 686</t>
  </si>
  <si>
    <t>2018-11-22</t>
  </si>
  <si>
    <t>349275765:ita</t>
  </si>
  <si>
    <t>941353</t>
  </si>
  <si>
    <t>ocm00941353</t>
  </si>
  <si>
    <t>3000617228Z</t>
  </si>
  <si>
    <t>791507614</t>
  </si>
  <si>
    <t>PQ4088 L32 2012</t>
  </si>
  <si>
    <t>0                      PQ 4088000L  32          2012</t>
  </si>
  <si>
    <t>Una noia mortale : il tema del doppio nella letteratura italiana del Novecento / Beatrice Laghezza.</t>
  </si>
  <si>
    <t>Laghezza, Beatrice.</t>
  </si>
  <si>
    <t>Ghezzano (PI) [i.e. Pisa, Italy] : Felici, 2012.</t>
  </si>
  <si>
    <t>Studi italianistici ; 2</t>
  </si>
  <si>
    <t>2015-10-28</t>
  </si>
  <si>
    <t>1203411987:ita</t>
  </si>
  <si>
    <t>824727687</t>
  </si>
  <si>
    <t>ocn824727687</t>
  </si>
  <si>
    <t>3103126090N</t>
  </si>
  <si>
    <t>9788860196101</t>
  </si>
  <si>
    <t>794938216</t>
  </si>
  <si>
    <t>PQ4088 L385 2011</t>
  </si>
  <si>
    <t>0                      PQ 4088000L  385         2011</t>
  </si>
  <si>
    <t>After words : suicide and authorship in twentieth-century Italy / Elizabeth Leake.</t>
  </si>
  <si>
    <t>Leake, Elizabeth.</t>
  </si>
  <si>
    <t>Toronto ; Buffalo : University of Toronto Press, ©2011.</t>
  </si>
  <si>
    <t>2015-11-29</t>
  </si>
  <si>
    <t>793968823:eng</t>
  </si>
  <si>
    <t>704533204</t>
  </si>
  <si>
    <t>ocn704533204</t>
  </si>
  <si>
    <t>3103267943D</t>
  </si>
  <si>
    <t>9780802092793</t>
  </si>
  <si>
    <t>794865755</t>
  </si>
  <si>
    <t>PQ4088 L474 2004</t>
  </si>
  <si>
    <t>0                      PQ 4088000L  474         2004</t>
  </si>
  <si>
    <t>La letteratura postcoloniale italiana : dalla letteratura d'immigrazione all'incontro con l'altro.</t>
  </si>
  <si>
    <t>Pisa : Istituti editoriali e poligrafici internazionali, ©2005.</t>
  </si>
  <si>
    <t>Quaderni del '900, 1720-0180 ; 4 (2004)</t>
  </si>
  <si>
    <t>2019-02-22</t>
  </si>
  <si>
    <t>20566706:ita</t>
  </si>
  <si>
    <t>61733909</t>
  </si>
  <si>
    <t>ocm61733909</t>
  </si>
  <si>
    <t>3102511845H</t>
  </si>
  <si>
    <t>9788881473755</t>
  </si>
  <si>
    <t>794092080</t>
  </si>
  <si>
    <t>PQ4088 M29813 2006</t>
  </si>
  <si>
    <t>0                      PQ 4088000M  29813       2006</t>
  </si>
  <si>
    <t>Critical writings / F.T. Marinetti ; edited by Günter Berghaus ; translated by Doug Thompson.</t>
  </si>
  <si>
    <t>Marinetti, F. T., 1876-1944.</t>
  </si>
  <si>
    <t>New York : Farrar, Straus, and Giroux, 2006.</t>
  </si>
  <si>
    <t>2017-07-13</t>
  </si>
  <si>
    <t>9593646578:eng</t>
  </si>
  <si>
    <t>61353070</t>
  </si>
  <si>
    <t>ocm61353070</t>
  </si>
  <si>
    <t>3102591920F</t>
  </si>
  <si>
    <t>9780374260835</t>
  </si>
  <si>
    <t>793951542</t>
  </si>
  <si>
    <t>2013-02-18</t>
  </si>
  <si>
    <t>31034021167</t>
  </si>
  <si>
    <t>793951541</t>
  </si>
  <si>
    <t>PQ4088 M57 2017</t>
  </si>
  <si>
    <t>0                      PQ 4088000M  57          2017</t>
  </si>
  <si>
    <t>Piaceri invisibili : retorica della cecità in D'Annunzio, Pasolini, Calvino / Andrea Mirabile.</t>
  </si>
  <si>
    <t>Mirabile, Andrea, 1975- author.</t>
  </si>
  <si>
    <t>Ia edizione.</t>
  </si>
  <si>
    <t>Lingue e letterature Carocci ; 226</t>
  </si>
  <si>
    <t>4218865958:ita</t>
  </si>
  <si>
    <t>980302156</t>
  </si>
  <si>
    <t>ocn980302156</t>
  </si>
  <si>
    <t>31037169733</t>
  </si>
  <si>
    <t>9788843084883</t>
  </si>
  <si>
    <t>795033652</t>
  </si>
  <si>
    <t>PQ4088 M67 2015</t>
  </si>
  <si>
    <t>0                      PQ 4088000M  67          2015</t>
  </si>
  <si>
    <t>Conversations with the self : intimate suffering in the narratives of Esther Tusquets, Alberto Asor Rosa and Elsa Morante / Christian G. Moretti.</t>
  </si>
  <si>
    <t>Moretti, Christian G., author.</t>
  </si>
  <si>
    <t>Leics : Troubador, [2015]</t>
  </si>
  <si>
    <t>2239667931:eng</t>
  </si>
  <si>
    <t>897448088</t>
  </si>
  <si>
    <t>ocn897448088</t>
  </si>
  <si>
    <t>3103611557C</t>
  </si>
  <si>
    <t>9781784621353</t>
  </si>
  <si>
    <t>794985145</t>
  </si>
  <si>
    <t>PQ4088 N44 2015</t>
  </si>
  <si>
    <t>0                      PQ 4088000N  44          2015</t>
  </si>
  <si>
    <t>Il mondo, il grido, la parola : la questione linguistica nella letteratura postcoloniale italiana / Maria Grazia Negro.</t>
  </si>
  <si>
    <t>Negro, M. Grazia (Maria Grazia), author.</t>
  </si>
  <si>
    <t>Strumenti di letteratura italiana ; 53</t>
  </si>
  <si>
    <t>2780019417:ita</t>
  </si>
  <si>
    <t>919440568</t>
  </si>
  <si>
    <t>ocn919440568</t>
  </si>
  <si>
    <t>31036242387</t>
  </si>
  <si>
    <t>9788876675461</t>
  </si>
  <si>
    <t>795001820</t>
  </si>
  <si>
    <t>PQ4088 N45 2010</t>
  </si>
  <si>
    <t>0                      PQ 4088000N  45          2010</t>
  </si>
  <si>
    <t>Neoavanguardia : Italian experimental literature and arts in the 1960s / edited by Paolo Chirumbolo, Mario Moroni, and Luca Somigli.</t>
  </si>
  <si>
    <t>Toronto ; Buffalo, NY : University of Toronto Press, ©2010.</t>
  </si>
  <si>
    <t>796149821:eng</t>
  </si>
  <si>
    <t>466659600</t>
  </si>
  <si>
    <t>ocn466659600</t>
  </si>
  <si>
    <t>3103266940H</t>
  </si>
  <si>
    <t>9780802099983</t>
  </si>
  <si>
    <t>794794841</t>
  </si>
  <si>
    <t>PQ4088 N59 2014</t>
  </si>
  <si>
    <t>0                      PQ 4088000N  59          2014</t>
  </si>
  <si>
    <t>Le nuove forme dell'impegno letterario in Italia / a cura di Federica Lorenzi, Lia Perrone.</t>
  </si>
  <si>
    <t>Nouvelles formes de l'engagement littéraire en Italie (Conference) (2014 : Université Nice Sophia Antipolis)</t>
  </si>
  <si>
    <t>Gallica-Italica ; 4</t>
  </si>
  <si>
    <t>2552448864:ita</t>
  </si>
  <si>
    <t>911267399</t>
  </si>
  <si>
    <t>ocn911267399</t>
  </si>
  <si>
    <t>31036278296</t>
  </si>
  <si>
    <t>9788896117514</t>
  </si>
  <si>
    <t>794998285</t>
  </si>
  <si>
    <t>PQ4088 P87 2010</t>
  </si>
  <si>
    <t>0                      PQ 4088000P  87          2010</t>
  </si>
  <si>
    <t>Lo sguardo del mare : scrittori italiani al confino e rappresentazione letteraria dell'immagine marina nel Novecento / Michele A. Purpura.</t>
  </si>
  <si>
    <t>Purpura, Michele A. (Michele Angelo)</t>
  </si>
  <si>
    <t>Palermo : Kalós, ©2010.</t>
  </si>
  <si>
    <t>Buchi neri</t>
  </si>
  <si>
    <t>764588836:ita</t>
  </si>
  <si>
    <t>692270093</t>
  </si>
  <si>
    <t>ocn692270093</t>
  </si>
  <si>
    <t>3103125249V</t>
  </si>
  <si>
    <t>9788889224939</t>
  </si>
  <si>
    <t>794856013</t>
  </si>
  <si>
    <t>PQ4088 R29 2017</t>
  </si>
  <si>
    <t>0                      PQ 4088000R  29          2017</t>
  </si>
  <si>
    <t>Raccontare la guerra : i conflitti bellici e la modernità / a cura di Nicola Turi.</t>
  </si>
  <si>
    <t>Firenze : Firenze University Press, 2017.</t>
  </si>
  <si>
    <t>Moderna/comparata ; 20</t>
  </si>
  <si>
    <t>4575962094:ita</t>
  </si>
  <si>
    <t>1003391327</t>
  </si>
  <si>
    <t>on1003391327</t>
  </si>
  <si>
    <t>3103721240S</t>
  </si>
  <si>
    <t>9788864535159</t>
  </si>
  <si>
    <t>795041585</t>
  </si>
  <si>
    <t>PQ4088 S37 1991</t>
  </si>
  <si>
    <t>0                      PQ 4088000S  37          1991</t>
  </si>
  <si>
    <t>Intrecci di voci : la polifonia nella letteratura del Novecento / Cesare Segre.</t>
  </si>
  <si>
    <t>Segre, Cesare.</t>
  </si>
  <si>
    <t>Torino : G. Einaudi, ©1991.</t>
  </si>
  <si>
    <t>Einaudi paperbacks ; 214</t>
  </si>
  <si>
    <t>2017-02-15</t>
  </si>
  <si>
    <t>347520006:ita</t>
  </si>
  <si>
    <t>24955744</t>
  </si>
  <si>
    <t>ocm24955744</t>
  </si>
  <si>
    <t>31012159214</t>
  </si>
  <si>
    <t>9788806124120</t>
  </si>
  <si>
    <t>793209031</t>
  </si>
  <si>
    <t>PQ4088 S37 2017</t>
  </si>
  <si>
    <t>0                      PQ 4088000S  37          2017</t>
  </si>
  <si>
    <t>Scrivere tra le lingue : migrazione, bilinguismo, plurilinguismo e poetiche della frontiera nell'Italia contemporanea (1980-2015) / a cura di Daniele Comberiati, Flaviano Pisanelli ; contributi di Myriam El Menyar [and sixteen others].</t>
  </si>
  <si>
    <t>Canterano (RM) : Aracne editrice, maggio 2017.</t>
  </si>
  <si>
    <t>4512392571:ita</t>
  </si>
  <si>
    <t>999383428</t>
  </si>
  <si>
    <t>ocn999383428</t>
  </si>
  <si>
    <t>3103721237H</t>
  </si>
  <si>
    <t>9788825502879</t>
  </si>
  <si>
    <t>795039894</t>
  </si>
  <si>
    <t>PQ4088 S39175 2015</t>
  </si>
  <si>
    <t>0                      PQ 4088000S  39175       2015</t>
  </si>
  <si>
    <t>Landscapes in between : environmental change in modern Italian literature and film / Monica Seger.</t>
  </si>
  <si>
    <t>Seger, Monica, 1980- author.</t>
  </si>
  <si>
    <t>2015-06-10</t>
  </si>
  <si>
    <t>2081939925:eng</t>
  </si>
  <si>
    <t>891408493</t>
  </si>
  <si>
    <t>ocn891408493</t>
  </si>
  <si>
    <t>31034959022</t>
  </si>
  <si>
    <t>9781442649194</t>
  </si>
  <si>
    <t>794980126</t>
  </si>
  <si>
    <t>PQ4088 S48 2011</t>
  </si>
  <si>
    <t>0                      PQ 4088000S  48          2011</t>
  </si>
  <si>
    <t>Il simbolico in gioco : letture situate di scrittrici del Novecento / a cura di Aida Ribero, Luisa Ricaldone.</t>
  </si>
  <si>
    <t>Soggetti rivelati ; 38</t>
  </si>
  <si>
    <t>909079596:ita</t>
  </si>
  <si>
    <t>730397303</t>
  </si>
  <si>
    <t>ocn730397303</t>
  </si>
  <si>
    <t>3103125439R</t>
  </si>
  <si>
    <t>9788871157368</t>
  </si>
  <si>
    <t>794879975</t>
  </si>
  <si>
    <t>PQ4088 S488 2018</t>
  </si>
  <si>
    <t>0                      PQ 4088000S  488         2018</t>
  </si>
  <si>
    <t>Sistema periodico : il secolo interminabile delle riviste / a cura di Francesco Bortolotto, Eleonora Fuochi, Davide Antonio Paone e Federica Parodi.</t>
  </si>
  <si>
    <t>Bologna : Pendragon, [2018]</t>
  </si>
  <si>
    <t>Sfere</t>
  </si>
  <si>
    <t>2019-04-05</t>
  </si>
  <si>
    <t>5311903709:ita</t>
  </si>
  <si>
    <t>1043251269</t>
  </si>
  <si>
    <t>on1043251269</t>
  </si>
  <si>
    <t>3103785031I</t>
  </si>
  <si>
    <t>9788865989746</t>
  </si>
  <si>
    <t>795059641</t>
  </si>
  <si>
    <t>PQ4088 S63 1996</t>
  </si>
  <si>
    <t>0                      PQ 4088000S  63          1996</t>
  </si>
  <si>
    <t>Social pluralism and literary history : the literature of the Italian emigration / edited and with an introduction by Francesco Loriggio.</t>
  </si>
  <si>
    <t>Toronto ; New York : Guernica, 1996.</t>
  </si>
  <si>
    <t>Essay series : ; 22</t>
  </si>
  <si>
    <t>2018-09-26</t>
  </si>
  <si>
    <t>33947942:eng</t>
  </si>
  <si>
    <t>32015862</t>
  </si>
  <si>
    <t>ocm32015862</t>
  </si>
  <si>
    <t>31017415581</t>
  </si>
  <si>
    <t>9781550710182</t>
  </si>
  <si>
    <t>793373475</t>
  </si>
  <si>
    <t>PQ4088 S845 2012</t>
  </si>
  <si>
    <t>0                      PQ 4088000S  845         2012</t>
  </si>
  <si>
    <t>Sul modernismo italiano / a cura di Romano Luperini, Massimiliano Tortora.</t>
  </si>
  <si>
    <t>2019-10-23</t>
  </si>
  <si>
    <t>1218468752:ita</t>
  </si>
  <si>
    <t>824727622</t>
  </si>
  <si>
    <t>ocn824727622</t>
  </si>
  <si>
    <t>3103126081P</t>
  </si>
  <si>
    <t>9788820759018</t>
  </si>
  <si>
    <t>794938214</t>
  </si>
  <si>
    <t>PQ4088 T57 2004</t>
  </si>
  <si>
    <t>0                      PQ 4088000T  57          2004</t>
  </si>
  <si>
    <t>L'Africa tra mito e realtà : storia della letteratura coloniale italiana / Giovanna Tomasello.</t>
  </si>
  <si>
    <t>Tomasello, Giovanna.</t>
  </si>
  <si>
    <t>Palermo : Sellerio, ©2004.</t>
  </si>
  <si>
    <t>Nuovo prisma ; 52</t>
  </si>
  <si>
    <t>366593740:ita</t>
  </si>
  <si>
    <t>57302985</t>
  </si>
  <si>
    <t>ocm57302985</t>
  </si>
  <si>
    <t>3102610007A</t>
  </si>
  <si>
    <t>9788838919909</t>
  </si>
  <si>
    <t>793910307</t>
  </si>
  <si>
    <t>PQ4088 T76 2011</t>
  </si>
  <si>
    <t>0                      PQ 4088000T  76          2011</t>
  </si>
  <si>
    <t>Italiano regionale, letteratura, traduzione : Pirandello, D'Arrigo, Consolo, Occhiato / Salvatore C. Trovato.</t>
  </si>
  <si>
    <t>Trovato, Salvatore C.</t>
  </si>
  <si>
    <t>Leonforte (En) [i.e. Enna, Italy] : Euno, ©2011.</t>
  </si>
  <si>
    <t>Collana di studi e ricerche. Sez. Linguistica e letteratura ; 1</t>
  </si>
  <si>
    <t>905315431:ita</t>
  </si>
  <si>
    <t>727704885</t>
  </si>
  <si>
    <t>ocn727704885</t>
  </si>
  <si>
    <t>3103125418V</t>
  </si>
  <si>
    <t>9788897085119</t>
  </si>
  <si>
    <t>794878533</t>
  </si>
  <si>
    <t>PQ4088 V425 2010</t>
  </si>
  <si>
    <t>0                      PQ 4088000V  425         2010</t>
  </si>
  <si>
    <t>Controcànone : per una cartografia della scrittura coloniale e postcoloniale italiana / Monica Venturini.</t>
  </si>
  <si>
    <t>Venturini, Monica.</t>
  </si>
  <si>
    <t>Scienze dell'antichità, filologico-letterarie e storico-artistiche ; 680</t>
  </si>
  <si>
    <t>836918607:ita</t>
  </si>
  <si>
    <t>698165151</t>
  </si>
  <si>
    <t>ocn698165151</t>
  </si>
  <si>
    <t>3103125275P</t>
  </si>
  <si>
    <t>9788854836952</t>
  </si>
  <si>
    <t>794860661</t>
  </si>
  <si>
    <t>PQ4088 V4345 2007</t>
  </si>
  <si>
    <t>0                      PQ 4088000V  4345        2007</t>
  </si>
  <si>
    <t>Vested voices II : creating with transvestism : from Bertolucci to Boccaccio / edited by Federica G. Pedriali, Rossella Riccobono.</t>
  </si>
  <si>
    <t>Ravenna : Longo, ©2007.</t>
  </si>
  <si>
    <t>Portico ; 141</t>
  </si>
  <si>
    <t>906633680:ita</t>
  </si>
  <si>
    <t>156956740</t>
  </si>
  <si>
    <t>ocn156956740</t>
  </si>
  <si>
    <t>31029196650</t>
  </si>
  <si>
    <t>9788880635499</t>
  </si>
  <si>
    <t>794256123</t>
  </si>
  <si>
    <t>PQ4088 V485 1989</t>
  </si>
  <si>
    <t>0                      PQ 4088000V  485         1989</t>
  </si>
  <si>
    <t>Carte d'identità : il Novecento letterario in 21 ritratti indiscreti / Giancarlo Vigorelli.</t>
  </si>
  <si>
    <t>Vigorelli, Giancarlo.</t>
  </si>
  <si>
    <t>Milano : Camunia, ©1989.</t>
  </si>
  <si>
    <t>Pensieri &amp; piaceri</t>
  </si>
  <si>
    <t>2019-06-08</t>
  </si>
  <si>
    <t>808285440:ita</t>
  </si>
  <si>
    <t>21321733</t>
  </si>
  <si>
    <t>ocm21321733</t>
  </si>
  <si>
    <t>31009819362</t>
  </si>
  <si>
    <t>9788877670342</t>
  </si>
  <si>
    <t>793115397</t>
  </si>
  <si>
    <t>PQ4088 W38 2010</t>
  </si>
  <si>
    <t>0                      PQ 4088000W  38          2010</t>
  </si>
  <si>
    <t>Romanzi del movimento, romanzi in movimento : la narrativa del futurismo e dintorni / Luigi Weber.</t>
  </si>
  <si>
    <t>Weber, Luigi.</t>
  </si>
  <si>
    <t>Massa : Transeuropa, ©2010.</t>
  </si>
  <si>
    <t>Pronto intervento ; [3]</t>
  </si>
  <si>
    <t>767721240:ita</t>
  </si>
  <si>
    <t>694828904</t>
  </si>
  <si>
    <t>ocn694828904</t>
  </si>
  <si>
    <t>3103125286N</t>
  </si>
  <si>
    <t>9788875800932</t>
  </si>
  <si>
    <t>794857941</t>
  </si>
  <si>
    <t>PQ4088 Z56 2015</t>
  </si>
  <si>
    <t>0                      PQ 4088000Z  56          2015</t>
  </si>
  <si>
    <t>Letteratura come storiografia? : mappe e figure della mutazione italiana / Emanuele Zinato.</t>
  </si>
  <si>
    <t>Zinato, Emanuele, author.</t>
  </si>
  <si>
    <t>Macerata : Quodlibet, marzo 2015.</t>
  </si>
  <si>
    <t>Lettere</t>
  </si>
  <si>
    <t>2501569410:ita</t>
  </si>
  <si>
    <t>907638865</t>
  </si>
  <si>
    <t>ocn907638865</t>
  </si>
  <si>
    <t>31036614071</t>
  </si>
  <si>
    <t>9788874626977</t>
  </si>
  <si>
    <t>794993646</t>
  </si>
  <si>
    <t>PQ4091 U6x</t>
  </si>
  <si>
    <t>0                      PQ 4091000U  6x</t>
  </si>
  <si>
    <t>L'imitazione nella poetica del Rinascimento.</t>
  </si>
  <si>
    <t>Ulivi, Ferruccio.</t>
  </si>
  <si>
    <t>Milano, C. Marzorati [1959]</t>
  </si>
  <si>
    <t>365614753:ita</t>
  </si>
  <si>
    <t>6582265</t>
  </si>
  <si>
    <t>ocm06582265</t>
  </si>
  <si>
    <t>3000617869Y</t>
  </si>
  <si>
    <t>792510206</t>
  </si>
  <si>
    <t>PQ4092 C7 1967</t>
  </si>
  <si>
    <t>0                      PQ 4092000C  7           1967</t>
  </si>
  <si>
    <t>Poesia popolare e poesia d'arte : studi sulla poesia italiana dal tre al cinquecento / Benedetto Croce.</t>
  </si>
  <si>
    <t>Bari : G. Laterza &amp; Figli, 1967.</t>
  </si>
  <si>
    <t>5a ed.</t>
  </si>
  <si>
    <t>His Scritti di storia letteraria e politica ; 28</t>
  </si>
  <si>
    <t>2018-02-14</t>
  </si>
  <si>
    <t>3762132:ita</t>
  </si>
  <si>
    <t>8790903</t>
  </si>
  <si>
    <t>ocm08790903</t>
  </si>
  <si>
    <t>30002015681</t>
  </si>
  <si>
    <t>792641359</t>
  </si>
  <si>
    <t>PQ4092 P46 2017</t>
  </si>
  <si>
    <t>0                      PQ 4092000P  46          2017</t>
  </si>
  <si>
    <t>Il pensiero della poesia : da Leopardi ai contemporanei : letture dal mondo di poeti italiani / a cura di Cristina Caracchini, Enrico Minardi ; Irene Baccarini : Giorgia Bongiorno : Mimmo Cangiano ; Danila Cannamela ; Roberta Cauchi-Santoro ; Corrado Confalonieri : Andrea Malaguti : Federica Santini ; Carlo Testa ; Ambra Zorat</t>
  </si>
  <si>
    <t>Caracchini, Cristina, 1968- editor, author.</t>
  </si>
  <si>
    <t>Studi e saggi ; 172</t>
  </si>
  <si>
    <t>4415118407:ita</t>
  </si>
  <si>
    <t>993506569</t>
  </si>
  <si>
    <t>ocn993506569</t>
  </si>
  <si>
    <t>3103720967M</t>
  </si>
  <si>
    <t>9788864534794</t>
  </si>
  <si>
    <t>795038662</t>
  </si>
  <si>
    <t>PQ4092 S65 2010</t>
  </si>
  <si>
    <t>0                      PQ 4092000S  65          2010</t>
  </si>
  <si>
    <t>Le voci nella poesia : sette capitoli sulle forme discorsive / Arnaldo Soldani.</t>
  </si>
  <si>
    <t>Soldani, Arnaldo, 1965-</t>
  </si>
  <si>
    <t>Lingue e letterature Carocci ; 95</t>
  </si>
  <si>
    <t>477829711:ita</t>
  </si>
  <si>
    <t>609530126</t>
  </si>
  <si>
    <t>ocn609530126</t>
  </si>
  <si>
    <t>31031250400</t>
  </si>
  <si>
    <t>9788843053704</t>
  </si>
  <si>
    <t>794820017</t>
  </si>
  <si>
    <t>PQ4093 A3513 1999</t>
  </si>
  <si>
    <t>0                      PQ 4093000A  3513        1999</t>
  </si>
  <si>
    <t>The end of the poem : studies in poetics / Giorgio Agamben ; translated by Daniel Heller-Roazen.</t>
  </si>
  <si>
    <t>Agamben, Giorgio, 1942-</t>
  </si>
  <si>
    <t>Stanford, Calif. : Stanford University Press, 1999.</t>
  </si>
  <si>
    <t>Meridian, crossing aesthetics</t>
  </si>
  <si>
    <t>2019-02-01</t>
  </si>
  <si>
    <t>12881117:eng</t>
  </si>
  <si>
    <t>40940159</t>
  </si>
  <si>
    <t>ocm40940159</t>
  </si>
  <si>
    <t>3101973916X</t>
  </si>
  <si>
    <t>9780804730211</t>
  </si>
  <si>
    <t>793579467</t>
  </si>
  <si>
    <t>PQ4094 H65 2000</t>
  </si>
  <si>
    <t>0                      PQ 4094000H  65          2000</t>
  </si>
  <si>
    <t>Assembling the lyric self : authorship from Troubadour song to Italian poetry book / Olivia Holmes.</t>
  </si>
  <si>
    <t>Holmes, Olivia.</t>
  </si>
  <si>
    <t>Minneapolis ; London : University of Minnesota Press, ©2000.</t>
  </si>
  <si>
    <t>Medieval cultures ; v. 21</t>
  </si>
  <si>
    <t>2017-01-31</t>
  </si>
  <si>
    <t>784443332:eng</t>
  </si>
  <si>
    <t>42393577</t>
  </si>
  <si>
    <t>ocm42393577</t>
  </si>
  <si>
    <t>3102010728T</t>
  </si>
  <si>
    <t>9780816633432</t>
  </si>
  <si>
    <t>793606509</t>
  </si>
  <si>
    <t>PQ4097 L43 2015</t>
  </si>
  <si>
    <t>0                      PQ 4097000L  43          2015</t>
  </si>
  <si>
    <t>Studi sui Cantari e su altri testi italiani fra Medioevo e Rinascimento / Margherita Lecco.</t>
  </si>
  <si>
    <t>Lecco, Margherita, author.</t>
  </si>
  <si>
    <t>Alessandria : Edizioni dell'Orso, [2015]</t>
  </si>
  <si>
    <t>Studi e ricerche ; 132</t>
  </si>
  <si>
    <t>2514908174:ita</t>
  </si>
  <si>
    <t>908335970</t>
  </si>
  <si>
    <t>ocn908335970</t>
  </si>
  <si>
    <t>3103624331H</t>
  </si>
  <si>
    <t>9788862745918</t>
  </si>
  <si>
    <t>794994538</t>
  </si>
  <si>
    <t>PQ4098 P57 2014</t>
  </si>
  <si>
    <t>0                      PQ 4098000P  57          2014</t>
  </si>
  <si>
    <t>Il Dolce stil novo / Donato Pirovano.</t>
  </si>
  <si>
    <t>Pirovano, Donato, 1964- author.</t>
  </si>
  <si>
    <t>Roma : Salerno editrice, [2014]</t>
  </si>
  <si>
    <t>Sestante ; 30</t>
  </si>
  <si>
    <t>2295513203:ita</t>
  </si>
  <si>
    <t>902635154</t>
  </si>
  <si>
    <t>ocn902635154</t>
  </si>
  <si>
    <t>3103621363J</t>
  </si>
  <si>
    <t>9788884029492</t>
  </si>
  <si>
    <t>794988289</t>
  </si>
  <si>
    <t>PQ4101 A58 1941</t>
  </si>
  <si>
    <t>0                      PQ 4101000A  58          1941</t>
  </si>
  <si>
    <t>L'umanesimo nel mezzogiorno d'Italia; storia, bibliografie e testi inediti.</t>
  </si>
  <si>
    <t>Altamura, Antonio.</t>
  </si>
  <si>
    <t>Firenze, Bibliopolis, 1941.</t>
  </si>
  <si>
    <t>1941</t>
  </si>
  <si>
    <t>Biblioteca dell'"Archivum romanicum." Serie I, Storia, letteratura, paleografia, v. 29</t>
  </si>
  <si>
    <t>2018-03-19</t>
  </si>
  <si>
    <t>365247402:ita</t>
  </si>
  <si>
    <t>17772098</t>
  </si>
  <si>
    <t>ocm17772098</t>
  </si>
  <si>
    <t>3000791962J</t>
  </si>
  <si>
    <t>793002886</t>
  </si>
  <si>
    <t>PQ4101 B65 2008</t>
  </si>
  <si>
    <t>0                      PQ 4101000B  65          2008</t>
  </si>
  <si>
    <t>Poesia e ritratto nel Rinascimento / Lina Bolzoni ; testi a cura di Federica Pich.</t>
  </si>
  <si>
    <t>Roma : Editori Laterza, 2008.</t>
  </si>
  <si>
    <t>Collezione storica</t>
  </si>
  <si>
    <t>2018-02-01</t>
  </si>
  <si>
    <t>119837507:ita</t>
  </si>
  <si>
    <t>191923278</t>
  </si>
  <si>
    <t>ocn191923278</t>
  </si>
  <si>
    <t>31028643876</t>
  </si>
  <si>
    <t>9788842084877</t>
  </si>
  <si>
    <t>794302183</t>
  </si>
  <si>
    <t>PQ4101 D42 2016</t>
  </si>
  <si>
    <t>0                      PQ 4101000D  42          2016</t>
  </si>
  <si>
    <t>"Al suon di questa cetra" : ricerche sulla poesia orale del Rinascimento / Luca Degl'Innocenti.</t>
  </si>
  <si>
    <t>Degl'Innocenti, Luca, author.</t>
  </si>
  <si>
    <t>Studi, 2035-4363 ; 21</t>
  </si>
  <si>
    <t>9565929813:ita</t>
  </si>
  <si>
    <t>966237802</t>
  </si>
  <si>
    <t>ocn966237802</t>
  </si>
  <si>
    <t>31037840575</t>
  </si>
  <si>
    <t>9788860323972</t>
  </si>
  <si>
    <t>795026047</t>
  </si>
  <si>
    <t>PQ4101 D5</t>
  </si>
  <si>
    <t>0                      PQ 4101000D  5</t>
  </si>
  <si>
    <t>Due testi poetici rossanesi del primo '400 : (Cod. barberiniano gr. 541) / [a cura di] Rocco Distilo.</t>
  </si>
  <si>
    <t>Distilo, Rocco.</t>
  </si>
  <si>
    <t>Modena : S.T.E.M., 1975.</t>
  </si>
  <si>
    <t>Quaderni di cultura neolatina ; n. 1</t>
  </si>
  <si>
    <t>2016-03-03</t>
  </si>
  <si>
    <t>889359557:ita</t>
  </si>
  <si>
    <t>3769578</t>
  </si>
  <si>
    <t>ocm03769578</t>
  </si>
  <si>
    <t>3000315446J</t>
  </si>
  <si>
    <t>792289275</t>
  </si>
  <si>
    <t>PQ4101 S2</t>
  </si>
  <si>
    <t>0                      PQ 4101000S  2</t>
  </si>
  <si>
    <t>La lirica aragonese : studi sulla poesia napoletana del secondo Quattrocento / Marco Santagata.</t>
  </si>
  <si>
    <t>Santagata, Marco.</t>
  </si>
  <si>
    <t>Padova : Antenore, 1979.</t>
  </si>
  <si>
    <t>Università di Venezia, Facoltà di lettere e filosofia ; 1</t>
  </si>
  <si>
    <t>365315363:ita</t>
  </si>
  <si>
    <t>5942761</t>
  </si>
  <si>
    <t>ocm05942761</t>
  </si>
  <si>
    <t>3102848049H</t>
  </si>
  <si>
    <t>792465343</t>
  </si>
  <si>
    <t>PQ4101 S67 2014</t>
  </si>
  <si>
    <t>0                      PQ 4101000S  67          2014</t>
  </si>
  <si>
    <t>Poetry and Identity in Quattrocento Naples / Matteo Soranzo, McGill University, Canada.</t>
  </si>
  <si>
    <t>Soranzo, Matteo, author.</t>
  </si>
  <si>
    <t>Farnham, Surrey, England ; Burlington, VT USA : Ashgate, [2014]</t>
  </si>
  <si>
    <t>1393402691:eng</t>
  </si>
  <si>
    <t>858610741</t>
  </si>
  <si>
    <t>ocn858610741</t>
  </si>
  <si>
    <t>3103530300R</t>
  </si>
  <si>
    <t>9781472413550</t>
  </si>
  <si>
    <t>794956357</t>
  </si>
  <si>
    <t>PQ4103 C55 2012</t>
  </si>
  <si>
    <t>0                      PQ 4103000C  55          2012</t>
  </si>
  <si>
    <t>Le muse sediziose : un volto ignorato del petrarchismo / Domenico Chiodo, Rossana Sodano.</t>
  </si>
  <si>
    <t>Chiodo, Domenico.</t>
  </si>
  <si>
    <t>Milano, Italy : FrancoAngeli, ©2012.</t>
  </si>
  <si>
    <t>Letteratura italiana. Saggi e strumenti ; 10</t>
  </si>
  <si>
    <t>2013-06-18</t>
  </si>
  <si>
    <t>1172613510:ita</t>
  </si>
  <si>
    <t>813005494</t>
  </si>
  <si>
    <t>ocn813005494</t>
  </si>
  <si>
    <t>31031259892</t>
  </si>
  <si>
    <t>9788820403850</t>
  </si>
  <si>
    <t>794931373</t>
  </si>
  <si>
    <t>PQ4103 F45 2017</t>
  </si>
  <si>
    <t>0                      PQ 4103000F  45          2017</t>
  </si>
  <si>
    <t>Writing beloveds : humanist Petrarchism and the politics of gender / Aileen A. Feng.</t>
  </si>
  <si>
    <t>Feng, Aileen A., author.</t>
  </si>
  <si>
    <t>Toronto ; Buffalo : University of Toronto Press, [2017]</t>
  </si>
  <si>
    <t>3906252759:eng</t>
  </si>
  <si>
    <t>970615672</t>
  </si>
  <si>
    <t>ocn970615672</t>
  </si>
  <si>
    <t>3103646503T</t>
  </si>
  <si>
    <t>9781487500771</t>
  </si>
  <si>
    <t>795027715</t>
  </si>
  <si>
    <t>PQ4103 G85 2010</t>
  </si>
  <si>
    <t>0                      PQ 4103000G  85          2010</t>
  </si>
  <si>
    <t>La canzone del primo '500 : metrica, sintassi e formule tematiche nella rifondazione del modello petrarchesco / Gaia Guidolin.</t>
  </si>
  <si>
    <t>Guidolin, Gaia.</t>
  </si>
  <si>
    <t>Lucca : M. Pacini Fazzi, 2013.</t>
  </si>
  <si>
    <t>Unicorno ; 31</t>
  </si>
  <si>
    <t>1212069522:ita</t>
  </si>
  <si>
    <t>829690601</t>
  </si>
  <si>
    <t>ocn829690601</t>
  </si>
  <si>
    <t>3103126126Y</t>
  </si>
  <si>
    <t>9788865500347</t>
  </si>
  <si>
    <t>794942637</t>
  </si>
  <si>
    <t>PQ4103 L6 1983</t>
  </si>
  <si>
    <t>0                      PQ 4103000L  6           1983</t>
  </si>
  <si>
    <t>Lusus : il capitolo burlesco nel Cinquecento / Silvia Longhi.</t>
  </si>
  <si>
    <t>Longhi, Silvia.</t>
  </si>
  <si>
    <t>Padova : Antenore, 1983.</t>
  </si>
  <si>
    <t>Miscellanea erudita ; 38</t>
  </si>
  <si>
    <t>2015-11-06</t>
  </si>
  <si>
    <t>8486979:ita</t>
  </si>
  <si>
    <t>14271602</t>
  </si>
  <si>
    <t>ocm14271602</t>
  </si>
  <si>
    <t>31036361173</t>
  </si>
  <si>
    <t>792884262</t>
  </si>
  <si>
    <t>PQ4103 T65 2012</t>
  </si>
  <si>
    <t>0                      PQ 4103000T  65          2012</t>
  </si>
  <si>
    <t>Studi sulla lirica rinascimentale (1540-1570) / Franco Tomasi.</t>
  </si>
  <si>
    <t>Tomasi, Franco.</t>
  </si>
  <si>
    <t>Roma : Antenore, 2012.</t>
  </si>
  <si>
    <t>Miscellanea erudita ; 80</t>
  </si>
  <si>
    <t>2019-07-02</t>
  </si>
  <si>
    <t>1169096216:ita</t>
  </si>
  <si>
    <t>813011434</t>
  </si>
  <si>
    <t>ocn813011434</t>
  </si>
  <si>
    <t>31031260102</t>
  </si>
  <si>
    <t>9788884556684</t>
  </si>
  <si>
    <t>794931382</t>
  </si>
  <si>
    <t>PQ4103 Z35 2012</t>
  </si>
  <si>
    <t>0                      PQ 4103000Z  35          2012</t>
  </si>
  <si>
    <t>Tevere e Arno : studi sulla lirica del Cinquecento / Cristina Zampese.</t>
  </si>
  <si>
    <t>Zampese, Cristina.</t>
  </si>
  <si>
    <t>Milano : F. Angeli, 2012.</t>
  </si>
  <si>
    <t>Letteratura italiana. Saggi e strumenti ; 14</t>
  </si>
  <si>
    <t>2014-04-19</t>
  </si>
  <si>
    <t>1212069492:ita</t>
  </si>
  <si>
    <t>829690571</t>
  </si>
  <si>
    <t>ocn829690571</t>
  </si>
  <si>
    <t>3103126114$</t>
  </si>
  <si>
    <t>9788820413361</t>
  </si>
  <si>
    <t>794942632</t>
  </si>
  <si>
    <t>PQ4103 Z37 2006</t>
  </si>
  <si>
    <t>0                      PQ 4103000Z  37          2006</t>
  </si>
  <si>
    <t>The quest for epic : from Ariosto to Tasso / Sergio Zatti ; introduction by Albert Russell Ascoli ; edited by Dennis Looney ; translated by Sally Hill with Dennis Looney.</t>
  </si>
  <si>
    <t>Zatti, Sergio, 1950-</t>
  </si>
  <si>
    <t>Toronto ; Buffalo : University of Toronto Press, ©2006.</t>
  </si>
  <si>
    <t>2017-12-06</t>
  </si>
  <si>
    <t>854573566:eng</t>
  </si>
  <si>
    <t>62227562</t>
  </si>
  <si>
    <t>ocm62227562</t>
  </si>
  <si>
    <t>3102534128K</t>
  </si>
  <si>
    <t>9780802090317</t>
  </si>
  <si>
    <t>794102540</t>
  </si>
  <si>
    <t>PQ4113 A648 2011</t>
  </si>
  <si>
    <t>0                      PQ 4113000A  648         2011</t>
  </si>
  <si>
    <t>Antologie e poesia nel Novecento italiano / a cura di Giancarlo Quiriconi.</t>
  </si>
  <si>
    <t>Roma : Bulzoni, ©2011.</t>
  </si>
  <si>
    <t>Euro-Ispanica ; 18</t>
  </si>
  <si>
    <t>1126414844:ita</t>
  </si>
  <si>
    <t>773016084</t>
  </si>
  <si>
    <t>ocn773016084</t>
  </si>
  <si>
    <t>3103125646J</t>
  </si>
  <si>
    <t>9788878705784</t>
  </si>
  <si>
    <t>794905139</t>
  </si>
  <si>
    <t>PQ4113 B387 2012</t>
  </si>
  <si>
    <t>0                      PQ 4113000B  387         2012</t>
  </si>
  <si>
    <t>La poesia contemporanea / Alberto Bertoni.</t>
  </si>
  <si>
    <t>Bertoni, Alberto, 1955-</t>
  </si>
  <si>
    <t>Bologna : Il mulino, ©2012.</t>
  </si>
  <si>
    <t>Universale paperbacks Il mulino ; 622</t>
  </si>
  <si>
    <t>1121690921:ita</t>
  </si>
  <si>
    <t>796781824</t>
  </si>
  <si>
    <t>ocn796781824</t>
  </si>
  <si>
    <t>31031258767</t>
  </si>
  <si>
    <t>9788815237231</t>
  </si>
  <si>
    <t>794922390</t>
  </si>
  <si>
    <t>PQ4113 C35 2011</t>
  </si>
  <si>
    <t>0                      PQ 4113000C  35          2011</t>
  </si>
  <si>
    <t>Il canto strozzato : poesia italiana del Novecento : saggi critici e antologia di testi / a cura di Giuseppe Langella, Enrico Elli.</t>
  </si>
  <si>
    <t>Novara : Interlinea, ©2011.</t>
  </si>
  <si>
    <t>4. ed. aggiornata.</t>
  </si>
  <si>
    <t>Biblioteca letteraria dell'Italia unita ; 6</t>
  </si>
  <si>
    <t>2011-09-06</t>
  </si>
  <si>
    <t>867174856:ita</t>
  </si>
  <si>
    <t>727704850</t>
  </si>
  <si>
    <t>ocn727704850</t>
  </si>
  <si>
    <t>3103125422T</t>
  </si>
  <si>
    <t>9788882127596</t>
  </si>
  <si>
    <t>794878530</t>
  </si>
  <si>
    <t>PQ4113 C6843 2011</t>
  </si>
  <si>
    <t>0                      PQ 4113000C  6843        2011</t>
  </si>
  <si>
    <t>Il commento : riflessioni e analisi sulla poesia del Novecento / a cura di Anna Dolfi.</t>
  </si>
  <si>
    <t>Euro-ispanica ; 19</t>
  </si>
  <si>
    <t>1019343674:ita</t>
  </si>
  <si>
    <t>755700463</t>
  </si>
  <si>
    <t>ocn755700463</t>
  </si>
  <si>
    <t>3103125552K</t>
  </si>
  <si>
    <t>9788878705777</t>
  </si>
  <si>
    <t>794893906</t>
  </si>
  <si>
    <t>PQ4113 D667 2017</t>
  </si>
  <si>
    <t>0                      PQ 4113000D  667         2017</t>
  </si>
  <si>
    <t>La musica muta delle immagini : sondaggi critici su poeti d'oggi e arti della visione / Riccardo Donati ; con una nota di Daniela Brogi.</t>
  </si>
  <si>
    <t>Donati, Riccardo, 1978- author.</t>
  </si>
  <si>
    <t>Lentini : Duetredue edizioni, [2017]</t>
  </si>
  <si>
    <t>I quaderni di Arabeschi. Studi ; 5</t>
  </si>
  <si>
    <t>5221136529:ita</t>
  </si>
  <si>
    <t>1039924671</t>
  </si>
  <si>
    <t>on1039924671</t>
  </si>
  <si>
    <t>31037850287</t>
  </si>
  <si>
    <t>9788899573126</t>
  </si>
  <si>
    <t>795058954</t>
  </si>
  <si>
    <t>PQ4113 F644 2017</t>
  </si>
  <si>
    <t>0                      PQ 4113000F  644         2017</t>
  </si>
  <si>
    <t>I poeti del Novecento / Franco Fortini ; a cura di Donatello Santarone ; con un saggio introduttivo di Pier Vincenzo Mengaldo.</t>
  </si>
  <si>
    <t>Fortini, Franco, 1917-1994.</t>
  </si>
  <si>
    <t>Roma : Donzelli Editore, c2017.</t>
  </si>
  <si>
    <t>Saggi. Arti e lettere</t>
  </si>
  <si>
    <t>4897434481:ita</t>
  </si>
  <si>
    <t>1009058625</t>
  </si>
  <si>
    <t>on1009058625</t>
  </si>
  <si>
    <t>3103720978H</t>
  </si>
  <si>
    <t>9788868436841</t>
  </si>
  <si>
    <t>795045055</t>
  </si>
  <si>
    <t>PQ4113 L533 2011</t>
  </si>
  <si>
    <t>0                      PQ 4113000L  533         2011</t>
  </si>
  <si>
    <t>Dalla lirica al discorso poetico : storia della poesia italiana, 1945-2010 / Giorgio Linguaglossa.</t>
  </si>
  <si>
    <t>Linguaglossa, Giorgio, 1949-</t>
  </si>
  <si>
    <t>Roma : EdiLet, 2011.</t>
  </si>
  <si>
    <t>Le opere e i giorni ; 1</t>
  </si>
  <si>
    <t>1020842040:ita</t>
  </si>
  <si>
    <t>756578178</t>
  </si>
  <si>
    <t>ocn756578178</t>
  </si>
  <si>
    <t>3103125739I</t>
  </si>
  <si>
    <t>9788896517741</t>
  </si>
  <si>
    <t>794894567</t>
  </si>
  <si>
    <t>PQ4113 L6165 2013</t>
  </si>
  <si>
    <t>0                      PQ 4113000L  6165        2013</t>
  </si>
  <si>
    <t>Poesia e storia / Niva Lorenzini, Stefano Colangelo.</t>
  </si>
  <si>
    <t>Lorenzini, Niva.</t>
  </si>
  <si>
    <t>Milano : B. Mondadori, 2013.</t>
  </si>
  <si>
    <t>1182626497:ita</t>
  </si>
  <si>
    <t>818724771</t>
  </si>
  <si>
    <t>ocn818724771</t>
  </si>
  <si>
    <t>3103126151S</t>
  </si>
  <si>
    <t>9788861595460</t>
  </si>
  <si>
    <t>794934099</t>
  </si>
  <si>
    <t>PQ4113 P3 1985</t>
  </si>
  <si>
    <t>0                      PQ 4113000P  3           1985</t>
  </si>
  <si>
    <t>Passione e ideologia : 1948-1958 / Pier Paolo Pasolini ; saggio introduttivo di Cesare Segre.</t>
  </si>
  <si>
    <t>Torino : Einaudi, ©1985.</t>
  </si>
  <si>
    <t>1985</t>
  </si>
  <si>
    <t>[Interamente riv.].</t>
  </si>
  <si>
    <t>Supercoralli</t>
  </si>
  <si>
    <t>2018-02-21</t>
  </si>
  <si>
    <t>1923006:ita</t>
  </si>
  <si>
    <t>15047510</t>
  </si>
  <si>
    <t>ocm15047510</t>
  </si>
  <si>
    <t>3000526634U</t>
  </si>
  <si>
    <t>9788806576202</t>
  </si>
  <si>
    <t>792918019</t>
  </si>
  <si>
    <t>PQ4113 P64 2017</t>
  </si>
  <si>
    <t>0                      PQ 4113000P  64          2017</t>
  </si>
  <si>
    <t>Poesia : dentro e fuori le avanguardie / a cura di Eny Di Iorio e Franco Zangrilli.</t>
  </si>
  <si>
    <t>Poesia, dentro e fuori le avanguardie (Conference) (2017 : Tuscania, Italy)</t>
  </si>
  <si>
    <t>Caltanissetta : Salvatore Sciascia editore, [2017]</t>
  </si>
  <si>
    <t>Sentieri saggistici ; 13</t>
  </si>
  <si>
    <t>4167916260:ita</t>
  </si>
  <si>
    <t>974712025</t>
  </si>
  <si>
    <t>ocn974712025</t>
  </si>
  <si>
    <t>3103716191X</t>
  </si>
  <si>
    <t>9788882414726</t>
  </si>
  <si>
    <t>795029807</t>
  </si>
  <si>
    <t>PQ4113 R3183 2010</t>
  </si>
  <si>
    <t>0                      PQ 4113000R  3183        2010</t>
  </si>
  <si>
    <t>Il lungo amore del secolo breve : saggi sulla poesia novecentesca / Silvio Ramat.</t>
  </si>
  <si>
    <t>Ramat, Silvio, 1939-</t>
  </si>
  <si>
    <t>Firenze : F. Cesati, ©2010.</t>
  </si>
  <si>
    <t>Linguistica e critica letteraria. Nuova serie ; 11</t>
  </si>
  <si>
    <t>2010-11-16</t>
  </si>
  <si>
    <t>796288192:ita</t>
  </si>
  <si>
    <t>646007137</t>
  </si>
  <si>
    <t>ocn646007137</t>
  </si>
  <si>
    <t>3103125136$</t>
  </si>
  <si>
    <t>9788876673788</t>
  </si>
  <si>
    <t>794829968</t>
  </si>
  <si>
    <t>PQ4113 S238 2011</t>
  </si>
  <si>
    <t>0                      PQ 4113000S  238         2011</t>
  </si>
  <si>
    <t>L'infinito e il punto : letture di poesia tra Ungaretti e Cattafi / Giuseppe Savoca.</t>
  </si>
  <si>
    <t>Savoca, Giuseppe.</t>
  </si>
  <si>
    <t>Firenze : L.S. Olschki, 2011.</t>
  </si>
  <si>
    <t>Polinnia ; 24</t>
  </si>
  <si>
    <t>1074132525:ita</t>
  </si>
  <si>
    <t>773016819</t>
  </si>
  <si>
    <t>ocn773016819</t>
  </si>
  <si>
    <t>3103125659H</t>
  </si>
  <si>
    <t>9788822261182</t>
  </si>
  <si>
    <t>794905152</t>
  </si>
  <si>
    <t>PQ4113 S257 2011</t>
  </si>
  <si>
    <t>0                      PQ 4113000S  257         2011</t>
  </si>
  <si>
    <t>Secondo Novecento : lingua, stile, metrica / Raffaella Scarpa.</t>
  </si>
  <si>
    <t>Scarpa, Raffaella.</t>
  </si>
  <si>
    <t>Alessandria : Edizioni dell'Orso, ©2011.</t>
  </si>
  <si>
    <t>In forma di parola ; 17</t>
  </si>
  <si>
    <t>918126860:ita</t>
  </si>
  <si>
    <t>733222610</t>
  </si>
  <si>
    <t>ocn733222610</t>
  </si>
  <si>
    <t>3103125423T</t>
  </si>
  <si>
    <t>9788862742856</t>
  </si>
  <si>
    <t>794881719</t>
  </si>
  <si>
    <t>PQ4113 Z33 2012</t>
  </si>
  <si>
    <t>0                      PQ 4113000Z  33          2012</t>
  </si>
  <si>
    <t>Poesia e società : [lo sguardo semiosociologico : Ungaretti, Montale, Cucchi, Fontanella, Canducci, Pagan, Di Biasio, Palma] / Arnaldo Zambardi.</t>
  </si>
  <si>
    <t>Zambardi, Arnaldo, 1932- author.</t>
  </si>
  <si>
    <t>Scienze dell'antichità, filologico-letterarie e storico-artistiche ; 781</t>
  </si>
  <si>
    <t>1108630023:ita</t>
  </si>
  <si>
    <t>793723325</t>
  </si>
  <si>
    <t>ocn793723325</t>
  </si>
  <si>
    <t>3103125831F</t>
  </si>
  <si>
    <t>9788854843417</t>
  </si>
  <si>
    <t>794918628</t>
  </si>
  <si>
    <t>PQ4117 C42 2013</t>
  </si>
  <si>
    <t>0                      PQ 4117000C  42          2013</t>
  </si>
  <si>
    <t>The world beyond Europe in the romance epics of Boiardo and Ariosto / Jo Ann Cavallo.</t>
  </si>
  <si>
    <t>Cavallo, Jo Ann.</t>
  </si>
  <si>
    <t>1742173112:eng</t>
  </si>
  <si>
    <t>830628000</t>
  </si>
  <si>
    <t>ocn830628000</t>
  </si>
  <si>
    <t>31034239136</t>
  </si>
  <si>
    <t>9781442646834</t>
  </si>
  <si>
    <t>794943538</t>
  </si>
  <si>
    <t>PQ4117 R46 2011</t>
  </si>
  <si>
    <t>0                      PQ 4117000R  46          2011</t>
  </si>
  <si>
    <t>D'un parlar ne l'altro : aspetti dell'enunciazione dal romanzo arturiano alla Gerusalemme liberata : contributi presentati al Convegno della Renaissance Society of America, Montreal, 24-26 marzo 2011 / a cura di Annalisa Izzo.</t>
  </si>
  <si>
    <t>Renaissance Society of America. Meeting (2011 : Montréal, Québec)</t>
  </si>
  <si>
    <t>Pisa : ETS, 2013.</t>
  </si>
  <si>
    <t>Quaderni della Sezione di italiano dell'Università di Losanna ; 4</t>
  </si>
  <si>
    <t>1391860134:ita</t>
  </si>
  <si>
    <t>841762444</t>
  </si>
  <si>
    <t>ocn841762444</t>
  </si>
  <si>
    <t>3103126241R</t>
  </si>
  <si>
    <t>9788846734013</t>
  </si>
  <si>
    <t>794947138</t>
  </si>
  <si>
    <t>PQ4119 C358 2007</t>
  </si>
  <si>
    <t>0                      PQ 4119000C  358         2007</t>
  </si>
  <si>
    <t>Il cantare italiano fra folklore e letteratura : atti del convegno internazionale di Zurigo, Landesmuseum, 23-25 giugno 2005 / a cura di Michelangelo Picone e Luisa Rubini.</t>
  </si>
  <si>
    <t>Firenze : L.S. Olschki, 2007.</t>
  </si>
  <si>
    <t>Biblioteca dell'"Archivum Romanicum." Serie I, Storia, letteratura, paleografia ; 341</t>
  </si>
  <si>
    <t>865167780:ita</t>
  </si>
  <si>
    <t>180014329</t>
  </si>
  <si>
    <t>ocn180014329</t>
  </si>
  <si>
    <t>3102869879A</t>
  </si>
  <si>
    <t>9788822256966</t>
  </si>
  <si>
    <t>794279435</t>
  </si>
  <si>
    <t>PQ4123 L46 B38 2014</t>
  </si>
  <si>
    <t>0                      PQ 4123000L  46                 B  38          2014</t>
  </si>
  <si>
    <t>The Battle of Lepanto / edited and translated by Elizabeth R. Wright, Sarah Spence, and Andrew Lemons.</t>
  </si>
  <si>
    <t>Cambridge, Massachusetts : Harvard University Press, 2014.</t>
  </si>
  <si>
    <t>The I Tatti Renaissance Library ; ITRL 61</t>
  </si>
  <si>
    <t>1894596097:eng</t>
  </si>
  <si>
    <t>859252930</t>
  </si>
  <si>
    <t>ocn859252930</t>
  </si>
  <si>
    <t>31035327105</t>
  </si>
  <si>
    <t>9780674725423</t>
  </si>
  <si>
    <t>794957615</t>
  </si>
  <si>
    <t>PQ4126 D48 C35 2017</t>
  </si>
  <si>
    <t>0                      PQ 4126000D  48                 C  35          2017</t>
  </si>
  <si>
    <t>Il dialetto in poesia : studio metrico sulla poesia novecentesca nel Nord Italia / Silvia Calligaro.</t>
  </si>
  <si>
    <t>Calligaro, Silvia, author.</t>
  </si>
  <si>
    <t>Pisa : Edizioni ETS, [2017]</t>
  </si>
  <si>
    <t>"Quaderni" della Sezione di italiano dell'Università di Losanna</t>
  </si>
  <si>
    <t>4722571522:ita</t>
  </si>
  <si>
    <t>1019739360</t>
  </si>
  <si>
    <t>on1019739360</t>
  </si>
  <si>
    <t>3103720948Q</t>
  </si>
  <si>
    <t>9788846749369</t>
  </si>
  <si>
    <t>795049416</t>
  </si>
  <si>
    <t>PQ4126 D5 R6</t>
  </si>
  <si>
    <t>0                      PQ 4126000D  5                  R  6</t>
  </si>
  <si>
    <t>Das epische Lehrgedicht Italiens im fünfzehnten und sechzehnten Jahrhundert : ein Beitr. z. Literaturgeschichte d. Humanismus u. d. Renaissance / von Georg Roellenbleck.</t>
  </si>
  <si>
    <t>Roellenbleck, Georg.</t>
  </si>
  <si>
    <t>München : Fink, 1975.</t>
  </si>
  <si>
    <t>ger</t>
  </si>
  <si>
    <t>Münchener romanistische Arbeiten ; Heft 43</t>
  </si>
  <si>
    <t>2017-07-31</t>
  </si>
  <si>
    <t>365456411:ger</t>
  </si>
  <si>
    <t>2151789</t>
  </si>
  <si>
    <t>ocm02151789</t>
  </si>
  <si>
    <t>3000393160$</t>
  </si>
  <si>
    <t>9783770512317</t>
  </si>
  <si>
    <t>792057236</t>
  </si>
  <si>
    <t>PQ4126 H6 M67 2011</t>
  </si>
  <si>
    <t>0                      PQ 4126000H  6                  M  67          2011</t>
  </si>
  <si>
    <t>Figlie d'Italia : poetesse patriote nel Risorgimento (1821-1861) / Maria Teresa Mori.</t>
  </si>
  <si>
    <t>Mori, Maria Teresa.</t>
  </si>
  <si>
    <t>Frecce ; 108</t>
  </si>
  <si>
    <t>2017-12-07</t>
  </si>
  <si>
    <t>760617618:ita</t>
  </si>
  <si>
    <t>682881326</t>
  </si>
  <si>
    <t>ocn682881326</t>
  </si>
  <si>
    <t>3103125339U</t>
  </si>
  <si>
    <t>9788843057078</t>
  </si>
  <si>
    <t>794852931</t>
  </si>
  <si>
    <t>PQ4126 P5 B37 2012</t>
  </si>
  <si>
    <t>0                      PQ 4126000P  5                  B  37          2012</t>
  </si>
  <si>
    <t>I poeti e l'Accademia : le "Rime degli Arcadi" (1716-1781) / Stefania Baragetti.</t>
  </si>
  <si>
    <t>Baragetti, Stefania.</t>
  </si>
  <si>
    <t>Milano : LED, ©2012.</t>
  </si>
  <si>
    <t>Il filarete</t>
  </si>
  <si>
    <t>1177845676:ita</t>
  </si>
  <si>
    <t>816040755</t>
  </si>
  <si>
    <t>ocn816040755</t>
  </si>
  <si>
    <t>3103126187M</t>
  </si>
  <si>
    <t>9788879165884</t>
  </si>
  <si>
    <t>794932927</t>
  </si>
  <si>
    <t>PQ4126 S2 L5x</t>
  </si>
  <si>
    <t>0                      PQ 4126000S  2                  L  5x</t>
  </si>
  <si>
    <t>La satira nel Seicento.</t>
  </si>
  <si>
    <t>Limentani, Uberto.</t>
  </si>
  <si>
    <t>Milano, R. Ricciardi, 1961.</t>
  </si>
  <si>
    <t>2015-02-11</t>
  </si>
  <si>
    <t>350811062:ita</t>
  </si>
  <si>
    <t>864186</t>
  </si>
  <si>
    <t>ocm00864186</t>
  </si>
  <si>
    <t>3103599357D</t>
  </si>
  <si>
    <t>791489955</t>
  </si>
  <si>
    <t>PQ4128 B3 B78 2011</t>
  </si>
  <si>
    <t>0                      PQ 4128000B  3                  B  78          2011</t>
  </si>
  <si>
    <t>La ballata romantica italiana / Cristiana Brunelli.</t>
  </si>
  <si>
    <t>Brunelli, Cristiana, 1978-</t>
  </si>
  <si>
    <t>Firenze : Le C̀àriti, 2011.</t>
  </si>
  <si>
    <t>Logos ; 20</t>
  </si>
  <si>
    <t>1039373132:ita</t>
  </si>
  <si>
    <t>771656751</t>
  </si>
  <si>
    <t>ocn771656751</t>
  </si>
  <si>
    <t>3103125571G</t>
  </si>
  <si>
    <t>9788887657746</t>
  </si>
  <si>
    <t>794904188</t>
  </si>
  <si>
    <t>PQ4128 C2 B45 1999</t>
  </si>
  <si>
    <t>0                      PQ 4128000C  2                  B  45          1999</t>
  </si>
  <si>
    <t>Cantari e dintorni / Maria Bendinelli Predelli.</t>
  </si>
  <si>
    <t>Bendinelli Predelli, M. (Maria)</t>
  </si>
  <si>
    <t>[Rome?] : Euroma, 1999.</t>
  </si>
  <si>
    <t>Percorsi ; 4</t>
  </si>
  <si>
    <t>2016-05-07</t>
  </si>
  <si>
    <t>20202547:ita</t>
  </si>
  <si>
    <t>58593996</t>
  </si>
  <si>
    <t>ocm58593996</t>
  </si>
  <si>
    <t>31024515912</t>
  </si>
  <si>
    <t>9788880661979</t>
  </si>
  <si>
    <t>793922832</t>
  </si>
  <si>
    <t>PQ4128 C6 C359 2000</t>
  </si>
  <si>
    <t>0                      PQ 4128000C  6                  C  359         2000</t>
  </si>
  <si>
    <t>I canzonieri della lirica italiana delle origini / a cura di Lino Leonardi.</t>
  </si>
  <si>
    <t>Tavarnuzze (Firenze) : SISMEL edizioni del Galluzzo, 2000-2001.</t>
  </si>
  <si>
    <t>Biblioteche e archivi ; 6</t>
  </si>
  <si>
    <t>3373960035:ita</t>
  </si>
  <si>
    <t>48626767</t>
  </si>
  <si>
    <t>ocm48626767</t>
  </si>
  <si>
    <t>3102862339O</t>
  </si>
  <si>
    <t>9788887027747</t>
  </si>
  <si>
    <t>793725192</t>
  </si>
  <si>
    <t>2009-01-29</t>
  </si>
  <si>
    <t>3102862329Q</t>
  </si>
  <si>
    <t>793725194</t>
  </si>
  <si>
    <t>3102862334O</t>
  </si>
  <si>
    <t>793725193</t>
  </si>
  <si>
    <t>3102862324Q</t>
  </si>
  <si>
    <t>793725195</t>
  </si>
  <si>
    <t>PQ4128 M3 R582 2015</t>
  </si>
  <si>
    <t>0                      PQ 4128000M  3                  R  582         2015</t>
  </si>
  <si>
    <t>Studi sul madrigale cinquecentesco / Salvatore Ritrovato.</t>
  </si>
  <si>
    <t>Ritrovato, Salvatore, author.</t>
  </si>
  <si>
    <t>Roma : Salerno editrice, [2015]</t>
  </si>
  <si>
    <t>Studi e saggi ; 56</t>
  </si>
  <si>
    <t>2586923698:ita</t>
  </si>
  <si>
    <t>921842894</t>
  </si>
  <si>
    <t>ocn921842894</t>
  </si>
  <si>
    <t>31036586500</t>
  </si>
  <si>
    <t>9788884029744</t>
  </si>
  <si>
    <t>795003317</t>
  </si>
  <si>
    <t>PQ4128 S5 S33 2012</t>
  </si>
  <si>
    <t>0                      PQ 4128000S  5                  S  33          2012</t>
  </si>
  <si>
    <t>Forme del sonetto : la tradizione e il Novecento / Raffaella Scarpa.</t>
  </si>
  <si>
    <t>Roma : Carocci, 2012.</t>
  </si>
  <si>
    <t>Biblioteca di testi e studi</t>
  </si>
  <si>
    <t>5218976425:ita</t>
  </si>
  <si>
    <t>798610361</t>
  </si>
  <si>
    <t>ocn798610361</t>
  </si>
  <si>
    <t>3103125927E</t>
  </si>
  <si>
    <t>9788843066087</t>
  </si>
  <si>
    <t>794923800</t>
  </si>
  <si>
    <t>PQ4128 S5 S66 2017</t>
  </si>
  <si>
    <t>0                      PQ 4128000S  5                  S  66          2017</t>
  </si>
  <si>
    <t>Il sonetto italiano : dalle origini a oggi / Fabio Magro, Arnaldo Soldani.</t>
  </si>
  <si>
    <t>Roma : Carocci editore, giugno 2017.</t>
  </si>
  <si>
    <t>Studi superiori ; 1080. Lingua e letteratura italiana</t>
  </si>
  <si>
    <t>4467566680:ita</t>
  </si>
  <si>
    <t>993954392</t>
  </si>
  <si>
    <t>ocn993954392</t>
  </si>
  <si>
    <t>3103720955T</t>
  </si>
  <si>
    <t>9788843086467</t>
  </si>
  <si>
    <t>795038855</t>
  </si>
  <si>
    <t>PQ4128 V58 L68 2017</t>
  </si>
  <si>
    <t>0                      PQ 4128000V  58                 L  68          2017</t>
  </si>
  <si>
    <t>Lotta poetica : il messaggio politico nella poesia visiva : 1965-1978 / a cura di Benedetta Carpi De Resmini.</t>
  </si>
  <si>
    <t>Guidonia Montecelio (Rm) : Iacobelli editore, maggio 2017.</t>
  </si>
  <si>
    <t>4452236641:ita</t>
  </si>
  <si>
    <t>1000097918</t>
  </si>
  <si>
    <t>on1000097918</t>
  </si>
  <si>
    <t>3103720987G</t>
  </si>
  <si>
    <t>9788862523837</t>
  </si>
  <si>
    <t>795040070</t>
  </si>
  <si>
    <t>PQ4129 M38 Q82 2015</t>
  </si>
  <si>
    <t>0                      PQ 4129000M  38                 Q  82          2015</t>
  </si>
  <si>
    <t>Textual masculinity and the exchange of women in Renaissance Venice / Courtney Quaintance.</t>
  </si>
  <si>
    <t>Quaintance, Courtney, 1968- author.</t>
  </si>
  <si>
    <t>Toronto : University of Toronto Press, [2015]</t>
  </si>
  <si>
    <t>2017-02-13</t>
  </si>
  <si>
    <t>2520138548:eng</t>
  </si>
  <si>
    <t>898087053</t>
  </si>
  <si>
    <t>ocn898087053</t>
  </si>
  <si>
    <t>3103496216H</t>
  </si>
  <si>
    <t>9781442649132</t>
  </si>
  <si>
    <t>794985754</t>
  </si>
  <si>
    <t>PQ4135 F5</t>
  </si>
  <si>
    <t>0                      PQ 4135000F  5</t>
  </si>
  <si>
    <t>The Divine comedy of Dante Alighier / translated by Jefferson Butler Fletcher.</t>
  </si>
  <si>
    <t>New York, Macmillan Co., 1931.</t>
  </si>
  <si>
    <t>2016-01-15</t>
  </si>
  <si>
    <t>10177299592:eng</t>
  </si>
  <si>
    <t>1019358</t>
  </si>
  <si>
    <t>ocm01019358</t>
  </si>
  <si>
    <t>3000543956B</t>
  </si>
  <si>
    <t>791526285</t>
  </si>
  <si>
    <t>PQ4136 Z354 2002</t>
  </si>
  <si>
    <t>0                      PQ 4136000Z  354         2002</t>
  </si>
  <si>
    <t>Teatri di formazione : actio, parola e immagine nella scena gesuitica del Sei-Settecento a Milano / Giovanna Zanlonghi.</t>
  </si>
  <si>
    <t>Zanlonghi, Giovanna.</t>
  </si>
  <si>
    <t>Milano : Vita e pensiero, [2002]</t>
  </si>
  <si>
    <t>La città e lo spettacolo ; 13</t>
  </si>
  <si>
    <t>892047063:ita</t>
  </si>
  <si>
    <t>49879587</t>
  </si>
  <si>
    <t>ocm49879587</t>
  </si>
  <si>
    <t>3103625363$</t>
  </si>
  <si>
    <t>9788834306789</t>
  </si>
  <si>
    <t>793749805</t>
  </si>
  <si>
    <t>PQ4137 I99 2002</t>
  </si>
  <si>
    <t>0                      PQ 4137000I  99          2002</t>
  </si>
  <si>
    <t>Il dramma della passione nel Medioevo abruzzese / Gabriella Izzi Benedetti.</t>
  </si>
  <si>
    <t>Izzi Benedetti, Gabriella.</t>
  </si>
  <si>
    <t>Roma : Bulzoni, ©2002.</t>
  </si>
  <si>
    <t>Biblioteca di cultura ; 631</t>
  </si>
  <si>
    <t>351257734:ita</t>
  </si>
  <si>
    <t>49983227</t>
  </si>
  <si>
    <t>ocm49983227</t>
  </si>
  <si>
    <t>3102522736D</t>
  </si>
  <si>
    <t>9788883196966</t>
  </si>
  <si>
    <t>793752810</t>
  </si>
  <si>
    <t>PQ4139 B47 2010</t>
  </si>
  <si>
    <t>0                      PQ 4139000B  47          2010</t>
  </si>
  <si>
    <t>Hor con la legge in man giudicheranno : moventi giuridici nella drammaturgia tragica del Cinquecento italiano / Fabio Bertini.</t>
  </si>
  <si>
    <t>Bertini, Fabio.</t>
  </si>
  <si>
    <t>Firenze : Società Editrice Fiorentina, ©2010.</t>
  </si>
  <si>
    <t>Quaderni Aldo Palazzeschi / Centro di studi "Aldo Palazzeschi," Università degli studi di Firenze, Facoltà di lettere e filosofia ; nuova ser., 24</t>
  </si>
  <si>
    <t>793328868:ita</t>
  </si>
  <si>
    <t>681072154</t>
  </si>
  <si>
    <t>ocn681072154</t>
  </si>
  <si>
    <t>3103125252T</t>
  </si>
  <si>
    <t>9788860321381</t>
  </si>
  <si>
    <t>794851330</t>
  </si>
  <si>
    <t>PQ4139 C58 1989</t>
  </si>
  <si>
    <t>0                      PQ 4139000C  58          1989</t>
  </si>
  <si>
    <t>Italian drama in Shakespeare's time / Louise George Clubb.</t>
  </si>
  <si>
    <t>Clubb, Louise George.</t>
  </si>
  <si>
    <t>New Haven : Yale University Press, ©1989.</t>
  </si>
  <si>
    <t>2016-11-21</t>
  </si>
  <si>
    <t>21358927:eng</t>
  </si>
  <si>
    <t>19515006</t>
  </si>
  <si>
    <t>ocm19515006</t>
  </si>
  <si>
    <t>3103291974G</t>
  </si>
  <si>
    <t>9780300037128</t>
  </si>
  <si>
    <t>793060518</t>
  </si>
  <si>
    <t>PQ4139 D54 2013</t>
  </si>
  <si>
    <t>0                      PQ 4139000D  54          2013</t>
  </si>
  <si>
    <t>The poetics of imitation in the Italian theatre of the Renaissance / Salvatore Di Maria.</t>
  </si>
  <si>
    <t>Di Maria, Salvatore, author.</t>
  </si>
  <si>
    <t>Toronto ; Buffalo ; London : University of Toronto Press, [2013]</t>
  </si>
  <si>
    <t>2014-03-26</t>
  </si>
  <si>
    <t>1215498134:eng</t>
  </si>
  <si>
    <t>832256514</t>
  </si>
  <si>
    <t>ocn832256514</t>
  </si>
  <si>
    <t>3103423975V</t>
  </si>
  <si>
    <t>9781442647121</t>
  </si>
  <si>
    <t>794943874</t>
  </si>
  <si>
    <t>PQ4139 F36 2011</t>
  </si>
  <si>
    <t>0                      PQ 4139000F  36          2011</t>
  </si>
  <si>
    <t>Con la bocca di un'altra persona : retorica e drammaturgia nel teatro del Rinascimento / Carlo Fanelli.</t>
  </si>
  <si>
    <t>Fanelli, Carlo.</t>
  </si>
  <si>
    <t>Biblioteca teatrale ; 175</t>
  </si>
  <si>
    <t>1119146760:ita</t>
  </si>
  <si>
    <t>795156394</t>
  </si>
  <si>
    <t>ocn795156394</t>
  </si>
  <si>
    <t>31034846972</t>
  </si>
  <si>
    <t>9788878705883</t>
  </si>
  <si>
    <t>794920889</t>
  </si>
  <si>
    <t>PQ4139 G63 2013</t>
  </si>
  <si>
    <t>0                      PQ 4139000G  63          2013</t>
  </si>
  <si>
    <t>Moments de la scène bocagère à Ferrare : d'Hercule II aux lendemains de la dévolution : Egle de Giraldi Cinzio, Lo Sfortunato d'Agostino Argenti, Aminta (deux à-côtés de la première représentation), Filli di Sciro de Guidubaldo Bonarelli / Alain Godard.</t>
  </si>
  <si>
    <t>Godard, Alain, 1947- author.</t>
  </si>
  <si>
    <t>Paris : Université Paris III Sorbonne nouvelle, 2013.</t>
  </si>
  <si>
    <t>Centre interuniversitaire de recherche sur la Renaissance italienne ; 32</t>
  </si>
  <si>
    <t>2063573400:fre</t>
  </si>
  <si>
    <t>884239644</t>
  </si>
  <si>
    <t>ocn884239644</t>
  </si>
  <si>
    <t>31031988541</t>
  </si>
  <si>
    <t>9782900478325</t>
  </si>
  <si>
    <t>794976176</t>
  </si>
  <si>
    <t>PQ4139 H4</t>
  </si>
  <si>
    <t>0                      PQ 4139000H  4</t>
  </si>
  <si>
    <t>Italian tragedy in the Renaissance [by] Marvin T. Herrick.</t>
  </si>
  <si>
    <t>Herrick, Marvin T. (Marvin Theodore), 1899-1966.</t>
  </si>
  <si>
    <t>Urbana, University of Illinois Press, 1965.</t>
  </si>
  <si>
    <t>1965</t>
  </si>
  <si>
    <t>2015-03-23</t>
  </si>
  <si>
    <t>3856196442:eng</t>
  </si>
  <si>
    <t>229935</t>
  </si>
  <si>
    <t>ocm00229935</t>
  </si>
  <si>
    <t>30007950351</t>
  </si>
  <si>
    <t>791301528</t>
  </si>
  <si>
    <t>PQ4139 L5x</t>
  </si>
  <si>
    <t>0                      PQ 4139000L  5x</t>
  </si>
  <si>
    <t>Lingua e strutture del teatro italiano del Rinascimento. Machiavelli, Ruzzante, Aretino, Guarini, Commedia dell'arte. Presentazione di G. Folena.</t>
  </si>
  <si>
    <t>Padova, Liviana, 1970.</t>
  </si>
  <si>
    <t>Quaderni del Circolo filologico-linguistico padovano, 2</t>
  </si>
  <si>
    <t>2017-03-15</t>
  </si>
  <si>
    <t>888176681:ita</t>
  </si>
  <si>
    <t>1189870</t>
  </si>
  <si>
    <t>ocm01189870</t>
  </si>
  <si>
    <t>3100244513E</t>
  </si>
  <si>
    <t>791568573</t>
  </si>
  <si>
    <t>PQ4139 P35</t>
  </si>
  <si>
    <t>0                      PQ 4139000P  35</t>
  </si>
  <si>
    <t>Il teatro del Rinascimento e la Commedia dell'arte.</t>
  </si>
  <si>
    <t>Pandolfi, Vito, 1917-1974.</t>
  </si>
  <si>
    <t>Roma, Lerici, 1969.</t>
  </si>
  <si>
    <t>Saggi, 47</t>
  </si>
  <si>
    <t>2019-04-14</t>
  </si>
  <si>
    <t>366349380:ita</t>
  </si>
  <si>
    <t>646689</t>
  </si>
  <si>
    <t>ocm00646689</t>
  </si>
  <si>
    <t>3102734686I</t>
  </si>
  <si>
    <t>791436809</t>
  </si>
  <si>
    <t>PQ4139 P55 2011</t>
  </si>
  <si>
    <t>0                      PQ 4139000P  55          2011</t>
  </si>
  <si>
    <t>The perfect genre : drama and painting in Renaissance Italy / Kristin Phillips-Court.</t>
  </si>
  <si>
    <t>Phillips-Court, Kristin.</t>
  </si>
  <si>
    <t>Farnham, Surrey, England ; Burlington, VT : Ashgate, ©2011.</t>
  </si>
  <si>
    <t>2017-03-31</t>
  </si>
  <si>
    <t>687447847:eng</t>
  </si>
  <si>
    <t>671541176</t>
  </si>
  <si>
    <t>ocn671541176</t>
  </si>
  <si>
    <t>3103234221S</t>
  </si>
  <si>
    <t>9781409406839</t>
  </si>
  <si>
    <t>794848825</t>
  </si>
  <si>
    <t>PQ4139 S53 1993</t>
  </si>
  <si>
    <t>0                      PQ 4139000S  53          1993</t>
  </si>
  <si>
    <t>Venetian state theater and the games of Siena, 1595-1605 : the Grimani banquet plays / Jonathan Shiff.</t>
  </si>
  <si>
    <t>Shiff, Jonathan.</t>
  </si>
  <si>
    <t>Lewiston : Edwin Mellen Press, ©1993.</t>
  </si>
  <si>
    <t>2016-01-19</t>
  </si>
  <si>
    <t>138762042:eng</t>
  </si>
  <si>
    <t>29026638</t>
  </si>
  <si>
    <t>ocm29026638</t>
  </si>
  <si>
    <t>3101894390Z</t>
  </si>
  <si>
    <t>9780773494244</t>
  </si>
  <si>
    <t>793301742</t>
  </si>
  <si>
    <t>PQ4139 T54 1991</t>
  </si>
  <si>
    <t>0                      PQ 4139000T  54          1991</t>
  </si>
  <si>
    <t>Theatre of the English and Italian Renaissance / edited by J.R. Mulryne and Margaret Shewring.</t>
  </si>
  <si>
    <t>Basingstoke : Macmillan, 1991.</t>
  </si>
  <si>
    <t>Warwick studies in the European humanities</t>
  </si>
  <si>
    <t>365578988:eng</t>
  </si>
  <si>
    <t>21972874</t>
  </si>
  <si>
    <t>ocm21972874</t>
  </si>
  <si>
    <t>3101145891D</t>
  </si>
  <si>
    <t>9780333485880</t>
  </si>
  <si>
    <t>793131870</t>
  </si>
  <si>
    <t>PQ4145 B3</t>
  </si>
  <si>
    <t>0                      PQ 4145000B  3</t>
  </si>
  <si>
    <t>La didascalia drammaturgica : Praga, Marinetti, Pirandello / Giuseppe Bartolucci.</t>
  </si>
  <si>
    <t>Bartolucci, Giuseppe.</t>
  </si>
  <si>
    <t>Napoli : Guida, [1973]</t>
  </si>
  <si>
    <t>1973</t>
  </si>
  <si>
    <t>Il Sagittario ; n. 17</t>
  </si>
  <si>
    <t>2019-02-14</t>
  </si>
  <si>
    <t>365751735:ita</t>
  </si>
  <si>
    <t>1609582</t>
  </si>
  <si>
    <t>ocm01609582</t>
  </si>
  <si>
    <t>30003880002</t>
  </si>
  <si>
    <t>791791452</t>
  </si>
  <si>
    <t>PQ4145 F88 2011</t>
  </si>
  <si>
    <t>0                      PQ 4145000F  88          2011</t>
  </si>
  <si>
    <t>Futurist dramaturgy and performance / edited by Paul J. Stoesser.</t>
  </si>
  <si>
    <t>Ottawa : Legas, ©2011.</t>
  </si>
  <si>
    <t>Series studies in drama and theatre ; 7</t>
  </si>
  <si>
    <t>5617692422:eng</t>
  </si>
  <si>
    <t>696908677</t>
  </si>
  <si>
    <t>ocn696908677</t>
  </si>
  <si>
    <t>3103325405L</t>
  </si>
  <si>
    <t>9781897493250</t>
  </si>
  <si>
    <t>794859532</t>
  </si>
  <si>
    <t>PQ4145 T58 2012</t>
  </si>
  <si>
    <t>0                      PQ 4145000T  58          2012</t>
  </si>
  <si>
    <t>Dalla parola all'azione : forme della didascalia drammaturgica, 1900-1930 / Carlo Titomanlio.</t>
  </si>
  <si>
    <t>Titomanlio, Carlo.</t>
  </si>
  <si>
    <t>Percorsi critici ; 5</t>
  </si>
  <si>
    <t>1353332896:ita</t>
  </si>
  <si>
    <t>841181426</t>
  </si>
  <si>
    <t>ocn841181426</t>
  </si>
  <si>
    <t>3103126215X</t>
  </si>
  <si>
    <t>9788846734976</t>
  </si>
  <si>
    <t>794946564</t>
  </si>
  <si>
    <t>PQ4145 T66 2016</t>
  </si>
  <si>
    <t>0                      PQ 4145000T  66          2016</t>
  </si>
  <si>
    <t>La drammaturgia italiana contemporanea : da Pirandello al futuro / Dario Tomasello.</t>
  </si>
  <si>
    <t>Tomasello, Dario, 1973- author.</t>
  </si>
  <si>
    <t>Roma : Carocci editore, 2016.</t>
  </si>
  <si>
    <t>Studi superiori ; 1033. L'Italia dei teatri</t>
  </si>
  <si>
    <t>2971277458:ita</t>
  </si>
  <si>
    <t>939396011</t>
  </si>
  <si>
    <t>ocn939396011</t>
  </si>
  <si>
    <t>3103661418X</t>
  </si>
  <si>
    <t>9788843079698</t>
  </si>
  <si>
    <t>795011605</t>
  </si>
  <si>
    <t>PQ4147 D5 2002</t>
  </si>
  <si>
    <t>0                      PQ 4147000D  5           2002</t>
  </si>
  <si>
    <t>The Italian tragedy in the Renaissance : cultural realities and theatrical innovations / Salvatore Di Maria.</t>
  </si>
  <si>
    <t>Di Maria, Salvatore.</t>
  </si>
  <si>
    <t>Lewisburg, Pa. : Bucknell University Press ; London : Associated University Presses, ©2002.</t>
  </si>
  <si>
    <t>2017-01-09</t>
  </si>
  <si>
    <t>20795105:eng</t>
  </si>
  <si>
    <t>46909575</t>
  </si>
  <si>
    <t>ocm46909575</t>
  </si>
  <si>
    <t>3102167484X</t>
  </si>
  <si>
    <t>9780838754900</t>
  </si>
  <si>
    <t>793694225</t>
  </si>
  <si>
    <t>PQ4148 A18 Z48 1991</t>
  </si>
  <si>
    <t>0                      PQ 4148000A  18                 Z  48          1991</t>
  </si>
  <si>
    <t>Lettere sulla psicoanalisi : carteggio con Joachim Flescher 1946-1949 : con gli scritti di Saba sulla psicoanalisi, le lettere di Saba a Edoardo Weiss, due lettere di Weiss a Linuccia Saba / Umberto Saba ; a cura di Arrigo Stara.</t>
  </si>
  <si>
    <t>Saba, Umberto, 1883-1957.</t>
  </si>
  <si>
    <t>Milano : SE SRL, ©1991.</t>
  </si>
  <si>
    <t>Saggi e documenti del Novecento ; 28</t>
  </si>
  <si>
    <t>2019-04-21</t>
  </si>
  <si>
    <t>365236818:ita</t>
  </si>
  <si>
    <t>25387749</t>
  </si>
  <si>
    <t>ocm25387749</t>
  </si>
  <si>
    <t>3103636069P</t>
  </si>
  <si>
    <t>9788877102027</t>
  </si>
  <si>
    <t>793219384</t>
  </si>
  <si>
    <t>PQ4149 C53 2014</t>
  </si>
  <si>
    <t>0                      PQ 4149000C  53          2014</t>
  </si>
  <si>
    <t>Teatri di maschere : drammaturgie del comico nella Roma del Seicento / Roberto Ciancarelli.</t>
  </si>
  <si>
    <t>Ciancarelli, Roberto, author.</t>
  </si>
  <si>
    <t>Roma : Bulzoni editore, [2014]</t>
  </si>
  <si>
    <t>Biblioteca teatrale. Studi e testi ; 186</t>
  </si>
  <si>
    <t>2043279115:ita</t>
  </si>
  <si>
    <t>889717333</t>
  </si>
  <si>
    <t>ocn889717333</t>
  </si>
  <si>
    <t>3103585081C</t>
  </si>
  <si>
    <t>9788878709485</t>
  </si>
  <si>
    <t>794978556</t>
  </si>
  <si>
    <t>PQ4149 G43 2010</t>
  </si>
  <si>
    <t>0                      PQ 4149000G  43          2010</t>
  </si>
  <si>
    <t>L'Italia in commedia / Lido Gedda.</t>
  </si>
  <si>
    <t>Gedda, Lido, author.</t>
  </si>
  <si>
    <t>2018-09-30</t>
  </si>
  <si>
    <t>407474747:ita</t>
  </si>
  <si>
    <t>535487967</t>
  </si>
  <si>
    <t>ocn535487967</t>
  </si>
  <si>
    <t>3103125394I</t>
  </si>
  <si>
    <t>9788854830134</t>
  </si>
  <si>
    <t>794810004</t>
  </si>
  <si>
    <t>PQ4149 G52 2009</t>
  </si>
  <si>
    <t>0                      PQ 4149000G  52          2009</t>
  </si>
  <si>
    <t>Lelia's kiss : imagining gender, sex, and marriage in Italian Renaissance comedy / Laura Giannetti.</t>
  </si>
  <si>
    <t>Giannetti, Laura.</t>
  </si>
  <si>
    <t>Toronto ; Buffalo, NY : University of Toronto Press, ©2009.</t>
  </si>
  <si>
    <t>2019-01-30</t>
  </si>
  <si>
    <t>825026030:eng</t>
  </si>
  <si>
    <t>428868529</t>
  </si>
  <si>
    <t>ocn428868529</t>
  </si>
  <si>
    <t>3103071981$</t>
  </si>
  <si>
    <t>9780802099518</t>
  </si>
  <si>
    <t>794778907</t>
  </si>
  <si>
    <t>PQ4149 M36 2011</t>
  </si>
  <si>
    <t>0                      PQ 4149000M  36          2011</t>
  </si>
  <si>
    <t>Motherhood and patriarchal masculinities in sixteenth-century Italian comedy / Yael Manes.</t>
  </si>
  <si>
    <t>Manes, Yael, author.</t>
  </si>
  <si>
    <t>Farnham, Surrey, England ; Burlington, VT : Ashgate, [2011]</t>
  </si>
  <si>
    <t>Studies in performance and early modern drama</t>
  </si>
  <si>
    <t>2014-03-16</t>
  </si>
  <si>
    <t>934893441:eng</t>
  </si>
  <si>
    <t>741273536</t>
  </si>
  <si>
    <t>ocn741273536</t>
  </si>
  <si>
    <t>3103381966H</t>
  </si>
  <si>
    <t>9781409434405</t>
  </si>
  <si>
    <t>794883739</t>
  </si>
  <si>
    <t>PQ4149 P28 1982</t>
  </si>
  <si>
    <t>0                      PQ 4149000P  28          1982</t>
  </si>
  <si>
    <t>La commedia rinascimentale veneta (1433-1565) / Giorgio Padoan.</t>
  </si>
  <si>
    <t>Padoan, Giorgio.</t>
  </si>
  <si>
    <t>Vicenza : N. Pozza, ©1982.</t>
  </si>
  <si>
    <t>Studi e testi veneziani ; 9</t>
  </si>
  <si>
    <t>352023382:ita</t>
  </si>
  <si>
    <t>10230522</t>
  </si>
  <si>
    <t>ocm10230522</t>
  </si>
  <si>
    <t>3000359820E</t>
  </si>
  <si>
    <t>792715594</t>
  </si>
  <si>
    <t>PQ4149 R3</t>
  </si>
  <si>
    <t>0                      PQ 4149000R  3</t>
  </si>
  <si>
    <t>The birth of modern comedy in Renaissance Italy.</t>
  </si>
  <si>
    <t>Radcliff-Umstead, Douglas.</t>
  </si>
  <si>
    <t>Chicago, University of Chicago Press [1969]</t>
  </si>
  <si>
    <t>1135520:eng</t>
  </si>
  <si>
    <t>12636</t>
  </si>
  <si>
    <t>ocm00012636</t>
  </si>
  <si>
    <t>31025606540</t>
  </si>
  <si>
    <t>791228172</t>
  </si>
  <si>
    <t>PQ4149 V35 2007</t>
  </si>
  <si>
    <t>0                      PQ 4149000V  35          2007</t>
  </si>
  <si>
    <t>Stefanelo Botarga e Zan Ganassa / María del Valle Ojeda Calvo.</t>
  </si>
  <si>
    <t>Valle Ojeda, María del.</t>
  </si>
  <si>
    <t>Roma : Bulzoni, 2007-</t>
  </si>
  <si>
    <t>La commedia dell'arte ; 6</t>
  </si>
  <si>
    <t>2019-04-24</t>
  </si>
  <si>
    <t>5090716959:ita</t>
  </si>
  <si>
    <t>213458592</t>
  </si>
  <si>
    <t>ocn213458592</t>
  </si>
  <si>
    <t>3103150852G</t>
  </si>
  <si>
    <t>9788878702288</t>
  </si>
  <si>
    <t>794308443</t>
  </si>
  <si>
    <t>PQ4149 .V35 2007</t>
  </si>
  <si>
    <t>standing order</t>
  </si>
  <si>
    <t>B001255791</t>
  </si>
  <si>
    <t>794308442</t>
  </si>
  <si>
    <t>PQ4153 H3 A44 2013</t>
  </si>
  <si>
    <t>0                      PQ 4153000H  3                  A  44          2013</t>
  </si>
  <si>
    <t>Dramma e storia : da Trissino a Pellico / Beatrice Alfonzetti.</t>
  </si>
  <si>
    <t>Alfonzetti, Beatrice.</t>
  </si>
  <si>
    <t>Roma : Edizioni di storia e letteratura, 2013.</t>
  </si>
  <si>
    <t>Temi e testi ; 110</t>
  </si>
  <si>
    <t>1778497037:ita</t>
  </si>
  <si>
    <t>815378676</t>
  </si>
  <si>
    <t>ocn815378676</t>
  </si>
  <si>
    <t>3103126143U</t>
  </si>
  <si>
    <t>9788863724691</t>
  </si>
  <si>
    <t>794932450</t>
  </si>
  <si>
    <t>PQ4155 C35 1994</t>
  </si>
  <si>
    <t>0                      PQ 4155000C  35          1994</t>
  </si>
  <si>
    <t>The early commedia dell'arte (1550-1621) : the mannerist context / Paul C. Castagno.</t>
  </si>
  <si>
    <t>Castagno, Paul C., 1950-</t>
  </si>
  <si>
    <t>New York : P. Lang, ©1994.</t>
  </si>
  <si>
    <t>American university studies. Series XXVI, Theatre arts ; v. 13</t>
  </si>
  <si>
    <t>2016-07-22</t>
  </si>
  <si>
    <t>22950001:eng</t>
  </si>
  <si>
    <t>24906929</t>
  </si>
  <si>
    <t>ocm24906929</t>
  </si>
  <si>
    <t>3101429579N</t>
  </si>
  <si>
    <t>9780820417943</t>
  </si>
  <si>
    <t>793207899</t>
  </si>
  <si>
    <t>PQ4155 C6 1969</t>
  </si>
  <si>
    <t>0                      PQ 4155000C  6           1969</t>
  </si>
  <si>
    <t>La commedia dell'arte e la società barocca / [a cura di] Ferdinando Taviani.</t>
  </si>
  <si>
    <t>Roma : Bulzoni editore, ©1969-©1991.</t>
  </si>
  <si>
    <t>La commedia dell'arte ; 1</t>
  </si>
  <si>
    <t>2014-09-11</t>
  </si>
  <si>
    <t>4564036416:ita</t>
  </si>
  <si>
    <t>23495363</t>
  </si>
  <si>
    <t>ocm23495363</t>
  </si>
  <si>
    <t>30006294655</t>
  </si>
  <si>
    <t>9788871192017</t>
  </si>
  <si>
    <t>793173434</t>
  </si>
  <si>
    <t>3100963785$</t>
  </si>
  <si>
    <t>793173433</t>
  </si>
  <si>
    <t>PQ4155 C63 1989</t>
  </si>
  <si>
    <t>0                      PQ 4155000C  63          1989</t>
  </si>
  <si>
    <t>The Commedia dellʼarte from the Renaissance to Dario Fo / edited by Christopher Cairns.</t>
  </si>
  <si>
    <t>Lewiston : E. Mellen Press, ©1989.</t>
  </si>
  <si>
    <t>The Italian origins of European theatre ; 6</t>
  </si>
  <si>
    <t>351259362:eng</t>
  </si>
  <si>
    <t>20671697</t>
  </si>
  <si>
    <t>ocm20671697</t>
  </si>
  <si>
    <t>3101218865A</t>
  </si>
  <si>
    <t>9780889460805</t>
  </si>
  <si>
    <t>793095014</t>
  </si>
  <si>
    <t>PQ4155 D82 1966</t>
  </si>
  <si>
    <t>0                      PQ 4155000D  82          1966</t>
  </si>
  <si>
    <t>The Italian comedy : the improvisation, scenarios, lives, attributes, portraits, and masks of the illustrious characters of the commedia dell'arte / by Pierre Louis Duchartre ; authorized translation from the French by Randolph T. Weaver ; with a new pictorial supplement reproduced from the "Recueil Fossard" and "Compositions de rhétorique."</t>
  </si>
  <si>
    <t>Duchartre, Pierre-Louis, 1894-1983.</t>
  </si>
  <si>
    <t>New York : Dover Publications, ©1966.</t>
  </si>
  <si>
    <t>1966</t>
  </si>
  <si>
    <t>503070682:eng</t>
  </si>
  <si>
    <t>890604</t>
  </si>
  <si>
    <t>ocm00890604</t>
  </si>
  <si>
    <t>3000201572A</t>
  </si>
  <si>
    <t>9780486216799</t>
  </si>
  <si>
    <t>791495784</t>
  </si>
  <si>
    <t>3000500268Y</t>
  </si>
  <si>
    <t>791495785</t>
  </si>
  <si>
    <t>PQ4155 F463 2014</t>
  </si>
  <si>
    <t>0                      PQ 4155000F  463         2014</t>
  </si>
  <si>
    <t>La Commedia dell'arte : attrici e attori italiani in Europa (XVI-XVIII secolo) / Siro Ferrone.</t>
  </si>
  <si>
    <t>Ferrone, Siro, 1946- author.</t>
  </si>
  <si>
    <t>Torino : Giulio Einaudi editore, [2014]</t>
  </si>
  <si>
    <t>Piccola biblioteca Einaudi ; nuova serie, 614</t>
  </si>
  <si>
    <t>2018-11-03</t>
  </si>
  <si>
    <t>1848499989:ita</t>
  </si>
  <si>
    <t>874573288</t>
  </si>
  <si>
    <t>ocn874573288</t>
  </si>
  <si>
    <t>31031985796</t>
  </si>
  <si>
    <t>9788806206512</t>
  </si>
  <si>
    <t>794968907</t>
  </si>
  <si>
    <t>PQ4155 F57 1992</t>
  </si>
  <si>
    <t>0                      PQ 4155000F  57          1992</t>
  </si>
  <si>
    <t>The theatre of yesterday and tomorrow : commedia dell'arte on the modern stage / James Fisher.</t>
  </si>
  <si>
    <t>Fisher, James, 1950-</t>
  </si>
  <si>
    <t>Lewiston : E. Mellen Press, ©1992.</t>
  </si>
  <si>
    <t>Studies in the Italian theatre</t>
  </si>
  <si>
    <t>2011-10-15</t>
  </si>
  <si>
    <t>2016-11-02</t>
  </si>
  <si>
    <t>1080538227:eng</t>
  </si>
  <si>
    <t>25747424</t>
  </si>
  <si>
    <t>ocm25747424</t>
  </si>
  <si>
    <t>3103678702W</t>
  </si>
  <si>
    <t>9780773495296</t>
  </si>
  <si>
    <t>793229071</t>
  </si>
  <si>
    <t>31033777684</t>
  </si>
  <si>
    <t>793229072</t>
  </si>
  <si>
    <t>PQ4155 G73 2000b</t>
  </si>
  <si>
    <t>0                      PQ 4155000G  73          2000b</t>
  </si>
  <si>
    <t>Playing commedia : a training guide to commedia techniques / Barry Grantham.</t>
  </si>
  <si>
    <t>Grantham, Barry.</t>
  </si>
  <si>
    <t>Portsmouth, NH : Heinemann, ©2000.</t>
  </si>
  <si>
    <t>36145524:eng</t>
  </si>
  <si>
    <t>48711142</t>
  </si>
  <si>
    <t>ocm48711142</t>
  </si>
  <si>
    <t>3102198777W</t>
  </si>
  <si>
    <t>9780325003467</t>
  </si>
  <si>
    <t>793726773</t>
  </si>
  <si>
    <t>PQ4155 J33 2015</t>
  </si>
  <si>
    <t>0                      PQ 4155000J  33          2015</t>
  </si>
  <si>
    <t>Commedia dell' arte and the Mediterranean : charting journeys and mapping "others" / Erith Jaffe-Berg, University of California, Riverside, USA.</t>
  </si>
  <si>
    <t>Jaffe-Berg, Erith, 1971-</t>
  </si>
  <si>
    <t>Farhham, Surrey, England ; Burlington, VT : Ashgate, 2015.</t>
  </si>
  <si>
    <t>Transculturalisms, 1400-1700</t>
  </si>
  <si>
    <t>2581289063:eng</t>
  </si>
  <si>
    <t>907494617</t>
  </si>
  <si>
    <t>ocn907494617</t>
  </si>
  <si>
    <t>31036128363</t>
  </si>
  <si>
    <t>9781472418142</t>
  </si>
  <si>
    <t>794993495</t>
  </si>
  <si>
    <t>PQ4155 J34 2009</t>
  </si>
  <si>
    <t>0                      PQ 4155000J  34          2009</t>
  </si>
  <si>
    <t>The multilingual art of commedia dell'arte / Erith Jaffe-Berg.</t>
  </si>
  <si>
    <t>New York : Legas, ©2009.</t>
  </si>
  <si>
    <t>Studies in drama and theatre ; 6</t>
  </si>
  <si>
    <t>2017-07-18</t>
  </si>
  <si>
    <t>145383691:eng</t>
  </si>
  <si>
    <t>248955276</t>
  </si>
  <si>
    <t>ocn248955276</t>
  </si>
  <si>
    <t>3102709447R</t>
  </si>
  <si>
    <t>9781897493021</t>
  </si>
  <si>
    <t>794384720</t>
  </si>
  <si>
    <t>- Blackader-Lauterman Collection - Regular Loan</t>
  </si>
  <si>
    <t>PQ4155 K38 2006</t>
  </si>
  <si>
    <t>0                      PQ 4155000K  38          2006</t>
  </si>
  <si>
    <t>The art of commedia : a study in the Commedia dell'Arte 1560-1620 with special reference to the visual records / M A Katrizky.</t>
  </si>
  <si>
    <t>Katritzky, M. A.</t>
  </si>
  <si>
    <t>Amsterdam ; New York : Rodopi, 2006.</t>
  </si>
  <si>
    <t>Internationale Forschungen zur allgemeinen und vergleichenden Literaturwissenschaft, 0929-6999 ; 100</t>
  </si>
  <si>
    <t>864044982:eng</t>
  </si>
  <si>
    <t>69983670</t>
  </si>
  <si>
    <t>ocm69983670</t>
  </si>
  <si>
    <t>31025855864</t>
  </si>
  <si>
    <t>9789042017986</t>
  </si>
  <si>
    <t>794147475</t>
  </si>
  <si>
    <t>PQ4155 K4</t>
  </si>
  <si>
    <t>0                      PQ 4155000K  4</t>
  </si>
  <si>
    <t>Masks and marionettes / by Joseph Spencer Kennard.</t>
  </si>
  <si>
    <t>Kennard, Joseph Spencer, 1859-1944.</t>
  </si>
  <si>
    <t>New York : Macmillan, 1935.</t>
  </si>
  <si>
    <t>1722306:eng</t>
  </si>
  <si>
    <t>427521014</t>
  </si>
  <si>
    <t>ocn427521014</t>
  </si>
  <si>
    <t>3000628603O</t>
  </si>
  <si>
    <t>794674883</t>
  </si>
  <si>
    <t>PQ4155 L4 1962</t>
  </si>
  <si>
    <t>0                      PQ 4155000L  4           1962</t>
  </si>
  <si>
    <t>Italian popular comedy; a study in the Commedia dell'arte, 1560-1620, with special reference to the English stage.</t>
  </si>
  <si>
    <t>Lea, Kathleen M. (Kathleen Marguerite)</t>
  </si>
  <si>
    <t>New York, Russell &amp; Russell, 1962.</t>
  </si>
  <si>
    <t>1962</t>
  </si>
  <si>
    <t>2012-10-12</t>
  </si>
  <si>
    <t>2018-02-20</t>
  </si>
  <si>
    <t>431985301:eng</t>
  </si>
  <si>
    <t>1134107</t>
  </si>
  <si>
    <t>ocm01134107</t>
  </si>
  <si>
    <t>31001470762</t>
  </si>
  <si>
    <t>9780846202264</t>
  </si>
  <si>
    <t>791554249</t>
  </si>
  <si>
    <t>30002458161</t>
  </si>
  <si>
    <t>791554250</t>
  </si>
  <si>
    <t>2016-07-30</t>
  </si>
  <si>
    <t>31004720328</t>
  </si>
  <si>
    <t>791554251</t>
  </si>
  <si>
    <t>3000522068K</t>
  </si>
  <si>
    <t>791554252</t>
  </si>
  <si>
    <t>PQ4155 M26 2003</t>
  </si>
  <si>
    <t>0                      PQ 4155000M  26          2003</t>
  </si>
  <si>
    <t>Music and women of the commedia dell'arte in the late sixteenth century / Anne MacNeil.</t>
  </si>
  <si>
    <t>MacNeil, Anne.</t>
  </si>
  <si>
    <t>Oxford : Oxford University Press, 2003.</t>
  </si>
  <si>
    <t>Oxford monographs on music</t>
  </si>
  <si>
    <t>988165:eng</t>
  </si>
  <si>
    <t>50653894</t>
  </si>
  <si>
    <t>ocm50653894</t>
  </si>
  <si>
    <t>31022641959</t>
  </si>
  <si>
    <t>9780198166894</t>
  </si>
  <si>
    <t>793769792</t>
  </si>
  <si>
    <t>PQ4155 M36</t>
  </si>
  <si>
    <t>0                      PQ 4155000M  36</t>
  </si>
  <si>
    <t>Le Maschere italiane / [notizie storiche di Chiara].</t>
  </si>
  <si>
    <t>[Firenze] : Libreria editrice fiorentina, 1976.</t>
  </si>
  <si>
    <t>Mezzo scudo</t>
  </si>
  <si>
    <t>2016-06-16</t>
  </si>
  <si>
    <t>11072522:ita</t>
  </si>
  <si>
    <t>3605998</t>
  </si>
  <si>
    <t>ocm03605998</t>
  </si>
  <si>
    <t>3000436628Q</t>
  </si>
  <si>
    <t>792272403</t>
  </si>
  <si>
    <t>PQ4155 M516 1981</t>
  </si>
  <si>
    <t>0                      PQ 4155000M  516         1981</t>
  </si>
  <si>
    <t>La commedia dell'arte, o, Il teatro dei commedianti italiani nei secoli XVI, XVII e XVIII / Konstantin Miklaševskij ; con un saggio di Carla Solivetti.</t>
  </si>
  <si>
    <t>Miklashevskiĭ, Konstantin.</t>
  </si>
  <si>
    <t>Venezia : Marsilio, 1981.</t>
  </si>
  <si>
    <t>3956613575:ita</t>
  </si>
  <si>
    <t>427517809</t>
  </si>
  <si>
    <t>ocn427517809</t>
  </si>
  <si>
    <t>3101143032Y</t>
  </si>
  <si>
    <t>9788831750776</t>
  </si>
  <si>
    <t>794673663</t>
  </si>
  <si>
    <t>PQ4155 M65 1985</t>
  </si>
  <si>
    <t>0                      PQ 4155000M  65          1985</t>
  </si>
  <si>
    <t>La commedia dell'arte / Cesare Molinari.</t>
  </si>
  <si>
    <t>Molinari, Cesare, 1935-</t>
  </si>
  <si>
    <t>Milano : A. Mondadori, 1985.</t>
  </si>
  <si>
    <t>351697294:ita</t>
  </si>
  <si>
    <t>13643672</t>
  </si>
  <si>
    <t>ocm13643672</t>
  </si>
  <si>
    <t>3000471649J</t>
  </si>
  <si>
    <t>792861176</t>
  </si>
  <si>
    <t>PQ4155 R48 1990</t>
  </si>
  <si>
    <t>0                      PQ 4155000R  48          1990</t>
  </si>
  <si>
    <t>The commedia dell'arte : a documentary history / Kenneth Richards and Laura Richards.</t>
  </si>
  <si>
    <t>Richards, Kenneth, 1934-</t>
  </si>
  <si>
    <t>Oxford, UK ; Cambridge, Mass., USA : Published by B. Blackwell for Shakespeare Head Press, 1990.</t>
  </si>
  <si>
    <t>864535950:eng</t>
  </si>
  <si>
    <t>18441928</t>
  </si>
  <si>
    <t>ocm18441928</t>
  </si>
  <si>
    <t>3102824096X</t>
  </si>
  <si>
    <t>9780631195900</t>
  </si>
  <si>
    <t>793025700</t>
  </si>
  <si>
    <t>PQ4155 R68 2015</t>
  </si>
  <si>
    <t>0                      PQ 4155000R  68          2015</t>
  </si>
  <si>
    <t>The Routledge companion to Commedia dell'Arte / edited by Judith Chaffee and Olly Crick.</t>
  </si>
  <si>
    <t>Abingdon, Oxon ; New York, NY : Routledge, 2015.</t>
  </si>
  <si>
    <t>Routledge companions</t>
  </si>
  <si>
    <t>2019-07-12</t>
  </si>
  <si>
    <t>2232128800:eng</t>
  </si>
  <si>
    <t>877366486</t>
  </si>
  <si>
    <t>ocn877366486</t>
  </si>
  <si>
    <t>3103580507X</t>
  </si>
  <si>
    <t>9780415745062</t>
  </si>
  <si>
    <t>794970841</t>
  </si>
  <si>
    <t>PQ4155 R828 2001</t>
  </si>
  <si>
    <t>0                      PQ 4155000R  828         2001</t>
  </si>
  <si>
    <t>Commedia dell'arte : a handbook for troupes / John Rudlin and Olly Crick.</t>
  </si>
  <si>
    <t>Rudlin, John.</t>
  </si>
  <si>
    <t>London ; New York : Routledge, 2001.</t>
  </si>
  <si>
    <t>800097100:eng</t>
  </si>
  <si>
    <t>123144024</t>
  </si>
  <si>
    <t>ocn123144024</t>
  </si>
  <si>
    <t>3102172089L</t>
  </si>
  <si>
    <t>9780415204088</t>
  </si>
  <si>
    <t>794223658</t>
  </si>
  <si>
    <t>PQ4155 R83 1994</t>
  </si>
  <si>
    <t>0                      PQ 4155000R  83          1994</t>
  </si>
  <si>
    <t>Commedia dell'arte : an actor's handbook / John Rudlin.</t>
  </si>
  <si>
    <t>London ; New York : Routledge, 1994.</t>
  </si>
  <si>
    <t>2019-04-11</t>
  </si>
  <si>
    <t>46594213:eng</t>
  </si>
  <si>
    <t>27976194</t>
  </si>
  <si>
    <t>ocm27976194</t>
  </si>
  <si>
    <t>31013522614</t>
  </si>
  <si>
    <t>9780415047692</t>
  </si>
  <si>
    <t>793276754</t>
  </si>
  <si>
    <t>PQ4155 S36 1989</t>
  </si>
  <si>
    <t>0                      PQ 4155000S  36          1989</t>
  </si>
  <si>
    <t>The Science of buffoonery : theory and history of the commedia dell'arte / edited by Domenico Pietropaolo.</t>
  </si>
  <si>
    <t>Ottawa : Dovehouse Editions, 1989.</t>
  </si>
  <si>
    <t>University of Toronto Italian studies ; 3</t>
  </si>
  <si>
    <t>16607355:eng</t>
  </si>
  <si>
    <t>18018423</t>
  </si>
  <si>
    <t>ocm18018423</t>
  </si>
  <si>
    <t>31034779270</t>
  </si>
  <si>
    <t>9780919473676</t>
  </si>
  <si>
    <t>793010861</t>
  </si>
  <si>
    <t>PQ4155 S6</t>
  </si>
  <si>
    <t>0                      PQ 4155000S  6</t>
  </si>
  <si>
    <t>The commedia dell'arte. a study in Italian popular comedy, by Winifred Smith, Ph. D.</t>
  </si>
  <si>
    <t>Smith, Winifred, 1879-</t>
  </si>
  <si>
    <t>New York, The Columbia University Press, 1912.</t>
  </si>
  <si>
    <t>1912</t>
  </si>
  <si>
    <t>Columbia University studies in English and comparative literature</t>
  </si>
  <si>
    <t>2015-10-25</t>
  </si>
  <si>
    <t>3768888437:eng</t>
  </si>
  <si>
    <t>2203608</t>
  </si>
  <si>
    <t>ocm02203608</t>
  </si>
  <si>
    <t>3000739731Y</t>
  </si>
  <si>
    <t>Book_thsis</t>
  </si>
  <si>
    <t>792066447</t>
  </si>
  <si>
    <t>PQ4155 S78 1993</t>
  </si>
  <si>
    <t>0                      PQ 4155000S  78          1993</t>
  </si>
  <si>
    <t>Studies in the commedia dell'arte / edited by David J. George and Christopher J. Gossip.</t>
  </si>
  <si>
    <t>Cardiff : University of Wales Press, 1993.</t>
  </si>
  <si>
    <t>365641579:eng</t>
  </si>
  <si>
    <t>28917511</t>
  </si>
  <si>
    <t>ocm28917511</t>
  </si>
  <si>
    <t>3101510542G</t>
  </si>
  <si>
    <t>9780708312018</t>
  </si>
  <si>
    <t>793299249</t>
  </si>
  <si>
    <t>PQ4155 T4</t>
  </si>
  <si>
    <t>0                      PQ 4155000T  4</t>
  </si>
  <si>
    <t>La commedia dell'arte nel Seicento. Industria e arte giocosa della civiltà barocca.</t>
  </si>
  <si>
    <t>Tessari, Roberto.</t>
  </si>
  <si>
    <t>Firenze, L.S. Olschki, 1969.</t>
  </si>
  <si>
    <t>Biblioteca di "Lettere italiane", 8</t>
  </si>
  <si>
    <t>2017-03-19</t>
  </si>
  <si>
    <t>9462992372:ita</t>
  </si>
  <si>
    <t>3521160</t>
  </si>
  <si>
    <t>ocm03521160</t>
  </si>
  <si>
    <t>30006280413</t>
  </si>
  <si>
    <t>792264456</t>
  </si>
  <si>
    <t>PQ4159 N37 M44 2017</t>
  </si>
  <si>
    <t>0                      PQ 4159000N  37                 M  44          2017</t>
  </si>
  <si>
    <t>Tra mare e terra : commedia dell'arte nella Napoli spagnola (1575-1656) / Teresa Megale.</t>
  </si>
  <si>
    <t>Megale, Teresa, author.</t>
  </si>
  <si>
    <t>Roma : Bulzoni editore, [2017]</t>
  </si>
  <si>
    <t>Biblioteca teatrale ; 190</t>
  </si>
  <si>
    <t>4532542409:ita</t>
  </si>
  <si>
    <t>1000072958</t>
  </si>
  <si>
    <t>on1000072958</t>
  </si>
  <si>
    <t>3103748652W</t>
  </si>
  <si>
    <t>9788868970819</t>
  </si>
  <si>
    <t>795040066</t>
  </si>
  <si>
    <t>PQ4159 V46 J68 2014</t>
  </si>
  <si>
    <t>0                      PQ 4159000V  46                 J  68          2014</t>
  </si>
  <si>
    <t>The Venetian origins of the Commedia dell'arte / Peter Jordan.</t>
  </si>
  <si>
    <t>Jordan, Peter.</t>
  </si>
  <si>
    <t>London ; New York : Routledge, 2014.</t>
  </si>
  <si>
    <t>1744874043:eng</t>
  </si>
  <si>
    <t>767569463</t>
  </si>
  <si>
    <t>ocn767569463</t>
  </si>
  <si>
    <t>31035039346</t>
  </si>
  <si>
    <t>9780415698757</t>
  </si>
  <si>
    <t>794901185</t>
  </si>
  <si>
    <t>PQ4161 S4x</t>
  </si>
  <si>
    <t>0                      PQ 4161000S  4x</t>
  </si>
  <si>
    <t>Lingua, stile e società; studi sulla storia della prosa italiana.</t>
  </si>
  <si>
    <t>Milano, Feltrinelli [1963]</t>
  </si>
  <si>
    <t>Critica e filologia. Studi e manuali ; 1</t>
  </si>
  <si>
    <t>2015-01-08</t>
  </si>
  <si>
    <t>8907649228:ita</t>
  </si>
  <si>
    <t>2031513</t>
  </si>
  <si>
    <t>ocm02031513</t>
  </si>
  <si>
    <t>3000630812C</t>
  </si>
  <si>
    <t>792031707</t>
  </si>
  <si>
    <t>PQ4162 S47 2012</t>
  </si>
  <si>
    <t>0                      PQ 4162000S  47          2012</t>
  </si>
  <si>
    <t>Italiano in prosa / Luca Serianni.</t>
  </si>
  <si>
    <t>Serianni, Luca, author.</t>
  </si>
  <si>
    <t>Firenze : Franco Cesati, ©2012.</t>
  </si>
  <si>
    <t>Italiano. Passato e presente ; 1</t>
  </si>
  <si>
    <t>1100398444:ita</t>
  </si>
  <si>
    <t>785335916</t>
  </si>
  <si>
    <t>ocn785335916</t>
  </si>
  <si>
    <t>3103125731I</t>
  </si>
  <si>
    <t>9788876674204</t>
  </si>
  <si>
    <t>794914799</t>
  </si>
  <si>
    <t>PQ4165 B3</t>
  </si>
  <si>
    <t>0                      PQ 4165000B  3</t>
  </si>
  <si>
    <t>Humanistic and political literature in Florence and Venice at the beginning of the quattrocento; studies in criticism and chronology.</t>
  </si>
  <si>
    <t>Baron, Hans, 1900-1988.</t>
  </si>
  <si>
    <t>Cambridge, Harvard University Press, 1955.</t>
  </si>
  <si>
    <t>1955</t>
  </si>
  <si>
    <t>2015-10-29</t>
  </si>
  <si>
    <t>1575481:eng</t>
  </si>
  <si>
    <t>1591921</t>
  </si>
  <si>
    <t>ocm01591921</t>
  </si>
  <si>
    <t>30005416524</t>
  </si>
  <si>
    <t>791773574</t>
  </si>
  <si>
    <t>PQ4165 D372 2017</t>
  </si>
  <si>
    <t>0                      PQ 4165000D  372         2017</t>
  </si>
  <si>
    <t>La prosa del Cinquecento : studi sulla sintassi e la testualità / Maurizio Dardano.</t>
  </si>
  <si>
    <t>Dardano, Maurizio, author.</t>
  </si>
  <si>
    <t>Pisa ; Roma : Fabrizio Serra editore, [2017]</t>
  </si>
  <si>
    <t>Italiana per la storia della lingua scritta in Italia, 1828-6897 ; 10</t>
  </si>
  <si>
    <t>4667607692:ita</t>
  </si>
  <si>
    <t>1004738303</t>
  </si>
  <si>
    <t>on1004738303</t>
  </si>
  <si>
    <t>31037211965</t>
  </si>
  <si>
    <t>9788862279666</t>
  </si>
  <si>
    <t>795042102</t>
  </si>
  <si>
    <t>PQ4165 F38 2012</t>
  </si>
  <si>
    <t>0                      PQ 4165000F  38          2012</t>
  </si>
  <si>
    <t>L'ospite preziosa : presenze della lirica nei trattati d'amore del Cinquecento e del primo Seicento / Maiko Favaro.</t>
  </si>
  <si>
    <t>Favaro, Maiko, 1983-</t>
  </si>
  <si>
    <t>Lucca : M. Pacini Fazzi, ©2012.</t>
  </si>
  <si>
    <t>Morgana ; 17</t>
  </si>
  <si>
    <t>1371480389:ita</t>
  </si>
  <si>
    <t>829690430</t>
  </si>
  <si>
    <t>ocn829690430</t>
  </si>
  <si>
    <t>3103126195K</t>
  </si>
  <si>
    <t>9788865501610</t>
  </si>
  <si>
    <t>794942631</t>
  </si>
  <si>
    <t>PQ4169 A74 2011</t>
  </si>
  <si>
    <t>0                      PQ 4169000A  74          2011</t>
  </si>
  <si>
    <t>Narrativa italiana : storia per generi / Erminia Ardissino.</t>
  </si>
  <si>
    <t>Alessandria : Edizioni dell'Orso, 2011.</t>
  </si>
  <si>
    <t>Contributi e proposte ; 76</t>
  </si>
  <si>
    <t>1093424051:ita</t>
  </si>
  <si>
    <t>775410849</t>
  </si>
  <si>
    <t>ocn775410849</t>
  </si>
  <si>
    <t>3103125655H</t>
  </si>
  <si>
    <t>9788862743150</t>
  </si>
  <si>
    <t>794907419</t>
  </si>
  <si>
    <t>PQ4170 C665 2008</t>
  </si>
  <si>
    <t>0                      PQ 4170000C  665         2008</t>
  </si>
  <si>
    <t>Le forme del romanzo italiano e le letterature occidentali dal Sette al Novecento / a cura di Simona Costa, Monica Venturini.</t>
  </si>
  <si>
    <t>Pisa : ETS, 2010-</t>
  </si>
  <si>
    <t>Biblioteca della modernità letteraria ; 19</t>
  </si>
  <si>
    <t>3147115193:ita</t>
  </si>
  <si>
    <t>652361778</t>
  </si>
  <si>
    <t>ocn652361778</t>
  </si>
  <si>
    <t>3103125193O</t>
  </si>
  <si>
    <t>9788846726834</t>
  </si>
  <si>
    <t>794833408</t>
  </si>
  <si>
    <t>PQ4170 M342 2017</t>
  </si>
  <si>
    <t>0                      PQ 4170000M  342         2017</t>
  </si>
  <si>
    <t>Le apocalissi difficili : De Roberto, Vittorini, Pomilio, Frasca / Giovanni Maffei.</t>
  </si>
  <si>
    <t>Maffei, Giovanni, 1956- author.</t>
  </si>
  <si>
    <t>Roma : Salerno editrice, [2017]</t>
  </si>
  <si>
    <t>Studi e saggi ; 59</t>
  </si>
  <si>
    <t>4752301704:ita</t>
  </si>
  <si>
    <t>1022083742</t>
  </si>
  <si>
    <t>on1022083742</t>
  </si>
  <si>
    <t>3103794253$</t>
  </si>
  <si>
    <t>9788869732676</t>
  </si>
  <si>
    <t>795051328</t>
  </si>
  <si>
    <t>PQ4170 T76 2016</t>
  </si>
  <si>
    <t>0                      PQ 4170000T  76          2016</t>
  </si>
  <si>
    <t>Il banchetto e le sue rappresentazioni : analisi di un topos artistico e letterario / Barbara Troise Rioda.</t>
  </si>
  <si>
    <t>Troise Rioda, Barbara, author.</t>
  </si>
  <si>
    <t>Roma : Carocci editore, dicembre 2016.</t>
  </si>
  <si>
    <t>Lingue e letterature Carocci ; 220</t>
  </si>
  <si>
    <t>4221402708:ita</t>
  </si>
  <si>
    <t>981213695</t>
  </si>
  <si>
    <t>ocn981213695</t>
  </si>
  <si>
    <t>3103720977J</t>
  </si>
  <si>
    <t>9788843086054</t>
  </si>
  <si>
    <t>795033948</t>
  </si>
  <si>
    <t>PQ4172 C37 2011</t>
  </si>
  <si>
    <t>0                      PQ 4172000C  37          2011</t>
  </si>
  <si>
    <t>Novelle e novellieri : forme della narrazione breve nel Cinquecento / Sandra Carapezza.</t>
  </si>
  <si>
    <t>Carapezza, Sandra, 1978- author.</t>
  </si>
  <si>
    <t>Milano : LED, [2011]</t>
  </si>
  <si>
    <t>9323569322:ita</t>
  </si>
  <si>
    <t>715911056</t>
  </si>
  <si>
    <t>ocn715911056</t>
  </si>
  <si>
    <t>3103125407X</t>
  </si>
  <si>
    <t>9788879164771</t>
  </si>
  <si>
    <t>794873957</t>
  </si>
  <si>
    <t>PQ4173 C54 2012</t>
  </si>
  <si>
    <t>0                      PQ 4173000C  54          2012</t>
  </si>
  <si>
    <t>Modelli e forme della narrazione : dall'eredità manzoniana a Silone / Mario Cimini.</t>
  </si>
  <si>
    <t>Cimini, Mario.</t>
  </si>
  <si>
    <t>Lanciano : Carabba, ©2012.</t>
  </si>
  <si>
    <t>La biblioteca del particolare ; 20</t>
  </si>
  <si>
    <t>1098194664:ita</t>
  </si>
  <si>
    <t>783120358</t>
  </si>
  <si>
    <t>ocn783120358</t>
  </si>
  <si>
    <t>3103125748G</t>
  </si>
  <si>
    <t>9788863442113</t>
  </si>
  <si>
    <t>794913810</t>
  </si>
  <si>
    <t>PQ4173 D45 2012</t>
  </si>
  <si>
    <t>0                      PQ 4173000D  45          2012</t>
  </si>
  <si>
    <t>Il romanzo della nazione : da Pirandello a Nievo : cinquant'anni di disincanto / Enza Del Tedesco.</t>
  </si>
  <si>
    <t>Del Tedesco, Enza.</t>
  </si>
  <si>
    <t>Venezia : Marsilio, 2012.</t>
  </si>
  <si>
    <t>1366443796:ita</t>
  </si>
  <si>
    <t>830363060</t>
  </si>
  <si>
    <t>ocn830363060</t>
  </si>
  <si>
    <t>31031261041</t>
  </si>
  <si>
    <t>9788831715225</t>
  </si>
  <si>
    <t>794943337</t>
  </si>
  <si>
    <t>PQ4173 M39 2012</t>
  </si>
  <si>
    <t>0                      PQ 4173000M  39          2012</t>
  </si>
  <si>
    <t>Prima di Manzoni : autore e lettore nel romanzo del Settecento / Daniela Mangione.</t>
  </si>
  <si>
    <t>Mangione, Daniela, author.</t>
  </si>
  <si>
    <t>Roma : Salerno, [2012]</t>
  </si>
  <si>
    <t>Studi e saggi ; 52</t>
  </si>
  <si>
    <t>1356633360:ita</t>
  </si>
  <si>
    <t>850438879</t>
  </si>
  <si>
    <t>ocn850438879</t>
  </si>
  <si>
    <t>3103555219Z</t>
  </si>
  <si>
    <t>9788884028143</t>
  </si>
  <si>
    <t>794950551</t>
  </si>
  <si>
    <t>PQ4173 M586 2014</t>
  </si>
  <si>
    <t>0                      PQ 4173000M  586         2014</t>
  </si>
  <si>
    <t>Italian women writers : gender and everyday life in fiction and journalism, 1870-1910 / Katharine Mitchell.</t>
  </si>
  <si>
    <t>Mitchell, Katharine, author.</t>
  </si>
  <si>
    <t>Toronto : University of Toronto Press, [2014]</t>
  </si>
  <si>
    <t>2014-09-26</t>
  </si>
  <si>
    <t>1897868945:eng</t>
  </si>
  <si>
    <t>870916772</t>
  </si>
  <si>
    <t>ocn870916772</t>
  </si>
  <si>
    <t>31034945744</t>
  </si>
  <si>
    <t>9781442646414</t>
  </si>
  <si>
    <t>794966994</t>
  </si>
  <si>
    <t>PQ4173 P28</t>
  </si>
  <si>
    <t>0                      PQ 4173000P  28</t>
  </si>
  <si>
    <t>The modern Italian novel from Capuana to Tozzi. With a pref. by Harry T. Moore.</t>
  </si>
  <si>
    <t>Pacifici, Sergio.</t>
  </si>
  <si>
    <t>Carbondale, Southern Illinois University Press [1973]</t>
  </si>
  <si>
    <t>Crosscurrents/modern critiques</t>
  </si>
  <si>
    <t>2015-04-22</t>
  </si>
  <si>
    <t>4915884115:eng</t>
  </si>
  <si>
    <t>448047</t>
  </si>
  <si>
    <t>ocm00448047</t>
  </si>
  <si>
    <t>3000345130S</t>
  </si>
  <si>
    <t>9780809306145</t>
  </si>
  <si>
    <t>791381453</t>
  </si>
  <si>
    <t>PQ4173 V29 2014</t>
  </si>
  <si>
    <t>0                      PQ 4173000V  29          2014</t>
  </si>
  <si>
    <t>Gender, narrative, and dissonance in the modern Italian novel / Silvia Valisa.</t>
  </si>
  <si>
    <t>Valisa, Silvia, 1971- author.</t>
  </si>
  <si>
    <t>Toronto ; Buffalo ; London : University of Toronto Press, [2014]</t>
  </si>
  <si>
    <t>2217311854:eng</t>
  </si>
  <si>
    <t>900242126</t>
  </si>
  <si>
    <t>ocn900242126</t>
  </si>
  <si>
    <t>3103646544F</t>
  </si>
  <si>
    <t>9781442649224</t>
  </si>
  <si>
    <t>794987300</t>
  </si>
  <si>
    <t>PQ4173 Z29 1984</t>
  </si>
  <si>
    <t>0                      PQ 4173000Z  29          1984</t>
  </si>
  <si>
    <t>La fabbrica del romanzo, 1861-1914 / Giuseppe Zaccaria.</t>
  </si>
  <si>
    <t>Zaccaria, Giuseppe, 1947-</t>
  </si>
  <si>
    <t>Genève : Slatkine, 1984.</t>
  </si>
  <si>
    <t>Textes et études--domaine italien ; 1</t>
  </si>
  <si>
    <t>2019-03-06</t>
  </si>
  <si>
    <t>10033097336:ita</t>
  </si>
  <si>
    <t>12315571</t>
  </si>
  <si>
    <t>ocm12315571</t>
  </si>
  <si>
    <t>3000377303W</t>
  </si>
  <si>
    <t>9782051006231</t>
  </si>
  <si>
    <t>792810408</t>
  </si>
  <si>
    <t>PQ4174 A46 2012</t>
  </si>
  <si>
    <t>0                      PQ 4174000A  46          2012</t>
  </si>
  <si>
    <t>Giraffes in the garden of Italian literature : modernist embodiment in Italo Svevo, Federigo Tozzi and Carlo Emilio Gadda / Deborah Amberson.</t>
  </si>
  <si>
    <t>Amberson, Deborah.</t>
  </si>
  <si>
    <t>London : Legenda, 2012.</t>
  </si>
  <si>
    <t>Italian perspectives ; 22</t>
  </si>
  <si>
    <t>1029375630:eng</t>
  </si>
  <si>
    <t>757932088</t>
  </si>
  <si>
    <t>ocn757932088</t>
  </si>
  <si>
    <t>3103396970R</t>
  </si>
  <si>
    <t>9781907975264</t>
  </si>
  <si>
    <t>794895916</t>
  </si>
  <si>
    <t>PQ4174 A88 1995</t>
  </si>
  <si>
    <t>0                      PQ 4174000A  88          1995</t>
  </si>
  <si>
    <t>Atti del convegno internazionale : rinnovamento del codice narrativo in Italia dal 1945 al 1992 : Leuven, Louvain-la-Neuve, Namur, Bruxelles, 3-8 maggio 1993 / a cura di Serge Vanvolsem, Franco Musarra, Bart Van den Bossche.</t>
  </si>
  <si>
    <t>Roma : Bulzoni ; Leuven, Belgium : Leuven University Press, 1995.</t>
  </si>
  <si>
    <t>Leuven University ; 5</t>
  </si>
  <si>
    <t>2017-01-20</t>
  </si>
  <si>
    <t>2017-01-30</t>
  </si>
  <si>
    <t>365463428:ita</t>
  </si>
  <si>
    <t>34517493</t>
  </si>
  <si>
    <t>ocm34517493</t>
  </si>
  <si>
    <t>31034867481</t>
  </si>
  <si>
    <t>9788871197647</t>
  </si>
  <si>
    <t>793428716</t>
  </si>
  <si>
    <t>3102942078T</t>
  </si>
  <si>
    <t>793428717</t>
  </si>
  <si>
    <t>PQ4174 B54 2015</t>
  </si>
  <si>
    <t>0                      PQ 4174000B  54          2015</t>
  </si>
  <si>
    <t>Scrittori del Novecento : lo spazio privato / Stefano Bonchi.</t>
  </si>
  <si>
    <t>Bonchi, Stefano, 1982- author.</t>
  </si>
  <si>
    <t>Manziana (Roma) : Vecchiarelli editore, [2015]</t>
  </si>
  <si>
    <t>Negotia litteraria. Studi ; 25</t>
  </si>
  <si>
    <t>2819023645:ita</t>
  </si>
  <si>
    <t>919001707</t>
  </si>
  <si>
    <t>ocn919001707</t>
  </si>
  <si>
    <t>3103630314V</t>
  </si>
  <si>
    <t>9788882473778</t>
  </si>
  <si>
    <t>795001388</t>
  </si>
  <si>
    <t>PQ4174 B66 2012</t>
  </si>
  <si>
    <t>0                      PQ 4174000B  66          2012</t>
  </si>
  <si>
    <t>Disrupted narratives : illness, silence and identity in Svevo, Pressburger and Morandini / Emma Bond.</t>
  </si>
  <si>
    <t>Bond, Emma, 1979-</t>
  </si>
  <si>
    <t>Italian perspectives ; 24</t>
  </si>
  <si>
    <t>2013-06-20</t>
  </si>
  <si>
    <t>1077491175:eng</t>
  </si>
  <si>
    <t>775030521</t>
  </si>
  <si>
    <t>ocn775030521</t>
  </si>
  <si>
    <t>3103471553U</t>
  </si>
  <si>
    <t>9781907975387</t>
  </si>
  <si>
    <t>794907192</t>
  </si>
  <si>
    <t>PQ4174 C37 2007</t>
  </si>
  <si>
    <t>0                      PQ 4174000C  37          2007</t>
  </si>
  <si>
    <t>Stile e tradizione nel romanzo italiano contemporaneo / Alberto Casadei.</t>
  </si>
  <si>
    <t>Bologna : Il mulino, ©2007.</t>
  </si>
  <si>
    <t>Saggi ; 669</t>
  </si>
  <si>
    <t>103172769:ita</t>
  </si>
  <si>
    <t>143593435</t>
  </si>
  <si>
    <t>ocn143593435</t>
  </si>
  <si>
    <t>3102803852V</t>
  </si>
  <si>
    <t>9788815118752</t>
  </si>
  <si>
    <t>794235261</t>
  </si>
  <si>
    <t>PQ4174 D4 1971</t>
  </si>
  <si>
    <t>0                      PQ 4174000D  4           1971</t>
  </si>
  <si>
    <t>Il romanzo del Novecento. Quaderni inediti. Presentazione di Eugenio Montale.</t>
  </si>
  <si>
    <t>Debenedetti, Giacomo, 1901-1967</t>
  </si>
  <si>
    <t>Milano] Garzanti [1971]</t>
  </si>
  <si>
    <t>[1. ed.</t>
  </si>
  <si>
    <t>Collezione Saggi</t>
  </si>
  <si>
    <t>795261381:ita</t>
  </si>
  <si>
    <t>366148</t>
  </si>
  <si>
    <t>ocm00366148</t>
  </si>
  <si>
    <t>3000145615I</t>
  </si>
  <si>
    <t>791352967</t>
  </si>
  <si>
    <t>PQ4174 F53 2016</t>
  </si>
  <si>
    <t>0                      PQ 4174000F  53          2016</t>
  </si>
  <si>
    <t>Lettere non italiane : considerazioni su una letteratura interrotta / Giorgio Ficara.</t>
  </si>
  <si>
    <t>Ficara, Giorgio, author.</t>
  </si>
  <si>
    <t>Milano : Bompiani, maggio 2016.</t>
  </si>
  <si>
    <t>3086211402:ita</t>
  </si>
  <si>
    <t>950888904</t>
  </si>
  <si>
    <t>ocn950888904</t>
  </si>
  <si>
    <t>3103564831C</t>
  </si>
  <si>
    <t>9788845282027</t>
  </si>
  <si>
    <t>795016867</t>
  </si>
  <si>
    <t>PQ4174 G63 2015</t>
  </si>
  <si>
    <t>0                      PQ 4174000G  63          2015</t>
  </si>
  <si>
    <t>Laughter from realism to modernism / Alberto Godioli.</t>
  </si>
  <si>
    <t>Godioli, Alberto, author.</t>
  </si>
  <si>
    <t>Leeds : Legenda, 2015.</t>
  </si>
  <si>
    <t>Italian perspectives ; 34</t>
  </si>
  <si>
    <t>2777971059:eng</t>
  </si>
  <si>
    <t>926876231</t>
  </si>
  <si>
    <t>ocn926876231</t>
  </si>
  <si>
    <t>3103405310Q</t>
  </si>
  <si>
    <t>9781909662865</t>
  </si>
  <si>
    <t>795005563</t>
  </si>
  <si>
    <t>PQ4174 I43 2009</t>
  </si>
  <si>
    <t>0                      PQ 4174000I  43          2009</t>
  </si>
  <si>
    <t>Italiano oltre il 2000 : novità dalla lingua dei romanzi : Festa della Toscana, arti, culture, futuro : Firenze, 29 novembre 2009 / Tina Matarrese [and others] ; a cura di Domenico De Martino.</t>
  </si>
  <si>
    <t>[Florence, Italy] : Accademia della Crusca, 2011.</t>
  </si>
  <si>
    <t>1083049406:ita</t>
  </si>
  <si>
    <t>778785643</t>
  </si>
  <si>
    <t>ocn778785643</t>
  </si>
  <si>
    <t>3103125678D</t>
  </si>
  <si>
    <t>9788889369227</t>
  </si>
  <si>
    <t>794910200</t>
  </si>
  <si>
    <t>PQ4174 I93 2011</t>
  </si>
  <si>
    <t>0                      PQ 4174000I  93          2011</t>
  </si>
  <si>
    <t>Effetto rebound : quando la letteratura imita il cinema / Federica Ivaldi.</t>
  </si>
  <si>
    <t>Ivaldi, Federica.</t>
  </si>
  <si>
    <t>Ghezzano (PI) [i.e. Pisa, Italy] : Felici, 2011.</t>
  </si>
  <si>
    <t>Saggistica</t>
  </si>
  <si>
    <t>1076205525:ita</t>
  </si>
  <si>
    <t>774488233</t>
  </si>
  <si>
    <t>ocn774488233</t>
  </si>
  <si>
    <t>3103125662F</t>
  </si>
  <si>
    <t>9788860195579</t>
  </si>
  <si>
    <t>794906433</t>
  </si>
  <si>
    <t>PQ4174 K76 1992</t>
  </si>
  <si>
    <t>0                      PQ 4174000K  76          1992</t>
  </si>
  <si>
    <t>The woman writer in late-nineteenth-century Italy : gender and the formation of literary identity / Lucienne Kroha.</t>
  </si>
  <si>
    <t>Kroha, Lucienne, 1947-</t>
  </si>
  <si>
    <t>20568540:eng</t>
  </si>
  <si>
    <t>25631577</t>
  </si>
  <si>
    <t>ocm25631577</t>
  </si>
  <si>
    <t>31012192424</t>
  </si>
  <si>
    <t>9780773495302</t>
  </si>
  <si>
    <t>793226517</t>
  </si>
  <si>
    <t>PQ4174 L36 1999</t>
  </si>
  <si>
    <t>0                      PQ 4174000L  36          1999</t>
  </si>
  <si>
    <t>La nuova narrativa italiana : travestimenti e stili di fine secolo / Filippo La Porta.</t>
  </si>
  <si>
    <t>La Porta, Filippo, 1952-</t>
  </si>
  <si>
    <t>Torino : Bollati Boringhieri, 1999.</t>
  </si>
  <si>
    <t>Temi ; 46</t>
  </si>
  <si>
    <t>2018-03-13</t>
  </si>
  <si>
    <t>867265346:ita</t>
  </si>
  <si>
    <t>42461771</t>
  </si>
  <si>
    <t>ocm42461771</t>
  </si>
  <si>
    <t>3102524250G</t>
  </si>
  <si>
    <t>9788833911540</t>
  </si>
  <si>
    <t>793608049</t>
  </si>
  <si>
    <t>PQ4174 L8 1986</t>
  </si>
  <si>
    <t>0                      PQ 4174000L  8           1986</t>
  </si>
  <si>
    <t>Beautiful fables : self-consciousness in Italian narrative from Manzoni to Calvino / Gregory L. Lucente.</t>
  </si>
  <si>
    <t>Lucente, Gregory L.</t>
  </si>
  <si>
    <t>Baltimore : Johns Hopkins University Press, ©1986.</t>
  </si>
  <si>
    <t>1986</t>
  </si>
  <si>
    <t>836630922:eng</t>
  </si>
  <si>
    <t>13424651</t>
  </si>
  <si>
    <t>ocm13424651</t>
  </si>
  <si>
    <t>3000476676S</t>
  </si>
  <si>
    <t>9780801833311</t>
  </si>
  <si>
    <t>792852895</t>
  </si>
  <si>
    <t>PQ4174 M66 2007</t>
  </si>
  <si>
    <t>0                      PQ 4174000M  66          2007</t>
  </si>
  <si>
    <t>In principio fu Tondelli : letteratura, merci, televisione nella narrativa degli anni Novanta / Elisabetta Mondello.</t>
  </si>
  <si>
    <t>Mondello, Elisabetta.</t>
  </si>
  <si>
    <t>Milano : Il saggiatore, ©2007.</t>
  </si>
  <si>
    <t>Cultura ; 601</t>
  </si>
  <si>
    <t>2017-09-13</t>
  </si>
  <si>
    <t>864566409:ita</t>
  </si>
  <si>
    <t>82148545</t>
  </si>
  <si>
    <t>ocm82148545</t>
  </si>
  <si>
    <t>31030377459</t>
  </si>
  <si>
    <t>9788842812241</t>
  </si>
  <si>
    <t>794205077</t>
  </si>
  <si>
    <t>PQ4174 N27 2004</t>
  </si>
  <si>
    <t>0                      PQ 4174000N  27          2004</t>
  </si>
  <si>
    <t>La narrativa italiana degli anni Novanta / a cura di Elisabetta Mondello.</t>
  </si>
  <si>
    <t>Roma : Meltemi, ©2004.</t>
  </si>
  <si>
    <t>Meltemi.edu ; 7</t>
  </si>
  <si>
    <t>351427844:ita</t>
  </si>
  <si>
    <t>55971981</t>
  </si>
  <si>
    <t>ocm55971981</t>
  </si>
  <si>
    <t>3102532178I</t>
  </si>
  <si>
    <t>9788883532900</t>
  </si>
  <si>
    <t>793884933</t>
  </si>
  <si>
    <t>PQ4174 N49 1993</t>
  </si>
  <si>
    <t>0                      PQ 4174000N  49          1993</t>
  </si>
  <si>
    <t>The new Italian novel / edited by Zygmunt G. Barański and Lino Pertile.</t>
  </si>
  <si>
    <t>Edinburgh : Edinburgh University Press, ©1993.</t>
  </si>
  <si>
    <t>Writers of Italy</t>
  </si>
  <si>
    <t>416526527:eng</t>
  </si>
  <si>
    <t>29792932</t>
  </si>
  <si>
    <t>ocm29792932</t>
  </si>
  <si>
    <t>3101469605O</t>
  </si>
  <si>
    <t>9780748604142</t>
  </si>
  <si>
    <t>793320588</t>
  </si>
  <si>
    <t>PQ4174 P336 2008</t>
  </si>
  <si>
    <t>0                      PQ 4174000P  336         2008</t>
  </si>
  <si>
    <t>Una tragedia negata : il racconto degli anni di piombo nella narrativa italiana / Demetrio Paolin ; prefazione di Filippo La Porta.</t>
  </si>
  <si>
    <t>Paolin, Demetrio.</t>
  </si>
  <si>
    <t>Nuoro : Il maestrale, ©2008.</t>
  </si>
  <si>
    <t>2015-01-27</t>
  </si>
  <si>
    <t>351794563:ita</t>
  </si>
  <si>
    <t>191923107</t>
  </si>
  <si>
    <t>ocn191923107</t>
  </si>
  <si>
    <t>3103590326U</t>
  </si>
  <si>
    <t>9788889801376</t>
  </si>
  <si>
    <t>794302175</t>
  </si>
  <si>
    <t>PQ4174 P46 2017</t>
  </si>
  <si>
    <t>0                      PQ 4174000P  46          2017</t>
  </si>
  <si>
    <t>L'altro sé : opposizioni letterarie dal Sud : Silone, Levi, Brancati, Pasolini, Sciascia / Lorenzo Perrona ; prefazione di Raffaella Castagnola.</t>
  </si>
  <si>
    <t>Perrona, Lorenzo, author.</t>
  </si>
  <si>
    <t>Viagrande (Catania) : Algra editore, [2017]</t>
  </si>
  <si>
    <t>2018-11-16</t>
  </si>
  <si>
    <t>4189921719:ita</t>
  </si>
  <si>
    <t>983209348</t>
  </si>
  <si>
    <t>ocn983209348</t>
  </si>
  <si>
    <t>3103793741S</t>
  </si>
  <si>
    <t>9788893410434</t>
  </si>
  <si>
    <t>795034721</t>
  </si>
  <si>
    <t>PQ4174 P573 2013</t>
  </si>
  <si>
    <t>0                      PQ 4174000P  573         2013</t>
  </si>
  <si>
    <t>La giovane narrativa italiana : percorsi letterari di fine millennio / Maurizio Pistelli.</t>
  </si>
  <si>
    <t>Pistelli, Maurizio.</t>
  </si>
  <si>
    <t>Roma : Donzelli, 2012.</t>
  </si>
  <si>
    <t>Virgola</t>
  </si>
  <si>
    <t>1217664127:ita</t>
  </si>
  <si>
    <t>825554611</t>
  </si>
  <si>
    <t>ocn825554611</t>
  </si>
  <si>
    <t>3103126163Q</t>
  </si>
  <si>
    <t>9788860368614</t>
  </si>
  <si>
    <t>794938603</t>
  </si>
  <si>
    <t>PQ4174 S35 2012</t>
  </si>
  <si>
    <t>0                      PQ 4174000S  35          2012</t>
  </si>
  <si>
    <t>Corporeal bonds : the daughter-mother relationship in twentieth century Italian women's writing / Patrizia Sambuco.</t>
  </si>
  <si>
    <t>Sambuco, Patrizia, 1965-</t>
  </si>
  <si>
    <t>Toronto ; Buffalo : University of Toronto Press, ©2012.</t>
  </si>
  <si>
    <t>2015-03-27</t>
  </si>
  <si>
    <t>1082133002:eng</t>
  </si>
  <si>
    <t>778189883</t>
  </si>
  <si>
    <t>ocn778189883</t>
  </si>
  <si>
    <t>3103402513W</t>
  </si>
  <si>
    <t>9781442644250</t>
  </si>
  <si>
    <t>794909422</t>
  </si>
  <si>
    <t>PQ4174 S64 2011</t>
  </si>
  <si>
    <t>0                      PQ 4174000S  64          2011</t>
  </si>
  <si>
    <t>Specchi di realtà : aspetti del rapporto tra narrativa e società in Italia dopo il 1989 / testi di Gillian Ania [and others].</t>
  </si>
  <si>
    <t>Torino : Trauben ; Dublin (IRL) : Trinity College Dublin, Department of Italian, 2011.</t>
  </si>
  <si>
    <t>Quaderni italiani di cultura ; 8</t>
  </si>
  <si>
    <t>857869611:ita</t>
  </si>
  <si>
    <t>709663190</t>
  </si>
  <si>
    <t>ocn709663190</t>
  </si>
  <si>
    <t>3103125333U</t>
  </si>
  <si>
    <t>9788889909898</t>
  </si>
  <si>
    <t>794869515</t>
  </si>
  <si>
    <t>PQ4174 S65 1990</t>
  </si>
  <si>
    <t>0                      PQ 4174000S  65          1990</t>
  </si>
  <si>
    <t>Il romanzo antistorico / Vittorio Spinazzola.</t>
  </si>
  <si>
    <t>Spinazzola, Vittorio.</t>
  </si>
  <si>
    <t>Roma : Editori riuniti, 1990.</t>
  </si>
  <si>
    <t>Gli studi/letteratura</t>
  </si>
  <si>
    <t>2018-02-08</t>
  </si>
  <si>
    <t>361076303:ita</t>
  </si>
  <si>
    <t>23219411</t>
  </si>
  <si>
    <t>ocm23219411</t>
  </si>
  <si>
    <t>31029900978</t>
  </si>
  <si>
    <t>9788835933779</t>
  </si>
  <si>
    <t>793165050</t>
  </si>
  <si>
    <t>PQ4174 S674 2007</t>
  </si>
  <si>
    <t>0                      PQ 4174000S  674         2007</t>
  </si>
  <si>
    <t>L'egemonia del romanzo : la narrativa italiana nel secondo Novecento / Vittorio Spinazzola.</t>
  </si>
  <si>
    <t>Milano : Il saggiatore : Fondazione Arnoldo e Alberto Mondadori, ©2007.</t>
  </si>
  <si>
    <t>351948210:ita</t>
  </si>
  <si>
    <t>181090862</t>
  </si>
  <si>
    <t>ocn181090862</t>
  </si>
  <si>
    <t>31028701042</t>
  </si>
  <si>
    <t>9788842812715</t>
  </si>
  <si>
    <t>794281567</t>
  </si>
  <si>
    <t>PQ4174 S676 2012</t>
  </si>
  <si>
    <t>0                      PQ 4174000S  676         2012</t>
  </si>
  <si>
    <t>Le metamorfosi del romanzo sociale / Vittorio Spinazzola.</t>
  </si>
  <si>
    <t>Biblioteca della modernitá letteraria ; 31</t>
  </si>
  <si>
    <t>2017-03-09</t>
  </si>
  <si>
    <t>1127009902:ita</t>
  </si>
  <si>
    <t>801440975</t>
  </si>
  <si>
    <t>ocn801440975</t>
  </si>
  <si>
    <t>31037087680</t>
  </si>
  <si>
    <t>9788846732767</t>
  </si>
  <si>
    <t>794925026</t>
  </si>
  <si>
    <t>PQ4174 T33 2010</t>
  </si>
  <si>
    <t>0                      PQ 4174000T  33          2010</t>
  </si>
  <si>
    <t>Libri di piombo : memorialistica e narrativa della lotta armata in Italia / Giuliano Tabacco.</t>
  </si>
  <si>
    <t>Tabacco, Giuliano, 1974-</t>
  </si>
  <si>
    <t>Milano : Bietti, ©2010.</t>
  </si>
  <si>
    <t>Documenti Bietti storia ; 14</t>
  </si>
  <si>
    <t>796428758:ita</t>
  </si>
  <si>
    <t>642806227</t>
  </si>
  <si>
    <t>ocn642806227</t>
  </si>
  <si>
    <t>31035568339</t>
  </si>
  <si>
    <t>9788882482237</t>
  </si>
  <si>
    <t>794828391</t>
  </si>
  <si>
    <t>PQ4174 V34</t>
  </si>
  <si>
    <t>0                      PQ 4174000V  34</t>
  </si>
  <si>
    <t>La condizione impiegatizia nel romanzo italiano contemporaneo : antologia di testi letterari e critici / Aldo Vallone.</t>
  </si>
  <si>
    <t>Vallone, Aldo, 1916-2002, compiler.</t>
  </si>
  <si>
    <t>Napoli : Loffredo, [1974]</t>
  </si>
  <si>
    <t>2015-03-26</t>
  </si>
  <si>
    <t>365723278:ita</t>
  </si>
  <si>
    <t>1375495</t>
  </si>
  <si>
    <t>ocm01375495</t>
  </si>
  <si>
    <t>3000630777P</t>
  </si>
  <si>
    <t>791612571</t>
  </si>
  <si>
    <t>PQ4175 D37 2010</t>
  </si>
  <si>
    <t>0                      PQ 4175000D  37          2010</t>
  </si>
  <si>
    <t>Stili provvisori : la lingua nella narrativa italiana d'oggi (2005-09) / Maurizio Dardano.</t>
  </si>
  <si>
    <t>Dardano, Maurizio.</t>
  </si>
  <si>
    <t>Frecce ; 93</t>
  </si>
  <si>
    <t>10141621362:ita</t>
  </si>
  <si>
    <t>642806334</t>
  </si>
  <si>
    <t>ocn642806334</t>
  </si>
  <si>
    <t>31031251231</t>
  </si>
  <si>
    <t>9788843054015</t>
  </si>
  <si>
    <t>794828396</t>
  </si>
  <si>
    <t>PQ4175 W82 2009</t>
  </si>
  <si>
    <t>0                      PQ 4175000W  82          2009</t>
  </si>
  <si>
    <t>New Italian epic : letteratura, sguardo obliquo, ritorno al futuro / Wu Ming.</t>
  </si>
  <si>
    <t>Wu Ming (Writers collective)</t>
  </si>
  <si>
    <t>Torino : Einaudi, ©2009.</t>
  </si>
  <si>
    <t>Einaudi. Stile libero</t>
  </si>
  <si>
    <t>192146187:ita</t>
  </si>
  <si>
    <t>313646837</t>
  </si>
  <si>
    <t>ocn313646837</t>
  </si>
  <si>
    <t>3103104465Z</t>
  </si>
  <si>
    <t>9788806196783</t>
  </si>
  <si>
    <t>794437858</t>
  </si>
  <si>
    <t>PQ4177 G57 2012</t>
  </si>
  <si>
    <t>0                      PQ 4177000G  57          2012</t>
  </si>
  <si>
    <t>Raccontare l'altro : l'Oriente islamico nella novella italiana da Boccaccio e Bandello / Raffaele Girardi.</t>
  </si>
  <si>
    <t>Girardi, Raffaele, 1950-</t>
  </si>
  <si>
    <t>Letterature ; 83</t>
  </si>
  <si>
    <t>10177902652:ita</t>
  </si>
  <si>
    <t>780945383</t>
  </si>
  <si>
    <t>ocn780945383</t>
  </si>
  <si>
    <t>31031257906</t>
  </si>
  <si>
    <t>9788820755836</t>
  </si>
  <si>
    <t>794912404</t>
  </si>
  <si>
    <t>PQ4177 I85 2003</t>
  </si>
  <si>
    <t>0                      PQ 4177000I  85          2003</t>
  </si>
  <si>
    <t>The Italian novella : a book of essays / edited by Gloria Allaire.</t>
  </si>
  <si>
    <t>New York ; London : Routledge, 2003.</t>
  </si>
  <si>
    <t>Routledge medieval casebooks</t>
  </si>
  <si>
    <t>2019-05-17</t>
  </si>
  <si>
    <t>370740555:eng</t>
  </si>
  <si>
    <t>123157664</t>
  </si>
  <si>
    <t>ocn123157664</t>
  </si>
  <si>
    <t>3102238045L</t>
  </si>
  <si>
    <t>9780415937252</t>
  </si>
  <si>
    <t>794224069</t>
  </si>
  <si>
    <t>PQ4177 M38 1996</t>
  </si>
  <si>
    <t>0                      PQ 4177000M  38          1996</t>
  </si>
  <si>
    <t>All'ombra di Dioneo : tipologie e percorsi della novella da Boccaccio a Bandello / Giancarlo Mazzacurati ; a cura di Matteo Palumbo.</t>
  </si>
  <si>
    <t>Mazzacurati, Giancarlo.</t>
  </si>
  <si>
    <t>Scandicci (Firenze) : La nuova Italia, 1996.</t>
  </si>
  <si>
    <t>Teoria e analisi dei testi letterari ; 2</t>
  </si>
  <si>
    <t>5612361434:ita</t>
  </si>
  <si>
    <t>36768536</t>
  </si>
  <si>
    <t>ocm36768536</t>
  </si>
  <si>
    <t>3101886449O</t>
  </si>
  <si>
    <t>9788822116819</t>
  </si>
  <si>
    <t>793483927</t>
  </si>
  <si>
    <t>PQ4177 R33 2016</t>
  </si>
  <si>
    <t>0                      PQ 4177000R  33          2016</t>
  </si>
  <si>
    <t>Il racconto modernista in Italia : teoria e prassi / a cura di Mara Santi e Tiziano Toracca ; introduzione di Raffaele Donnarumma.</t>
  </si>
  <si>
    <t>Avellino : Edizioni Sinestesie, [2016]</t>
  </si>
  <si>
    <t>Biblioteca di sinestesie ; 39</t>
  </si>
  <si>
    <t>3009975463:ita</t>
  </si>
  <si>
    <t>949855729</t>
  </si>
  <si>
    <t>ocn949855729</t>
  </si>
  <si>
    <t>3103663785X</t>
  </si>
  <si>
    <t>9788899541064</t>
  </si>
  <si>
    <t>795016222</t>
  </si>
  <si>
    <t>PQ4177 R6 1973</t>
  </si>
  <si>
    <t>0                      PQ 4177000R  6           1973</t>
  </si>
  <si>
    <t>Motif-index of the Italian novella in prose, by D.P. Rotunda.</t>
  </si>
  <si>
    <t>Rotunda, Dominic P. (Dominic Peter), 1895-</t>
  </si>
  <si>
    <t>New York, Haskell House Publishers, 1973 [©1942]</t>
  </si>
  <si>
    <t>141345870:eng</t>
  </si>
  <si>
    <t>2634035</t>
  </si>
  <si>
    <t>ocm02634035</t>
  </si>
  <si>
    <t>3000953546X</t>
  </si>
  <si>
    <t>9780838316535</t>
  </si>
  <si>
    <t>792155809</t>
  </si>
  <si>
    <t>PQ4177 S37 2012</t>
  </si>
  <si>
    <t>0                      PQ 4177000S  37          2012</t>
  </si>
  <si>
    <t>Scrittori in corso : osservatorio sul racconto contemporaneo / a cura di Lorella Anna Giuliani, Giuseppe Lo Castro.</t>
  </si>
  <si>
    <t>Soveria Mannelli : Rubbettino, ©2012.</t>
  </si>
  <si>
    <t>Saggi ; 279</t>
  </si>
  <si>
    <t>1100398467:ita</t>
  </si>
  <si>
    <t>785335942</t>
  </si>
  <si>
    <t>ocn785335942</t>
  </si>
  <si>
    <t>3103125740G</t>
  </si>
  <si>
    <t>9788849831320</t>
  </si>
  <si>
    <t>794914801</t>
  </si>
  <si>
    <t>PQ4181 A87 G75 2011</t>
  </si>
  <si>
    <t>0                      PQ 4181000A  87                 G  75          2011</t>
  </si>
  <si>
    <t>Il romanzo autobiografico : un genere letterario tra opera e autore / Cesare Grisi.</t>
  </si>
  <si>
    <t>Grisi, Cesare.</t>
  </si>
  <si>
    <t>Lingue e letterature Carocci ; 131</t>
  </si>
  <si>
    <t>1082403059:ita</t>
  </si>
  <si>
    <t>778420076</t>
  </si>
  <si>
    <t>ocn778420076</t>
  </si>
  <si>
    <t>31031256919</t>
  </si>
  <si>
    <t>9788843062942</t>
  </si>
  <si>
    <t>794909785</t>
  </si>
  <si>
    <t>PQ4181 D4 C379 2014</t>
  </si>
  <si>
    <t>0                      PQ 4181000D  4                  C  379         2014</t>
  </si>
  <si>
    <t>The intellectual as a detective : from Leonardo Sciascia to Roberto Saviano / Angelo Castagnino.</t>
  </si>
  <si>
    <t>Castagnino, Angelo, 1981- author.</t>
  </si>
  <si>
    <t>New York : Peter Lang, [2014]</t>
  </si>
  <si>
    <t>Currents in Comparative Romance Languages and Literatures ; Vol. 227</t>
  </si>
  <si>
    <t>2018-05-25</t>
  </si>
  <si>
    <t>1673345273:eng</t>
  </si>
  <si>
    <t>865297505</t>
  </si>
  <si>
    <t>ocn865297505</t>
  </si>
  <si>
    <t>3103581478I</t>
  </si>
  <si>
    <t>9781433125188</t>
  </si>
  <si>
    <t>794962861</t>
  </si>
  <si>
    <t>PQ4181 D4 D5 2010</t>
  </si>
  <si>
    <t>0                      PQ 4181000D  4                  D  5           2010</t>
  </si>
  <si>
    <t>Uncertain justice : crimes and retribution in contemporary Italian crime fiction / by Nicoletta Di Ciolla.</t>
  </si>
  <si>
    <t>Di Ciolla, Nicoletta, 1961- author.</t>
  </si>
  <si>
    <t>Newcastle upon Tyne : Cambridge Scholars Pub., 2010.</t>
  </si>
  <si>
    <t>2014-09-25</t>
  </si>
  <si>
    <t>666887676:eng</t>
  </si>
  <si>
    <t>666718217</t>
  </si>
  <si>
    <t>ocn666718217</t>
  </si>
  <si>
    <t>3103233815G</t>
  </si>
  <si>
    <t>9781443824200</t>
  </si>
  <si>
    <t>794845334</t>
  </si>
  <si>
    <t>PQ4181 D4 D54 2008</t>
  </si>
  <si>
    <t>0                      PQ 4181000D  4                  D  54          2008</t>
  </si>
  <si>
    <t>Differences, deceits and desires : murder and mayhem in Italian crime fiction / edited by Mirna Cicioni and Nicoletta Di Ciolla.</t>
  </si>
  <si>
    <t>Newark : University of Delaware Press, 2008.</t>
  </si>
  <si>
    <t>Monash romance studies</t>
  </si>
  <si>
    <t>2015-09-25</t>
  </si>
  <si>
    <t>866255339:eng</t>
  </si>
  <si>
    <t>228363610</t>
  </si>
  <si>
    <t>ocn228363610</t>
  </si>
  <si>
    <t>3102973937S</t>
  </si>
  <si>
    <t>9780874130515</t>
  </si>
  <si>
    <t>794349181</t>
  </si>
  <si>
    <t>PQ4181 D4 I825 2011</t>
  </si>
  <si>
    <t>0                      PQ 4181000D  4                  I  825         2011</t>
  </si>
  <si>
    <t>Italian crime fiction / edited by Giuliana Pieri.</t>
  </si>
  <si>
    <t>Cardiff : University of Wales Press, 2011.</t>
  </si>
  <si>
    <t>European crime fictions</t>
  </si>
  <si>
    <t>1060562302:eng</t>
  </si>
  <si>
    <t>245562395</t>
  </si>
  <si>
    <t>ocn245562395</t>
  </si>
  <si>
    <t>3103381743R</t>
  </si>
  <si>
    <t>9780708321447</t>
  </si>
  <si>
    <t>794383510</t>
  </si>
  <si>
    <t>PQ4181 D4 I83 2010</t>
  </si>
  <si>
    <t>0                      PQ 4181000D  4                  I  83          2010</t>
  </si>
  <si>
    <t>L'Italie en jaune et noir : la littérature policière de 1990 à nos jours / Maria Pia De Paulis-Dalembert (éd.).</t>
  </si>
  <si>
    <t>Paris : Presses Sorbonne nouvelle, ©2010.</t>
  </si>
  <si>
    <t>477831596:fre</t>
  </si>
  <si>
    <t>609532870</t>
  </si>
  <si>
    <t>ocn609532870</t>
  </si>
  <si>
    <t>31032897393</t>
  </si>
  <si>
    <t>9782878544886</t>
  </si>
  <si>
    <t>794820040</t>
  </si>
  <si>
    <t>PQ4181 D4 M66 2010</t>
  </si>
  <si>
    <t>0                      PQ 4181000D  4                  M  66          2010</t>
  </si>
  <si>
    <t>Crimini e misfatti : la narrativa noir italiana degli anni Duemila / Elisabetta Mondello.</t>
  </si>
  <si>
    <t>Roma : G. Perrone, ©2010.</t>
  </si>
  <si>
    <t>SagUni letteratura</t>
  </si>
  <si>
    <t>1009829836:ita</t>
  </si>
  <si>
    <t>752062035</t>
  </si>
  <si>
    <t>ocn752062035</t>
  </si>
  <si>
    <t>3103125559K</t>
  </si>
  <si>
    <t>9788860041562</t>
  </si>
  <si>
    <t>794891423</t>
  </si>
  <si>
    <t>PQ4181 D4 P38 2012</t>
  </si>
  <si>
    <t>0                      PQ 4181000D  4                  P  38          2012</t>
  </si>
  <si>
    <t>Methods of murder : Beccarian introspection and Lombrosian vivisection in Italian crime fiction / Elena Past.</t>
  </si>
  <si>
    <t>Past, Elena.</t>
  </si>
  <si>
    <t>2014-03-17</t>
  </si>
  <si>
    <t>1117994467:eng</t>
  </si>
  <si>
    <t>755210898</t>
  </si>
  <si>
    <t>ocn755210898</t>
  </si>
  <si>
    <t>3103327017N</t>
  </si>
  <si>
    <t>9781442643888</t>
  </si>
  <si>
    <t>794893695</t>
  </si>
  <si>
    <t>PQ4181 D4 P49 2012</t>
  </si>
  <si>
    <t>0                      PQ 4181000D  4                  P  49          2012</t>
  </si>
  <si>
    <t>The importance of place in Italian crime fiction : a bloody journey / Barbara Pezzotti.</t>
  </si>
  <si>
    <t>Pezzotti, Barbara.</t>
  </si>
  <si>
    <t>Madison : Fairleigh Dickinson University Press, ©2012.</t>
  </si>
  <si>
    <t>3862011159:eng</t>
  </si>
  <si>
    <t>794363249</t>
  </si>
  <si>
    <t>ocn794363249</t>
  </si>
  <si>
    <t>3103529566F</t>
  </si>
  <si>
    <t>9781611475524</t>
  </si>
  <si>
    <t>794919750</t>
  </si>
  <si>
    <t>PQ4181 D4 P492 2016</t>
  </si>
  <si>
    <t>0                      PQ 4181000D  4                  P  492         2016</t>
  </si>
  <si>
    <t>Investigating Italy's past through historical crime fiction, films, and TV series : murder in the age of chaos / Barbara Pezzotti.</t>
  </si>
  <si>
    <t>Pezzotti, Barbara, author.</t>
  </si>
  <si>
    <t>New York : Palgrave Macmillan, [2016]</t>
  </si>
  <si>
    <t>3812827237:eng</t>
  </si>
  <si>
    <t>945949217</t>
  </si>
  <si>
    <t>ocn945949217</t>
  </si>
  <si>
    <t>3103698083M</t>
  </si>
  <si>
    <t>9781137603104</t>
  </si>
  <si>
    <t>795014066</t>
  </si>
  <si>
    <t>PQ4181 E65 S35 2010</t>
  </si>
  <si>
    <t>0                      PQ 4181000E  65                 S  35          2010</t>
  </si>
  <si>
    <t>Addressing the letter : Italian women writers' epistolary fiction / Laura A. Salsini.</t>
  </si>
  <si>
    <t>Salsini, Laura A. (Laura Anne)</t>
  </si>
  <si>
    <t>2011-03-21</t>
  </si>
  <si>
    <t>796545849:eng</t>
  </si>
  <si>
    <t>606118997</t>
  </si>
  <si>
    <t>ocn606118997</t>
  </si>
  <si>
    <t>3103266535V</t>
  </si>
  <si>
    <t>9781442641655</t>
  </si>
  <si>
    <t>794816667</t>
  </si>
  <si>
    <t>PQ4181 E95 B67 2013</t>
  </si>
  <si>
    <t>0                      PQ 4181000E  95                 B  67          2013</t>
  </si>
  <si>
    <t>Prose dal dissesto : antiromanzo e avanguardia negli anni Sessanta / Massimiliano Borelli.</t>
  </si>
  <si>
    <t>Borelli, Massimiliano, 1982- author.</t>
  </si>
  <si>
    <t>Modena : Mucchi, 2013.</t>
  </si>
  <si>
    <t>Lettere persiane ; 2</t>
  </si>
  <si>
    <t>1371513995:ita</t>
  </si>
  <si>
    <t>844695452</t>
  </si>
  <si>
    <t>ocn844695452</t>
  </si>
  <si>
    <t>3103126244R</t>
  </si>
  <si>
    <t>9788870005790</t>
  </si>
  <si>
    <t>794948650</t>
  </si>
  <si>
    <t>PQ4181 H55B46 2012</t>
  </si>
  <si>
    <t>0                      PQ 4181000H  55                 B  46          2012</t>
  </si>
  <si>
    <t>Il romanzo neostorico italiano : storia, memoria, narrazione / Giuliana Benvenuti.</t>
  </si>
  <si>
    <t>Benvenuti, Giuliana.</t>
  </si>
  <si>
    <t>Roma : Carocci Editore, 2012.</t>
  </si>
  <si>
    <t>Lingue e letterature Carocci ; 146</t>
  </si>
  <si>
    <t>1166043249:ita</t>
  </si>
  <si>
    <t>809029854</t>
  </si>
  <si>
    <t>ocn809029854</t>
  </si>
  <si>
    <t>31031260014</t>
  </si>
  <si>
    <t>9788843066513</t>
  </si>
  <si>
    <t>794928049</t>
  </si>
  <si>
    <t>PQ4181 H55 C379 2017</t>
  </si>
  <si>
    <t>0                      PQ 4181000H  55                 C  379         2017</t>
  </si>
  <si>
    <t>Investigating fascism : crime, mystery, and the fascist ventennio in the historical novel / Angelo Castagnino.</t>
  </si>
  <si>
    <t>New York : Peter Lang, 2017.</t>
  </si>
  <si>
    <t>Currents in comparative romance languages and literatures ; vol. 246</t>
  </si>
  <si>
    <t>3942409660:eng</t>
  </si>
  <si>
    <t>961034888</t>
  </si>
  <si>
    <t>ocn961034888</t>
  </si>
  <si>
    <t>3103738591W</t>
  </si>
  <si>
    <t>9781433134258</t>
  </si>
  <si>
    <t>795023565</t>
  </si>
  <si>
    <t>PQ4181 H55 D395 2018</t>
  </si>
  <si>
    <t>0                      PQ 4181000H  55                 D  395         2018</t>
  </si>
  <si>
    <t>I luoghi della storia : dimore, conventi, e paesaggi ne I viceré, I vecchi e i giovani e Il gattopardo / Ilaria De Seta.</t>
  </si>
  <si>
    <t>De Seta, Ilaria, author.</t>
  </si>
  <si>
    <t>Novate Milanese (MI) : Prospero editore, marzo 2018.</t>
  </si>
  <si>
    <t>Scrittojo. Monografie ; volume 2</t>
  </si>
  <si>
    <t>5276659230:ita</t>
  </si>
  <si>
    <t>1048952726</t>
  </si>
  <si>
    <t>on1048952726</t>
  </si>
  <si>
    <t>3103874445W</t>
  </si>
  <si>
    <t>9788885491090</t>
  </si>
  <si>
    <t>795061074</t>
  </si>
  <si>
    <t>PQ4181 H55 G35 1999</t>
  </si>
  <si>
    <t>0                      PQ 4181000H  55                 G  35          1999</t>
  </si>
  <si>
    <t>Il romanzo storico in Italia : il dibattito critico dalle origini al postmoderno / Margherita Ganeri.</t>
  </si>
  <si>
    <t>Ganeri, Margherita, 1965-</t>
  </si>
  <si>
    <t>Lecce : P. Manni, ©1999.</t>
  </si>
  <si>
    <t>Antifone ; 3</t>
  </si>
  <si>
    <t>891713664:ita</t>
  </si>
  <si>
    <t>42873317</t>
  </si>
  <si>
    <t>ocm42873317</t>
  </si>
  <si>
    <t>31020180774</t>
  </si>
  <si>
    <t>9788881760893</t>
  </si>
  <si>
    <t>793616373</t>
  </si>
  <si>
    <t>PQ4181 H55 G59 2005</t>
  </si>
  <si>
    <t>0                      PQ 4181000H  55                 G  59          2005</t>
  </si>
  <si>
    <t>Contesting the monument : the anti-illusionist Italian historical novel / Ruth Glynn.</t>
  </si>
  <si>
    <t>Glynn, Ruth.</t>
  </si>
  <si>
    <t>Leeds, England : Northern Universities Press, 2005.</t>
  </si>
  <si>
    <t>Italian perspectives, 1464-1879 ; 10</t>
  </si>
  <si>
    <t>2017-07-10</t>
  </si>
  <si>
    <t>364387550:eng</t>
  </si>
  <si>
    <t>61432670</t>
  </si>
  <si>
    <t>ocm61432670</t>
  </si>
  <si>
    <t>31025660200</t>
  </si>
  <si>
    <t>9781904350040</t>
  </si>
  <si>
    <t>793952653</t>
  </si>
  <si>
    <t>PQ4183 D5 C68 1992</t>
  </si>
  <si>
    <t>0                      PQ 4183000D  5                  C  68          1992</t>
  </si>
  <si>
    <t>The Renaissance dialogue : literary dialogue in its social and political contexts, Castiglione to Galileo / Virginia Cox.</t>
  </si>
  <si>
    <t>Cambridge [England] ; New York : Cambridge University Press, 1992.</t>
  </si>
  <si>
    <t>Cambridge studies in Renaissance literature and culture ; 2</t>
  </si>
  <si>
    <t>2015-02-22</t>
  </si>
  <si>
    <t>806542951:eng</t>
  </si>
  <si>
    <t>25164011</t>
  </si>
  <si>
    <t>ocm25164011</t>
  </si>
  <si>
    <t>31014277633</t>
  </si>
  <si>
    <t>9780521405386</t>
  </si>
  <si>
    <t>793213474</t>
  </si>
  <si>
    <t>PQ4183 D5 F67 1992</t>
  </si>
  <si>
    <t>0                      PQ 4183000D  5                  F  67          1992</t>
  </si>
  <si>
    <t>Il "libro animato" : teoria e scrittura del dialogo nel Cinquecento / Carla Forno.</t>
  </si>
  <si>
    <t>Torino : Tirrenia stampatori, 1992.</t>
  </si>
  <si>
    <t>L'avventura letteraria</t>
  </si>
  <si>
    <t>889758642:ita</t>
  </si>
  <si>
    <t>28618726</t>
  </si>
  <si>
    <t>ocm28618726</t>
  </si>
  <si>
    <t>3101221346Q</t>
  </si>
  <si>
    <t>9788877633859</t>
  </si>
  <si>
    <t>793292020</t>
  </si>
  <si>
    <t>PQ4183 L4 G46 2009</t>
  </si>
  <si>
    <t>0                      PQ 4183000L  4                  G  46          2009</t>
  </si>
  <si>
    <t>La lettera oltre il genere : il libro di lettere, dall'Aretino al Doni, e le origini dell'autobiografia moderna / Gianluca Genovese.</t>
  </si>
  <si>
    <t>Genovese, Gianluca.</t>
  </si>
  <si>
    <t>Roma : Antenore, 2009.</t>
  </si>
  <si>
    <t>Miscellanea erudita ; 77</t>
  </si>
  <si>
    <t>2019-04-25</t>
  </si>
  <si>
    <t>810001379:ita</t>
  </si>
  <si>
    <t>320314782</t>
  </si>
  <si>
    <t>ocn320314782</t>
  </si>
  <si>
    <t>31031248907</t>
  </si>
  <si>
    <t>9788884556349</t>
  </si>
  <si>
    <t>794486104</t>
  </si>
  <si>
    <t>PQ4183 L4 I88 2013</t>
  </si>
  <si>
    <t>0                      PQ 4183000L  4                  I  88          2013</t>
  </si>
  <si>
    <t>Pio II nell'epistolografia del Rinascimento : atti del XXV Convegno internazionale (Chianciano Terme-Pienza, 18-20 luglio 2013) / a cura di Luisa Secchi Tarugi.</t>
  </si>
  <si>
    <t>Istituto di studi umanistici F. Petrarca. Convegno internazionale (25th : 2013 : Chianciano Terme, Italy; Pienza, Italy)</t>
  </si>
  <si>
    <t>Quaderni della Rassegna ; 99</t>
  </si>
  <si>
    <t>2598631385:ita</t>
  </si>
  <si>
    <t>918819411</t>
  </si>
  <si>
    <t>ocn918819411</t>
  </si>
  <si>
    <t>31036302894</t>
  </si>
  <si>
    <t>9788876675348</t>
  </si>
  <si>
    <t>795001167</t>
  </si>
  <si>
    <t>PQ4183 L4 P84 2017</t>
  </si>
  <si>
    <t>0                      PQ 4183000L  4                  P  84          2017</t>
  </si>
  <si>
    <t>Lettere di eroi e di eroine : il codice ovidiano da Boccaccio all'Ottocento / Salvatore Puggioni.</t>
  </si>
  <si>
    <t>Puggioni, Salvatore, author.</t>
  </si>
  <si>
    <t>Roma : "L'Erma" di Bretschneider, [2017]</t>
  </si>
  <si>
    <t>L'Eredità dell'antico ; 15</t>
  </si>
  <si>
    <t>4776518300:ita</t>
  </si>
  <si>
    <t>1024018678</t>
  </si>
  <si>
    <t>on1024018678</t>
  </si>
  <si>
    <t>3103785181$</t>
  </si>
  <si>
    <t>9788891315977</t>
  </si>
  <si>
    <t>795052019</t>
  </si>
  <si>
    <t>PQ4183 L4 R39 2009</t>
  </si>
  <si>
    <t>0                      PQ 4183000L  4                  R  39          2009</t>
  </si>
  <si>
    <t>Writing gender in women's letter collections of the Italian Renaissance / Meredith K. Ray.</t>
  </si>
  <si>
    <t>Ray, Meredith K., 1969-</t>
  </si>
  <si>
    <t>2019-04-02</t>
  </si>
  <si>
    <t>191581820:eng</t>
  </si>
  <si>
    <t>312883262</t>
  </si>
  <si>
    <t>ocn312883262</t>
  </si>
  <si>
    <t>3103730086B</t>
  </si>
  <si>
    <t>9780802097040</t>
  </si>
  <si>
    <t>794437107</t>
  </si>
  <si>
    <t>PQ4186 F38</t>
  </si>
  <si>
    <t>0                      PQ 4186000F  38</t>
  </si>
  <si>
    <t>Favole su favole : fiabe e leggende / tradotte, trascritte e transformate da Alberto Arbasino [and others] ; premessa di Walter Pedulla.</t>
  </si>
  <si>
    <t>Cosenza : Lerici, ©1975.</t>
  </si>
  <si>
    <t>2015-04-24</t>
  </si>
  <si>
    <t>24793669:eng</t>
  </si>
  <si>
    <t>427152565</t>
  </si>
  <si>
    <t>ocn427152565</t>
  </si>
  <si>
    <t>3000423705I</t>
  </si>
  <si>
    <t>794522718</t>
  </si>
  <si>
    <t>PQ4193 C16 1976</t>
  </si>
  <si>
    <t>0                      PQ 4193000C  16          1976</t>
  </si>
  <si>
    <t>Fiabe italiane : selections / Italo Calvino ; edited, with introd., notes, exercises and vocabulary by Joan Hall.</t>
  </si>
  <si>
    <t>Calvino, Italo, compiler.</t>
  </si>
  <si>
    <t>Manchester : Manchester University Press, ©1976.</t>
  </si>
  <si>
    <t>3769254833:ita</t>
  </si>
  <si>
    <t>2914613</t>
  </si>
  <si>
    <t>ocm02914613</t>
  </si>
  <si>
    <t>3102987368J</t>
  </si>
  <si>
    <t>9780719006456</t>
  </si>
  <si>
    <t>792192859</t>
  </si>
  <si>
    <t>PQ4193 C2 1967</t>
  </si>
  <si>
    <t>0                      PQ 4193000C  2           1967</t>
  </si>
  <si>
    <t>Fiabe italiane. Raccolte dalla tradizione popolare durante gli ultimi cento anni e trascritte in lingua dai vari dialetti da Italo Calvino.</t>
  </si>
  <si>
    <t>Millenni</t>
  </si>
  <si>
    <t>4160287257:ita</t>
  </si>
  <si>
    <t>6865448</t>
  </si>
  <si>
    <t>ocm06865448</t>
  </si>
  <si>
    <t>3102810703E</t>
  </si>
  <si>
    <t>792527597</t>
  </si>
  <si>
    <t>PQ4202 A75 2015</t>
  </si>
  <si>
    <t>0                      PQ 4202000A  75          2015</t>
  </si>
  <si>
    <t>Asino chi legge : elogi dell'asino e altre "asinerie" del Rinascimento italiano / Nicola Bonazzi.</t>
  </si>
  <si>
    <t>Bologna : Pàtron editore, maggio 2015.</t>
  </si>
  <si>
    <t>Cultura umanistica e saperi moderni, 2421-2725 ; 5</t>
  </si>
  <si>
    <t>2585079357:ita</t>
  </si>
  <si>
    <t>915336548</t>
  </si>
  <si>
    <t>ocn915336548</t>
  </si>
  <si>
    <t>3103630284E</t>
  </si>
  <si>
    <t>9788855532983</t>
  </si>
  <si>
    <t>795000530</t>
  </si>
  <si>
    <t>PQ4203.5 I55 B87 2013</t>
  </si>
  <si>
    <t>0                      PQ 4203500I  55                 B  87          2013</t>
  </si>
  <si>
    <t>Migrant imaginaries : figures in Italian migration literature / Jennifer Burns.</t>
  </si>
  <si>
    <t>Burns, Jennifer, author.</t>
  </si>
  <si>
    <t>Oxford : Peter Lang, [2013]</t>
  </si>
  <si>
    <t>Italian modernities, 1662-9108 ; vol. 18</t>
  </si>
  <si>
    <t>1407737865:eng</t>
  </si>
  <si>
    <t>857347559</t>
  </si>
  <si>
    <t>ocn857347559</t>
  </si>
  <si>
    <t>3103531029S</t>
  </si>
  <si>
    <t>9783034309868</t>
  </si>
  <si>
    <t>794955030</t>
  </si>
  <si>
    <t>PQ4203.5 I55 S37 2013</t>
  </si>
  <si>
    <t>0                      PQ 4203500I  55                 S  37          2013</t>
  </si>
  <si>
    <t>Scrittori migranti in Italia (1990-2012) / a cura di Cecilia Gibellini ; premessa di Fabio Danelon.</t>
  </si>
  <si>
    <t>Verona : Fiorini, ©2013.</t>
  </si>
  <si>
    <t>1415484394:ita</t>
  </si>
  <si>
    <t>862741586</t>
  </si>
  <si>
    <t>ocn862741586</t>
  </si>
  <si>
    <t>3103664723D</t>
  </si>
  <si>
    <t>9788896419595</t>
  </si>
  <si>
    <t>794960537</t>
  </si>
  <si>
    <t>PQ4203.5 J48 P37 2008</t>
  </si>
  <si>
    <t>0                      PQ 4203500J  48                 P  37          2008</t>
  </si>
  <si>
    <t>Writing as freedom, writing as testimony : four Italian writers and Judaism / Sergio Parussa.</t>
  </si>
  <si>
    <t>Parussa, Sergio, 1964-</t>
  </si>
  <si>
    <t>Syracuse, NY : Syracuse University Press, 2008.</t>
  </si>
  <si>
    <t>Judaic traditions in literature, music, and art</t>
  </si>
  <si>
    <t>2015-05-09</t>
  </si>
  <si>
    <t>323509945:eng</t>
  </si>
  <si>
    <t>225870869</t>
  </si>
  <si>
    <t>ocn225870869</t>
  </si>
  <si>
    <t>3103055004$</t>
  </si>
  <si>
    <t>9780815631989</t>
  </si>
  <si>
    <t>794342827</t>
  </si>
  <si>
    <t>PQ4204 A3 U436 2003</t>
  </si>
  <si>
    <t>0                      PQ 4204000A  3                  U  436         2003</t>
  </si>
  <si>
    <t>L'umanesimo e il Rinascimento : pagine di letteratura italiana / [a cura di] Gian Mario Anselmi, Giorgio Forni, Giuseppe Ledda.</t>
  </si>
  <si>
    <t>Roma : Carocci, 2003.</t>
  </si>
  <si>
    <t>Antologie ; 8</t>
  </si>
  <si>
    <t>12794616:ita</t>
  </si>
  <si>
    <t>53878894</t>
  </si>
  <si>
    <t>ocm53878894</t>
  </si>
  <si>
    <t>3103150860E</t>
  </si>
  <si>
    <t>9788843027668</t>
  </si>
  <si>
    <t>793852109</t>
  </si>
  <si>
    <t>PQ4204 A8B8 2011</t>
  </si>
  <si>
    <t>0                      PQ 4204000A  8                  B  8           2011</t>
  </si>
  <si>
    <t>Cambridge readings in Italian literature / edited by Edward Bullough.</t>
  </si>
  <si>
    <t>Cambridge : Cambridge University Press, 2011.</t>
  </si>
  <si>
    <t>1st pbk. ed.</t>
  </si>
  <si>
    <t>372602162:ita</t>
  </si>
  <si>
    <t>756281336</t>
  </si>
  <si>
    <t>ocn756281336</t>
  </si>
  <si>
    <t>3103471038C</t>
  </si>
  <si>
    <t>9781107647787</t>
  </si>
  <si>
    <t>794894434</t>
  </si>
  <si>
    <t>PQ4205 E5 I8 1986</t>
  </si>
  <si>
    <t>0                      PQ 4205000E  5                  I  8           1986</t>
  </si>
  <si>
    <t>Italian feminist poems from the Middle Ages to the present : a bilingual anthology / edited by Beverly Allen, Muriel Kittel, and Keala Jane Jewell ; introduction by Beverly Allen.</t>
  </si>
  <si>
    <t>New York : Feminist Press at the City University of New York, ©1986.</t>
  </si>
  <si>
    <t>The Defiant muse</t>
  </si>
  <si>
    <t>905990287:eng</t>
  </si>
  <si>
    <t>13358014</t>
  </si>
  <si>
    <t>ocm13358014</t>
  </si>
  <si>
    <t>3000193805U</t>
  </si>
  <si>
    <t>9780935312485</t>
  </si>
  <si>
    <t>792849800</t>
  </si>
  <si>
    <t>PQ4205 E5 V47 2018</t>
  </si>
  <si>
    <t>0                      PQ 4205000E  5                  V  47          2018</t>
  </si>
  <si>
    <t>A very Italian Christmas : the greatest Italian holiday stories of all time.</t>
  </si>
  <si>
    <t>New York : New Vessel Press, [2018]</t>
  </si>
  <si>
    <t>Very Christmas ; 3</t>
  </si>
  <si>
    <t>4812455286:eng</t>
  </si>
  <si>
    <t>1028216971</t>
  </si>
  <si>
    <t>on1028216971</t>
  </si>
  <si>
    <t>3103670114F</t>
  </si>
  <si>
    <t>9781939931627</t>
  </si>
  <si>
    <t>795053111</t>
  </si>
  <si>
    <t>PQ4207 A6 1997</t>
  </si>
  <si>
    <t>0                      PQ 4207000A  6           1997</t>
  </si>
  <si>
    <t>Antologia della poesia italiana / diretta da Cesare Segre e Carlo Ossola.</t>
  </si>
  <si>
    <t>Torino : Einaudi ; [Paris (F)] : Gallimard, ©1997-©1999.</t>
  </si>
  <si>
    <t>Biblioteca della Pléiade ; n. 25, n. 28, n. 33</t>
  </si>
  <si>
    <t>4916147329:ita</t>
  </si>
  <si>
    <t>38256943</t>
  </si>
  <si>
    <t>ocm38256943</t>
  </si>
  <si>
    <t>3101965777H</t>
  </si>
  <si>
    <t>9788844600082</t>
  </si>
  <si>
    <t>793520341</t>
  </si>
  <si>
    <t>2010-10-20</t>
  </si>
  <si>
    <t>3102105523L</t>
  </si>
  <si>
    <t>793520340</t>
  </si>
  <si>
    <t>3101965773P</t>
  </si>
  <si>
    <t>793520342</t>
  </si>
  <si>
    <t>PQ4207 P64 2008</t>
  </si>
  <si>
    <t>0                      PQ 4207000P  64          2008</t>
  </si>
  <si>
    <t>I poeti della scuola siciliana / edizione promossa dal Centro di studi filologici e linguistici siciliani.</t>
  </si>
  <si>
    <t>Milano : A. Mondadori, 2008.</t>
  </si>
  <si>
    <t>1. ed. I meridiani.</t>
  </si>
  <si>
    <t>I meridiani</t>
  </si>
  <si>
    <t>2018-05-11</t>
  </si>
  <si>
    <t>142421145:ita</t>
  </si>
  <si>
    <t>244630748</t>
  </si>
  <si>
    <t>ocn244630748</t>
  </si>
  <si>
    <t>31030430288</t>
  </si>
  <si>
    <t>9788804573098</t>
  </si>
  <si>
    <t>794381899</t>
  </si>
  <si>
    <t>31030430278</t>
  </si>
  <si>
    <t>794381900</t>
  </si>
  <si>
    <t>2008-11-14</t>
  </si>
  <si>
    <t>3103037816C</t>
  </si>
  <si>
    <t>794381901</t>
  </si>
  <si>
    <t>PQ4209 C69 2013</t>
  </si>
  <si>
    <t>0                      PQ 4209000C  69          2013</t>
  </si>
  <si>
    <t>Lyric poetry by women of the Italian Renaissance / Virginia Cox.</t>
  </si>
  <si>
    <t>Baltimore, MD : The Johns Hopkins University Press, 2013.</t>
  </si>
  <si>
    <t>2018-05-29</t>
  </si>
  <si>
    <t>1169588943:eng</t>
  </si>
  <si>
    <t>811239007</t>
  </si>
  <si>
    <t>ocn811239007</t>
  </si>
  <si>
    <t>3103498685K</t>
  </si>
  <si>
    <t>9781421408873</t>
  </si>
  <si>
    <t>794929893</t>
  </si>
  <si>
    <t>PQ4212 L65 1914</t>
  </si>
  <si>
    <t>0                      PQ 4212000L  65          1914</t>
  </si>
  <si>
    <t>Fiore di leggende: cantári antichi, editi e ordinati da Ezio Levi.</t>
  </si>
  <si>
    <t>Levi, Ezio, 1884-1941, editor.</t>
  </si>
  <si>
    <t>Bari, G. Laterza &amp; figli, 1914-</t>
  </si>
  <si>
    <t>1914</t>
  </si>
  <si>
    <t>Scrittori d'Italia ; [64]</t>
  </si>
  <si>
    <t>2018-10-15</t>
  </si>
  <si>
    <t>864030693:ita</t>
  </si>
  <si>
    <t>788737</t>
  </si>
  <si>
    <t>ocm00788737</t>
  </si>
  <si>
    <t>3103297423H</t>
  </si>
  <si>
    <t>791470197</t>
  </si>
  <si>
    <t>PQ4213 A3 C65</t>
  </si>
  <si>
    <t>0                      PQ 4213000A  3                  C  65</t>
  </si>
  <si>
    <t>Rimatori del Trecento / a cura di Giuseppe Corsi.</t>
  </si>
  <si>
    <t>Torino : Unione tipografico-editrice torinese, 1969.</t>
  </si>
  <si>
    <t>Classici italiani ; n. 15</t>
  </si>
  <si>
    <t>21465510:ita</t>
  </si>
  <si>
    <t>19622881</t>
  </si>
  <si>
    <t>ocm19622881</t>
  </si>
  <si>
    <t>30006306293</t>
  </si>
  <si>
    <t>9788802019963</t>
  </si>
  <si>
    <t>793064067</t>
  </si>
  <si>
    <t>PQ4213 A5 P55 2012</t>
  </si>
  <si>
    <t>0                      PQ 4213000A  5                  P  55          2012</t>
  </si>
  <si>
    <t>Il poeta e il suo pubblico : lettura e commento dei testi lirici nel Cinquecento : convegno internazionale di studi (Ginevra, 15-17 Maggio 2008) / a cura di Massimo Danzi e Roberto Leporatti.</t>
  </si>
  <si>
    <t>Genève : Librairie Droz, 2012.</t>
  </si>
  <si>
    <t>Travaux d'humanisme et Renaissance, 0082-6081 ; no CDLXXXII</t>
  </si>
  <si>
    <t>1126619651:ita</t>
  </si>
  <si>
    <t>785335142</t>
  </si>
  <si>
    <t>ocn785335142</t>
  </si>
  <si>
    <t>3103126407T</t>
  </si>
  <si>
    <t>9782600015103</t>
  </si>
  <si>
    <t>794914793</t>
  </si>
  <si>
    <t>PQ4214 A48 1953</t>
  </si>
  <si>
    <t>0                      PQ 4214000A  48          1953</t>
  </si>
  <si>
    <t>Lirica del Novecento; antologia di poesia Italiana [a cura di] Luciano Anceschi [e] Sergio Antonielli.</t>
  </si>
  <si>
    <t>Anceschi, Luciano, editor.</t>
  </si>
  <si>
    <t>[Firenze] Vallecchi [1953]</t>
  </si>
  <si>
    <t>1953</t>
  </si>
  <si>
    <t>10824217:ita</t>
  </si>
  <si>
    <t>5033976</t>
  </si>
  <si>
    <t>ocm05033976</t>
  </si>
  <si>
    <t>3103022483Z</t>
  </si>
  <si>
    <t>792403040</t>
  </si>
  <si>
    <t>PQ4214 F74 2012</t>
  </si>
  <si>
    <t>0                      PQ 4214000F  74          2012</t>
  </si>
  <si>
    <t>The FSG book of twentieth-century Italian poetry : an anthology / edited by Geoffrey Brock.</t>
  </si>
  <si>
    <t>New York : Farrar, Straus and Giroux, ©2012.</t>
  </si>
  <si>
    <t>2013-03-05</t>
  </si>
  <si>
    <t>929376365:eng</t>
  </si>
  <si>
    <t>740628869</t>
  </si>
  <si>
    <t>ocn740628869</t>
  </si>
  <si>
    <t>3103471975E</t>
  </si>
  <si>
    <t>9780374105389</t>
  </si>
  <si>
    <t>794883404</t>
  </si>
  <si>
    <t>PQ4220 D48 G83 2011</t>
  </si>
  <si>
    <t>0                      PQ 4220000D  48                 G  83          2011</t>
  </si>
  <si>
    <t>Guardando per terra : voci della poesia contemporanea in dialetto / a cura di Piero Marelli ; Ivan Crico, Anna Maria Farabbi, Renzo Favaron, Fabio Franzin, Francesco Gabellini, Vincenzo Mastropirro, Maurizio Noris, Alfredo Panetta, Edoardo Zuccato.</t>
  </si>
  <si>
    <t>(Text + CD)</t>
  </si>
  <si>
    <t>Faloppio (Co) : LietoColle, MMXI.</t>
  </si>
  <si>
    <t>Aretusa ; 276</t>
  </si>
  <si>
    <t>1127009756:ita</t>
  </si>
  <si>
    <t>801440793</t>
  </si>
  <si>
    <t>ocn801440793</t>
  </si>
  <si>
    <t>3103126115$</t>
  </si>
  <si>
    <t>9788878486645</t>
  </si>
  <si>
    <t>794925020</t>
  </si>
  <si>
    <t>PQ4225 E8 C66 2009</t>
  </si>
  <si>
    <t>0                      PQ 4225000E  8                  C  66          2009</t>
  </si>
  <si>
    <t>An anthology of modern Italian poetry in English translation, with Italian text / edited and translated by Ned Condini ; introduction and notes by Dana Renga.</t>
  </si>
  <si>
    <t>New York : Modern Language Association of America, 2009.</t>
  </si>
  <si>
    <t>Texts and translations ; 25</t>
  </si>
  <si>
    <t>140288874:eng</t>
  </si>
  <si>
    <t>234380333</t>
  </si>
  <si>
    <t>ocn234380333</t>
  </si>
  <si>
    <t>3103052293O</t>
  </si>
  <si>
    <t>9781603290326</t>
  </si>
  <si>
    <t>794369674</t>
  </si>
  <si>
    <t>PQ4227 T43x</t>
  </si>
  <si>
    <t>0                      PQ 4227000T  43x</t>
  </si>
  <si>
    <t>Il Teatro italiano.</t>
  </si>
  <si>
    <t>V. 5B t.3</t>
  </si>
  <si>
    <t>Torino : Einaudi, ©1975-&lt;c1993&gt;</t>
  </si>
  <si>
    <t>Gli Struzzi ; 75, 113, 115, 145, 208-210, 245-246, 285-287, 323-324, 415-417, 454</t>
  </si>
  <si>
    <t>2015-02-14</t>
  </si>
  <si>
    <t>10177320217:ita</t>
  </si>
  <si>
    <t>2036978</t>
  </si>
  <si>
    <t>ocm02036978</t>
  </si>
  <si>
    <t>3100472262S</t>
  </si>
  <si>
    <t>792033112</t>
  </si>
  <si>
    <t>V. 2 t.2</t>
  </si>
  <si>
    <t>3100472254R</t>
  </si>
  <si>
    <t>792033119</t>
  </si>
  <si>
    <t>V. 4 t.1</t>
  </si>
  <si>
    <t>3100472257L</t>
  </si>
  <si>
    <t>792033117</t>
  </si>
  <si>
    <t>V. 2 t.1</t>
  </si>
  <si>
    <t>3100472253T</t>
  </si>
  <si>
    <t>792033120</t>
  </si>
  <si>
    <t>V. 5C t.3</t>
  </si>
  <si>
    <t>3100472263Q</t>
  </si>
  <si>
    <t>792033111</t>
  </si>
  <si>
    <t>V. 1 t.1</t>
  </si>
  <si>
    <t>3000413464K</t>
  </si>
  <si>
    <t>792033122</t>
  </si>
  <si>
    <t>V. 1 t.2</t>
  </si>
  <si>
    <t>3100472252V</t>
  </si>
  <si>
    <t>792033121</t>
  </si>
  <si>
    <t>V. 5 t.1</t>
  </si>
  <si>
    <t>3100472258J</t>
  </si>
  <si>
    <t>792033116</t>
  </si>
  <si>
    <t>V. 5 t.2</t>
  </si>
  <si>
    <t>3100472259H</t>
  </si>
  <si>
    <t>792033115</t>
  </si>
  <si>
    <t>V. 2 t.3</t>
  </si>
  <si>
    <t>3100472255P</t>
  </si>
  <si>
    <t>792033118</t>
  </si>
  <si>
    <t>V. 5B t.2</t>
  </si>
  <si>
    <t>3100472261U</t>
  </si>
  <si>
    <t>792033113</t>
  </si>
  <si>
    <t>V. 5B t.1</t>
  </si>
  <si>
    <t>3100472260W</t>
  </si>
  <si>
    <t>792033114</t>
  </si>
  <si>
    <t>PQ4231 A9 I83 2011</t>
  </si>
  <si>
    <t>0                      PQ 4231000A  9                  I  83          2011</t>
  </si>
  <si>
    <t>Italian women's theatre, 1930-1960 : an anthology of plays / translations and critical introductions by Daniela Cavallaro.</t>
  </si>
  <si>
    <t>Bristol, UK ; Chicago : Intellect, 2011.</t>
  </si>
  <si>
    <t>Playtext series, 1754-0933</t>
  </si>
  <si>
    <t>2015-07-05</t>
  </si>
  <si>
    <t>1060356112:eng</t>
  </si>
  <si>
    <t>768073042</t>
  </si>
  <si>
    <t>ocn768073042</t>
  </si>
  <si>
    <t>3103455655L</t>
  </si>
  <si>
    <t>9781841505558</t>
  </si>
  <si>
    <t>794901914</t>
  </si>
  <si>
    <t>PQ4236 C36 2007</t>
  </si>
  <si>
    <t>0                      PQ 4236000C  36          2007</t>
  </si>
  <si>
    <t>I canovacci della Commedia dell'arte / a cura di Anna Maria Testaverde ; trascrizione dei testi e note di Anna Evangelista ; prefazione di Roberto De Simone.</t>
  </si>
  <si>
    <t>Torino : G. Einaudi, ©2007.</t>
  </si>
  <si>
    <t>I millenni</t>
  </si>
  <si>
    <t>351985365:ita</t>
  </si>
  <si>
    <t>163580731</t>
  </si>
  <si>
    <t>ocn163580731</t>
  </si>
  <si>
    <t>3102862984X</t>
  </si>
  <si>
    <t>9788806187774</t>
  </si>
  <si>
    <t>794258014</t>
  </si>
  <si>
    <t>PQ4236 G67 1983</t>
  </si>
  <si>
    <t>0                      PQ 4236000G  67          1983</t>
  </si>
  <si>
    <t>Lazzi : the comic routines of the Commedia dell'arte / Mel Gordon.</t>
  </si>
  <si>
    <t>Gordon, Mel.</t>
  </si>
  <si>
    <t>New York : Performing Arts Journal Publications, ©1983.</t>
  </si>
  <si>
    <t>PAJ playscripts</t>
  </si>
  <si>
    <t>3322600:eng</t>
  </si>
  <si>
    <t>10378439</t>
  </si>
  <si>
    <t>ocm10378439</t>
  </si>
  <si>
    <t>31022033636</t>
  </si>
  <si>
    <t>9780933826694</t>
  </si>
  <si>
    <t>792723397</t>
  </si>
  <si>
    <t>2014-09-09</t>
  </si>
  <si>
    <t>3000366346P</t>
  </si>
  <si>
    <t>792723398</t>
  </si>
  <si>
    <t>PQ4244 E5 A67 1995</t>
  </si>
  <si>
    <t>0                      PQ 4244000E  5                  A  67          1995</t>
  </si>
  <si>
    <t>Twentieth-century Italian drama : an anthology : the first fifty years / edited by Jane House and Antonio Attisani.</t>
  </si>
  <si>
    <t>New York : Columbia University Press, ©1995.</t>
  </si>
  <si>
    <t>2017-04-24</t>
  </si>
  <si>
    <t>836911728:eng</t>
  </si>
  <si>
    <t>30814581</t>
  </si>
  <si>
    <t>ocm30814581</t>
  </si>
  <si>
    <t>3101469324W</t>
  </si>
  <si>
    <t>9780231071185</t>
  </si>
  <si>
    <t>793345761</t>
  </si>
  <si>
    <t>PQ4244 E5 B4</t>
  </si>
  <si>
    <t>0                      PQ 4244000E  5                  B  4</t>
  </si>
  <si>
    <t>The classic theatre / edited by Eric Bentley.</t>
  </si>
  <si>
    <t>Garden City, NY : Doubleday &amp; Company, Inc., [1958-1961]</t>
  </si>
  <si>
    <t>Doubleday anchor books ; A155a-d</t>
  </si>
  <si>
    <t>2018-11-25</t>
  </si>
  <si>
    <t>2863547178:eng</t>
  </si>
  <si>
    <t>344007</t>
  </si>
  <si>
    <t>ocm00344007</t>
  </si>
  <si>
    <t>3000516210T</t>
  </si>
  <si>
    <t>791344353</t>
  </si>
  <si>
    <t>30002318005</t>
  </si>
  <si>
    <t>791344351</t>
  </si>
  <si>
    <t>3100472319P</t>
  </si>
  <si>
    <t>791344355</t>
  </si>
  <si>
    <t>2001-11-20</t>
  </si>
  <si>
    <t>31001474180</t>
  </si>
  <si>
    <t>791344354</t>
  </si>
  <si>
    <t>31001436394</t>
  </si>
  <si>
    <t>791344352</t>
  </si>
  <si>
    <t>PQ4244 E5 T47 2011</t>
  </si>
  <si>
    <t>0                      PQ 4244000E  5                  T  47          2011</t>
  </si>
  <si>
    <t>Three Florentine sacre rappresentazioni : texts and translations / introduction and translations by Michael O'Connell.</t>
  </si>
  <si>
    <t>Tempe, Ariz. : ACMRS (Arizona Center for Medieval and Renaissance Studies), 2011.</t>
  </si>
  <si>
    <t>Medieval and Renaissance texts and studies ; v. 404. Early European drama translation series ; v. 1</t>
  </si>
  <si>
    <t>1011093232:eng</t>
  </si>
  <si>
    <t>708357809</t>
  </si>
  <si>
    <t>ocn708357809</t>
  </si>
  <si>
    <t>3103361991L</t>
  </si>
  <si>
    <t>9780866984522</t>
  </si>
  <si>
    <t>794868959</t>
  </si>
  <si>
    <t>PQ4244 E6 S88 2011</t>
  </si>
  <si>
    <t>0                      PQ 4244000E  6                  S  88          2011</t>
  </si>
  <si>
    <t>Italian theater of the late twentieth and early twenty-first centuries : a translation from Italian into English of nine crucial plays / edited, annotated, and translated by Jack D. Street ; with a foreword by Jane House.</t>
  </si>
  <si>
    <t>Lewiston [New York] : Edwin Mellen Press, ©2011.</t>
  </si>
  <si>
    <t>863872334:eng</t>
  </si>
  <si>
    <t>710816319</t>
  </si>
  <si>
    <t>ocn710816319</t>
  </si>
  <si>
    <t>3103365106A</t>
  </si>
  <si>
    <t>9780773415584</t>
  </si>
  <si>
    <t>794870224</t>
  </si>
  <si>
    <t>PQ4250 E5 W75 2006</t>
  </si>
  <si>
    <t>0                      PQ 4250000E  5                  W  75          2006</t>
  </si>
  <si>
    <t>Writing to delight : Italian short stories by nineteenth-century women writers / edited by Antonia Arslan and Gabriella Romani.</t>
  </si>
  <si>
    <t>2016-09-07</t>
  </si>
  <si>
    <t>856965719:eng</t>
  </si>
  <si>
    <t>63467977</t>
  </si>
  <si>
    <t>ocm63467977</t>
  </si>
  <si>
    <t>3102534132I</t>
  </si>
  <si>
    <t>9780802038104</t>
  </si>
  <si>
    <t>794121372</t>
  </si>
  <si>
    <t>PQ4253 A9 A33 2004</t>
  </si>
  <si>
    <t>0                      PQ 4253000A  9                  A  33          2004</t>
  </si>
  <si>
    <t>After the war : a collection of short fiction by postwar Italian women / edited by Martha King.</t>
  </si>
  <si>
    <t>New York : Italica Press, 2004.</t>
  </si>
  <si>
    <t>1082924:eng</t>
  </si>
  <si>
    <t>53939695</t>
  </si>
  <si>
    <t>ocm53939695</t>
  </si>
  <si>
    <t>3102531882$</t>
  </si>
  <si>
    <t>9780934977555</t>
  </si>
  <si>
    <t>793853644</t>
  </si>
  <si>
    <t>PQ4253 A9 N49 1989</t>
  </si>
  <si>
    <t>0                      PQ 4253000A  9                  N  49          1989</t>
  </si>
  <si>
    <t>New Italian women : a collection of short fiction / edited by Martha King.</t>
  </si>
  <si>
    <t>New York : Italica Press, 1989.</t>
  </si>
  <si>
    <t>21908987:eng</t>
  </si>
  <si>
    <t>20094657</t>
  </si>
  <si>
    <t>ocm20094657</t>
  </si>
  <si>
    <t>3100876907Y</t>
  </si>
  <si>
    <t>9780934977166</t>
  </si>
  <si>
    <t>793077394</t>
  </si>
  <si>
    <t>PQ4253.2 F67 2013</t>
  </si>
  <si>
    <t>0                      PQ 4253200F  67          2013</t>
  </si>
  <si>
    <t>Ferragosto in giallo / Andrea Camilleri, Gian Mauro Costa, Alicia Giménez-Bartlett, Marco Malvaldi, Antonio Manzini, Francesco Recami.</t>
  </si>
  <si>
    <t>Palermo : Sellerio, 2013.</t>
  </si>
  <si>
    <t>La memoria ; 932</t>
  </si>
  <si>
    <t>1369013663:ita</t>
  </si>
  <si>
    <t>853451130</t>
  </si>
  <si>
    <t>ocn853451130</t>
  </si>
  <si>
    <t>31035567802</t>
  </si>
  <si>
    <t>9788838930744</t>
  </si>
  <si>
    <t>794952145</t>
  </si>
  <si>
    <t>PQ4253.2 S5213 2013</t>
  </si>
  <si>
    <t>0                      PQ 4253200S  5213        2013</t>
  </si>
  <si>
    <t>Outsiders : six Italian stories / Roberto Saviano, Carlo Lucarelli, Valeria Parrella, Piero Colaprico, Wu Ming, Simona Vinci ; with and introduction by Ben Faccini ; translated from the Italian by Abigail Asher [and five others].</t>
  </si>
  <si>
    <t>Saviano, Roberto, 1979-</t>
  </si>
  <si>
    <t>London : MacLehose Press an imprint of Quercus, 2013.</t>
  </si>
  <si>
    <t>1882823660:eng</t>
  </si>
  <si>
    <t>813858280</t>
  </si>
  <si>
    <t>ocn813858280</t>
  </si>
  <si>
    <t>3103500716S</t>
  </si>
  <si>
    <t>9780857052445</t>
  </si>
  <si>
    <t>794931852</t>
  </si>
  <si>
    <t>PQ4253.2 S64 2011</t>
  </si>
  <si>
    <t>0                      PQ 4253200S  64          2011</t>
  </si>
  <si>
    <t>Soffi di libertà / Patrizia Carrano [and others] ; prefazione di Margherita d'Amico ; illustrazioni di Eugenia Mola di Larissé.</t>
  </si>
  <si>
    <t>Rosia (Siena) : Equitare, 2011.</t>
  </si>
  <si>
    <t>Per bellezza</t>
  </si>
  <si>
    <t>897462131:ita</t>
  </si>
  <si>
    <t>721864206</t>
  </si>
  <si>
    <t>ocn721864206</t>
  </si>
  <si>
    <t>3103125406X</t>
  </si>
  <si>
    <t>9788888266794</t>
  </si>
  <si>
    <t>794875375</t>
  </si>
  <si>
    <t>PQ4254 R33 1813 v.10</t>
  </si>
  <si>
    <t>0                      PQ 4254000R  33          1813                                        v.10</t>
  </si>
  <si>
    <t>I diporti / di Girolamo Parabosco.</t>
  </si>
  <si>
    <t>v.10*</t>
  </si>
  <si>
    <t>Parabosco, Gerolamo, approximately 1524-1557.</t>
  </si>
  <si>
    <t>Milano : G. Silvestri, 1814.</t>
  </si>
  <si>
    <t>1814</t>
  </si>
  <si>
    <t>Raccolta de'novellieri italiani ; 10</t>
  </si>
  <si>
    <t>2015-01-06</t>
  </si>
  <si>
    <t>4921596444:ita</t>
  </si>
  <si>
    <t>7097712</t>
  </si>
  <si>
    <t>ocm07097712</t>
  </si>
  <si>
    <t>31013389152</t>
  </si>
  <si>
    <t>792540191</t>
  </si>
  <si>
    <t>PQ4257 E5 C7513 2008</t>
  </si>
  <si>
    <t>0                      PQ 4257000E  5                  C  7513        2008</t>
  </si>
  <si>
    <t>Crimini : [the Bitter Lemon book of Italian crime fiction] : short stories / Niccolò Ammaniti [and others] ; edited with a preface by Giancarlo De Cataldo ; translated from the Italian by Andrew Brown.</t>
  </si>
  <si>
    <t>Crimini. English.</t>
  </si>
  <si>
    <t>London : Bitter Lemon Press, 2008.</t>
  </si>
  <si>
    <t>2015-03-25</t>
  </si>
  <si>
    <t>5218145733:eng</t>
  </si>
  <si>
    <t>173499605</t>
  </si>
  <si>
    <t>ocn173499605</t>
  </si>
  <si>
    <t>31028520351</t>
  </si>
  <si>
    <t>9781904738268</t>
  </si>
  <si>
    <t>794268611</t>
  </si>
  <si>
    <t>PQ4257 E5 I84 2004</t>
  </si>
  <si>
    <t>0                      PQ 4257000E  5                  I  84          2004</t>
  </si>
  <si>
    <t>Italian tales : an anthology of contemporary Italian fiction / edited by Massimo Riva.</t>
  </si>
  <si>
    <t>New Haven, CT : Yale University Press, ©2004.</t>
  </si>
  <si>
    <t>Italian literature and thought series</t>
  </si>
  <si>
    <t>896152142:eng</t>
  </si>
  <si>
    <t>55679249</t>
  </si>
  <si>
    <t>ocm55679249</t>
  </si>
  <si>
    <t>3102450336O</t>
  </si>
  <si>
    <t>9780300095302</t>
  </si>
  <si>
    <t>793880790</t>
  </si>
  <si>
    <t>PQ4257 E5 M85 2007</t>
  </si>
  <si>
    <t>0                      PQ 4257000E  5                  M  85          2007</t>
  </si>
  <si>
    <t>Multicultural literature in contemporary Italy / edited by Marie Orton and Graziella Parati.</t>
  </si>
  <si>
    <t>Madison-Teaneck [NJ] : Fairleigh Dickinson University Press, ©2007.</t>
  </si>
  <si>
    <t>The Fairleigh Dickinson University Press Series in Italian Studies</t>
  </si>
  <si>
    <t>2018-03-09</t>
  </si>
  <si>
    <t>351924476:eng</t>
  </si>
  <si>
    <t>81860412</t>
  </si>
  <si>
    <t>ocm81860412</t>
  </si>
  <si>
    <t>3102642841T</t>
  </si>
  <si>
    <t>9780838641620</t>
  </si>
  <si>
    <t>794204275</t>
  </si>
  <si>
    <t>PQ4257 E5 P46 2019</t>
  </si>
  <si>
    <t>0                      PQ 4257000E  5                  P  46          2019</t>
  </si>
  <si>
    <t>The Penguin book of Italian short stories / introduced, edited and with selected translations by Jhumpa Lahiri.</t>
  </si>
  <si>
    <t>[London] : Penguin Books, 2019.</t>
  </si>
  <si>
    <t>9022683084:eng</t>
  </si>
  <si>
    <t>1092000621</t>
  </si>
  <si>
    <t>on1092000621</t>
  </si>
  <si>
    <t>3103808525J</t>
  </si>
  <si>
    <t>9780241299838</t>
  </si>
  <si>
    <t>795080422</t>
  </si>
  <si>
    <t>PQ4257 E5 Q8 1993</t>
  </si>
  <si>
    <t>0                      PQ 4257000E  5                  Q  8           1993</t>
  </si>
  <si>
    <t>The quality of light : modern Italian short stories / edited by Ann and Michael Caesar.</t>
  </si>
  <si>
    <t>London : New York, N.Y. : Serpent's Tail, 1993.</t>
  </si>
  <si>
    <t>2019-04-27</t>
  </si>
  <si>
    <t>375204843:eng</t>
  </si>
  <si>
    <t>29598499</t>
  </si>
  <si>
    <t>ocm29598499</t>
  </si>
  <si>
    <t>3101273599V</t>
  </si>
  <si>
    <t>9781852421885</t>
  </si>
  <si>
    <t>793315797</t>
  </si>
  <si>
    <t>PQ4257 E5 R46 1994</t>
  </si>
  <si>
    <t>0                      PQ 4257000E  5                  R  46          1994</t>
  </si>
  <si>
    <t>Renaissance comic tales of love, treachery, and revenge / [Gentile Sermini and others] ; edited and translated from Italian with an introduction by Valerie Martone &amp; Robert L. Martone.</t>
  </si>
  <si>
    <t>New York : Italica Press, 1994.</t>
  </si>
  <si>
    <t>476646618:eng</t>
  </si>
  <si>
    <t>30319602</t>
  </si>
  <si>
    <t>ocm30319602</t>
  </si>
  <si>
    <t>3101427607H</t>
  </si>
  <si>
    <t>9780934977319</t>
  </si>
  <si>
    <t>793332397</t>
  </si>
  <si>
    <t>PQ4257 E5 S767 1975</t>
  </si>
  <si>
    <t>0                      PQ 4257000E  5                  S  767         1975</t>
  </si>
  <si>
    <t>Stories of Sicily / edited and translated with an introduction by Alfred Alexander.</t>
  </si>
  <si>
    <t>London : Elek, 1975.</t>
  </si>
  <si>
    <t>2018-04-23</t>
  </si>
  <si>
    <t>2201976:eng</t>
  </si>
  <si>
    <t>1500892</t>
  </si>
  <si>
    <t>ocm01500892</t>
  </si>
  <si>
    <t>30003897875</t>
  </si>
  <si>
    <t>9780236310791</t>
  </si>
  <si>
    <t>791675769</t>
  </si>
  <si>
    <t>PQ4257 E5 U67 1993</t>
  </si>
  <si>
    <t>0                      PQ 4257000E  5                  U  67          1993</t>
  </si>
  <si>
    <t>Unspeakable women : selected short stories written by Italian women during Fascism / translations, introduction, and afterword by Robin Pickering-Iazzi.</t>
  </si>
  <si>
    <t>New York : Feminist Press at the City University of New York, 1993.</t>
  </si>
  <si>
    <t>387398:eng</t>
  </si>
  <si>
    <t>28024453</t>
  </si>
  <si>
    <t>ocm28024453</t>
  </si>
  <si>
    <t>3101340551B</t>
  </si>
  <si>
    <t>9781558610620</t>
  </si>
  <si>
    <t>793278025</t>
  </si>
  <si>
    <t>PQ4265 A62 A17 1995</t>
  </si>
  <si>
    <t>0                      PQ 4265000A  62                 A  17          1995</t>
  </si>
  <si>
    <t>Le rime / Cecco Angiolieri ; a cura di Raffaella Castagnola.</t>
  </si>
  <si>
    <t>Angiolieri, Cecco, approximately 1258-approximately 1312.</t>
  </si>
  <si>
    <t>Milano : Mursia, 1995.</t>
  </si>
  <si>
    <t>GUM. Nuova serie ; 259</t>
  </si>
  <si>
    <t>2018-04-30</t>
  </si>
  <si>
    <t>5091099449:ita</t>
  </si>
  <si>
    <t>34380907</t>
  </si>
  <si>
    <t>ocm34380907</t>
  </si>
  <si>
    <t>3101513220N</t>
  </si>
  <si>
    <t>9788842518419</t>
  </si>
  <si>
    <t>793425742</t>
  </si>
  <si>
    <t>PQ4266 A1 1964</t>
  </si>
  <si>
    <t>0                      PQ 4266000A  1           1964</t>
  </si>
  <si>
    <t>Tutte le opere di Giovanni Boccaccio / a cura di Vittore Branca.</t>
  </si>
  <si>
    <t>V. 5;t. 2</t>
  </si>
  <si>
    <t>Boccaccio, Giovanni, 1313-1375.</t>
  </si>
  <si>
    <t>Milano : Mondadori, 1964-1998.</t>
  </si>
  <si>
    <t>1964</t>
  </si>
  <si>
    <t>I Classici Mondadori</t>
  </si>
  <si>
    <t>2010-03-19</t>
  </si>
  <si>
    <t>2019-07-11</t>
  </si>
  <si>
    <t>3372153882:ita</t>
  </si>
  <si>
    <t>12316633</t>
  </si>
  <si>
    <t>ocm12316633</t>
  </si>
  <si>
    <t>31013485615</t>
  </si>
  <si>
    <t>792810477</t>
  </si>
  <si>
    <t>v.7/8;t.2</t>
  </si>
  <si>
    <t>3101971155S</t>
  </si>
  <si>
    <t>792810474</t>
  </si>
  <si>
    <t>3000245843Z</t>
  </si>
  <si>
    <t>792810482</t>
  </si>
  <si>
    <t>2011-06-28</t>
  </si>
  <si>
    <t>31004722979</t>
  </si>
  <si>
    <t>792810481</t>
  </si>
  <si>
    <t>2010-10-27</t>
  </si>
  <si>
    <t>31004723017</t>
  </si>
  <si>
    <t>792810476</t>
  </si>
  <si>
    <t>v.7/8;t.1</t>
  </si>
  <si>
    <t>3101971159K</t>
  </si>
  <si>
    <t>792810475</t>
  </si>
  <si>
    <t>V. 5;t. 1</t>
  </si>
  <si>
    <t>3101352646L</t>
  </si>
  <si>
    <t>792810478</t>
  </si>
  <si>
    <t>31004723009</t>
  </si>
  <si>
    <t>792810479</t>
  </si>
  <si>
    <t>31004722987</t>
  </si>
  <si>
    <t>792810480</t>
  </si>
  <si>
    <t>PQ4266 A3 G5 1961</t>
  </si>
  <si>
    <t>0                      PQ 4266000A  3                  G  5           1961</t>
  </si>
  <si>
    <t>Antologia delle opere minori volgari / A cura di Giuseppe Gigli ; Nuova presentazione di Vittore Branca.</t>
  </si>
  <si>
    <t>Firenze : Sansoni, [1961]</t>
  </si>
  <si>
    <t>Biblioteca carducciana ; 2a. ser., 1</t>
  </si>
  <si>
    <t>10141332604:ita</t>
  </si>
  <si>
    <t>221139559</t>
  </si>
  <si>
    <t>ocn221139559</t>
  </si>
  <si>
    <t>3000773938I</t>
  </si>
  <si>
    <t>794324258</t>
  </si>
  <si>
    <t>PQ4266 A5 B29 2010</t>
  </si>
  <si>
    <t>0                      PQ 4266000A  5                  B  29          2010</t>
  </si>
  <si>
    <t>Le rime / Giovanni Boccaccio ; a cura di Antonio Lanza.</t>
  </si>
  <si>
    <t>Roma : Aracne, 2010 (2011 printing)</t>
  </si>
  <si>
    <t>I classici italiani ; 2</t>
  </si>
  <si>
    <t>8960609864:ita</t>
  </si>
  <si>
    <t>707960047</t>
  </si>
  <si>
    <t>ocn707960047</t>
  </si>
  <si>
    <t>3103125445P</t>
  </si>
  <si>
    <t>9788854832640</t>
  </si>
  <si>
    <t>794868321</t>
  </si>
  <si>
    <t>PQ4267 A2 1955</t>
  </si>
  <si>
    <t>0                      PQ 4267000A  2           1955</t>
  </si>
  <si>
    <t>Il decameron / Giovanni Boccaccio ; nuova ed. a cura di Charles S. Singleton.</t>
  </si>
  <si>
    <t>Bari [Italy] : G. Laterza, 1955.</t>
  </si>
  <si>
    <t>Scrittori d'Italia ; 97-98</t>
  </si>
  <si>
    <t>2015-06-27</t>
  </si>
  <si>
    <t>10177450579:ita</t>
  </si>
  <si>
    <t>5302927</t>
  </si>
  <si>
    <t>ocm05302927</t>
  </si>
  <si>
    <t>3000635541T</t>
  </si>
  <si>
    <t>792423510</t>
  </si>
  <si>
    <t>31004723025</t>
  </si>
  <si>
    <t>792423509</t>
  </si>
  <si>
    <t>PQ4267 A2 1980</t>
  </si>
  <si>
    <t>0                      PQ 4267000A  2           1980</t>
  </si>
  <si>
    <t>Decameron / Giovanni Boccaccio ; a cura di Vittore Branca.</t>
  </si>
  <si>
    <t>Torino : Einaudi, 1980.</t>
  </si>
  <si>
    <t>Nuova universale Einaudi ; 169</t>
  </si>
  <si>
    <t>10177933680:ita</t>
  </si>
  <si>
    <t>10302360</t>
  </si>
  <si>
    <t>ocm10302360</t>
  </si>
  <si>
    <t>3000336838M</t>
  </si>
  <si>
    <t>792719073</t>
  </si>
  <si>
    <t>PQ4267 A2 1985</t>
  </si>
  <si>
    <t>0                      PQ 4267000A  2           1985</t>
  </si>
  <si>
    <t>Milano : A. Mondadori, [1985]</t>
  </si>
  <si>
    <t>I Meridiani</t>
  </si>
  <si>
    <t>2019-09-25</t>
  </si>
  <si>
    <t>10178073663:ita</t>
  </si>
  <si>
    <t>13487164</t>
  </si>
  <si>
    <t>ocm13487164</t>
  </si>
  <si>
    <t>3101315268$</t>
  </si>
  <si>
    <t>792855103</t>
  </si>
  <si>
    <t>PQ4268 N65 2010</t>
  </si>
  <si>
    <t>0                      PQ 4268000N  65          2010</t>
  </si>
  <si>
    <t>La novella di ser Cepparello : Decameron, I 1 / Giovanni Boccaccio ; revisione filologica, introduzione e note di Alfonso D'Agostino.</t>
  </si>
  <si>
    <t>D'Agostino, Alfonso, 1951-</t>
  </si>
  <si>
    <t>Milano : LED, ©2010.</t>
  </si>
  <si>
    <t>Biblioteca di filologia e linguistica romanze. II Testi ; 2</t>
  </si>
  <si>
    <t>3860208945:ita</t>
  </si>
  <si>
    <t>639152057</t>
  </si>
  <si>
    <t>ocn639152057</t>
  </si>
  <si>
    <t>3103125142Y</t>
  </si>
  <si>
    <t>9788879164474</t>
  </si>
  <si>
    <t>794826510</t>
  </si>
  <si>
    <t>PQ4270 C73 C37 2011</t>
  </si>
  <si>
    <t>0                      PQ 4270000C  73                 C  37          2011</t>
  </si>
  <si>
    <t>Il labirinto d'amore : istanze morali e ragioni artistiche nel Corbaccio di Giovanni Boccaccio / Ignazio Castiglia.</t>
  </si>
  <si>
    <t>Castiglia, Ignazio.</t>
  </si>
  <si>
    <t>Caltanissetta : S. Sciascia, ©2011.</t>
  </si>
  <si>
    <t>Nuovo smeraldo</t>
  </si>
  <si>
    <t>1019343853:ita</t>
  </si>
  <si>
    <t>755700655</t>
  </si>
  <si>
    <t>ocn755700655</t>
  </si>
  <si>
    <t>31031256999</t>
  </si>
  <si>
    <t>9788882413453</t>
  </si>
  <si>
    <t>794893913</t>
  </si>
  <si>
    <t>PQ4270 F73 F85 2010</t>
  </si>
  <si>
    <t>0                      PQ 4270000F  73                 F  85          2010</t>
  </si>
  <si>
    <t>An etymological dictionary for reading Boccaccio's Filostrato / Osamu Fukushima.</t>
  </si>
  <si>
    <t>Fukushima, Osamu, 1943-</t>
  </si>
  <si>
    <t>Filologia e ordinatori ; 11</t>
  </si>
  <si>
    <t>685418899:eng</t>
  </si>
  <si>
    <t>669907111</t>
  </si>
  <si>
    <t>ocn669907111</t>
  </si>
  <si>
    <t>3103316966W</t>
  </si>
  <si>
    <t>9788876673979</t>
  </si>
  <si>
    <t>794847191</t>
  </si>
  <si>
    <t>PQ4270 N23 E89 2018</t>
  </si>
  <si>
    <t>0                      PQ 4270000N  23                 E  89          2018</t>
  </si>
  <si>
    <t>An etymological dictionary for reading Boccaccio's The song of the Nymphs of Fiesole / Osamu Fukushima.</t>
  </si>
  <si>
    <t>Firenze : Franco Cesati editore, [2018]</t>
  </si>
  <si>
    <t>Filologia e ordinatori ; XXXI</t>
  </si>
  <si>
    <t>4762623944:eng</t>
  </si>
  <si>
    <t>1022993383</t>
  </si>
  <si>
    <t>on1022993383</t>
  </si>
  <si>
    <t>31037181063</t>
  </si>
  <si>
    <t>9788876676949</t>
  </si>
  <si>
    <t>795051622</t>
  </si>
  <si>
    <t>PQ4270 T43 A54 1988</t>
  </si>
  <si>
    <t>0                      PQ 4270000T  43                 A  54          1988</t>
  </si>
  <si>
    <t>Before the Knight's tale : imitation of classical epic in Boccaccio's Teseida / David Anderson.</t>
  </si>
  <si>
    <t>Anderson, David, 1952-</t>
  </si>
  <si>
    <t>Philadelphia : University of Pennsylvania Press, ©1988.</t>
  </si>
  <si>
    <t>Middle Ages series</t>
  </si>
  <si>
    <t>2017-03-08</t>
  </si>
  <si>
    <t>1011088:eng</t>
  </si>
  <si>
    <t>17550206</t>
  </si>
  <si>
    <t>ocm17550206</t>
  </si>
  <si>
    <t>3000538698P</t>
  </si>
  <si>
    <t>9780812281088</t>
  </si>
  <si>
    <t>792995314</t>
  </si>
  <si>
    <t>PQ4270 T43 B6</t>
  </si>
  <si>
    <t>0                      PQ 4270000T  43                 B  6</t>
  </si>
  <si>
    <t>Chaucer and Boccaccio / by Piero Boitani.</t>
  </si>
  <si>
    <t>Boitani, Piero.</t>
  </si>
  <si>
    <t>Oxford : Society for the Study of Mediaeval Languages and Literature, 1977.</t>
  </si>
  <si>
    <t>1977</t>
  </si>
  <si>
    <t>Medium Aevum monographs ; new ser., 8</t>
  </si>
  <si>
    <t>2016-04-13</t>
  </si>
  <si>
    <t>14652874:eng</t>
  </si>
  <si>
    <t>4309060</t>
  </si>
  <si>
    <t>ocm04309060</t>
  </si>
  <si>
    <t>3000308935W</t>
  </si>
  <si>
    <t>9780950595511</t>
  </si>
  <si>
    <t>792339852</t>
  </si>
  <si>
    <t>PQ4270 T43 F85 2011</t>
  </si>
  <si>
    <t>0                      PQ 4270000T  43                 F  85          2011</t>
  </si>
  <si>
    <t>An etymological dictionary for reading Boccaccio's Teseida / Osamu Fukushima.</t>
  </si>
  <si>
    <t>Filologia e ordinatori ; 12</t>
  </si>
  <si>
    <t>857869659:eng</t>
  </si>
  <si>
    <t>709663239</t>
  </si>
  <si>
    <t>ocn709663239</t>
  </si>
  <si>
    <t>3103125329W</t>
  </si>
  <si>
    <t>9788876674099</t>
  </si>
  <si>
    <t>794869516</t>
  </si>
  <si>
    <t>PQ4272 E5 A3112 2017</t>
  </si>
  <si>
    <t>0                      PQ 4272000E  5                  A  3112        2017</t>
  </si>
  <si>
    <t>The Decameron : selected tales / Giovanni Boccaccio ; edited and translated by Donald Beecher and Massimo Ciavolella.</t>
  </si>
  <si>
    <t>Boccaccio, Giovanni, 1313-1375, author.</t>
  </si>
  <si>
    <t>Peterborough, Ontario, Canada : Broadview Press, [2017]</t>
  </si>
  <si>
    <t>2017-11-12</t>
  </si>
  <si>
    <t>1152132536:eng</t>
  </si>
  <si>
    <t>967561654</t>
  </si>
  <si>
    <t>ocn967561654</t>
  </si>
  <si>
    <t>3103728686R</t>
  </si>
  <si>
    <t>9781554813001</t>
  </si>
  <si>
    <t>795026607</t>
  </si>
  <si>
    <t>PQ4272 E5 A33 1986</t>
  </si>
  <si>
    <t>0                      PQ 4272000E  5                  A  33          1986</t>
  </si>
  <si>
    <t>The decameron / Giovanni Boccaccio ; an English adaptation by C. Gariano.</t>
  </si>
  <si>
    <t>Gariano, Carmelo.</t>
  </si>
  <si>
    <t>Potomac, Md. : Scripta Humanistica, ©1986.</t>
  </si>
  <si>
    <t>Scripta Humanistica ; 28</t>
  </si>
  <si>
    <t>4924940714:eng</t>
  </si>
  <si>
    <t>13822139</t>
  </si>
  <si>
    <t>ocm13822139</t>
  </si>
  <si>
    <t>30004822316</t>
  </si>
  <si>
    <t>9780916379377</t>
  </si>
  <si>
    <t>792868020</t>
  </si>
  <si>
    <t>PQ4272 E5 A355 1955</t>
  </si>
  <si>
    <t>0                      PQ 4272000E  5                  A  355         1955</t>
  </si>
  <si>
    <t>The Decameron / introduction by Edward Hutton.</t>
  </si>
  <si>
    <t>London : Dent, [1955]</t>
  </si>
  <si>
    <t>2016-05-05</t>
  </si>
  <si>
    <t>4451843194:eng</t>
  </si>
  <si>
    <t>154180310</t>
  </si>
  <si>
    <t>ocn154180310</t>
  </si>
  <si>
    <t>30007729027</t>
  </si>
  <si>
    <t>794251158</t>
  </si>
  <si>
    <t>3100385440G</t>
  </si>
  <si>
    <t>794251156</t>
  </si>
  <si>
    <t>3100422123Z</t>
  </si>
  <si>
    <t>794251157</t>
  </si>
  <si>
    <t>PQ4272 E5 A355 1972</t>
  </si>
  <si>
    <t>0                      PQ 4272000E  5                  A  355         1972</t>
  </si>
  <si>
    <t>The Decameron; translated with an introduction by G.H. McWilliam.</t>
  </si>
  <si>
    <t>Harmondsworth, Penguin, 1972.</t>
  </si>
  <si>
    <t>Penguin classics</t>
  </si>
  <si>
    <t>2015-03-24</t>
  </si>
  <si>
    <t>571737</t>
  </si>
  <si>
    <t>ocm00571737</t>
  </si>
  <si>
    <t>3103528269S</t>
  </si>
  <si>
    <t>9780140442694</t>
  </si>
  <si>
    <t>791417851</t>
  </si>
  <si>
    <t>PQ4272 E5 A357 1977</t>
  </si>
  <si>
    <t>0                      PQ 4272000E  5                  A  357         1977</t>
  </si>
  <si>
    <t>The Decameron : a new translation : 21 novelle, contemporary reactions, modern criticism / Giovanni Boccaccio ; selected, translated, and edited by Mark Musa and Peter E. Bondanella.</t>
  </si>
  <si>
    <t>New York : Norton, ©1977.</t>
  </si>
  <si>
    <t>A Norton critical edition</t>
  </si>
  <si>
    <t>2019-04-22</t>
  </si>
  <si>
    <t>4232837930:eng</t>
  </si>
  <si>
    <t>2894138</t>
  </si>
  <si>
    <t>ocm02894138</t>
  </si>
  <si>
    <t>3102786593N</t>
  </si>
  <si>
    <t>9780393044584</t>
  </si>
  <si>
    <t>792190239</t>
  </si>
  <si>
    <t>PQ4272 E5 A36 1930</t>
  </si>
  <si>
    <t>0                      PQ 4272000E  5                  A  36          1930</t>
  </si>
  <si>
    <t>The Decameron of Giovanni Boccaccio / translated by John Payne.</t>
  </si>
  <si>
    <t>New York : Modern Library, [1930?]</t>
  </si>
  <si>
    <t>The modern library of the world's best books</t>
  </si>
  <si>
    <t>2009-04-18</t>
  </si>
  <si>
    <t>4494900929:eng</t>
  </si>
  <si>
    <t>5703053</t>
  </si>
  <si>
    <t>ocm05703053</t>
  </si>
  <si>
    <t>30007729116</t>
  </si>
  <si>
    <t>792447811</t>
  </si>
  <si>
    <t>31030253045</t>
  </si>
  <si>
    <t>792447809</t>
  </si>
  <si>
    <t>3102252744E</t>
  </si>
  <si>
    <t>792447810</t>
  </si>
  <si>
    <t>PQ4272 E5 A36 1982</t>
  </si>
  <si>
    <t>0                      PQ 4272000E  5                  A  36          1982</t>
  </si>
  <si>
    <t>Decameron / Giovanni Boccaccio ; the John Payne translation, revised and annotated by Charles S. Singleton.</t>
  </si>
  <si>
    <t>Berkeley : University of California Press, ©1982.</t>
  </si>
  <si>
    <t>2018-10-02</t>
  </si>
  <si>
    <t>10177701752:eng</t>
  </si>
  <si>
    <t>10409438</t>
  </si>
  <si>
    <t>ocm10409438</t>
  </si>
  <si>
    <t>3000357201F</t>
  </si>
  <si>
    <t>9780520035577</t>
  </si>
  <si>
    <t>792724902</t>
  </si>
  <si>
    <t>2004-09-24</t>
  </si>
  <si>
    <t>3100864949Y</t>
  </si>
  <si>
    <t>792724900</t>
  </si>
  <si>
    <t>2005-05-12</t>
  </si>
  <si>
    <t>3100864948$</t>
  </si>
  <si>
    <t>792724901</t>
  </si>
  <si>
    <t>PQ4272 E5 A3613 2013</t>
  </si>
  <si>
    <t>0                      PQ 4272000E  5                  A  3613        2013</t>
  </si>
  <si>
    <t>The decameron / Giovanni Boccaccio ; translated and with an introduction by Wayne A. Rebhorn.</t>
  </si>
  <si>
    <t>New York : W.W. Norton &amp; Company, 2013.</t>
  </si>
  <si>
    <t>2018-01-10</t>
  </si>
  <si>
    <t>10177967425:eng</t>
  </si>
  <si>
    <t>843026057</t>
  </si>
  <si>
    <t>ocn843026057</t>
  </si>
  <si>
    <t>3103536190S</t>
  </si>
  <si>
    <t>9780393069303</t>
  </si>
  <si>
    <t>794947809</t>
  </si>
  <si>
    <t>PQ4272 E5 A3613 2016</t>
  </si>
  <si>
    <t>0                      PQ 4272000E  5                  A  3613        2016</t>
  </si>
  <si>
    <t>The Decameron : a new translation, contexts, criticism / Giovanni Boccaccio ; translated and edited by Wayne A. Rebhorn.</t>
  </si>
  <si>
    <t>New York : W. W. Norton &amp; Company, [2016]</t>
  </si>
  <si>
    <t>2019-11-30</t>
  </si>
  <si>
    <t>9827298369:eng</t>
  </si>
  <si>
    <t>908192482</t>
  </si>
  <si>
    <t>ocn908192482</t>
  </si>
  <si>
    <t>3103631728$</t>
  </si>
  <si>
    <t>9780393935622</t>
  </si>
  <si>
    <t>794994352</t>
  </si>
  <si>
    <t>31036317336</t>
  </si>
  <si>
    <t>794994353</t>
  </si>
  <si>
    <t>PQ4272 E5 A393 1868</t>
  </si>
  <si>
    <t>0                      PQ 4272000E  5                  A  393         1868</t>
  </si>
  <si>
    <t>The Decameron or Ten days' entertainment of Boccaccio.</t>
  </si>
  <si>
    <t>London : [publisher not identified], 1868.</t>
  </si>
  <si>
    <t>1868</t>
  </si>
  <si>
    <t>Rev. ed.</t>
  </si>
  <si>
    <t>2017-10-31</t>
  </si>
  <si>
    <t>10177789399:eng</t>
  </si>
  <si>
    <t>427135607</t>
  </si>
  <si>
    <t>ocn427135607</t>
  </si>
  <si>
    <t>3000772877H</t>
  </si>
  <si>
    <t>794521746</t>
  </si>
  <si>
    <t>PQ4272 E5 C6 1993</t>
  </si>
  <si>
    <t>0                      PQ 4272000E  5                  C  6           1993</t>
  </si>
  <si>
    <t>The corbaccio, or, The labyrinth of love / translated and edited by Anthony K. Cassell.</t>
  </si>
  <si>
    <t>Binghamton, N.Y. : Medieval &amp; Renaissance Texts &amp; Studies, 1993.</t>
  </si>
  <si>
    <t>2nd ed., rev.</t>
  </si>
  <si>
    <t>Pegasus paperbooks</t>
  </si>
  <si>
    <t>374653:eng</t>
  </si>
  <si>
    <t>27066372</t>
  </si>
  <si>
    <t>ocm27066372</t>
  </si>
  <si>
    <t>3101379450S</t>
  </si>
  <si>
    <t>9780866981545</t>
  </si>
  <si>
    <t>793258148</t>
  </si>
  <si>
    <t>PQ4272 E5 F38 1990</t>
  </si>
  <si>
    <t>0                      PQ 4272000E  5                  F  38          1990</t>
  </si>
  <si>
    <t>The elegy of Lady Fiammetta / Giovanni Boccaccio ; edited and translated by Mariangela Causa-Steindler and Thomas Mauch ; with an introduction by Mariangela Causa-Steindler.</t>
  </si>
  <si>
    <t>Chicago : University of Chicago Press, 1990.</t>
  </si>
  <si>
    <t>4820640958:eng</t>
  </si>
  <si>
    <t>21600872</t>
  </si>
  <si>
    <t>ocm21600872</t>
  </si>
  <si>
    <t>3102786579R</t>
  </si>
  <si>
    <t>9780226062754</t>
  </si>
  <si>
    <t>793124066</t>
  </si>
  <si>
    <t>PQ4272 F5 A32 1994</t>
  </si>
  <si>
    <t>0                      PQ 4272000F  5                  A  32          1994</t>
  </si>
  <si>
    <t>Décaméron / Boccace ; traduction nouvelle, introduction et notes sous la direction de Christian Bec.</t>
  </si>
  <si>
    <t>Paris : Librairie Générale Française, ©1994.</t>
  </si>
  <si>
    <t>Bibliothèque classiques</t>
  </si>
  <si>
    <t>2018-01-09</t>
  </si>
  <si>
    <t>10141718041:fre</t>
  </si>
  <si>
    <t>31467209</t>
  </si>
  <si>
    <t>ocm31467209</t>
  </si>
  <si>
    <t>31025078076</t>
  </si>
  <si>
    <t>9782253907022</t>
  </si>
  <si>
    <t>793362101</t>
  </si>
  <si>
    <t>PQ4272.S5 F38 2018 CD-ROM</t>
  </si>
  <si>
    <t>0                      PQ 4272000S  5                  F  38          2018                  CD-ROM</t>
  </si>
  <si>
    <t>Texto y concordancias de la traducción castellana de la Fiammetta de Giovanni Boccaccio / editado por Pau Cañigueral Batllosera.</t>
  </si>
  <si>
    <t>CD-ROM*</t>
  </si>
  <si>
    <t>New York : Hispanic Seminary of Medieval Studies 2018.</t>
  </si>
  <si>
    <t>spa</t>
  </si>
  <si>
    <t>Spanish Series ; no. 169</t>
  </si>
  <si>
    <t>2019-03-21</t>
  </si>
  <si>
    <t>8899673879:spa</t>
  </si>
  <si>
    <t>1084640029</t>
  </si>
  <si>
    <t>on1084640029</t>
  </si>
  <si>
    <t>31038618175</t>
  </si>
  <si>
    <t>9781569541661</t>
  </si>
  <si>
    <t>795078558</t>
  </si>
  <si>
    <t>PQ4274 D5 E5 1964</t>
  </si>
  <si>
    <t>0                      PQ 4274000D  5                  E  5           1964</t>
  </si>
  <si>
    <t>Concerning famous women / by Giovanni Boccaccio ; translated, with an introduction and notes, by Guido A. Guarino.</t>
  </si>
  <si>
    <t>London : George Allen &amp; Unwin, Ltd, [1964]</t>
  </si>
  <si>
    <t>4159885514:eng</t>
  </si>
  <si>
    <t>343913</t>
  </si>
  <si>
    <t>ocm00343913</t>
  </si>
  <si>
    <t>3103602219X</t>
  </si>
  <si>
    <t>791344323</t>
  </si>
  <si>
    <t>PQ4274 D5 E5 2001</t>
  </si>
  <si>
    <t>0                      PQ 4274000D  5                  E  5           2001</t>
  </si>
  <si>
    <t>Famous women / Giovanni Boccaccio ; edited and translated by Virginia Brown.</t>
  </si>
  <si>
    <t>Cambridge, Mass. : Harvard University Press, 2001.</t>
  </si>
  <si>
    <t>ITRL ; 1</t>
  </si>
  <si>
    <t>2019-05-31</t>
  </si>
  <si>
    <t>4160472989:eng</t>
  </si>
  <si>
    <t>45418951</t>
  </si>
  <si>
    <t>ocm45418951</t>
  </si>
  <si>
    <t>3102135917J</t>
  </si>
  <si>
    <t>9780674003477</t>
  </si>
  <si>
    <t>793671039</t>
  </si>
  <si>
    <t>PQ4274 D5 E5 2015</t>
  </si>
  <si>
    <t>0                      PQ 4274000D  5                  E  5           2015</t>
  </si>
  <si>
    <t>On famous women : the Middle English translation of Boccaccio's De mulieribus claris / edited from London, British Library, MS Additional 10304 by Janet Cowen.</t>
  </si>
  <si>
    <t>Heidelberg : Universitätsverlag Winter, 2015.</t>
  </si>
  <si>
    <t>Middle English texts ; 52</t>
  </si>
  <si>
    <t>5092432749:eng</t>
  </si>
  <si>
    <t>907173350</t>
  </si>
  <si>
    <t>ocn907173350</t>
  </si>
  <si>
    <t>3103608735M</t>
  </si>
  <si>
    <t>9783825364557</t>
  </si>
  <si>
    <t>794992972</t>
  </si>
  <si>
    <t>PQ4274 D5 F7 2013</t>
  </si>
  <si>
    <t>0                      PQ 4274000D  5                  F  7           2013</t>
  </si>
  <si>
    <t>Les femmes illustres = De mulieribus claris / Boccace ; texte établi par Vittorio Zaccaria ; traduction, introduction et notes de Jean-Yves Boriaud.</t>
  </si>
  <si>
    <t>Paris : Belles lettres, 2013.</t>
  </si>
  <si>
    <t>Classiques de l'humanisme ; 41</t>
  </si>
  <si>
    <t>3372375908:fre</t>
  </si>
  <si>
    <t>862708135</t>
  </si>
  <si>
    <t>ocn862708135</t>
  </si>
  <si>
    <t>3103535977C</t>
  </si>
  <si>
    <t>9782251801285</t>
  </si>
  <si>
    <t>794960479</t>
  </si>
  <si>
    <t>PQ4274 D6 F56 2012</t>
  </si>
  <si>
    <t>0                      PQ 4274000D  6                  F  56          2012</t>
  </si>
  <si>
    <t>Tre studi sul De mulieribus claris / Elsa Filosa.</t>
  </si>
  <si>
    <t>Filosa, Elsa.</t>
  </si>
  <si>
    <t>Milano : LED, [2012]</t>
  </si>
  <si>
    <t>Studi e ricerche</t>
  </si>
  <si>
    <t>1416599812:ita</t>
  </si>
  <si>
    <t>839902179</t>
  </si>
  <si>
    <t>ocn839902179</t>
  </si>
  <si>
    <t>3103126258P</t>
  </si>
  <si>
    <t>9788879165891</t>
  </si>
  <si>
    <t>794945785</t>
  </si>
  <si>
    <t>PQ4274 D6 K65 2003</t>
  </si>
  <si>
    <t>0                      PQ 4274000D  6                  K  65          2003</t>
  </si>
  <si>
    <t>The genealogy of women : studies in Boccaccio's De mulieribus claris / Stephen D. Kolsky.</t>
  </si>
  <si>
    <t>New York : P. Lang, ©2003.</t>
  </si>
  <si>
    <t>Studies in the humanities, 0742-6712 ; v. 62</t>
  </si>
  <si>
    <t>793977516:eng</t>
  </si>
  <si>
    <t>50234960</t>
  </si>
  <si>
    <t>ocm50234960</t>
  </si>
  <si>
    <t>3102284873J</t>
  </si>
  <si>
    <t>9780820461830</t>
  </si>
  <si>
    <t>793758544</t>
  </si>
  <si>
    <t>PQ4274 G6 E5 1956</t>
  </si>
  <si>
    <t>0                      PQ 4274000G  6                  E  5           1956</t>
  </si>
  <si>
    <t>Boccaccio on poetry; being the preface and the fourteenth and fifteenth books of Boccaccio's Genealogia deorum gentilium in an English version with introductory essay and commentary, by Charles G. Osgood.</t>
  </si>
  <si>
    <t>New York, Liberal Arts Press [©1956]</t>
  </si>
  <si>
    <t>1956</t>
  </si>
  <si>
    <t>The Library of liberal arts, 82</t>
  </si>
  <si>
    <t>2016-02-27</t>
  </si>
  <si>
    <t>2864796204:eng</t>
  </si>
  <si>
    <t>326061</t>
  </si>
  <si>
    <t>ocm00326061</t>
  </si>
  <si>
    <t>30005237506</t>
  </si>
  <si>
    <t>791337848</t>
  </si>
  <si>
    <t>2004-09-20</t>
  </si>
  <si>
    <t>3103020954Y</t>
  </si>
  <si>
    <t>791337847</t>
  </si>
  <si>
    <t>2014-02-17</t>
  </si>
  <si>
    <t>30002503074</t>
  </si>
  <si>
    <t>791337846</t>
  </si>
  <si>
    <t>PQ4274 G6 E5 2011</t>
  </si>
  <si>
    <t>0                      PQ 4274000G  6                  E  5           2011</t>
  </si>
  <si>
    <t>Genealogy of the pagan gods / Giovanni Boccaccio ; edited and translated by Jon Solomon.</t>
  </si>
  <si>
    <t>(v.1)</t>
  </si>
  <si>
    <t>Cambridge, Massachusetts ; London, England : Harvard University Press, 2011-&lt;2017&gt;</t>
  </si>
  <si>
    <t>The I Tatti Renaissance library ; ITRL 46, ITRL 81</t>
  </si>
  <si>
    <t>9657916761:eng</t>
  </si>
  <si>
    <t>555660608</t>
  </si>
  <si>
    <t>ocn555660608</t>
  </si>
  <si>
    <t>31033452831</t>
  </si>
  <si>
    <t>9780674057104</t>
  </si>
  <si>
    <t>794812191</t>
  </si>
  <si>
    <t>3103738786H</t>
  </si>
  <si>
    <t>794812190</t>
  </si>
  <si>
    <t>PQ4274 Z3 C65 2013</t>
  </si>
  <si>
    <t>0                      PQ 4274000Z  3                  C  65          2013</t>
  </si>
  <si>
    <t>Boccace humaniste latin / sous la direction d'Hélène Casanova-Robin, Susanna Gambino Longo et Frank La Brasca.</t>
  </si>
  <si>
    <t>Paris : Classiques Garnier, 2016.</t>
  </si>
  <si>
    <t>Rencontres, 2103-5636 ; 278. Série Lectures de la Renaissance latine ; 8</t>
  </si>
  <si>
    <t>5623268351:fre</t>
  </si>
  <si>
    <t>989824132</t>
  </si>
  <si>
    <t>ocn989824132</t>
  </si>
  <si>
    <t>3103717252Y</t>
  </si>
  <si>
    <t>9782812436680</t>
  </si>
  <si>
    <t>795037284</t>
  </si>
  <si>
    <t>PQ4277 B7</t>
  </si>
  <si>
    <t>0                      PQ 4277000B  7</t>
  </si>
  <si>
    <t>Boccaccio : the man and his works / Vittore Branca ; translated by Richard Monges ; cotranslator and editor Dennis J. McAuliffe ; foreword by Robert C. Clements.</t>
  </si>
  <si>
    <t>Branca, Vittore.</t>
  </si>
  <si>
    <t>New York : New York University Press, 1976.</t>
  </si>
  <si>
    <t>2016-12-21</t>
  </si>
  <si>
    <t>476529:eng</t>
  </si>
  <si>
    <t>2188347</t>
  </si>
  <si>
    <t>ocm02188347</t>
  </si>
  <si>
    <t>3000411828I</t>
  </si>
  <si>
    <t>9780814709535</t>
  </si>
  <si>
    <t>792064002</t>
  </si>
  <si>
    <t>PQ4277 H8</t>
  </si>
  <si>
    <t>0                      PQ 4277000H  8</t>
  </si>
  <si>
    <t>Giovanni Boccaccio, a biographical study, by Edward Hutton. With photogravure frontispiece &amp; numerous other illustrations ...</t>
  </si>
  <si>
    <t>Hutton, Edward, 1875-1969.</t>
  </si>
  <si>
    <t>London, New York, J. Lane, 1910.</t>
  </si>
  <si>
    <t>1910</t>
  </si>
  <si>
    <t>198259783:eng</t>
  </si>
  <si>
    <t>2664617</t>
  </si>
  <si>
    <t>ocm02664617</t>
  </si>
  <si>
    <t>3000773942R</t>
  </si>
  <si>
    <t>792160014</t>
  </si>
  <si>
    <t>PQ4277 I58 2010</t>
  </si>
  <si>
    <t>0                      PQ 4277000I  58          2010</t>
  </si>
  <si>
    <t>Boccaccio in America : 2010 International Boccaccio conference, American Boccaccio Association, UMass Amherst, April 30-May 1 / a cura di Elsa Filosa e Michael Papio.</t>
  </si>
  <si>
    <t>International Boccaccio Conference (2010 : Amherst, Mass.)</t>
  </si>
  <si>
    <t>Ravenna : Longo, ©2012.</t>
  </si>
  <si>
    <t>Memoria del tempo ; 35</t>
  </si>
  <si>
    <t>1126688550:ita</t>
  </si>
  <si>
    <t>795156395</t>
  </si>
  <si>
    <t>ocn795156395</t>
  </si>
  <si>
    <t>31031257916</t>
  </si>
  <si>
    <t>9788880637042</t>
  </si>
  <si>
    <t>794920890</t>
  </si>
  <si>
    <t>PQ4277 Z5 A7 1975</t>
  </si>
  <si>
    <t>0                      PQ 4277000Z  5                  A  7           1975</t>
  </si>
  <si>
    <t>Boccaccio humanista y su penetración en España : conferencia pronunciada en la Fundación Universitaria Española el día 25 de abril de 1975 / Joaquín Arce.</t>
  </si>
  <si>
    <t>Arce, Joaquín.</t>
  </si>
  <si>
    <t>Madrid : Fundación Universitaria Española, 1975.</t>
  </si>
  <si>
    <t>Publicaciones de la Fundación Universitaria Española : Conferencias ; 47</t>
  </si>
  <si>
    <t>423781681:spa</t>
  </si>
  <si>
    <t>2856633</t>
  </si>
  <si>
    <t>ocm02856633</t>
  </si>
  <si>
    <t>3000344245G</t>
  </si>
  <si>
    <t>9788473920902</t>
  </si>
  <si>
    <t>792185554</t>
  </si>
  <si>
    <t>PQ4277 Z5 B64 2013</t>
  </si>
  <si>
    <t>0                      PQ 4277000Z  5                  B  64          2013</t>
  </si>
  <si>
    <t>Boccaccio e la Romagna : atti del convegno di studi, Forlì, Salone Comunale (22-23 novembre 2013) / a cura di Gabriella Albanese e Paolo Pontari.</t>
  </si>
  <si>
    <t>Boccaccio e la Romagna (Conference) (2013 : Forlì, Italy)</t>
  </si>
  <si>
    <t>Ravenna : Longo editore, [2015]</t>
  </si>
  <si>
    <t>Memoria del tempo ; 46</t>
  </si>
  <si>
    <t>2564248142:ita</t>
  </si>
  <si>
    <t>913218086</t>
  </si>
  <si>
    <t>ocn913218086</t>
  </si>
  <si>
    <t>31036278806</t>
  </si>
  <si>
    <t>9788880638186</t>
  </si>
  <si>
    <t>794999250</t>
  </si>
  <si>
    <t>PQ4277 Z5 C66 2013</t>
  </si>
  <si>
    <t>0                      PQ 4277000Z  5                  C  66          2013</t>
  </si>
  <si>
    <t>Boccaccio e Napoli : nuovi materiali per la storia culturale di Napoli nel Trecento : atti del Convegno Boccaccio angioino, per il VII Centenario della nascita di Giovanni Boccaccio, Napoli-Salerno, 23-25 ottobre 2013 / a cura di Giancarlo Alfano [and six others].</t>
  </si>
  <si>
    <t>Convegno Boccaccio angioino, per il VII Centenario della nascita di Giovanni Boccaccio (2013 : Naples, Italy; Salerno, Italy)</t>
  </si>
  <si>
    <t>Quaderni della Rassegna ; 95</t>
  </si>
  <si>
    <t>2019-09-26</t>
  </si>
  <si>
    <t>2530116461:ita</t>
  </si>
  <si>
    <t>910085376</t>
  </si>
  <si>
    <t>ocn910085376</t>
  </si>
  <si>
    <t>3103636024A</t>
  </si>
  <si>
    <t>9788876675188</t>
  </si>
  <si>
    <t>794995814</t>
  </si>
  <si>
    <t>PQ4277 Z5 I58 2015</t>
  </si>
  <si>
    <t>0                      PQ 4277000Z  5                  I  58          2015</t>
  </si>
  <si>
    <t>Intorno a Boccaccio/Boccaccio e dintorni 2015 : atti del Seminario internazionale di studi (Certaldo Alta, Casa di Giovanni Boccaccio, 9 settembre 2015) / a cura di Stefano Zamponi.</t>
  </si>
  <si>
    <t>Intorno a Boccaccio/Boccaccio e dintorni (Conference) (2015 : Certaldo, Italy)</t>
  </si>
  <si>
    <t>Firenze, Italy : Firenze University Press, 2016.</t>
  </si>
  <si>
    <t>Studi e saggi ; 155</t>
  </si>
  <si>
    <t>4126499042:ita</t>
  </si>
  <si>
    <t>968768483</t>
  </si>
  <si>
    <t>ocn968768483</t>
  </si>
  <si>
    <t>3103716196N</t>
  </si>
  <si>
    <t>9788864533377</t>
  </si>
  <si>
    <t>795027225</t>
  </si>
  <si>
    <t>PQ4284 D36 2009</t>
  </si>
  <si>
    <t>0                      PQ 4284000D  36          2009</t>
  </si>
  <si>
    <t>Boccaccio and the book : production and reading in Italy, 1340-1520 / Rhiannon Daniels.</t>
  </si>
  <si>
    <t>Daniels, Rhiannon.</t>
  </si>
  <si>
    <t>London : Legenda, 2009.</t>
  </si>
  <si>
    <t>Italian perspectives ; 19</t>
  </si>
  <si>
    <t>2015-05-21</t>
  </si>
  <si>
    <t>793205448:eng</t>
  </si>
  <si>
    <t>428881308</t>
  </si>
  <si>
    <t>ocn428881308</t>
  </si>
  <si>
    <t>31033444329</t>
  </si>
  <si>
    <t>9781906540494</t>
  </si>
  <si>
    <t>794778933</t>
  </si>
  <si>
    <t>PQ4284 F67 2015</t>
  </si>
  <si>
    <t>0                      PQ 4284000F  67          2015</t>
  </si>
  <si>
    <t>La fortuna di Boccaccio nella tradizione letteraria italiana / a cura di Ettore Catalano ; saggi di, Andrea Battistini [and fifteen others].</t>
  </si>
  <si>
    <t>Bari : Progedit, febbraio 2015.</t>
  </si>
  <si>
    <t>2785539840:ita</t>
  </si>
  <si>
    <t>927413976</t>
  </si>
  <si>
    <t>ocn927413976</t>
  </si>
  <si>
    <t>3103664234S</t>
  </si>
  <si>
    <t>9788861942370</t>
  </si>
  <si>
    <t>795005909</t>
  </si>
  <si>
    <t>PQ4284.5 B638 2014</t>
  </si>
  <si>
    <t>0                      PQ 4284500B  638         2014</t>
  </si>
  <si>
    <t>Boccaccio and the European literary tradition / edited by Piero Boitani and Emilia Di Rocco.</t>
  </si>
  <si>
    <t>Roma : Edizioni di storia e letteratura, December 2014.</t>
  </si>
  <si>
    <t>Temi e testi ; 134</t>
  </si>
  <si>
    <t>2498168069:eng</t>
  </si>
  <si>
    <t>893860635</t>
  </si>
  <si>
    <t>ocn893860635</t>
  </si>
  <si>
    <t>3103628065T</t>
  </si>
  <si>
    <t>9788863727500</t>
  </si>
  <si>
    <t>794982044</t>
  </si>
  <si>
    <t>PQ4284.5 E37 2013</t>
  </si>
  <si>
    <t>0                      PQ 4284500E  37          2013</t>
  </si>
  <si>
    <t>Boccaccio and the invention of Italian literature : Dante, Petrarch, Cavalcanti, and the authority of the vernacular / Martin Eisner.</t>
  </si>
  <si>
    <t>Eisner, Martin, 1978- author.</t>
  </si>
  <si>
    <t>Cambridge ; New York : Cambridge University Press, 2013.</t>
  </si>
  <si>
    <t>Cambridge studies in medieval literature ; 87</t>
  </si>
  <si>
    <t>2017-11-11</t>
  </si>
  <si>
    <t>1375098797:eng</t>
  </si>
  <si>
    <t>840927702</t>
  </si>
  <si>
    <t>ocn840927702</t>
  </si>
  <si>
    <t>31035049186</t>
  </si>
  <si>
    <t>9781107041660</t>
  </si>
  <si>
    <t>794946352</t>
  </si>
  <si>
    <t>PQ4285 E5 W68</t>
  </si>
  <si>
    <t>0                      PQ 4285000E  5                  W  68</t>
  </si>
  <si>
    <t>Boccaccio in England, from Chaucer to Tennyson.</t>
  </si>
  <si>
    <t>Wright, Herbert G. (Herbert Gladstone), 1888-</t>
  </si>
  <si>
    <t>[London] University of London, Athlone Press; [Label: Fair Lawn, N.J.] [Essential Books] 1957.</t>
  </si>
  <si>
    <t>2017-11-16</t>
  </si>
  <si>
    <t>1487366:eng</t>
  </si>
  <si>
    <t>343919</t>
  </si>
  <si>
    <t>ocm00343919</t>
  </si>
  <si>
    <t>3000773949D</t>
  </si>
  <si>
    <t>9780485110296</t>
  </si>
  <si>
    <t>791344325</t>
  </si>
  <si>
    <t>PQ4286 A75 2013</t>
  </si>
  <si>
    <t>0                      PQ 4286000A  75          2013</t>
  </si>
  <si>
    <t>The English Boccaccio : a history in books / Guyda Armstrong.</t>
  </si>
  <si>
    <t>Armstrong, Guyda, author.</t>
  </si>
  <si>
    <t>1417262079:eng</t>
  </si>
  <si>
    <t>836189498</t>
  </si>
  <si>
    <t>ocn836189498</t>
  </si>
  <si>
    <t>3103492908E</t>
  </si>
  <si>
    <t>9781442646032</t>
  </si>
  <si>
    <t>794944855</t>
  </si>
  <si>
    <t>PQ4286 B63 2015</t>
  </si>
  <si>
    <t>0                      PQ 4286000B  63          2015</t>
  </si>
  <si>
    <t>Boccaccio letterato : atti del convegno internazionale, Firenze-Certaldo 10-12 ottobre 2013 / a cura di Michaelangiola Marchiaro e Stefano Zamponi.</t>
  </si>
  <si>
    <t>Boccaccio letterato (Conference) (2013 : Florence, Italy; Certaldo, Italy)</t>
  </si>
  <si>
    <t>Firenze : Accademia della Crusca, 2015.</t>
  </si>
  <si>
    <t>2625832291:ita</t>
  </si>
  <si>
    <t>921889775</t>
  </si>
  <si>
    <t>ocn921889775</t>
  </si>
  <si>
    <t>3103665202$</t>
  </si>
  <si>
    <t>9788889369623</t>
  </si>
  <si>
    <t>795003492</t>
  </si>
  <si>
    <t>PQ4286 C65 2002</t>
  </si>
  <si>
    <t>0                      PQ 4286000C  65          2002</t>
  </si>
  <si>
    <t>Autori e lettori di Boccaccio : atti del Convegno internazionale di Certaldo : 20-22 settembre 2001 / a cura di Michelangelo Picone.</t>
  </si>
  <si>
    <t>Convegno internazionale di Certaldo (2001 : Certaldo, Italy)</t>
  </si>
  <si>
    <t>Firenze : F. Cesati, [2002]</t>
  </si>
  <si>
    <t>476149003:ita</t>
  </si>
  <si>
    <t>52079893</t>
  </si>
  <si>
    <t>ocm52079893</t>
  </si>
  <si>
    <t>31022719266</t>
  </si>
  <si>
    <t>9788876671395</t>
  </si>
  <si>
    <t>793798044</t>
  </si>
  <si>
    <t>PQ4286 F62 2011</t>
  </si>
  <si>
    <t>0                      PQ 4286000F  62          2011</t>
  </si>
  <si>
    <t>Il Boccaccio riveduto e scorretto / Dario Fo ; testo a cura di Franca Rame e Roberto Shaw ; traduzione di Franca Rame ; con la collaborazione di Giselda Palombi ; disegni e dipinti di Dario Fo con la collaborazione di Carolina Ricciulli e Alessandro Girami.</t>
  </si>
  <si>
    <t>Fo, Dario.</t>
  </si>
  <si>
    <t>Parma : U. Guanda, ©2011.</t>
  </si>
  <si>
    <t>909080372:ita</t>
  </si>
  <si>
    <t>730397624</t>
  </si>
  <si>
    <t>ocn730397624</t>
  </si>
  <si>
    <t>3103125521Q</t>
  </si>
  <si>
    <t>9788860885753</t>
  </si>
  <si>
    <t>794879981</t>
  </si>
  <si>
    <t>PQ4286 H69 2010</t>
  </si>
  <si>
    <t>0                      PQ 4286000H  69          2010</t>
  </si>
  <si>
    <t>Building a monument to Dante : Boccaccio as Dantista / Jason M. Houston.</t>
  </si>
  <si>
    <t>Houston, Jason M., 1973-</t>
  </si>
  <si>
    <t>Toronto : University of Toronto Press, 2010.</t>
  </si>
  <si>
    <t>2017-08-26</t>
  </si>
  <si>
    <t>349281307:eng</t>
  </si>
  <si>
    <t>466659617</t>
  </si>
  <si>
    <t>ocn466659617</t>
  </si>
  <si>
    <t>3103073123R</t>
  </si>
  <si>
    <t>9781442640511</t>
  </si>
  <si>
    <t>794794844</t>
  </si>
  <si>
    <t>PQ4286 R44 2018</t>
  </si>
  <si>
    <t>0                      PQ 4286000R  44          2018</t>
  </si>
  <si>
    <t>Reconsidering Boccaccio : medieval contexts and global intertexts / edited by Olivia Holmes and Dana E. Stewart.</t>
  </si>
  <si>
    <t>4798089797:eng</t>
  </si>
  <si>
    <t>1027047444</t>
  </si>
  <si>
    <t>on1027047444</t>
  </si>
  <si>
    <t>3103730548$</t>
  </si>
  <si>
    <t>9781487501785</t>
  </si>
  <si>
    <t>795052514</t>
  </si>
  <si>
    <t>PQ4287 A2 S265 2003</t>
  </si>
  <si>
    <t>0                      PQ 4287000A  2                  S  265         2003</t>
  </si>
  <si>
    <t>Le lettere sopra le dieci giornate del Decamerone di m. Giovanni Boccaccio / Francesco Sansovino ; a cura di Christina Roaf.</t>
  </si>
  <si>
    <t>Sansovino, Francesco, 1521-1586.</t>
  </si>
  <si>
    <t>Bologna : Commissione per i testi di lingua, 2003.</t>
  </si>
  <si>
    <t>Collezione di opere inedite o rare ; 158</t>
  </si>
  <si>
    <t>2019-11-01</t>
  </si>
  <si>
    <t>10177848311:ita</t>
  </si>
  <si>
    <t>52693922</t>
  </si>
  <si>
    <t>ocm52693922</t>
  </si>
  <si>
    <t>3102321922P</t>
  </si>
  <si>
    <t>793811987</t>
  </si>
  <si>
    <t>PQ4287 B625 2017</t>
  </si>
  <si>
    <t>0                      PQ 4287000B  625         2017</t>
  </si>
  <si>
    <t>Boccaccio e la Francia = Boccace et la France / a cura di Philippe Guérin e Anne Robin.</t>
  </si>
  <si>
    <t>Firenze : Franco Cesati editore, [2017]</t>
  </si>
  <si>
    <t>Quaderni della Rassegna ; 130</t>
  </si>
  <si>
    <t>4508976346:ita</t>
  </si>
  <si>
    <t>999377027</t>
  </si>
  <si>
    <t>ocn999377027</t>
  </si>
  <si>
    <t>3103718262Q</t>
  </si>
  <si>
    <t>9788876676543</t>
  </si>
  <si>
    <t>795039889</t>
  </si>
  <si>
    <t>PQ4287 B63 2013</t>
  </si>
  <si>
    <t>0                      PQ 4287000B  63          2013</t>
  </si>
  <si>
    <t>Boccaccio e lo spettacolo della parola : il Decameron dalla scrittura alla scena / a cura di Raffaele Girardi.</t>
  </si>
  <si>
    <t>Bari : Edizioni di Pagina, 2013.</t>
  </si>
  <si>
    <t>Duepunti ; 26</t>
  </si>
  <si>
    <t>1348029785:ita</t>
  </si>
  <si>
    <t>841181391</t>
  </si>
  <si>
    <t>ocn841181391</t>
  </si>
  <si>
    <t>3103126228V</t>
  </si>
  <si>
    <t>9788874702428</t>
  </si>
  <si>
    <t>794946562</t>
  </si>
  <si>
    <t>PQ4287 C7</t>
  </si>
  <si>
    <t>0                      PQ 4287000C  7</t>
  </si>
  <si>
    <t>Critical perspectives on the Decameron / edited by Robert S. Dombroski.</t>
  </si>
  <si>
    <t>London : Hodder and Stoughton, 1976.</t>
  </si>
  <si>
    <t>54177926:eng</t>
  </si>
  <si>
    <t>3185700</t>
  </si>
  <si>
    <t>ocm03185700</t>
  </si>
  <si>
    <t>3103020969W</t>
  </si>
  <si>
    <t>9780340161517</t>
  </si>
  <si>
    <t>792226948</t>
  </si>
  <si>
    <t>PQ4287 C877 2007</t>
  </si>
  <si>
    <t>0                      PQ 4287000C  877         2007</t>
  </si>
  <si>
    <t>Il Decameron : scritture, scriventi, lettori : storia di un testo / Marco Cursi.</t>
  </si>
  <si>
    <t>Cursi, Marco.</t>
  </si>
  <si>
    <t>Roma : Viella, 2007.</t>
  </si>
  <si>
    <t>Scritture e libri del Medioevo ; 5</t>
  </si>
  <si>
    <t>2018-01-06</t>
  </si>
  <si>
    <t>113648522:ita</t>
  </si>
  <si>
    <t>170906319</t>
  </si>
  <si>
    <t>ocn170906319</t>
  </si>
  <si>
    <t>3102833168Z</t>
  </si>
  <si>
    <t>9788883342561</t>
  </si>
  <si>
    <t>794263513</t>
  </si>
  <si>
    <t>PQ4287 D4255 2014</t>
  </si>
  <si>
    <t>0                      PQ 4287000D  4255        2014</t>
  </si>
  <si>
    <t>The Decameron third day in perspective / edited by Francesco Ciabattoni and Pier Massimo Forni.</t>
  </si>
  <si>
    <t>Toronto ; Buffalo : University of Toronto Press, [2014]</t>
  </si>
  <si>
    <t>1867413516:eng</t>
  </si>
  <si>
    <t>865495407</t>
  </si>
  <si>
    <t>ocn865495407</t>
  </si>
  <si>
    <t>3103494434F</t>
  </si>
  <si>
    <t>9781442648241</t>
  </si>
  <si>
    <t>794963048</t>
  </si>
  <si>
    <t>PQ4287 F85 2011</t>
  </si>
  <si>
    <t>0                      PQ 4287000F  85          2011</t>
  </si>
  <si>
    <t>An etymological dictionary for reading Boccaccio's Decameron / Osamu Fukushima.</t>
  </si>
  <si>
    <t>Firenze : F. Cesati, 2011-2013.</t>
  </si>
  <si>
    <t>Filologia e ordinatori ; 14-15, 17</t>
  </si>
  <si>
    <t>3375786886:eng</t>
  </si>
  <si>
    <t>768397413</t>
  </si>
  <si>
    <t>ocn768397413</t>
  </si>
  <si>
    <t>3103125619P</t>
  </si>
  <si>
    <t>9788876674228</t>
  </si>
  <si>
    <t>794902291</t>
  </si>
  <si>
    <t>3103125909I</t>
  </si>
  <si>
    <t>794902290</t>
  </si>
  <si>
    <t>PQ4287 G54 2014</t>
  </si>
  <si>
    <t>0                      PQ 4287000G  54          2014</t>
  </si>
  <si>
    <t>Giovanni Boccaccio--tradizione, interpretazione e fortuna : in ricordo di Vittore Branca / a cura di Antonio Ferracin e Matteo Venier.</t>
  </si>
  <si>
    <t>Udine : Forum, 2014.</t>
  </si>
  <si>
    <t>Libri e biblioteche ; 33</t>
  </si>
  <si>
    <t>2245543409:ita</t>
  </si>
  <si>
    <t>893894412</t>
  </si>
  <si>
    <t>ocn893894412</t>
  </si>
  <si>
    <t>3103199090D</t>
  </si>
  <si>
    <t>9788884208491</t>
  </si>
  <si>
    <t>794982089</t>
  </si>
  <si>
    <t>PQ4287 G545 2017</t>
  </si>
  <si>
    <t>0                      PQ 4287000G  545         2017</t>
  </si>
  <si>
    <t>Il tempo del mondo volto in novella : per una lettura del "Decameron" / Raffaele Girardi.</t>
  </si>
  <si>
    <t>Girardi, Raffaele, 1950- author.</t>
  </si>
  <si>
    <t>Biblioteca di cultura ; 751</t>
  </si>
  <si>
    <t>4723493345:ita</t>
  </si>
  <si>
    <t>1019746917</t>
  </si>
  <si>
    <t>on1019746917</t>
  </si>
  <si>
    <t>31037212100</t>
  </si>
  <si>
    <t>9788868970895</t>
  </si>
  <si>
    <t>795049422</t>
  </si>
  <si>
    <t>PQ4287 H65 1997</t>
  </si>
  <si>
    <t>0                      PQ 4287000H  65          1997</t>
  </si>
  <si>
    <t>Boccaccio's Dante and the shaping force of satire / Robert Hollander.</t>
  </si>
  <si>
    <t>Hollander, Robert, 1933-</t>
  </si>
  <si>
    <t>Ann Arbor : University of Michigan Press, ©1997.</t>
  </si>
  <si>
    <t>2019-11-05</t>
  </si>
  <si>
    <t>551807:eng</t>
  </si>
  <si>
    <t>36178538</t>
  </si>
  <si>
    <t>ocm36178538</t>
  </si>
  <si>
    <t>3101803014B</t>
  </si>
  <si>
    <t>9780472107674</t>
  </si>
  <si>
    <t>793468349</t>
  </si>
  <si>
    <t>PQ4287 P67 1982</t>
  </si>
  <si>
    <t>0                      PQ 4287000P  67          1982</t>
  </si>
  <si>
    <t>Five frames for the Decameron : communication and social systems in the cornice / Joy Hambuechen Potter.</t>
  </si>
  <si>
    <t>Potter, Joy Hambuechen.</t>
  </si>
  <si>
    <t>Princeton, N.J. : Princeton University Press, ©1982.</t>
  </si>
  <si>
    <t>442008:eng</t>
  </si>
  <si>
    <t>7946780</t>
  </si>
  <si>
    <t>ocm07946780</t>
  </si>
  <si>
    <t>3103225025Z</t>
  </si>
  <si>
    <t>9780691641911</t>
  </si>
  <si>
    <t>792588813</t>
  </si>
  <si>
    <t>PQ4291 A3 W7 2011</t>
  </si>
  <si>
    <t>0                      PQ 4291000A  3                  W  7           2011</t>
  </si>
  <si>
    <t>Le donne al potere e altre interpretazioni : Boccaccio e Ariosto / Giorgio Bárberi Squarotti.</t>
  </si>
  <si>
    <t>Bàrberi Squarotti, Giorgio.</t>
  </si>
  <si>
    <t>[San Cesario di Lecce] : Manni, 2011.</t>
  </si>
  <si>
    <t>Studi ; 151</t>
  </si>
  <si>
    <t>1055727077:ita</t>
  </si>
  <si>
    <t>764478381</t>
  </si>
  <si>
    <t>ocn764478381</t>
  </si>
  <si>
    <t>3103125639L</t>
  </si>
  <si>
    <t>9788862663823</t>
  </si>
  <si>
    <t>794900491</t>
  </si>
  <si>
    <t>PQ4293 D74 G56 2014</t>
  </si>
  <si>
    <t>0                      PQ 4293000D  74                 G  56          2014</t>
  </si>
  <si>
    <t>Il poema onirico : Boccaccio e Chaucer / Roberta Giordano.</t>
  </si>
  <si>
    <t>Giordano, Roberta, author.</t>
  </si>
  <si>
    <t>Biblioteca di sinestesie ; 24</t>
  </si>
  <si>
    <t>2760458224:ita</t>
  </si>
  <si>
    <t>914471143</t>
  </si>
  <si>
    <t>ocn914471143</t>
  </si>
  <si>
    <t>3103630027Y</t>
  </si>
  <si>
    <t>9788898169702</t>
  </si>
  <si>
    <t>795000246</t>
  </si>
  <si>
    <t>PQ4293 F75 S54 2011</t>
  </si>
  <si>
    <t>0                      PQ 4293000F  75                 S  54          2011</t>
  </si>
  <si>
    <t>The governance of friendship : law and gender in the Decameron / Michael Sherberg.</t>
  </si>
  <si>
    <t>Sherberg, Michael.</t>
  </si>
  <si>
    <t>Columbus : Ohio State University Press, ©2011.</t>
  </si>
  <si>
    <t>2014-08-06</t>
  </si>
  <si>
    <t>766372396:eng</t>
  </si>
  <si>
    <t>692288619</t>
  </si>
  <si>
    <t>ocn692288619</t>
  </si>
  <si>
    <t>3103364660O</t>
  </si>
  <si>
    <t>9780814211557</t>
  </si>
  <si>
    <t>794856106</t>
  </si>
  <si>
    <t>PQ4293 G46 B63 2010</t>
  </si>
  <si>
    <t>0                      PQ 4293000G  46                 B  63          2010</t>
  </si>
  <si>
    <t>Boccaccio geografo : un viaggio nel Mediterraneo tra le città, i giardini e-- il "mondo" di Giovanni Boccaccio / a cura di Roberta Morosini ; con la collaborazione di Andrea Cantile.</t>
  </si>
  <si>
    <t>Firenze : M. Pagliai, ©2010.</t>
  </si>
  <si>
    <t>Storie del mondo ; 4</t>
  </si>
  <si>
    <t>796723187:ita</t>
  </si>
  <si>
    <t>658004086</t>
  </si>
  <si>
    <t>ocn658004086</t>
  </si>
  <si>
    <t>31035567734</t>
  </si>
  <si>
    <t>9788856401028</t>
  </si>
  <si>
    <t>794835797</t>
  </si>
  <si>
    <t>PQ4293 H5 O47 2014</t>
  </si>
  <si>
    <t>0                      PQ 4293000H  5                  O  47          2014</t>
  </si>
  <si>
    <t>Courtesy lost : Dante, Boccaccio, and the literature of history / Kristina M. Olson.</t>
  </si>
  <si>
    <t>Olson, Kristina M., 1976- author.</t>
  </si>
  <si>
    <t>2068668752:eng</t>
  </si>
  <si>
    <t>880237262</t>
  </si>
  <si>
    <t>ocn880237262</t>
  </si>
  <si>
    <t>3103495168E</t>
  </si>
  <si>
    <t>9781442647077</t>
  </si>
  <si>
    <t>794972757</t>
  </si>
  <si>
    <t>PQ4293 L2 G58 2008</t>
  </si>
  <si>
    <t>0                      PQ 4293000L  2                  G  58          2008</t>
  </si>
  <si>
    <t>Boccaccio's naked muse : eros, culture, and the mythopoeic imagination / Tobias Foster Gittes.</t>
  </si>
  <si>
    <t>Gittes, Tobias Foster.</t>
  </si>
  <si>
    <t>Toronto : University of Toronto Press, ©2008.</t>
  </si>
  <si>
    <t>[Toronto Italian studies]</t>
  </si>
  <si>
    <t>2017-03-24</t>
  </si>
  <si>
    <t>866154877:eng</t>
  </si>
  <si>
    <t>174138503</t>
  </si>
  <si>
    <t>ocn174138503</t>
  </si>
  <si>
    <t>3102705990I</t>
  </si>
  <si>
    <t>9780802092045</t>
  </si>
  <si>
    <t>794273598</t>
  </si>
  <si>
    <t>PQ4293 P4 M54 2015</t>
  </si>
  <si>
    <t>0                      PQ 4293000P  4                  M  54          2015</t>
  </si>
  <si>
    <t>The ethical dimension of the Decameron / Marilyn Migiel.</t>
  </si>
  <si>
    <t>Migiel, Marilyn, 1954- author.</t>
  </si>
  <si>
    <t>2620204705:eng</t>
  </si>
  <si>
    <t>910775772</t>
  </si>
  <si>
    <t>ocn910775772</t>
  </si>
  <si>
    <t>3103645064Y</t>
  </si>
  <si>
    <t>9781442631885</t>
  </si>
  <si>
    <t>794996460</t>
  </si>
  <si>
    <t>PQ4294 B63 2013</t>
  </si>
  <si>
    <t>0                      PQ 4294000B  63          2013</t>
  </si>
  <si>
    <t>Boccaccio : a critical guide to the complete works / edited by Victoria Kirkham, Michael Sherberg, and Janet Levarie Smarr.</t>
  </si>
  <si>
    <t>Chicago ; London : The University of Chicago Press, [2013]</t>
  </si>
  <si>
    <t>1403319631:eng</t>
  </si>
  <si>
    <t>851175501</t>
  </si>
  <si>
    <t>ocn851175501</t>
  </si>
  <si>
    <t>3103566603G</t>
  </si>
  <si>
    <t>9780226079189</t>
  </si>
  <si>
    <t>794950740</t>
  </si>
  <si>
    <t>PQ4294 C34 2015</t>
  </si>
  <si>
    <t>0                      PQ 4294000C  34          2015</t>
  </si>
  <si>
    <t>The Cambridge Companion to Boccaccio / edited by Guyda Armstrong, Rhiannon Daniels, and Stephen J. Milner.</t>
  </si>
  <si>
    <t>Cambridge, United Kingdom : Cambridge University Press, 2015.</t>
  </si>
  <si>
    <t>Cambridge companions</t>
  </si>
  <si>
    <t>2018-09-03</t>
  </si>
  <si>
    <t>2252111044:eng</t>
  </si>
  <si>
    <t>898558742</t>
  </si>
  <si>
    <t>ocn898558742</t>
  </si>
  <si>
    <t>3103607723Y</t>
  </si>
  <si>
    <t>9781107014350</t>
  </si>
  <si>
    <t>794986481</t>
  </si>
  <si>
    <t>PQ4294 G78 2012</t>
  </si>
  <si>
    <t>0                      PQ 4294000G  78          2012</t>
  </si>
  <si>
    <t>Boccaccio's Decameron and the Ciceronian Renaissance / Michaela Paasche Grudin and Robert Grudin.</t>
  </si>
  <si>
    <t>Grudin, Michaela Paasche, 1941-</t>
  </si>
  <si>
    <t>New York : Palgrave Macmillan, 2012.</t>
  </si>
  <si>
    <t>The New Middle Ages</t>
  </si>
  <si>
    <t>2014-11-18</t>
  </si>
  <si>
    <t>1088898196:eng</t>
  </si>
  <si>
    <t>761850447</t>
  </si>
  <si>
    <t>ocn761850447</t>
  </si>
  <si>
    <t>3103430149V</t>
  </si>
  <si>
    <t>9780230341128</t>
  </si>
  <si>
    <t>794899634</t>
  </si>
  <si>
    <t>PQ4294 K84 2005</t>
  </si>
  <si>
    <t>0                      PQ 4294000K  84          2005</t>
  </si>
  <si>
    <t>Decameron and the philosophy of storytelling : author as midwife and pimp / Richard Kuhns.</t>
  </si>
  <si>
    <t>Kuhns, Richard, 1924-2010.</t>
  </si>
  <si>
    <t>New York : Columbia University Press, ©2005.</t>
  </si>
  <si>
    <t>2019-03-13</t>
  </si>
  <si>
    <t>794165135:eng</t>
  </si>
  <si>
    <t>56880015</t>
  </si>
  <si>
    <t>ocm56880015</t>
  </si>
  <si>
    <t>3102482700W</t>
  </si>
  <si>
    <t>9780231136082</t>
  </si>
  <si>
    <t>793903271</t>
  </si>
  <si>
    <t>PQ4295.2 F85 2010</t>
  </si>
  <si>
    <t>0                      PQ 4295200F  85          2010</t>
  </si>
  <si>
    <t>An etymological dictionary for reading Boccaccio's Trattatello in Laude di Dante / Osamu Fukushima.</t>
  </si>
  <si>
    <t>Firenze : F. Cesati, 2010.</t>
  </si>
  <si>
    <t>Filologia e ordinatori ; 10</t>
  </si>
  <si>
    <t>525781118:eng</t>
  </si>
  <si>
    <t>649314291</t>
  </si>
  <si>
    <t>ocn649314291</t>
  </si>
  <si>
    <t>3103350389D</t>
  </si>
  <si>
    <t>9788876673894</t>
  </si>
  <si>
    <t>794831677</t>
  </si>
  <si>
    <t>PQ4299 C2 A23 1983</t>
  </si>
  <si>
    <t>0                      PQ 4299000C  2                  A  23          1983</t>
  </si>
  <si>
    <t>Pound's Cavalcanti : an edition of the translations, notes, and essays / by David Anderson.</t>
  </si>
  <si>
    <t>Cavalcanti, Guido, -1300.</t>
  </si>
  <si>
    <t>Princeton, N.J. : Princeton University Press, ©1983.</t>
  </si>
  <si>
    <t>2016-01-12</t>
  </si>
  <si>
    <t>502093116:eng</t>
  </si>
  <si>
    <t>9153603</t>
  </si>
  <si>
    <t>ocm09153603</t>
  </si>
  <si>
    <t>3000344583X</t>
  </si>
  <si>
    <t>9780691065199</t>
  </si>
  <si>
    <t>792659891</t>
  </si>
  <si>
    <t>PQ4299 C2 A27 2012</t>
  </si>
  <si>
    <t>0                      PQ 4299000C  2                  A  27          2012</t>
  </si>
  <si>
    <t>The metabolism of desire : the poetry of Guido Cavalcanti / translated by David R. Slavitt.</t>
  </si>
  <si>
    <t>Edmonton : AU Press, c2012.</t>
  </si>
  <si>
    <t>A volume in Mingling voices, 1917-9405</t>
  </si>
  <si>
    <t>2044852346:eng</t>
  </si>
  <si>
    <t>775060681</t>
  </si>
  <si>
    <t>ocn775060681</t>
  </si>
  <si>
    <t>3103402723O</t>
  </si>
  <si>
    <t>9781926836843</t>
  </si>
  <si>
    <t>794907215</t>
  </si>
  <si>
    <t>PQ4299 C2 A87 2006</t>
  </si>
  <si>
    <t>0                      PQ 4299000C  2                  A  87          2006</t>
  </si>
  <si>
    <t>Guido Cavalcanti : l'altro Medioevo / Maria Luisa Ardizzone.</t>
  </si>
  <si>
    <t>Ardizzone, Maria Luisa.</t>
  </si>
  <si>
    <t>Fiesole (Firenze) : Cadmo, ©2006.</t>
  </si>
  <si>
    <t>2017-11-08</t>
  </si>
  <si>
    <t>287725462:ita</t>
  </si>
  <si>
    <t>66373260</t>
  </si>
  <si>
    <t>ocm66373260</t>
  </si>
  <si>
    <t>31026569387</t>
  </si>
  <si>
    <t>9788879233361</t>
  </si>
  <si>
    <t>794138884</t>
  </si>
  <si>
    <t>PQ4299 C2 G34 1997</t>
  </si>
  <si>
    <t>0                      PQ 4299000C  2                  G  34          1997</t>
  </si>
  <si>
    <t>Guido Cavalcanti e Dante : una questione d'amore / Antonio Gagliardi.</t>
  </si>
  <si>
    <t>Gagliardi, Antonio.</t>
  </si>
  <si>
    <t>Catanzaro : Pullano, 1997.</t>
  </si>
  <si>
    <t>Laboratorio umanistico ; 6</t>
  </si>
  <si>
    <t>2017-09-21</t>
  </si>
  <si>
    <t>365381741:ita</t>
  </si>
  <si>
    <t>38312628</t>
  </si>
  <si>
    <t>ocm38312628</t>
  </si>
  <si>
    <t>3101874550E</t>
  </si>
  <si>
    <t>793521964</t>
  </si>
  <si>
    <t>PQ4299 C2 G343 2001</t>
  </si>
  <si>
    <t>0                      PQ 4299000C  2                  G  343         2001</t>
  </si>
  <si>
    <t>Guido Cavalcanti : poesia e filosofia / Antonio Gagliardi.</t>
  </si>
  <si>
    <t>Alessandria : Edizioni dell'Orso, 2001.</t>
  </si>
  <si>
    <t>Studi e ricerche ; 33</t>
  </si>
  <si>
    <t>38556066:ita</t>
  </si>
  <si>
    <t>428069936</t>
  </si>
  <si>
    <t>ocn428069936</t>
  </si>
  <si>
    <t>3102249867L</t>
  </si>
  <si>
    <t>9788876945526</t>
  </si>
  <si>
    <t>794762517</t>
  </si>
  <si>
    <t>PQ4299 C2 G44 2010</t>
  </si>
  <si>
    <t>0                      PQ 4299000C  2                  G  44          2010</t>
  </si>
  <si>
    <t>L'ombra di Cavalcanti e Dante / Noemi Ghetti ; premessa di Roberto Antonelli.</t>
  </si>
  <si>
    <t>Ghetti, Noemi.</t>
  </si>
  <si>
    <t>Roma : L'asino d'oro, ©2010.</t>
  </si>
  <si>
    <t>836163703:ita</t>
  </si>
  <si>
    <t>707959775</t>
  </si>
  <si>
    <t>ocn707959775</t>
  </si>
  <si>
    <t>3103125320W</t>
  </si>
  <si>
    <t>9788864430546</t>
  </si>
  <si>
    <t>794868308</t>
  </si>
  <si>
    <t>PQ4299 C2 G67 2009</t>
  </si>
  <si>
    <t>0                      PQ 4299000C  2                  G  67          2009</t>
  </si>
  <si>
    <t>Guido Cavalcanti : Dante e il suo primo amico / Guglielmo Gorni.</t>
  </si>
  <si>
    <t>Gorni, Guglielmo.</t>
  </si>
  <si>
    <t>Roma : Aracne, 2009.</t>
  </si>
  <si>
    <t>Dantesca ; 1</t>
  </si>
  <si>
    <t>836226280:ita</t>
  </si>
  <si>
    <t>449490357</t>
  </si>
  <si>
    <t>ocn449490357</t>
  </si>
  <si>
    <t>3103124906M</t>
  </si>
  <si>
    <t>9788854825277</t>
  </si>
  <si>
    <t>794787372</t>
  </si>
  <si>
    <t>PQ4299 C2 G85 2003</t>
  </si>
  <si>
    <t>0                      PQ 4299000C  2                  G  85          2003</t>
  </si>
  <si>
    <t>Guido Cavalcanti tra i suoi lettori / a cura di Maria Luisa Ardizzone.</t>
  </si>
  <si>
    <t>Fiesole (Firenze) : Cadmo, ©2003.</t>
  </si>
  <si>
    <t>351478214:ita</t>
  </si>
  <si>
    <t>53450544</t>
  </si>
  <si>
    <t>ocm53450544</t>
  </si>
  <si>
    <t>3102339698K</t>
  </si>
  <si>
    <t>9788879232920</t>
  </si>
  <si>
    <t>793828653</t>
  </si>
  <si>
    <t>PQ4299 C2 Z65 1999</t>
  </si>
  <si>
    <t>0                      PQ 4299000C  2                  Z  65          1999</t>
  </si>
  <si>
    <t>La Canzone d'amore di Guido Cavalcanti e i suoi antichi commenti / [a cura di] Enrico Fenzi.</t>
  </si>
  <si>
    <t>Genova : Il melangolo, ©1999.</t>
  </si>
  <si>
    <t>Opuscula ; 95</t>
  </si>
  <si>
    <t>2017-02-27</t>
  </si>
  <si>
    <t>10076247598:ita</t>
  </si>
  <si>
    <t>42942363</t>
  </si>
  <si>
    <t>ocm42942363</t>
  </si>
  <si>
    <t>31020477487</t>
  </si>
  <si>
    <t>9788870183887</t>
  </si>
  <si>
    <t>793617668</t>
  </si>
  <si>
    <t>PQ4299 C2 2010</t>
  </si>
  <si>
    <t>0                      PQ 4299000C  2           2010</t>
  </si>
  <si>
    <t>Complete poems / Guido Cavalcanti ; translated by Anthony Mortimer.</t>
  </si>
  <si>
    <t>Richmond : Oneworld Classics, 2010.</t>
  </si>
  <si>
    <t>2019-08-08</t>
  </si>
  <si>
    <t>892417384:eng</t>
  </si>
  <si>
    <t>467773370</t>
  </si>
  <si>
    <t>ocn467773370</t>
  </si>
  <si>
    <t>3103133699C</t>
  </si>
  <si>
    <t>9781847491404</t>
  </si>
  <si>
    <t>794795165</t>
  </si>
  <si>
    <t>PQ4299 C2 2011</t>
  </si>
  <si>
    <t>0                      PQ 4299000C  2           2011</t>
  </si>
  <si>
    <t>Rime / Guido Cavalcanti ; Rime d'amore e di corrispondenza revisione del testo e commento di Roberto Rea ; Donna me prega, revisione del testo e commento di Giorgio Inglese.</t>
  </si>
  <si>
    <t>Classici ; 11</t>
  </si>
  <si>
    <t>4535620033:ita</t>
  </si>
  <si>
    <t>733562127</t>
  </si>
  <si>
    <t>ocn733562127</t>
  </si>
  <si>
    <t>3103125446P</t>
  </si>
  <si>
    <t>9788843057979</t>
  </si>
  <si>
    <t>794882135</t>
  </si>
  <si>
    <t>PQ4299 C4 C636 2011</t>
  </si>
  <si>
    <t>0                      PQ 4299000C  4                  C  636         2011</t>
  </si>
  <si>
    <t>Rosa fresca aulentissima : il poema amoroso medievale dalla interpretazione filologica a Dario Fo / Stella Priòvolu.</t>
  </si>
  <si>
    <t>Priòvolu, Stella.</t>
  </si>
  <si>
    <t>Universale Carabba. Sezione Studi</t>
  </si>
  <si>
    <t>918126848:ita</t>
  </si>
  <si>
    <t>733222599</t>
  </si>
  <si>
    <t>ocn733222599</t>
  </si>
  <si>
    <t>3103125471J</t>
  </si>
  <si>
    <t>9788863441628</t>
  </si>
  <si>
    <t>794881718</t>
  </si>
  <si>
    <t>PQ4300 A1 2011</t>
  </si>
  <si>
    <t>0                      PQ 4300000A  1           2011</t>
  </si>
  <si>
    <t>Opere / Dante Alighieri ; edizione diretta da Marco Santagata.</t>
  </si>
  <si>
    <t>Milano : A. Mondadori, 2011- &lt;2014&gt;</t>
  </si>
  <si>
    <t>3136433082:ita</t>
  </si>
  <si>
    <t>682881239</t>
  </si>
  <si>
    <t>ocn682881239</t>
  </si>
  <si>
    <t>3103125371M</t>
  </si>
  <si>
    <t>9788804594208</t>
  </si>
  <si>
    <t>794852929</t>
  </si>
  <si>
    <t>PQ4302 A911 2014 Suppl.</t>
  </si>
  <si>
    <t>0                      PQ 4302000A  911         2014                                        Suppl.</t>
  </si>
  <si>
    <t>Comedia di Dante con figure dipinte : l'incunabolo veneziano del 1491 nell'esemplare della Casa di Dante in Roma con postille manoscritte e figure dipinte : commentario all'edizione in fac-simile / a cura di Luca Marcozzi.</t>
  </si>
  <si>
    <t>Suppl.*</t>
  </si>
  <si>
    <t>Roma : Salerno Editrice, [2015]</t>
  </si>
  <si>
    <t>Edizione nazionale dei commenti danteschi. I commenti figurati</t>
  </si>
  <si>
    <t>3023888808:ita</t>
  </si>
  <si>
    <t>932255168</t>
  </si>
  <si>
    <t>ocn932255168</t>
  </si>
  <si>
    <t>3103661132E</t>
  </si>
  <si>
    <t>9788884029959</t>
  </si>
  <si>
    <t>795008485</t>
  </si>
  <si>
    <t>PQ4302 F61</t>
  </si>
  <si>
    <t>0                      PQ 4302000F  61</t>
  </si>
  <si>
    <t>The divine comedy / with translation and comment by John D. Sinclair.</t>
  </si>
  <si>
    <t>New York : Oxford University Press, 1977-1980.</t>
  </si>
  <si>
    <t>A Galaxy book ; GB65-67</t>
  </si>
  <si>
    <t>2015-05-24</t>
  </si>
  <si>
    <t>10177751289:eng</t>
  </si>
  <si>
    <t>6313020</t>
  </si>
  <si>
    <t>ocm06313020</t>
  </si>
  <si>
    <t>3102333441N</t>
  </si>
  <si>
    <t>9780195004120</t>
  </si>
  <si>
    <t>792490663</t>
  </si>
  <si>
    <t>3102333340Q</t>
  </si>
  <si>
    <t>792490665</t>
  </si>
  <si>
    <t>31023274884</t>
  </si>
  <si>
    <t>792490664</t>
  </si>
  <si>
    <t>PQ4302 F65b</t>
  </si>
  <si>
    <t>0                      PQ 4302000F  65b</t>
  </si>
  <si>
    <t>La Divina commedia di Dante Alighieri.</t>
  </si>
  <si>
    <t>Bologna : Zanichelli, [1965-67] ; [v. 1, 1967]</t>
  </si>
  <si>
    <t>2018-03-21</t>
  </si>
  <si>
    <t>3980069103:ita</t>
  </si>
  <si>
    <t>61590567</t>
  </si>
  <si>
    <t>ocm61590567</t>
  </si>
  <si>
    <t>3100804493D</t>
  </si>
  <si>
    <t>794029496</t>
  </si>
  <si>
    <t>30006061487</t>
  </si>
  <si>
    <t>794029498</t>
  </si>
  <si>
    <t>3100459737L</t>
  </si>
  <si>
    <t>794029497</t>
  </si>
  <si>
    <t>PQ4302 F66</t>
  </si>
  <si>
    <t>0                      PQ 4302000F  66</t>
  </si>
  <si>
    <t>La Commedia secondo l'antica vulgata / Dante Alighieri ; a cura di Giorgio Petrocchi.</t>
  </si>
  <si>
    <t>Milano : Mondadori, 1966-67.</t>
  </si>
  <si>
    <t>Opere : edizione nazionale a cura della Società dantesca italiana ; 7</t>
  </si>
  <si>
    <t>1151023018:ita</t>
  </si>
  <si>
    <t>1138742</t>
  </si>
  <si>
    <t>ocm01138742</t>
  </si>
  <si>
    <t>3100459747I</t>
  </si>
  <si>
    <t>791554990</t>
  </si>
  <si>
    <t>3100459743Q</t>
  </si>
  <si>
    <t>791554988</t>
  </si>
  <si>
    <t>3000522082Q</t>
  </si>
  <si>
    <t>791554991</t>
  </si>
  <si>
    <t>3100459745M</t>
  </si>
  <si>
    <t>791554989</t>
  </si>
  <si>
    <t>PQ4302 F72 1972</t>
  </si>
  <si>
    <t>0                      PQ 4302000F  72          1972</t>
  </si>
  <si>
    <t>La divina commedia / edited and annotated by C.H. Grandgent. Rev. by Charles S. Singleton.</t>
  </si>
  <si>
    <t>Cambridge, Mass., Harvard University Press, 1972.</t>
  </si>
  <si>
    <t>2015-11-28</t>
  </si>
  <si>
    <t>637636</t>
  </si>
  <si>
    <t>ocm00637636</t>
  </si>
  <si>
    <t>3000616740U</t>
  </si>
  <si>
    <t>9780674212909</t>
  </si>
  <si>
    <t>791434608</t>
  </si>
  <si>
    <t>PQ4302 F75c</t>
  </si>
  <si>
    <t>0                      PQ 4302000F  75c</t>
  </si>
  <si>
    <t>La Commedia secondo l'antica vulgata : Rimario / testo critico stabilito da Giorgio Petrocchi per l'edizione nazionale della Società dantesca italiana.</t>
  </si>
  <si>
    <t>Torino : Einaudi, ©1975.</t>
  </si>
  <si>
    <t>L'Officina dei classici ; 2, I</t>
  </si>
  <si>
    <t>2018-10-03</t>
  </si>
  <si>
    <t>3943684006:ita</t>
  </si>
  <si>
    <t>2456877</t>
  </si>
  <si>
    <t>ocm02456877</t>
  </si>
  <si>
    <t>30004475784</t>
  </si>
  <si>
    <t>792130239</t>
  </si>
  <si>
    <t>PQ4302 F87 1987</t>
  </si>
  <si>
    <t>0                      PQ 4302000F  87          1987</t>
  </si>
  <si>
    <t>Commedia : rimario, indice dei nomi, dei luoghi e delle cose notevoli / Dante Alighieri ; a cura di Emilio Pasquini e Antonio Quaglio.</t>
  </si>
  <si>
    <t>Milano : Garzanti, 1987.</t>
  </si>
  <si>
    <t>1987</t>
  </si>
  <si>
    <t>I Libri della spiga</t>
  </si>
  <si>
    <t>2019-03-12</t>
  </si>
  <si>
    <t>5196323328:ita</t>
  </si>
  <si>
    <t>18497276</t>
  </si>
  <si>
    <t>ocm18497276</t>
  </si>
  <si>
    <t>3102824913M</t>
  </si>
  <si>
    <t>9788811586302</t>
  </si>
  <si>
    <t>793027241</t>
  </si>
  <si>
    <t>PQ4302 F91 1991</t>
  </si>
  <si>
    <t>0                      PQ 4302000F  91          1991</t>
  </si>
  <si>
    <t>Commedia / Dante Alighieri ; con il commento di Anna Maria Chiavacci Leonardi.</t>
  </si>
  <si>
    <t>Milano : A. Mondadori, 1991-1997.</t>
  </si>
  <si>
    <t>1. ed. I Meridiani.</t>
  </si>
  <si>
    <t>25855538</t>
  </si>
  <si>
    <t>ocm25855538</t>
  </si>
  <si>
    <t>31013361092</t>
  </si>
  <si>
    <t>9788804340041</t>
  </si>
  <si>
    <t>793231578</t>
  </si>
  <si>
    <t>V.1</t>
  </si>
  <si>
    <t>3101316546T</t>
  </si>
  <si>
    <t>793231579</t>
  </si>
  <si>
    <t>31026595367</t>
  </si>
  <si>
    <t>793231577</t>
  </si>
  <si>
    <t>PQ4302 G04</t>
  </si>
  <si>
    <t>0                      PQ 4302000G  04</t>
  </si>
  <si>
    <t>La Divina commedia / Dante Alighieri ; direzione video, Roberto Ferrario.</t>
  </si>
  <si>
    <t>fasc. 23</t>
  </si>
  <si>
    <t>Novara : De Agostini, 2004-2006.</t>
  </si>
  <si>
    <t>2018-08-03</t>
  </si>
  <si>
    <t>5090395846:ita</t>
  </si>
  <si>
    <t>252564464</t>
  </si>
  <si>
    <t>ocn252564464</t>
  </si>
  <si>
    <t>3102686129I</t>
  </si>
  <si>
    <t>Video_DVD</t>
  </si>
  <si>
    <t>794388978</t>
  </si>
  <si>
    <t>fasc. 17</t>
  </si>
  <si>
    <t>3102686115K</t>
  </si>
  <si>
    <t>794388984</t>
  </si>
  <si>
    <t>fasc. 22</t>
  </si>
  <si>
    <t>3102686102M</t>
  </si>
  <si>
    <t>794388979</t>
  </si>
  <si>
    <t>fasc. 4</t>
  </si>
  <si>
    <t>3102686119K</t>
  </si>
  <si>
    <t>794388997</t>
  </si>
  <si>
    <t>fasc. 24</t>
  </si>
  <si>
    <t>3102686121I</t>
  </si>
  <si>
    <t>794388977</t>
  </si>
  <si>
    <t>fasc. 7</t>
  </si>
  <si>
    <t>3102686133G</t>
  </si>
  <si>
    <t>794388994</t>
  </si>
  <si>
    <t>fasc. 40</t>
  </si>
  <si>
    <t>3102686058F</t>
  </si>
  <si>
    <t>794388961</t>
  </si>
  <si>
    <t>fasc. 35</t>
  </si>
  <si>
    <t>31026860977</t>
  </si>
  <si>
    <t>794388966</t>
  </si>
  <si>
    <t>fasc. 31</t>
  </si>
  <si>
    <t>3102683509M</t>
  </si>
  <si>
    <t>794388970</t>
  </si>
  <si>
    <t>fasc. 6</t>
  </si>
  <si>
    <t>3102686109M</t>
  </si>
  <si>
    <t>794388995</t>
  </si>
  <si>
    <t>fasc. 39</t>
  </si>
  <si>
    <t>3102686057F</t>
  </si>
  <si>
    <t>794388962</t>
  </si>
  <si>
    <t>fasc. 12</t>
  </si>
  <si>
    <t>3102686116K</t>
  </si>
  <si>
    <t>794388989</t>
  </si>
  <si>
    <t>fasc. 37</t>
  </si>
  <si>
    <t>3102686131G</t>
  </si>
  <si>
    <t>794388964</t>
  </si>
  <si>
    <t>fasc. 14</t>
  </si>
  <si>
    <t>31026860997</t>
  </si>
  <si>
    <t>794388987</t>
  </si>
  <si>
    <t>fasc. 9</t>
  </si>
  <si>
    <t>3102686101M</t>
  </si>
  <si>
    <t>794388992</t>
  </si>
  <si>
    <t>fasc. 8</t>
  </si>
  <si>
    <t>31026860967</t>
  </si>
  <si>
    <t>794388993</t>
  </si>
  <si>
    <t>fasc. 32</t>
  </si>
  <si>
    <t>31026860927</t>
  </si>
  <si>
    <t>794388969</t>
  </si>
  <si>
    <t>fasc. 34</t>
  </si>
  <si>
    <t>3102686048H</t>
  </si>
  <si>
    <t>794388967</t>
  </si>
  <si>
    <t>fasc. 16</t>
  </si>
  <si>
    <t>3102686120I</t>
  </si>
  <si>
    <t>794388985</t>
  </si>
  <si>
    <t>fasc. 13</t>
  </si>
  <si>
    <t>3102686104M</t>
  </si>
  <si>
    <t>794388988</t>
  </si>
  <si>
    <t>fasc. 38</t>
  </si>
  <si>
    <t>3102686063D</t>
  </si>
  <si>
    <t>794388963</t>
  </si>
  <si>
    <t>fasc. 3</t>
  </si>
  <si>
    <t>3102686124I</t>
  </si>
  <si>
    <t>794388998</t>
  </si>
  <si>
    <t>fasc. 20</t>
  </si>
  <si>
    <t>3102686100M</t>
  </si>
  <si>
    <t>794388981</t>
  </si>
  <si>
    <t>fasc. 5</t>
  </si>
  <si>
    <t>3102686114K</t>
  </si>
  <si>
    <t>794388996</t>
  </si>
  <si>
    <t>fasc. 21</t>
  </si>
  <si>
    <t>31026860957</t>
  </si>
  <si>
    <t>794388980</t>
  </si>
  <si>
    <t>fasc. 1</t>
  </si>
  <si>
    <t>31026860987</t>
  </si>
  <si>
    <t>794389000</t>
  </si>
  <si>
    <t>fasc. 30</t>
  </si>
  <si>
    <t>3102683514K</t>
  </si>
  <si>
    <t>794388971</t>
  </si>
  <si>
    <t>fasc. 15</t>
  </si>
  <si>
    <t>31026860947</t>
  </si>
  <si>
    <t>794388986</t>
  </si>
  <si>
    <t>fasc. 29</t>
  </si>
  <si>
    <t>3102686136G</t>
  </si>
  <si>
    <t>794388972</t>
  </si>
  <si>
    <t>fasc. 27</t>
  </si>
  <si>
    <t>3102686126I</t>
  </si>
  <si>
    <t>794388974</t>
  </si>
  <si>
    <t>fasc. 28</t>
  </si>
  <si>
    <t>3102686135G</t>
  </si>
  <si>
    <t>794388973</t>
  </si>
  <si>
    <t>fasc. 18</t>
  </si>
  <si>
    <t>3102686110K</t>
  </si>
  <si>
    <t>794388983</t>
  </si>
  <si>
    <t>fasc. 36</t>
  </si>
  <si>
    <t>3102686053F</t>
  </si>
  <si>
    <t>794388965</t>
  </si>
  <si>
    <t>fasc. 2</t>
  </si>
  <si>
    <t>31026860937</t>
  </si>
  <si>
    <t>794388999</t>
  </si>
  <si>
    <t>fasc. 19</t>
  </si>
  <si>
    <t>3102686105M</t>
  </si>
  <si>
    <t>794388982</t>
  </si>
  <si>
    <t>fasc. 10</t>
  </si>
  <si>
    <t>3102686106M</t>
  </si>
  <si>
    <t>794388991</t>
  </si>
  <si>
    <t>fasc. 33</t>
  </si>
  <si>
    <t>3102683519K</t>
  </si>
  <si>
    <t>794388968</t>
  </si>
  <si>
    <t>fasc. 25</t>
  </si>
  <si>
    <t>3102686125I</t>
  </si>
  <si>
    <t>794388976</t>
  </si>
  <si>
    <t>fasc. 26</t>
  </si>
  <si>
    <t>3102686130G</t>
  </si>
  <si>
    <t>794388975</t>
  </si>
  <si>
    <t>fasc. 11</t>
  </si>
  <si>
    <t>3102686111K</t>
  </si>
  <si>
    <t>794388990</t>
  </si>
  <si>
    <t>PQ4302 G07 2007</t>
  </si>
  <si>
    <t>0                      PQ 4302000G  07          2007</t>
  </si>
  <si>
    <t>La divina commedia / Dante Alighieri ; commento di Anna Maria Chiavacci Leonardi.</t>
  </si>
  <si>
    <t>Milano : Oscar Mondadori, 2007.</t>
  </si>
  <si>
    <t>Oscar grandi classici ; 117</t>
  </si>
  <si>
    <t>2019-10-10</t>
  </si>
  <si>
    <t>180013870</t>
  </si>
  <si>
    <t>ocn180013870</t>
  </si>
  <si>
    <t>3103150880A</t>
  </si>
  <si>
    <t>9788804571940</t>
  </si>
  <si>
    <t>794279414</t>
  </si>
  <si>
    <t>3103150885A</t>
  </si>
  <si>
    <t>794279415</t>
  </si>
  <si>
    <t>31031508958</t>
  </si>
  <si>
    <t>794279417</t>
  </si>
  <si>
    <t>31031508908</t>
  </si>
  <si>
    <t>794279416</t>
  </si>
  <si>
    <t>PQ4302 G12 2012</t>
  </si>
  <si>
    <t>0                      PQ 4302000G  12          2012</t>
  </si>
  <si>
    <t>Chiose alla Commedia / Andrea Lancia ; a cura di Luca Azzetta.</t>
  </si>
  <si>
    <t>v. 2</t>
  </si>
  <si>
    <t>Lancia, Andrea, approximately 1280-approximately 1360.</t>
  </si>
  <si>
    <t>Roma : Salerno Editrice, [2012]</t>
  </si>
  <si>
    <t>Edizione nazionale dei commenti danteschi ; 9</t>
  </si>
  <si>
    <t>1149505222:ita</t>
  </si>
  <si>
    <t>805052948</t>
  </si>
  <si>
    <t>ocn805052948</t>
  </si>
  <si>
    <t>31031258825</t>
  </si>
  <si>
    <t>9788884027450</t>
  </si>
  <si>
    <t>794926162</t>
  </si>
  <si>
    <t>31031258815</t>
  </si>
  <si>
    <t>794926163</t>
  </si>
  <si>
    <t>PQ4305 A1 1882</t>
  </si>
  <si>
    <t>0                      PQ 4305000A  1           1882</t>
  </si>
  <si>
    <t>Divine comedy, the Inferno : a literal prose translation, with text and explanatory notes.</t>
  </si>
  <si>
    <t>London : [publisher not identified], 1882.</t>
  </si>
  <si>
    <t>1882</t>
  </si>
  <si>
    <t>2nd ed.</t>
  </si>
  <si>
    <t>Bohn's collegiate series</t>
  </si>
  <si>
    <t>2017-12-08</t>
  </si>
  <si>
    <t>3770491779:eng</t>
  </si>
  <si>
    <t>61606526</t>
  </si>
  <si>
    <t>ocm61606526</t>
  </si>
  <si>
    <t>3102925996X</t>
  </si>
  <si>
    <t>794045084</t>
  </si>
  <si>
    <t>PQ4305 A1 1933</t>
  </si>
  <si>
    <t>0                      PQ 4305000A  1           1933</t>
  </si>
  <si>
    <t>Dante's Inferno, with a translation into English triple rhyme by Laurence Binyon.</t>
  </si>
  <si>
    <t>London, Macmillan and Co., 1933.</t>
  </si>
  <si>
    <t>1933</t>
  </si>
  <si>
    <t>4535642234:eng</t>
  </si>
  <si>
    <t>2094694</t>
  </si>
  <si>
    <t>ocm02094694</t>
  </si>
  <si>
    <t>3000754585W</t>
  </si>
  <si>
    <t>792044934</t>
  </si>
  <si>
    <t>PQ4305 A1 1971</t>
  </si>
  <si>
    <t>0                      PQ 4305000A  1           1971</t>
  </si>
  <si>
    <t>The divine comedy. Translated, with a commentary, by Charles S. Singleton.</t>
  </si>
  <si>
    <t>London, Routledge and K. Paul, 1971-</t>
  </si>
  <si>
    <t>Bollingen series, 80</t>
  </si>
  <si>
    <t>9621722569:eng</t>
  </si>
  <si>
    <t>3242111</t>
  </si>
  <si>
    <t>ocm03242111</t>
  </si>
  <si>
    <t>3102171515Z</t>
  </si>
  <si>
    <t>792233978</t>
  </si>
  <si>
    <t>Inferno. Translated with a commentary, by Charles S. Singleton.</t>
  </si>
  <si>
    <t>London, Routledge and K. Paul, 1971.</t>
  </si>
  <si>
    <t>His The divine comedy [1]</t>
  </si>
  <si>
    <t>2016-02-29</t>
  </si>
  <si>
    <t>10141847408:eng</t>
  </si>
  <si>
    <t>2656376</t>
  </si>
  <si>
    <t>ocm02656376</t>
  </si>
  <si>
    <t>3100254716V</t>
  </si>
  <si>
    <t>9780710069962</t>
  </si>
  <si>
    <t>792158799</t>
  </si>
  <si>
    <t>3000616751P</t>
  </si>
  <si>
    <t>792158798</t>
  </si>
  <si>
    <t>Inferno / translated, with a commentary, by Charles S. Singleton.</t>
  </si>
  <si>
    <t>Princeton, N.J. : Princeton University Press, 1977, ©1970.</t>
  </si>
  <si>
    <t>The divine comedy of Dante Alighieri ; pt. 1</t>
  </si>
  <si>
    <t>2017-05-17</t>
  </si>
  <si>
    <t>8960611013:eng</t>
  </si>
  <si>
    <t>8081209</t>
  </si>
  <si>
    <t>ocm08081209</t>
  </si>
  <si>
    <t>3103679645D</t>
  </si>
  <si>
    <t>9780691098555</t>
  </si>
  <si>
    <t>792597236</t>
  </si>
  <si>
    <t>PQ4305 A1 1971b</t>
  </si>
  <si>
    <t>0                      PQ 4305000A  1           1971b</t>
  </si>
  <si>
    <t>Princeton, N.J. : Princeton University Press, 1970.</t>
  </si>
  <si>
    <t>2015-12-04</t>
  </si>
  <si>
    <t>20812355</t>
  </si>
  <si>
    <t>ocm20812355</t>
  </si>
  <si>
    <t>3000152291R</t>
  </si>
  <si>
    <t>793099602</t>
  </si>
  <si>
    <t>PQ4305 A1 1977</t>
  </si>
  <si>
    <t>0                      PQ 4305000A  1           1977</t>
  </si>
  <si>
    <t>2010-08-29</t>
  </si>
  <si>
    <t>31032920566</t>
  </si>
  <si>
    <t>792597237</t>
  </si>
  <si>
    <t>3000153849Y</t>
  </si>
  <si>
    <t>792597238</t>
  </si>
  <si>
    <t>PQ4305 A1 2003</t>
  </si>
  <si>
    <t>0                      PQ 4305000A  1           2003</t>
  </si>
  <si>
    <t>L'inferno di Dante : nuovi appunti per la lettura / [a cura di] Maria Teresa Balbiano d'Aramengo ; illustrazioni di Fabio Bodi.</t>
  </si>
  <si>
    <t>Torino : Riccadonna, 2003.</t>
  </si>
  <si>
    <t>2017-08-01</t>
  </si>
  <si>
    <t>367718234:ita</t>
  </si>
  <si>
    <t>60437113</t>
  </si>
  <si>
    <t>ocm60437113</t>
  </si>
  <si>
    <t>31025071939</t>
  </si>
  <si>
    <t>793937834</t>
  </si>
  <si>
    <t>PQ4306 A1 1973</t>
  </si>
  <si>
    <t>0                      PQ 4306000A  1           1973</t>
  </si>
  <si>
    <t>Purgatorio. Translated, with a commentary, by Charles S. Singleton.</t>
  </si>
  <si>
    <t>[Princeton, N.J.] Princeton University Press [1973]</t>
  </si>
  <si>
    <t>His The divine comedy, v. 2</t>
  </si>
  <si>
    <t>3372122748:eng</t>
  </si>
  <si>
    <t>112114</t>
  </si>
  <si>
    <t>ocm00112114</t>
  </si>
  <si>
    <t>3103387977S</t>
  </si>
  <si>
    <t>9780691098876</t>
  </si>
  <si>
    <t>791260712</t>
  </si>
  <si>
    <t>3100459760Q</t>
  </si>
  <si>
    <t>791260711</t>
  </si>
  <si>
    <t>PQ4307 A1 1931</t>
  </si>
  <si>
    <t>0                      PQ 4307000A  1           1931</t>
  </si>
  <si>
    <t>The Paradiso of Dante Alighieri.</t>
  </si>
  <si>
    <t>London : J.M. Dent and Co., 1931.</t>
  </si>
  <si>
    <t>14th ed.</t>
  </si>
  <si>
    <t>The Temple classics</t>
  </si>
  <si>
    <t>4495318466:eng</t>
  </si>
  <si>
    <t>5808835</t>
  </si>
  <si>
    <t>ocm05808835</t>
  </si>
  <si>
    <t>31036368384</t>
  </si>
  <si>
    <t>792455616</t>
  </si>
  <si>
    <t>PQ4307 A1 1975</t>
  </si>
  <si>
    <t>0                      PQ 4307000A  1           1975</t>
  </si>
  <si>
    <t>Paradiso / Dante Alighieri ; translated, with a commentary, by Charles S. Singleton.</t>
  </si>
  <si>
    <t>Princeton, N.J. : Princeton University Press, [1975]</t>
  </si>
  <si>
    <t>His The divine comedy ; v. 3</t>
  </si>
  <si>
    <t>2019-07-29</t>
  </si>
  <si>
    <t>1862550181:eng</t>
  </si>
  <si>
    <t>1337069</t>
  </si>
  <si>
    <t>ocm01337069</t>
  </si>
  <si>
    <t>31021927079</t>
  </si>
  <si>
    <t>9780691098883</t>
  </si>
  <si>
    <t>791603750</t>
  </si>
  <si>
    <t>31021927184</t>
  </si>
  <si>
    <t>791603749</t>
  </si>
  <si>
    <t>PQ4308 A1 1964</t>
  </si>
  <si>
    <t>0                      PQ 4308000A  1           1964</t>
  </si>
  <si>
    <t>Le opere minori.</t>
  </si>
  <si>
    <t>Firenze, A. Salani [1964]</t>
  </si>
  <si>
    <t>3132891475:ita</t>
  </si>
  <si>
    <t>7524797</t>
  </si>
  <si>
    <t>ocm07524797</t>
  </si>
  <si>
    <t>3000616767A</t>
  </si>
  <si>
    <t>792563395</t>
  </si>
  <si>
    <t>PQ4309 A1 1965</t>
  </si>
  <si>
    <t>0                      PQ 4309000A  1           1965</t>
  </si>
  <si>
    <t>Rime, a cura di Gianfranco Contini.</t>
  </si>
  <si>
    <t>Torino] G. Einaudi 1965 c1946.</t>
  </si>
  <si>
    <t>Nuova Universale Einaudi ; 64</t>
  </si>
  <si>
    <t>2017-04-19</t>
  </si>
  <si>
    <t>1348528:ita</t>
  </si>
  <si>
    <t>2630606</t>
  </si>
  <si>
    <t>ocm02630606</t>
  </si>
  <si>
    <t>30005245371</t>
  </si>
  <si>
    <t>792155317</t>
  </si>
  <si>
    <t>PQ4309 A1 1967</t>
  </si>
  <si>
    <t>0                      PQ 4309000A  1           1967</t>
  </si>
  <si>
    <t>Dante's lyric poetry [edited and translated from the Italian by] K. Foster and P. Boyde.</t>
  </si>
  <si>
    <t>Oxford, Clarendon Press, 1967.</t>
  </si>
  <si>
    <t>2019-07-22</t>
  </si>
  <si>
    <t>4095468375:eng</t>
  </si>
  <si>
    <t>955375</t>
  </si>
  <si>
    <t>ocm00955375</t>
  </si>
  <si>
    <t>3000522084M</t>
  </si>
  <si>
    <t>791510999</t>
  </si>
  <si>
    <t>2004-06-14</t>
  </si>
  <si>
    <t>3000245857O</t>
  </si>
  <si>
    <t>791511001</t>
  </si>
  <si>
    <t>2004-12-06</t>
  </si>
  <si>
    <t>3100804518N</t>
  </si>
  <si>
    <t>791510998</t>
  </si>
  <si>
    <t>3100147428Y</t>
  </si>
  <si>
    <t>791511000</t>
  </si>
  <si>
    <t>PQ4309 A1 2002</t>
  </si>
  <si>
    <t>0                      PQ 4309000A  1           2002</t>
  </si>
  <si>
    <t>Rime / Dante Alighieri ; a cura di Domenico De Robertis.</t>
  </si>
  <si>
    <t>v.2 pt.1</t>
  </si>
  <si>
    <t>Firenze : Le lettere, 2002.</t>
  </si>
  <si>
    <t>Le opere di Dante Alighieri / edizione nazionale a cura della Società dantesca italiana ; 2</t>
  </si>
  <si>
    <t>2017-03-03</t>
  </si>
  <si>
    <t>4663794569:ita</t>
  </si>
  <si>
    <t>427509100</t>
  </si>
  <si>
    <t>ocn427509100</t>
  </si>
  <si>
    <t>31023269039</t>
  </si>
  <si>
    <t>9788871666396</t>
  </si>
  <si>
    <t>794671365</t>
  </si>
  <si>
    <t>2017-03-02</t>
  </si>
  <si>
    <t>31023269137</t>
  </si>
  <si>
    <t>794671363</t>
  </si>
  <si>
    <t>v.1 pt.1</t>
  </si>
  <si>
    <t>31023269275</t>
  </si>
  <si>
    <t>794671367</t>
  </si>
  <si>
    <t>v.1 pt.2</t>
  </si>
  <si>
    <t>31023269225</t>
  </si>
  <si>
    <t>794671366</t>
  </si>
  <si>
    <t>v.2 pt.2</t>
  </si>
  <si>
    <t>31023269089</t>
  </si>
  <si>
    <t>794671364</t>
  </si>
  <si>
    <t>PQ4309 A4 F56 2011</t>
  </si>
  <si>
    <t>0                      PQ 4309000A  4                  F  56          2011</t>
  </si>
  <si>
    <t>Fiore ; Detto d'amore ; a cura di Paola Allegretti.</t>
  </si>
  <si>
    <t>Firenze : Le lettere, ©2011.</t>
  </si>
  <si>
    <t>Le opere di Dante Alighieri / edizione nazionale a cura della Società dantesca italiana ; 8</t>
  </si>
  <si>
    <t>8912438955:ita</t>
  </si>
  <si>
    <t>791323180</t>
  </si>
  <si>
    <t>ocn791323180</t>
  </si>
  <si>
    <t>3103437932I</t>
  </si>
  <si>
    <t>9788860874672</t>
  </si>
  <si>
    <t>794916792</t>
  </si>
  <si>
    <t>PQ4309 C66 2008</t>
  </si>
  <si>
    <t>0                      PQ 4309000C  66          2008</t>
  </si>
  <si>
    <t>Le rime di Dante : Gargnano del Garda (25-27 settembre 2008) / a cura di Claudia Berra e Paolo Borsa.</t>
  </si>
  <si>
    <t>Convegno di letteratura italiana (Gargnano, Italy) (13th : 2008 : Gargnano, Italy)</t>
  </si>
  <si>
    <t>Milano : Cisalpino, ©2010.</t>
  </si>
  <si>
    <t>Quaderni di Acme ; 117</t>
  </si>
  <si>
    <t>1008563076:ita</t>
  </si>
  <si>
    <t>669944744</t>
  </si>
  <si>
    <t>ocn669944744</t>
  </si>
  <si>
    <t>3103125297L</t>
  </si>
  <si>
    <t>9788820510008</t>
  </si>
  <si>
    <t>794847206</t>
  </si>
  <si>
    <t>PQ4309 D87 1990</t>
  </si>
  <si>
    <t>0                      PQ 4309000D  87          1990</t>
  </si>
  <si>
    <t>Time and the crystal : studies in Dante's Rime petrose / Robert M. Durling and Ronald L. Martinez.</t>
  </si>
  <si>
    <t>Durling, Robert M.</t>
  </si>
  <si>
    <t>Berkeley : University of California Press, ©1990.</t>
  </si>
  <si>
    <t>A centennial book</t>
  </si>
  <si>
    <t>2017-09-22</t>
  </si>
  <si>
    <t>808928379:eng</t>
  </si>
  <si>
    <t>20170885</t>
  </si>
  <si>
    <t>ocm20170885</t>
  </si>
  <si>
    <t>3101869409X</t>
  </si>
  <si>
    <t>9780520064881</t>
  </si>
  <si>
    <t>793079917</t>
  </si>
  <si>
    <t>PQ4310 C2 1966</t>
  </si>
  <si>
    <t>0                      PQ 4310000C  2           1966</t>
  </si>
  <si>
    <t>Il convivio. Edizione critica a cura di Maria Simonelli.</t>
  </si>
  <si>
    <t>Bologna, R. Pátron [1966]</t>
  </si>
  <si>
    <t>Testi e saggi di letterature moderne, testi ; 2</t>
  </si>
  <si>
    <t>3373434528:ita</t>
  </si>
  <si>
    <t>529934</t>
  </si>
  <si>
    <t>ocm00529934</t>
  </si>
  <si>
    <t>3000201797N</t>
  </si>
  <si>
    <t>791405034</t>
  </si>
  <si>
    <t>PQ4310 C2 1995</t>
  </si>
  <si>
    <t>0                      PQ 4310000C  2           1995</t>
  </si>
  <si>
    <t>Convivio / Dante Alighieri ; a cura di Franca Brambilla Ageno.</t>
  </si>
  <si>
    <t>v.1;t.1</t>
  </si>
  <si>
    <t>Firenze : Casa editrice le lettere, ©1995.</t>
  </si>
  <si>
    <t>Le opere di Dante Alighieri ; 3</t>
  </si>
  <si>
    <t>2002-04-05</t>
  </si>
  <si>
    <t>34491352</t>
  </si>
  <si>
    <t>ocm34491352</t>
  </si>
  <si>
    <t>3101916634R</t>
  </si>
  <si>
    <t>9788871661285</t>
  </si>
  <si>
    <t>793427964</t>
  </si>
  <si>
    <t>v.1;t.2</t>
  </si>
  <si>
    <t>3101916626Q</t>
  </si>
  <si>
    <t>793427963</t>
  </si>
  <si>
    <t>3101916630Z</t>
  </si>
  <si>
    <t>793427962</t>
  </si>
  <si>
    <t>PQ4310 C213 1990</t>
  </si>
  <si>
    <t>0                      PQ 4310000C  213         1990</t>
  </si>
  <si>
    <t>Dante's Il convivio : (The banquet) / translated by Richard H. Lansing.</t>
  </si>
  <si>
    <t>New York : Garland, 1990.</t>
  </si>
  <si>
    <t>Garland library of medieval literature ; v. 65. Series B</t>
  </si>
  <si>
    <t>2018-11-14</t>
  </si>
  <si>
    <t>4820399426:eng</t>
  </si>
  <si>
    <t>20453864</t>
  </si>
  <si>
    <t>ocm20453864</t>
  </si>
  <si>
    <t>3100987975$</t>
  </si>
  <si>
    <t>9780824057978</t>
  </si>
  <si>
    <t>793088405</t>
  </si>
  <si>
    <t>PQ4310 C4 A74 2016</t>
  </si>
  <si>
    <t>0                      PQ 4310000C  4                  A  74          2016</t>
  </si>
  <si>
    <t>Reading as the angels read : speculation and politics in Dante's Banquet / Maria Luisa Ardizzone.</t>
  </si>
  <si>
    <t>Ardizzone, Maria Luisa, author.</t>
  </si>
  <si>
    <t>Toronto ; Buffalo ; London : University of Toronto Press, [2016]</t>
  </si>
  <si>
    <t>2018-10-22</t>
  </si>
  <si>
    <t>2984992375:eng</t>
  </si>
  <si>
    <t>926248539</t>
  </si>
  <si>
    <t>ocn926248539</t>
  </si>
  <si>
    <t>3103645697W</t>
  </si>
  <si>
    <t>9781442637061</t>
  </si>
  <si>
    <t>795005410</t>
  </si>
  <si>
    <t>PQ4310 C4 C66 2015</t>
  </si>
  <si>
    <t>0                      PQ 4310000C  4                  C  66          2015</t>
  </si>
  <si>
    <t>Il Convivio di Dante / a cura di Johannes Bartuschat e Andrea Aldo Robiglio.</t>
  </si>
  <si>
    <t>Memoria del tempo ; 44</t>
  </si>
  <si>
    <t>2497294652:ita</t>
  </si>
  <si>
    <t>905552447</t>
  </si>
  <si>
    <t>ocn905552447</t>
  </si>
  <si>
    <t>31036217552</t>
  </si>
  <si>
    <t>9788880638117</t>
  </si>
  <si>
    <t>794991554</t>
  </si>
  <si>
    <t>PQ4310 C4 D76 1997</t>
  </si>
  <si>
    <t>0                      PQ 4310000C  4                  D  76          1997</t>
  </si>
  <si>
    <t>Dante's second love : the originality and the contexts of the Convivio / by Peter Dronke.</t>
  </si>
  <si>
    <t>Dronke, Peter.</t>
  </si>
  <si>
    <t>Exeter : Society for Italian Studies, 1997.</t>
  </si>
  <si>
    <t>Occasional papers / Society for Italian Studies ; no. 2</t>
  </si>
  <si>
    <t>2018-10-30</t>
  </si>
  <si>
    <t>9657350982:eng</t>
  </si>
  <si>
    <t>38014666</t>
  </si>
  <si>
    <t>ocm38014666</t>
  </si>
  <si>
    <t>3102029573I</t>
  </si>
  <si>
    <t>9780952590125</t>
  </si>
  <si>
    <t>793512885</t>
  </si>
  <si>
    <t>PQ4310 C4 E89 2015</t>
  </si>
  <si>
    <t>0                      PQ 4310000C  4                  E  89          2015</t>
  </si>
  <si>
    <t>An etymological dictionary for reading Dante's The Convivio / Osamu Fukushima.</t>
  </si>
  <si>
    <t>Filologia e ordinatori ; XXIII</t>
  </si>
  <si>
    <t>2017-08-05</t>
  </si>
  <si>
    <t>2569658823:eng</t>
  </si>
  <si>
    <t>913745374</t>
  </si>
  <si>
    <t>ocn913745374</t>
  </si>
  <si>
    <t>3103629955S</t>
  </si>
  <si>
    <t>9788876675317</t>
  </si>
  <si>
    <t>794999568</t>
  </si>
  <si>
    <t>PQ4310 C4 F35 2010</t>
  </si>
  <si>
    <t>0                      PQ 4310000C  4                  F  35          2010</t>
  </si>
  <si>
    <t>Desiderio della scienza e desiderio di Dio nel Convivio di Dante / Paolo Falzone.</t>
  </si>
  <si>
    <t>Falzone, Paolo, 1972-</t>
  </si>
  <si>
    <t>[Bologna, Italy] : Il mulino, 2010.</t>
  </si>
  <si>
    <t>Istituto italiano per gli studi storici ; 59</t>
  </si>
  <si>
    <t>2018-01-18</t>
  </si>
  <si>
    <t>770559928:ita</t>
  </si>
  <si>
    <t>697264314</t>
  </si>
  <si>
    <t>ocn697264314</t>
  </si>
  <si>
    <t>3103125278P</t>
  </si>
  <si>
    <t>9788815139931</t>
  </si>
  <si>
    <t>794859780</t>
  </si>
  <si>
    <t>PQ4310 C4 M7 2012</t>
  </si>
  <si>
    <t>0                      PQ 4310000C  4                  M  7           2012</t>
  </si>
  <si>
    <t>Saggio diviso in quattro parti dei molti e gravi errori trascorsi in tutte le edizioni del Convito di Dante / Vincenzo Monti ; edizione critica a cura di Angelo Colombo.</t>
  </si>
  <si>
    <t>Monti, Vincenzo, 1754-1828.</t>
  </si>
  <si>
    <t>Bologna : Commissione per i testi di lingua, 2012.</t>
  </si>
  <si>
    <t>Collezione di opere inedite o rare ; vol. 168</t>
  </si>
  <si>
    <t>4022088:ita</t>
  </si>
  <si>
    <t>778374311</t>
  </si>
  <si>
    <t>ocn778374311</t>
  </si>
  <si>
    <t>3103125711M</t>
  </si>
  <si>
    <t>794909692</t>
  </si>
  <si>
    <t>PQ4310 V2 1884</t>
  </si>
  <si>
    <t>0                      PQ 4310000V  2           1884</t>
  </si>
  <si>
    <t>La vita nuova di Dante Alighieri, illustrata da note e preceduta da un discorso su Beatrice, per Alessandro d'Ancona.</t>
  </si>
  <si>
    <t>Pisa, Libreria Galileo già ff. Nistri, 1884.</t>
  </si>
  <si>
    <t>1884</t>
  </si>
  <si>
    <t>2. ed., notevolmente accresciuta.</t>
  </si>
  <si>
    <t>5613527636:ita</t>
  </si>
  <si>
    <t>4472655</t>
  </si>
  <si>
    <t>ocm04472655</t>
  </si>
  <si>
    <t>3000773030X</t>
  </si>
  <si>
    <t>792353003</t>
  </si>
  <si>
    <t>PQ4310 V2 1930</t>
  </si>
  <si>
    <t>0                      PQ 4310000V  2           1930</t>
  </si>
  <si>
    <t>La vita nuova : e, Il canzoniere / Dante ; per cura di Michele Scherillo.</t>
  </si>
  <si>
    <t>Milano : U. Hoepli, 1930.</t>
  </si>
  <si>
    <t>3a ed., ritoccata.</t>
  </si>
  <si>
    <t>BIblioteca classica Hoepliana</t>
  </si>
  <si>
    <t>2019-04-28</t>
  </si>
  <si>
    <t>3768416337:ita</t>
  </si>
  <si>
    <t>7057060</t>
  </si>
  <si>
    <t>ocm07057060</t>
  </si>
  <si>
    <t>3000616825M</t>
  </si>
  <si>
    <t>792537848</t>
  </si>
  <si>
    <t>PQ4310 V2 1962</t>
  </si>
  <si>
    <t>0                      PQ 4310000V  2           1962</t>
  </si>
  <si>
    <t>La vita nuova / a cura di Tommasi Casini ; nuova presentazione di Cesare Segre.</t>
  </si>
  <si>
    <t>Firenze : Sansoni, 1962.</t>
  </si>
  <si>
    <t>Biblioteca carducciana ; seconda serie 13</t>
  </si>
  <si>
    <t>2517226808:ita</t>
  </si>
  <si>
    <t>317857577</t>
  </si>
  <si>
    <t>ocn317857577</t>
  </si>
  <si>
    <t>30007732915</t>
  </si>
  <si>
    <t>794468615</t>
  </si>
  <si>
    <t>PQ4310 V2 1973</t>
  </si>
  <si>
    <t>0                      PQ 4310000V  2           1973</t>
  </si>
  <si>
    <t>Vita nuova. A translation and an essay by Mark Musa.</t>
  </si>
  <si>
    <t>3</t>
  </si>
  <si>
    <t>Bloomington, Indiana University Press [1973]</t>
  </si>
  <si>
    <t>A new ed.</t>
  </si>
  <si>
    <t>A Midland book, MB-162</t>
  </si>
  <si>
    <t>2517226808:eng</t>
  </si>
  <si>
    <t>642521</t>
  </si>
  <si>
    <t>ocm00642521</t>
  </si>
  <si>
    <t>3000607437W</t>
  </si>
  <si>
    <t>9780253201621</t>
  </si>
  <si>
    <t>791435722</t>
  </si>
  <si>
    <t>PQ4310 V4 H37 1988</t>
  </si>
  <si>
    <t>0                      PQ 4310000V  4                  H  37          1988</t>
  </si>
  <si>
    <t>The body of Beatrice / Robert Pogue Harrison.</t>
  </si>
  <si>
    <t>Harrison, Robert Pogue.</t>
  </si>
  <si>
    <t>Baltimore : Johns Hopkins University Press, ©1988.</t>
  </si>
  <si>
    <t>2018-03-16</t>
  </si>
  <si>
    <t>15788451:eng</t>
  </si>
  <si>
    <t>17674924</t>
  </si>
  <si>
    <t>ocm17674924</t>
  </si>
  <si>
    <t>3000642367S</t>
  </si>
  <si>
    <t>9780801836800</t>
  </si>
  <si>
    <t>792999597</t>
  </si>
  <si>
    <t>PQ4310 V4 M27 2004</t>
  </si>
  <si>
    <t>0                      PQ 4310000V  4                  M  27          2004</t>
  </si>
  <si>
    <t>Dante e Guido Cavalcanti : il dissidio per la Vita nuova e il disdegno di Guido / Enrico Malato.</t>
  </si>
  <si>
    <t>Malato, Enrico.</t>
  </si>
  <si>
    <t>Roma : Salerno, 2004.</t>
  </si>
  <si>
    <t>2. ed. con una postfazione: Nuove prospettive degli studi danteschi.</t>
  </si>
  <si>
    <t>Quaderni di "Filologia e critica" ; 11</t>
  </si>
  <si>
    <t>15890652:ita</t>
  </si>
  <si>
    <t>56022580</t>
  </si>
  <si>
    <t>ocm56022580</t>
  </si>
  <si>
    <t>3102505111X</t>
  </si>
  <si>
    <t>9788884024510</t>
  </si>
  <si>
    <t>793886178</t>
  </si>
  <si>
    <t>PQ4310 V4 M28 2017</t>
  </si>
  <si>
    <t>0                      PQ 4310000V  4                  M  28          2017</t>
  </si>
  <si>
    <t>Incipit Vita nova : la trasfigurazione della morte mediante l'amore nello scritto giovanile di Dante Alighieri / Francesca Marino ; prefazione di Pasquale Giustiniani.</t>
  </si>
  <si>
    <t>Marino, Francesca, 1984- author.</t>
  </si>
  <si>
    <t>Canterano (RM) : Aracne editrice, giugno 2017.</t>
  </si>
  <si>
    <t>A10</t>
  </si>
  <si>
    <t>4407616446:ita</t>
  </si>
  <si>
    <t>992801515</t>
  </si>
  <si>
    <t>ocn992801515</t>
  </si>
  <si>
    <t>3103785643O</t>
  </si>
  <si>
    <t>9788825503685</t>
  </si>
  <si>
    <t>795038436</t>
  </si>
  <si>
    <t>PQ4310 V4 M3</t>
  </si>
  <si>
    <t>0                      PQ 4310000V  4                  M  3</t>
  </si>
  <si>
    <t>The figure of Dante : an essay on the Vita nuova / by Jerome Mazzaro.</t>
  </si>
  <si>
    <t>Mazzaro, Jerome.</t>
  </si>
  <si>
    <t>Princeton, N.J. : Princeton University Press, ©1981.</t>
  </si>
  <si>
    <t>Princeton essays in literature</t>
  </si>
  <si>
    <t>441949:eng</t>
  </si>
  <si>
    <t>7460235</t>
  </si>
  <si>
    <t>ocm07460235</t>
  </si>
  <si>
    <t>30003230470</t>
  </si>
  <si>
    <t>9780691064741</t>
  </si>
  <si>
    <t>792559529</t>
  </si>
  <si>
    <t>PQ4310 V4 R6 1970</t>
  </si>
  <si>
    <t>0                      PQ 4310000V  4                  R  6           1970</t>
  </si>
  <si>
    <t>Il libro della vita nuova / Domenico de Robertis.</t>
  </si>
  <si>
    <t>De Robertis, Domenico.</t>
  </si>
  <si>
    <t>Firenze : G.C. Sansoni, 1970.</t>
  </si>
  <si>
    <t>2. ed. accresciuta.</t>
  </si>
  <si>
    <t>Quaderni degli Studi danteschi ; 1</t>
  </si>
  <si>
    <t>2018-01-16</t>
  </si>
  <si>
    <t>350555237:ita</t>
  </si>
  <si>
    <t>941521</t>
  </si>
  <si>
    <t>ocm00941521</t>
  </si>
  <si>
    <t>3000616828G</t>
  </si>
  <si>
    <t>791507632</t>
  </si>
  <si>
    <t>PQ4310 V4 S55</t>
  </si>
  <si>
    <t>0                      PQ 4310000V  4                  S  55</t>
  </si>
  <si>
    <t>An essay on the Vita nuova.</t>
  </si>
  <si>
    <t>Singleton, Charles S. (Charles Southward), 1909-1985.</t>
  </si>
  <si>
    <t>Cambridge, Pub. for the Dante Society by the Harvard Univ. Press, 1949.</t>
  </si>
  <si>
    <t>1949</t>
  </si>
  <si>
    <t>451856:eng</t>
  </si>
  <si>
    <t>345284</t>
  </si>
  <si>
    <t>ocm00345284</t>
  </si>
  <si>
    <t>30002018079</t>
  </si>
  <si>
    <t>791344804</t>
  </si>
  <si>
    <t>PQ4310 V4 T63 2016</t>
  </si>
  <si>
    <t>0                      PQ 4310000V  4                  T  63          2016</t>
  </si>
  <si>
    <t>Dante and the dynamics of textual exchange : authorship, manuscript culture, and the making of the Vita Nova / Jelena Todorović.</t>
  </si>
  <si>
    <t>Todorovic, Jelena, author.</t>
  </si>
  <si>
    <t>New York : Fordham University Press, 2016.</t>
  </si>
  <si>
    <t>Dante's world: historicizing literary cultures of the Due and Trecento</t>
  </si>
  <si>
    <t>2918528370:eng</t>
  </si>
  <si>
    <t>915493656</t>
  </si>
  <si>
    <t>ocn915493656</t>
  </si>
  <si>
    <t>31036544697</t>
  </si>
  <si>
    <t>9780823270231</t>
  </si>
  <si>
    <t>795000570</t>
  </si>
  <si>
    <t>PQ4311 D2 1920</t>
  </si>
  <si>
    <t>0                      PQ 4311000D  2           1920</t>
  </si>
  <si>
    <t>Dantis Alagherii De monarchia libri III.</t>
  </si>
  <si>
    <t>Gebennae : In aedibus L.S. Olschki, 1920.</t>
  </si>
  <si>
    <t>1920</t>
  </si>
  <si>
    <t>lat</t>
  </si>
  <si>
    <t>2015-09-01</t>
  </si>
  <si>
    <t>2070136906:lat</t>
  </si>
  <si>
    <t>427505686</t>
  </si>
  <si>
    <t>ocn427505686</t>
  </si>
  <si>
    <t>3000610930I</t>
  </si>
  <si>
    <t>794670045</t>
  </si>
  <si>
    <t>PQ4311 D4 C34 2004</t>
  </si>
  <si>
    <t>0                      PQ 4311000D  4                  C  34          2004</t>
  </si>
  <si>
    <t>The Monarchia controversy : an historical study with accompanying translations of Dante Alighieri's Monarchia, Guido Vernani's Refutation of the Monarchia composed by Dante and Pope John XXII's bull, Si fratrum / by Anthony K. Cassell.</t>
  </si>
  <si>
    <t>Cassell, Anthony K. (Anthony Kimber), 1941-2005.</t>
  </si>
  <si>
    <t>Washington, D.C. : The Catholic University of America Press, ©2004.</t>
  </si>
  <si>
    <t>838605202:eng</t>
  </si>
  <si>
    <t>50643801</t>
  </si>
  <si>
    <t>ocm50643801</t>
  </si>
  <si>
    <t>3102333079T</t>
  </si>
  <si>
    <t>9780813213385</t>
  </si>
  <si>
    <t>793769461</t>
  </si>
  <si>
    <t>PQ4311 D4 S55 2012</t>
  </si>
  <si>
    <t>0                      PQ 4311000D  4                  S  55          2012</t>
  </si>
  <si>
    <t>Iugum libertatis : Dante e la lettura politica del libero arbitrio / Flavio Silvestrini.</t>
  </si>
  <si>
    <t>Silvestrini, Flavio.</t>
  </si>
  <si>
    <t>Cronogrammi. Sezione prima, Politica, storia e società ; 3</t>
  </si>
  <si>
    <t>1184786151:ita</t>
  </si>
  <si>
    <t>820121242</t>
  </si>
  <si>
    <t>ocn820121242</t>
  </si>
  <si>
    <t>31031260290</t>
  </si>
  <si>
    <t>9788854849778</t>
  </si>
  <si>
    <t>794935082</t>
  </si>
  <si>
    <t>PQ4311 D4 V43</t>
  </si>
  <si>
    <t>0                      PQ 4311000D  4                  V  43</t>
  </si>
  <si>
    <t>Il più antico oppositore politico di Dante : Guido Vernani da Rimini; testo critico del "De reprobatione monarchiae." [Di] Nevio Matteini.</t>
  </si>
  <si>
    <t>Vernani, Guido, active 1327.</t>
  </si>
  <si>
    <t>Padova, CEDAM, 1958.</t>
  </si>
  <si>
    <t>Il Pensiero medioevale; collana di storia della filosofia. 1. serie, v. 6</t>
  </si>
  <si>
    <t>2019-07-08</t>
  </si>
  <si>
    <t>438850135:ita</t>
  </si>
  <si>
    <t>7211582</t>
  </si>
  <si>
    <t>ocm07211582</t>
  </si>
  <si>
    <t>3000772994D</t>
  </si>
  <si>
    <t>792546729</t>
  </si>
  <si>
    <t>PQ4311 D6 1968</t>
  </si>
  <si>
    <t>0                      PQ 4311000D  6           1968</t>
  </si>
  <si>
    <t>De vulgari eloquentia. A cura di Pier Vincenzo Mengaldo ...</t>
  </si>
  <si>
    <t>Padova, Antenore, 1968-</t>
  </si>
  <si>
    <t>Vulgares eloquentes, 3</t>
  </si>
  <si>
    <t>2019-07-13</t>
  </si>
  <si>
    <t>4820387328:ita</t>
  </si>
  <si>
    <t>513549</t>
  </si>
  <si>
    <t>ocm00513549</t>
  </si>
  <si>
    <t>30006074422</t>
  </si>
  <si>
    <t>791399764</t>
  </si>
  <si>
    <t>PQ4311 D6 1996</t>
  </si>
  <si>
    <t>0                      PQ 4311000D  6           1996</t>
  </si>
  <si>
    <t>Dante, De vulgari eloquentia / edited and translated Steven Botterill.</t>
  </si>
  <si>
    <t>Cambridge ; New York : Cambridge University Press, 1996.</t>
  </si>
  <si>
    <t>Cambridge medieval classics ; 5</t>
  </si>
  <si>
    <t>3857894377:eng</t>
  </si>
  <si>
    <t>33897428</t>
  </si>
  <si>
    <t>ocm33897428</t>
  </si>
  <si>
    <t>3101950047B</t>
  </si>
  <si>
    <t>9780521400640</t>
  </si>
  <si>
    <t>793413333</t>
  </si>
  <si>
    <t>PQ4311 D7 T7 1850</t>
  </si>
  <si>
    <t>0                      PQ 4311000D  7                  T  7           1850</t>
  </si>
  <si>
    <t>Della lingua volgare / di Dante Alighieri ; libri due tradotti di Latino da Giangiorgio Trissino e ridotti a corretta lezione col riscontro del testo originale.</t>
  </si>
  <si>
    <t>Livorno : Presso la Libreria Niccolai-Gamba ; Firenze : Presso Luigi Molini, 1850.</t>
  </si>
  <si>
    <t>1850</t>
  </si>
  <si>
    <t>Ed. XVII aggiuntevi le note di diversi per Alessandro Torri.</t>
  </si>
  <si>
    <t>2017-11-13</t>
  </si>
  <si>
    <t>1807190041:ita</t>
  </si>
  <si>
    <t>20499728</t>
  </si>
  <si>
    <t>ocm20499728</t>
  </si>
  <si>
    <t>3000534822X</t>
  </si>
  <si>
    <t>793089897</t>
  </si>
  <si>
    <t>PQ4311 D7 2012</t>
  </si>
  <si>
    <t>0                      PQ 4311000D  7           2012</t>
  </si>
  <si>
    <t>De vulgari eloquentia / Dante Alighieri ; a cura di Enrico Fenzi con la collaborazione di Luciano Formisano e Francesco Montuori.</t>
  </si>
  <si>
    <t>Roma : Salerno editrice, [2012]</t>
  </si>
  <si>
    <t>Nuova edizione commentata delle opere di Dante ; volume III</t>
  </si>
  <si>
    <t>830863049</t>
  </si>
  <si>
    <t>ocn830863049</t>
  </si>
  <si>
    <t>31035270209</t>
  </si>
  <si>
    <t>9788884027696</t>
  </si>
  <si>
    <t>794943719</t>
  </si>
  <si>
    <t>PQ4311 D8 C67 2010</t>
  </si>
  <si>
    <t>0                      PQ 4311000D  8                  C  67          2010</t>
  </si>
  <si>
    <t>Dante e la questione della lingua di Adamo (De vulgari eloquentia, I 4-7 ; Paradiso, XXVI 124-38) / Massimiliano Corrado.</t>
  </si>
  <si>
    <t>Corrado, Massimiliano.</t>
  </si>
  <si>
    <t>Roma : Salerno, ©2010.</t>
  </si>
  <si>
    <t>Quaderni della Rivista di studi danteschi / Centro Pio Rajna ; 4</t>
  </si>
  <si>
    <t>9322963633:ita</t>
  </si>
  <si>
    <t>647667071</t>
  </si>
  <si>
    <t>ocn647667071</t>
  </si>
  <si>
    <t>3103125133$</t>
  </si>
  <si>
    <t>9788884026927</t>
  </si>
  <si>
    <t>794830853</t>
  </si>
  <si>
    <t>PQ4311 D8 S27 2015</t>
  </si>
  <si>
    <t>0                      PQ 4311000D  8                  S  27          2015</t>
  </si>
  <si>
    <t>La lingua, la Bibbia, la storia : su De vulgari eloquentia I / Gennaro Sasso.</t>
  </si>
  <si>
    <t>Sasso, Gennaro, author.</t>
  </si>
  <si>
    <t>Roma : Viella, marzo 2015.</t>
  </si>
  <si>
    <t>I libri di Viella ; 195</t>
  </si>
  <si>
    <t>2501571548:ita</t>
  </si>
  <si>
    <t>907638913</t>
  </si>
  <si>
    <t>ocn907638913</t>
  </si>
  <si>
    <t>31036278288</t>
  </si>
  <si>
    <t>9788867283316</t>
  </si>
  <si>
    <t>794993649</t>
  </si>
  <si>
    <t>PQ4311 E6 1967</t>
  </si>
  <si>
    <t>0                      PQ 4311000E  6           1967</t>
  </si>
  <si>
    <t>Dantis Alagherii epistolae: the letters of Dante; emended text with introduction, translation, notes and indices and appendix on the Cursus by Paget Toynbee.</t>
  </si>
  <si>
    <t>Oxford, Clarendon P., 1966 [i.e. 1967]</t>
  </si>
  <si>
    <t>1795207:eng</t>
  </si>
  <si>
    <t>956060</t>
  </si>
  <si>
    <t>ocm00956060</t>
  </si>
  <si>
    <t>3000616835J</t>
  </si>
  <si>
    <t>791511169</t>
  </si>
  <si>
    <t>PQ4311 E6 2012</t>
  </si>
  <si>
    <t>0                      PQ 4311000E  6           2012</t>
  </si>
  <si>
    <t>Epistole ; Ecloge ; Questio de situ et forma aque et terre / Dante Alighieri ; a cura di Manlio Pastore Stocchi.</t>
  </si>
  <si>
    <t>Medioevo e umanesimo ; 117</t>
  </si>
  <si>
    <t>3861861397:ita</t>
  </si>
  <si>
    <t>823176867</t>
  </si>
  <si>
    <t>ocn823176867</t>
  </si>
  <si>
    <t>3103483707L</t>
  </si>
  <si>
    <t>9788884556691</t>
  </si>
  <si>
    <t>794936962</t>
  </si>
  <si>
    <t>PQ4311 E8 F85 2016</t>
  </si>
  <si>
    <t>0                      PQ 4311000E  8                  F  85          2016</t>
  </si>
  <si>
    <t>An etymological dictionary for reading Dante's The collected letters / Osamu Fukushima.</t>
  </si>
  <si>
    <t>Fukushima, Osamu, 1943- author.</t>
  </si>
  <si>
    <t>Firenze : Franco Cesati editore, [2016]</t>
  </si>
  <si>
    <t>Filologia e ordinatori ; XXVI</t>
  </si>
  <si>
    <t>3484407528:eng</t>
  </si>
  <si>
    <t>950887823</t>
  </si>
  <si>
    <t>ocn950887823</t>
  </si>
  <si>
    <t>3103716204D</t>
  </si>
  <si>
    <t>9788876675867</t>
  </si>
  <si>
    <t>795016859</t>
  </si>
  <si>
    <t>PQ4314 C35 2001</t>
  </si>
  <si>
    <t>0                      PQ 4314000C  35          2001</t>
  </si>
  <si>
    <t>Dantis Alagherii Comedia / edizione critica per cura di Federico Sanguineti.</t>
  </si>
  <si>
    <t>Tavarnuzze (Firenze) : SISMEL edizioni del Galluzzo, 2001.</t>
  </si>
  <si>
    <t>Archivio romanzo ; 2</t>
  </si>
  <si>
    <t>351149964:ita</t>
  </si>
  <si>
    <t>428015401</t>
  </si>
  <si>
    <t>ocn428015401</t>
  </si>
  <si>
    <t>3102190922F</t>
  </si>
  <si>
    <t>9788884500960</t>
  </si>
  <si>
    <t>794749948</t>
  </si>
  <si>
    <t>PQ4315 A3 B5</t>
  </si>
  <si>
    <t>0                      PQ 4315000A  3                  B  5</t>
  </si>
  <si>
    <t>The portable Dante / edited, and with an introduction by Paolo Milano.</t>
  </si>
  <si>
    <t>New York : Viking Press, 1947.</t>
  </si>
  <si>
    <t>Viking portable library ; P 32</t>
  </si>
  <si>
    <t>2591027777:eng</t>
  </si>
  <si>
    <t>224031724</t>
  </si>
  <si>
    <t>ocn224031724</t>
  </si>
  <si>
    <t>3000367091R</t>
  </si>
  <si>
    <t>794337142</t>
  </si>
  <si>
    <t>2017-03-22</t>
  </si>
  <si>
    <t>3000167581O</t>
  </si>
  <si>
    <t>794337141</t>
  </si>
  <si>
    <t>2013-02-26</t>
  </si>
  <si>
    <t>3000167582M</t>
  </si>
  <si>
    <t>794337140</t>
  </si>
  <si>
    <t>PQ4315 A3 M87 2003</t>
  </si>
  <si>
    <t>0                      PQ 4315000A  3                  M  87          2003</t>
  </si>
  <si>
    <t>The portable Dante / translated, edited, and with an introduction and notes by Mark Musa.</t>
  </si>
  <si>
    <t>Dante Alighieri, 1265-1321, author.</t>
  </si>
  <si>
    <t>New York, N.Y. : Penguin Books, 2003.</t>
  </si>
  <si>
    <t>2020-01-10</t>
  </si>
  <si>
    <t>52905409</t>
  </si>
  <si>
    <t>ocm52905409</t>
  </si>
  <si>
    <t>31032130427</t>
  </si>
  <si>
    <t>9780142437544</t>
  </si>
  <si>
    <t>793817058</t>
  </si>
  <si>
    <t>PQ4315 C4 1897</t>
  </si>
  <si>
    <t>0                      PQ 4315000C  4           1897</t>
  </si>
  <si>
    <t>The Divine comedy of Dante Alighieri, tr. by the Rev. Henry F. Cary, together with Dante Gabriel Rossetti's translation of the New life; ed. with introduction and revised and additional notes by L. Oscar Kuhns.</t>
  </si>
  <si>
    <t>4</t>
  </si>
  <si>
    <t>New York, Boston, T.Y. Crowell &amp; Company [©1897]</t>
  </si>
  <si>
    <t>1897</t>
  </si>
  <si>
    <t>2018-10-16</t>
  </si>
  <si>
    <t>4452229528:eng</t>
  </si>
  <si>
    <t>1295570</t>
  </si>
  <si>
    <t>ocm01295570</t>
  </si>
  <si>
    <t>31009647537</t>
  </si>
  <si>
    <t>791593599</t>
  </si>
  <si>
    <t>PQ4315 C4 1931</t>
  </si>
  <si>
    <t>0                      PQ 4315000C  4           1931</t>
  </si>
  <si>
    <t>The vision of Dante Alighieri / translated by H.F. Cary.</t>
  </si>
  <si>
    <t>Toronto : J.M. Dent, 1931, 1908.</t>
  </si>
  <si>
    <t>2975216899:eng</t>
  </si>
  <si>
    <t>61585268</t>
  </si>
  <si>
    <t>ocm61585268</t>
  </si>
  <si>
    <t>3102814783J</t>
  </si>
  <si>
    <t>794022886</t>
  </si>
  <si>
    <t>PQ4315 D87 1996</t>
  </si>
  <si>
    <t>0                      PQ 4315000D  87          1996</t>
  </si>
  <si>
    <t>The divine comedy of Dante Alighieri / edited and translated by Robert M. Durling ; introduction and notes by Ronald L. Martinez and Robert M. Durling ; illustrations by Robert Turner.</t>
  </si>
  <si>
    <t>New York : Oxford University Press, 1996-2013.</t>
  </si>
  <si>
    <t>32430822</t>
  </si>
  <si>
    <t>ocm32430822</t>
  </si>
  <si>
    <t>3102797661H</t>
  </si>
  <si>
    <t>9780195087406</t>
  </si>
  <si>
    <t>793384061</t>
  </si>
  <si>
    <t>3102785749V</t>
  </si>
  <si>
    <t>793384060</t>
  </si>
  <si>
    <t>PQ4315 M3</t>
  </si>
  <si>
    <t>0                      PQ 4315000M  3</t>
  </si>
  <si>
    <t>The divine comedy of Dante Alighieri : a verse translation / with introductions &amp; commentary by Allen Mandelbaum ; drawings by Barry Moser.</t>
  </si>
  <si>
    <t>Berkeley : University of California Press, ©1980-1982.</t>
  </si>
  <si>
    <t>The California Dante</t>
  </si>
  <si>
    <t>2019-01-20</t>
  </si>
  <si>
    <t>8908011500:eng</t>
  </si>
  <si>
    <t>11232831</t>
  </si>
  <si>
    <t>ocm11232831</t>
  </si>
  <si>
    <t>31004132795</t>
  </si>
  <si>
    <t>9780520027121</t>
  </si>
  <si>
    <t>792764183</t>
  </si>
  <si>
    <t>3000484302$</t>
  </si>
  <si>
    <t>792764184</t>
  </si>
  <si>
    <t>V.3</t>
  </si>
  <si>
    <t>31004597698</t>
  </si>
  <si>
    <t>792764182</t>
  </si>
  <si>
    <t>PQ4315 N53 2012</t>
  </si>
  <si>
    <t>0                      PQ 4315000N  53          2012</t>
  </si>
  <si>
    <t>The divine comedy / Dante Alighieri ; a new translation by J.G. Nichols.</t>
  </si>
  <si>
    <t>Richmond, Surrey : Alma Classics, 2012.</t>
  </si>
  <si>
    <t>802295291</t>
  </si>
  <si>
    <t>ocn802295291</t>
  </si>
  <si>
    <t>3103470775O</t>
  </si>
  <si>
    <t>9781847492463</t>
  </si>
  <si>
    <t>794925536</t>
  </si>
  <si>
    <t>- Main Collection - In Library Use</t>
  </si>
  <si>
    <t>PQ4315 N6 1893</t>
  </si>
  <si>
    <t>0                      PQ 4315000N  6           1893</t>
  </si>
  <si>
    <t>Divine comedy; tr. by C.E. Norton.</t>
  </si>
  <si>
    <t>Houghton, 1893.</t>
  </si>
  <si>
    <t>2018-11-21</t>
  </si>
  <si>
    <t>1485153</t>
  </si>
  <si>
    <t>ocm01485153</t>
  </si>
  <si>
    <t>3100459771L</t>
  </si>
  <si>
    <t>791672539</t>
  </si>
  <si>
    <t>30007588745</t>
  </si>
  <si>
    <t>791672541</t>
  </si>
  <si>
    <t>3100459770N</t>
  </si>
  <si>
    <t>791672540</t>
  </si>
  <si>
    <t>PQ4315 N7 1902</t>
  </si>
  <si>
    <t>0                      PQ 4315000N  7           1902</t>
  </si>
  <si>
    <t>The Divine comedy of Dante Alighieri.</t>
  </si>
  <si>
    <t>London : [publisher not identified], 1902.</t>
  </si>
  <si>
    <t>1902</t>
  </si>
  <si>
    <t>2012-11-16</t>
  </si>
  <si>
    <t>9664615727:eng</t>
  </si>
  <si>
    <t>427568995</t>
  </si>
  <si>
    <t>ocn427568995</t>
  </si>
  <si>
    <t>3102740871P</t>
  </si>
  <si>
    <t>794690143</t>
  </si>
  <si>
    <t>2003-12-12</t>
  </si>
  <si>
    <t>3100459772J</t>
  </si>
  <si>
    <t>794690142</t>
  </si>
  <si>
    <t>3100459773H</t>
  </si>
  <si>
    <t>794690141</t>
  </si>
  <si>
    <t>PQ4315 R28 2010</t>
  </si>
  <si>
    <t>0                      PQ 4315000R  28          2010</t>
  </si>
  <si>
    <t>The divine comedy / Dante Alighieri ; translated from the Italian by Burton Raffel ; with an introduction by Paul J. Contino and notes by Henry L. Carrigan.</t>
  </si>
  <si>
    <t>Evanston, Ill. : Northwestern University Press, 2010.</t>
  </si>
  <si>
    <t>Northwestern world classics</t>
  </si>
  <si>
    <t>319495606</t>
  </si>
  <si>
    <t>ocn319495606</t>
  </si>
  <si>
    <t>3103237414C</t>
  </si>
  <si>
    <t>9780810126725</t>
  </si>
  <si>
    <t>794483940</t>
  </si>
  <si>
    <t>PQ4315 S3 1955</t>
  </si>
  <si>
    <t>0                      PQ 4315000S  3           1955</t>
  </si>
  <si>
    <t>The comedy of Dante Alighieri, the Florentine / translated by Dorothy L. Sayers and Barbara Reynolds.</t>
  </si>
  <si>
    <t>Harmondsworth [England] ; Baltimore : Penguin Books, 19.</t>
  </si>
  <si>
    <t>1900</t>
  </si>
  <si>
    <t>The Penguin classics</t>
  </si>
  <si>
    <t>2014-11-11</t>
  </si>
  <si>
    <t>5390656623:eng</t>
  </si>
  <si>
    <t>1551766</t>
  </si>
  <si>
    <t>ocm01551766</t>
  </si>
  <si>
    <t>31004597779</t>
  </si>
  <si>
    <t>9780140441055</t>
  </si>
  <si>
    <t>791711268</t>
  </si>
  <si>
    <t>3100804517P</t>
  </si>
  <si>
    <t>791711267</t>
  </si>
  <si>
    <t>2012-11-14</t>
  </si>
  <si>
    <t>3000764474Z</t>
  </si>
  <si>
    <t>791711269</t>
  </si>
  <si>
    <t>PQ4315 S3 1981</t>
  </si>
  <si>
    <t>0                      PQ 4315000S  3           1981</t>
  </si>
  <si>
    <t>The comedy of Dante Alighieri, the Florentine / translated by Dorothy L. Sayers.</t>
  </si>
  <si>
    <t>v. 3</t>
  </si>
  <si>
    <t>Harmondsworth, Middlesex : Penguin Books, 1980-1981.</t>
  </si>
  <si>
    <t>2019-12-02</t>
  </si>
  <si>
    <t>9177289</t>
  </si>
  <si>
    <t>ocm09177289</t>
  </si>
  <si>
    <t>31036008937</t>
  </si>
  <si>
    <t>9780140440065</t>
  </si>
  <si>
    <t>792662220</t>
  </si>
  <si>
    <t>2018-02-16</t>
  </si>
  <si>
    <t>3102740876P</t>
  </si>
  <si>
    <t>792662222</t>
  </si>
  <si>
    <t>3102315316Y</t>
  </si>
  <si>
    <t>792662221</t>
  </si>
  <si>
    <t>PQ4315 S57</t>
  </si>
  <si>
    <t>0                      PQ 4315000S  57</t>
  </si>
  <si>
    <t>The divine comedy / Dante ; a new verse translation [from the Italian] by C.H. Sisson.</t>
  </si>
  <si>
    <t>Manchester : Carcanet New Press, 1980.</t>
  </si>
  <si>
    <t>2005-11-15</t>
  </si>
  <si>
    <t>2018-10-21</t>
  </si>
  <si>
    <t>6761612</t>
  </si>
  <si>
    <t>ocm06761612</t>
  </si>
  <si>
    <t>31009095968</t>
  </si>
  <si>
    <t>9780856352737</t>
  </si>
  <si>
    <t>792521826</t>
  </si>
  <si>
    <t>3000155432K</t>
  </si>
  <si>
    <t>792521827</t>
  </si>
  <si>
    <t>PQ4315 S57 1998</t>
  </si>
  <si>
    <t>0                      PQ 4315000S  57          1998</t>
  </si>
  <si>
    <t>The divine comedy / Dante Alighieri ; translated by C.H. Sisson ; with an introduction and notes by David H. Higgins.</t>
  </si>
  <si>
    <t>Oxford : Oxford University Press, 1998.</t>
  </si>
  <si>
    <t>[Updated ed.].</t>
  </si>
  <si>
    <t>Oxford world's classics</t>
  </si>
  <si>
    <t>39503915</t>
  </si>
  <si>
    <t>ocm39503915</t>
  </si>
  <si>
    <t>3102784784R</t>
  </si>
  <si>
    <t>9780192835024</t>
  </si>
  <si>
    <t>793547185</t>
  </si>
  <si>
    <t>PQ4315.2 B36 2012</t>
  </si>
  <si>
    <t>0                      PQ 4315200B  36          2012</t>
  </si>
  <si>
    <t>Inferno / Dante Alighieri ; translated, with an introduction and notes, by Mary Jo Bang ; illustrations by Henrik Drescher.</t>
  </si>
  <si>
    <t>Minneapolis, Minn. : Graywolf Press, ©2012.</t>
  </si>
  <si>
    <t>2019-09-20</t>
  </si>
  <si>
    <t>786185675</t>
  </si>
  <si>
    <t>ocn786185675</t>
  </si>
  <si>
    <t>31034720476</t>
  </si>
  <si>
    <t>9781555976194</t>
  </si>
  <si>
    <t>794915931</t>
  </si>
  <si>
    <t>PQ4315.2 B57 2004</t>
  </si>
  <si>
    <t>0                      PQ 4315200B  57          2004</t>
  </si>
  <si>
    <t>Dante's Inferno / illustrated by Sandow Birk ; text adapted by Sandow Birk and Marcus Sanders.</t>
  </si>
  <si>
    <t>San Francisco : Chronicle Books, [2004]</t>
  </si>
  <si>
    <t>2016-09-03</t>
  </si>
  <si>
    <t>52860059</t>
  </si>
  <si>
    <t>ocm52860059</t>
  </si>
  <si>
    <t>31025039775</t>
  </si>
  <si>
    <t>9780811842136</t>
  </si>
  <si>
    <t>793816001</t>
  </si>
  <si>
    <t>PQ4315.2 C5 1954</t>
  </si>
  <si>
    <t>0                      PQ 4315200C  5           1954</t>
  </si>
  <si>
    <t>The Inferno / Dante Alighieri ; translated in verse by John Ciardi ; historical introduction by A.T. McAllister.</t>
  </si>
  <si>
    <t>New Brunswick, New Jersey : Rutgers University Press, 1954.</t>
  </si>
  <si>
    <t>Third printing.</t>
  </si>
  <si>
    <t>2018-06-02</t>
  </si>
  <si>
    <t>347627</t>
  </si>
  <si>
    <t>ocm00347627</t>
  </si>
  <si>
    <t>31002160143</t>
  </si>
  <si>
    <t>791345668</t>
  </si>
  <si>
    <t>31002357064</t>
  </si>
  <si>
    <t>791345667</t>
  </si>
  <si>
    <t>PQ4315.2 K57 2006</t>
  </si>
  <si>
    <t>0                      PQ 4315200K  57          2006</t>
  </si>
  <si>
    <t>The divine comedy. 1, Inferno / Dante Alighieri ; translated and edited by Robin Kirkpatrick.</t>
  </si>
  <si>
    <t>London : Penguin, 2006.</t>
  </si>
  <si>
    <t>New ed.</t>
  </si>
  <si>
    <t>2019-03-27</t>
  </si>
  <si>
    <t>5218740014:eng</t>
  </si>
  <si>
    <t>62760710</t>
  </si>
  <si>
    <t>ocm62760710</t>
  </si>
  <si>
    <t>3102556417W</t>
  </si>
  <si>
    <t>9780140448955</t>
  </si>
  <si>
    <t>794112172</t>
  </si>
  <si>
    <t>PQ4315.2 M35 2004</t>
  </si>
  <si>
    <t>0                      PQ 4315200M  35          2004</t>
  </si>
  <si>
    <t>The divine comedy of Dante Alighieri. Inferno / a verse translation with an introduction by Allen Mandelbaum ; notes by Allen Mandelbaum and Gabriel Marruzzo, with Laury Magnus ; drawings by Barry Moser.</t>
  </si>
  <si>
    <t>New York : Bantam Books, 2004, ©1980.</t>
  </si>
  <si>
    <t>Divine comedy ; bk. 1</t>
  </si>
  <si>
    <t>3943361286:eng</t>
  </si>
  <si>
    <t>63673337</t>
  </si>
  <si>
    <t>ocm63673337</t>
  </si>
  <si>
    <t>3102465628T</t>
  </si>
  <si>
    <t>9780553213393</t>
  </si>
  <si>
    <t>794122240</t>
  </si>
  <si>
    <t>PQ4315.2 M77 1971</t>
  </si>
  <si>
    <t>0                      PQ 4315200M  77          1971</t>
  </si>
  <si>
    <t>Dante's Inferno / translated with notes and commentary by Mark Musa. ; [illus. by Richard M. Powers].</t>
  </si>
  <si>
    <t>Bloomington : Indiana University Press, 1971.</t>
  </si>
  <si>
    <t>2018-06-05</t>
  </si>
  <si>
    <t>125596</t>
  </si>
  <si>
    <t>ocm00125596</t>
  </si>
  <si>
    <t>3101023203F</t>
  </si>
  <si>
    <t>9780253141842</t>
  </si>
  <si>
    <t>791264675</t>
  </si>
  <si>
    <t>3000201812G</t>
  </si>
  <si>
    <t>791264676</t>
  </si>
  <si>
    <t>2003-10-31</t>
  </si>
  <si>
    <t>3000500369S</t>
  </si>
  <si>
    <t>791264677</t>
  </si>
  <si>
    <t>PQ4315.2 M77 1996</t>
  </si>
  <si>
    <t>0                      PQ 4315200M  77          1996</t>
  </si>
  <si>
    <t>Dante Alighieri's Divine comedy / verse translation and commentary by Mark Musa.</t>
  </si>
  <si>
    <t>Bloomington : Indiana University Press, ©1996-©2004.</t>
  </si>
  <si>
    <t>Indiana masterpiece editions</t>
  </si>
  <si>
    <t>2019-03-30</t>
  </si>
  <si>
    <t>3373498814:eng</t>
  </si>
  <si>
    <t>34411789</t>
  </si>
  <si>
    <t>ocm34411789</t>
  </si>
  <si>
    <t>31025239401</t>
  </si>
  <si>
    <t>9780253329684</t>
  </si>
  <si>
    <t>793426190</t>
  </si>
  <si>
    <t>2013-12-04</t>
  </si>
  <si>
    <t>3102457649M</t>
  </si>
  <si>
    <t>793426194</t>
  </si>
  <si>
    <t>2004-03-12</t>
  </si>
  <si>
    <t>3102028581O</t>
  </si>
  <si>
    <t>793426195</t>
  </si>
  <si>
    <t>3101865470D</t>
  </si>
  <si>
    <t>793426198</t>
  </si>
  <si>
    <t>3102557984$</t>
  </si>
  <si>
    <t>793426192</t>
  </si>
  <si>
    <t>2013-11-29</t>
  </si>
  <si>
    <t>3102530067V</t>
  </si>
  <si>
    <t>793426193</t>
  </si>
  <si>
    <t>31018654745</t>
  </si>
  <si>
    <t>793426191</t>
  </si>
  <si>
    <t>3102557989$</t>
  </si>
  <si>
    <t>793426197</t>
  </si>
  <si>
    <t>2014-07-29</t>
  </si>
  <si>
    <t>3102028585G</t>
  </si>
  <si>
    <t>793426196</t>
  </si>
  <si>
    <t>2005-11-13</t>
  </si>
  <si>
    <t>3102457638O</t>
  </si>
  <si>
    <t>793426187</t>
  </si>
  <si>
    <t>31025239313</t>
  </si>
  <si>
    <t>793426189</t>
  </si>
  <si>
    <t>3102530072T</t>
  </si>
  <si>
    <t>793426188</t>
  </si>
  <si>
    <t>PQ4315.2 M775 1995</t>
  </si>
  <si>
    <t>0                      PQ 4315200M  775         1995</t>
  </si>
  <si>
    <t>Dante's Inferno : the Indiana critical edition / translated and edited by Mark Musa.</t>
  </si>
  <si>
    <t>Bloomington : Indiana University Press, ©1995.</t>
  </si>
  <si>
    <t>2018-11-27</t>
  </si>
  <si>
    <t>2020-01-06</t>
  </si>
  <si>
    <t>5315872607:eng</t>
  </si>
  <si>
    <t>30891599</t>
  </si>
  <si>
    <t>ocm30891599</t>
  </si>
  <si>
    <t>3101467362Y</t>
  </si>
  <si>
    <t>9780253339430</t>
  </si>
  <si>
    <t>793347378</t>
  </si>
  <si>
    <t>3101467367O</t>
  </si>
  <si>
    <t>793347377</t>
  </si>
  <si>
    <t>2004-12-03</t>
  </si>
  <si>
    <t>3101468014F</t>
  </si>
  <si>
    <t>793347379</t>
  </si>
  <si>
    <t>PQ4315.2 M78 1984</t>
  </si>
  <si>
    <t>0                      PQ 4315200M  78          1984</t>
  </si>
  <si>
    <t>Inferno / Dante Alighieri ; translated with an introduction, notes, and commentary by Mark Musa.</t>
  </si>
  <si>
    <t>New York, N.Y. : Penguin Books, ©1984.</t>
  </si>
  <si>
    <t>61568987</t>
  </si>
  <si>
    <t>ocm61568987</t>
  </si>
  <si>
    <t>31023168763</t>
  </si>
  <si>
    <t>9780142437223</t>
  </si>
  <si>
    <t>794003358</t>
  </si>
  <si>
    <t>PQ4315.2 N53 2005</t>
  </si>
  <si>
    <t>0                      PQ 4315200N  53          2005</t>
  </si>
  <si>
    <t>Inferno / Dante Alighieri ; translated by J.G. Nichols.</t>
  </si>
  <si>
    <t>London : Hesperus Poetry, ©2005.</t>
  </si>
  <si>
    <t>Hesperus poetry</t>
  </si>
  <si>
    <t>2018-09-24</t>
  </si>
  <si>
    <t>57166932</t>
  </si>
  <si>
    <t>ocm57166932</t>
  </si>
  <si>
    <t>3102584470D</t>
  </si>
  <si>
    <t>9781843911111</t>
  </si>
  <si>
    <t>793907676</t>
  </si>
  <si>
    <t>PQ4315.2 O27 2006</t>
  </si>
  <si>
    <t>0                      PQ 4315200O  27          2006</t>
  </si>
  <si>
    <t>Inferno / Dante Alighieri ; a verse translation by Sean O'Brien.</t>
  </si>
  <si>
    <t>London : Picador, 2006.</t>
  </si>
  <si>
    <t>70671601</t>
  </si>
  <si>
    <t>ocm70671601</t>
  </si>
  <si>
    <t>3102567059R</t>
  </si>
  <si>
    <t>9780330441100</t>
  </si>
  <si>
    <t>794157311</t>
  </si>
  <si>
    <t>PQ4315.2 P27 2008</t>
  </si>
  <si>
    <t>0                      PQ 4315200P  27          2008</t>
  </si>
  <si>
    <t>Inferno : a new verse translation, backgrounds and contexts, criticism / Dante Alighieri ; translated by Michael Palma ; edited by Giuseppe Mazzotta.</t>
  </si>
  <si>
    <t>New York : W.W. Norton, 2008.</t>
  </si>
  <si>
    <t>2018-09-19</t>
  </si>
  <si>
    <t>3373329040:eng</t>
  </si>
  <si>
    <t>74460599</t>
  </si>
  <si>
    <t>ocm74460599</t>
  </si>
  <si>
    <t>3103358153U</t>
  </si>
  <si>
    <t>9780393977967</t>
  </si>
  <si>
    <t>794172897</t>
  </si>
  <si>
    <t>2015-12-16</t>
  </si>
  <si>
    <t>3103358148W</t>
  </si>
  <si>
    <t>794172896</t>
  </si>
  <si>
    <t>PQ4315.2 P47 1994</t>
  </si>
  <si>
    <t>0                      PQ 4315200P  47          1994</t>
  </si>
  <si>
    <t>The Inferno of Dante : a new verse translation / by Robert Pinsky ; illustrated by Michael Mazur ; with notes by Nicole Pinsky ; foreword by John Freccero.</t>
  </si>
  <si>
    <t>New York : Farrar, Straus and Giroux, 1994.</t>
  </si>
  <si>
    <t>3769778456:eng</t>
  </si>
  <si>
    <t>29255473</t>
  </si>
  <si>
    <t>ocm29255473</t>
  </si>
  <si>
    <t>3101465671V</t>
  </si>
  <si>
    <t>9780374176747</t>
  </si>
  <si>
    <t>793306364</t>
  </si>
  <si>
    <t>PQ4315.2 S56 1989</t>
  </si>
  <si>
    <t>0                      PQ 4315200S  56          1989</t>
  </si>
  <si>
    <t>Inferno / Dante Alighieri ; translated, with a commentary, by Charles S. Singleton.</t>
  </si>
  <si>
    <t>Princeton, N.J. : Princeton University Press, 1989, ©1970.</t>
  </si>
  <si>
    <t>The divine comedy / Dante Alighieri ; v. 1</t>
  </si>
  <si>
    <t>9163897634:eng</t>
  </si>
  <si>
    <t>22971438</t>
  </si>
  <si>
    <t>ocm22971438</t>
  </si>
  <si>
    <t>31023467173</t>
  </si>
  <si>
    <t>9780691018966</t>
  </si>
  <si>
    <t>793158476</t>
  </si>
  <si>
    <t>31023467123</t>
  </si>
  <si>
    <t>793158475</t>
  </si>
  <si>
    <t>PQ4315.3 H65 2004</t>
  </si>
  <si>
    <t>0                      PQ 4315300H  65          2004</t>
  </si>
  <si>
    <t>Purgatorio / Dante Alighieri ; a verse translation by Jean Hollander &amp; Robert Hollander ; introduction &amp; notes by Robert Hollander.</t>
  </si>
  <si>
    <t>New York : Anchor Books, 2004.</t>
  </si>
  <si>
    <t>1st Anchor books ed.</t>
  </si>
  <si>
    <t>2016-12-08</t>
  </si>
  <si>
    <t>4241250834:eng</t>
  </si>
  <si>
    <t>54011754</t>
  </si>
  <si>
    <t>ocm54011754</t>
  </si>
  <si>
    <t>31030997468</t>
  </si>
  <si>
    <t>9780385497008</t>
  </si>
  <si>
    <t>793855444</t>
  </si>
  <si>
    <t>PQ4315.3 K57 2007</t>
  </si>
  <si>
    <t>0                      PQ 4315300K  57          2007</t>
  </si>
  <si>
    <t>The divine comedy. 2, Purgatorio / Dante Alighieri ; translated and edited by Robin Kirkpatrick.</t>
  </si>
  <si>
    <t>London ; New York : Penguin, 2007.</t>
  </si>
  <si>
    <t>4918384407:eng</t>
  </si>
  <si>
    <t>85828758</t>
  </si>
  <si>
    <t>ocm85828758</t>
  </si>
  <si>
    <t>31025710529</t>
  </si>
  <si>
    <t>9780140448962</t>
  </si>
  <si>
    <t>794216628</t>
  </si>
  <si>
    <t>PQ4315.3 M3 2004</t>
  </si>
  <si>
    <t>0                      PQ 4315300M  3           2004</t>
  </si>
  <si>
    <t>Purgatorio / a verse translation [by Allen Mandelbaum] ; with an introduction by Allen Mandelbaum ; notes by Laury Magnus [and others] ; drawings by Barry Moser.</t>
  </si>
  <si>
    <t>New York : Bantam Classic, 2004.</t>
  </si>
  <si>
    <t>Bantam classic reissue ed.</t>
  </si>
  <si>
    <t>Bantam classic</t>
  </si>
  <si>
    <t>2018-11-19</t>
  </si>
  <si>
    <t>58917708</t>
  </si>
  <si>
    <t>ocm58917708</t>
  </si>
  <si>
    <t>3102509215E</t>
  </si>
  <si>
    <t>9780553213447</t>
  </si>
  <si>
    <t>793925642</t>
  </si>
  <si>
    <t>PQ4315.3 M8</t>
  </si>
  <si>
    <t>0                      PQ 4315300M  8</t>
  </si>
  <si>
    <t>Dante's Purgatory / translated with notes and commentary by Mark Musa ; illustrated by Richard M. Powers.</t>
  </si>
  <si>
    <t>Bloomington : Indiana University Press, [1981]</t>
  </si>
  <si>
    <t>2015-01-28</t>
  </si>
  <si>
    <t>4920007583:eng</t>
  </si>
  <si>
    <t>6762575</t>
  </si>
  <si>
    <t>ocm06762575</t>
  </si>
  <si>
    <t>3101566701$</t>
  </si>
  <si>
    <t>9780253179265</t>
  </si>
  <si>
    <t>792521962</t>
  </si>
  <si>
    <t>PQ4315.3 M8 1985</t>
  </si>
  <si>
    <t>0                      PQ 4315300M  8           1985</t>
  </si>
  <si>
    <t>Purgatory / Dante Alighieri ; translated with an introduction, notes, and commentary by Mark Musa.</t>
  </si>
  <si>
    <t>New York, N.Y., U.S.A. : Penguin Books, 1985.</t>
  </si>
  <si>
    <t>The divine comedy / Dante Alighieri ; v. 2</t>
  </si>
  <si>
    <t>2015-08-05</t>
  </si>
  <si>
    <t>10877064</t>
  </si>
  <si>
    <t>ocm10877064</t>
  </si>
  <si>
    <t>3102314956C</t>
  </si>
  <si>
    <t>9780140444421</t>
  </si>
  <si>
    <t>792747717</t>
  </si>
  <si>
    <t>PQ4315.4 H65 2007</t>
  </si>
  <si>
    <t>0                      PQ 4315400H  65          2007</t>
  </si>
  <si>
    <t>Paradiso / Dante Alighieri ; a verse translation by Robert &amp; Jean Hollander ; introduction &amp; notes by Robert Hollander.</t>
  </si>
  <si>
    <t>New York : Doubleday, ©2007.</t>
  </si>
  <si>
    <t>2019-10-06</t>
  </si>
  <si>
    <t>128236486</t>
  </si>
  <si>
    <t>ocn128236486</t>
  </si>
  <si>
    <t>3102642224E</t>
  </si>
  <si>
    <t>9780385506786</t>
  </si>
  <si>
    <t>794231429</t>
  </si>
  <si>
    <t>PQ4315.4 K57 2007</t>
  </si>
  <si>
    <t>0                      PQ 4315400K  57          2007</t>
  </si>
  <si>
    <t>The Divine Comedy. 3, Paradiso / Dante ; translated and edited by Robin Kirkpatrick.</t>
  </si>
  <si>
    <t>2017-03-23</t>
  </si>
  <si>
    <t>4536133581:eng</t>
  </si>
  <si>
    <t>155678469</t>
  </si>
  <si>
    <t>ocn155678469</t>
  </si>
  <si>
    <t>3102572722R</t>
  </si>
  <si>
    <t>9780140448979</t>
  </si>
  <si>
    <t>794253444</t>
  </si>
  <si>
    <t>PQ4315.4 M8 1984</t>
  </si>
  <si>
    <t>0                      PQ 4315400M  8           1984</t>
  </si>
  <si>
    <t>Dante's Paradise / translated with notes and commentary by Mark Musa.</t>
  </si>
  <si>
    <t>Bloomington : Indiana University Press, ©1984.</t>
  </si>
  <si>
    <t>2019-09-19</t>
  </si>
  <si>
    <t>4929242126:eng</t>
  </si>
  <si>
    <t>10020470</t>
  </si>
  <si>
    <t>ocm10020470</t>
  </si>
  <si>
    <t>3000363483U</t>
  </si>
  <si>
    <t>9780253316196</t>
  </si>
  <si>
    <t>792705125</t>
  </si>
  <si>
    <t>PQ4315.4 M8 1986</t>
  </si>
  <si>
    <t>0                      PQ 4315400M  8           1986</t>
  </si>
  <si>
    <t>Paradise / Dante Alighieri ; translated with an introduction, notes, and commentary by Mark Musa.</t>
  </si>
  <si>
    <t>New York, NY : Penguin Books, 1986.</t>
  </si>
  <si>
    <t>The divine comedy / Dante Alighieri ; v. 3</t>
  </si>
  <si>
    <t>2018-10-05</t>
  </si>
  <si>
    <t>4927684079:eng</t>
  </si>
  <si>
    <t>12944731</t>
  </si>
  <si>
    <t>ocm12944731</t>
  </si>
  <si>
    <t>3102315331U</t>
  </si>
  <si>
    <t>9780140444438</t>
  </si>
  <si>
    <t>792834021</t>
  </si>
  <si>
    <t>PQ4315.4 S56 1991</t>
  </si>
  <si>
    <t>0                      PQ 4315400S  56          1991</t>
  </si>
  <si>
    <t>[Princeton, N.J.] : Princeton University Press, 1991, ©1975.</t>
  </si>
  <si>
    <t>1st pbk. ed. in 2 vols.</t>
  </si>
  <si>
    <t>24611448</t>
  </si>
  <si>
    <t>ocm24611448</t>
  </si>
  <si>
    <t>31023391890</t>
  </si>
  <si>
    <t>9780691019123</t>
  </si>
  <si>
    <t>793202093</t>
  </si>
  <si>
    <t>3102339111E</t>
  </si>
  <si>
    <t>793202092</t>
  </si>
  <si>
    <t>PQ4315.5 L35 2014</t>
  </si>
  <si>
    <t>0                      PQ 4315500L  35          2014</t>
  </si>
  <si>
    <t>Dante's lyric poetry : poems of youth and of the Vita Nuova (1283-1292) / Dante Alighieri ; edited, with a general introduction and introductory essays by Teodolinda Barolini ; with new verse translations by Richard Lansing ; commentary translated into English by Andrew Frisardi.</t>
  </si>
  <si>
    <t>Lorenzo da Ponte Italian library</t>
  </si>
  <si>
    <t>3859698154:eng</t>
  </si>
  <si>
    <t>888557741</t>
  </si>
  <si>
    <t>ocn888557741</t>
  </si>
  <si>
    <t>3103495102Q</t>
  </si>
  <si>
    <t>9781442648401</t>
  </si>
  <si>
    <t>794978132</t>
  </si>
  <si>
    <t>PQ4315.57 R92 1989</t>
  </si>
  <si>
    <t>0                      PQ 4315570R  92          1989</t>
  </si>
  <si>
    <t>The banquet / Dante ; translated with an introduction and notes by Christopher Ryan.</t>
  </si>
  <si>
    <t>Saratoga, Calif. : ANMA Libri, 1989.</t>
  </si>
  <si>
    <t>Stanford French and Italian studies ; v. 61</t>
  </si>
  <si>
    <t>2018-09-04</t>
  </si>
  <si>
    <t>9593123004:eng</t>
  </si>
  <si>
    <t>19719332</t>
  </si>
  <si>
    <t>ocm19719332</t>
  </si>
  <si>
    <t>3100177269A</t>
  </si>
  <si>
    <t>9780915838479</t>
  </si>
  <si>
    <t>793066740</t>
  </si>
  <si>
    <t>PQ4315.58 C47 1995</t>
  </si>
  <si>
    <t>0                      PQ 4315580C  47          1995</t>
  </si>
  <si>
    <t>Vita nuova / Dante Alighieri ; Italian text with facing English translation by Dino S. Cervigni &amp; Edward Vasta.</t>
  </si>
  <si>
    <t>Notre Dame, Ind. : University of Notre Dame Press, [1995?]-</t>
  </si>
  <si>
    <t>32014244</t>
  </si>
  <si>
    <t>ocm32014244</t>
  </si>
  <si>
    <t>31014947926</t>
  </si>
  <si>
    <t>9780268019259</t>
  </si>
  <si>
    <t>793373324</t>
  </si>
  <si>
    <t>PQ4315.58 M67 2011</t>
  </si>
  <si>
    <t>0                      PQ 4315580M  67          2011</t>
  </si>
  <si>
    <t>Vita nuova / Dante Alighieri ; translated by Anthony Mortimer.</t>
  </si>
  <si>
    <t>Richmond, Surrey : Oneworld Classics, 2011.</t>
  </si>
  <si>
    <t>Oneworld classics ; 159</t>
  </si>
  <si>
    <t>751058361</t>
  </si>
  <si>
    <t>ocn751058361</t>
  </si>
  <si>
    <t>31034980665</t>
  </si>
  <si>
    <t>9781847491923</t>
  </si>
  <si>
    <t>794890297</t>
  </si>
  <si>
    <t>PQ4315.58 M8 1992</t>
  </si>
  <si>
    <t>0                      PQ 4315580M  8           1992</t>
  </si>
  <si>
    <t>Vita nuova / Dante Alighieri ; translated with an introduction by Mark Musa.</t>
  </si>
  <si>
    <t>Oxford ; New York : Oxford University Press, 1992.</t>
  </si>
  <si>
    <t>The World's classics</t>
  </si>
  <si>
    <t>2017-01-23</t>
  </si>
  <si>
    <t>24503888</t>
  </si>
  <si>
    <t>ocm24503888</t>
  </si>
  <si>
    <t>3102767483Y</t>
  </si>
  <si>
    <t>9780192828774</t>
  </si>
  <si>
    <t>793199768</t>
  </si>
  <si>
    <t>PQ4315.58 M8 2008</t>
  </si>
  <si>
    <t>0                      PQ 4315580M  8           2008</t>
  </si>
  <si>
    <t>Vita nuova / Dante Alighieri ; translated with an introduction and notes by Mark Musa.</t>
  </si>
  <si>
    <t>Oxford ; New York : Oxford University Press, 2008.</t>
  </si>
  <si>
    <t>2015-02-01</t>
  </si>
  <si>
    <t>232358291</t>
  </si>
  <si>
    <t>ocn232358291</t>
  </si>
  <si>
    <t>3103593505H</t>
  </si>
  <si>
    <t>9780199540655</t>
  </si>
  <si>
    <t>794363587</t>
  </si>
  <si>
    <t>PQ4315.58 N7 1867</t>
  </si>
  <si>
    <t>0                      PQ 4315580N  7           1867</t>
  </si>
  <si>
    <t>The New life of Dante Alighieri / translated by Charles Eliot Norton.</t>
  </si>
  <si>
    <t>Boston : Ticknor and Fields, 1867.</t>
  </si>
  <si>
    <t>1867</t>
  </si>
  <si>
    <t>2017-04-13</t>
  </si>
  <si>
    <t>2828536</t>
  </si>
  <si>
    <t>ocm02828536</t>
  </si>
  <si>
    <t>3000773294$</t>
  </si>
  <si>
    <t>792181881</t>
  </si>
  <si>
    <t>PQ4315.58 N7 1896</t>
  </si>
  <si>
    <t>0                      PQ 4315580N  7           1896</t>
  </si>
  <si>
    <t>The new life of Dante Alighieri / translated by Dante Gabriel Rossetti.</t>
  </si>
  <si>
    <t>Portland, Me : Thomas B. Masher, 1896.</t>
  </si>
  <si>
    <t>1896</t>
  </si>
  <si>
    <t>Old world series ; 3</t>
  </si>
  <si>
    <t>427142464</t>
  </si>
  <si>
    <t>ocn427142464</t>
  </si>
  <si>
    <t>31002357056</t>
  </si>
  <si>
    <t>794522131</t>
  </si>
  <si>
    <t>PQ4315.62 K39 1998</t>
  </si>
  <si>
    <t>0                      PQ 4315620K  39          1998</t>
  </si>
  <si>
    <t>Dante's Monarchia / translated with a commentary by Richard Kay.</t>
  </si>
  <si>
    <t>Toronto : Pontifical Institute of Mediaeval Studies, 1998.</t>
  </si>
  <si>
    <t>Studies and texts, 0082-5328 ; 131</t>
  </si>
  <si>
    <t>2018-10-11</t>
  </si>
  <si>
    <t>4928727298:eng</t>
  </si>
  <si>
    <t>38432113</t>
  </si>
  <si>
    <t>ocm38432113</t>
  </si>
  <si>
    <t>3101903945V</t>
  </si>
  <si>
    <t>9780888441317</t>
  </si>
  <si>
    <t>793523706</t>
  </si>
  <si>
    <t>PQ4315.62 N5 1954</t>
  </si>
  <si>
    <t>0                      PQ 4315620N  5           1954</t>
  </si>
  <si>
    <t>Monarchy, and Three political letters / Dante ; with an introduction by Donald Nicholl, and a note on the chronology of Dante's political works by Colin Hardie.</t>
  </si>
  <si>
    <t>London : Weindenfeld and Nicholson, 1954.</t>
  </si>
  <si>
    <t>Library of ideas.</t>
  </si>
  <si>
    <t>2008-03-20</t>
  </si>
  <si>
    <t>5615855963:eng</t>
  </si>
  <si>
    <t>320544897</t>
  </si>
  <si>
    <t>ocn320544897</t>
  </si>
  <si>
    <t>30001919106</t>
  </si>
  <si>
    <t>794486491</t>
  </si>
  <si>
    <t>3000468834W</t>
  </si>
  <si>
    <t>794486490</t>
  </si>
  <si>
    <t>2007-12-02</t>
  </si>
  <si>
    <t>3000191909S</t>
  </si>
  <si>
    <t>794486492</t>
  </si>
  <si>
    <t>PQ4315.62 S3 1957</t>
  </si>
  <si>
    <t>0                      PQ 4315620S  3           1957</t>
  </si>
  <si>
    <t>On world-government, or, De monarchia / Dante Alighieri ; translated by Herbert W. Schneider ; with an introduction by Dino Bigongiari.</t>
  </si>
  <si>
    <t>New York : The Liberal Arts Press, ©1957.</t>
  </si>
  <si>
    <t>2nd (rev.) ed.</t>
  </si>
  <si>
    <t>Library of liberal arts ; no. 15</t>
  </si>
  <si>
    <t>2070136906:eng</t>
  </si>
  <si>
    <t>806682</t>
  </si>
  <si>
    <t>ocm00806682</t>
  </si>
  <si>
    <t>3103038284C</t>
  </si>
  <si>
    <t>791474707</t>
  </si>
  <si>
    <t>2010-02-17</t>
  </si>
  <si>
    <t>31030392996</t>
  </si>
  <si>
    <t>791474706</t>
  </si>
  <si>
    <t>2007-11-28</t>
  </si>
  <si>
    <t>31000204844</t>
  </si>
  <si>
    <t>791474708</t>
  </si>
  <si>
    <t>PQ4315.62 S53 1996</t>
  </si>
  <si>
    <t>0                      PQ 4315620S  53          1996</t>
  </si>
  <si>
    <t>Monarchy / Dante ; translated and edited by Prue Shaw.</t>
  </si>
  <si>
    <t>Cambridge : Cambridge University Press, [1996]</t>
  </si>
  <si>
    <t>Cambridge texts in the history of political thought</t>
  </si>
  <si>
    <t>4926370887:eng</t>
  </si>
  <si>
    <t>35556364</t>
  </si>
  <si>
    <t>ocm35556364</t>
  </si>
  <si>
    <t>3103050929P</t>
  </si>
  <si>
    <t>9780521567817</t>
  </si>
  <si>
    <t>793452023</t>
  </si>
  <si>
    <t>PQ4315.62 S5313 1995</t>
  </si>
  <si>
    <t>0                      PQ 4315620S  5313        1995</t>
  </si>
  <si>
    <t>Dante, Monarchia / translated and edited by Prue Shaw.</t>
  </si>
  <si>
    <t>Cambridge [England] ; New York, NY, USA : Cambridge University Press, 1995.</t>
  </si>
  <si>
    <t>Cambridge medieval classics ; 4</t>
  </si>
  <si>
    <t>5089258399:eng</t>
  </si>
  <si>
    <t>31295179</t>
  </si>
  <si>
    <t>ocm31295179</t>
  </si>
  <si>
    <t>31014197257</t>
  </si>
  <si>
    <t>9780521482721</t>
  </si>
  <si>
    <t>793358077</t>
  </si>
  <si>
    <t>PQ4316 A2 P4</t>
  </si>
  <si>
    <t>0                      PQ 4316000A  2                  P  4</t>
  </si>
  <si>
    <t>Œuvres complètes. Traduction et commentaires par André Pézard.</t>
  </si>
  <si>
    <t>[Paris], [Gallimard], [1965]</t>
  </si>
  <si>
    <t>Bibliothèque de la Plèiade, 182</t>
  </si>
  <si>
    <t>2018-05-07</t>
  </si>
  <si>
    <t>2121398:fre</t>
  </si>
  <si>
    <t>2871999</t>
  </si>
  <si>
    <t>ocm02871999</t>
  </si>
  <si>
    <t>30002018249</t>
  </si>
  <si>
    <t>9782070101566</t>
  </si>
  <si>
    <t>792187364</t>
  </si>
  <si>
    <t>PQ4316 A3 V3 1913</t>
  </si>
  <si>
    <t>0                      PQ 4316000A  3                  V  3           1913</t>
  </si>
  <si>
    <t>Pages choisies.</t>
  </si>
  <si>
    <t>Paris : [publisher not identified], 1913.</t>
  </si>
  <si>
    <t>1913</t>
  </si>
  <si>
    <t>Pages choisies des grands écrivains</t>
  </si>
  <si>
    <t>5616023919:fre</t>
  </si>
  <si>
    <t>61605853</t>
  </si>
  <si>
    <t>ocm61605853</t>
  </si>
  <si>
    <t>3103022122J</t>
  </si>
  <si>
    <t>794044396</t>
  </si>
  <si>
    <t>PQ4316 L66 1989</t>
  </si>
  <si>
    <t>0                      PQ 4316000L  66          1989</t>
  </si>
  <si>
    <t>La divine comédie / Dante ; [traduction, préface, notes et commentaires, par Henri Longnon.].</t>
  </si>
  <si>
    <t>Paris : Bordas, ©1989.</t>
  </si>
  <si>
    <t>Ed. illustrée.</t>
  </si>
  <si>
    <t>Classiques Garnier</t>
  </si>
  <si>
    <t>4452229528:fre</t>
  </si>
  <si>
    <t>33145427</t>
  </si>
  <si>
    <t>ocm33145427</t>
  </si>
  <si>
    <t>3101110106R</t>
  </si>
  <si>
    <t>9782040173463</t>
  </si>
  <si>
    <t>793403139</t>
  </si>
  <si>
    <t>PQ4326 A1 2012</t>
  </si>
  <si>
    <t>0                      PQ 4326000A  1           2012</t>
  </si>
  <si>
    <t>Opere di dubbia attribuzione e altri documenti danteschi.</t>
  </si>
  <si>
    <t>Roma : Salerno editrice, [2012]-&lt;[2017]&gt;</t>
  </si>
  <si>
    <t>Nuova edizione commentata delle opere di Dante ; volume 7</t>
  </si>
  <si>
    <t>3375859141:ita</t>
  </si>
  <si>
    <t>830854729</t>
  </si>
  <si>
    <t>ocn830854729</t>
  </si>
  <si>
    <t>31035270219</t>
  </si>
  <si>
    <t>9788884027603</t>
  </si>
  <si>
    <t>794943717</t>
  </si>
  <si>
    <t>PQ4326 Q2 1905</t>
  </si>
  <si>
    <t>0                      PQ 4326000Q  2           1905</t>
  </si>
  <si>
    <t>La "Quaestio de aqua et terra." Introduzione storica e trascrizione critica del testo latino di G. Boffito, con introduzione scientifica del O. Zanotti-Bianco e proemio del Prompt.</t>
  </si>
  <si>
    <t>Firenze, L.S. Olschki, 1905.</t>
  </si>
  <si>
    <t>1905</t>
  </si>
  <si>
    <t>2017-02-12</t>
  </si>
  <si>
    <t>350614486:lat</t>
  </si>
  <si>
    <t>12372155</t>
  </si>
  <si>
    <t>ocm12372155</t>
  </si>
  <si>
    <t>3000607454W</t>
  </si>
  <si>
    <t>792812642</t>
  </si>
  <si>
    <t>3100141460V</t>
  </si>
  <si>
    <t>792812643</t>
  </si>
  <si>
    <t>PQ4326 Q2 1968</t>
  </si>
  <si>
    <t>0                      PQ 4326000Q  2           1968</t>
  </si>
  <si>
    <t>De situ et forma aque et terre. A cura di Giorgio Padoan.</t>
  </si>
  <si>
    <t>Dante Alighieri, 1265-1321. Spurious and doubtful works.</t>
  </si>
  <si>
    <t>Firenze, F. Le Monnier, 1968.</t>
  </si>
  <si>
    <t>His Opere, v. VIII, 3</t>
  </si>
  <si>
    <t>349859165:ita</t>
  </si>
  <si>
    <t>3267140</t>
  </si>
  <si>
    <t>ocm03267140</t>
  </si>
  <si>
    <t>3000608577B</t>
  </si>
  <si>
    <t>792236921</t>
  </si>
  <si>
    <t>PQ4328 D3 2012</t>
  </si>
  <si>
    <t>0                      PQ 4328000D  3           2012</t>
  </si>
  <si>
    <t>Wordly wise : the semiotics of discourse in Dante's Commedia / Raffaele De Benedictis.</t>
  </si>
  <si>
    <t>De Benedictis, Raffaele, 1964-</t>
  </si>
  <si>
    <t>New York : Peter Lang, 2012.</t>
  </si>
  <si>
    <t>Berkeley insights in linguistics and semiotics ; v. 84</t>
  </si>
  <si>
    <t>1012534864:eng</t>
  </si>
  <si>
    <t>754105612</t>
  </si>
  <si>
    <t>ocn754105612</t>
  </si>
  <si>
    <t>31033955804</t>
  </si>
  <si>
    <t>9781433116223</t>
  </si>
  <si>
    <t>794892492</t>
  </si>
  <si>
    <t>PQ4328 S62 V55 2010</t>
  </si>
  <si>
    <t>0                      PQ 4328000S  62                 V  55          2010</t>
  </si>
  <si>
    <t>Dante's Divina comedia : linguistic study and critical edition of a fifteenth-century Spanish translation attributed to Enrique de Villena / by Teresa M. Bargetto-Andrés.</t>
  </si>
  <si>
    <t>Bargetto-Andrés, Teresa M.</t>
  </si>
  <si>
    <t>Newark, DE : Juan de la Cuesta, ©2010.</t>
  </si>
  <si>
    <t>Juan de la Cuesta Hispanic monographs: Ediciones críticas ; no 58</t>
  </si>
  <si>
    <t>757435324:eng</t>
  </si>
  <si>
    <t>681916793</t>
  </si>
  <si>
    <t>ocn681916793</t>
  </si>
  <si>
    <t>3103345229D</t>
  </si>
  <si>
    <t>9781588711854</t>
  </si>
  <si>
    <t>794852453</t>
  </si>
  <si>
    <t>PQ4328 S63 M66 2011</t>
  </si>
  <si>
    <t>0                      PQ 4328000S  63                 M  66          2011</t>
  </si>
  <si>
    <t>Dante nel Rinascimento castigliano : l'Infierno di Pedro Fernández de Villegas / Roberto Mondola.</t>
  </si>
  <si>
    <t>Mondola, Roberto.</t>
  </si>
  <si>
    <t>Napoli : T. Pironti, 2011.</t>
  </si>
  <si>
    <t>Materia hispánica ; 3</t>
  </si>
  <si>
    <t>1103122003:ita</t>
  </si>
  <si>
    <t>788213356</t>
  </si>
  <si>
    <t>ocn788213356</t>
  </si>
  <si>
    <t>3103125775A</t>
  </si>
  <si>
    <t>9788879375801</t>
  </si>
  <si>
    <t>794916179</t>
  </si>
  <si>
    <t>PQ4328 S72 F473 2017</t>
  </si>
  <si>
    <t>0                      PQ 4328000S  72                 F  473         2017</t>
  </si>
  <si>
    <t>Dante vestido a la castellana : el Infierno de Pedro Fernández de Villegas / Roberto Mondola.</t>
  </si>
  <si>
    <t>Mondola, Roberto, author.</t>
  </si>
  <si>
    <t>[Pamplona, Spain] : Universidad de Navarra ; Madrid : Iberoamericana ; Frankfurt am Main : Vervuert, 2017.</t>
  </si>
  <si>
    <t>Biblioteca Áurea hispánica ; 113</t>
  </si>
  <si>
    <t>4217221639:spa</t>
  </si>
  <si>
    <t>987662231</t>
  </si>
  <si>
    <t>ocn987662231</t>
  </si>
  <si>
    <t>3103715675G</t>
  </si>
  <si>
    <t>9788484899969</t>
  </si>
  <si>
    <t>795036298</t>
  </si>
  <si>
    <t>PQ4329 D36 2017</t>
  </si>
  <si>
    <t>0                      PQ 4329000D  36          2017</t>
  </si>
  <si>
    <t>Dante visualizzato : carte ridenti / a cura di Rossend Arqués Corominas e Marcello Ciccuto.</t>
  </si>
  <si>
    <t>Firenze : Franco Cesati Editore, [2017]-&lt;[2019]&gt;</t>
  </si>
  <si>
    <t>4586886686:ita</t>
  </si>
  <si>
    <t>1009068618</t>
  </si>
  <si>
    <t>on1009068618</t>
  </si>
  <si>
    <t>31037211868</t>
  </si>
  <si>
    <t>9788876676574</t>
  </si>
  <si>
    <t>795045063</t>
  </si>
  <si>
    <t>PQ4329 D625 1976</t>
  </si>
  <si>
    <t>0                      PQ 4329000D  625         1976</t>
  </si>
  <si>
    <t>The Doré illustrations for Dante's Divine comedy : 136 plates / by Gustave Doré.</t>
  </si>
  <si>
    <t>Doré, Gustave, 1832-1883.</t>
  </si>
  <si>
    <t>New York : Dover Publications, [1976]</t>
  </si>
  <si>
    <t>Dover pictorial archive series</t>
  </si>
  <si>
    <t>2018-09-11</t>
  </si>
  <si>
    <t>493431:eng</t>
  </si>
  <si>
    <t>2216689</t>
  </si>
  <si>
    <t>ocm02216689</t>
  </si>
  <si>
    <t>3103687283P</t>
  </si>
  <si>
    <t>9780486232317</t>
  </si>
  <si>
    <t>792068858</t>
  </si>
  <si>
    <t>PQ4329 N37 1994</t>
  </si>
  <si>
    <t>0                      PQ 4329000N  37          1994</t>
  </si>
  <si>
    <t>Illustrations to Dante's Inferno / Eugene Paul Nassar.</t>
  </si>
  <si>
    <t>Nassar, Eugene Paul.</t>
  </si>
  <si>
    <t>Rutherford : Fairleigh Dickinson University Press ; London ; Cranbury, NJ : Associated University Presses, ©1994.</t>
  </si>
  <si>
    <t>2018-01-24</t>
  </si>
  <si>
    <t>26137221:eng</t>
  </si>
  <si>
    <t>24703015</t>
  </si>
  <si>
    <t>ocm24703015</t>
  </si>
  <si>
    <t>3102673305X</t>
  </si>
  <si>
    <t>9780838634264</t>
  </si>
  <si>
    <t>793204109</t>
  </si>
  <si>
    <t>2015-12-07</t>
  </si>
  <si>
    <t>2003-11-30</t>
  </si>
  <si>
    <t>PQ4331.5 C66 2010</t>
  </si>
  <si>
    <t>0                      PQ 4331500C  66          2010</t>
  </si>
  <si>
    <t>Leggere Dante oggi : interpretare, commentare, tradurre alle soglie del settecentesimo anniversario : atti del Convegno internazionale, 24-26 giugno 2010, Accademia d'Ungheria in Roma / a cura di Éva Vígh.</t>
  </si>
  <si>
    <t>Convegno internazionale Leggere Dante oggi, interpretare, commentare, tradurre alle soglie del settecentesimo anniversario (2010 : Rome, Italy)</t>
  </si>
  <si>
    <t>Roma : Aracne, 2011.</t>
  </si>
  <si>
    <t>974956976:ita</t>
  </si>
  <si>
    <t>726828044</t>
  </si>
  <si>
    <t>ocn726828044</t>
  </si>
  <si>
    <t>3103125387K</t>
  </si>
  <si>
    <t>9788854839625</t>
  </si>
  <si>
    <t>794877525</t>
  </si>
  <si>
    <t>PQ4331.5 C67 2010</t>
  </si>
  <si>
    <t>0                      PQ 4331500C  67          2010</t>
  </si>
  <si>
    <t>Leggere Dante oggi : i testi, l'esegesi : atti del convegno-seminario di Roma, 25-27 ottobre 2010 / a cura di Enrico Malato e Andrea Mazzucchi.</t>
  </si>
  <si>
    <t>Roma : Salerno, 2012.</t>
  </si>
  <si>
    <t>Pubblicazioni del Centro Pio Rajna ; 20</t>
  </si>
  <si>
    <t>5619049506:ita</t>
  </si>
  <si>
    <t>796042301</t>
  </si>
  <si>
    <t>ocn796042301</t>
  </si>
  <si>
    <t>31031258923</t>
  </si>
  <si>
    <t>9788884027566</t>
  </si>
  <si>
    <t>794921991</t>
  </si>
  <si>
    <t>PQ4331.5 I58 2003</t>
  </si>
  <si>
    <t>0                      PQ 4331500I  58          2003</t>
  </si>
  <si>
    <t>Le culture di Dante : studi in onore di Robert Hollander : atti del quarto Seminario dantesco internazionale, University of Notre Dame (Ind.), USA, 25-27 settembre 2003 / a cura di Michelangelo Picone, Theodore J. Cachey Jr., Margherita Mesirca.</t>
  </si>
  <si>
    <t>International Dante Seminar (4th : 2003 : University of Notre Dame (South Bend, Ind.))</t>
  </si>
  <si>
    <t>Firenze : F. Cesati, 2004.</t>
  </si>
  <si>
    <t>Quaderni della Rassegna ; 39</t>
  </si>
  <si>
    <t>354597610:ita</t>
  </si>
  <si>
    <t>57754045</t>
  </si>
  <si>
    <t>ocm57754045</t>
  </si>
  <si>
    <t>3102459563D</t>
  </si>
  <si>
    <t>9788876671838</t>
  </si>
  <si>
    <t>793918966</t>
  </si>
  <si>
    <t>PQ4331.5 I58 2010</t>
  </si>
  <si>
    <t>0                      PQ 4331500I  58          2010</t>
  </si>
  <si>
    <t>Dante the lyric and ethical poet = Dante lirico e etico / edited by Zygmunt G. Barański and Martin McLaughlin.</t>
  </si>
  <si>
    <t>International Dante Seminar (5th : 2007 : University of Oxford)</t>
  </si>
  <si>
    <t>London : Modern Humanities Research Association and Maney Publishing, 2010.</t>
  </si>
  <si>
    <t>2012-02-05</t>
  </si>
  <si>
    <t>795978215:eng</t>
  </si>
  <si>
    <t>624400379</t>
  </si>
  <si>
    <t>ocn624400379</t>
  </si>
  <si>
    <t>3103239278Z</t>
  </si>
  <si>
    <t>9781906540043</t>
  </si>
  <si>
    <t>794823830</t>
  </si>
  <si>
    <t>PQ4332 F7</t>
  </si>
  <si>
    <t>0                      PQ 4332000F  7</t>
  </si>
  <si>
    <t>Dante : a collection of critical essays / edited by John Freccero.</t>
  </si>
  <si>
    <t>Englewood Cliffs, N.J. : Prentice-Hall, [1965]</t>
  </si>
  <si>
    <t>Twentieth century views ; S-TC-46</t>
  </si>
  <si>
    <t>2007-05-22</t>
  </si>
  <si>
    <t>2017-11-27</t>
  </si>
  <si>
    <t>1811757229:eng</t>
  </si>
  <si>
    <t>711428</t>
  </si>
  <si>
    <t>ocm00711428</t>
  </si>
  <si>
    <t>3000500374Z</t>
  </si>
  <si>
    <t>791452495</t>
  </si>
  <si>
    <t>3000201832A</t>
  </si>
  <si>
    <t>791452496</t>
  </si>
  <si>
    <t>PQ4332 F74</t>
  </si>
  <si>
    <t>0                      PQ 4332000F  74</t>
  </si>
  <si>
    <t>From time to eternity; essays on Dante's Divine comedy, edited by Thomas G. Bergin.</t>
  </si>
  <si>
    <t>New Haven, Yale University Press, 1967.</t>
  </si>
  <si>
    <t>2012-11-27</t>
  </si>
  <si>
    <t>2015-04-15</t>
  </si>
  <si>
    <t>836706284:eng</t>
  </si>
  <si>
    <t>343887</t>
  </si>
  <si>
    <t>ocm00343887</t>
  </si>
  <si>
    <t>3000647024X</t>
  </si>
  <si>
    <t>791344316</t>
  </si>
  <si>
    <t>2003-11-03</t>
  </si>
  <si>
    <t>3001147152E</t>
  </si>
  <si>
    <t>791344315</t>
  </si>
  <si>
    <t>3100144271J</t>
  </si>
  <si>
    <t>791344318</t>
  </si>
  <si>
    <t>PQ4332 L43 2011</t>
  </si>
  <si>
    <t>0                      PQ 4332000L  43          2011</t>
  </si>
  <si>
    <t>Lectura Dantis Bononiensis / a cura di Emilio Pasquini e Carlo Galli.</t>
  </si>
  <si>
    <t>Bologna : Bononia University Press, 2011-&lt;2018&gt;</t>
  </si>
  <si>
    <t>Accademia delle scienze dell'Istituto di Bologna. Classe di scienze morali</t>
  </si>
  <si>
    <t>2867760645:ita</t>
  </si>
  <si>
    <t>756578512</t>
  </si>
  <si>
    <t>ocn756578512</t>
  </si>
  <si>
    <t>3103661149Y</t>
  </si>
  <si>
    <t>9788873956334</t>
  </si>
  <si>
    <t>794894571</t>
  </si>
  <si>
    <t>3103621382F</t>
  </si>
  <si>
    <t>794894572</t>
  </si>
  <si>
    <t>31031259832</t>
  </si>
  <si>
    <t>794894573</t>
  </si>
  <si>
    <t>3103125548M</t>
  </si>
  <si>
    <t>794894574</t>
  </si>
  <si>
    <t>PQ4332 L44 2013</t>
  </si>
  <si>
    <t>0                      PQ 4332000L  44          2013</t>
  </si>
  <si>
    <t>"Legato con amore in un volume" : essays in honour of John A. Scott / edited by John J. Kinder and Diana Glenn.</t>
  </si>
  <si>
    <t>Firenze : L.S. Olschki, 2013.</t>
  </si>
  <si>
    <t>Biblioteca dell'"Archivum Romanicum." Serie I: Storia, letteratura, paleografia ; 404</t>
  </si>
  <si>
    <t>1356977756:eng</t>
  </si>
  <si>
    <t>843328931</t>
  </si>
  <si>
    <t>ocn843328931</t>
  </si>
  <si>
    <t>3103126274L</t>
  </si>
  <si>
    <t>9788822261915</t>
  </si>
  <si>
    <t>794948022</t>
  </si>
  <si>
    <t>V. 12</t>
  </si>
  <si>
    <t>V. 24</t>
  </si>
  <si>
    <t>V. 10</t>
  </si>
  <si>
    <t>V. 30</t>
  </si>
  <si>
    <t>V. 13</t>
  </si>
  <si>
    <t>V. 16</t>
  </si>
  <si>
    <t>V. 15</t>
  </si>
  <si>
    <t>V. 11</t>
  </si>
  <si>
    <t>V. 29</t>
  </si>
  <si>
    <t>V. 7</t>
  </si>
  <si>
    <t>V. 20</t>
  </si>
  <si>
    <t>V. 19</t>
  </si>
  <si>
    <t>V. 14</t>
  </si>
  <si>
    <t>V. 9</t>
  </si>
  <si>
    <t>V. 8</t>
  </si>
  <si>
    <t>PQ4332 W6</t>
  </si>
  <si>
    <t>0                      PQ 4332000W  6</t>
  </si>
  <si>
    <t>The World of Dante : essays on Dante and his times / edited for the Oxford Dante Society by Cecil Grayson.</t>
  </si>
  <si>
    <t>Oxford : Clarendon Press ; New York : Oxford University Press, 1980.</t>
  </si>
  <si>
    <t>2018-12-10</t>
  </si>
  <si>
    <t>889581184:eng</t>
  </si>
  <si>
    <t>5410501</t>
  </si>
  <si>
    <t>ocm05410501</t>
  </si>
  <si>
    <t>3000301074J</t>
  </si>
  <si>
    <t>9780198157601</t>
  </si>
  <si>
    <t>792431078</t>
  </si>
  <si>
    <t>PQ4333 D36 2000</t>
  </si>
  <si>
    <t>0                      PQ 4333000D  36          2000</t>
  </si>
  <si>
    <t>The Dante encyclopedia / editor, Richard Lansing ; associate editors, Teodolinda Barolini [and others] ; advisors, Steven Botterill [and others].</t>
  </si>
  <si>
    <t>New York : Garland Pub., 2000.</t>
  </si>
  <si>
    <t>Garland reference library of the humanities ; vol. 1836</t>
  </si>
  <si>
    <t>2018-10-29</t>
  </si>
  <si>
    <t>897885024:eng</t>
  </si>
  <si>
    <t>43296616</t>
  </si>
  <si>
    <t>ocm43296616</t>
  </si>
  <si>
    <t>31020424770</t>
  </si>
  <si>
    <t>9780815316596</t>
  </si>
  <si>
    <t>793623885</t>
  </si>
  <si>
    <t>PQ4333 T72</t>
  </si>
  <si>
    <t>0                      PQ 4333000T  72</t>
  </si>
  <si>
    <t>Concise dictionary of proper names and notable matters in the works of Dante / by Paget Toynbee ...</t>
  </si>
  <si>
    <t>Toynbee, Paget Jackson, 1855-1932.</t>
  </si>
  <si>
    <t>Oxford : Clarendon Press, 1914.</t>
  </si>
  <si>
    <t>3855431739:eng</t>
  </si>
  <si>
    <t>1249747</t>
  </si>
  <si>
    <t>ocm01249747</t>
  </si>
  <si>
    <t>3103350224S</t>
  </si>
  <si>
    <t>791583629</t>
  </si>
  <si>
    <t>PQ4334 D5</t>
  </si>
  <si>
    <t>0                      PQ 4334000D  5</t>
  </si>
  <si>
    <t>Aids to the study of Dante / by Charles Allen Dinsmore.</t>
  </si>
  <si>
    <t>Dinsmore, Charles Allen, 1860-1941, compiler.</t>
  </si>
  <si>
    <t>Boston ; New York : Houghton, Mifflin and Company, 1903.</t>
  </si>
  <si>
    <t>1903</t>
  </si>
  <si>
    <t>1854877:eng</t>
  </si>
  <si>
    <t>878934</t>
  </si>
  <si>
    <t>ocm00878934</t>
  </si>
  <si>
    <t>3100989535H</t>
  </si>
  <si>
    <t>791493281</t>
  </si>
  <si>
    <t>3000779257C</t>
  </si>
  <si>
    <t>791493282</t>
  </si>
  <si>
    <t>PQ4334 S5</t>
  </si>
  <si>
    <t>0                      PQ 4334000S  5</t>
  </si>
  <si>
    <t>A companion to Dante, from the German of G.A. Scartazzini by Arthur John Butler.</t>
  </si>
  <si>
    <t>Scartazzini, Giovanni Andrea, 1837-1901.</t>
  </si>
  <si>
    <t>London, New York, Macmillan and Co., 1893.</t>
  </si>
  <si>
    <t>5681094:eng</t>
  </si>
  <si>
    <t>2666895</t>
  </si>
  <si>
    <t>ocm02666895</t>
  </si>
  <si>
    <t>3102111887Y</t>
  </si>
  <si>
    <t>792160216</t>
  </si>
  <si>
    <t>PQ4335 A43 2007</t>
  </si>
  <si>
    <t>0                      PQ 4335000A  43          2007</t>
  </si>
  <si>
    <t>Dante and Derrida : face to face / Francis J. Ambrosio.</t>
  </si>
  <si>
    <t>Ambrosio, Francis J.</t>
  </si>
  <si>
    <t>Albany : State University of New York Press, ©2007.</t>
  </si>
  <si>
    <t>SUNY series in theology and continental thought</t>
  </si>
  <si>
    <t>2017-02-05</t>
  </si>
  <si>
    <t>52014417:eng</t>
  </si>
  <si>
    <t>68711945</t>
  </si>
  <si>
    <t>ocm68711945</t>
  </si>
  <si>
    <t>3102594340H</t>
  </si>
  <si>
    <t>9780791470053</t>
  </si>
  <si>
    <t>794143996</t>
  </si>
  <si>
    <t>PQ4335 B39 2000</t>
  </si>
  <si>
    <t>0                      PQ 4335000B  39          2000</t>
  </si>
  <si>
    <t>A new life of Dante / Stephen Bemrose.</t>
  </si>
  <si>
    <t>Bemrose, Stephen.</t>
  </si>
  <si>
    <t>Exeter (GB) : University of Exeter Press, ©2000.</t>
  </si>
  <si>
    <t>971832:eng</t>
  </si>
  <si>
    <t>42790785</t>
  </si>
  <si>
    <t>ocm42790785</t>
  </si>
  <si>
    <t>31020301535</t>
  </si>
  <si>
    <t>9780859895835</t>
  </si>
  <si>
    <t>793614446</t>
  </si>
  <si>
    <t>PQ4335 B4</t>
  </si>
  <si>
    <t>0                      PQ 4335000B  4</t>
  </si>
  <si>
    <t>An approach to Dante / Thomas G. Bergin.</t>
  </si>
  <si>
    <t>Bergin, Thomas Goddard, 1904-1987.</t>
  </si>
  <si>
    <t>London : Bodley Head, 1965.</t>
  </si>
  <si>
    <t>2015-11-01</t>
  </si>
  <si>
    <t>2452466983:eng</t>
  </si>
  <si>
    <t>3506555</t>
  </si>
  <si>
    <t>ocm03506555</t>
  </si>
  <si>
    <t>3000552136B</t>
  </si>
  <si>
    <t>792262342</t>
  </si>
  <si>
    <t>PQ4335 B5 1886</t>
  </si>
  <si>
    <t>0                      PQ 4335000B  5           1886</t>
  </si>
  <si>
    <t>Introduction to the study of Dante, being a new ed. of Dante as philosopher, patriot and poet; with an analysis of the Divine comedy, its plot and episodes.</t>
  </si>
  <si>
    <t>Botta, Vincenzo.</t>
  </si>
  <si>
    <t>New York, Scribner, 1886.</t>
  </si>
  <si>
    <t>1886</t>
  </si>
  <si>
    <t>1433097:eng</t>
  </si>
  <si>
    <t>331311</t>
  </si>
  <si>
    <t>ocm00331311</t>
  </si>
  <si>
    <t>3000753618B</t>
  </si>
  <si>
    <t>791339942</t>
  </si>
  <si>
    <t>PQ4335 C36 2007</t>
  </si>
  <si>
    <t>0                      PQ 4335000C  36          2007</t>
  </si>
  <si>
    <t>The Cambridge companion to Dante / edited by Rachel Jacoff.</t>
  </si>
  <si>
    <t>Jacoff, Rachel, editor.</t>
  </si>
  <si>
    <t>Cambridge ; New York : Cambridge University Press, ©2007.</t>
  </si>
  <si>
    <t>Cambridge companions to literature</t>
  </si>
  <si>
    <t>55590521:eng</t>
  </si>
  <si>
    <t>71808130</t>
  </si>
  <si>
    <t>ocm71808130</t>
  </si>
  <si>
    <t>3102568614D</t>
  </si>
  <si>
    <t>9780521844307</t>
  </si>
  <si>
    <t>794168473</t>
  </si>
  <si>
    <t>PQ4335 D283 2011</t>
  </si>
  <si>
    <t>0                      PQ 4335000D  283         2011</t>
  </si>
  <si>
    <t>Dante Alighieri / edited and with an introduction by Harold Bloom.</t>
  </si>
  <si>
    <t>New York : Bloom's Literary Criticism, 2011.</t>
  </si>
  <si>
    <t>Bloom's modern critical views</t>
  </si>
  <si>
    <t>3770134232:eng</t>
  </si>
  <si>
    <t>460053382</t>
  </si>
  <si>
    <t>ocn460053382</t>
  </si>
  <si>
    <t>3103320513$</t>
  </si>
  <si>
    <t>9781604138801</t>
  </si>
  <si>
    <t>794790862</t>
  </si>
  <si>
    <t>PQ4335 D29 1999</t>
  </si>
  <si>
    <t>0                      PQ 4335000D  29          1999</t>
  </si>
  <si>
    <t>Dante / edited and introduced by Jeremy Tambling.</t>
  </si>
  <si>
    <t>London ; New York : Longman, 1999.</t>
  </si>
  <si>
    <t>Longman critical readers</t>
  </si>
  <si>
    <t>2019-11-06</t>
  </si>
  <si>
    <t>9621867711:eng</t>
  </si>
  <si>
    <t>40683882</t>
  </si>
  <si>
    <t>ocm40683882</t>
  </si>
  <si>
    <t>3101953867W</t>
  </si>
  <si>
    <t>9780582312647</t>
  </si>
  <si>
    <t>793572911</t>
  </si>
  <si>
    <t>PQ4335 D32 2011</t>
  </si>
  <si>
    <t>0                      PQ 4335000D  32          2011</t>
  </si>
  <si>
    <t>Dante in Oxford : the Paget Toynbee lectures / edited by Tristan Kay, Martin McLaughlin and Michelangelo Zaccarello.</t>
  </si>
  <si>
    <t>London : Legenda, 2011.</t>
  </si>
  <si>
    <t>957890561:eng</t>
  </si>
  <si>
    <t>706789923</t>
  </si>
  <si>
    <t>ocn706789923</t>
  </si>
  <si>
    <t>31032345779</t>
  </si>
  <si>
    <t>9781900755993</t>
  </si>
  <si>
    <t>794867162</t>
  </si>
  <si>
    <t>PQ4335 D355 2007</t>
  </si>
  <si>
    <t>0                      PQ 4335000D  355         2007</t>
  </si>
  <si>
    <t>Dante on view : the reception of Dante in the visual and performing arts / edited by Antonella Braida and Luisa Cale.</t>
  </si>
  <si>
    <t>Aldershot, Hants, England ; Burlington, VT : Ashgate, ©2007.</t>
  </si>
  <si>
    <t>866176311:eng</t>
  </si>
  <si>
    <t>83609616</t>
  </si>
  <si>
    <t>ocm83609616</t>
  </si>
  <si>
    <t>31025741240</t>
  </si>
  <si>
    <t>9780754658962</t>
  </si>
  <si>
    <t>794208945</t>
  </si>
  <si>
    <t>PQ4335 H39 2006</t>
  </si>
  <si>
    <t>0                      PQ 4335000H  39          2006</t>
  </si>
  <si>
    <t>Dante : a brief history / Peter S. Hawkins.</t>
  </si>
  <si>
    <t>Hawkins, Peter S.</t>
  </si>
  <si>
    <t>Malden, Mass. : Blackwell Pub., 2006.</t>
  </si>
  <si>
    <t>Blackwell brief histories of religion</t>
  </si>
  <si>
    <t>804029412:eng</t>
  </si>
  <si>
    <t>62127941</t>
  </si>
  <si>
    <t>ocm62127941</t>
  </si>
  <si>
    <t>3102567054R</t>
  </si>
  <si>
    <t>9781405130516</t>
  </si>
  <si>
    <t>794100565</t>
  </si>
  <si>
    <t>PQ4335 H63 2001</t>
  </si>
  <si>
    <t>0                      PQ 4335000H  63          2001</t>
  </si>
  <si>
    <t>Dante : a life in works / Robert Hollander.</t>
  </si>
  <si>
    <t>New Haven : Yale University Press, ©2001.</t>
  </si>
  <si>
    <t>864149231:eng</t>
  </si>
  <si>
    <t>45087277</t>
  </si>
  <si>
    <t>ocm45087277</t>
  </si>
  <si>
    <t>3102110624Y</t>
  </si>
  <si>
    <t>9780300084948</t>
  </si>
  <si>
    <t>793664273</t>
  </si>
  <si>
    <t>PQ4335 L44 2011</t>
  </si>
  <si>
    <t>0                      PQ 4335000L  44          2011</t>
  </si>
  <si>
    <t>Dante for beginners / Joe Lee.</t>
  </si>
  <si>
    <t>Lee, Joe, 1953- author.</t>
  </si>
  <si>
    <t>Hanover, N.H. : For Beginners, ©2011.</t>
  </si>
  <si>
    <t>For beginners documentary comic book</t>
  </si>
  <si>
    <t>9289859:eng</t>
  </si>
  <si>
    <t>757148915</t>
  </si>
  <si>
    <t>ocn757148915</t>
  </si>
  <si>
    <t>31034684658</t>
  </si>
  <si>
    <t>9781934389676</t>
  </si>
  <si>
    <t>794895298</t>
  </si>
  <si>
    <t>PQ4335 L49 2001</t>
  </si>
  <si>
    <t>0                      PQ 4335000L  49          2001</t>
  </si>
  <si>
    <t>Dante / R.W.B. Lewis.</t>
  </si>
  <si>
    <t>Lewis, R. W. B. (Richard Warrington Baldwin)</t>
  </si>
  <si>
    <t>New York : Lipper/Viking, 2001.</t>
  </si>
  <si>
    <t>A penguin life</t>
  </si>
  <si>
    <t>733799:eng</t>
  </si>
  <si>
    <t>44632921</t>
  </si>
  <si>
    <t>ocm44632921</t>
  </si>
  <si>
    <t>3102110559J</t>
  </si>
  <si>
    <t>9780670899098</t>
  </si>
  <si>
    <t>793654686</t>
  </si>
  <si>
    <t>PQ4335 R49 2006</t>
  </si>
  <si>
    <t>0                      PQ 4335000R  49          2006</t>
  </si>
  <si>
    <t>Dante : the poet, the political thinker, the man / Barbara Reynolds.</t>
  </si>
  <si>
    <t>Reynolds, Barbara, 1914-2015.</t>
  </si>
  <si>
    <t>Emeryville, CA : Shoemaker &amp; Hoard, an imprint of Avalon Pub. Group : Distributed by Publishers Group West, 2006.</t>
  </si>
  <si>
    <t>1st Shoemaker &amp; Hoard ed.</t>
  </si>
  <si>
    <t>47336194:eng</t>
  </si>
  <si>
    <t>70673248</t>
  </si>
  <si>
    <t>ocm70673248</t>
  </si>
  <si>
    <t>3102635491O</t>
  </si>
  <si>
    <t>9781593761240</t>
  </si>
  <si>
    <t>794157433</t>
  </si>
  <si>
    <t>PQ4335 S54 2014</t>
  </si>
  <si>
    <t>0                      PQ 4335000S  54          2014</t>
  </si>
  <si>
    <t>Reading Dante : From Here to Eternity / Prue Shaw.</t>
  </si>
  <si>
    <t>Shaw, Prue, author.</t>
  </si>
  <si>
    <t>New York : Liveright Publishing Corporation, [2014]</t>
  </si>
  <si>
    <t>2017-08-30</t>
  </si>
  <si>
    <t>1894791796:eng</t>
  </si>
  <si>
    <t>864709576</t>
  </si>
  <si>
    <t>ocn864709576</t>
  </si>
  <si>
    <t>31035289775</t>
  </si>
  <si>
    <t>9780871407429</t>
  </si>
  <si>
    <t>794962273</t>
  </si>
  <si>
    <t>PQ4335 T7 1965</t>
  </si>
  <si>
    <t>0                      PQ 4335000T  7           1965</t>
  </si>
  <si>
    <t>Dante Alighieri, his life and works. Edited with an introd., notes, and bibliography, by Charles S. Singleton.</t>
  </si>
  <si>
    <t>New York, Harper &amp; Row [1965]</t>
  </si>
  <si>
    <t>[4th ed.].</t>
  </si>
  <si>
    <t>Harper Torchbooks, TB1206L. The Academy library</t>
  </si>
  <si>
    <t>1739159:eng</t>
  </si>
  <si>
    <t>1021318</t>
  </si>
  <si>
    <t>ocm01021318</t>
  </si>
  <si>
    <t>3000201846$</t>
  </si>
  <si>
    <t>791526704</t>
  </si>
  <si>
    <t>2002-11-27</t>
  </si>
  <si>
    <t>3000500382$</t>
  </si>
  <si>
    <t>791526706</t>
  </si>
  <si>
    <t>3102846359E</t>
  </si>
  <si>
    <t>791526705</t>
  </si>
  <si>
    <t>PQ4339 A73 2011</t>
  </si>
  <si>
    <t>0                      PQ 4339000A  73          2011</t>
  </si>
  <si>
    <t>Dante : il paradigma intellettuale ; un'inventio degli anni fiorentini / Maria Luisa Ardizzone.</t>
  </si>
  <si>
    <t>Firenze : Olschki, 2011.</t>
  </si>
  <si>
    <t>Biblioteca dell' "Archivum romanicum" : Ser. 1, Storia, letteratura, paleografia ; 379</t>
  </si>
  <si>
    <t>2017-11-20</t>
  </si>
  <si>
    <t>10076136352:ita</t>
  </si>
  <si>
    <t>723548493</t>
  </si>
  <si>
    <t>ocn723548493</t>
  </si>
  <si>
    <t>3103125412V</t>
  </si>
  <si>
    <t>9788822260437</t>
  </si>
  <si>
    <t>794876042</t>
  </si>
  <si>
    <t>PQ4339 B453</t>
  </si>
  <si>
    <t>0                      PQ 4339000B  453</t>
  </si>
  <si>
    <t>Life of Dante; translated and edited by Paul-Ruggiers.</t>
  </si>
  <si>
    <t>Barbi, Michele, 1867-1941.</t>
  </si>
  <si>
    <t>Berkeley University of California Press 1954.</t>
  </si>
  <si>
    <t>2016-03-16</t>
  </si>
  <si>
    <t>8941148043:eng</t>
  </si>
  <si>
    <t>427156542</t>
  </si>
  <si>
    <t>ocn427156542</t>
  </si>
  <si>
    <t>3000201848W</t>
  </si>
  <si>
    <t>794522959</t>
  </si>
  <si>
    <t>PQ4339 I54 2015</t>
  </si>
  <si>
    <t>0                      PQ 4339000I  54          2015</t>
  </si>
  <si>
    <t>Vita di Dante : una biografia possibile / Giorgio Inglese ; con un saggio di Giuliano Milani.</t>
  </si>
  <si>
    <t>Inglese, Giorgio, author.</t>
  </si>
  <si>
    <t>Saggi ; 75</t>
  </si>
  <si>
    <t>2478370858:ita</t>
  </si>
  <si>
    <t>905552860</t>
  </si>
  <si>
    <t>ocn905552860</t>
  </si>
  <si>
    <t>31036216459</t>
  </si>
  <si>
    <t>9788843075058</t>
  </si>
  <si>
    <t>794991555</t>
  </si>
  <si>
    <t>PQ4339 P53 2017</t>
  </si>
  <si>
    <t>0                      PQ 4339000P  53          2017</t>
  </si>
  <si>
    <t>Studi danteschi / a cura di Antonio Lanza.</t>
  </si>
  <si>
    <t>Picone, Michelangelo, 1943-2009, author.</t>
  </si>
  <si>
    <t>Memoria del tempo ; 53</t>
  </si>
  <si>
    <t>4230210207:ita</t>
  </si>
  <si>
    <t>985306441</t>
  </si>
  <si>
    <t>ocn985306441</t>
  </si>
  <si>
    <t>3103721222U</t>
  </si>
  <si>
    <t>9788880638100</t>
  </si>
  <si>
    <t>795035281</t>
  </si>
  <si>
    <t>PQ4339 S26 2012</t>
  </si>
  <si>
    <t>0                      PQ 4339000S  26          2012</t>
  </si>
  <si>
    <t>Dante : il romanzo della sua vita / Marco Santagata.</t>
  </si>
  <si>
    <t>Milano : Mondadori, 2012.</t>
  </si>
  <si>
    <t>Le scie</t>
  </si>
  <si>
    <t>2019-02-05</t>
  </si>
  <si>
    <t>1166359505:ita</t>
  </si>
  <si>
    <t>811124381</t>
  </si>
  <si>
    <t>ocn811124381</t>
  </si>
  <si>
    <t>31031258865</t>
  </si>
  <si>
    <t>9788804620266</t>
  </si>
  <si>
    <t>794929808</t>
  </si>
  <si>
    <t>PQ4339 S2613 2016</t>
  </si>
  <si>
    <t>0                      PQ 4339000S  2613        2016</t>
  </si>
  <si>
    <t>Dante : the story of his life / Marco Santagata ; translated by Richard Dixon.</t>
  </si>
  <si>
    <t>Santagata, Marco, author.</t>
  </si>
  <si>
    <t>Cambridge, Massachusetts : The Belknap Press of Harvard University Press, 2016.</t>
  </si>
  <si>
    <t>2019-02-08</t>
  </si>
  <si>
    <t>9463675787:eng</t>
  </si>
  <si>
    <t>925784838</t>
  </si>
  <si>
    <t>ocn925784838</t>
  </si>
  <si>
    <t>3103656132W</t>
  </si>
  <si>
    <t>9780674504868</t>
  </si>
  <si>
    <t>795005183</t>
  </si>
  <si>
    <t>PQ4341 V37 1995</t>
  </si>
  <si>
    <t>0                      PQ 4341000V  37          1995</t>
  </si>
  <si>
    <t>Otto saggi per Dante / Cesare Vasoli.</t>
  </si>
  <si>
    <t>Vasoli, Cesare, 1924-</t>
  </si>
  <si>
    <t>Firenze : Le lettere, 1995.</t>
  </si>
  <si>
    <t>Quaderni degli "Studi danteschi" ; 9</t>
  </si>
  <si>
    <t>2017-12-01</t>
  </si>
  <si>
    <t>35093083:ita</t>
  </si>
  <si>
    <t>37666311</t>
  </si>
  <si>
    <t>ocm37666311</t>
  </si>
  <si>
    <t>3101546092A</t>
  </si>
  <si>
    <t>9788871662237</t>
  </si>
  <si>
    <t>793504189</t>
  </si>
  <si>
    <t>PQ4341 W5</t>
  </si>
  <si>
    <t>0                      PQ 4341000W  5</t>
  </si>
  <si>
    <t>Dante and Virgil.</t>
  </si>
  <si>
    <t>Whitfield, John Humphreys.</t>
  </si>
  <si>
    <t>Oxford, B. Blackwell [1949]</t>
  </si>
  <si>
    <t>2015-01-05</t>
  </si>
  <si>
    <t>1781242:eng</t>
  </si>
  <si>
    <t>638793</t>
  </si>
  <si>
    <t>ocm00638793</t>
  </si>
  <si>
    <t>3000201857V</t>
  </si>
  <si>
    <t>791434899</t>
  </si>
  <si>
    <t>2013-11-24</t>
  </si>
  <si>
    <t>30006086963</t>
  </si>
  <si>
    <t>791434900</t>
  </si>
  <si>
    <t>PQ4351 P7 2011</t>
  </si>
  <si>
    <t>0                      PQ 4351000P  7           2011</t>
  </si>
  <si>
    <t>Il processo di Dante celebrato il 16 aprile 1966 nella Basilica di S. Francesco in Arezzo / a cura di Morris L. Ghezzi.</t>
  </si>
  <si>
    <t>Milano : Mimesis, 2011.</t>
  </si>
  <si>
    <t>I grandi processi ; n. 1</t>
  </si>
  <si>
    <t>982017563:ita</t>
  </si>
  <si>
    <t>745970395</t>
  </si>
  <si>
    <t>ocn745970395</t>
  </si>
  <si>
    <t>3103125586E</t>
  </si>
  <si>
    <t>9788857505657</t>
  </si>
  <si>
    <t>794886757</t>
  </si>
  <si>
    <t>PQ4353 B7 G374 2014</t>
  </si>
  <si>
    <t>0                      PQ 4353000B  7                  G  374         2014</t>
  </si>
  <si>
    <t>Dante, la sua biblioteca e lo studio di Bologna / Luciano Gargan.</t>
  </si>
  <si>
    <t>Gargan, Luciano, author.</t>
  </si>
  <si>
    <t>Roma : Editrice Antenore, MMXIV.</t>
  </si>
  <si>
    <t>Medioevo e umanesimo ; 118</t>
  </si>
  <si>
    <t>1859745922:ita</t>
  </si>
  <si>
    <t>876145358</t>
  </si>
  <si>
    <t>ocn876145358</t>
  </si>
  <si>
    <t>31035530662</t>
  </si>
  <si>
    <t>9788884556844</t>
  </si>
  <si>
    <t>794969876</t>
  </si>
  <si>
    <t>PQ4353 F6 G55 2005</t>
  </si>
  <si>
    <t>0                      PQ 4353000F  6                  G  55          2005</t>
  </si>
  <si>
    <t>Dante and Renaissance Florence / Simon Gilson.</t>
  </si>
  <si>
    <t>Gilson, Simon A.</t>
  </si>
  <si>
    <t>Cambridge ; New York : Cambridge University Press, 2005.</t>
  </si>
  <si>
    <t>Cambridge studies in medieval literature ; 56</t>
  </si>
  <si>
    <t>888199:eng</t>
  </si>
  <si>
    <t>56491049</t>
  </si>
  <si>
    <t>ocm56491049</t>
  </si>
  <si>
    <t>3102456840K</t>
  </si>
  <si>
    <t>9780521841658</t>
  </si>
  <si>
    <t>793894291</t>
  </si>
  <si>
    <t>PQ4356.5 D36 2015</t>
  </si>
  <si>
    <t>0                      PQ 4356500D  36          2015</t>
  </si>
  <si>
    <t>Dante in context / edited by Zygmunt G. Barański and Lino Pertile.</t>
  </si>
  <si>
    <t>Cambridge ; New York : Cambridge University Press, 2015.</t>
  </si>
  <si>
    <t>Literature in context</t>
  </si>
  <si>
    <t>2578382363:eng</t>
  </si>
  <si>
    <t>914296319</t>
  </si>
  <si>
    <t>ocn914296319</t>
  </si>
  <si>
    <t>3103652928B</t>
  </si>
  <si>
    <t>9781107033146</t>
  </si>
  <si>
    <t>795000073</t>
  </si>
  <si>
    <t>PQ4362 C53 L32 2012</t>
  </si>
  <si>
    <t>0                      PQ 4362000C  53                 L  32          2012</t>
  </si>
  <si>
    <t>Chanzona ddante : circa un poema sconosciuto attribuito a Dante / Louis Marcello La Favia ; [post-fazione di Aldo Onorati].</t>
  </si>
  <si>
    <t>La Favia, Louis Marcello.</t>
  </si>
  <si>
    <t>Ravenna : Centro dantesco, 2012.</t>
  </si>
  <si>
    <t>1338495133:ita</t>
  </si>
  <si>
    <t>829690215</t>
  </si>
  <si>
    <t>ocn829690215</t>
  </si>
  <si>
    <t>3103126133W</t>
  </si>
  <si>
    <t>9788889501085</t>
  </si>
  <si>
    <t>794942628</t>
  </si>
  <si>
    <t>PQ4363 B65 C6</t>
  </si>
  <si>
    <t>0                      PQ 4363000B  65                 C  6</t>
  </si>
  <si>
    <t>Dante e la cultura veneta; atti del convegno di studi organizzato dalla Fondazione "Giorgio Cini" in collaborazione con l'Istituto universitario di Venezia, l'Università di Padova, il Centro scaligero di studi danteschi, e i comuni di Venezia, Padova, Verona. Venezia, Padova, Verona, 30 marzo-5 aprile 1966. A cura di Vittore Branca e Giorgio Padoan.</t>
  </si>
  <si>
    <t>Convegno di studi su "Dante e la cultura veneta" (1966 : Venice, Italy, etc.)</t>
  </si>
  <si>
    <t>Firenze, L.S. Olschki, 1966.</t>
  </si>
  <si>
    <t>10141817830:ita</t>
  </si>
  <si>
    <t>2843844</t>
  </si>
  <si>
    <t>ocm02843844</t>
  </si>
  <si>
    <t>3103705989$</t>
  </si>
  <si>
    <t>792184160</t>
  </si>
  <si>
    <t>PQ4366 P66 2015</t>
  </si>
  <si>
    <t>0                      PQ 4366000P  66          2015</t>
  </si>
  <si>
    <t>Frammenti dell'aldilà : miniature trecentesche della Divina Commedia / Chiara Ponchia ; presentazione di Federica Toniolo.</t>
  </si>
  <si>
    <t>Ponchia, Chiara, author.</t>
  </si>
  <si>
    <t>Padova : Il poligrafo, [2015]</t>
  </si>
  <si>
    <t>Biblioteca di arte ; 9</t>
  </si>
  <si>
    <t>2777579828:ita</t>
  </si>
  <si>
    <t>926739169</t>
  </si>
  <si>
    <t>ocn926739169</t>
  </si>
  <si>
    <t>31036230869</t>
  </si>
  <si>
    <t>9788871158846</t>
  </si>
  <si>
    <t>795005492</t>
  </si>
  <si>
    <t>PQ4371 A6 1982</t>
  </si>
  <si>
    <t>0                      PQ 4371000A  6           1982</t>
  </si>
  <si>
    <t>Approaches to teaching Dante's Divine comedy / edited by Carole Slade, consultant editor, Giovanni Cecchetti.</t>
  </si>
  <si>
    <t>New York, N.Y. : Modern Language Association of America, 1982.</t>
  </si>
  <si>
    <t>Approaches to teaching masterpieces of world literature ; 2</t>
  </si>
  <si>
    <t>2017-08-20</t>
  </si>
  <si>
    <t>343414184:eng</t>
  </si>
  <si>
    <t>7671339</t>
  </si>
  <si>
    <t>ocm07671339</t>
  </si>
  <si>
    <t>3000346467P</t>
  </si>
  <si>
    <t>9780873524773</t>
  </si>
  <si>
    <t>792573578</t>
  </si>
  <si>
    <t>PQ4381 A76 2013</t>
  </si>
  <si>
    <t>0                      PQ 4381000A  76          2013</t>
  </si>
  <si>
    <t>Dante barocco : l'influenza della 'Divina Commedia' su letteratura e cultura del Seicento italiano / Marco Arnaudo.</t>
  </si>
  <si>
    <t>Arnaudo, Marco, author.</t>
  </si>
  <si>
    <t>Il Portico, biblioteca di lettere e arti ; 162</t>
  </si>
  <si>
    <t>2014-04-12</t>
  </si>
  <si>
    <t>1370935924:ita</t>
  </si>
  <si>
    <t>848752489</t>
  </si>
  <si>
    <t>ocn848752489</t>
  </si>
  <si>
    <t>3103126270L</t>
  </si>
  <si>
    <t>9788880637523</t>
  </si>
  <si>
    <t>794949976</t>
  </si>
  <si>
    <t>PQ4381 F7</t>
  </si>
  <si>
    <t>0                      PQ 4381000F  7</t>
  </si>
  <si>
    <t>Dante's fame abroad, 1350-1850; the influence of Dante Alighieri on the poets and scholars of Spain, France, England, Germany, Switzerland, and the United States; a survey of the present state of scholarship.</t>
  </si>
  <si>
    <t>Friederich, Werner P. (Werner Paul), 1905-</t>
  </si>
  <si>
    <t>University of North Carolina studies in comparative literature</t>
  </si>
  <si>
    <t>9846785604:eng</t>
  </si>
  <si>
    <t>303172</t>
  </si>
  <si>
    <t>ocm00303172</t>
  </si>
  <si>
    <t>3103577781P</t>
  </si>
  <si>
    <t>9780807870020</t>
  </si>
  <si>
    <t>791329799</t>
  </si>
  <si>
    <t>PQ4381.2 B37 2006</t>
  </si>
  <si>
    <t>0                      PQ 4381200B  37          2006</t>
  </si>
  <si>
    <t>Dante and the origins of Italian literary culture / Teodolinda Barolini.</t>
  </si>
  <si>
    <t>Barolini, Teodolinda, 1951-</t>
  </si>
  <si>
    <t>New York : Fordham University Press, 2006.</t>
  </si>
  <si>
    <t>2016-01-20</t>
  </si>
  <si>
    <t>58235805:eng</t>
  </si>
  <si>
    <t>71275597</t>
  </si>
  <si>
    <t>ocm71275597</t>
  </si>
  <si>
    <t>3102881302O</t>
  </si>
  <si>
    <t>9780823227037</t>
  </si>
  <si>
    <t>794164707</t>
  </si>
  <si>
    <t>PQ4381.2 B56 2007</t>
  </si>
  <si>
    <t>0                      PQ 4381200B  56          2007</t>
  </si>
  <si>
    <t>Dante rediscovered : from Blake to Rodin / David Bindman, Stephen Hebron, Michael O'Neill.</t>
  </si>
  <si>
    <t>Bindman, David, 1940-</t>
  </si>
  <si>
    <t>Grasmere, Cumbria : Wordsworth Trust, 2007.</t>
  </si>
  <si>
    <t>2018-11-04</t>
  </si>
  <si>
    <t>371950461:eng</t>
  </si>
  <si>
    <t>182527532</t>
  </si>
  <si>
    <t>ocn182527532</t>
  </si>
  <si>
    <t>3102853438M</t>
  </si>
  <si>
    <t>9781905256235</t>
  </si>
  <si>
    <t>794284380</t>
  </si>
  <si>
    <t>PQ4381.2 D36 2003</t>
  </si>
  <si>
    <t>0                      PQ 4381200D  36          2003</t>
  </si>
  <si>
    <t>Dante metamorphoses : episodes in a literary afterlife / edited by Eric G. Haywood.</t>
  </si>
  <si>
    <t>Dublin, Ireland ; Portland, OR : Four Courts Press, [2003]</t>
  </si>
  <si>
    <t>Publications of the UCD Foundation for Italian Studies</t>
  </si>
  <si>
    <t>836984030:eng</t>
  </si>
  <si>
    <t>46908884</t>
  </si>
  <si>
    <t>ocm46908884</t>
  </si>
  <si>
    <t>3102313493N</t>
  </si>
  <si>
    <t>9781851826629</t>
  </si>
  <si>
    <t>793694177</t>
  </si>
  <si>
    <t>PQ4381.2 P64 2001</t>
  </si>
  <si>
    <t>0                      PQ 4381200P  64          2001</t>
  </si>
  <si>
    <t>The poet's Dante / edited by Peter S. Hawkins and Rachel Jacoff.</t>
  </si>
  <si>
    <t>New York : Farrar, Straus and Giroux, 2001.</t>
  </si>
  <si>
    <t>2018-01-22</t>
  </si>
  <si>
    <t>354050500:eng</t>
  </si>
  <si>
    <t>43985462</t>
  </si>
  <si>
    <t>ocm43985462</t>
  </si>
  <si>
    <t>3102086352D</t>
  </si>
  <si>
    <t>9780374235369</t>
  </si>
  <si>
    <t>793640181</t>
  </si>
  <si>
    <t>PQ4381.2 S63 2014</t>
  </si>
  <si>
    <t>0                      PQ 4381200S  63          2014</t>
  </si>
  <si>
    <t>La funzione Dante e i paradigmi della modernità : atti del XVI Convegno internazionale della MOD, Lumsa, Roma, 10-13 giugno 2014 / a cura di Patrizia Bertini Malgarini, Nicola Merola e Caterina Verbaro.</t>
  </si>
  <si>
    <t>Società italiana per lo studio della modernità letteraria. Convegno annuale (16th : 2014 : Rome, Italy), author.</t>
  </si>
  <si>
    <t>Pisa : Edizioni ETS, [2015]</t>
  </si>
  <si>
    <t>La modernità letteraria ; 52</t>
  </si>
  <si>
    <t>2991573192:ita</t>
  </si>
  <si>
    <t>934435418</t>
  </si>
  <si>
    <t>ocn934435418</t>
  </si>
  <si>
    <t>31036611277</t>
  </si>
  <si>
    <t>9788846743657</t>
  </si>
  <si>
    <t>795009569</t>
  </si>
  <si>
    <t>PQ4382 P37 1993</t>
  </si>
  <si>
    <t>0                      PQ 4382000P  37          1993</t>
  </si>
  <si>
    <t>Commentary and ideology : Dante in the Renaissance / Deborah Parker.</t>
  </si>
  <si>
    <t>Parker, Deborah, 1954-</t>
  </si>
  <si>
    <t>Durham [N.C.] : Duke University Press, 1993.</t>
  </si>
  <si>
    <t>141694446:eng</t>
  </si>
  <si>
    <t>25675570</t>
  </si>
  <si>
    <t>ocm25675570</t>
  </si>
  <si>
    <t>31012045588</t>
  </si>
  <si>
    <t>9780822312819</t>
  </si>
  <si>
    <t>793227530</t>
  </si>
  <si>
    <t>PQ4382 Z5 B78 1994</t>
  </si>
  <si>
    <t>0                      PQ 4382000Z  5                  B  78          1994</t>
  </si>
  <si>
    <t>Dialogi ad Petrum Paulum Histrum / Leonardo Bruni ; a cura di Stefano Ugo Baldassarri.</t>
  </si>
  <si>
    <t>Bruni, Leonardo, 1369-1444.</t>
  </si>
  <si>
    <t>Firenze : L.S. Olschki, 1994.</t>
  </si>
  <si>
    <t>Studi e testi, 0394-4409 ; 35</t>
  </si>
  <si>
    <t>2016-09-22</t>
  </si>
  <si>
    <t>5218400787:ita</t>
  </si>
  <si>
    <t>31950423</t>
  </si>
  <si>
    <t>ocm31950423</t>
  </si>
  <si>
    <t>3101892837T</t>
  </si>
  <si>
    <t>9788822242372</t>
  </si>
  <si>
    <t>793372000</t>
  </si>
  <si>
    <t>PQ4383 D3568 2012</t>
  </si>
  <si>
    <t>0                      PQ 4383000D  3568        2012</t>
  </si>
  <si>
    <t>Dante in the long nineteenth century : nationality, identity, and appropriation / edited by Aida Audeh and Nick Havely.</t>
  </si>
  <si>
    <t>1075820595:eng</t>
  </si>
  <si>
    <t>758391863</t>
  </si>
  <si>
    <t>ocn758391863</t>
  </si>
  <si>
    <t>3103407211L</t>
  </si>
  <si>
    <t>9780199584628</t>
  </si>
  <si>
    <t>794896222</t>
  </si>
  <si>
    <t>PQ4383 D357 2011</t>
  </si>
  <si>
    <t>0                      PQ 4383000D  357         2011</t>
  </si>
  <si>
    <t>Dante in the nineteenth century : reception, canonicity, popularization / Nick Havely, editor.</t>
  </si>
  <si>
    <t>Oxford ; New York : Peter Lang, ©2011.</t>
  </si>
  <si>
    <t>Cultural interactions: studies in the relationship between the arts ; no. 19</t>
  </si>
  <si>
    <t>922341751:eng</t>
  </si>
  <si>
    <t>739646487</t>
  </si>
  <si>
    <t>ocn739646487</t>
  </si>
  <si>
    <t>31033813442</t>
  </si>
  <si>
    <t>9783039119790</t>
  </si>
  <si>
    <t>794882968</t>
  </si>
  <si>
    <t>PQ4383 D36 1995</t>
  </si>
  <si>
    <t>0                      PQ 4383000D  36          1995</t>
  </si>
  <si>
    <t>Dante now : current trends in Dante studies / edited by Theodore J. Cachey, Jr.</t>
  </si>
  <si>
    <t>Notre Dame : University of Notre Dame Press, ©1995.</t>
  </si>
  <si>
    <t>The William and Katherine Devers series in Dante studies ; v. 1</t>
  </si>
  <si>
    <t>2018-02-12</t>
  </si>
  <si>
    <t>836995876:eng</t>
  </si>
  <si>
    <t>31654445</t>
  </si>
  <si>
    <t>ocm31654445</t>
  </si>
  <si>
    <t>3101826569D</t>
  </si>
  <si>
    <t>9780268008796</t>
  </si>
  <si>
    <t>793365080</t>
  </si>
  <si>
    <t>PQ4383 D365 2013</t>
  </si>
  <si>
    <t>0                      PQ 4383000D  365         2013</t>
  </si>
  <si>
    <t>Dantean dialogues : engaging with the legacy of Amilcare Iannucci / edited by Maggie Kilgour and Elena Lombardi.</t>
  </si>
  <si>
    <t>Toronto : University of Toronto Press, 2013.</t>
  </si>
  <si>
    <t>2018-11-20</t>
  </si>
  <si>
    <t>1213990364:eng</t>
  </si>
  <si>
    <t>830627998</t>
  </si>
  <si>
    <t>ocn830627998</t>
  </si>
  <si>
    <t>3103493453F</t>
  </si>
  <si>
    <t>9781442645615</t>
  </si>
  <si>
    <t>794943537</t>
  </si>
  <si>
    <t>PQ4383 D38 2011</t>
  </si>
  <si>
    <t>0                      PQ 4383000D  38          2011</t>
  </si>
  <si>
    <t>Dante vittorioso : il mito di Dante nell'Ottocento / a cura di Eugenia Querci.</t>
  </si>
  <si>
    <t>Torino ; New York : Umberto Allemandi, ©2011.</t>
  </si>
  <si>
    <t>1025110616:ita</t>
  </si>
  <si>
    <t>748280982</t>
  </si>
  <si>
    <t>ocn748280982</t>
  </si>
  <si>
    <t>3103125501U</t>
  </si>
  <si>
    <t>9788842220404</t>
  </si>
  <si>
    <t>794888847</t>
  </si>
  <si>
    <t>PQ4383 L43 2013</t>
  </si>
  <si>
    <t>0                      PQ 4383000L  43          2013</t>
  </si>
  <si>
    <t>Noi e Dante : per una conoscenza della Commedia nella modernità / a cura di Carlo Santoli ; contributi di Michele Bianco [and seven others].</t>
  </si>
  <si>
    <t>Contributi e proposte ; 88</t>
  </si>
  <si>
    <t>2840056821:ita</t>
  </si>
  <si>
    <t>925734413</t>
  </si>
  <si>
    <t>ocn925734413</t>
  </si>
  <si>
    <t>3103623091G</t>
  </si>
  <si>
    <t>9788862746144</t>
  </si>
  <si>
    <t>795005169</t>
  </si>
  <si>
    <t>PQ4384 R38 D36 2015</t>
  </si>
  <si>
    <t>0                      PQ 4384000R  38                 D  36          2015</t>
  </si>
  <si>
    <t>Dante e la sua eredità a Ravenna nel Trecento / a cura di Marco Petoletti.</t>
  </si>
  <si>
    <t>Memoria del tempo ; 45</t>
  </si>
  <si>
    <t>2603843110:ita</t>
  </si>
  <si>
    <t>905852867</t>
  </si>
  <si>
    <t>ocn905852867</t>
  </si>
  <si>
    <t>3103630046U</t>
  </si>
  <si>
    <t>9788880638230</t>
  </si>
  <si>
    <t>794991945</t>
  </si>
  <si>
    <t>PQ4385 E85 C66 2003</t>
  </si>
  <si>
    <t>0                      PQ 4385000E  85                 C  66          2003</t>
  </si>
  <si>
    <t>Dante e l'Europa : atti del convegno internazionale di studi, Ravenna, 29 novembre 2003 / a cura di Giancarlo Breschi.</t>
  </si>
  <si>
    <t>Convegno Dante e l'Europa (2003 : Ravenna, Italy)</t>
  </si>
  <si>
    <t>Ravenna : Centro dantesco dei frati minori conventuali, 2004.</t>
  </si>
  <si>
    <t>Quaderni della Sezione studi e ricerche ; 1</t>
  </si>
  <si>
    <t>476558100:ita</t>
  </si>
  <si>
    <t>60516950</t>
  </si>
  <si>
    <t>ocm60516950</t>
  </si>
  <si>
    <t>3103100300T</t>
  </si>
  <si>
    <t>9788889501009</t>
  </si>
  <si>
    <t>793938942</t>
  </si>
  <si>
    <t>PQ4385 F8 P57 1985</t>
  </si>
  <si>
    <t>0                      PQ 4385000F  8                  P  57          1985</t>
  </si>
  <si>
    <t>Dante and the French romantics / Michael Pitwood.</t>
  </si>
  <si>
    <t>Pitwood, Michael.</t>
  </si>
  <si>
    <t>Genève : Droz, 1985.</t>
  </si>
  <si>
    <t>Histoire des idées et critique littéraire ; vol. 234</t>
  </si>
  <si>
    <t>7266092:eng</t>
  </si>
  <si>
    <t>13673137</t>
  </si>
  <si>
    <t>ocm13673137</t>
  </si>
  <si>
    <t>3000470400P</t>
  </si>
  <si>
    <t>792862705</t>
  </si>
  <si>
    <t>PQ4385 G7 B67 1999</t>
  </si>
  <si>
    <t>0                      PQ 4385000G  7                  B  67          1999</t>
  </si>
  <si>
    <t>Dante's fame in England : references in printed British books, 1477-1640 / Jackson Campbell Boswell.</t>
  </si>
  <si>
    <t>Boswell, Jackson Campbell.</t>
  </si>
  <si>
    <t>Newark : University of Delaware Press ; London : Associated University Presses, ©1999.</t>
  </si>
  <si>
    <t>234644733:eng</t>
  </si>
  <si>
    <t>39007166</t>
  </si>
  <si>
    <t>ocm39007166</t>
  </si>
  <si>
    <t>3101967896$</t>
  </si>
  <si>
    <t>9780874136050</t>
  </si>
  <si>
    <t>793535670</t>
  </si>
  <si>
    <t>PQ4385 G7 K8</t>
  </si>
  <si>
    <t>0                      PQ 4385000G  7                  K  8</t>
  </si>
  <si>
    <t>Dante and the English poets from Chaucer to Tennyson, by Oscar Kuhns.</t>
  </si>
  <si>
    <t>Kuhns, Oscar, 1856-1929.</t>
  </si>
  <si>
    <t>New York, H. Holt and Company, 1904.</t>
  </si>
  <si>
    <t>1904</t>
  </si>
  <si>
    <t>14681326:eng</t>
  </si>
  <si>
    <t>4368787</t>
  </si>
  <si>
    <t>ocm04368787</t>
  </si>
  <si>
    <t>3000786750F</t>
  </si>
  <si>
    <t>792344392</t>
  </si>
  <si>
    <t>PQ4385 G7 T7</t>
  </si>
  <si>
    <t>0                      PQ 4385000G  7                  T  7</t>
  </si>
  <si>
    <t>Dante in English literature from Chaucer to Cary (c. 1380-1844) / by Paget Toynbee ; with introduction, notes, biographical notices, chronological list, and general index.</t>
  </si>
  <si>
    <t>London : Methuen &amp; Co., 1909.</t>
  </si>
  <si>
    <t>1909</t>
  </si>
  <si>
    <t>3768764986:eng</t>
  </si>
  <si>
    <t>2834953</t>
  </si>
  <si>
    <t>ocm02834953</t>
  </si>
  <si>
    <t>3100222803R</t>
  </si>
  <si>
    <t>792183037</t>
  </si>
  <si>
    <t>3000552150H</t>
  </si>
  <si>
    <t>792183038</t>
  </si>
  <si>
    <t>PQ4385 U5 C55</t>
  </si>
  <si>
    <t>0                      PQ 4385000U  5                  C  55</t>
  </si>
  <si>
    <t>American critical essays on the Divine comedy. Edited by Robert J. Clements.</t>
  </si>
  <si>
    <t>Clements, Robert J. (Robert John), 1912-1993, editor.</t>
  </si>
  <si>
    <t>New York, New York University Press, 1967.</t>
  </si>
  <si>
    <t>Gotham library</t>
  </si>
  <si>
    <t>2012-12-02</t>
  </si>
  <si>
    <t>1489358:eng</t>
  </si>
  <si>
    <t>344480</t>
  </si>
  <si>
    <t>ocm00344480</t>
  </si>
  <si>
    <t>3100246273Z</t>
  </si>
  <si>
    <t>791344520</t>
  </si>
  <si>
    <t>3000500386S</t>
  </si>
  <si>
    <t>791344521</t>
  </si>
  <si>
    <t>PQ4385 U5 L66 2011</t>
  </si>
  <si>
    <t>0                      PQ 4385000U  5                  L  66          2011</t>
  </si>
  <si>
    <t>Freedom readers : the African American reception of Dante Alighieri and the Divine Comedy / Dennis Looney.</t>
  </si>
  <si>
    <t>Looney, Dennis.</t>
  </si>
  <si>
    <t>Notre Dame, Ind. : University of Notre Dame Press, ©2011.</t>
  </si>
  <si>
    <t>The William and Katherine Devers series in Dante and Medieval Italian literature ; v. 12</t>
  </si>
  <si>
    <t>2015-11-24</t>
  </si>
  <si>
    <t>762048197:eng</t>
  </si>
  <si>
    <t>688559506</t>
  </si>
  <si>
    <t>ocn688559506</t>
  </si>
  <si>
    <t>3103344125K</t>
  </si>
  <si>
    <t>9780268033866</t>
  </si>
  <si>
    <t>794854462</t>
  </si>
  <si>
    <t>PQ4390 A2 D36 1989</t>
  </si>
  <si>
    <t>0                      PQ 4390000A  2                  D  36          1989</t>
  </si>
  <si>
    <t>Dante, the critical heritage, 1314 -1870 / edited by Michael Caesar.</t>
  </si>
  <si>
    <t>London ; New York : Routledge, 1989.</t>
  </si>
  <si>
    <t>The Critical heritage series</t>
  </si>
  <si>
    <t>2019-07-21</t>
  </si>
  <si>
    <t>16333626:eng</t>
  </si>
  <si>
    <t>17954247</t>
  </si>
  <si>
    <t>ocm17954247</t>
  </si>
  <si>
    <t>3102354164E</t>
  </si>
  <si>
    <t>9780415028226</t>
  </si>
  <si>
    <t>793008561</t>
  </si>
  <si>
    <t>PQ4390 A2 L354 2001</t>
  </si>
  <si>
    <t>0                      PQ 4390000A  2                  L  354         2001</t>
  </si>
  <si>
    <t>Comento sopra la Comedia / Cristoforo Landino ; a cura di Paolo Procaccioli.</t>
  </si>
  <si>
    <t>t.1</t>
  </si>
  <si>
    <t>Landino, Cristoforo, 1424-1504.</t>
  </si>
  <si>
    <t>Roma : Salerno, ©2001.</t>
  </si>
  <si>
    <t>Edizione nazionale dei commenti danteschi ; 28</t>
  </si>
  <si>
    <t>3373247857:ita</t>
  </si>
  <si>
    <t>49874953</t>
  </si>
  <si>
    <t>ocm49874953</t>
  </si>
  <si>
    <t>3102189615M</t>
  </si>
  <si>
    <t>9788884023513</t>
  </si>
  <si>
    <t>793749718</t>
  </si>
  <si>
    <t>t.4</t>
  </si>
  <si>
    <t>3102189635G</t>
  </si>
  <si>
    <t>793749715</t>
  </si>
  <si>
    <t>t.3</t>
  </si>
  <si>
    <t>31021896398</t>
  </si>
  <si>
    <t>793749716</t>
  </si>
  <si>
    <t>t.2</t>
  </si>
  <si>
    <t>3102189619E</t>
  </si>
  <si>
    <t>793749717</t>
  </si>
  <si>
    <t>PQ4390 A2 M52 1982</t>
  </si>
  <si>
    <t>0                      PQ 4390000A  2                  M  52          1982</t>
  </si>
  <si>
    <t>Introduzione alla Difesa della "Commedia" di Dante / Jacopo Mazzoni ; a cura di Enrico Musacchio e Gigino Pellegrini.</t>
  </si>
  <si>
    <t>Mazzoni, Jacopo, 1548-1598.</t>
  </si>
  <si>
    <t>Bologna : Cappelli, ©1982.</t>
  </si>
  <si>
    <t>Universale il portolano ; 10</t>
  </si>
  <si>
    <t>2016-10-06</t>
  </si>
  <si>
    <t>43911381:ita</t>
  </si>
  <si>
    <t>9975882</t>
  </si>
  <si>
    <t>ocm09975882</t>
  </si>
  <si>
    <t>3000360280M</t>
  </si>
  <si>
    <t>792703230</t>
  </si>
  <si>
    <t>PQ4390 A564 2011</t>
  </si>
  <si>
    <t>0                      PQ 4390000A  564         2011</t>
  </si>
  <si>
    <t>Scintille dantesche : antologia dai diari / Gabriele Maria Allegra ; a cura di Anna Maria Chiavacci Leonardi, Francesco Santi.</t>
  </si>
  <si>
    <t>Allegra, Gabriele Maria.</t>
  </si>
  <si>
    <t>Bologna : EDB, ©2011.</t>
  </si>
  <si>
    <t>1121691235:ita</t>
  </si>
  <si>
    <t>796781907</t>
  </si>
  <si>
    <t>ocn796781907</t>
  </si>
  <si>
    <t>31031258609</t>
  </si>
  <si>
    <t>9788810140628</t>
  </si>
  <si>
    <t>794922393</t>
  </si>
  <si>
    <t>PQ4390 A565 2013</t>
  </si>
  <si>
    <t>0                      PQ 4390000A  565         2013</t>
  </si>
  <si>
    <t>Adespoti, prosimetri e filigrane : ricerche di filologia dantesca / Paola Allegretti.</t>
  </si>
  <si>
    <t>Allegretti, Paola.</t>
  </si>
  <si>
    <t>Ravenna : Longo editore, ©2013.</t>
  </si>
  <si>
    <t>Memoria del tempo ; 37</t>
  </si>
  <si>
    <t>1375081653:ita</t>
  </si>
  <si>
    <t>850439565</t>
  </si>
  <si>
    <t>ocn850439565</t>
  </si>
  <si>
    <t>3103126277L</t>
  </si>
  <si>
    <t>9788880637547</t>
  </si>
  <si>
    <t>794950553</t>
  </si>
  <si>
    <t>PQ4390 A74 2009</t>
  </si>
  <si>
    <t>0                      PQ 4390000A  74          2009</t>
  </si>
  <si>
    <t>Tempo liturgico e tempo storico nella Commedia di Dante / Erminia Ardissino ; prefazione di Giuseppe Mazzotta.</t>
  </si>
  <si>
    <t>Città del Vaticano : Libreria editrice vaticana, 2009.</t>
  </si>
  <si>
    <t>Monumenta studia instrumenta liturgica ; 47</t>
  </si>
  <si>
    <t>2016-03-02</t>
  </si>
  <si>
    <t>306750232:ita</t>
  </si>
  <si>
    <t>419643589</t>
  </si>
  <si>
    <t>ocn419643589</t>
  </si>
  <si>
    <t>3103124850F</t>
  </si>
  <si>
    <t>9788820981457</t>
  </si>
  <si>
    <t>794503263</t>
  </si>
  <si>
    <t>PQ4390 A852 2008</t>
  </si>
  <si>
    <t>0                      PQ 4390000A  852         2008</t>
  </si>
  <si>
    <t>Dante and the making of a modern author / Albert Russell Ascoli.</t>
  </si>
  <si>
    <t>Cambridge : Cambridge University Press, 2008.</t>
  </si>
  <si>
    <t>113701742:eng</t>
  </si>
  <si>
    <t>171110389</t>
  </si>
  <si>
    <t>ocn171110389</t>
  </si>
  <si>
    <t>3102852531N</t>
  </si>
  <si>
    <t>9780521882361</t>
  </si>
  <si>
    <t>794264056</t>
  </si>
  <si>
    <t>PQ4390 A853</t>
  </si>
  <si>
    <t>0                      PQ 4390000A  853</t>
  </si>
  <si>
    <t>Dante, poet of the secular world. Translated by Ralph Manheim.</t>
  </si>
  <si>
    <t>Auerbach, Erich, 1892-1957.</t>
  </si>
  <si>
    <t>Midway reprints</t>
  </si>
  <si>
    <t>2908637463:eng</t>
  </si>
  <si>
    <t>2016697</t>
  </si>
  <si>
    <t>ocm02016697</t>
  </si>
  <si>
    <t>3000250310F</t>
  </si>
  <si>
    <t>9780226032054</t>
  </si>
  <si>
    <t>792029366</t>
  </si>
  <si>
    <t>3000250311D</t>
  </si>
  <si>
    <t>792029367</t>
  </si>
  <si>
    <t>2008-01-12</t>
  </si>
  <si>
    <t>30005237522</t>
  </si>
  <si>
    <t>792029365</t>
  </si>
  <si>
    <t>PQ4390 B45 2007</t>
  </si>
  <si>
    <t>0                      PQ 4390000B  45          2007</t>
  </si>
  <si>
    <t>Dante's hermeneutics of salvation : passages to freedom in the Divine comedy / Christine O'Connell Baur.</t>
  </si>
  <si>
    <t>Baur, Christine O'Connell.</t>
  </si>
  <si>
    <t>Toronto : University of Toronto Press, ©2007.</t>
  </si>
  <si>
    <t>2016-06-11</t>
  </si>
  <si>
    <t>237892399:eng</t>
  </si>
  <si>
    <t>75087538</t>
  </si>
  <si>
    <t>ocm75087538</t>
  </si>
  <si>
    <t>3102553995D</t>
  </si>
  <si>
    <t>9780802092069</t>
  </si>
  <si>
    <t>794174324</t>
  </si>
  <si>
    <t>PQ4390 B573</t>
  </si>
  <si>
    <t>0                      PQ 4390000B  573</t>
  </si>
  <si>
    <t>Dante's Divine comedy.</t>
  </si>
  <si>
    <t>Englewood Cliffs, N.J., Prentice-Hall [1971]</t>
  </si>
  <si>
    <t>Landmarks in literature</t>
  </si>
  <si>
    <t>2018-11-12</t>
  </si>
  <si>
    <t>1287997:eng</t>
  </si>
  <si>
    <t>136828</t>
  </si>
  <si>
    <t>ocm00136828</t>
  </si>
  <si>
    <t>3103089731F</t>
  </si>
  <si>
    <t>9780131974340</t>
  </si>
  <si>
    <t>791268442</t>
  </si>
  <si>
    <t>PQ4390 B58 2005</t>
  </si>
  <si>
    <t>0                      PQ 4390000B  58          2005</t>
  </si>
  <si>
    <t>Backgrounds of the Divine comedy : a series of lectures / by Dino Bigongiari ; (including four lectures by Henry Paolucci) ; edited by Anne Paolucci.</t>
  </si>
  <si>
    <t>Bigongiari, Dino.</t>
  </si>
  <si>
    <t>Dover, Del. : Griffon House, ©2005.</t>
  </si>
  <si>
    <t>366748940:eng</t>
  </si>
  <si>
    <t>59879751</t>
  </si>
  <si>
    <t>ocm59879751</t>
  </si>
  <si>
    <t>3102524602E</t>
  </si>
  <si>
    <t>9781932107128</t>
  </si>
  <si>
    <t>793932541</t>
  </si>
  <si>
    <t>PQ4390 B585 2015</t>
  </si>
  <si>
    <t>0                      PQ 4390000B  585         2015</t>
  </si>
  <si>
    <t>Cinque interpretazioni dantesche / Valeria Bertolucci Pizzorusso.</t>
  </si>
  <si>
    <t>Bertolucci Pizzorusso, Valeria, author.</t>
  </si>
  <si>
    <t>Lucca : Accademia lucchese di scienze, lettere e arti : Maria Pacini Fazzi editore, 2015.</t>
  </si>
  <si>
    <t>Studi e testi ; LXXXIX</t>
  </si>
  <si>
    <t>9738073104:ita</t>
  </si>
  <si>
    <t>905087803</t>
  </si>
  <si>
    <t>ocn905087803</t>
  </si>
  <si>
    <t>31036360258</t>
  </si>
  <si>
    <t>9788865504512</t>
  </si>
  <si>
    <t>794991102</t>
  </si>
  <si>
    <t>PQ4390 B6338 2006</t>
  </si>
  <si>
    <t>0                      PQ 4390000B  6338        2006</t>
  </si>
  <si>
    <t>Readings in the Divine Comedy : a series of lectures / by Dino Bigongiari ; edited by Anne Paolucci.</t>
  </si>
  <si>
    <t>Dover, DE : Griffon House Publications, ©2006.</t>
  </si>
  <si>
    <t>2018-10-20</t>
  </si>
  <si>
    <t>904657154:eng</t>
  </si>
  <si>
    <t>65407507</t>
  </si>
  <si>
    <t>ocm65407507</t>
  </si>
  <si>
    <t>3102667183C</t>
  </si>
  <si>
    <t>9781932107180</t>
  </si>
  <si>
    <t>794134324</t>
  </si>
  <si>
    <t>PQ4390 B713 2011</t>
  </si>
  <si>
    <t>0                      PQ 4390000B  713         2011</t>
  </si>
  <si>
    <t>Note dantesche, e altre / Maurizio Bonicatti.</t>
  </si>
  <si>
    <t>Bonicatti, Maurizio.</t>
  </si>
  <si>
    <t>Roma : Robin, ©2011.</t>
  </si>
  <si>
    <t>Teoria della clinica ed esegesi freudiana ; 1</t>
  </si>
  <si>
    <t>1058799422:ita</t>
  </si>
  <si>
    <t>767577712</t>
  </si>
  <si>
    <t>ocn767577712</t>
  </si>
  <si>
    <t>3103125616P</t>
  </si>
  <si>
    <t>9788873718086</t>
  </si>
  <si>
    <t>794901220</t>
  </si>
  <si>
    <t>PQ4390 B724 1982</t>
  </si>
  <si>
    <t>0                      PQ 4390000B  724         1982</t>
  </si>
  <si>
    <t>Nueve ensayos dantescos / Jorge Luis Borges ; introducción de Marcos Ricardo Barnatán ; presentación por Joaquín Arce.</t>
  </si>
  <si>
    <t>Borges, Jorge Luis, 1899-1986.</t>
  </si>
  <si>
    <t>Madrid : Espasa-Calpe, 1982.</t>
  </si>
  <si>
    <t>Selecciones Austral ; 102</t>
  </si>
  <si>
    <t>2019-05-11</t>
  </si>
  <si>
    <t>44991852:spa</t>
  </si>
  <si>
    <t>8872837</t>
  </si>
  <si>
    <t>ocm08872837</t>
  </si>
  <si>
    <t>3103377728C</t>
  </si>
  <si>
    <t>9788423921027</t>
  </si>
  <si>
    <t>792645888</t>
  </si>
  <si>
    <t>PQ4390 B7247 2012</t>
  </si>
  <si>
    <t>0                      PQ 4390000B  7247        2012</t>
  </si>
  <si>
    <t>Ingressi laterali al trecento maggiore : Dante, Petrarca, Boccaccio / Renzo Bragantini.</t>
  </si>
  <si>
    <t>Bragantini, Renzo.</t>
  </si>
  <si>
    <t>Napoli : Liguori Editore, 2012.</t>
  </si>
  <si>
    <t>1416674542:ita</t>
  </si>
  <si>
    <t>830634644</t>
  </si>
  <si>
    <t>ocn830634644</t>
  </si>
  <si>
    <t>3103126136W</t>
  </si>
  <si>
    <t>9788820756642</t>
  </si>
  <si>
    <t>794943547</t>
  </si>
  <si>
    <t>PQ4390 C375 2012</t>
  </si>
  <si>
    <t>0                      PQ 4390000C  375         2012</t>
  </si>
  <si>
    <t>Dante e l'antico : l'emulazione dei classici nella Commedia / Stefano Carrai.</t>
  </si>
  <si>
    <t>Carrai, Stefano, author.</t>
  </si>
  <si>
    <t>Firenze : Edizioni del Galluzzo per la Fondazione Ezio Franceschini, 2012.</t>
  </si>
  <si>
    <t>Archivio romanzo ; 22</t>
  </si>
  <si>
    <t>1201884263:ita</t>
  </si>
  <si>
    <t>824351791</t>
  </si>
  <si>
    <t>ocn824351791</t>
  </si>
  <si>
    <t>3103126087P</t>
  </si>
  <si>
    <t>9788884504555</t>
  </si>
  <si>
    <t>794937720</t>
  </si>
  <si>
    <t>PQ4390 C385 2013</t>
  </si>
  <si>
    <t>0                      PQ 4390000C  385         2013</t>
  </si>
  <si>
    <t>Dante oltre la Commedia / Alberto Casadei.</t>
  </si>
  <si>
    <t>Bologna : Il mulino, ©2013.</t>
  </si>
  <si>
    <t>Studi e ricerche ; 650</t>
  </si>
  <si>
    <t>1182626455:ita</t>
  </si>
  <si>
    <t>818724724</t>
  </si>
  <si>
    <t>ocn818724724</t>
  </si>
  <si>
    <t>3103126094N</t>
  </si>
  <si>
    <t>9788815241467</t>
  </si>
  <si>
    <t>794934098</t>
  </si>
  <si>
    <t>PQ4390 C624 2013</t>
  </si>
  <si>
    <t>0                      PQ 4390000C  624         2013</t>
  </si>
  <si>
    <t>Dante, Boccaccio, l'origine : sei studi e una introduzione / Giuseppe Chiecchi.</t>
  </si>
  <si>
    <t>Chiecchi, Giuseppe, author.</t>
  </si>
  <si>
    <t>Firenze : Leo S. Olschki editore, MMXIII.</t>
  </si>
  <si>
    <t>Biblioteca di "Lettere italiane" ; 73</t>
  </si>
  <si>
    <t>1416674961:ita</t>
  </si>
  <si>
    <t>843753577</t>
  </si>
  <si>
    <t>ocn843753577</t>
  </si>
  <si>
    <t>3103126287J</t>
  </si>
  <si>
    <t>9788822262424</t>
  </si>
  <si>
    <t>794948131</t>
  </si>
  <si>
    <t>PQ4390 C66 2016</t>
  </si>
  <si>
    <t>0                      PQ 4390000C  66          2016</t>
  </si>
  <si>
    <t>Dante e la retorica / a cura di Luca Marcozzi.</t>
  </si>
  <si>
    <t>Convegno Dante e la retorica (2016 : Rome, Italy), author.</t>
  </si>
  <si>
    <t>Ravenna : Longo Editore, [2017]</t>
  </si>
  <si>
    <t>Memoria del tempo ; 55</t>
  </si>
  <si>
    <t>4407619648:ita</t>
  </si>
  <si>
    <t>992801069</t>
  </si>
  <si>
    <t>ocn992801069</t>
  </si>
  <si>
    <t>3103721219J</t>
  </si>
  <si>
    <t>9788880639831</t>
  </si>
  <si>
    <t>795038435</t>
  </si>
  <si>
    <t>PQ4390 C68 1999</t>
  </si>
  <si>
    <t>0                      PQ 4390000C  68          1999</t>
  </si>
  <si>
    <t>The design in the wax : the structure of the Divine comedy and its meaning / Marc Cogan.</t>
  </si>
  <si>
    <t>Cogan, Marc.</t>
  </si>
  <si>
    <t>Notre Dame : University of Notre Dame Press, ©1999.</t>
  </si>
  <si>
    <t>The William and Katherine Devers series in Dante studies ; v. 3</t>
  </si>
  <si>
    <t>837032988:eng</t>
  </si>
  <si>
    <t>40534911</t>
  </si>
  <si>
    <t>ocm40534911</t>
  </si>
  <si>
    <t>3101987056V</t>
  </si>
  <si>
    <t>9780268008871</t>
  </si>
  <si>
    <t>793569282</t>
  </si>
  <si>
    <t>PQ4390 C762 2010</t>
  </si>
  <si>
    <t>0                      PQ 4390000C  762         2010</t>
  </si>
  <si>
    <t>Dante oltre il Medioevo : atti dei Convegni in ricordo di Silvio Pasquazi, Roma 16 e 30 novembre 2010 / a cura di Vincenzo Placella.</t>
  </si>
  <si>
    <t>Convegni in ricordo di Silvio Pasquazi (2010 : Rome, Italy)</t>
  </si>
  <si>
    <t>Roma : Pioda imaging, ©2012.</t>
  </si>
  <si>
    <t>Atti</t>
  </si>
  <si>
    <t>1192252153:ita</t>
  </si>
  <si>
    <t>823205865</t>
  </si>
  <si>
    <t>ocn823205865</t>
  </si>
  <si>
    <t>3103126038Z</t>
  </si>
  <si>
    <t>9788863210354</t>
  </si>
  <si>
    <t>794936978</t>
  </si>
  <si>
    <t>PQ4390 C7827 2003</t>
  </si>
  <si>
    <t>0                      PQ 4390000C  7827        2003</t>
  </si>
  <si>
    <t>Scritti su Cavalcanti e Dante : la felicità mentale, percorsi dell'invenzione, e altri saggi / Maria Corti.</t>
  </si>
  <si>
    <t>Torino : Einaudi, 2003.</t>
  </si>
  <si>
    <t>Biblioteca Einaudi ; 149</t>
  </si>
  <si>
    <t>2016-09-06</t>
  </si>
  <si>
    <t>327262171:ita</t>
  </si>
  <si>
    <t>52224568</t>
  </si>
  <si>
    <t>ocm52224568</t>
  </si>
  <si>
    <t>3102301106Q</t>
  </si>
  <si>
    <t>9788806158989</t>
  </si>
  <si>
    <t>793801416</t>
  </si>
  <si>
    <t>PQ4390 C788 1991</t>
  </si>
  <si>
    <t>0                      PQ 4390000C  788         1991</t>
  </si>
  <si>
    <t>Critical essays on Dante / Giuseppe Mazzotta [editor].</t>
  </si>
  <si>
    <t>Boston, Mass. : G.K. Hall, 1991.</t>
  </si>
  <si>
    <t>Critical essays on world literature</t>
  </si>
  <si>
    <t>24605386:eng</t>
  </si>
  <si>
    <t>22597402</t>
  </si>
  <si>
    <t>ocm22597402</t>
  </si>
  <si>
    <t>3101110787E</t>
  </si>
  <si>
    <t>9780816188499</t>
  </si>
  <si>
    <t>793148905</t>
  </si>
  <si>
    <t>PQ4390 D27 1997</t>
  </si>
  <si>
    <t>0                      PQ 4390000D  27          1997</t>
  </si>
  <si>
    <t>Dante : contemporary perspectives / edited by Amilcare A. Iannucci.</t>
  </si>
  <si>
    <t>Toronto ; Buffalo : University of Toronto Press, ©1997.</t>
  </si>
  <si>
    <t>Major Italian authors</t>
  </si>
  <si>
    <t>2019-01-25</t>
  </si>
  <si>
    <t>3134269717:eng</t>
  </si>
  <si>
    <t>36838870</t>
  </si>
  <si>
    <t>ocm36838870</t>
  </si>
  <si>
    <t>3101726342B</t>
  </si>
  <si>
    <t>9780802029652</t>
  </si>
  <si>
    <t>793485402</t>
  </si>
  <si>
    <t>2019-01-01</t>
  </si>
  <si>
    <t>31017242962</t>
  </si>
  <si>
    <t>793485401</t>
  </si>
  <si>
    <t>PQ4390 D275 2014</t>
  </si>
  <si>
    <t>0                      PQ 4390000D  275         2014</t>
  </si>
  <si>
    <t>Dante and the Greeks / edited by Jan M. Ziolkowski.</t>
  </si>
  <si>
    <t>Washington, D.C. : Dumbarton Oaks Research Library and Collection, [2014]</t>
  </si>
  <si>
    <t>Dumbarton Oaks Medieval Humanities</t>
  </si>
  <si>
    <t>2019-04-13</t>
  </si>
  <si>
    <t>2239666334:eng</t>
  </si>
  <si>
    <t>876000086</t>
  </si>
  <si>
    <t>ocn876000086</t>
  </si>
  <si>
    <t>3103608458M</t>
  </si>
  <si>
    <t>9780884024002</t>
  </si>
  <si>
    <t>794969774</t>
  </si>
  <si>
    <t>PQ4390 D276 1995</t>
  </si>
  <si>
    <t>0                      PQ 4390000D  276         1995</t>
  </si>
  <si>
    <t>Dante and the Middle Ages : literary and historical essays / edited by John C. Barnes and Cormac Ó Cuilleanáin.</t>
  </si>
  <si>
    <t>Dublin : Irish Academic Press, 1995.</t>
  </si>
  <si>
    <t>Publications of the Foundation for Italian Studies, University College Dublin</t>
  </si>
  <si>
    <t>837057075:eng</t>
  </si>
  <si>
    <t>34174882</t>
  </si>
  <si>
    <t>ocm34174882</t>
  </si>
  <si>
    <t>3101571579Q</t>
  </si>
  <si>
    <t>9780716525271</t>
  </si>
  <si>
    <t>793420869</t>
  </si>
  <si>
    <t>PQ4390 D2815 2003</t>
  </si>
  <si>
    <t>0                      PQ 4390000D  2815        2003</t>
  </si>
  <si>
    <t>Dante for the new millennium / edited by Teodolinda Barolini and H. Wayne Storey.</t>
  </si>
  <si>
    <t>New York : Fordham University Press, 2003.</t>
  </si>
  <si>
    <t>Fordham series in medieval studies, 1542-6378 ; no. 2</t>
  </si>
  <si>
    <t>2019-11-26</t>
  </si>
  <si>
    <t>400792501:eng</t>
  </si>
  <si>
    <t>52386376</t>
  </si>
  <si>
    <t>ocm52386376</t>
  </si>
  <si>
    <t>31023149816</t>
  </si>
  <si>
    <t>9780823222711</t>
  </si>
  <si>
    <t>793805210</t>
  </si>
  <si>
    <t>PQ4390 D2834 2003</t>
  </si>
  <si>
    <t>0                      PQ 4390000D  2834        2003</t>
  </si>
  <si>
    <t>Dante : the critical complex / edited with introductions by Richard Lansing.</t>
  </si>
  <si>
    <t>New York : Routledge, 2003.</t>
  </si>
  <si>
    <t>2018-10-19</t>
  </si>
  <si>
    <t>2865907402:eng</t>
  </si>
  <si>
    <t>50899107</t>
  </si>
  <si>
    <t>ocm50899107</t>
  </si>
  <si>
    <t>31022590565</t>
  </si>
  <si>
    <t>9780415940931</t>
  </si>
  <si>
    <t>793774831</t>
  </si>
  <si>
    <t>2017-10-13</t>
  </si>
  <si>
    <t>31022590613</t>
  </si>
  <si>
    <t>793774832</t>
  </si>
  <si>
    <t>v. 7</t>
  </si>
  <si>
    <t>2007-10-13</t>
  </si>
  <si>
    <t>3102259080$</t>
  </si>
  <si>
    <t>793774827</t>
  </si>
  <si>
    <t>v. 6</t>
  </si>
  <si>
    <t>2017-11-06</t>
  </si>
  <si>
    <t>31022590761</t>
  </si>
  <si>
    <t>793774828</t>
  </si>
  <si>
    <t>v. 5</t>
  </si>
  <si>
    <t>31022590711</t>
  </si>
  <si>
    <t>793774829</t>
  </si>
  <si>
    <t>v. 4</t>
  </si>
  <si>
    <t>2007-10-17</t>
  </si>
  <si>
    <t>31022590663</t>
  </si>
  <si>
    <t>793774830</t>
  </si>
  <si>
    <t>v. 8</t>
  </si>
  <si>
    <t>31028240632</t>
  </si>
  <si>
    <t>793774826</t>
  </si>
  <si>
    <t>31022590751</t>
  </si>
  <si>
    <t>793774833</t>
  </si>
  <si>
    <t>PQ4390 D34 1986</t>
  </si>
  <si>
    <t>0                      PQ 4390000D  34          1986</t>
  </si>
  <si>
    <t>The reader's companion to Dante's Divine comedy / Angelo A. De Gennaro.</t>
  </si>
  <si>
    <t>De Gennaro, Angelo A., 1919-</t>
  </si>
  <si>
    <t>New York : Philosophical Library, ©1986.</t>
  </si>
  <si>
    <t>4943271:eng</t>
  </si>
  <si>
    <t>12558125</t>
  </si>
  <si>
    <t>ocm12558125</t>
  </si>
  <si>
    <t>30001937112</t>
  </si>
  <si>
    <t>9780802225023</t>
  </si>
  <si>
    <t>792819193</t>
  </si>
  <si>
    <t>PQ4390 D6 1902</t>
  </si>
  <si>
    <t>0                      PQ 4390000D  6           1902</t>
  </si>
  <si>
    <t>The teachings of Dante / by Charles Allen Dinsmore.</t>
  </si>
  <si>
    <t>Dinsmore, Charles Allen, 1860-1941.</t>
  </si>
  <si>
    <t>Westminster : A. Constable &amp; Co., Ltd., 1902.</t>
  </si>
  <si>
    <t>498866:eng</t>
  </si>
  <si>
    <t>427182066</t>
  </si>
  <si>
    <t>ocn427182066</t>
  </si>
  <si>
    <t>3000779263H</t>
  </si>
  <si>
    <t>794528207</t>
  </si>
  <si>
    <t>PQ4390 D637 2006</t>
  </si>
  <si>
    <t>0                      PQ 4390000D  637         2006</t>
  </si>
  <si>
    <t>La divina foresta : studi danteschi / a cura di Francesco Spera.</t>
  </si>
  <si>
    <t>Napoli : M. D'Auria, ©2006.</t>
  </si>
  <si>
    <t>Biblioteca M. D'Auria</t>
  </si>
  <si>
    <t>352019737:ita</t>
  </si>
  <si>
    <t>75714792</t>
  </si>
  <si>
    <t>ocm75714792</t>
  </si>
  <si>
    <t>3102678793K</t>
  </si>
  <si>
    <t>9788870922653</t>
  </si>
  <si>
    <t>794175222</t>
  </si>
  <si>
    <t>PQ4390 D638 2015</t>
  </si>
  <si>
    <t>0                      PQ 4390000D  638         2015</t>
  </si>
  <si>
    <t>"Più aperto intendi ancora" : tre letture dantesche, Inf. VII, Purg. XVII, Par. XXXII / Maria Luisa Doglio.</t>
  </si>
  <si>
    <t>Doglio, Maria Luisa, author.</t>
  </si>
  <si>
    <t>Roma : Edizioni di storia e letteratura, 2015.</t>
  </si>
  <si>
    <t>Storia e letteratura ; 294</t>
  </si>
  <si>
    <t>2585164456:ita</t>
  </si>
  <si>
    <t>915336620</t>
  </si>
  <si>
    <t>ocn915336620</t>
  </si>
  <si>
    <t>31036302991</t>
  </si>
  <si>
    <t>9788863728057</t>
  </si>
  <si>
    <t>795000531</t>
  </si>
  <si>
    <t>PQ4390 F462 2017</t>
  </si>
  <si>
    <t>0                      PQ 4390000F  462         2017</t>
  </si>
  <si>
    <t>Le canzoni di Dante : interpretazioni e letture / Enrico Fenzi.</t>
  </si>
  <si>
    <t>Fenzi, Enrico, author.</t>
  </si>
  <si>
    <t>Firenze : Le Lettere, [2017]</t>
  </si>
  <si>
    <t>Quaderni degli "Studi danteschi" ; 18</t>
  </si>
  <si>
    <t>2018-06-15</t>
  </si>
  <si>
    <t>4884428143:ita</t>
  </si>
  <si>
    <t>1030159628</t>
  </si>
  <si>
    <t>on1030159628</t>
  </si>
  <si>
    <t>3103793766C</t>
  </si>
  <si>
    <t>9788893660228</t>
  </si>
  <si>
    <t>795054492</t>
  </si>
  <si>
    <t>PQ4390 F56 2012</t>
  </si>
  <si>
    <t>0                      PQ 4390000F  56          2012</t>
  </si>
  <si>
    <t>Ethos e leggiadria : lo Stilnovo dialogico di Dante, Guido e Cino da Pistoia / Francesco Fioretti.</t>
  </si>
  <si>
    <t>Fioretti, Francesco, 1960- author.</t>
  </si>
  <si>
    <t>Roma : Aracne editrice S.r.l., novembre 2012.</t>
  </si>
  <si>
    <t>Dulces musae ; 8</t>
  </si>
  <si>
    <t>2478287923:ita</t>
  </si>
  <si>
    <t>905553150</t>
  </si>
  <si>
    <t>ocn905553150</t>
  </si>
  <si>
    <t>31036281145</t>
  </si>
  <si>
    <t>9788854852709</t>
  </si>
  <si>
    <t>794991562</t>
  </si>
  <si>
    <t>PQ4390 F73 1977b</t>
  </si>
  <si>
    <t>0                      PQ 4390000F  73          1977b</t>
  </si>
  <si>
    <t>The two Dantes, and other studies / Kenelm Foster.</t>
  </si>
  <si>
    <t>Foster, Kenelm.</t>
  </si>
  <si>
    <t>Berkeley : University of California Press, ©1977.</t>
  </si>
  <si>
    <t>2019-04-15</t>
  </si>
  <si>
    <t>501480:eng</t>
  </si>
  <si>
    <t>3723887</t>
  </si>
  <si>
    <t>ocm03723887</t>
  </si>
  <si>
    <t>30004590990</t>
  </si>
  <si>
    <t>9780520033269</t>
  </si>
  <si>
    <t>792284735</t>
  </si>
  <si>
    <t>PQ4390 F82 1986</t>
  </si>
  <si>
    <t>0                      PQ 4390000F  82          1986</t>
  </si>
  <si>
    <t>Dante : the poetics of conversion / John Freccero ; edited and with an introduction by Rachel Jacoff.</t>
  </si>
  <si>
    <t>Freccero, John, author.</t>
  </si>
  <si>
    <t>Cambridge, Mass. : Harvard University Press, ©1986.</t>
  </si>
  <si>
    <t>2679208:eng</t>
  </si>
  <si>
    <t>12371506</t>
  </si>
  <si>
    <t>ocm12371506</t>
  </si>
  <si>
    <t>3000193713Z</t>
  </si>
  <si>
    <t>9780674192256</t>
  </si>
  <si>
    <t>792812623</t>
  </si>
  <si>
    <t>PQ4390 G4232 2016</t>
  </si>
  <si>
    <t>0                      PQ 4390000G  4232        2016</t>
  </si>
  <si>
    <t>Con Dante : letture, saggi, indici / Emerico Giachery.</t>
  </si>
  <si>
    <t>Giachery, Emerico, author.</t>
  </si>
  <si>
    <t>Volturino FG Italy : Appula aeditua, 2016.</t>
  </si>
  <si>
    <t>3454935705:ita</t>
  </si>
  <si>
    <t>953450259</t>
  </si>
  <si>
    <t>ocn953450259</t>
  </si>
  <si>
    <t>31037161631</t>
  </si>
  <si>
    <t>9788894112122</t>
  </si>
  <si>
    <t>795018746</t>
  </si>
  <si>
    <t>PQ4390 G485 1999</t>
  </si>
  <si>
    <t>0                      PQ 4390000G  485         1999</t>
  </si>
  <si>
    <t>Dante's aesthetics of being / Warren Ginsberg.</t>
  </si>
  <si>
    <t>Ginsberg, Warren, 1949-</t>
  </si>
  <si>
    <t>Ann Arbor : University of Michigan Press, ©1999.</t>
  </si>
  <si>
    <t>42022694:eng</t>
  </si>
  <si>
    <t>39624759</t>
  </si>
  <si>
    <t>ocm39624759</t>
  </si>
  <si>
    <t>31019876664</t>
  </si>
  <si>
    <t>9780472109715</t>
  </si>
  <si>
    <t>793549311</t>
  </si>
  <si>
    <t>PQ4390 G89 1989</t>
  </si>
  <si>
    <t>0                      PQ 4390000G  89          1989</t>
  </si>
  <si>
    <t>Textual history and the Divine comedy / John J. Guzzardo.</t>
  </si>
  <si>
    <t>Guzzardo, John J., 1949-</t>
  </si>
  <si>
    <t>Potomac, Md. : Scripta Humanistica, [1989?]</t>
  </si>
  <si>
    <t>Scripta Humanistica ; 52</t>
  </si>
  <si>
    <t>2015-02-18</t>
  </si>
  <si>
    <t>21421357:eng</t>
  </si>
  <si>
    <t>19221999</t>
  </si>
  <si>
    <t>ocm19221999</t>
  </si>
  <si>
    <t>31007493885</t>
  </si>
  <si>
    <t>9780916379582</t>
  </si>
  <si>
    <t>793050309</t>
  </si>
  <si>
    <t>PQ4390 H35 2015</t>
  </si>
  <si>
    <t>0                      PQ 4390000H  35          2015</t>
  </si>
  <si>
    <t>Dante : a very short introduction / Peter Hainsworth and David Robey.</t>
  </si>
  <si>
    <t>Hainsworth, Peter, author.</t>
  </si>
  <si>
    <t>Oxford ; New York : Oxford University Press, 2015.</t>
  </si>
  <si>
    <t>Very short introductions ; 423</t>
  </si>
  <si>
    <t>2506035028:eng</t>
  </si>
  <si>
    <t>891125230</t>
  </si>
  <si>
    <t>ocn891125230</t>
  </si>
  <si>
    <t>3103612317R</t>
  </si>
  <si>
    <t>9780199684779</t>
  </si>
  <si>
    <t>794979904</t>
  </si>
  <si>
    <t>PQ4390 H4 1922</t>
  </si>
  <si>
    <t>0                      PQ 4390000H  4           1922</t>
  </si>
  <si>
    <t>Études sur la Divine comédie; la composition du poème, et son rayonnement.</t>
  </si>
  <si>
    <t>Hauvette, Henri, 1865-1935.</t>
  </si>
  <si>
    <t>Paris, E. Champion, 1922.</t>
  </si>
  <si>
    <t>1922</t>
  </si>
  <si>
    <t>Bibliothèque littéraire de la Renaissance ; Premiere Serie, Tome XII.</t>
  </si>
  <si>
    <t>309737817:fre</t>
  </si>
  <si>
    <t>1136861</t>
  </si>
  <si>
    <t>ocm01136861</t>
  </si>
  <si>
    <t>31019150690</t>
  </si>
  <si>
    <t>791554661</t>
  </si>
  <si>
    <t>PQ4390 H45 2010</t>
  </si>
  <si>
    <t>0                      PQ 4390000H  45          2010</t>
  </si>
  <si>
    <t>Reading Dante : the pursuit of meaning / Jesper Hede.</t>
  </si>
  <si>
    <t>Hede, Jesper, 1967-</t>
  </si>
  <si>
    <t>Lanham : Lexington Books, ©2010.</t>
  </si>
  <si>
    <t>103063855:eng</t>
  </si>
  <si>
    <t>717324320</t>
  </si>
  <si>
    <t>ocn717324320</t>
  </si>
  <si>
    <t>3103344005R</t>
  </si>
  <si>
    <t>9780739121979</t>
  </si>
  <si>
    <t>794874212</t>
  </si>
  <si>
    <t>PQ4390 H75</t>
  </si>
  <si>
    <t>0                      PQ 4390000H  75</t>
  </si>
  <si>
    <t>Studies in Dante / Robert Hollander.</t>
  </si>
  <si>
    <t>Ravenna : Longo, 1980.</t>
  </si>
  <si>
    <t>L'interprete ; 16</t>
  </si>
  <si>
    <t>23268925:eng</t>
  </si>
  <si>
    <t>6590246</t>
  </si>
  <si>
    <t>ocm06590246</t>
  </si>
  <si>
    <t>3000318317F</t>
  </si>
  <si>
    <t>792510530</t>
  </si>
  <si>
    <t>PQ4390 H76</t>
  </si>
  <si>
    <t>0                      PQ 4390000H  76</t>
  </si>
  <si>
    <t>Dante / George Holmes.</t>
  </si>
  <si>
    <t>Holmes, George, 1927-</t>
  </si>
  <si>
    <t>Oxford ; New York : Oxford University Press, 1980.</t>
  </si>
  <si>
    <t>Past masters</t>
  </si>
  <si>
    <t>2018-11-13</t>
  </si>
  <si>
    <t>2086746616:eng</t>
  </si>
  <si>
    <t>5831938</t>
  </si>
  <si>
    <t>ocm05831938</t>
  </si>
  <si>
    <t>3100011997D</t>
  </si>
  <si>
    <t>9780192875044</t>
  </si>
  <si>
    <t>792457501</t>
  </si>
  <si>
    <t>2009-12-14</t>
  </si>
  <si>
    <t>3000145118W</t>
  </si>
  <si>
    <t>792457502</t>
  </si>
  <si>
    <t>PQ4390 I58 1983</t>
  </si>
  <si>
    <t>0                      PQ 4390000I  58          1983</t>
  </si>
  <si>
    <t>The Divine comedy and the Encyclopedia of arts and sciences : acta of the International Dante Symposium, 13-16 November 1983, Hunter College, New York / edited by Giuseppe Di Scipio &amp; Aldo Scaglione.</t>
  </si>
  <si>
    <t>International Dante Symposium (1983 : Hunter College, N.Y.)</t>
  </si>
  <si>
    <t>Amsterdam ; Philadelphia : J. Benjamins Pub. Co., 1988.</t>
  </si>
  <si>
    <t>2017-11-25</t>
  </si>
  <si>
    <t>442582815:eng</t>
  </si>
  <si>
    <t>17876126</t>
  </si>
  <si>
    <t>ocm17876126</t>
  </si>
  <si>
    <t>3000538137S</t>
  </si>
  <si>
    <t>9781556190315</t>
  </si>
  <si>
    <t>793006394</t>
  </si>
  <si>
    <t>PQ4390 L325 2014</t>
  </si>
  <si>
    <t>0                      PQ 4390000L  325         2014</t>
  </si>
  <si>
    <t>Dante gotico e altri studi sulla Commedìa / Antonio Lanza.</t>
  </si>
  <si>
    <t>Lanza, Antonio, 1949- author.</t>
  </si>
  <si>
    <t>Firenze : Le Lettere, 2014.</t>
  </si>
  <si>
    <t>Quaderni degli "studi danteschi" ; 17</t>
  </si>
  <si>
    <t>2235409010:ita</t>
  </si>
  <si>
    <t>895661433</t>
  </si>
  <si>
    <t>ocn895661433</t>
  </si>
  <si>
    <t>3103590625M</t>
  </si>
  <si>
    <t>9788860878649</t>
  </si>
  <si>
    <t>794983617</t>
  </si>
  <si>
    <t>PQ4390 L639 2011</t>
  </si>
  <si>
    <t>0                      PQ 4390000L  639         2011</t>
  </si>
  <si>
    <t>Lezioni su Dante / a cura di Giuliana Nuvoli.</t>
  </si>
  <si>
    <t>Bologna : Archetipolibri, 2011.</t>
  </si>
  <si>
    <t>Longitudini</t>
  </si>
  <si>
    <t>903078905:ita</t>
  </si>
  <si>
    <t>726827803</t>
  </si>
  <si>
    <t>ocn726827803</t>
  </si>
  <si>
    <t>3103125380K</t>
  </si>
  <si>
    <t>9788866330011</t>
  </si>
  <si>
    <t>794877522</t>
  </si>
  <si>
    <t>PQ4390 L65 1965</t>
  </si>
  <si>
    <t>0                      PQ 4390000L  65          1965</t>
  </si>
  <si>
    <t>The mind of Dante, edited by U. Limentani.</t>
  </si>
  <si>
    <t>Limentani, Uberto, editor.</t>
  </si>
  <si>
    <t>Cambridge [England] University Press, 1965.</t>
  </si>
  <si>
    <t>111598141:eng</t>
  </si>
  <si>
    <t>307560</t>
  </si>
  <si>
    <t>ocm00307560</t>
  </si>
  <si>
    <t>3103070847E</t>
  </si>
  <si>
    <t>791331354</t>
  </si>
  <si>
    <t>PQ4390 M14 D87 2017</t>
  </si>
  <si>
    <t>0                      PQ 4390000M  14                 D  87          2017</t>
  </si>
  <si>
    <t>Dantes Gesänge --Gerät zum Einfangen der Zukunft : Ossip Mandelstams "Gespräch über Dante" / Ralph Dutli.</t>
  </si>
  <si>
    <t>Dutli, Ralph.</t>
  </si>
  <si>
    <t>Göttingen : Wallstein Verlag, ©2017.</t>
  </si>
  <si>
    <t>Göttinger Sudelblätter</t>
  </si>
  <si>
    <t>4054663380:ger</t>
  </si>
  <si>
    <t>972330303</t>
  </si>
  <si>
    <t>ocn972330303</t>
  </si>
  <si>
    <t>31037161348</t>
  </si>
  <si>
    <t>9783835330474</t>
  </si>
  <si>
    <t>795028624</t>
  </si>
  <si>
    <t>PQ4390 M145 2011</t>
  </si>
  <si>
    <t>0                      PQ 4390000M  145         2011</t>
  </si>
  <si>
    <t>Studi sulla Commedia : le tre fiere, Enea, Ciacco, Brunetto, Catone, Piccarda ed altri problemi danteschi / Romano Manescalchi.</t>
  </si>
  <si>
    <t>Manescalchi, Romano, author.</t>
  </si>
  <si>
    <t>Casoria (Napoli) : Loffredo, ©2011.</t>
  </si>
  <si>
    <t>Le ricerche di Critica letteraria ; 21</t>
  </si>
  <si>
    <t>1098195794:ita</t>
  </si>
  <si>
    <t>783121086</t>
  </si>
  <si>
    <t>ocn783121086</t>
  </si>
  <si>
    <t>3103125734I</t>
  </si>
  <si>
    <t>9788875645151</t>
  </si>
  <si>
    <t>794913841</t>
  </si>
  <si>
    <t>PQ4390 M24 2017</t>
  </si>
  <si>
    <t>0                      PQ 4390000M  24          2017</t>
  </si>
  <si>
    <t>Con gli occhi rivolti al cielo : paesaggi infernali e mondani nella letteratura medioevale / Stefano Magrella.</t>
  </si>
  <si>
    <t>Magrella, Stefano, author.</t>
  </si>
  <si>
    <t>Arcidosso (GR) : Effigi, [2017]</t>
  </si>
  <si>
    <t>NuoviSaggi ; 28</t>
  </si>
  <si>
    <t>4211405665:ita</t>
  </si>
  <si>
    <t>987267677</t>
  </si>
  <si>
    <t>ocn987267677</t>
  </si>
  <si>
    <t>31037208352</t>
  </si>
  <si>
    <t>9788864337593</t>
  </si>
  <si>
    <t>795035934</t>
  </si>
  <si>
    <t>PQ4390 M36314 2017</t>
  </si>
  <si>
    <t>0                      PQ 4390000M  36314       2017</t>
  </si>
  <si>
    <t>Dante / Enrico Malato ; traduit de l'italien par Marilène Raiola.</t>
  </si>
  <si>
    <t>Malato, Enrico, author.</t>
  </si>
  <si>
    <t>Paris : Les Belles Lettres, 2017.</t>
  </si>
  <si>
    <t>4020257519:fre</t>
  </si>
  <si>
    <t>978440712</t>
  </si>
  <si>
    <t>ocn978440712</t>
  </si>
  <si>
    <t>3103717243Z</t>
  </si>
  <si>
    <t>9782251446820</t>
  </si>
  <si>
    <t>795033306</t>
  </si>
  <si>
    <t>PQ4390 M39 2011</t>
  </si>
  <si>
    <t>0                      PQ 4390000M  39          2011</t>
  </si>
  <si>
    <t>Dante and Augustine : linguistics, poetics, hermeneutics / Simone Marchesi.</t>
  </si>
  <si>
    <t>Marchesi, Simone.</t>
  </si>
  <si>
    <t>Toronto ; New York : University of Toronto Press, ©2011.</t>
  </si>
  <si>
    <t>2019-03-26</t>
  </si>
  <si>
    <t>796110359:eng</t>
  </si>
  <si>
    <t>705507886</t>
  </si>
  <si>
    <t>ocn705507886</t>
  </si>
  <si>
    <t>3103325022T</t>
  </si>
  <si>
    <t>9781442642102</t>
  </si>
  <si>
    <t>794866214</t>
  </si>
  <si>
    <t>PQ4390 M53</t>
  </si>
  <si>
    <t>0                      PQ 4390000M  53</t>
  </si>
  <si>
    <t>Medieval cultural tradition in Dante's comedy.</t>
  </si>
  <si>
    <t>Mazzeo, Joseph Anthony, 1923-</t>
  </si>
  <si>
    <t>Ithaca, N.Y., Cornell University Press [1960]</t>
  </si>
  <si>
    <t>1960</t>
  </si>
  <si>
    <t>1573172:eng</t>
  </si>
  <si>
    <t>1345662</t>
  </si>
  <si>
    <t>ocm01345662</t>
  </si>
  <si>
    <t>30007956639</t>
  </si>
  <si>
    <t>791605607</t>
  </si>
  <si>
    <t>PQ4390 M54</t>
  </si>
  <si>
    <t>0                      PQ 4390000M  54</t>
  </si>
  <si>
    <t>Dante, poet of the desert : history and allegory in the Divine comedy / Giuseppe Mazzotta.</t>
  </si>
  <si>
    <t>Mazzotta, Giuseppe, 1942-</t>
  </si>
  <si>
    <t>Princeton, N.J. : Princeton University Press, ©1979.</t>
  </si>
  <si>
    <t>Limited paperback editions</t>
  </si>
  <si>
    <t>2018-10-04</t>
  </si>
  <si>
    <t>890867000:eng</t>
  </si>
  <si>
    <t>4515297</t>
  </si>
  <si>
    <t>ocm04515297</t>
  </si>
  <si>
    <t>3102268587K</t>
  </si>
  <si>
    <t>9780691063997</t>
  </si>
  <si>
    <t>792358033</t>
  </si>
  <si>
    <t>PQ4390 M544 2014</t>
  </si>
  <si>
    <t>0                      PQ 4390000M  544         2014</t>
  </si>
  <si>
    <t>Reading Dante / Giuseppe Mazzotta.</t>
  </si>
  <si>
    <t>New Haven : Yale University Press, [2014]</t>
  </si>
  <si>
    <t>The open Yale courses series</t>
  </si>
  <si>
    <t>1348148927:eng</t>
  </si>
  <si>
    <t>844731609</t>
  </si>
  <si>
    <t>ocn844731609</t>
  </si>
  <si>
    <t>3103566709D</t>
  </si>
  <si>
    <t>9780300191356</t>
  </si>
  <si>
    <t>794948715</t>
  </si>
  <si>
    <t>PQ4390 M76 2016</t>
  </si>
  <si>
    <t>0                      PQ 4390000M  76          2016</t>
  </si>
  <si>
    <t>Reading Dante's Commedia as theology : divinity realized in human encounter / Vittorio Montemaggi.</t>
  </si>
  <si>
    <t>Montemaggi, Vittorio, author.</t>
  </si>
  <si>
    <t>New York, NY : Oxford University Press, [2016]</t>
  </si>
  <si>
    <t>2844334512:eng</t>
  </si>
  <si>
    <t>932618633</t>
  </si>
  <si>
    <t>ocn932618633</t>
  </si>
  <si>
    <t>3103739172A</t>
  </si>
  <si>
    <t>9780190495466</t>
  </si>
  <si>
    <t>795008683</t>
  </si>
  <si>
    <t>PQ4390 M8 ser.4 1896</t>
  </si>
  <si>
    <t>0                      PQ 4390000M  8                                                       ser.4 1896</t>
  </si>
  <si>
    <t>Studies in Dante. Ser. 1-4.</t>
  </si>
  <si>
    <t>Moore, Edward, 1835-1916.</t>
  </si>
  <si>
    <t>Oxford : Clarendon Press, 1896-1917.</t>
  </si>
  <si>
    <t>2017-03-29</t>
  </si>
  <si>
    <t>10177408879:eng</t>
  </si>
  <si>
    <t>427248028</t>
  </si>
  <si>
    <t>ocn427248028</t>
  </si>
  <si>
    <t>31028031869</t>
  </si>
  <si>
    <t>794552675</t>
  </si>
  <si>
    <t>3100809013S</t>
  </si>
  <si>
    <t>794552674</t>
  </si>
  <si>
    <t>3100809015O</t>
  </si>
  <si>
    <t>794552672</t>
  </si>
  <si>
    <t>3100809014Q</t>
  </si>
  <si>
    <t>794552673</t>
  </si>
  <si>
    <t>PQ4390 M87</t>
  </si>
  <si>
    <t>0                      PQ 4390000M  87</t>
  </si>
  <si>
    <t>Essays on Dante.</t>
  </si>
  <si>
    <t>Musa, Mark, editor.</t>
  </si>
  <si>
    <t>Bloomington, Indiana University Press [1964]</t>
  </si>
  <si>
    <t>A Midland book MB-69</t>
  </si>
  <si>
    <t>2016-08-16</t>
  </si>
  <si>
    <t>1490681:eng</t>
  </si>
  <si>
    <t>344890</t>
  </si>
  <si>
    <t>ocm00344890</t>
  </si>
  <si>
    <t>3000605828R</t>
  </si>
  <si>
    <t>791344678</t>
  </si>
  <si>
    <t>PQ4390 N3</t>
  </si>
  <si>
    <t>0                      PQ 4390000N  3</t>
  </si>
  <si>
    <t>Dal "Convivio" alla "Commedia" : (Sei saggi danteschi) / di Bruno Nardi.</t>
  </si>
  <si>
    <t>Nardi, Bruno.</t>
  </si>
  <si>
    <t>Roma : Nella sede dell'Istituto, 1960.</t>
  </si>
  <si>
    <t>Istituto storico italiano per il Medio Evo. Studi storici ; fasc. 35-39</t>
  </si>
  <si>
    <t>2016-01-22</t>
  </si>
  <si>
    <t>14714168:ita</t>
  </si>
  <si>
    <t>4380660</t>
  </si>
  <si>
    <t>ocm04380660</t>
  </si>
  <si>
    <t>3000795677Z</t>
  </si>
  <si>
    <t>792345279</t>
  </si>
  <si>
    <t>PQ4390 N32 1944</t>
  </si>
  <si>
    <t>0                      PQ 4390000N  32          1944</t>
  </si>
  <si>
    <t>Nel mondo di Dante.</t>
  </si>
  <si>
    <t>Roma, Edizioni di "Storia e Letteratura", 1944.</t>
  </si>
  <si>
    <t>1944</t>
  </si>
  <si>
    <t>Storia e letteratura 5</t>
  </si>
  <si>
    <t>3152563:ita</t>
  </si>
  <si>
    <t>10818598</t>
  </si>
  <si>
    <t>ocm10818598</t>
  </si>
  <si>
    <t>3103297422H</t>
  </si>
  <si>
    <t>792744979</t>
  </si>
  <si>
    <t>PQ4390 N32 1990</t>
  </si>
  <si>
    <t>0                      PQ 4390000N  32          1990</t>
  </si>
  <si>
    <t>"Lecturae" e altri studi danteschi / Bruno Nardi ; a cura di Rudy Abardo ; con saggi introduttivi di F. Mazzoni e A. Vallone.</t>
  </si>
  <si>
    <t>Firenze : Le lettere, 1990.</t>
  </si>
  <si>
    <t>Quaderni degli "Studi danteschi" ; 6</t>
  </si>
  <si>
    <t>27350413:ita</t>
  </si>
  <si>
    <t>24247793</t>
  </si>
  <si>
    <t>ocm24247793</t>
  </si>
  <si>
    <t>3101021060L</t>
  </si>
  <si>
    <t>793193681</t>
  </si>
  <si>
    <t>PQ4390 N46 2003</t>
  </si>
  <si>
    <t>0                      PQ 4390000N  46          2003</t>
  </si>
  <si>
    <t>Alla ricerca dell'io perduto : l'umana avventura di Dante / ciclo di incontri con Franco Nembrini.</t>
  </si>
  <si>
    <t>Nembrini, Franco.</t>
  </si>
  <si>
    <t>Castel Bolognese (Ravenna) : Itaca, 2003.</t>
  </si>
  <si>
    <t>I volumi di Linea tempo ; 5</t>
  </si>
  <si>
    <t>3770349957:ita</t>
  </si>
  <si>
    <t>55055066</t>
  </si>
  <si>
    <t>ocm55055066</t>
  </si>
  <si>
    <t>3102828244L</t>
  </si>
  <si>
    <t>9788852600524</t>
  </si>
  <si>
    <t>793873397</t>
  </si>
  <si>
    <t>31023524927</t>
  </si>
  <si>
    <t>793873399</t>
  </si>
  <si>
    <t>3102828239N</t>
  </si>
  <si>
    <t>793873398</t>
  </si>
  <si>
    <t>PQ4390 N46 2017</t>
  </si>
  <si>
    <t>0                      PQ 4390000N  46          2017</t>
  </si>
  <si>
    <t>In cammino con Dante / Franco Nembrini.</t>
  </si>
  <si>
    <t>Nembrini, Franco, author.</t>
  </si>
  <si>
    <t>Milano : Garzanti, marzo 2017.</t>
  </si>
  <si>
    <t>3969222094:ita</t>
  </si>
  <si>
    <t>982172113</t>
  </si>
  <si>
    <t>ocn982172113</t>
  </si>
  <si>
    <t>3103716979S</t>
  </si>
  <si>
    <t>9788811672524</t>
  </si>
  <si>
    <t>795034344</t>
  </si>
  <si>
    <t>PQ4390 O77 2012</t>
  </si>
  <si>
    <t>0                      PQ 4390000O  77          2012</t>
  </si>
  <si>
    <t>Introduzione alla Divina commedia / Carlo Ossola.</t>
  </si>
  <si>
    <t>Ossola, Carlo.</t>
  </si>
  <si>
    <t>I nodi</t>
  </si>
  <si>
    <t>3902404287:ita</t>
  </si>
  <si>
    <t>793361583</t>
  </si>
  <si>
    <t>ocn793361583</t>
  </si>
  <si>
    <t>3103125810J</t>
  </si>
  <si>
    <t>9788831711890</t>
  </si>
  <si>
    <t>794918049</t>
  </si>
  <si>
    <t>PQ4390 P13 1993</t>
  </si>
  <si>
    <t>0                      PQ 4390000P  13          1993</t>
  </si>
  <si>
    <t>Il lungo cammino del "poema sacro" : studi danteschi / Giorgio Padoan.</t>
  </si>
  <si>
    <t>Firenze : L.S. Olschki, 1993.</t>
  </si>
  <si>
    <t>Biblioteca dell'"Archivum Romanicum." Serie I, Storia, letteratura, paleografia, 0066-6807 ; vol. 250</t>
  </si>
  <si>
    <t>2016-09-13</t>
  </si>
  <si>
    <t>349185839:ita</t>
  </si>
  <si>
    <t>27999797</t>
  </si>
  <si>
    <t>ocm27999797</t>
  </si>
  <si>
    <t>3101338789I</t>
  </si>
  <si>
    <t>9788822240248</t>
  </si>
  <si>
    <t>793277223</t>
  </si>
  <si>
    <t>PQ4390 P28 1969</t>
  </si>
  <si>
    <t>0                      PQ 4390000P  28          1969</t>
  </si>
  <si>
    <t>Dante and his influence : studies / by Thomas Nelson Page.</t>
  </si>
  <si>
    <t>Page, Thomas Nelson, 1853-1922.</t>
  </si>
  <si>
    <t>Port Washington, N.Y. : Kennikat Press, [1969, ©1922]</t>
  </si>
  <si>
    <t>21102088:eng</t>
  </si>
  <si>
    <t>548</t>
  </si>
  <si>
    <t>ocm00000548</t>
  </si>
  <si>
    <t>3000607625V</t>
  </si>
  <si>
    <t>791223726</t>
  </si>
  <si>
    <t>PQ4390 P38 2005</t>
  </si>
  <si>
    <t>0                      PQ 4390000P  38          2005</t>
  </si>
  <si>
    <t>Patterns in Dante : nine literary essays / edited by Cormac Ó Cuilleanáin and Jennifer Petrie.</t>
  </si>
  <si>
    <t>Portland, OR : Four Courts Press, ©2005.</t>
  </si>
  <si>
    <t>438740278:eng</t>
  </si>
  <si>
    <t>58447509</t>
  </si>
  <si>
    <t>ocm58447509</t>
  </si>
  <si>
    <t>3102495717D</t>
  </si>
  <si>
    <t>9781851825424</t>
  </si>
  <si>
    <t>793920992</t>
  </si>
  <si>
    <t>PQ4390 R258 2009</t>
  </si>
  <si>
    <t>0                      PQ 4390000R  258         2009</t>
  </si>
  <si>
    <t>The complete Danteworlds : a reader's guide to the Divine Comedy / Guy P. Raffa.</t>
  </si>
  <si>
    <t>Raffa, Guy P.</t>
  </si>
  <si>
    <t>Chicago ; London : University of Chicago Press, 2009.</t>
  </si>
  <si>
    <t>2019-01-15</t>
  </si>
  <si>
    <t>792105145:eng</t>
  </si>
  <si>
    <t>262429415</t>
  </si>
  <si>
    <t>ocn262429415</t>
  </si>
  <si>
    <t>3103304000A</t>
  </si>
  <si>
    <t>9780226702698</t>
  </si>
  <si>
    <t>794401691</t>
  </si>
  <si>
    <t>PQ4390 R485 2013</t>
  </si>
  <si>
    <t>0                      PQ 4390000R  485         2013</t>
  </si>
  <si>
    <t>Dante poeta-profeta, pellegrino, autore : strutturazione espressiva della Commedia e visione escatologica dantesca / Maria Gabriella Riccobono.</t>
  </si>
  <si>
    <t>Riccobono, Maria Gabriella.</t>
  </si>
  <si>
    <t>1378886208:ita</t>
  </si>
  <si>
    <t>847588801</t>
  </si>
  <si>
    <t>ocn847588801</t>
  </si>
  <si>
    <t>3103126267N</t>
  </si>
  <si>
    <t>9788854853379</t>
  </si>
  <si>
    <t>794949605</t>
  </si>
  <si>
    <t>PQ4390 R637 2016</t>
  </si>
  <si>
    <t>0                      PQ 4390000R  637         2016</t>
  </si>
  <si>
    <t>Cantando come donna innamorata : Dante e la musica / Marco Romanelli.</t>
  </si>
  <si>
    <t>Romanelli, Marco, 1958- author.</t>
  </si>
  <si>
    <t>Roma : Società editrice Dante Alighieri, [2016]</t>
  </si>
  <si>
    <t>Camminando con Dante</t>
  </si>
  <si>
    <t>4141499091:ita</t>
  </si>
  <si>
    <t>979488869</t>
  </si>
  <si>
    <t>ocn979488869</t>
  </si>
  <si>
    <t>3103716213C</t>
  </si>
  <si>
    <t>9788853437785</t>
  </si>
  <si>
    <t>795033482</t>
  </si>
  <si>
    <t>PQ4390 R778 2004</t>
  </si>
  <si>
    <t>0                      PQ 4390000R  778         2004</t>
  </si>
  <si>
    <t>Dante in love : the world's greatest poem and how it made history / Harriet Rubin.</t>
  </si>
  <si>
    <t>Rubin, Harriet, 1952-</t>
  </si>
  <si>
    <t>New York : Simon &amp; Schuster, ©2004.</t>
  </si>
  <si>
    <t>2018-02-06</t>
  </si>
  <si>
    <t>4202750414:eng</t>
  </si>
  <si>
    <t>54415450</t>
  </si>
  <si>
    <t>ocm54415450</t>
  </si>
  <si>
    <t>3102354420D</t>
  </si>
  <si>
    <t>9780743234467</t>
  </si>
  <si>
    <t>793861319</t>
  </si>
  <si>
    <t>PQ4390 S212x</t>
  </si>
  <si>
    <t>0                      PQ 4390000S  212x</t>
  </si>
  <si>
    <t>Antologia della critica Dantesca.</t>
  </si>
  <si>
    <t>Salinari, Carlo.</t>
  </si>
  <si>
    <t>Bari : Laterza, 1966.</t>
  </si>
  <si>
    <t>Collezione scolastica. Nuova serie</t>
  </si>
  <si>
    <t>1680868:eng</t>
  </si>
  <si>
    <t>221308441</t>
  </si>
  <si>
    <t>ocn221308441</t>
  </si>
  <si>
    <t>30006089709</t>
  </si>
  <si>
    <t>794325891</t>
  </si>
  <si>
    <t>PQ4390 S2534 2017</t>
  </si>
  <si>
    <t>0                      PQ 4390000S  2534        2017</t>
  </si>
  <si>
    <t>Il racconto della Commedia : guida al poema di Dante / Marco Santagata.</t>
  </si>
  <si>
    <t>Milano : Mondadori, febbraio 2017.</t>
  </si>
  <si>
    <t>I edizione Oscar saggi.</t>
  </si>
  <si>
    <t>Oscar saggi ; 45</t>
  </si>
  <si>
    <t>4152538811:ita</t>
  </si>
  <si>
    <t>981222149</t>
  </si>
  <si>
    <t>ocn981222149</t>
  </si>
  <si>
    <t>3103720845$</t>
  </si>
  <si>
    <t>9788804673996</t>
  </si>
  <si>
    <t>795033956</t>
  </si>
  <si>
    <t>PQ4390 S254 2011</t>
  </si>
  <si>
    <t>0                      PQ 4390000S  254         2011</t>
  </si>
  <si>
    <t>L'io e il mondo : un'interpretazione di Dante / Marco Santagata.</t>
  </si>
  <si>
    <t>Bologna : Il Mulino, ©2011.</t>
  </si>
  <si>
    <t>Collezione di testi e studi. Filologia e critica letteraria</t>
  </si>
  <si>
    <t>967654776:ita</t>
  </si>
  <si>
    <t>744283412</t>
  </si>
  <si>
    <t>ocn744283412</t>
  </si>
  <si>
    <t>3103125599C</t>
  </si>
  <si>
    <t>9788815233851</t>
  </si>
  <si>
    <t>794885883</t>
  </si>
  <si>
    <t>PQ4390 S28 1957</t>
  </si>
  <si>
    <t>0                      PQ 4390000S  28          1957</t>
  </si>
  <si>
    <t>Further papers on Dante.</t>
  </si>
  <si>
    <t>Sayers, Dorothy L. (Dorothy Leigh), 1893-1957.</t>
  </si>
  <si>
    <t>London : Methuen, [1957]</t>
  </si>
  <si>
    <t>2015-05-19</t>
  </si>
  <si>
    <t>445962:eng</t>
  </si>
  <si>
    <t>2494839</t>
  </si>
  <si>
    <t>ocm02494839</t>
  </si>
  <si>
    <t>3000250312B</t>
  </si>
  <si>
    <t>792135201</t>
  </si>
  <si>
    <t>30005237530</t>
  </si>
  <si>
    <t>792135200</t>
  </si>
  <si>
    <t>C. 2</t>
  </si>
  <si>
    <t>30002503139</t>
  </si>
  <si>
    <t>792135199</t>
  </si>
  <si>
    <t>PQ4390 S29 1954</t>
  </si>
  <si>
    <t>0                      PQ 4390000S  29          1954</t>
  </si>
  <si>
    <t>Introductory papers on Dante; with a pref. by Barbara Reynolds.</t>
  </si>
  <si>
    <t>London, Methuen [1954]</t>
  </si>
  <si>
    <t>1192950:eng</t>
  </si>
  <si>
    <t>2059600</t>
  </si>
  <si>
    <t>ocm02059600</t>
  </si>
  <si>
    <t>3000607633W</t>
  </si>
  <si>
    <t>792037493</t>
  </si>
  <si>
    <t>PQ4390 S292</t>
  </si>
  <si>
    <t>0                      PQ 4390000S  292</t>
  </si>
  <si>
    <t>Saggi danteschi.</t>
  </si>
  <si>
    <t>Scarano, Nicola.</t>
  </si>
  <si>
    <t>Ercolano, Poligrafica &amp; cartevalori, 1970.</t>
  </si>
  <si>
    <t>7391386:ita</t>
  </si>
  <si>
    <t>14233392</t>
  </si>
  <si>
    <t>ocm14233392</t>
  </si>
  <si>
    <t>30006089814</t>
  </si>
  <si>
    <t>792882810</t>
  </si>
  <si>
    <t>PQ4390 S46</t>
  </si>
  <si>
    <t>0                      PQ 4390000S  46</t>
  </si>
  <si>
    <t>Dante magnanimo : studi sulla Commedia / John A. Scott.</t>
  </si>
  <si>
    <t>Scott, John A. (John Alfred), 1932-</t>
  </si>
  <si>
    <t>Firenze : L.S. Olschki, 1977.</t>
  </si>
  <si>
    <t>Saggi di "Lettere italiane" ; 25</t>
  </si>
  <si>
    <t>918592709:ita</t>
  </si>
  <si>
    <t>3846237</t>
  </si>
  <si>
    <t>ocm03846237</t>
  </si>
  <si>
    <t>3000456957W</t>
  </si>
  <si>
    <t>792298193</t>
  </si>
  <si>
    <t>PQ4390 S464 2004</t>
  </si>
  <si>
    <t>0                      PQ 4390000S  464         2004</t>
  </si>
  <si>
    <t>Understanding Dante / John A. Scott.</t>
  </si>
  <si>
    <t>Notre Dame, Ind. : University of Notre Dame Press, ©2004.</t>
  </si>
  <si>
    <t>The William and Katherine Devers series in Dante studies ; [v. 6]</t>
  </si>
  <si>
    <t>669401:eng</t>
  </si>
  <si>
    <t>52239501</t>
  </si>
  <si>
    <t>ocm52239501</t>
  </si>
  <si>
    <t>31026900243</t>
  </si>
  <si>
    <t>9780268044503</t>
  </si>
  <si>
    <t>793801665</t>
  </si>
  <si>
    <t>PQ4390 S5165 2013</t>
  </si>
  <si>
    <t>0                      PQ 4390000S  5165        2013</t>
  </si>
  <si>
    <t>Dal male all'amore : appunti sul viaggio di Dante Alighieri / Massimo Seriacopi.</t>
  </si>
  <si>
    <t>Seriacopi, Massimo.</t>
  </si>
  <si>
    <t>Firenze : Le Càriti Editore, gennaio 2013.</t>
  </si>
  <si>
    <t>Talia ; 10</t>
  </si>
  <si>
    <t>1746024605:ita</t>
  </si>
  <si>
    <t>842837439</t>
  </si>
  <si>
    <t>ocn842837439</t>
  </si>
  <si>
    <t>3103126226V</t>
  </si>
  <si>
    <t>9788887657869</t>
  </si>
  <si>
    <t>794947582</t>
  </si>
  <si>
    <t>PQ4390 S56 1998</t>
  </si>
  <si>
    <t>0                      PQ 4390000S  56          1998</t>
  </si>
  <si>
    <t>Dante and the knot of body and soul / Marianne Shapiro.</t>
  </si>
  <si>
    <t>Shapiro, Marianne.</t>
  </si>
  <si>
    <t>New York : St. Martin's Press, 1998.</t>
  </si>
  <si>
    <t>2015-12-10</t>
  </si>
  <si>
    <t>5612349717:eng</t>
  </si>
  <si>
    <t>39640030</t>
  </si>
  <si>
    <t>ocm39640030</t>
  </si>
  <si>
    <t>31019390004</t>
  </si>
  <si>
    <t>9780312217501</t>
  </si>
  <si>
    <t>793549831</t>
  </si>
  <si>
    <t>PQ4390 S66</t>
  </si>
  <si>
    <t>0                      PQ 4390000S  66</t>
  </si>
  <si>
    <t>Dante studies / Charles S. Singleton.</t>
  </si>
  <si>
    <t>Cambridge, MA : Harvard University Press, 1954-</t>
  </si>
  <si>
    <t>2017-02-14</t>
  </si>
  <si>
    <t>1601963:eng</t>
  </si>
  <si>
    <t>752206</t>
  </si>
  <si>
    <t>ocm00752206</t>
  </si>
  <si>
    <t>30002519616</t>
  </si>
  <si>
    <t>791461773</t>
  </si>
  <si>
    <t>2010-02-05</t>
  </si>
  <si>
    <t>31001461690</t>
  </si>
  <si>
    <t>791461772</t>
  </si>
  <si>
    <t>PQ4390 S6618</t>
  </si>
  <si>
    <t>0                      PQ 4390000S  6618</t>
  </si>
  <si>
    <t>Studi su Dante / Charles S. Singleton ; [traduzione di Giulio Vallese].</t>
  </si>
  <si>
    <t>Napoli : G. Scalabrini Editore, 1961-</t>
  </si>
  <si>
    <t>1a ed. italiana.</t>
  </si>
  <si>
    <t>Nuova collana di critica</t>
  </si>
  <si>
    <t>1601963:ita</t>
  </si>
  <si>
    <t>11893911</t>
  </si>
  <si>
    <t>ocm11893911</t>
  </si>
  <si>
    <t>3000608445S</t>
  </si>
  <si>
    <t>792792901</t>
  </si>
  <si>
    <t>PQ4390 S698 2000</t>
  </si>
  <si>
    <t>0                      PQ 4390000S  698         2000</t>
  </si>
  <si>
    <t>Sparks and seeds : medieval literature and its afterlife : essays in honor of John Freccero / edited by Dana E. Stewart and Alison Cornish ; with an introduction by Giuseppe Mazzotta.</t>
  </si>
  <si>
    <t>[Binghamton, N.Y.] : Center for Medieval and Early Renaissance Studies ; [Turnhout, Belgium?] : Brepols, ©2000.</t>
  </si>
  <si>
    <t>Binghamton medieval and early modern studies ; 2</t>
  </si>
  <si>
    <t>2019-10-05</t>
  </si>
  <si>
    <t>891526327:eng</t>
  </si>
  <si>
    <t>44539678</t>
  </si>
  <si>
    <t>ocm44539678</t>
  </si>
  <si>
    <t>3102815108C</t>
  </si>
  <si>
    <t>9782503509068</t>
  </si>
  <si>
    <t>793652673</t>
  </si>
  <si>
    <t>PQ4390 S6984 2010</t>
  </si>
  <si>
    <t>0                      PQ 4390000S  6984        2010</t>
  </si>
  <si>
    <t>La poesia forte del poema dantesco / Francesco Spera.</t>
  </si>
  <si>
    <t>Spera, Francesco, 1949-</t>
  </si>
  <si>
    <t>Linguistica e critica letteraria. Nuova serie ; 12</t>
  </si>
  <si>
    <t>757221090:ita</t>
  </si>
  <si>
    <t>681707521</t>
  </si>
  <si>
    <t>ocn681707521</t>
  </si>
  <si>
    <t>3103125242V</t>
  </si>
  <si>
    <t>9788876673993</t>
  </si>
  <si>
    <t>794852339</t>
  </si>
  <si>
    <t>PQ4390 S777 2010</t>
  </si>
  <si>
    <t>0                      PQ 4390000S  777         2010</t>
  </si>
  <si>
    <t>Stella forte : studi danteschi / a cura di Francesco Spera.</t>
  </si>
  <si>
    <t>Napoli : M. D'Auria, ©2010.</t>
  </si>
  <si>
    <t>796665767:ita</t>
  </si>
  <si>
    <t>668177861</t>
  </si>
  <si>
    <t>ocn668177861</t>
  </si>
  <si>
    <t>31031252052</t>
  </si>
  <si>
    <t>9788870923148</t>
  </si>
  <si>
    <t>794845895</t>
  </si>
  <si>
    <t>PQ4390 T248 2012</t>
  </si>
  <si>
    <t>0                      PQ 4390000T  248         2012</t>
  </si>
  <si>
    <t>Oratoria e didattica : rileggendo la Divina Commedia / Francesco Tateo.</t>
  </si>
  <si>
    <t>Tateo, Francesco, 1931-</t>
  </si>
  <si>
    <t>Foggia : Edizioni del Rosone, 2012.</t>
  </si>
  <si>
    <t>Letteratura e interpretazione ; 5</t>
  </si>
  <si>
    <t>1183335998:ita</t>
  </si>
  <si>
    <t>819378269</t>
  </si>
  <si>
    <t>ocn819378269</t>
  </si>
  <si>
    <t>3103126091N</t>
  </si>
  <si>
    <t>9788897220374</t>
  </si>
  <si>
    <t>794934473</t>
  </si>
  <si>
    <t>PQ4390 T8</t>
  </si>
  <si>
    <t>0                      PQ 4390000T  8</t>
  </si>
  <si>
    <t>Dante studies and researches / by Paget Toynbee.</t>
  </si>
  <si>
    <t>London : Methuen, 1902.</t>
  </si>
  <si>
    <t>458458:eng</t>
  </si>
  <si>
    <t>427131385</t>
  </si>
  <si>
    <t>ocn427131385</t>
  </si>
  <si>
    <t>30007724475</t>
  </si>
  <si>
    <t>794521591</t>
  </si>
  <si>
    <t>3100909851I</t>
  </si>
  <si>
    <t>794521592</t>
  </si>
  <si>
    <t>PQ4390 T83</t>
  </si>
  <si>
    <t>0                      PQ 4390000T  83</t>
  </si>
  <si>
    <t>Dante studies, by Paget Toynbee.</t>
  </si>
  <si>
    <t>Oxford, Clarendon Press, 1921.</t>
  </si>
  <si>
    <t>3237854:eng</t>
  </si>
  <si>
    <t>1989748</t>
  </si>
  <si>
    <t>ocm01989748</t>
  </si>
  <si>
    <t>30007724467</t>
  </si>
  <si>
    <t>792024323</t>
  </si>
  <si>
    <t>PQ4390 T837 2017</t>
  </si>
  <si>
    <t>0                      PQ 4390000T  837         2017</t>
  </si>
  <si>
    <t>La poetica dell'affetto : estetica religiosa nella Divina Commedia / Fortunato Trione.</t>
  </si>
  <si>
    <t>Trione, Fortunato, author.</t>
  </si>
  <si>
    <t>Il portico. Biblioteca di lettere e arti ; 173. Sezione Materiali letterari</t>
  </si>
  <si>
    <t>5623973321:ita</t>
  </si>
  <si>
    <t>981220317</t>
  </si>
  <si>
    <t>ocn981220317</t>
  </si>
  <si>
    <t>3103784052F</t>
  </si>
  <si>
    <t>9788880639497</t>
  </si>
  <si>
    <t>795033951</t>
  </si>
  <si>
    <t>PQ4390 U23 2012</t>
  </si>
  <si>
    <t>0                      PQ 4390000U  23          2012</t>
  </si>
  <si>
    <t>Metamorfosi, parodia ed eros : studi su Dante, Ariosto e Dosso Dossi / Cristina Ubaldini.</t>
  </si>
  <si>
    <t>Ubaldini, Cristina.</t>
  </si>
  <si>
    <t>Manziana (Roma) : Vecchiarelli, ©2012.</t>
  </si>
  <si>
    <t>Negotia litteraria. Studi ; 12</t>
  </si>
  <si>
    <t>2014-01-15</t>
  </si>
  <si>
    <t>1172613031:ita</t>
  </si>
  <si>
    <t>813004880</t>
  </si>
  <si>
    <t>ocn813004880</t>
  </si>
  <si>
    <t>3103125925E</t>
  </si>
  <si>
    <t>9788882473181</t>
  </si>
  <si>
    <t>794931356</t>
  </si>
  <si>
    <t>PQ4390 V27 2014</t>
  </si>
  <si>
    <t>0                      PQ 4390000V  27          2014</t>
  </si>
  <si>
    <t>L'"attualità" dell'esperienza di Dante : un'iniziazione alla Commedia / Gianni Vacchelli.</t>
  </si>
  <si>
    <t>Vacchelli, Gianni, author.</t>
  </si>
  <si>
    <t>Milano : Mimesis, [2014]</t>
  </si>
  <si>
    <t>Triquetra ; N. 4</t>
  </si>
  <si>
    <t>2549382074:ita</t>
  </si>
  <si>
    <t>906793214</t>
  </si>
  <si>
    <t>ocn906793214</t>
  </si>
  <si>
    <t>3103628093O</t>
  </si>
  <si>
    <t>9788857526881</t>
  </si>
  <si>
    <t>794992452</t>
  </si>
  <si>
    <t>PQ4390 V39 2017</t>
  </si>
  <si>
    <t>0                      PQ 4390000V  39          2017</t>
  </si>
  <si>
    <t>Dante leggero : dal priorato alla Commedia / Marco Veglia.</t>
  </si>
  <si>
    <t>Veglia, Marco, author.</t>
  </si>
  <si>
    <t>Lingue e letterature Carocci ; 230</t>
  </si>
  <si>
    <t>4422129760:ita</t>
  </si>
  <si>
    <t>993984587</t>
  </si>
  <si>
    <t>ocn993984587</t>
  </si>
  <si>
    <t>3103721234N</t>
  </si>
  <si>
    <t>9788843088331</t>
  </si>
  <si>
    <t>795038861</t>
  </si>
  <si>
    <t>PQ4391 A1 C68 2016</t>
  </si>
  <si>
    <t>0                      PQ 4391000A  1                  C  68          2016</t>
  </si>
  <si>
    <t>Dante pop : romanzi, parodie, brand, canzoni / Anna Maria Cotugno, Trifone Gargano.</t>
  </si>
  <si>
    <t>Cotugno, Anna Maria, author.</t>
  </si>
  <si>
    <t>Bari : Progedit, novembre 2016.</t>
  </si>
  <si>
    <t>4508571420:ita</t>
  </si>
  <si>
    <t>1002097205</t>
  </si>
  <si>
    <t>on1002097205</t>
  </si>
  <si>
    <t>3103721027S</t>
  </si>
  <si>
    <t>9788861943209</t>
  </si>
  <si>
    <t>795040905</t>
  </si>
  <si>
    <t>PQ4391 O9 D36 1991</t>
  </si>
  <si>
    <t>0                      PQ 4391000O  9                  D  36          1991</t>
  </si>
  <si>
    <t>Dante and Ovid : essays in intertextuality / edited by Madison U. Sowell.</t>
  </si>
  <si>
    <t>Binghamton, N.Y. : Medieval &amp; Renaissance Texts &amp; Studies, 1991.</t>
  </si>
  <si>
    <t>International studies / Center for International Scholarly Exchange, Columbia University ; v. 2</t>
  </si>
  <si>
    <t>2019-11-15</t>
  </si>
  <si>
    <t>890314074:eng</t>
  </si>
  <si>
    <t>22507992</t>
  </si>
  <si>
    <t>ocm22507992</t>
  </si>
  <si>
    <t>3100945409T</t>
  </si>
  <si>
    <t>9780866980944</t>
  </si>
  <si>
    <t>793146486</t>
  </si>
  <si>
    <t>PQ4391 R53 M63 2012</t>
  </si>
  <si>
    <t>0                      PQ 4391000R  53                 M  63          2012</t>
  </si>
  <si>
    <t>L'arca della mente : Riccardo di San Vittore nella Commedia di Dante / Mira Mocan.</t>
  </si>
  <si>
    <t>Mocan, Mira, author.</t>
  </si>
  <si>
    <t>Firenze : Leo S. Olschki Editore, 2012.</t>
  </si>
  <si>
    <t>Saggi di "lettere italiane" ; LXVIII</t>
  </si>
  <si>
    <t>2018-08-31</t>
  </si>
  <si>
    <t>1366435154:ita</t>
  </si>
  <si>
    <t>825556304</t>
  </si>
  <si>
    <t>ocn825556304</t>
  </si>
  <si>
    <t>31034872638</t>
  </si>
  <si>
    <t>9788822261885</t>
  </si>
  <si>
    <t>794938612</t>
  </si>
  <si>
    <t>PQ4392 M39 1992</t>
  </si>
  <si>
    <t>0                      PQ 4392000M  39          1992</t>
  </si>
  <si>
    <t>Dante's vision and the circle of knowledge / Giuseppe Mazzotta.</t>
  </si>
  <si>
    <t>Mazzotta, Giuseppe.</t>
  </si>
  <si>
    <t>Princeton, N.J. : Princeton University Press, 1993.</t>
  </si>
  <si>
    <t>2017-08-11</t>
  </si>
  <si>
    <t>28312219:eng</t>
  </si>
  <si>
    <t>60029273</t>
  </si>
  <si>
    <t>ocm60029273</t>
  </si>
  <si>
    <t>31012207847</t>
  </si>
  <si>
    <t>9780691069661</t>
  </si>
  <si>
    <t>793933289</t>
  </si>
  <si>
    <t>PQ4392 M39 1993</t>
  </si>
  <si>
    <t>0                      PQ 4392000M  39          1993</t>
  </si>
  <si>
    <t>Mazzotta, Giuseppe, 1942- author.</t>
  </si>
  <si>
    <t>Princeton, New Jersey : Princeton University Press, [1993]</t>
  </si>
  <si>
    <t>Princeton legacy library</t>
  </si>
  <si>
    <t>2017-10-10</t>
  </si>
  <si>
    <t>890439793</t>
  </si>
  <si>
    <t>ocn890439793</t>
  </si>
  <si>
    <t>3103698272J</t>
  </si>
  <si>
    <t>9780691608532</t>
  </si>
  <si>
    <t>794979233</t>
  </si>
  <si>
    <t>PQ4394 A73 1968</t>
  </si>
  <si>
    <t>0                      PQ 4394000A  73          1968</t>
  </si>
  <si>
    <t>Islam and the Divine comedy, translated [from the Spanish] and abridged by Harold Sutherland.</t>
  </si>
  <si>
    <t>Asín Palacios, Miguel, 1871-1944.</t>
  </si>
  <si>
    <t>London, Cass, 1968.</t>
  </si>
  <si>
    <t>1st ed., new impression.</t>
  </si>
  <si>
    <t>Islam and the Muslim world, no. 4</t>
  </si>
  <si>
    <t>2015-03-04</t>
  </si>
  <si>
    <t>4202414604:eng</t>
  </si>
  <si>
    <t>259020</t>
  </si>
  <si>
    <t>ocm00259020</t>
  </si>
  <si>
    <t>3102509972I</t>
  </si>
  <si>
    <t>791312998</t>
  </si>
  <si>
    <t>PQ4394 B55x</t>
  </si>
  <si>
    <t>0                      PQ 4394000B  55x</t>
  </si>
  <si>
    <t>Les sources orientales de la Divine Comédie.</t>
  </si>
  <si>
    <t>Blochet, E. (Edgar), 1870-1937.</t>
  </si>
  <si>
    <t>Paris, J. Maisonneuve, 1901.</t>
  </si>
  <si>
    <t>1901</t>
  </si>
  <si>
    <t>Les littératures populaires de toutes les nations, t. 41</t>
  </si>
  <si>
    <t>354556579:fre</t>
  </si>
  <si>
    <t>11156371</t>
  </si>
  <si>
    <t>ocm11156371</t>
  </si>
  <si>
    <t>3000605862R</t>
  </si>
  <si>
    <t>792760663</t>
  </si>
  <si>
    <t>PQ4394 C45 2012</t>
  </si>
  <si>
    <t>0                      PQ 4394000C  45          2012</t>
  </si>
  <si>
    <t>Dante arabo / Andrea Celli.</t>
  </si>
  <si>
    <t>Celli, Andrea, 1974-</t>
  </si>
  <si>
    <t>Biblioteca medievale. Saggi</t>
  </si>
  <si>
    <t>1124056967:ita</t>
  </si>
  <si>
    <t>798610407</t>
  </si>
  <si>
    <t>ocn798610407</t>
  </si>
  <si>
    <t>3103126207Z</t>
  </si>
  <si>
    <t>9788843065950</t>
  </si>
  <si>
    <t>794923802</t>
  </si>
  <si>
    <t>PQ4394 D76 1986</t>
  </si>
  <si>
    <t>0                      PQ 4394000D  76          1986</t>
  </si>
  <si>
    <t>Dante and medieval Latin traditions / Peter Dronke.</t>
  </si>
  <si>
    <t>Cambridge [Cambridgeshire] ; New York : Cambridge University Press, 1986.</t>
  </si>
  <si>
    <t>2016-04-07</t>
  </si>
  <si>
    <t>4908333:eng</t>
  </si>
  <si>
    <t>12555561</t>
  </si>
  <si>
    <t>ocm12555561</t>
  </si>
  <si>
    <t>3000381487K</t>
  </si>
  <si>
    <t>9780521321525</t>
  </si>
  <si>
    <t>792818817</t>
  </si>
  <si>
    <t>PQ4394 S76 2006</t>
  </si>
  <si>
    <t>0                      PQ 4394000S  76          2006</t>
  </si>
  <si>
    <t>Dante's pluralism and the Islamic philosophy of religion / Gregory B. Stone.</t>
  </si>
  <si>
    <t>Stone, Gregory B., 1961-</t>
  </si>
  <si>
    <t>New York : Palgrave Macmillan, 2006.</t>
  </si>
  <si>
    <t>The new Middle Ages</t>
  </si>
  <si>
    <t>131969267:eng</t>
  </si>
  <si>
    <t>61881191</t>
  </si>
  <si>
    <t>ocm61881191</t>
  </si>
  <si>
    <t>31025789071</t>
  </si>
  <si>
    <t>9781403971302</t>
  </si>
  <si>
    <t>794099205</t>
  </si>
  <si>
    <t>PQ4399 S5 1977</t>
  </si>
  <si>
    <t>0                      PQ 4399000S  5           1977</t>
  </si>
  <si>
    <t>Dante's Commedia : elements of structure / Charles S. Singleton.</t>
  </si>
  <si>
    <t>Baltimore : Johns Hopkins University Press, 1977, ©1954.</t>
  </si>
  <si>
    <t>451855:eng</t>
  </si>
  <si>
    <t>2984489</t>
  </si>
  <si>
    <t>ocm02984489</t>
  </si>
  <si>
    <t>3000415938S</t>
  </si>
  <si>
    <t>9780801820038</t>
  </si>
  <si>
    <t>792202824</t>
  </si>
  <si>
    <t>PQ4399 T36 1988</t>
  </si>
  <si>
    <t>0                      PQ 4399000T  36          1988</t>
  </si>
  <si>
    <t>Dante and difference : writing in the Commedia / Jeremy Tambling.</t>
  </si>
  <si>
    <t>Tambling, Jeremy.</t>
  </si>
  <si>
    <t>Cambridge [Cambridgeshire] ; New York : Cambridge University Press, 1988.</t>
  </si>
  <si>
    <t>Cambridge studies in medieval literature ; 2</t>
  </si>
  <si>
    <t>836633165:eng</t>
  </si>
  <si>
    <t>16085011</t>
  </si>
  <si>
    <t>ocm16085011</t>
  </si>
  <si>
    <t>30005331499</t>
  </si>
  <si>
    <t>9780521342421</t>
  </si>
  <si>
    <t>792954054</t>
  </si>
  <si>
    <t>PQ4399 V35 1990</t>
  </si>
  <si>
    <t>0                      PQ 4399000V  35          1990</t>
  </si>
  <si>
    <t>Strutture e modulazioni nella Divina commedia / Aldo Vallone.</t>
  </si>
  <si>
    <t>Vallone, Aldo, 1916-2002.</t>
  </si>
  <si>
    <t>Firenze : Olschki, 1990.</t>
  </si>
  <si>
    <t>Biblioteca dell'"Archivum Romanicum." Serie I, Storia, letteratura, paleografia, 0066-6807 ; vol. 234</t>
  </si>
  <si>
    <t>24617015:ita</t>
  </si>
  <si>
    <t>22343764</t>
  </si>
  <si>
    <t>ocm22343764</t>
  </si>
  <si>
    <t>3101149883T</t>
  </si>
  <si>
    <t>9788822237750</t>
  </si>
  <si>
    <t>793141415</t>
  </si>
  <si>
    <t>PQ4401 C67 2000</t>
  </si>
  <si>
    <t>0                      PQ 4401000C  67          2000</t>
  </si>
  <si>
    <t>Reading Dante's stars / Alison Cornish.</t>
  </si>
  <si>
    <t>Cornish, Alison, 1963-</t>
  </si>
  <si>
    <t>New Haven ; London : Yale University Press, ©2000.</t>
  </si>
  <si>
    <t>8908819479:eng</t>
  </si>
  <si>
    <t>41932542</t>
  </si>
  <si>
    <t>ocm41932542</t>
  </si>
  <si>
    <t>3102041521S</t>
  </si>
  <si>
    <t>9780300076790</t>
  </si>
  <si>
    <t>793599081</t>
  </si>
  <si>
    <t>PQ4406 C533 2002</t>
  </si>
  <si>
    <t>0                      PQ 4406000C  533         2002</t>
  </si>
  <si>
    <t>Allegorie e simboli nel Purgatorio e altri studi su Dante / Carmelo Ciccia.</t>
  </si>
  <si>
    <t>Ciccia, Carmelo.</t>
  </si>
  <si>
    <t>Cosenza, Italy : L. Pellegrini, [2002]</t>
  </si>
  <si>
    <t>7458373:ita</t>
  </si>
  <si>
    <t>51215997</t>
  </si>
  <si>
    <t>ocm51215997</t>
  </si>
  <si>
    <t>3102250103B</t>
  </si>
  <si>
    <t>9788881011148</t>
  </si>
  <si>
    <t>793780546</t>
  </si>
  <si>
    <t>PQ4406 D69 1991</t>
  </si>
  <si>
    <t>0                      PQ 4406000D  69          1991</t>
  </si>
  <si>
    <t>Mythe et symbole dans la Divine comédie / Marthe Dozon.</t>
  </si>
  <si>
    <t>Dozon, Marthe.</t>
  </si>
  <si>
    <t>Firenze : L.S. Olschki, 1991.</t>
  </si>
  <si>
    <t>Biblioteca dell'"Archivum Romanicum." Serie I, Storia, letteratura, paleografia, 0066-6807 ; vol. 233</t>
  </si>
  <si>
    <t>2016-10-12</t>
  </si>
  <si>
    <t>25884673:fre</t>
  </si>
  <si>
    <t>23747075</t>
  </si>
  <si>
    <t>ocm23747075</t>
  </si>
  <si>
    <t>3102821163B</t>
  </si>
  <si>
    <t>9788822238535</t>
  </si>
  <si>
    <t>793181576</t>
  </si>
  <si>
    <t>PQ4406 H6</t>
  </si>
  <si>
    <t>0                      PQ 4406000H  6</t>
  </si>
  <si>
    <t>Allegory in Dante's Commedia.</t>
  </si>
  <si>
    <t>Princeton, N.J., Princeton University Press, 1969.</t>
  </si>
  <si>
    <t>12481110:eng</t>
  </si>
  <si>
    <t>21898</t>
  </si>
  <si>
    <t>ocm00021898</t>
  </si>
  <si>
    <t>3000201869O</t>
  </si>
  <si>
    <t>9780691061573</t>
  </si>
  <si>
    <t>791231090</t>
  </si>
  <si>
    <t>2009-12-17</t>
  </si>
  <si>
    <t>3000500391Z</t>
  </si>
  <si>
    <t>791231089</t>
  </si>
  <si>
    <t>PQ4406 S5 1958</t>
  </si>
  <si>
    <t>0                      PQ 4406000S  5           1958</t>
  </si>
  <si>
    <t>Journey to Beatrice / by Charles S. Singleton.</t>
  </si>
  <si>
    <t>Cambridge, Mass. : Harvard University Press, 1958.</t>
  </si>
  <si>
    <t>His Dante studies ; 2</t>
  </si>
  <si>
    <t>451860:eng</t>
  </si>
  <si>
    <t>4432682</t>
  </si>
  <si>
    <t>ocm04432682</t>
  </si>
  <si>
    <t>3100809008L</t>
  </si>
  <si>
    <t>792349747</t>
  </si>
  <si>
    <t>PQ4406 T5</t>
  </si>
  <si>
    <t>0                      PQ 4406000T  5</t>
  </si>
  <si>
    <t>Dante's epic journeys.</t>
  </si>
  <si>
    <t>Thompson, David, 1938-</t>
  </si>
  <si>
    <t>Baltimore, Johns Hopkins University Press [1974]</t>
  </si>
  <si>
    <t>1754456:eng</t>
  </si>
  <si>
    <t>730706</t>
  </si>
  <si>
    <t>ocm00730706</t>
  </si>
  <si>
    <t>3000404283P</t>
  </si>
  <si>
    <t>9780801815188</t>
  </si>
  <si>
    <t>791456954</t>
  </si>
  <si>
    <t>PQ4407 V4 C75 2011</t>
  </si>
  <si>
    <t>0                      PQ 4407000V  4                  C  75          2011</t>
  </si>
  <si>
    <t>La profezia imperfetta : il veltro e l'escatologia medievale / Sergio Cristaldi.</t>
  </si>
  <si>
    <t>Cristaldi, Sergio.</t>
  </si>
  <si>
    <t>Scritture e letture ; 12</t>
  </si>
  <si>
    <t>909079787:ita</t>
  </si>
  <si>
    <t>730397511</t>
  </si>
  <si>
    <t>ocn730397511</t>
  </si>
  <si>
    <t>3103125433R</t>
  </si>
  <si>
    <t>9788882413675</t>
  </si>
  <si>
    <t>794879977</t>
  </si>
  <si>
    <t>PQ4409 A6 B37 2010</t>
  </si>
  <si>
    <t>0                      PQ 4409000A  6                  B  37          2010</t>
  </si>
  <si>
    <t>In the light of the angels : angelology and cosmology in Dante's Divina commedia / Susanna Barsella.</t>
  </si>
  <si>
    <t>Barsella, Susanna.</t>
  </si>
  <si>
    <t>Firenze : Olschki, 2010.</t>
  </si>
  <si>
    <t>Biblioteca dell'Archivum Romanicum. Serie 1, Storia, letteratura, paleografia, 0066-6807 ; 370</t>
  </si>
  <si>
    <t>2016-07-25</t>
  </si>
  <si>
    <t>792122316:eng</t>
  </si>
  <si>
    <t>668179949</t>
  </si>
  <si>
    <t>ocn668179949</t>
  </si>
  <si>
    <t>3103125232X</t>
  </si>
  <si>
    <t>9788822259745</t>
  </si>
  <si>
    <t>794845924</t>
  </si>
  <si>
    <t>PQ4409 P64 B37 1984</t>
  </si>
  <si>
    <t>0                      PQ 4409000P  64                 B  37          1984</t>
  </si>
  <si>
    <t>Dante's poets : textuality and truth in the Comedy / Teodolinda Barolini.</t>
  </si>
  <si>
    <t>Princeton, N.J. : Princeton University Press, ©1984.</t>
  </si>
  <si>
    <t>836684328:eng</t>
  </si>
  <si>
    <t>11355264</t>
  </si>
  <si>
    <t>ocm11355264</t>
  </si>
  <si>
    <t>3103552885F</t>
  </si>
  <si>
    <t>9780691066097</t>
  </si>
  <si>
    <t>792769887</t>
  </si>
  <si>
    <t>PQ4409 S27 F73 2012</t>
  </si>
  <si>
    <t>0                      PQ 4409000S  27                 F  73          2012</t>
  </si>
  <si>
    <t>Dante e la Sardegna : invito a una nuova lettura / Federico Francioni, Vittorio Sanna.</t>
  </si>
  <si>
    <t>(text+DVD)</t>
  </si>
  <si>
    <t>Francioni, Federico.</t>
  </si>
  <si>
    <t>Cagliari (CA) : Condaghes, [2012]</t>
  </si>
  <si>
    <t>Convegni e incontri</t>
  </si>
  <si>
    <t>1185863097:ita</t>
  </si>
  <si>
    <t>820785319</t>
  </si>
  <si>
    <t>ocn820785319</t>
  </si>
  <si>
    <t>3103126049X</t>
  </si>
  <si>
    <t>9788873561217</t>
  </si>
  <si>
    <t>794935785</t>
  </si>
  <si>
    <t>PQ4409 W8 G54 2008</t>
  </si>
  <si>
    <t>0                      PQ 4409000W  8                  G  54          2008</t>
  </si>
  <si>
    <t>Dante's reforming mission and women in the Comedy / Diana Glenn.</t>
  </si>
  <si>
    <t>Glenn, Diana.</t>
  </si>
  <si>
    <t>Leicester : Troubador, ©2008.</t>
  </si>
  <si>
    <t>2016-04-01</t>
  </si>
  <si>
    <t>142444989:eng</t>
  </si>
  <si>
    <t>244651968</t>
  </si>
  <si>
    <t>ocn244651968</t>
  </si>
  <si>
    <t>31028546578</t>
  </si>
  <si>
    <t>9781906510237</t>
  </si>
  <si>
    <t>794382027</t>
  </si>
  <si>
    <t>PQ4409 W8 P36 2005</t>
  </si>
  <si>
    <t>0                      PQ 4409000W  8                  P  36          2005</t>
  </si>
  <si>
    <t>The women in Dante's Divine Comedy and Spenser's Faerie Queene / Anne Paolucci ; with a preface by Frank D. Grande.</t>
  </si>
  <si>
    <t>Paolucci, Anne.</t>
  </si>
  <si>
    <t>Dover, DE : Griffon House Publications, ©2005.</t>
  </si>
  <si>
    <t>2017-11-09</t>
  </si>
  <si>
    <t>3857500233:eng</t>
  </si>
  <si>
    <t>61200837</t>
  </si>
  <si>
    <t>ocm61200837</t>
  </si>
  <si>
    <t>3102521055Y</t>
  </si>
  <si>
    <t>9781932107166</t>
  </si>
  <si>
    <t>793948546</t>
  </si>
  <si>
    <t>PQ4410 B3 E83 2016</t>
  </si>
  <si>
    <t>0                      PQ 4410000B  3                  E  83          2016</t>
  </si>
  <si>
    <t>Il peccato di Dante e il ritorno a Beatrice : chi è veramente Beatrice / Maria Grazia Evangelista ; presentazione, Leonardo Cappelletti.</t>
  </si>
  <si>
    <t>Evangelista, Maria Grazia, author.</t>
  </si>
  <si>
    <t>[Florence, Italy] : Scribo edizioni, [2016]</t>
  </si>
  <si>
    <t>4468571822:ita</t>
  </si>
  <si>
    <t>1001478716</t>
  </si>
  <si>
    <t>on1001478716</t>
  </si>
  <si>
    <t>3103720865U</t>
  </si>
  <si>
    <t>9788894182965</t>
  </si>
  <si>
    <t>795040642</t>
  </si>
  <si>
    <t>PQ4410 B3 F47 1992</t>
  </si>
  <si>
    <t>0                      PQ 4410000B  3                  F  47          1992</t>
  </si>
  <si>
    <t>Dante's Beatrice : priest of an androgynous God / Joan M. Ferrante.</t>
  </si>
  <si>
    <t>Ferrante, Joan M., 1936-</t>
  </si>
  <si>
    <t>Binghamton, N.Y. : Medieval &amp; Renaissance Texts &amp; Studies, 1992.</t>
  </si>
  <si>
    <t>Occasional papers ; 2</t>
  </si>
  <si>
    <t>2016-04-04</t>
  </si>
  <si>
    <t>794338534:eng</t>
  </si>
  <si>
    <t>25874195</t>
  </si>
  <si>
    <t>ocm25874195</t>
  </si>
  <si>
    <t>3103224324U</t>
  </si>
  <si>
    <t>9780866981224</t>
  </si>
  <si>
    <t>793232239</t>
  </si>
  <si>
    <t>PQ4410 B3 T34 2010</t>
  </si>
  <si>
    <t>0                      PQ 4410000B  3                  T  34          2010</t>
  </si>
  <si>
    <t>Beatrice donna di Dante : amore, dottrina, estasi / Antonio Tafuro.</t>
  </si>
  <si>
    <t>Tafuro, Antonio.</t>
  </si>
  <si>
    <t>Napoli : Libreria Dante &amp; Descartes, ©2010.</t>
  </si>
  <si>
    <t>Universitaria</t>
  </si>
  <si>
    <t>782746710:ita</t>
  </si>
  <si>
    <t>701207076</t>
  </si>
  <si>
    <t>ocn701207076</t>
  </si>
  <si>
    <t>3103125282N</t>
  </si>
  <si>
    <t>9788861570894</t>
  </si>
  <si>
    <t>794862631</t>
  </si>
  <si>
    <t>PQ4410 B3 W5 1994</t>
  </si>
  <si>
    <t>0                      PQ 4410000B  3                  W  5           1994</t>
  </si>
  <si>
    <t>The figure of Beatrice : a study in Dante / by Charles Williams.</t>
  </si>
  <si>
    <t>Williams, Charles, 1886-1945.</t>
  </si>
  <si>
    <t>Woodbridge, Suffolk, UK ; Rochester, NY, USA : D.S. Brewer, 1994.</t>
  </si>
  <si>
    <t>2019-01-16</t>
  </si>
  <si>
    <t>1375025:eng</t>
  </si>
  <si>
    <t>30625447</t>
  </si>
  <si>
    <t>ocm30625447</t>
  </si>
  <si>
    <t>31018555909</t>
  </si>
  <si>
    <t>9780859914451</t>
  </si>
  <si>
    <t>793340664</t>
  </si>
  <si>
    <t>PQ4410 B55 B67 1994</t>
  </si>
  <si>
    <t>0                      PQ 4410000B  55                 B  67          1994</t>
  </si>
  <si>
    <t>Dante and the mystical tradition : Bernard of Clairvaux in the Commedia / Steven Botterill.</t>
  </si>
  <si>
    <t>Botterill, Steven.</t>
  </si>
  <si>
    <t>Cambridge [Cambridgeshire] ; New York : Cambridge University Press, 1994.</t>
  </si>
  <si>
    <t>Cambridge studies in medieval literature ; 22</t>
  </si>
  <si>
    <t>795535046:eng</t>
  </si>
  <si>
    <t>28377043</t>
  </si>
  <si>
    <t>ocm28377043</t>
  </si>
  <si>
    <t>3101447475X</t>
  </si>
  <si>
    <t>9780521434546</t>
  </si>
  <si>
    <t>793286642</t>
  </si>
  <si>
    <t>PQ4410 C2 C37 2015</t>
  </si>
  <si>
    <t>0                      PQ 4410000C  2                  C  37          2015</t>
  </si>
  <si>
    <t>I canti del cavalier Cacciaguida : (Par. XIV 67-XVIII 69) / Lodovico Cardellino.</t>
  </si>
  <si>
    <t>Cardellino, Lodovico, 1941- author.</t>
  </si>
  <si>
    <t>Bornato in Franciacorta (BS) - Italia : Sardini, [2015]</t>
  </si>
  <si>
    <t>Bibbia e Oriente. Supplementa ; 22</t>
  </si>
  <si>
    <t>3052919939:ita</t>
  </si>
  <si>
    <t>925734410</t>
  </si>
  <si>
    <t>ocn925734410</t>
  </si>
  <si>
    <t>3103623077A</t>
  </si>
  <si>
    <t>9788875062224</t>
  </si>
  <si>
    <t>795005167</t>
  </si>
  <si>
    <t>PQ4410 L8 C55 2016</t>
  </si>
  <si>
    <t>0                      PQ 4410000L  8                  C  55          2016</t>
  </si>
  <si>
    <t>Lucifero "vispistrello" : manifestazioni diaboliche dell'Inferno dantesco / Marco Chiariglione.</t>
  </si>
  <si>
    <t>Chiariglione, Marco, 1975- author.</t>
  </si>
  <si>
    <t>Napoli : Liguori, marzo 2016.</t>
  </si>
  <si>
    <t>Prima edizione italiana.</t>
  </si>
  <si>
    <t>4141406807:ita</t>
  </si>
  <si>
    <t>968768675</t>
  </si>
  <si>
    <t>ocn968768675</t>
  </si>
  <si>
    <t>3103716185S</t>
  </si>
  <si>
    <t>9788820752880</t>
  </si>
  <si>
    <t>795027226</t>
  </si>
  <si>
    <t>PQ4410 L8 N3</t>
  </si>
  <si>
    <t>0                      PQ 4410000L  8                  N  3</t>
  </si>
  <si>
    <t>La caduta di Lucifero e l'autencitità della "Quaestio de aqua et terra."</t>
  </si>
  <si>
    <t>*HSSL REPAIRS SHELF*</t>
  </si>
  <si>
    <t>[Torino] : Società editrice internazionale, [1959]</t>
  </si>
  <si>
    <t>Lectura Dantis romana. Nuova serie</t>
  </si>
  <si>
    <t>2017-03-14</t>
  </si>
  <si>
    <t>8908883398:ita</t>
  </si>
  <si>
    <t>427503848</t>
  </si>
  <si>
    <t>ocn427503848</t>
  </si>
  <si>
    <t>31033488808</t>
  </si>
  <si>
    <t>794669183</t>
  </si>
  <si>
    <t>PQ4410 V5 H69 2010</t>
  </si>
  <si>
    <t>0                      PQ 4410000V  5                  H  69          2010</t>
  </si>
  <si>
    <t>Virgil, the blind guide : marking the way through the Divine Comedy / Lloyd H. Howard.</t>
  </si>
  <si>
    <t>Howard, Lloyd.</t>
  </si>
  <si>
    <t>Montreal ; Ithaca, NY : McGill-Queen's University Press, ©2010.</t>
  </si>
  <si>
    <t>793233637:eng</t>
  </si>
  <si>
    <t>440091152</t>
  </si>
  <si>
    <t>ocn440091152</t>
  </si>
  <si>
    <t>31030726698</t>
  </si>
  <si>
    <t>9780773536555</t>
  </si>
  <si>
    <t>794786325</t>
  </si>
  <si>
    <t>PQ4410 V5 P6 1991</t>
  </si>
  <si>
    <t>0                      PQ 4410000V  5                  P  6           1991</t>
  </si>
  <si>
    <t>The Poetry of allusion : Virgil and Ovid in Dante's Commedia / edited by Rachel Jacoff and Jeffrey T. Schnapp ; contributors, Robert Ball [and others].</t>
  </si>
  <si>
    <t>Stanford, Calif. : Stanford University Press, 1991.</t>
  </si>
  <si>
    <t>890473080:eng</t>
  </si>
  <si>
    <t>21950878</t>
  </si>
  <si>
    <t>ocm21950878</t>
  </si>
  <si>
    <t>3101019442A</t>
  </si>
  <si>
    <t>9780804718608</t>
  </si>
  <si>
    <t>793131151</t>
  </si>
  <si>
    <t>PQ4412 F6713 2002</t>
  </si>
  <si>
    <t>0                      PQ 4412000F  6713        2002</t>
  </si>
  <si>
    <t>Dissent and philosophy in the Middle Ages : Dante and his precursors / Ernest L. Fortin ; translated by Marc A. LePain.</t>
  </si>
  <si>
    <t>Fortin, Ernest L.</t>
  </si>
  <si>
    <t>Lanham : Lexington Books, ©2002.</t>
  </si>
  <si>
    <t>Applications of political theory</t>
  </si>
  <si>
    <t>2015-12-08</t>
  </si>
  <si>
    <t>2715506:eng</t>
  </si>
  <si>
    <t>47971978</t>
  </si>
  <si>
    <t>ocm47971978</t>
  </si>
  <si>
    <t>3102208059Y</t>
  </si>
  <si>
    <t>9780739103265</t>
  </si>
  <si>
    <t>793712558</t>
  </si>
  <si>
    <t>PQ4412 F73 2013</t>
  </si>
  <si>
    <t>0                      PQ 4412000F  73          2013</t>
  </si>
  <si>
    <t>Dante and the sense of transgression : 'the trespass of the sign' / William Franke.</t>
  </si>
  <si>
    <t>Franke, William.</t>
  </si>
  <si>
    <t>London ; New York : Bloomsbury Academic, 2013.</t>
  </si>
  <si>
    <t>New directions in religion and literature</t>
  </si>
  <si>
    <t>1171409268:eng</t>
  </si>
  <si>
    <t>777652683</t>
  </si>
  <si>
    <t>ocn777652683</t>
  </si>
  <si>
    <t>3103458149Q</t>
  </si>
  <si>
    <t>9781441136916</t>
  </si>
  <si>
    <t>794908973</t>
  </si>
  <si>
    <t>PQ4412 G55</t>
  </si>
  <si>
    <t>0                      PQ 4412000G  55</t>
  </si>
  <si>
    <t>Dante the philosopher / by Étienne Gilson ; translated by David Moore.</t>
  </si>
  <si>
    <t>Gilson, Étienne, 1884-1978.</t>
  </si>
  <si>
    <t>London : Sheed &amp; Ward, 1948.</t>
  </si>
  <si>
    <t>1948</t>
  </si>
  <si>
    <t>507203:eng</t>
  </si>
  <si>
    <t>8520359</t>
  </si>
  <si>
    <t>ocm08520359</t>
  </si>
  <si>
    <t>3001151539E</t>
  </si>
  <si>
    <t>792624873</t>
  </si>
  <si>
    <t>PQ4412 G5513 1963</t>
  </si>
  <si>
    <t>0                      PQ 4412000G  5513        1963</t>
  </si>
  <si>
    <t>Dante and philosophy / by Étienne Gilson ; translated by David Moore.</t>
  </si>
  <si>
    <t>New York : Harper &amp; Row, 1963, ©1949.</t>
  </si>
  <si>
    <t>1st Harper torchbook ed.</t>
  </si>
  <si>
    <t>Harper torchbooks</t>
  </si>
  <si>
    <t>2003-11-20</t>
  </si>
  <si>
    <t>2364765</t>
  </si>
  <si>
    <t>ocm02364765</t>
  </si>
  <si>
    <t>3000250318$</t>
  </si>
  <si>
    <t>792110073</t>
  </si>
  <si>
    <t>3103360364C</t>
  </si>
  <si>
    <t>792110071</t>
  </si>
  <si>
    <t>PQ4412 N3 1949</t>
  </si>
  <si>
    <t>0                      PQ 4412000N  3           1949</t>
  </si>
  <si>
    <t>Dante e la cultura medievale; nuovi saggi di filosofia dantesca.</t>
  </si>
  <si>
    <t>Bari, Laterza, 1949.</t>
  </si>
  <si>
    <t>2. ed. riv. e accresiuta.</t>
  </si>
  <si>
    <t>Biblioteca di cultura moderna (Editori Laterza) ; 368</t>
  </si>
  <si>
    <t>5481480734:ita</t>
  </si>
  <si>
    <t>3263905</t>
  </si>
  <si>
    <t>ocm03263905</t>
  </si>
  <si>
    <t>30007956760</t>
  </si>
  <si>
    <t>792236648</t>
  </si>
  <si>
    <t>PQ4412 N3 1990</t>
  </si>
  <si>
    <t>0                      PQ 4412000N  3           1990</t>
  </si>
  <si>
    <t>Dante E La Cultura Medievale.</t>
  </si>
  <si>
    <t>Bari : Laterza, 1990.</t>
  </si>
  <si>
    <t>2 ed.</t>
  </si>
  <si>
    <t>Biblioteca Universale Laterza ; 128</t>
  </si>
  <si>
    <t>1862317288:ita</t>
  </si>
  <si>
    <t>37348865</t>
  </si>
  <si>
    <t>ocm37348865</t>
  </si>
  <si>
    <t>3103601629J</t>
  </si>
  <si>
    <t>793496399</t>
  </si>
  <si>
    <t>PQ4412 N33 1967</t>
  </si>
  <si>
    <t>0                      PQ 4412000N  33          1967</t>
  </si>
  <si>
    <t>Saggi di filosofia dantesca.</t>
  </si>
  <si>
    <t>Firenze, La Nuova Italia [1967]</t>
  </si>
  <si>
    <t>[2. ed. accresciuta].</t>
  </si>
  <si>
    <t>Il pensiero filosofico ; 4</t>
  </si>
  <si>
    <t>4784142079:ita</t>
  </si>
  <si>
    <t>384045</t>
  </si>
  <si>
    <t>ocm00384045</t>
  </si>
  <si>
    <t>3000609173U</t>
  </si>
  <si>
    <t>791360051</t>
  </si>
  <si>
    <t>PQ4412 S73 2007</t>
  </si>
  <si>
    <t>0                      PQ 4412000S  73          2007</t>
  </si>
  <si>
    <t>Dante e la filosofia della natura : percezioni, linguaggi, cosmologie / Giorgio Stabile.</t>
  </si>
  <si>
    <t>Stabile, Giorgio.</t>
  </si>
  <si>
    <t>Firenze : SISMEL, Edizioni del Galluzzo, 2007.</t>
  </si>
  <si>
    <t>Micrologus' library ; 20</t>
  </si>
  <si>
    <t>891423898:ita</t>
  </si>
  <si>
    <t>173972977</t>
  </si>
  <si>
    <t>ocn173972977</t>
  </si>
  <si>
    <t>31028313494</t>
  </si>
  <si>
    <t>9788884502476</t>
  </si>
  <si>
    <t>794271852</t>
  </si>
  <si>
    <t>PQ4412 W43 2016</t>
  </si>
  <si>
    <t>0                      PQ 4412000W  43          2016</t>
  </si>
  <si>
    <t>Dante's Persons : an Ethics of the Transhuman / Heather Webb.</t>
  </si>
  <si>
    <t>Webb, Heather, 1976- author.</t>
  </si>
  <si>
    <t>Oxford, United Kingdom : Oxford University Press, 2016.</t>
  </si>
  <si>
    <t>2761930875:eng</t>
  </si>
  <si>
    <t>929591099</t>
  </si>
  <si>
    <t>ocn929591099</t>
  </si>
  <si>
    <t>3103657781R</t>
  </si>
  <si>
    <t>9780198733485</t>
  </si>
  <si>
    <t>795006609</t>
  </si>
  <si>
    <t>PQ4413 G5 1971</t>
  </si>
  <si>
    <t>0                      PQ 4413000G  5           1971</t>
  </si>
  <si>
    <t>Dante's conception of justice, by Allan H. Gilbert.</t>
  </si>
  <si>
    <t>Gilbert, Allan H., 1888-1987.</t>
  </si>
  <si>
    <t>New York, AMS Press [1971]</t>
  </si>
  <si>
    <t>1188686:eng</t>
  </si>
  <si>
    <t>156045</t>
  </si>
  <si>
    <t>ocm00156045</t>
  </si>
  <si>
    <t>3103224194M</t>
  </si>
  <si>
    <t>9780404027575</t>
  </si>
  <si>
    <t>791274861</t>
  </si>
  <si>
    <t>PQ4414 B69 2000</t>
  </si>
  <si>
    <t>0                      PQ 4414000B  69          2000</t>
  </si>
  <si>
    <t>Human vices and human worth in Dante's Comedy / Patrick Boyde.</t>
  </si>
  <si>
    <t>Boyde, Patrick.</t>
  </si>
  <si>
    <t>Cambridge, UK ; New York, NY, USA : Cambridge University Press, 2000.</t>
  </si>
  <si>
    <t>2015-04-16</t>
  </si>
  <si>
    <t>33569211:eng</t>
  </si>
  <si>
    <t>43884750</t>
  </si>
  <si>
    <t>ocm43884750</t>
  </si>
  <si>
    <t>3102071600E</t>
  </si>
  <si>
    <t>9780521660679</t>
  </si>
  <si>
    <t>793637628</t>
  </si>
  <si>
    <t>PQ4414 D56 2005</t>
  </si>
  <si>
    <t>0                      PQ 4414000D  56          2005</t>
  </si>
  <si>
    <t>Il principio di perfezione nel pensiero Dantesco / Adriana Diomedi.</t>
  </si>
  <si>
    <t>Diomedi, Adriana.</t>
  </si>
  <si>
    <t>Leicester, UK : Troubador, ©2005.</t>
  </si>
  <si>
    <t>479213837:ita</t>
  </si>
  <si>
    <t>61260874</t>
  </si>
  <si>
    <t>ocm61260874</t>
  </si>
  <si>
    <t>31024885534</t>
  </si>
  <si>
    <t>9781904744870</t>
  </si>
  <si>
    <t>793950050</t>
  </si>
  <si>
    <t>PQ4414 H656 2008</t>
  </si>
  <si>
    <t>0                      PQ 4414000H  656         2008</t>
  </si>
  <si>
    <t>Dante's two beloveds : ethics and erotics in the Divine comedy / Olivia Holmes.</t>
  </si>
  <si>
    <t>New Haven : Yale University Press, ©2008.</t>
  </si>
  <si>
    <t>321868039:eng</t>
  </si>
  <si>
    <t>214323014</t>
  </si>
  <si>
    <t>ocn214323014</t>
  </si>
  <si>
    <t>3102975612X</t>
  </si>
  <si>
    <t>9780300125429</t>
  </si>
  <si>
    <t>794314000</t>
  </si>
  <si>
    <t>PQ4414 L327 2018</t>
  </si>
  <si>
    <t>0                      PQ 4414000L  327         2018</t>
  </si>
  <si>
    <t>Il bene e gli altri : Dante e un'etica per il nuovo millennio / Filippo La Porta.</t>
  </si>
  <si>
    <t>La Porta, Filippo, 1952- author.</t>
  </si>
  <si>
    <t>Milano, Italia : Bompiani, gennaio 2018.</t>
  </si>
  <si>
    <t>[Passaggi] ; 37</t>
  </si>
  <si>
    <t>5208942801:ita</t>
  </si>
  <si>
    <t>1030360391</t>
  </si>
  <si>
    <t>on1030360391</t>
  </si>
  <si>
    <t>31037853073</t>
  </si>
  <si>
    <t>9788845295843</t>
  </si>
  <si>
    <t>795054568</t>
  </si>
  <si>
    <t>PQ4416 B37 1992</t>
  </si>
  <si>
    <t>0                      PQ 4416000B  37          1992</t>
  </si>
  <si>
    <t>The undivine Comedy : detheologizing Dante / Teodolinda Barolini.</t>
  </si>
  <si>
    <t>Princeton, N.J. : Princeton University Press, ©1992.</t>
  </si>
  <si>
    <t>Princeton paperbacks</t>
  </si>
  <si>
    <t>2018-09-10</t>
  </si>
  <si>
    <t>793900613:eng</t>
  </si>
  <si>
    <t>25630541</t>
  </si>
  <si>
    <t>ocm25630541</t>
  </si>
  <si>
    <t>3103386153N</t>
  </si>
  <si>
    <t>9780691069531</t>
  </si>
  <si>
    <t>793226371</t>
  </si>
  <si>
    <t>PQ4416 C58 1984</t>
  </si>
  <si>
    <t>0                      PQ 4416000C  58          1984</t>
  </si>
  <si>
    <t>Pilgrim in love : an introduction to Dante and his spirituality / James Collins.</t>
  </si>
  <si>
    <t>Collins, James J., 1938-</t>
  </si>
  <si>
    <t>Chicago : Loyola University Press, 1984.</t>
  </si>
  <si>
    <t>375743691:eng</t>
  </si>
  <si>
    <t>10299030</t>
  </si>
  <si>
    <t>ocm10299030</t>
  </si>
  <si>
    <t>3100387909H</t>
  </si>
  <si>
    <t>9780829404531</t>
  </si>
  <si>
    <t>792718723</t>
  </si>
  <si>
    <t>PQ4416 C63 2013</t>
  </si>
  <si>
    <t>0                      PQ 4416000C  63          2013</t>
  </si>
  <si>
    <t>Le teologie di Dante : atti del Convegno internazionale di studi, Ravenna, 9 novembre 2013 / a cura di Giuseppe Ledda.</t>
  </si>
  <si>
    <t>Convegno Le teologie di Dante (2013 : Ravenna, Italy), author.</t>
  </si>
  <si>
    <t>Ravenna : Centro dantesco dei Frati minori conventuali, 2015.</t>
  </si>
  <si>
    <t>Quaderni della Sezione studi e ricerche, 2036-0541 ; VI</t>
  </si>
  <si>
    <t>2936132963:ita</t>
  </si>
  <si>
    <t>934435461</t>
  </si>
  <si>
    <t>ocn934435461</t>
  </si>
  <si>
    <t>31036611439</t>
  </si>
  <si>
    <t>9788889501115</t>
  </si>
  <si>
    <t>795009571</t>
  </si>
  <si>
    <t>PQ4416 D35 2005</t>
  </si>
  <si>
    <t>0                      PQ 4416000D  35          2005</t>
  </si>
  <si>
    <t>Dante &amp; the unorthodox : the aesthetics of transgression / edited by James Miller.</t>
  </si>
  <si>
    <t>Waterloo, Ont. : Wilfrid Laurier University Press, 2005.</t>
  </si>
  <si>
    <t>2018-10-17</t>
  </si>
  <si>
    <t>899358679:eng</t>
  </si>
  <si>
    <t>60416852</t>
  </si>
  <si>
    <t>ocm60416852</t>
  </si>
  <si>
    <t>3102824253Z</t>
  </si>
  <si>
    <t>9780889204577</t>
  </si>
  <si>
    <t>793937464</t>
  </si>
  <si>
    <t>PQ4416 D358 2007</t>
  </si>
  <si>
    <t>0                      PQ 4416000D  358         2007</t>
  </si>
  <si>
    <t>Dante and the church : literary and historical essays / edited by Paolo Acquaviva and Jennifer Petrie.</t>
  </si>
  <si>
    <t>Dublin, Ireland ; Portland, OR : Four Courts, ©2007.</t>
  </si>
  <si>
    <t>905887749:eng</t>
  </si>
  <si>
    <t>70128552</t>
  </si>
  <si>
    <t>ocm70128552</t>
  </si>
  <si>
    <t>3102645554O</t>
  </si>
  <si>
    <t>9781846820267</t>
  </si>
  <si>
    <t>794149113</t>
  </si>
  <si>
    <t>PQ4416 D39 2010</t>
  </si>
  <si>
    <t>0                      PQ 4416000D  39          2010</t>
  </si>
  <si>
    <t>Dante's Commedia : theology as poetry / edited by Vittorio Montemaggi and Matthew Treherne.</t>
  </si>
  <si>
    <t>Notre Dame, Ind. : University of Notre Dame Press, ©2010.</t>
  </si>
  <si>
    <t>The William and Katherine Devers series in Dante studies</t>
  </si>
  <si>
    <t>796389744:eng</t>
  </si>
  <si>
    <t>468973393</t>
  </si>
  <si>
    <t>ocn468973393</t>
  </si>
  <si>
    <t>3103243123U</t>
  </si>
  <si>
    <t>9780268035198</t>
  </si>
  <si>
    <t>794795574</t>
  </si>
  <si>
    <t>PQ4416 L53 2015</t>
  </si>
  <si>
    <t>0                      PQ 4416000L  53          2015</t>
  </si>
  <si>
    <t>Poetica dell'amore e conversione : considerazioni teologiche sulla lingua della Commedia di Dante / Pierluigi Lia.</t>
  </si>
  <si>
    <t>Lia, PierLuigi, author.</t>
  </si>
  <si>
    <t>Firenze : Leo S. Olschki editore, 2015.</t>
  </si>
  <si>
    <t>Biblioteca del ""Archivum Romanicum." Serie I, Storia, letteratura, paleografia, 0066-6807 ; 443</t>
  </si>
  <si>
    <t>2777579779:ita</t>
  </si>
  <si>
    <t>926738945</t>
  </si>
  <si>
    <t>ocn926738945</t>
  </si>
  <si>
    <t>3103623116Q</t>
  </si>
  <si>
    <t>9788822264107</t>
  </si>
  <si>
    <t>795005490</t>
  </si>
  <si>
    <t>PQ4416 N39 2014</t>
  </si>
  <si>
    <t>0                      PQ 4416000N  39          2014</t>
  </si>
  <si>
    <t>Dante's sacred poem : flesh and the centrality of the eucharist to the Divine comedy / Sheila J. Nayar.</t>
  </si>
  <si>
    <t>Nayar, Sheila J., author.</t>
  </si>
  <si>
    <t>London ; New York : Bloomsbury, 2014.</t>
  </si>
  <si>
    <t>2017-03-13</t>
  </si>
  <si>
    <t>2068463931:eng</t>
  </si>
  <si>
    <t>861955344</t>
  </si>
  <si>
    <t>ocn861955344</t>
  </si>
  <si>
    <t>31035675525</t>
  </si>
  <si>
    <t>9781441129642</t>
  </si>
  <si>
    <t>794959733</t>
  </si>
  <si>
    <t>PQ4416 P458 2001</t>
  </si>
  <si>
    <t>0                      PQ 4416000P  458         2001</t>
  </si>
  <si>
    <t>Il pensiero filosofico e teologico di Dante Alighieri / a cura di Alessandro Ghisalberti.</t>
  </si>
  <si>
    <t>Milano : Vita e pensiero, 2001.</t>
  </si>
  <si>
    <t>Filosofia. Ricerche</t>
  </si>
  <si>
    <t>2017-01-21</t>
  </si>
  <si>
    <t>366625871:ita</t>
  </si>
  <si>
    <t>49634907</t>
  </si>
  <si>
    <t>ocm49634907</t>
  </si>
  <si>
    <t>3102236294D</t>
  </si>
  <si>
    <t>9788834305171</t>
  </si>
  <si>
    <t>793744549</t>
  </si>
  <si>
    <t>PQ4417 D45 2012</t>
  </si>
  <si>
    <t>0                      PQ 4417000D  45          2012</t>
  </si>
  <si>
    <t>La cristologia dantesca logos-veritas-caritas : il codice poetico-teologico del pellegrino / Antonio D'Elia ; prefazione di Dante Della Terza.</t>
  </si>
  <si>
    <t>D'Elia, Antonio, 1976-</t>
  </si>
  <si>
    <t>Cosenza : Luigi Pellegrini Editore, [2012]</t>
  </si>
  <si>
    <t>Collana Crocevia ; 5</t>
  </si>
  <si>
    <t>1341256605:ita</t>
  </si>
  <si>
    <t>839273806</t>
  </si>
  <si>
    <t>ocn839273806</t>
  </si>
  <si>
    <t>3103126185M</t>
  </si>
  <si>
    <t>9788881019434</t>
  </si>
  <si>
    <t>794945477</t>
  </si>
  <si>
    <t>PQ4417 D5 1995</t>
  </si>
  <si>
    <t>0                      PQ 4417000D  5           1995</t>
  </si>
  <si>
    <t>The presence of Pauline thought in the works of Dante / Giuseppe Di Scipio.</t>
  </si>
  <si>
    <t>Di Scipio, Giuseppe C., 1946-</t>
  </si>
  <si>
    <t>Lewiston [N.Y.] : Edwin Mellen Press, ©1995.</t>
  </si>
  <si>
    <t>Studies in art and religious interpretation ; v. 18</t>
  </si>
  <si>
    <t>33410475:eng</t>
  </si>
  <si>
    <t>31328307</t>
  </si>
  <si>
    <t>ocm31328307</t>
  </si>
  <si>
    <t>3101885672Q</t>
  </si>
  <si>
    <t>9780773490000</t>
  </si>
  <si>
    <t>793358662</t>
  </si>
  <si>
    <t>PQ4417 F73 1996</t>
  </si>
  <si>
    <t>0                      PQ 4417000F  73          1996</t>
  </si>
  <si>
    <t>Dante's interpretive journey / William Franke.</t>
  </si>
  <si>
    <t>Chicago : University of Chicago Press, 1996.</t>
  </si>
  <si>
    <t>Religion and postmodernism</t>
  </si>
  <si>
    <t>2019-01-24</t>
  </si>
  <si>
    <t>38234434:eng</t>
  </si>
  <si>
    <t>33043065</t>
  </si>
  <si>
    <t>ocm33043065</t>
  </si>
  <si>
    <t>3101575447N</t>
  </si>
  <si>
    <t>9780226259970</t>
  </si>
  <si>
    <t>793400256</t>
  </si>
  <si>
    <t>PQ4417 M35 2017</t>
  </si>
  <si>
    <t>0                      PQ 4417000M  35          2017</t>
  </si>
  <si>
    <t>In pro del mondo : Dante, la predicazione e i generi della letteratura religiosa medievale / Nicolò Maldina.</t>
  </si>
  <si>
    <t>Maldina, Nicolò, author.</t>
  </si>
  <si>
    <t>La navicella dell'ingegno ; 6</t>
  </si>
  <si>
    <t>5345827082:ita</t>
  </si>
  <si>
    <t>1035819690</t>
  </si>
  <si>
    <t>on1035819690</t>
  </si>
  <si>
    <t>3103785023H</t>
  </si>
  <si>
    <t>9788884029836</t>
  </si>
  <si>
    <t>795057841</t>
  </si>
  <si>
    <t>PQ4417 R44 2013</t>
  </si>
  <si>
    <t>0                      PQ 4417000R  44          2013</t>
  </si>
  <si>
    <t>Dal monte al cielo : saggi di teo-poesia dantesca / Giuseppe Reguzzoni ; prefazione di Aldino Cazzago.</t>
  </si>
  <si>
    <t>Reguzzoni, Giuseppe, author.</t>
  </si>
  <si>
    <t>Arona (NO) : Editore XY. IT S.r.l., dicembre 2013.</t>
  </si>
  <si>
    <t>4131472799:ita</t>
  </si>
  <si>
    <t>903208037</t>
  </si>
  <si>
    <t>ocn903208037</t>
  </si>
  <si>
    <t>3103621392C</t>
  </si>
  <si>
    <t>9788897160137</t>
  </si>
  <si>
    <t>794988862</t>
  </si>
  <si>
    <t>PQ4417 W38 2005</t>
  </si>
  <si>
    <t>0                      PQ 4417000W  38          2005</t>
  </si>
  <si>
    <t>The cross that Dante bears : pilgrimage, crusade, and the cruciform church in the Divine comedy / Mary Alexandra Watt.</t>
  </si>
  <si>
    <t>Watt, Mary Alexandra.</t>
  </si>
  <si>
    <t>Gainesville : University Press of Florida, ©2005.</t>
  </si>
  <si>
    <t>975447146:eng</t>
  </si>
  <si>
    <t>61247373</t>
  </si>
  <si>
    <t>ocm61247373</t>
  </si>
  <si>
    <t>3102496341F</t>
  </si>
  <si>
    <t>9780813028767</t>
  </si>
  <si>
    <t>793949709</t>
  </si>
  <si>
    <t>PQ4417 W5</t>
  </si>
  <si>
    <t>0                      PQ 4417000W  5</t>
  </si>
  <si>
    <t>Dante &amp; Aquinas, by Philip H. Wicksteed; being the substance of the Jowett lectures of 1911.</t>
  </si>
  <si>
    <t>Wicksteed, Philip H. (Philip Henry), 1844-1927.</t>
  </si>
  <si>
    <t>London, Dent; New York, Dutton, 1913.</t>
  </si>
  <si>
    <t>Jowett lectures ; 1911</t>
  </si>
  <si>
    <t>2010-11-20</t>
  </si>
  <si>
    <t>2017-04-06</t>
  </si>
  <si>
    <t>1314707:eng</t>
  </si>
  <si>
    <t>1359632</t>
  </si>
  <si>
    <t>ocm01359632</t>
  </si>
  <si>
    <t>3001180728Z</t>
  </si>
  <si>
    <t>9780838312407</t>
  </si>
  <si>
    <t>791608648</t>
  </si>
  <si>
    <t>3103592414P</t>
  </si>
  <si>
    <t>791608647</t>
  </si>
  <si>
    <t>PQ4419 B5 B45 2011</t>
  </si>
  <si>
    <t>0                      PQ 4419000B  5                  B  45          2011</t>
  </si>
  <si>
    <t>The biblical Dante / V. Stanley Benfell.</t>
  </si>
  <si>
    <t>Benfell, V. Stanley, 1962-</t>
  </si>
  <si>
    <t>Toronto : University of Toronto Press, c2011.</t>
  </si>
  <si>
    <t>2012-08-22</t>
  </si>
  <si>
    <t>766361656:eng</t>
  </si>
  <si>
    <t>693814346</t>
  </si>
  <si>
    <t>ocn693814346</t>
  </si>
  <si>
    <t>31033262799</t>
  </si>
  <si>
    <t>9781442642744</t>
  </si>
  <si>
    <t>794856943</t>
  </si>
  <si>
    <t>PQ4419 B5 C65 2009</t>
  </si>
  <si>
    <t>0                      PQ 4419000B  5                  C  65          2009</t>
  </si>
  <si>
    <t>La Bibbia di Dante : esperienza mistica, profezia e teologia biblica in Dante : atti del convegno internazionale di studi, Ravenna, 7 novembre 2009 / a cura di Giuseppe Ledda.</t>
  </si>
  <si>
    <t>Ravenna : Centro dantesco dei Frati minori conventuali, 2011.</t>
  </si>
  <si>
    <t>Quaderni della Sezione studi e ricerche / Centro dantesco dei frati minori conventuali, Ravenna ; 4</t>
  </si>
  <si>
    <t>1001169300:ita</t>
  </si>
  <si>
    <t>747530806</t>
  </si>
  <si>
    <t>ocn747530806</t>
  </si>
  <si>
    <t>3103125511S</t>
  </si>
  <si>
    <t>9788889501047</t>
  </si>
  <si>
    <t>794888207</t>
  </si>
  <si>
    <t>PQ4419 B5 H39 1999</t>
  </si>
  <si>
    <t>0                      PQ 4419000B  5                  H  39          1999</t>
  </si>
  <si>
    <t>Dante's testaments : essays in scriptural imagination / Peter S. Hawkins.</t>
  </si>
  <si>
    <t>Figurae</t>
  </si>
  <si>
    <t>2015-01-09</t>
  </si>
  <si>
    <t>340968131:eng</t>
  </si>
  <si>
    <t>41285014</t>
  </si>
  <si>
    <t>ocm41285014</t>
  </si>
  <si>
    <t>3102013406$</t>
  </si>
  <si>
    <t>9780804734929</t>
  </si>
  <si>
    <t>793588227</t>
  </si>
  <si>
    <t>PQ4419 B5 H65 1992</t>
  </si>
  <si>
    <t>0                      PQ 4419000B  5                  H  65          1992</t>
  </si>
  <si>
    <t>Dante and Paul's five words with understanding / Robert Hollander.</t>
  </si>
  <si>
    <t>Binghamton, N.Y. : Center for Medieval &amp; Early Renaissance Studies, Medieval &amp; Renaissance Texts &amp; Studies, 1992.</t>
  </si>
  <si>
    <t>Occasional papers ; no. 1</t>
  </si>
  <si>
    <t>10076173687:eng</t>
  </si>
  <si>
    <t>25873230</t>
  </si>
  <si>
    <t>ocm25873230</t>
  </si>
  <si>
    <t>3101159803A</t>
  </si>
  <si>
    <t>9780866981217</t>
  </si>
  <si>
    <t>793232124</t>
  </si>
  <si>
    <t>PQ4419 D4 D37 2017</t>
  </si>
  <si>
    <t>0                      PQ 4419000D  4                  D  37          2017</t>
  </si>
  <si>
    <t>Dante and the seven deadly sins : twelve literary and historical essays / edited by John C. Barnes and Daragh O'Connell.</t>
  </si>
  <si>
    <t>Dublin, Ireland ; Portland, OR : Four Courts Press, [2017]</t>
  </si>
  <si>
    <t>4453721037:eng</t>
  </si>
  <si>
    <t>1000180507</t>
  </si>
  <si>
    <t>on1000180507</t>
  </si>
  <si>
    <t>31036691517</t>
  </si>
  <si>
    <t>9781846824197</t>
  </si>
  <si>
    <t>795040126</t>
  </si>
  <si>
    <t>PQ4419 D47 D475 2012</t>
  </si>
  <si>
    <t>0                      PQ 4419000D  47                 D  475         2012</t>
  </si>
  <si>
    <t>Desire in Dante and the Middle Ages / edited by Manuele Gragnolati [and others].</t>
  </si>
  <si>
    <t>London : Legenda/Modern Humanities Research Association and Maney Pub., 2012.</t>
  </si>
  <si>
    <t>Legenda main series</t>
  </si>
  <si>
    <t>1074090580:eng</t>
  </si>
  <si>
    <t>772974986</t>
  </si>
  <si>
    <t>ocn772974986</t>
  </si>
  <si>
    <t>3103414962Y</t>
  </si>
  <si>
    <t>9781907747960</t>
  </si>
  <si>
    <t>794905084</t>
  </si>
  <si>
    <t>PQ4419 E33 C67 2012</t>
  </si>
  <si>
    <t>0                      PQ 4419000E  33                 C  67          2012</t>
  </si>
  <si>
    <t>L'Eden di Dante / Aldo Coppa ; presentazione di Walter Mauro ; saggio introduttivo e a cura di Antonio D'Elia.</t>
  </si>
  <si>
    <t>Coppa, Aldo, 1928-2009.</t>
  </si>
  <si>
    <t>Cosenza : L. Giordano, 2012.</t>
  </si>
  <si>
    <t>1366441975:ita</t>
  </si>
  <si>
    <t>828410002</t>
  </si>
  <si>
    <t>ocn828410002</t>
  </si>
  <si>
    <t>3103126134W</t>
  </si>
  <si>
    <t>9788886919333</t>
  </si>
  <si>
    <t>794941098</t>
  </si>
  <si>
    <t>PQ4419 F87 G73 2005</t>
  </si>
  <si>
    <t>0                      PQ 4419000F  87                 G  73          2005</t>
  </si>
  <si>
    <t>Experiencing the afterlife : soul and body in Dante and medieval culture / Manuele Gragnolati.</t>
  </si>
  <si>
    <t>Gragnolati, Manuele.</t>
  </si>
  <si>
    <t>Notre Dame, Ind. : University of Notre Dame Press, ©2005.</t>
  </si>
  <si>
    <t>2019-04-06</t>
  </si>
  <si>
    <t>892187570:eng</t>
  </si>
  <si>
    <t>60603210</t>
  </si>
  <si>
    <t>ocm60603210</t>
  </si>
  <si>
    <t>3102561417A</t>
  </si>
  <si>
    <t>9780268029647</t>
  </si>
  <si>
    <t>793940751</t>
  </si>
  <si>
    <t>PQ4419 F87 M67 1990</t>
  </si>
  <si>
    <t>0                      PQ 4419000F  87                 M  67          1990</t>
  </si>
  <si>
    <t>Dante and the medieval other world / Alison Morgan.</t>
  </si>
  <si>
    <t>Morgan, Alison, 1959-</t>
  </si>
  <si>
    <t>Cambridge [England] ; New York : Cambridge University Press, 1990.</t>
  </si>
  <si>
    <t>Cambridge studies in medieval literature ; 7</t>
  </si>
  <si>
    <t>2019-10-11</t>
  </si>
  <si>
    <t>233285865:eng</t>
  </si>
  <si>
    <t>20593542</t>
  </si>
  <si>
    <t>ocm20593542</t>
  </si>
  <si>
    <t>3101019980J</t>
  </si>
  <si>
    <t>9780521360692</t>
  </si>
  <si>
    <t>793092127</t>
  </si>
  <si>
    <t>PQ4419 J87 B67 2011</t>
  </si>
  <si>
    <t>0                      PQ 4419000J  87                 B  67          2011</t>
  </si>
  <si>
    <t>Il poeta giudice / Nino Borsellino.</t>
  </si>
  <si>
    <t>Borsellino, Nino.</t>
  </si>
  <si>
    <t>Savigliano (Cuneo) : N. Aragno, ©2011.</t>
  </si>
  <si>
    <t>Saggi e ricerche ; 1</t>
  </si>
  <si>
    <t>1081148086:ita</t>
  </si>
  <si>
    <t>777474761</t>
  </si>
  <si>
    <t>ocn777474761</t>
  </si>
  <si>
    <t>3103125730I</t>
  </si>
  <si>
    <t>9788884195272</t>
  </si>
  <si>
    <t>794908828</t>
  </si>
  <si>
    <t>PQ4419 M2 M35 2010</t>
  </si>
  <si>
    <t>0                      PQ 4419000M  2                  M  35          2010</t>
  </si>
  <si>
    <t>Dante and the Blessed Virgin / Ralph McInerny.</t>
  </si>
  <si>
    <t>McInerny, Ralph, 1929-2010.</t>
  </si>
  <si>
    <t>340938089:eng</t>
  </si>
  <si>
    <t>455801804</t>
  </si>
  <si>
    <t>ocn455801804</t>
  </si>
  <si>
    <t>3103155322H</t>
  </si>
  <si>
    <t>9780268035174</t>
  </si>
  <si>
    <t>794788165</t>
  </si>
  <si>
    <t>PQ4419 O34 B57 2017</t>
  </si>
  <si>
    <t>0                      PQ 4419000O  34                 B  57          2017</t>
  </si>
  <si>
    <t>Unveiling the mystery of Dante : an esoteric understanding of Dante and his Divine Comedy / Eric L. Bisbocci.</t>
  </si>
  <si>
    <t>Bisbocci, Eric L., author.</t>
  </si>
  <si>
    <t>Great Barrington, MA : Lindisfarne Books, 2017.</t>
  </si>
  <si>
    <t>4084165677:eng</t>
  </si>
  <si>
    <t>973907591</t>
  </si>
  <si>
    <t>ocn973907591</t>
  </si>
  <si>
    <t>3103671396B</t>
  </si>
  <si>
    <t>9781584209713</t>
  </si>
  <si>
    <t>795029363</t>
  </si>
  <si>
    <t>PQ4419 R47 C3 1984</t>
  </si>
  <si>
    <t>0                      PQ 4419000R  47                 C  3           1984</t>
  </si>
  <si>
    <t>Dante's fearful art of justice / Anthony K. Cassell.</t>
  </si>
  <si>
    <t>Toronto ; Buffalo : University of Toronto Press, ©1984.</t>
  </si>
  <si>
    <t>2009-05-07</t>
  </si>
  <si>
    <t>158205020:eng</t>
  </si>
  <si>
    <t>11295162</t>
  </si>
  <si>
    <t>ocm11295162</t>
  </si>
  <si>
    <t>30003746004</t>
  </si>
  <si>
    <t>9780802025043</t>
  </si>
  <si>
    <t>792767476</t>
  </si>
  <si>
    <t>3000169537H</t>
  </si>
  <si>
    <t>792767477</t>
  </si>
  <si>
    <t>PQ4419 T74 R67 2013</t>
  </si>
  <si>
    <t>0                      PQ 4419000T  74                 R  67          2013</t>
  </si>
  <si>
    <t>Trinità e comunione in Dante / Antonio Rossini.</t>
  </si>
  <si>
    <t>Rossini, Antonio, 1967- author.</t>
  </si>
  <si>
    <t>Pisa : Fabrizio Serra editore, MMXIII [2013]</t>
  </si>
  <si>
    <t>Quaderni della "Rivista di cultura classica e medioevale" ; 12</t>
  </si>
  <si>
    <t>1363095573:ita</t>
  </si>
  <si>
    <t>850441205</t>
  </si>
  <si>
    <t>ocn850441205</t>
  </si>
  <si>
    <t>3103126288J</t>
  </si>
  <si>
    <t>9788862276085</t>
  </si>
  <si>
    <t>794950556</t>
  </si>
  <si>
    <t>PQ4422 B5</t>
  </si>
  <si>
    <t>0                      PQ 4422000B  5</t>
  </si>
  <si>
    <t>Essays on Dante and Medieval culture; critical studies of the thought and texts of Dante, St. Augustine, St. Thomas Aquinas, Marsilius of Padua, and other Medieval subjects.</t>
  </si>
  <si>
    <t>Firenze, L.S. Olschki, 1964.</t>
  </si>
  <si>
    <t>Biblioteca dell'"Archivum Romanicum." Serie I, Storia, letteratura, paleografia; vol. 71</t>
  </si>
  <si>
    <t>8907451911:eng</t>
  </si>
  <si>
    <t>17967</t>
  </si>
  <si>
    <t>ocm00017967</t>
  </si>
  <si>
    <t>3000609181V</t>
  </si>
  <si>
    <t>791229732</t>
  </si>
  <si>
    <t>PQ4422 B5 2000</t>
  </si>
  <si>
    <t>0                      PQ 4422000B  5           2000</t>
  </si>
  <si>
    <t>Essays on Dante and medieval culture : critical studies of the thought and texts of Dante, St. Augustine, St. Thomas Aquinas, Marsilius of Padua, and other medieval subjects / Dino Bigongiari ; with a preface by Henry Paolucci.</t>
  </si>
  <si>
    <t>Wilmington, DE : Bagehot Council : Griffon House Pub., ©2000.</t>
  </si>
  <si>
    <t>33519546:eng</t>
  </si>
  <si>
    <t>44128245</t>
  </si>
  <si>
    <t>ocm44128245</t>
  </si>
  <si>
    <t>3102805588Q</t>
  </si>
  <si>
    <t>9780918680853</t>
  </si>
  <si>
    <t>793643012</t>
  </si>
  <si>
    <t>PQ4422 D27 1997</t>
  </si>
  <si>
    <t>0                      PQ 4422000D  27          1997</t>
  </si>
  <si>
    <t>Dante and governance / edited by John Woodhouse.</t>
  </si>
  <si>
    <t>Oxford : Clarendon Press ; New York : Oxford University Press, 1997.</t>
  </si>
  <si>
    <t>9657933409:eng</t>
  </si>
  <si>
    <t>36548913</t>
  </si>
  <si>
    <t>ocm36548913</t>
  </si>
  <si>
    <t>3102808776A</t>
  </si>
  <si>
    <t>9780198159117</t>
  </si>
  <si>
    <t>793478230</t>
  </si>
  <si>
    <t>PQ4422 D3</t>
  </si>
  <si>
    <t>0                      PQ 4422000D  3</t>
  </si>
  <si>
    <t>Dante and the idea of Rome.</t>
  </si>
  <si>
    <t>Davis, Charles Till.</t>
  </si>
  <si>
    <t>Oxford, Clarendon Press, 1957.</t>
  </si>
  <si>
    <t>1722802:eng</t>
  </si>
  <si>
    <t>827379</t>
  </si>
  <si>
    <t>ocm00827379</t>
  </si>
  <si>
    <t>3000201873X</t>
  </si>
  <si>
    <t>791480974</t>
  </si>
  <si>
    <t>3000500393V</t>
  </si>
  <si>
    <t>791480973</t>
  </si>
  <si>
    <t>PQ4422 D33 1984</t>
  </si>
  <si>
    <t>0                      PQ 4422000D  33          1984</t>
  </si>
  <si>
    <t>Dante's Italy, and other essays / Charles T. Davis.</t>
  </si>
  <si>
    <t>Philadelphia : University of Pennsylvania Press, 1984.</t>
  </si>
  <si>
    <t>The Middle ages</t>
  </si>
  <si>
    <t>2754340016:eng</t>
  </si>
  <si>
    <t>9324441</t>
  </si>
  <si>
    <t>ocm09324441</t>
  </si>
  <si>
    <t>31028086959</t>
  </si>
  <si>
    <t>9780812278835</t>
  </si>
  <si>
    <t>792670184</t>
  </si>
  <si>
    <t>PQ4422 D368 2007</t>
  </si>
  <si>
    <t>0                      PQ 4422000D  368         2007</t>
  </si>
  <si>
    <t>Dante Alighieri : four political letters / translated and with a commentary by Claire E. Honess.</t>
  </si>
  <si>
    <t>London : Modern Humanities Research Association, 2007.</t>
  </si>
  <si>
    <t>Critical texts / Modern Humanities Research Association, 1746-1642 ; v. 6</t>
  </si>
  <si>
    <t>222242492:eng</t>
  </si>
  <si>
    <t>171110297</t>
  </si>
  <si>
    <t>ocn171110297</t>
  </si>
  <si>
    <t>3103609436R</t>
  </si>
  <si>
    <t>9780947623708</t>
  </si>
  <si>
    <t>794264049</t>
  </si>
  <si>
    <t>PQ4422 F37 1985</t>
  </si>
  <si>
    <t>0                      PQ 4422000F  37          1985</t>
  </si>
  <si>
    <t>The political ideas of The divine comedy : an introduction / Stewart Farnell.</t>
  </si>
  <si>
    <t>Farnell, Stewart, 1942-</t>
  </si>
  <si>
    <t>Lanham, MD : University Press of America, ©1985.</t>
  </si>
  <si>
    <t>196143750:eng</t>
  </si>
  <si>
    <t>11519306</t>
  </si>
  <si>
    <t>ocm11519306</t>
  </si>
  <si>
    <t>3102815572N</t>
  </si>
  <si>
    <t>9780819145284</t>
  </si>
  <si>
    <t>792776496</t>
  </si>
  <si>
    <t>PQ4422 F48 1984</t>
  </si>
  <si>
    <t>0                      PQ 4422000F  48          1984</t>
  </si>
  <si>
    <t>The political vision of the Divine comedy / Joan M. Ferrante.</t>
  </si>
  <si>
    <t>3127554:eng</t>
  </si>
  <si>
    <t>10272917</t>
  </si>
  <si>
    <t>ocm10272917</t>
  </si>
  <si>
    <t>3103388041K</t>
  </si>
  <si>
    <t>9780691066035</t>
  </si>
  <si>
    <t>792717244</t>
  </si>
  <si>
    <t>PQ4422 F66 2016</t>
  </si>
  <si>
    <t>0                      PQ 4422000F  66          2016</t>
  </si>
  <si>
    <t>L'impero e la storia di Roma in Dante / Francesca Fontanella.</t>
  </si>
  <si>
    <t>Fontanella, Francesca, author.</t>
  </si>
  <si>
    <t>Bologna : Società editrice Il mulino, [2016]</t>
  </si>
  <si>
    <t>Studi / Istituto italiano di scienze umane</t>
  </si>
  <si>
    <t>3969199393:ita</t>
  </si>
  <si>
    <t>971545561</t>
  </si>
  <si>
    <t>ocn971545561</t>
  </si>
  <si>
    <t>3103716173Z</t>
  </si>
  <si>
    <t>9788815265920</t>
  </si>
  <si>
    <t>795028307</t>
  </si>
  <si>
    <t>PQ4422 P3</t>
  </si>
  <si>
    <t>0                      PQ 4422000P  3</t>
  </si>
  <si>
    <t>Dante as a political thinker.</t>
  </si>
  <si>
    <t>Passerin d'Entrèves, Alessandro, 1902-1985.</t>
  </si>
  <si>
    <t>Oxford [England] Clarendon Press [1952]</t>
  </si>
  <si>
    <t>1952</t>
  </si>
  <si>
    <t>Barlow lectures on Dante ; 1951</t>
  </si>
  <si>
    <t>146470726:eng</t>
  </si>
  <si>
    <t>344511</t>
  </si>
  <si>
    <t>ocm00344511</t>
  </si>
  <si>
    <t>31030384964</t>
  </si>
  <si>
    <t>791344539</t>
  </si>
  <si>
    <t>3000552141I</t>
  </si>
  <si>
    <t>791344538</t>
  </si>
  <si>
    <t>PQ4422 R6</t>
  </si>
  <si>
    <t>0                      PQ 4422000R  6</t>
  </si>
  <si>
    <t>The political philosophy of Dante Alighieri / by John Joseph Rolbiecki.</t>
  </si>
  <si>
    <t>Rolbiecki, John Joseph, 1889-1983.</t>
  </si>
  <si>
    <t>Washington, D.C. : Catholic University of America, 1921.</t>
  </si>
  <si>
    <t>424692563:eng</t>
  </si>
  <si>
    <t>3978082</t>
  </si>
  <si>
    <t>ocm03978082</t>
  </si>
  <si>
    <t>30007729108</t>
  </si>
  <si>
    <t>792310580</t>
  </si>
  <si>
    <t>PQ4422 T34 2012</t>
  </si>
  <si>
    <t>0                      PQ 4422000T  34          2012</t>
  </si>
  <si>
    <t>Il pensiero politico di Dante Alighieri : storia, dottrina, poesia / Antonio Tafuro.</t>
  </si>
  <si>
    <t>Napoli : Libreria Dante &amp; Descartes, ©2012.</t>
  </si>
  <si>
    <t>1207230307:ita</t>
  </si>
  <si>
    <t>827228837</t>
  </si>
  <si>
    <t>ocn827228837</t>
  </si>
  <si>
    <t>3103126096N</t>
  </si>
  <si>
    <t>9788861570771</t>
  </si>
  <si>
    <t>794939829</t>
  </si>
  <si>
    <t>PQ4422 W3</t>
  </si>
  <si>
    <t>0                      PQ 4422000W  3</t>
  </si>
  <si>
    <t>Dante Alighieri, citizen of Christendom [by] Gerald G. Walsh, S.J.</t>
  </si>
  <si>
    <t>Walsh, Gerald Groveland, 1892-1952.</t>
  </si>
  <si>
    <t>Milwaukee, The Bruce Pub. Co. [1946]</t>
  </si>
  <si>
    <t>1946</t>
  </si>
  <si>
    <t>Lowell lectures ; 1945</t>
  </si>
  <si>
    <t>2019-02-03</t>
  </si>
  <si>
    <t>1759050:eng</t>
  </si>
  <si>
    <t>587828</t>
  </si>
  <si>
    <t>ocm00587828</t>
  </si>
  <si>
    <t>3000605884H</t>
  </si>
  <si>
    <t>791422214</t>
  </si>
  <si>
    <t>3000201874V</t>
  </si>
  <si>
    <t>791422213</t>
  </si>
  <si>
    <t>PQ4423 W55 2011</t>
  </si>
  <si>
    <t>0                      PQ 4423000W  55          2011</t>
  </si>
  <si>
    <t>Dante in love / A.N. Wilson.</t>
  </si>
  <si>
    <t>Wilson, A. N., 1950-</t>
  </si>
  <si>
    <t>New York : Farrar, Straus and Giroux, 2011.</t>
  </si>
  <si>
    <t>2012-11-26</t>
  </si>
  <si>
    <t>908662297:eng</t>
  </si>
  <si>
    <t>706021029</t>
  </si>
  <si>
    <t>ocn706021029</t>
  </si>
  <si>
    <t>31034119805</t>
  </si>
  <si>
    <t>9780374134686</t>
  </si>
  <si>
    <t>794866512</t>
  </si>
  <si>
    <t>PQ4427 C53 P3</t>
  </si>
  <si>
    <t>0                      PQ 4427000C  53                 P  3</t>
  </si>
  <si>
    <t>Il pio Enea, l'empio Ulisse : tradizione classica e intendimento medievale in Dante / Giorgio Padoan.</t>
  </si>
  <si>
    <t>Ravenna : Longo, 1977.</t>
  </si>
  <si>
    <t>L'interprete ; 5</t>
  </si>
  <si>
    <t>889340466:ita</t>
  </si>
  <si>
    <t>3759670</t>
  </si>
  <si>
    <t>ocm03759670</t>
  </si>
  <si>
    <t>3000451507E</t>
  </si>
  <si>
    <t>792288481</t>
  </si>
  <si>
    <t>PQ4429 A2 D36 2010</t>
  </si>
  <si>
    <t>0                      PQ 4429000A  2                  D  36          2010</t>
  </si>
  <si>
    <t>Dante's plurilingualism : authority, knowledge, subjectivity / [edited by Sara Fortuna, Manuele Gragnolati and Jürgen Trabant].</t>
  </si>
  <si>
    <t>London : Legenda, 2010.</t>
  </si>
  <si>
    <t>2018-10-26</t>
  </si>
  <si>
    <t>796633775:eng</t>
  </si>
  <si>
    <t>491906239</t>
  </si>
  <si>
    <t>ocn491906239</t>
  </si>
  <si>
    <t>31032365603</t>
  </si>
  <si>
    <t>9781906540784</t>
  </si>
  <si>
    <t>794800788</t>
  </si>
  <si>
    <t>PQ4429 A2 G35 2012</t>
  </si>
  <si>
    <t>0                      PQ 4429000A  2                  G  35          2012</t>
  </si>
  <si>
    <t>La lingua di fuoco : Dante e la filosofia del linguaggio / Giacomo Gambale.</t>
  </si>
  <si>
    <t>Gambale, Giacomo, author.</t>
  </si>
  <si>
    <t>Roma : Città Nuova, [2012]</t>
  </si>
  <si>
    <t>Collationes ; 2</t>
  </si>
  <si>
    <t>5619570184:ita</t>
  </si>
  <si>
    <t>798054103</t>
  </si>
  <si>
    <t>ocn798054103</t>
  </si>
  <si>
    <t>3103125900I</t>
  </si>
  <si>
    <t>9788831118019</t>
  </si>
  <si>
    <t>794923035</t>
  </si>
  <si>
    <t>PQ4432 A6 T78 2013</t>
  </si>
  <si>
    <t>0                      PQ 4432000A  6                  T  78          2013</t>
  </si>
  <si>
    <t>Dante e la tradizione ermetica : la Commedia, narrazione di un percorso alchemico-religioso anomalo / Antonino Trusso.</t>
  </si>
  <si>
    <t>Trusso, Antonino.</t>
  </si>
  <si>
    <t>Sesto San Giovanni (MI) [i.e. Milan, Italy] : Mimesis, ©2013.</t>
  </si>
  <si>
    <t>1211046400:ita</t>
  </si>
  <si>
    <t>828889374</t>
  </si>
  <si>
    <t>ocn828889374</t>
  </si>
  <si>
    <t>31031261091</t>
  </si>
  <si>
    <t>9788857512297</t>
  </si>
  <si>
    <t>794941876</t>
  </si>
  <si>
    <t>PQ4432 B53 L86 2012</t>
  </si>
  <si>
    <t>0                      PQ 4432000B  53                 L  86          2012</t>
  </si>
  <si>
    <t>Dante and the Vulgate Bible / Carolynn Lund-Mead and Amilcare Iannucci.</t>
  </si>
  <si>
    <t>Lund-Mead, Carolynn.</t>
  </si>
  <si>
    <t>Roma : Bulzoni, ©2012.</t>
  </si>
  <si>
    <t>1122978268:eng</t>
  </si>
  <si>
    <t>798053203</t>
  </si>
  <si>
    <t>ocn798053203</t>
  </si>
  <si>
    <t>3103125839F</t>
  </si>
  <si>
    <t>9788878705920</t>
  </si>
  <si>
    <t>794923010</t>
  </si>
  <si>
    <t>PQ4432 B6 D36 2007</t>
  </si>
  <si>
    <t>0                      PQ 4432000B  6                  D  36          2007</t>
  </si>
  <si>
    <t>Dante and the human body : eight essays / edited by John C. Barnes and Jennifer Petrie.</t>
  </si>
  <si>
    <t>Dublin ; Portland, OR : Published for the UCD Foundation for Italian Studies [by] Four Courts Press, ©2007.</t>
  </si>
  <si>
    <t>908747905:eng</t>
  </si>
  <si>
    <t>178196139</t>
  </si>
  <si>
    <t>ocn178196139</t>
  </si>
  <si>
    <t>3102647643F</t>
  </si>
  <si>
    <t>9781846820908</t>
  </si>
  <si>
    <t>794278567</t>
  </si>
  <si>
    <t>PQ4432 C79 F46 2017</t>
  </si>
  <si>
    <t>0                      PQ 4432000C  79                 F  46          2017</t>
  </si>
  <si>
    <t>Dante's tears : the poetics of weeping from Vita Nuova to the Commedia / Rossana Fenu Barbera.</t>
  </si>
  <si>
    <t>Fenu Barbera, Rossana, 1956- author.</t>
  </si>
  <si>
    <t>Firenze : Leo S. Olschki editore, MMXVII.</t>
  </si>
  <si>
    <t>Biblioteca dell'"Archivum Romanicum." Serie I: Storia, letteratura, paleografia ; 468</t>
  </si>
  <si>
    <t>4574716270:eng</t>
  </si>
  <si>
    <t>1005734621</t>
  </si>
  <si>
    <t>on1005734621</t>
  </si>
  <si>
    <t>3103721208O</t>
  </si>
  <si>
    <t>9788822265067</t>
  </si>
  <si>
    <t>795042748</t>
  </si>
  <si>
    <t>PQ4432 D74 B37 2012</t>
  </si>
  <si>
    <t>0                      PQ 4432000D  74                 B  37          2012</t>
  </si>
  <si>
    <t>Simile a quel che talvolta si sogna : i sogni del Purgatorio dantesco / Guglielmo Barucci.</t>
  </si>
  <si>
    <t>Barucci, Guglielmo, 1973- author.</t>
  </si>
  <si>
    <t>Firenze : Le lettere, [2012]</t>
  </si>
  <si>
    <t>Saggi. Letterature</t>
  </si>
  <si>
    <t>1209547285:ita</t>
  </si>
  <si>
    <t>828409871</t>
  </si>
  <si>
    <t>ocn828409871</t>
  </si>
  <si>
    <t>31031261021</t>
  </si>
  <si>
    <t>9788860876188</t>
  </si>
  <si>
    <t>794941093</t>
  </si>
  <si>
    <t>PQ4432 I57 D85 1998</t>
  </si>
  <si>
    <t>0                      PQ 4432000I  57                 D  85          1998</t>
  </si>
  <si>
    <t>The metaphysics of reading underlying Dante's Commedia : the ingegno / Paul Arvisu Dumol.</t>
  </si>
  <si>
    <t>Dumol, Paul Arvisu, 1951-</t>
  </si>
  <si>
    <t>New York : P. Lang, ©1998.</t>
  </si>
  <si>
    <t>Studies in the humanities ; 35</t>
  </si>
  <si>
    <t>292284574:eng</t>
  </si>
  <si>
    <t>36720977</t>
  </si>
  <si>
    <t>ocm36720977</t>
  </si>
  <si>
    <t>31019446747</t>
  </si>
  <si>
    <t>9780820437811</t>
  </si>
  <si>
    <t>793482777</t>
  </si>
  <si>
    <t>PQ4432 L3 D54 2016</t>
  </si>
  <si>
    <t>0                      PQ 4432000L  3                  D  54          2016</t>
  </si>
  <si>
    <t>Dante e la tradizione giuridica / Claudia Di Fonzo.</t>
  </si>
  <si>
    <t>Di Fonzo, Claudia, author.</t>
  </si>
  <si>
    <t>Roma : Carocci editore, febbraio 2016.</t>
  </si>
  <si>
    <t>Biblioteca medievale. Saggi ; 32</t>
  </si>
  <si>
    <t>3550709218:ita</t>
  </si>
  <si>
    <t>944522104</t>
  </si>
  <si>
    <t>ocn944522104</t>
  </si>
  <si>
    <t>3103661133C</t>
  </si>
  <si>
    <t>9788843077915</t>
  </si>
  <si>
    <t>795013100</t>
  </si>
  <si>
    <t>PQ4432.M56 G37 2013</t>
  </si>
  <si>
    <t>0                      PQ 4432000M  56                 G  37          2013</t>
  </si>
  <si>
    <t>Metafisica e cosmologia in Dante : il tema della rovina angelica / Marco Gallarino.</t>
  </si>
  <si>
    <t>Gallarino, Marco, 1975-</t>
  </si>
  <si>
    <t>[Bologna] : Società editrice il mulino, MMXIII.</t>
  </si>
  <si>
    <t>Istituto italiano per gli studi storici ; 63</t>
  </si>
  <si>
    <t>1379097001:ita</t>
  </si>
  <si>
    <t>852138648</t>
  </si>
  <si>
    <t>ocn852138648</t>
  </si>
  <si>
    <t>3103126293H</t>
  </si>
  <si>
    <t>9788815245045</t>
  </si>
  <si>
    <t>794951144</t>
  </si>
  <si>
    <t>PQ4432 M8 C43 2010</t>
  </si>
  <si>
    <t>0                      PQ 4432000M  8                  C  43          2010</t>
  </si>
  <si>
    <t>Dante's journey to polyphony / Francesco Ciabattoni.</t>
  </si>
  <si>
    <t>Ciabattoni, Francesco.</t>
  </si>
  <si>
    <t>Toronto : University of Toronto Press, c2010.</t>
  </si>
  <si>
    <t>2017-03-06</t>
  </si>
  <si>
    <t>62585359:eng</t>
  </si>
  <si>
    <t>426806535</t>
  </si>
  <si>
    <t>ocn426806535</t>
  </si>
  <si>
    <t>3103072509N</t>
  </si>
  <si>
    <t>9780802096265</t>
  </si>
  <si>
    <t>794516225</t>
  </si>
  <si>
    <t>PQ4432 N3 A98 2012</t>
  </si>
  <si>
    <t>0                      PQ 4432000N  3                  A  98          2012</t>
  </si>
  <si>
    <t>Natura e paesaggio nella Divina Commedia / Margherita Azzari.</t>
  </si>
  <si>
    <t>Azzari, Margherita, author.</t>
  </si>
  <si>
    <t>Firenze : Phasar edizioni ; [Firenze] : Laboratorio di geografia applicata, Università degli studi di Firenze, ottobre 2012.</t>
  </si>
  <si>
    <t>Studi di geografia applicata ; 01</t>
  </si>
  <si>
    <t>1348035839:ita</t>
  </si>
  <si>
    <t>844695455</t>
  </si>
  <si>
    <t>ocn844695455</t>
  </si>
  <si>
    <t>3103126298H</t>
  </si>
  <si>
    <t>9788863581690</t>
  </si>
  <si>
    <t>794948651</t>
  </si>
  <si>
    <t>PQ4432 N3 P44 2007</t>
  </si>
  <si>
    <t>0                      PQ 4432000N  3                  P  44          2007</t>
  </si>
  <si>
    <t>Dal lito diserto al giardino : la costruzione del paesaggio nel Purgatorio di Dante / Anna Pegoretti.</t>
  </si>
  <si>
    <t>Pegoretti, Anna.</t>
  </si>
  <si>
    <t>Bologna : Bononia University Press, 2007.</t>
  </si>
  <si>
    <t>Hypertera ; 1</t>
  </si>
  <si>
    <t>368357700:ita</t>
  </si>
  <si>
    <t>166889024</t>
  </si>
  <si>
    <t>ocn166889024</t>
  </si>
  <si>
    <t>3102861836D</t>
  </si>
  <si>
    <t>9788873952381</t>
  </si>
  <si>
    <t>794262314</t>
  </si>
  <si>
    <t>PQ4432 W3 W37 2015</t>
  </si>
  <si>
    <t>0                      PQ 4432000W  3                  W  37          2015</t>
  </si>
  <si>
    <t>War and Peace in Dante : Essays Literary, Historical and Theological / edited by John C. Barnes and Daragh O'Connell.</t>
  </si>
  <si>
    <t>Dublin, Ireland : Four Courts Press Ltd, [2015]</t>
  </si>
  <si>
    <t>Publications of the UCD Foundation for Italian studies</t>
  </si>
  <si>
    <t>1391549100:eng</t>
  </si>
  <si>
    <t>827974029</t>
  </si>
  <si>
    <t>ocn827974029</t>
  </si>
  <si>
    <t>3103657524A</t>
  </si>
  <si>
    <t>9781846824203</t>
  </si>
  <si>
    <t>794940503</t>
  </si>
  <si>
    <t>PQ4433 R87 2011</t>
  </si>
  <si>
    <t>0                      PQ 4433000R  87          2011</t>
  </si>
  <si>
    <t>Dante's search for the Golden Age / Florence Russo.</t>
  </si>
  <si>
    <t>Russo, Florence, 1966-</t>
  </si>
  <si>
    <t>Stony Brook, N.Y. : Forum Italicum, ©2011.</t>
  </si>
  <si>
    <t>Filibrary series ; no. 32</t>
  </si>
  <si>
    <t>1081428393:eng</t>
  </si>
  <si>
    <t>777635757</t>
  </si>
  <si>
    <t>ocn777635757</t>
  </si>
  <si>
    <t>31034415666</t>
  </si>
  <si>
    <t>9781893127357</t>
  </si>
  <si>
    <t>794908956</t>
  </si>
  <si>
    <t>PQ4435 A2 B47 2011</t>
  </si>
  <si>
    <t>0                      PQ 4435000A  2                  B  47          2011</t>
  </si>
  <si>
    <t>La tradizione della "Commedia" dai manoscritti al testo / Sandro Bertelli.</t>
  </si>
  <si>
    <t>Bertelli, Sandro, author.</t>
  </si>
  <si>
    <t>Firenze : Leo S. Olschki Editore, 2011-&lt;2016&gt;</t>
  </si>
  <si>
    <t>Biblioteca dell' "Archivum Romanicum." Serie 1: Storia, letteratura, paleografia, 0066-6807 ; 376, 448</t>
  </si>
  <si>
    <t>3771333466:ita</t>
  </si>
  <si>
    <t>760053884</t>
  </si>
  <si>
    <t>ocn760053884</t>
  </si>
  <si>
    <t>3103125580E</t>
  </si>
  <si>
    <t>9788822260260</t>
  </si>
  <si>
    <t>794898172</t>
  </si>
  <si>
    <t>PQ4435.A2 B47 2011</t>
  </si>
  <si>
    <t>B001511497</t>
  </si>
  <si>
    <t>794898173</t>
  </si>
  <si>
    <t>3103710314$</t>
  </si>
  <si>
    <t>794898171</t>
  </si>
  <si>
    <t>PQ4435 L65 P44 2014</t>
  </si>
  <si>
    <t>0                      PQ 4435000L  65                 P  44          2014</t>
  </si>
  <si>
    <t>Indagine su un codice dantesco : la "Commedia" Egerton 943 della British Library / Anna Pegoretti.</t>
  </si>
  <si>
    <t>Pegoretti, Anna, author.</t>
  </si>
  <si>
    <t>Ghezzano (PI) : Felici editore, 2014.</t>
  </si>
  <si>
    <t>2550949934:ita</t>
  </si>
  <si>
    <t>908024385</t>
  </si>
  <si>
    <t>ocn908024385</t>
  </si>
  <si>
    <t>31036281234</t>
  </si>
  <si>
    <t>9788860197429</t>
  </si>
  <si>
    <t>794994092</t>
  </si>
  <si>
    <t>PQ4437 A63 L32 2012</t>
  </si>
  <si>
    <t>0                      PQ 4437000A  63                 L  32          2012</t>
  </si>
  <si>
    <t>The sons of Dante interpret Dante / Louis Marcello La Favia.</t>
  </si>
  <si>
    <t>Ravenna (Italia) : Provincia bolognese dei frati minori conventuali, Centro dantesco onlus, [2012]</t>
  </si>
  <si>
    <t>1162400880:eng</t>
  </si>
  <si>
    <t>807031269</t>
  </si>
  <si>
    <t>ocn807031269</t>
  </si>
  <si>
    <t>31031258707</t>
  </si>
  <si>
    <t>9788889501078</t>
  </si>
  <si>
    <t>794927170</t>
  </si>
  <si>
    <t>PQ4437 B6 C66 2013</t>
  </si>
  <si>
    <t>0                      PQ 4437000B  6                  C  66          2013</t>
  </si>
  <si>
    <t>Boccaccio editore e interprete di Dante : atti del Convegno internazionale di Roma, 28-30 ottobre 2013 : in collaborazione con la Casa di Dante in Roma / a cura di Luca Azzetta e Andrea Mazzucchi.</t>
  </si>
  <si>
    <t>Convegno internazionale dedicato a Boccaccio editore e inteprete di Dante (2013 : Rome, Italy)</t>
  </si>
  <si>
    <t>Pubblicazioni del "Centro Pio Rajna." Sezione prima, Studi e saggi ; 22</t>
  </si>
  <si>
    <t>2015-11-04</t>
  </si>
  <si>
    <t>1918811905:ita</t>
  </si>
  <si>
    <t>880831138</t>
  </si>
  <si>
    <t>ocn880831138</t>
  </si>
  <si>
    <t>3103126421P</t>
  </si>
  <si>
    <t>9788884029195</t>
  </si>
  <si>
    <t>794973425</t>
  </si>
  <si>
    <t>PQ4437 G8 R56 2010</t>
  </si>
  <si>
    <t>0                      PQ 4437000G  8                  R  56          2010</t>
  </si>
  <si>
    <t>Per l'edizione critica delle Expositiones et glose super Comediam Dantis di Guido da Pisa : recensio dei manoscritti / Michele Rinaldi.</t>
  </si>
  <si>
    <t>Rinaldi, Michele, 1973-</t>
  </si>
  <si>
    <t>Napoli : Loffredo, 2010.</t>
  </si>
  <si>
    <t>Nova itinera humanitatis latinae ; 7</t>
  </si>
  <si>
    <t>900366746:ita</t>
  </si>
  <si>
    <t>724303787</t>
  </si>
  <si>
    <t>ocn724303787</t>
  </si>
  <si>
    <t>3103125486H</t>
  </si>
  <si>
    <t>9788875644000</t>
  </si>
  <si>
    <t>794876302</t>
  </si>
  <si>
    <t>PQ4437 L3 V65 2010</t>
  </si>
  <si>
    <t>0                      PQ 4437000L  3                  V  65          2010</t>
  </si>
  <si>
    <t>Per manifestare polida parladura : la lingua del commento lanèo alla Commedia nel ms. Riccardiano-Braidense / Mirko Volpi.</t>
  </si>
  <si>
    <t>Volpi, Mirko.</t>
  </si>
  <si>
    <t>Quaderni della Rivista di studi danteschi / Centro Pio Rajna ; 5</t>
  </si>
  <si>
    <t>942687055:ita</t>
  </si>
  <si>
    <t>745895123</t>
  </si>
  <si>
    <t>ocn745895123</t>
  </si>
  <si>
    <t>3103125300$</t>
  </si>
  <si>
    <t>9788884027078</t>
  </si>
  <si>
    <t>794886653</t>
  </si>
  <si>
    <t>PQ4443 B368 2011</t>
  </si>
  <si>
    <t>0                      PQ 4443000B  368         2011</t>
  </si>
  <si>
    <t>Tutto l'Inferno : lettura integrale della prima cantica del poema dantesco / Giorgio Bàrberi Squarotti.</t>
  </si>
  <si>
    <t>Milano : F. Angeli, ©2011.</t>
  </si>
  <si>
    <t>Letteratura italiana : saggi e strumenti ; 3</t>
  </si>
  <si>
    <t>894524200:ita</t>
  </si>
  <si>
    <t>719413334</t>
  </si>
  <si>
    <t>ocn719413334</t>
  </si>
  <si>
    <t>3103125409X</t>
  </si>
  <si>
    <t>9788856835885</t>
  </si>
  <si>
    <t>794874401</t>
  </si>
  <si>
    <t>PQ4443 C38 2015</t>
  </si>
  <si>
    <t>0                      PQ 4443000C  38          2015</t>
  </si>
  <si>
    <t>Commento della Divina Commedia : canti I-IX / Santino Cavaciuti.</t>
  </si>
  <si>
    <t>Cavaciuti, Santino, author.</t>
  </si>
  <si>
    <t>Chiose e glosse ; 1</t>
  </si>
  <si>
    <t>2504312503:ita</t>
  </si>
  <si>
    <t>910505527</t>
  </si>
  <si>
    <t>ocn910505527</t>
  </si>
  <si>
    <t>31036375593</t>
  </si>
  <si>
    <t>9788876674945</t>
  </si>
  <si>
    <t>794996213</t>
  </si>
  <si>
    <t>PQ4443 F68</t>
  </si>
  <si>
    <t>0                      PQ 4443000F  68</t>
  </si>
  <si>
    <t>A reading of Dante's Inferno / Wallace Fowlie.</t>
  </si>
  <si>
    <t>Fowlie, Wallace, 1908-1998.</t>
  </si>
  <si>
    <t>Chicago : University of Chicago Press, ©1981.</t>
  </si>
  <si>
    <t>2019-11-07</t>
  </si>
  <si>
    <t>354835871:eng</t>
  </si>
  <si>
    <t>6532941</t>
  </si>
  <si>
    <t>ocm06532941</t>
  </si>
  <si>
    <t>3000315875X</t>
  </si>
  <si>
    <t>9780226258874</t>
  </si>
  <si>
    <t>792507074</t>
  </si>
  <si>
    <t>PQ4443 L33 2010</t>
  </si>
  <si>
    <t>0                      PQ 4443000L  33          2010</t>
  </si>
  <si>
    <t>Lecturae Dantis : Inferno / Rocco Labellarte.</t>
  </si>
  <si>
    <t>Labellarte, Rocco.</t>
  </si>
  <si>
    <t>Irsina (Matera) : G. Barile, [2010]</t>
  </si>
  <si>
    <t>867061919:ita</t>
  </si>
  <si>
    <t>713178060</t>
  </si>
  <si>
    <t>ocn713178060</t>
  </si>
  <si>
    <t>3103125363O</t>
  </si>
  <si>
    <t>9788885425668</t>
  </si>
  <si>
    <t>794872548</t>
  </si>
  <si>
    <t>PQ4443 R24 2007</t>
  </si>
  <si>
    <t>0                      PQ 4443000R  24          2007</t>
  </si>
  <si>
    <t>Danteworlds : a reader's guide to the Inferno / Guy P. Raffa.</t>
  </si>
  <si>
    <t>Chicago : University of Chicago Press, 2007.</t>
  </si>
  <si>
    <t>2017-08-18</t>
  </si>
  <si>
    <t>799980020:eng</t>
  </si>
  <si>
    <t>71842808</t>
  </si>
  <si>
    <t>ocm71842808</t>
  </si>
  <si>
    <t>31026373000</t>
  </si>
  <si>
    <t>9780226702674</t>
  </si>
  <si>
    <t>794169196</t>
  </si>
  <si>
    <t>PQ4443 R42</t>
  </si>
  <si>
    <t>0                      PQ 4443000R  42</t>
  </si>
  <si>
    <t>The moral system of Dante's Inferno / by W.H.V. Reade.</t>
  </si>
  <si>
    <t>Reade, W. H. V. (William Henry Vincent), 1872-1943.</t>
  </si>
  <si>
    <t>Oxford : Clarendon Press, 1909.</t>
  </si>
  <si>
    <t>458312:eng</t>
  </si>
  <si>
    <t>7382180</t>
  </si>
  <si>
    <t>ocm07382180</t>
  </si>
  <si>
    <t>30007831379</t>
  </si>
  <si>
    <t>792556243</t>
  </si>
  <si>
    <t>PQ4443 S4 2001</t>
  </si>
  <si>
    <t>0                      PQ 4443000S  4           2001</t>
  </si>
  <si>
    <t>L'Inferno di Dante / Vittorio Sermonti ; revisione di Gianfranco Contini.</t>
  </si>
  <si>
    <t>Sermonti, Vittorio, 1929-</t>
  </si>
  <si>
    <t>Milano : Rizzoli, ©2001.</t>
  </si>
  <si>
    <t>[Nuova ed.].</t>
  </si>
  <si>
    <t>2015-04-14</t>
  </si>
  <si>
    <t>350453692:ita</t>
  </si>
  <si>
    <t>428076982</t>
  </si>
  <si>
    <t>ocn428076982</t>
  </si>
  <si>
    <t>3102210215Q</t>
  </si>
  <si>
    <t>9788817860680</t>
  </si>
  <si>
    <t>794766939</t>
  </si>
  <si>
    <t>PQ4443 V6 1894</t>
  </si>
  <si>
    <t>0                      PQ 4443000V  6           1894</t>
  </si>
  <si>
    <t>Readings on the Inferno of Dante, chiefly based on the commentary of Benvenuto da Imola, by the Hon. William Warren Vernon ; with and introduction by the Rev. Edward Moore.</t>
  </si>
  <si>
    <t>Vernon, William John Borlase-Warren-Venables, 1834-1919.</t>
  </si>
  <si>
    <t>London, Macmillan and Co., 1894.</t>
  </si>
  <si>
    <t>1894</t>
  </si>
  <si>
    <t>3748243844:eng</t>
  </si>
  <si>
    <t>150794256</t>
  </si>
  <si>
    <t>ocn150794256</t>
  </si>
  <si>
    <t>3000772757R</t>
  </si>
  <si>
    <t>794248716</t>
  </si>
  <si>
    <t>2003-11-22</t>
  </si>
  <si>
    <t>31008090780</t>
  </si>
  <si>
    <t>794248715</t>
  </si>
  <si>
    <t>PQ4445 15th K39</t>
  </si>
  <si>
    <t>0                      PQ 4445000                                                           15th K39</t>
  </si>
  <si>
    <t>Dante's swift and strong : essays on Inferno XV / by Richard Kay.</t>
  </si>
  <si>
    <t>Kay, Richard, 1931-</t>
  </si>
  <si>
    <t>Lawrence : Regents Press of Kansas, ©1978.</t>
  </si>
  <si>
    <t>2015-09-14</t>
  </si>
  <si>
    <t>346549826:eng</t>
  </si>
  <si>
    <t>2965618</t>
  </si>
  <si>
    <t>ocm02965618</t>
  </si>
  <si>
    <t>3000324059P</t>
  </si>
  <si>
    <t>9780700601585</t>
  </si>
  <si>
    <t>792199683</t>
  </si>
  <si>
    <t>PQ4445 26TH S37 2011</t>
  </si>
  <si>
    <t>0                      PQ 4445000                                                           26TH S37 2011</t>
  </si>
  <si>
    <t>Ulisse e il desiderio : il canto XXVI dell'Inferno / Gennaro Sasso.</t>
  </si>
  <si>
    <t>Sasso, Gennaro.</t>
  </si>
  <si>
    <t>Roma : Viella, 2011.</t>
  </si>
  <si>
    <t>I libri di Viella ; 112</t>
  </si>
  <si>
    <t>793927621:ita</t>
  </si>
  <si>
    <t>704509626</t>
  </si>
  <si>
    <t>ocn704509626</t>
  </si>
  <si>
    <t>3103125312Y</t>
  </si>
  <si>
    <t>9788883344633</t>
  </si>
  <si>
    <t>794865732</t>
  </si>
  <si>
    <t>PQ4445 2d J34 1989</t>
  </si>
  <si>
    <t>0                      PQ 4445000                                                           2d J34 1989</t>
  </si>
  <si>
    <t>Inferno II / Rachel Jacoff and William A. Stephany ; with a new translation of the canto by Patrick Creagh and Robert Hollander.</t>
  </si>
  <si>
    <t>Jacoff, Rachel.</t>
  </si>
  <si>
    <t>Philadelphia : University of Pennsylvania Press, ©1989.</t>
  </si>
  <si>
    <t>Lectura Dantis Americana</t>
  </si>
  <si>
    <t>21406239:eng</t>
  </si>
  <si>
    <t>19324281</t>
  </si>
  <si>
    <t>ocm19324281</t>
  </si>
  <si>
    <t>3101199111F</t>
  </si>
  <si>
    <t>9780812281774</t>
  </si>
  <si>
    <t>793054238</t>
  </si>
  <si>
    <t>PQ4445 5th L64 2012</t>
  </si>
  <si>
    <t>0                      PQ 4445000                                                           5th L64 2012</t>
  </si>
  <si>
    <t>The wings of the doves : love and desire in Dante and medieval culture / Elena Lombardi.</t>
  </si>
  <si>
    <t>Lombardi, Elena, 1969-</t>
  </si>
  <si>
    <t>Montréal : McGill-Queen's University Press, ©2012.</t>
  </si>
  <si>
    <t>2019-03-19</t>
  </si>
  <si>
    <t>1144110668:eng</t>
  </si>
  <si>
    <t>764385457</t>
  </si>
  <si>
    <t>ocn764385457</t>
  </si>
  <si>
    <t>3103402424X</t>
  </si>
  <si>
    <t>9780773539716</t>
  </si>
  <si>
    <t>794900445</t>
  </si>
  <si>
    <t>PQ4447 E76 2010</t>
  </si>
  <si>
    <t>0                      PQ 4447000E  76          2010</t>
  </si>
  <si>
    <t>Esperimenti danteschi : Purgatorio 2009 / [testi di] Gian Carlo Alessio [and others] ; a cura di Benedetta Quadrio.</t>
  </si>
  <si>
    <t>Genova : Marietti, 2010.</t>
  </si>
  <si>
    <t>796466650:ita</t>
  </si>
  <si>
    <t>642806092</t>
  </si>
  <si>
    <t>ocn642806092</t>
  </si>
  <si>
    <t>31031251173</t>
  </si>
  <si>
    <t>9788821194139</t>
  </si>
  <si>
    <t>794828389</t>
  </si>
  <si>
    <t>PQ4447 S47 2001</t>
  </si>
  <si>
    <t>0                      PQ 4447000S  47          2001</t>
  </si>
  <si>
    <t>Il Purgatorio di Dante / Vittorio Sermonti ; revisione di Gianfranco Contini.</t>
  </si>
  <si>
    <t>Sermonti, Vittorio, 1929-2016.</t>
  </si>
  <si>
    <t>Milano : Rizzoli, 2001.</t>
  </si>
  <si>
    <t>348305663:ita</t>
  </si>
  <si>
    <t>49593003</t>
  </si>
  <si>
    <t>ocm49593003</t>
  </si>
  <si>
    <t>3102209544H</t>
  </si>
  <si>
    <t>9788817860697</t>
  </si>
  <si>
    <t>793743624</t>
  </si>
  <si>
    <t>PQ4447 S8</t>
  </si>
  <si>
    <t>0                      PQ 4447000S  8</t>
  </si>
  <si>
    <t>Dante's other world; the Purgatorio as guide to the Divine comedy.</t>
  </si>
  <si>
    <t>Stambler, Bernard.</t>
  </si>
  <si>
    <t>New York, New York University Press, 1957.</t>
  </si>
  <si>
    <t>2015-07-14</t>
  </si>
  <si>
    <t>1489404:eng</t>
  </si>
  <si>
    <t>344493</t>
  </si>
  <si>
    <t>ocm00344493</t>
  </si>
  <si>
    <t>31002452199</t>
  </si>
  <si>
    <t>791344527</t>
  </si>
  <si>
    <t>2006-10-30</t>
  </si>
  <si>
    <t>3000605905Z</t>
  </si>
  <si>
    <t>791344526</t>
  </si>
  <si>
    <t>PQ4447 U58 2010</t>
  </si>
  <si>
    <t>0                      PQ 4447000U  58          2010</t>
  </si>
  <si>
    <t>Gli ultimi canti del Purgatorio / a cura di Fabio Dainotti.</t>
  </si>
  <si>
    <t>Lectura Dantis Metelliana ; 3</t>
  </si>
  <si>
    <t>499136548:ita</t>
  </si>
  <si>
    <t>635376244</t>
  </si>
  <si>
    <t>ocn635376244</t>
  </si>
  <si>
    <t>31031251075</t>
  </si>
  <si>
    <t>9788878704770</t>
  </si>
  <si>
    <t>794825432</t>
  </si>
  <si>
    <t>PQ4448 A7 1983</t>
  </si>
  <si>
    <t>0                      PQ 4448000A  7           1983</t>
  </si>
  <si>
    <t>The door of purgatory : a study of multiple symbolism in Dante's Purgatorio / Peter Armour.</t>
  </si>
  <si>
    <t>Armour, Peter.</t>
  </si>
  <si>
    <t>Oxford [Oxfordshire] : Clarendon Press ; New York : Oxford University Press, 1983.</t>
  </si>
  <si>
    <t>2013-04-07</t>
  </si>
  <si>
    <t>836719839:eng</t>
  </si>
  <si>
    <t>9393646</t>
  </si>
  <si>
    <t>ocm09393646</t>
  </si>
  <si>
    <t>3000163828$</t>
  </si>
  <si>
    <t>9780198157878</t>
  </si>
  <si>
    <t>792673863</t>
  </si>
  <si>
    <t>31036795928</t>
  </si>
  <si>
    <t>792673864</t>
  </si>
  <si>
    <t>PQ4448 T35 2010</t>
  </si>
  <si>
    <t>0                      PQ 4448000T  35          2010</t>
  </si>
  <si>
    <t>Dante in Purgatory : states of affect / by Jeremy Tambling.</t>
  </si>
  <si>
    <t>Turnhout : Brepols, ©2010.</t>
  </si>
  <si>
    <t>Disputatio ; v. 18</t>
  </si>
  <si>
    <t>2019-04-23</t>
  </si>
  <si>
    <t>4202614544:eng</t>
  </si>
  <si>
    <t>491905875</t>
  </si>
  <si>
    <t>ocn491905875</t>
  </si>
  <si>
    <t>3103320725S</t>
  </si>
  <si>
    <t>9782503531298</t>
  </si>
  <si>
    <t>794800783</t>
  </si>
  <si>
    <t>PQ4449 32nd M87 1992</t>
  </si>
  <si>
    <t>0                      PQ 4449000                                                           32nd M87 1992</t>
  </si>
  <si>
    <t>Tra gli arcani dell'Eden : ("Purgatorio" XXXII) / Gabriele Muresu.</t>
  </si>
  <si>
    <t>Muresu, Gabriele.</t>
  </si>
  <si>
    <t>Roma : Bulzoni, ©1992.</t>
  </si>
  <si>
    <t>2016-05-18</t>
  </si>
  <si>
    <t>906237463:ita</t>
  </si>
  <si>
    <t>30090729</t>
  </si>
  <si>
    <t>ocm30090729</t>
  </si>
  <si>
    <t>3101429077A</t>
  </si>
  <si>
    <t>9788871194967</t>
  </si>
  <si>
    <t>793329484</t>
  </si>
  <si>
    <t>PQ4449 7th P47 2011</t>
  </si>
  <si>
    <t>0                      PQ 4449000                                                           7th P47 2011</t>
  </si>
  <si>
    <t>Il bel soggiorno : Dante nella valletta / Ciro Perna ; con illustrazioni di Fabio Buonocore.</t>
  </si>
  <si>
    <t>Perna, Ciro, 1982-</t>
  </si>
  <si>
    <t>Napoli : Libreria Dante &amp; Descartes, ©2011.</t>
  </si>
  <si>
    <t>1075354200:ita</t>
  </si>
  <si>
    <t>773793646</t>
  </si>
  <si>
    <t>ocn773793646</t>
  </si>
  <si>
    <t>3103125636L</t>
  </si>
  <si>
    <t>9788861570061</t>
  </si>
  <si>
    <t>794905959</t>
  </si>
  <si>
    <t>PQ4451 A75 2010</t>
  </si>
  <si>
    <t>0                      PQ 4451000A  75          2010</t>
  </si>
  <si>
    <t>Lux inaccessibilis : metafore e teologia della luce nel Paradiso di Dante / Marco Ariani.</t>
  </si>
  <si>
    <t>Ariani, Marco.</t>
  </si>
  <si>
    <t>Dulces musae ; 1</t>
  </si>
  <si>
    <t>796554472:ita</t>
  </si>
  <si>
    <t>664799049</t>
  </si>
  <si>
    <t>ocn664799049</t>
  </si>
  <si>
    <t>3103125178S</t>
  </si>
  <si>
    <t>9788854831032</t>
  </si>
  <si>
    <t>794844332</t>
  </si>
  <si>
    <t>PQ4451 B54 2010</t>
  </si>
  <si>
    <t>0                      PQ 4451000B  54          2010</t>
  </si>
  <si>
    <t>Di luce in luce : teologia e bellezza nel Paradiso di Dante : saggi / Inos Biffi.</t>
  </si>
  <si>
    <t>Biffi, Inos.</t>
  </si>
  <si>
    <t>Milano : Jaca Book, 2010.</t>
  </si>
  <si>
    <t>Biblioteca di cultura medievale</t>
  </si>
  <si>
    <t>908621497:ita</t>
  </si>
  <si>
    <t>694057258</t>
  </si>
  <si>
    <t>ocn694057258</t>
  </si>
  <si>
    <t>3103125386K</t>
  </si>
  <si>
    <t>9788816409170</t>
  </si>
  <si>
    <t>794857088</t>
  </si>
  <si>
    <t>PQ4451 C4</t>
  </si>
  <si>
    <t>0                      PQ 4451000C  4</t>
  </si>
  <si>
    <t>Lettura del Paradiso Dantesco / di Anna M. Chiavacci Leonardi.</t>
  </si>
  <si>
    <t>Chiavacci Leonardi, Anna M.</t>
  </si>
  <si>
    <t>[Firenze] Sansoni Editore [©1963]</t>
  </si>
  <si>
    <t>Nuova biblioteca del Leonardo ; 6</t>
  </si>
  <si>
    <t>1592659:ita</t>
  </si>
  <si>
    <t>498953</t>
  </si>
  <si>
    <t>ocm00498953</t>
  </si>
  <si>
    <t>3000779183F</t>
  </si>
  <si>
    <t>791394797</t>
  </si>
  <si>
    <t>PQ4451 C453 2010</t>
  </si>
  <si>
    <t>0                      PQ 4451000C  453         2010</t>
  </si>
  <si>
    <t>Le bianche stole : saggi sul Paradiso di Dante / Anna Maria Chiavacci Leonardi.</t>
  </si>
  <si>
    <t>Firenze : SISMEL edizioni del Galluzzo, 2010.</t>
  </si>
  <si>
    <t>Millennio medievale ; 84. Strumenti e studi ; n. s. 24</t>
  </si>
  <si>
    <t>796388144:ita</t>
  </si>
  <si>
    <t>635378112</t>
  </si>
  <si>
    <t>ocn635378112</t>
  </si>
  <si>
    <t>31031251211</t>
  </si>
  <si>
    <t>9788884503473</t>
  </si>
  <si>
    <t>794825466</t>
  </si>
  <si>
    <t>PQ4451 E76 2010</t>
  </si>
  <si>
    <t>0                      PQ 4451000E  76          2010</t>
  </si>
  <si>
    <t>Esperimenti danteschi : Paradiso 2010 / [testi di] L. Azzetta [and others] ; a cura di Tommaso Montorfano.</t>
  </si>
  <si>
    <t>Genova ; Milano : Marietti, 2010.</t>
  </si>
  <si>
    <t>908553461:ita</t>
  </si>
  <si>
    <t>666211402</t>
  </si>
  <si>
    <t>ocn666211402</t>
  </si>
  <si>
    <t>3103125298L</t>
  </si>
  <si>
    <t>9788821194146</t>
  </si>
  <si>
    <t>794844820</t>
  </si>
  <si>
    <t>PQ4451 M37 2011</t>
  </si>
  <si>
    <t>0                      PQ 4451000M  37          2011</t>
  </si>
  <si>
    <t>L'umana famiglia : studi sul Paradiso / Marina Marietti.</t>
  </si>
  <si>
    <t>Marietti, Marina.</t>
  </si>
  <si>
    <t>Roma : Aracne, marzo 2011.</t>
  </si>
  <si>
    <t>Dantesca ; 3</t>
  </si>
  <si>
    <t>982017534:ita</t>
  </si>
  <si>
    <t>745970358</t>
  </si>
  <si>
    <t>ocn745970358</t>
  </si>
  <si>
    <t>3103125503U</t>
  </si>
  <si>
    <t>9788854831513</t>
  </si>
  <si>
    <t>794886755</t>
  </si>
  <si>
    <t>PQ4451 P47 1998</t>
  </si>
  <si>
    <t>0                      PQ 4451000P  47          1998</t>
  </si>
  <si>
    <t>La puttana e il gigante : dal "Cantico dei cantici" al Paradiso terrestre di Dante / Lino Pertile.</t>
  </si>
  <si>
    <t>Pertile, Lino.</t>
  </si>
  <si>
    <t>Ravenna : Longo, ©1998.</t>
  </si>
  <si>
    <t>Memoria del tempo ; 10</t>
  </si>
  <si>
    <t>866255059:ita</t>
  </si>
  <si>
    <t>39516628</t>
  </si>
  <si>
    <t>ocm39516628</t>
  </si>
  <si>
    <t>31019083217</t>
  </si>
  <si>
    <t>9788880631569</t>
  </si>
  <si>
    <t>793547648</t>
  </si>
  <si>
    <t>PQ4451 S65 2010</t>
  </si>
  <si>
    <t>0                      PQ 4451000S  65          2010</t>
  </si>
  <si>
    <t>Vers le Paradis : Dante au Collège des Bernardins / Philippe Sollers ; avec un film DVD de Georgi Galabov et Sophie Zhang.</t>
  </si>
  <si>
    <t>(text + DVD-ROM)</t>
  </si>
  <si>
    <t>Sollers, Philippe, 1936-</t>
  </si>
  <si>
    <t>Paris : Collège des Bernardins : Desclée de Brouwer, 2010.</t>
  </si>
  <si>
    <t>569619465:fre</t>
  </si>
  <si>
    <t>645653329</t>
  </si>
  <si>
    <t>ocn645653329</t>
  </si>
  <si>
    <t>3103302499P</t>
  </si>
  <si>
    <t>9782220062044</t>
  </si>
  <si>
    <t>794829599</t>
  </si>
  <si>
    <t>PQ4451 T75 2011</t>
  </si>
  <si>
    <t>0                      PQ 4451000T  75          2011</t>
  </si>
  <si>
    <t>Il trittico di Cacciaguida : lectura Dantis Scaligera, 2008-2009 / a cura di Ennio Sandal.</t>
  </si>
  <si>
    <t>Roma : Antenore, 2011.</t>
  </si>
  <si>
    <t>Miscellanea erudita ; nuova serie 78</t>
  </si>
  <si>
    <t>1058803100:ita</t>
  </si>
  <si>
    <t>767578071</t>
  </si>
  <si>
    <t>ocn767578071</t>
  </si>
  <si>
    <t>3103125679D</t>
  </si>
  <si>
    <t>9788884556608</t>
  </si>
  <si>
    <t>794901228</t>
  </si>
  <si>
    <t>PQ4451 V47 2010</t>
  </si>
  <si>
    <t>0                      PQ 4451000V  47          2010</t>
  </si>
  <si>
    <t>The poetics of Dante's Paradiso / Massimo Verdicchio.</t>
  </si>
  <si>
    <t>Verdicchio, Massimo, 1945-</t>
  </si>
  <si>
    <t>393925691:eng</t>
  </si>
  <si>
    <t>521753949</t>
  </si>
  <si>
    <t>ocn521753949</t>
  </si>
  <si>
    <t>3103266528X</t>
  </si>
  <si>
    <t>9781442641198</t>
  </si>
  <si>
    <t>794808819</t>
  </si>
  <si>
    <t>PQ4452 S46 2001</t>
  </si>
  <si>
    <t>0                      PQ 4452000S  46          2001</t>
  </si>
  <si>
    <t>Il Paradiso di Dante / Vittorio Sermonti ; revisione di Cesare Segre.</t>
  </si>
  <si>
    <t>4494923695:ita</t>
  </si>
  <si>
    <t>49593005</t>
  </si>
  <si>
    <t>ocm49593005</t>
  </si>
  <si>
    <t>3102211696V</t>
  </si>
  <si>
    <t>9788817860703</t>
  </si>
  <si>
    <t>793743625</t>
  </si>
  <si>
    <t>PQ4453.33rd R67 2011</t>
  </si>
  <si>
    <t>0                      PQ 4453000                                                           .33rd R67 2011</t>
  </si>
  <si>
    <t>Dante, il nodo e il volume : una lectura di Paradiso 33 / Antonio Rossini.</t>
  </si>
  <si>
    <t>Pisa : Fabrizio Serra Editore, 2011.</t>
  </si>
  <si>
    <t>Quaderni della "Rivista di cultura classica e medioevale" ; 11</t>
  </si>
  <si>
    <t>1032929965:ita</t>
  </si>
  <si>
    <t>758438458</t>
  </si>
  <si>
    <t>ocn758438458</t>
  </si>
  <si>
    <t>3103125581E</t>
  </si>
  <si>
    <t>9788862274210</t>
  </si>
  <si>
    <t>794896405</t>
  </si>
  <si>
    <t>PQ4453 7th L34 2011</t>
  </si>
  <si>
    <t>0                      PQ 4453000                                                           7th L34 2011</t>
  </si>
  <si>
    <t>Dante : soteriologia e poesia : (Par., VII) : giustizia e amore / Louis Marcello La Favia.</t>
  </si>
  <si>
    <t>Ravenna : Provincia bolognese dei frati minori conventuali, Centro dantesco onlus : Distributor, A. Longo Editore, 2011.</t>
  </si>
  <si>
    <t>916975316:ita</t>
  </si>
  <si>
    <t>732279901</t>
  </si>
  <si>
    <t>ocn732279901</t>
  </si>
  <si>
    <t>3103125427T</t>
  </si>
  <si>
    <t>9788889501054</t>
  </si>
  <si>
    <t>794881215</t>
  </si>
  <si>
    <t>PQ4456 L46 2013</t>
  </si>
  <si>
    <t>0                      PQ 4456000L  46          2013</t>
  </si>
  <si>
    <t>Language and style in Dante / edited by John C. Barnes &amp; Michelangelo Zaccarello.</t>
  </si>
  <si>
    <t>Dublin : Four Courts, 2010.</t>
  </si>
  <si>
    <t>Publications of the Foundation for Italian Studies, University College, Dublin</t>
  </si>
  <si>
    <t>2013-04-09</t>
  </si>
  <si>
    <t>1214411401:eng</t>
  </si>
  <si>
    <t>551906432</t>
  </si>
  <si>
    <t>ocn551906432</t>
  </si>
  <si>
    <t>3103457751A</t>
  </si>
  <si>
    <t>9781846822537</t>
  </si>
  <si>
    <t>794811848</t>
  </si>
  <si>
    <t>PQ4456 M46</t>
  </si>
  <si>
    <t>0                      PQ 4456000M  46</t>
  </si>
  <si>
    <t>Linguistica e retorica di Dante / Pier Vincenzo Mengaldo.</t>
  </si>
  <si>
    <t>Mengaldo, Pier Vincenzo.</t>
  </si>
  <si>
    <t>Pisa : Nistri-Lischi, 1978.</t>
  </si>
  <si>
    <t>Saggi di varia umanità ; nuova ser., 21</t>
  </si>
  <si>
    <t>16441573:ita</t>
  </si>
  <si>
    <t>5220607</t>
  </si>
  <si>
    <t>ocm05220607</t>
  </si>
  <si>
    <t>30004301622</t>
  </si>
  <si>
    <t>792416973</t>
  </si>
  <si>
    <t>PQ4456 N86 2007</t>
  </si>
  <si>
    <t>0                      PQ 4456000N  86          2007</t>
  </si>
  <si>
    <t>Nuove prospettive sulla tradizione della "Commedia" : una guida filologico-linguistica al poema dantesco / a cura di Paolo Trovato.</t>
  </si>
  <si>
    <t>Firenze : F. Cesati, 2007.</t>
  </si>
  <si>
    <t>Filologia e ordinatori ; 3</t>
  </si>
  <si>
    <t>2018-04-03</t>
  </si>
  <si>
    <t>890646555:ita</t>
  </si>
  <si>
    <t>154199488</t>
  </si>
  <si>
    <t>ocn154199488</t>
  </si>
  <si>
    <t>3102826074T</t>
  </si>
  <si>
    <t>9788876673337</t>
  </si>
  <si>
    <t>794251231</t>
  </si>
  <si>
    <t>PQ4456 P28 2015</t>
  </si>
  <si>
    <t>0                      PQ 4456000P  28          2015</t>
  </si>
  <si>
    <t>La grande bellezza dell'italiano : Dante, Petrarca, Boccaccio / Giuseppe Patota.</t>
  </si>
  <si>
    <t>Patota, Giuseppe, author.</t>
  </si>
  <si>
    <t>Roma : GLF editori Laterza, gennaio 2015.</t>
  </si>
  <si>
    <t>I Robinson/Letture</t>
  </si>
  <si>
    <t>2295428023:ita</t>
  </si>
  <si>
    <t>903207906</t>
  </si>
  <si>
    <t>ocn903207906</t>
  </si>
  <si>
    <t>3103621374E</t>
  </si>
  <si>
    <t>9788858117477</t>
  </si>
  <si>
    <t>794988859</t>
  </si>
  <si>
    <t>PQ4456 T317 A44 2011</t>
  </si>
  <si>
    <t>0                      PQ 4456000T  317                A  44          2011</t>
  </si>
  <si>
    <t>Dante's Tenzone with Forese Donati : the reprehension of vice / Fabian Alfie.</t>
  </si>
  <si>
    <t>Alfie, Fabian.</t>
  </si>
  <si>
    <t>Toronto : Buffalo : University of Toronto Press, ©2011.</t>
  </si>
  <si>
    <t>892032536:eng</t>
  </si>
  <si>
    <t>718183858</t>
  </si>
  <si>
    <t>ocn718183858</t>
  </si>
  <si>
    <t>3103326325G</t>
  </si>
  <si>
    <t>9781442642232</t>
  </si>
  <si>
    <t>794874318</t>
  </si>
  <si>
    <t>PQ4457 L35</t>
  </si>
  <si>
    <t>0                      PQ 4457000L  35</t>
  </si>
  <si>
    <t>From image to idea : a study of the simile in Dante's Commedia / Richard H. Lansing.</t>
  </si>
  <si>
    <t>Lansing, Richard H.</t>
  </si>
  <si>
    <t>Ravenna : Longo, [1977]</t>
  </si>
  <si>
    <t>L'Interprete ; 8</t>
  </si>
  <si>
    <t>2018-02-07</t>
  </si>
  <si>
    <t>424598934:eng</t>
  </si>
  <si>
    <t>3584362</t>
  </si>
  <si>
    <t>ocm03584362</t>
  </si>
  <si>
    <t>3100809070G</t>
  </si>
  <si>
    <t>792270502</t>
  </si>
  <si>
    <t>PQ4457 L38 2010</t>
  </si>
  <si>
    <t>0                      PQ 4457000L  38          2010</t>
  </si>
  <si>
    <t>Dalla parola al silenzio : la lingua dei diavoli nell'Inferno di Dante / Marco Lazzerini ; prefazione di Giorgio Bárberi Squarotti ; introduzione di Barbara Zandrino.</t>
  </si>
  <si>
    <t>Lazzerini, Marco.</t>
  </si>
  <si>
    <t>Roma : Fermenti, ©2010.</t>
  </si>
  <si>
    <t>Nuovi fermenti/Saggistica</t>
  </si>
  <si>
    <t>865538022:ita</t>
  </si>
  <si>
    <t>712111831</t>
  </si>
  <si>
    <t>ocn712111831</t>
  </si>
  <si>
    <t>3103125358Q</t>
  </si>
  <si>
    <t>9788889934982</t>
  </si>
  <si>
    <t>794871582</t>
  </si>
  <si>
    <t>PQ4464 G7 1975</t>
  </si>
  <si>
    <t>0                      PQ 4464000G  7           1975</t>
  </si>
  <si>
    <t>Companion to the Divine comedy / commentary by C.H. Grandgent as edited by Charles S. Singleton.</t>
  </si>
  <si>
    <t>Grandgent, C. H. (Charles Hall), 1862-1939.</t>
  </si>
  <si>
    <t>Cambridge, Mass. : Harvard University Press, 1975.</t>
  </si>
  <si>
    <t>2204009:eng</t>
  </si>
  <si>
    <t>1323608</t>
  </si>
  <si>
    <t>ocm01323608</t>
  </si>
  <si>
    <t>3101457013S</t>
  </si>
  <si>
    <t>9780674151758</t>
  </si>
  <si>
    <t>791599953</t>
  </si>
  <si>
    <t>2012-05-11</t>
  </si>
  <si>
    <t>3103378947Z</t>
  </si>
  <si>
    <t>791599952</t>
  </si>
  <si>
    <t>PQ4471 E5 L3 2010</t>
  </si>
  <si>
    <t>0                      PQ 4471000E  5                  L  3           2010</t>
  </si>
  <si>
    <t>Lamentatio Beate Virginis Marie = Pianto della Vergine / Enselmino da Montebelluna ; a cura di Alvise Andreose.</t>
  </si>
  <si>
    <t>Enselmino, da Montebelluna, active 13th century-14th century.</t>
  </si>
  <si>
    <t>Roma : Antenore, 2010.</t>
  </si>
  <si>
    <t>Medioevo e Rinascimento veneto ; 6</t>
  </si>
  <si>
    <t>782746630:ita</t>
  </si>
  <si>
    <t>701206991</t>
  </si>
  <si>
    <t>ocn701206991</t>
  </si>
  <si>
    <t>3103125349S</t>
  </si>
  <si>
    <t>9788884556509</t>
  </si>
  <si>
    <t>794862628</t>
  </si>
  <si>
    <t>PQ4471 F2 2016</t>
  </si>
  <si>
    <t>0                      PQ 4471000F  2           2016</t>
  </si>
  <si>
    <t>Rime / Pietro De' Faitinelli ; a cura di Benedetta Aldinucci.</t>
  </si>
  <si>
    <t>Faytínelli, Pietro de', author.</t>
  </si>
  <si>
    <t>Firenze : Accademia della crusca, 2016.</t>
  </si>
  <si>
    <t>Quaderni degli "Studi di filologia italiana" ; 17</t>
  </si>
  <si>
    <t>5090451881:ita</t>
  </si>
  <si>
    <t>981211125</t>
  </si>
  <si>
    <t>ocn981211125</t>
  </si>
  <si>
    <t>3103728302Y</t>
  </si>
  <si>
    <t>9788889369722</t>
  </si>
  <si>
    <t>795033947</t>
  </si>
  <si>
    <t>PQ4471 F3973 S76 2011</t>
  </si>
  <si>
    <t>0                      PQ 4471000F  3973               S  76          2011</t>
  </si>
  <si>
    <t>Dante e la paternità del Fiore / Pasquale Stoppelli.</t>
  </si>
  <si>
    <t>Stoppelli, Pasquale.</t>
  </si>
  <si>
    <t>Roma : Salerno, ©2011.</t>
  </si>
  <si>
    <t>Pubblicazioni del "Centro Pio Rajna." Quaderni della "Rivista di studi danteschi" ; 6</t>
  </si>
  <si>
    <t>900366740:ita</t>
  </si>
  <si>
    <t>724303779</t>
  </si>
  <si>
    <t>ocn724303779</t>
  </si>
  <si>
    <t>3103125424T</t>
  </si>
  <si>
    <t>9788884027245</t>
  </si>
  <si>
    <t>794876301</t>
  </si>
  <si>
    <t>PQ4471 F398 F56 1997</t>
  </si>
  <si>
    <t>0                      PQ 4471000F  398                F  56          1997</t>
  </si>
  <si>
    <t>The Fiore in context : Dante, France, Tuscany / edited by Zygmunt G. Barański and Patrick Boyde.</t>
  </si>
  <si>
    <t>Notre Dame [Ind.] : University of Notre Dame Press, ©1997.</t>
  </si>
  <si>
    <t>The William and Katherine Devers series in Dante studies ; v. 2</t>
  </si>
  <si>
    <t>837048344:eng</t>
  </si>
  <si>
    <t>33818826</t>
  </si>
  <si>
    <t>ocm33818826</t>
  </si>
  <si>
    <t>3101812432T</t>
  </si>
  <si>
    <t>9780268009939</t>
  </si>
  <si>
    <t>793411795</t>
  </si>
  <si>
    <t>PQ4471 F6 A3 2010</t>
  </si>
  <si>
    <t>0                      PQ 4471000F  6                  A  3           2010</t>
  </si>
  <si>
    <t>Couronnes et autres sonnets / Folgore da San Gimignano et Cenne da la Chitarra d'Arezzo ; édition critique et traduction de Sylvain Trousselard.</t>
  </si>
  <si>
    <t>Folgore, da San Gimignano, active 1309-1317.</t>
  </si>
  <si>
    <t>Paris : Classiques Garnier, ©2010.</t>
  </si>
  <si>
    <t>Textes littéraires du Moyen Âge ; 15. Série "Forme de lumière (Italies)" ; 1.</t>
  </si>
  <si>
    <t>8910731305:fre</t>
  </si>
  <si>
    <t>632164601</t>
  </si>
  <si>
    <t>ocn632164601</t>
  </si>
  <si>
    <t>3103302280X</t>
  </si>
  <si>
    <t>9782812401305</t>
  </si>
  <si>
    <t>794825129</t>
  </si>
  <si>
    <t>PQ4472 G5 A17 2002</t>
  </si>
  <si>
    <t>0                      PQ 4472000G  5                  A  17          2002</t>
  </si>
  <si>
    <t>Rime / Guido Guinizzelli ; a cura di Luciano Rossi.</t>
  </si>
  <si>
    <t>Guinizzelli, Guido, approximately 1230-1276.</t>
  </si>
  <si>
    <t>Torino : Einaudi, ©2002.</t>
  </si>
  <si>
    <t>Nuova raccolta di classici italiani annotati ; 17</t>
  </si>
  <si>
    <t>2016-11-18</t>
  </si>
  <si>
    <t>197436715:ita</t>
  </si>
  <si>
    <t>49697336</t>
  </si>
  <si>
    <t>ocm49697336</t>
  </si>
  <si>
    <t>3102246096E</t>
  </si>
  <si>
    <t>9788806152697</t>
  </si>
  <si>
    <t>793745833</t>
  </si>
  <si>
    <t>PQ4472 G7 R5 2010</t>
  </si>
  <si>
    <t>0                      PQ 4472000G  7                  R  5           2010</t>
  </si>
  <si>
    <t>Il canzoniere riccardiano di Guittone : Biblioteca riccardiana, Ricc. 2533 / a cura di Lino Leonardi.</t>
  </si>
  <si>
    <t>(text + CD-ROM)</t>
  </si>
  <si>
    <t>Guittone, d'Arezzo, -1294, author.</t>
  </si>
  <si>
    <t>Firenze : Edizioni del Galluzzo, 2010.</t>
  </si>
  <si>
    <t>Edizione nazionale I canzonieri della lirica italiana delle origini ; 5</t>
  </si>
  <si>
    <t>890733718:ita</t>
  </si>
  <si>
    <t>746157473</t>
  </si>
  <si>
    <t>ocn746157473</t>
  </si>
  <si>
    <t>3103125447P</t>
  </si>
  <si>
    <t>9788884503640</t>
  </si>
  <si>
    <t>794887003</t>
  </si>
  <si>
    <t>PQ4472 G7 Z65 2015</t>
  </si>
  <si>
    <t>0                      PQ 4472000G  7                  Z  65          2015</t>
  </si>
  <si>
    <t>Il filosofo e il poeta Guittone d'Arezzo / Antonio Gagliardi.</t>
  </si>
  <si>
    <t>Filosofia ; 122</t>
  </si>
  <si>
    <t>2893469213:ita</t>
  </si>
  <si>
    <t>922884848</t>
  </si>
  <si>
    <t>ocn922884848</t>
  </si>
  <si>
    <t>31036249970</t>
  </si>
  <si>
    <t>9788846742759</t>
  </si>
  <si>
    <t>795004182</t>
  </si>
  <si>
    <t>PQ4472 J3 M36 2016</t>
  </si>
  <si>
    <t>0                      PQ 4472000J  3                  M  36          2016</t>
  </si>
  <si>
    <t>Saggi e sondaggi iacoponici / Franco Mancini ; a cura di Enrico Menestò.</t>
  </si>
  <si>
    <t>Mancini, Franco, author.</t>
  </si>
  <si>
    <t>Spoleto : Fondazione Centro Italiano di Studi sull'Alto Medioevo, 2016.</t>
  </si>
  <si>
    <t>Opuscoli ; 3</t>
  </si>
  <si>
    <t>3930458337:ita</t>
  </si>
  <si>
    <t>962034242</t>
  </si>
  <si>
    <t>ocn962034242</t>
  </si>
  <si>
    <t>3103716156Z</t>
  </si>
  <si>
    <t>9788868091156</t>
  </si>
  <si>
    <t>795024120</t>
  </si>
  <si>
    <t>PQ4472 J3 M66 2006</t>
  </si>
  <si>
    <t>0                      PQ 4472000J  3                  M  66          2006</t>
  </si>
  <si>
    <t>Iacopone nell'Umbria del Due-Trecento : un'alternativa francescana / Antonio Montefusco.</t>
  </si>
  <si>
    <t>Montefusco, Antonio.</t>
  </si>
  <si>
    <t>Roma : Istituto storico dei Cappuccini, 2006.</t>
  </si>
  <si>
    <t>Bibliotheca seraphico-capuccina ; 78</t>
  </si>
  <si>
    <t>2017-09-29</t>
  </si>
  <si>
    <t>367578197:ita</t>
  </si>
  <si>
    <t>76826316</t>
  </si>
  <si>
    <t>ocm76826316</t>
  </si>
  <si>
    <t>31025509310</t>
  </si>
  <si>
    <t>9788888001340</t>
  </si>
  <si>
    <t>794177483</t>
  </si>
  <si>
    <t>PQ4472 J3 S85 1999</t>
  </si>
  <si>
    <t>0                      PQ 4472000J  3                  S  85          1999</t>
  </si>
  <si>
    <t>Iacopone da Todi : poesia, mistica, rivolta nell'Italia del Medioevo / Franco Suitner.</t>
  </si>
  <si>
    <t>Suitner, Franco.</t>
  </si>
  <si>
    <t>Roma : Donzelli editore, 1999.</t>
  </si>
  <si>
    <t>Universale ; 29</t>
  </si>
  <si>
    <t>344772664:ita</t>
  </si>
  <si>
    <t>43077887</t>
  </si>
  <si>
    <t>ocm43077887</t>
  </si>
  <si>
    <t>3102056263U</t>
  </si>
  <si>
    <t>9788879894807</t>
  </si>
  <si>
    <t>793619839</t>
  </si>
  <si>
    <t>PQ4472 L3 2015</t>
  </si>
  <si>
    <t>0                      PQ 4472000L  3           2015</t>
  </si>
  <si>
    <t>La Struzione della Tavola Ritonda = (i Cantari di Lancillotto) / a cura di Maria Bendinelli Predelli.</t>
  </si>
  <si>
    <t>Chantari di Lancellotto.</t>
  </si>
  <si>
    <t>Firenze : Società editrice fiorentina, [2015]</t>
  </si>
  <si>
    <t>roa</t>
  </si>
  <si>
    <t>Studi, 2035-4363 ; 17</t>
  </si>
  <si>
    <t>9658179623:roa</t>
  </si>
  <si>
    <t>910085361</t>
  </si>
  <si>
    <t>ocn910085361</t>
  </si>
  <si>
    <t>3103718384C</t>
  </si>
  <si>
    <t>9788860323323</t>
  </si>
  <si>
    <t>794995813</t>
  </si>
  <si>
    <t>PQ4473 C4</t>
  </si>
  <si>
    <t>0                      PQ 4473000C  4</t>
  </si>
  <si>
    <t>Brunetto Latini, l'uomo e l'opera.</t>
  </si>
  <si>
    <t>Ceva, Bianca.</t>
  </si>
  <si>
    <t>Milano, R. Ricciardi, 1965.</t>
  </si>
  <si>
    <t>344148914:ita</t>
  </si>
  <si>
    <t>181470</t>
  </si>
  <si>
    <t>ocm00181470</t>
  </si>
  <si>
    <t>3000608031I</t>
  </si>
  <si>
    <t>791284497</t>
  </si>
  <si>
    <t>PQ4474 O6 2012</t>
  </si>
  <si>
    <t>0                      PQ 4474000O  6           2012</t>
  </si>
  <si>
    <t>Rime / Bonagiunta Orbicciani da Lucca ; edizione critica e commento a cura di Aldo Menichetti.</t>
  </si>
  <si>
    <t>Orbicciani, Bonagiunta, active 13th century, author.</t>
  </si>
  <si>
    <t>Firenze : Edizioni del Galluzzo per la fondazione Ezio Franceschini, 2012.</t>
  </si>
  <si>
    <t>Archivio romanzo ; 24</t>
  </si>
  <si>
    <t>3375853749:ita</t>
  </si>
  <si>
    <t>826450374</t>
  </si>
  <si>
    <t>ocn826450374</t>
  </si>
  <si>
    <t>3103126112$</t>
  </si>
  <si>
    <t>9788884504524</t>
  </si>
  <si>
    <t>794939159</t>
  </si>
  <si>
    <t>PQ4475 A1 2005</t>
  </si>
  <si>
    <t>0                      PQ 4475000A  1           2005</t>
  </si>
  <si>
    <t>Petrarch in English / edited by Thomas P. Roche, Jr.</t>
  </si>
  <si>
    <t>Petrarca, Francesco, 1304-1374.</t>
  </si>
  <si>
    <t>London ; New York : Penguin Books, 2005.</t>
  </si>
  <si>
    <t>46243632:eng</t>
  </si>
  <si>
    <t>61702125</t>
  </si>
  <si>
    <t>ocm61702125</t>
  </si>
  <si>
    <t>3102555572L</t>
  </si>
  <si>
    <t>9780140434484</t>
  </si>
  <si>
    <t>794091323</t>
  </si>
  <si>
    <t>PQ4475 A3 1979</t>
  </si>
  <si>
    <t>0                      PQ 4475000A  3           1979</t>
  </si>
  <si>
    <t>Selected poems / Petrarch ; edited with introd., notes and vocabulary by T. Gwynfor Griffith and P.R.J. Hainsworth.</t>
  </si>
  <si>
    <t>Manchester [England] : Manchester University Press, 1979, ©1971.</t>
  </si>
  <si>
    <t>Italian texts</t>
  </si>
  <si>
    <t>3374485100:ita</t>
  </si>
  <si>
    <t>61534640</t>
  </si>
  <si>
    <t>ocm61534640</t>
  </si>
  <si>
    <t>30003063799</t>
  </si>
  <si>
    <t>793965942</t>
  </si>
  <si>
    <t>PQ4476 F O4</t>
  </si>
  <si>
    <t>0                      PQ 4476000                                                           F O4</t>
  </si>
  <si>
    <t>Le rime; secondo la revisione ultima del poeta, a cura di Giuseppe Salvo Cozzo.</t>
  </si>
  <si>
    <t>Firenze, Sanzoni, 1904.</t>
  </si>
  <si>
    <t>2015-04-12</t>
  </si>
  <si>
    <t>5573243369:ita</t>
  </si>
  <si>
    <t>978131243</t>
  </si>
  <si>
    <t>ocn978131243</t>
  </si>
  <si>
    <t>3000605930$</t>
  </si>
  <si>
    <t>795032900</t>
  </si>
  <si>
    <t>PQ4476 F46</t>
  </si>
  <si>
    <t>0                      PQ 4476000F  46</t>
  </si>
  <si>
    <t>Sonnets and songs / translated by Anna Maria Armi [i.e. A.M.M.P.G.C. Ascoli] ; introd. by Theodor E. Mommsen.</t>
  </si>
  <si>
    <t>New York : Grosset and Dunlap, [1968]</t>
  </si>
  <si>
    <t>Universal library ; UL225</t>
  </si>
  <si>
    <t>2007-03-11</t>
  </si>
  <si>
    <t>46146574:eng</t>
  </si>
  <si>
    <t>61578132</t>
  </si>
  <si>
    <t>ocm61578132</t>
  </si>
  <si>
    <t>3000250321A</t>
  </si>
  <si>
    <t>794013857</t>
  </si>
  <si>
    <t>30002503228</t>
  </si>
  <si>
    <t>794013856</t>
  </si>
  <si>
    <t>PQ4476 F58a</t>
  </si>
  <si>
    <t>0                      PQ 4476000F  58a</t>
  </si>
  <si>
    <t>Le rime / Francesco Petrarca.</t>
  </si>
  <si>
    <t>Firenze : Salani, 1958.</t>
  </si>
  <si>
    <t>I grandi classici</t>
  </si>
  <si>
    <t>2015-01-21</t>
  </si>
  <si>
    <t>9381235564:ita</t>
  </si>
  <si>
    <t>8515241</t>
  </si>
  <si>
    <t>ocm08515241</t>
  </si>
  <si>
    <t>3000609273Q</t>
  </si>
  <si>
    <t>792624641</t>
  </si>
  <si>
    <t>PQ4476 G04 2004</t>
  </si>
  <si>
    <t>0                      PQ 4476000G  04          2004</t>
  </si>
  <si>
    <t>Canzoniere : Rerum vulgarium fragmenta / Francesco Petrarca ; testo critico, nota al testo e saggio d'un commento di Gianfranco Contini.</t>
  </si>
  <si>
    <t>Alpignano : Tallone, 2004.</t>
  </si>
  <si>
    <t>4095579833:ita</t>
  </si>
  <si>
    <t>57360974</t>
  </si>
  <si>
    <t>ocm57360974</t>
  </si>
  <si>
    <t>3102798837D</t>
  </si>
  <si>
    <t>793911397</t>
  </si>
  <si>
    <t>PQ4476 G04 2004c</t>
  </si>
  <si>
    <t>0                      PQ 4476000G  04          2004c</t>
  </si>
  <si>
    <t>Canzoniere / Francesco Petrarca ; edizione commentata a cura di Marco Santagata.</t>
  </si>
  <si>
    <t>Milano : A. Mondadori, 2004.</t>
  </si>
  <si>
    <t>Nuova ed. aggiornata.</t>
  </si>
  <si>
    <t>2017-09-06</t>
  </si>
  <si>
    <t>285197647:ita</t>
  </si>
  <si>
    <t>54473769</t>
  </si>
  <si>
    <t>ocm54473769</t>
  </si>
  <si>
    <t>31032259630</t>
  </si>
  <si>
    <t>9788804523765</t>
  </si>
  <si>
    <t>793862524</t>
  </si>
  <si>
    <t>PQ4476 G05 2005</t>
  </si>
  <si>
    <t>0                      PQ 4476000G  05          2005</t>
  </si>
  <si>
    <t>Canzoniere : Rerum vulgarium fragmenta / Francesco Petrarca ; a cura di Rosanna Bettarini.</t>
  </si>
  <si>
    <t>Torino : Einaudi, 2005.</t>
  </si>
  <si>
    <t>Nuova raccolta di classici italiani annotati ; 20</t>
  </si>
  <si>
    <t>9490725710:ita</t>
  </si>
  <si>
    <t>60764210</t>
  </si>
  <si>
    <t>ocm60764210</t>
  </si>
  <si>
    <t>3102520700R</t>
  </si>
  <si>
    <t>9788806168896</t>
  </si>
  <si>
    <t>793943295</t>
  </si>
  <si>
    <t>3102520705R</t>
  </si>
  <si>
    <t>793943294</t>
  </si>
  <si>
    <t>PQ4476 Z7 B65 2014</t>
  </si>
  <si>
    <t>0                      PQ 4476000Z  7                  B  65          2014</t>
  </si>
  <si>
    <t>Risposte a nome di Madonna Laura : alle rime di messer Francesco Petrarca in vita della medesima / Pellegra Bongiovanni ; a cura di Tatiana Crivelli e Roberto Fedi.</t>
  </si>
  <si>
    <t>Bongiovanni, Pellegra, author.</t>
  </si>
  <si>
    <t>Roma : Editrice Antenore, MMXIV [2014]</t>
  </si>
  <si>
    <t>Studi sul Petrarca ; 43</t>
  </si>
  <si>
    <t>47947250:ita</t>
  </si>
  <si>
    <t>904449206</t>
  </si>
  <si>
    <t>ocn904449206</t>
  </si>
  <si>
    <t>3103628062Z</t>
  </si>
  <si>
    <t>9788884556882</t>
  </si>
  <si>
    <t>794990466</t>
  </si>
  <si>
    <t>PQ4476 Z7 C75 2016</t>
  </si>
  <si>
    <t>0                      PQ 4476000Z  7                  C  75          2016</t>
  </si>
  <si>
    <t>Francesco Petrarca / [a cura di] Loredana Chines.</t>
  </si>
  <si>
    <t>Petrarca, Francesco, 1304-1374, author.</t>
  </si>
  <si>
    <t>Bologna : Pàtron editore, ottobre 2016.</t>
  </si>
  <si>
    <t>Seconda edizione.</t>
  </si>
  <si>
    <t>Cultura umanistica e saperi moderni ; 10</t>
  </si>
  <si>
    <t>4927990553:ita</t>
  </si>
  <si>
    <t>964621327</t>
  </si>
  <si>
    <t>ocn964621327</t>
  </si>
  <si>
    <t>31037161518</t>
  </si>
  <si>
    <t>9788855533553</t>
  </si>
  <si>
    <t>795025343</t>
  </si>
  <si>
    <t>PQ4476 Z7 P3 1996</t>
  </si>
  <si>
    <t>0                      PQ 4476000Z  7                  P  3           1996</t>
  </si>
  <si>
    <t>Trionfi, Rime estravaganti, Codice degli abbozzi / Francesco Petrarca ; a cura di Vinicio Pacca, Laura Paolino ; introduzione di Marco Santagata.</t>
  </si>
  <si>
    <t>Milano : A. Mondadori, 1996.</t>
  </si>
  <si>
    <t>Opere italiane</t>
  </si>
  <si>
    <t>3856872153:ita</t>
  </si>
  <si>
    <t>38458194</t>
  </si>
  <si>
    <t>ocm38458194</t>
  </si>
  <si>
    <t>3102328329F</t>
  </si>
  <si>
    <t>9788804414025</t>
  </si>
  <si>
    <t>793524195</t>
  </si>
  <si>
    <t>PQ4476 Z7 R564 2011</t>
  </si>
  <si>
    <t>0                      PQ 4476000Z  7                  R  564         2011</t>
  </si>
  <si>
    <t>Petrarch : songs and sonnets / a reading by Nicholas Kilmer.</t>
  </si>
  <si>
    <t>London : Anvil Press Poetry, 2011.</t>
  </si>
  <si>
    <t>Enl. ed.</t>
  </si>
  <si>
    <t>Poetica ; 8</t>
  </si>
  <si>
    <t>8961152684:eng</t>
  </si>
  <si>
    <t>751831736</t>
  </si>
  <si>
    <t>ocn751831736</t>
  </si>
  <si>
    <t>3103472164$</t>
  </si>
  <si>
    <t>9780856464386</t>
  </si>
  <si>
    <t>794891216</t>
  </si>
  <si>
    <t>PQ4477 A1 1996</t>
  </si>
  <si>
    <t>0                      PQ 4477000A  1           1996</t>
  </si>
  <si>
    <t>Canzoniere / Francesco Petrarca ; edizione commentata a cura di Ugo Dotti.</t>
  </si>
  <si>
    <t>Roma : Donzelli, ©1996.</t>
  </si>
  <si>
    <t>Biblioteca ; 19</t>
  </si>
  <si>
    <t>2019-02-28</t>
  </si>
  <si>
    <t>36047271</t>
  </si>
  <si>
    <t>ocm36047271</t>
  </si>
  <si>
    <t>3101830758Y</t>
  </si>
  <si>
    <t>9788879892032</t>
  </si>
  <si>
    <t>793465030</t>
  </si>
  <si>
    <t>2009-01-21</t>
  </si>
  <si>
    <t>3101830726A</t>
  </si>
  <si>
    <t>793465029</t>
  </si>
  <si>
    <t>PQ4478 C44 2008</t>
  </si>
  <si>
    <t>0                      PQ 4478000C  44          2008</t>
  </si>
  <si>
    <t>Verso la chiusura : saggio sul Canzoniere di Petrarca / Paolo Cherchi.</t>
  </si>
  <si>
    <t>Cherchi, Paolo.</t>
  </si>
  <si>
    <t>Bologna : Mulino, ©2008.</t>
  </si>
  <si>
    <t>Saggi ; 686</t>
  </si>
  <si>
    <t>891864170:ita</t>
  </si>
  <si>
    <t>209327722</t>
  </si>
  <si>
    <t>ocn209327722</t>
  </si>
  <si>
    <t>31030379413</t>
  </si>
  <si>
    <t>9788815120250</t>
  </si>
  <si>
    <t>794305079</t>
  </si>
  <si>
    <t>PQ4478 H35 1988</t>
  </si>
  <si>
    <t>0                      PQ 4478000H  35          1988</t>
  </si>
  <si>
    <t>Petrarch the poet : an introduction to the Rerum vulgarium fragmenta / Peter Hainsworth.</t>
  </si>
  <si>
    <t>London ; New York : Routledge, 1988.</t>
  </si>
  <si>
    <t>2017-04-14</t>
  </si>
  <si>
    <t>16998076:eng</t>
  </si>
  <si>
    <t>17842351</t>
  </si>
  <si>
    <t>ocm17842351</t>
  </si>
  <si>
    <t>3100174814Q</t>
  </si>
  <si>
    <t>9780415002707</t>
  </si>
  <si>
    <t>793005009</t>
  </si>
  <si>
    <t>PQ4479 C36 2007</t>
  </si>
  <si>
    <t>0                      PQ 4479000C  36          2007</t>
  </si>
  <si>
    <t>Il Canzoniere : lettura micro e macrotestuale / a cura di Michelangelo Picone.</t>
  </si>
  <si>
    <t>Lectura Petrarcae Turicensis</t>
  </si>
  <si>
    <t>3698877607:ita</t>
  </si>
  <si>
    <t>82148703</t>
  </si>
  <si>
    <t>ocm82148703</t>
  </si>
  <si>
    <t>31028161224</t>
  </si>
  <si>
    <t>9788880635093</t>
  </si>
  <si>
    <t>794205088</t>
  </si>
  <si>
    <t>PQ4479 F55 2011</t>
  </si>
  <si>
    <t>0                      PQ 4479000F  55          2011</t>
  </si>
  <si>
    <t>Fusca claritas : la metafora nei Rerum vulgarium fragmenta di Francesco Petrarca / Silvia Finazzi.</t>
  </si>
  <si>
    <t>Finazzi, Silvia.</t>
  </si>
  <si>
    <t>Dulces musae ; 3</t>
  </si>
  <si>
    <t>8912655078:ita</t>
  </si>
  <si>
    <t>813909920</t>
  </si>
  <si>
    <t>ocn813909920</t>
  </si>
  <si>
    <t>3103125911G</t>
  </si>
  <si>
    <t>9788854840546</t>
  </si>
  <si>
    <t>794931895</t>
  </si>
  <si>
    <t>PQ4479 M35 2013</t>
  </si>
  <si>
    <t>0                      PQ 4479000M  35          2013</t>
  </si>
  <si>
    <t>Il nodo che-- me ritenne : riflessi intertestuali della Vita nuova di Dante nei Rerum vulgarium fragmenta di Petrarca / Alice Malzacher.</t>
  </si>
  <si>
    <t>Malzacher, Alice.</t>
  </si>
  <si>
    <t>Firenze : F. Cesati, ©2013.</t>
  </si>
  <si>
    <t>Strumenti di letteratura italiana ; 41</t>
  </si>
  <si>
    <t>1378897166:ita</t>
  </si>
  <si>
    <t>846460160</t>
  </si>
  <si>
    <t>ocn846460160</t>
  </si>
  <si>
    <t>31035334414</t>
  </si>
  <si>
    <t>9788876674471</t>
  </si>
  <si>
    <t>794949078</t>
  </si>
  <si>
    <t>PQ4479 M37 2011</t>
  </si>
  <si>
    <t>0                      PQ 4479000M  37          2011</t>
  </si>
  <si>
    <t>Petrarca platonico : studi sull'immaginario filosofico del canzoniere / Luca Marcozzi.</t>
  </si>
  <si>
    <t>Marcozzi, Luca.</t>
  </si>
  <si>
    <t>Dulces musae ; 4</t>
  </si>
  <si>
    <t>4037500789:ita</t>
  </si>
  <si>
    <t>744284148</t>
  </si>
  <si>
    <t>ocn744284148</t>
  </si>
  <si>
    <t>3103125493F</t>
  </si>
  <si>
    <t>9788854840874</t>
  </si>
  <si>
    <t>794885893</t>
  </si>
  <si>
    <t>PQ4479 P34 2016</t>
  </si>
  <si>
    <t>0                      PQ 4479000P  34          2016</t>
  </si>
  <si>
    <t>Petrarch's fragmenta : the narrative and theological unity of Rerum vulgarium fragmenta / Thomas E. Peterson.</t>
  </si>
  <si>
    <t>Peterson, Thomas E. (Thomas Erling), author.</t>
  </si>
  <si>
    <t>2906782146:eng</t>
  </si>
  <si>
    <t>936977955</t>
  </si>
  <si>
    <t>ocn936977955</t>
  </si>
  <si>
    <t>3103645708G</t>
  </si>
  <si>
    <t>9781487500023</t>
  </si>
  <si>
    <t>795010994</t>
  </si>
  <si>
    <t>PQ4479 P477 2007</t>
  </si>
  <si>
    <t>0                      PQ 4479000P  477         2007</t>
  </si>
  <si>
    <t>Petrarch in Britain : interpreters, imitators, and translators over 700 years / edited by Martin McLaughlin &amp; Letizia Panizza with Peter Hainsworth.</t>
  </si>
  <si>
    <t>Oxford, UK : Published for the British Academy by Oxford University Press, ©2007.</t>
  </si>
  <si>
    <t>Proceedings of the British Academy ; 146</t>
  </si>
  <si>
    <t>890959457:eng</t>
  </si>
  <si>
    <t>123797168</t>
  </si>
  <si>
    <t>ocn123797168</t>
  </si>
  <si>
    <t>3103687237W</t>
  </si>
  <si>
    <t>9780197264133</t>
  </si>
  <si>
    <t>794228192</t>
  </si>
  <si>
    <t>PQ4479 S69 1992</t>
  </si>
  <si>
    <t>0                      PQ 4479000S  69          1992</t>
  </si>
  <si>
    <t>Petrarch's laurels / Sara Sturm-Maddox.</t>
  </si>
  <si>
    <t>Sturm-Maddox, Sara.</t>
  </si>
  <si>
    <t>University Park, Pa. : Pennsylvania State University Press, ©1992.</t>
  </si>
  <si>
    <t>25058049:eng</t>
  </si>
  <si>
    <t>24107821</t>
  </si>
  <si>
    <t>ocm24107821</t>
  </si>
  <si>
    <t>3101218053C</t>
  </si>
  <si>
    <t>9780271008226</t>
  </si>
  <si>
    <t>793190008</t>
  </si>
  <si>
    <t>PQ4479 S7 1985</t>
  </si>
  <si>
    <t>0                      PQ 4479000S  7           1985</t>
  </si>
  <si>
    <t>Petrarch's metamorphoses : text and subtext in the Rime sparse / Sara Sturm-Maddox.</t>
  </si>
  <si>
    <t>Columbia : University of Missouri Press, 1985.</t>
  </si>
  <si>
    <t>3358801:eng</t>
  </si>
  <si>
    <t>10323844</t>
  </si>
  <si>
    <t>ocm10323844</t>
  </si>
  <si>
    <t>3000371109L</t>
  </si>
  <si>
    <t>9780826204493</t>
  </si>
  <si>
    <t>792720022</t>
  </si>
  <si>
    <t>PQ4480 A67 2014</t>
  </si>
  <si>
    <t>0                      PQ 4480000A  67          2014</t>
  </si>
  <si>
    <t>Approaches to teaching Petrarch's Canzoniere and the Petrarchan Tradition / edited by Christopher Kleinhenz and Andrea Dini.</t>
  </si>
  <si>
    <t>New York : The Modern Language Association of America, 2014.</t>
  </si>
  <si>
    <t>Approaches to teaching world literature, 1059-1133 ; 129</t>
  </si>
  <si>
    <t>1391813291:eng</t>
  </si>
  <si>
    <t>878953786</t>
  </si>
  <si>
    <t>ocn878953786</t>
  </si>
  <si>
    <t>3103567067I</t>
  </si>
  <si>
    <t>9781603291361</t>
  </si>
  <si>
    <t>794971686</t>
  </si>
  <si>
    <t>PQ4488 S396 2011</t>
  </si>
  <si>
    <t>0                      PQ 4488000S  396         2011</t>
  </si>
  <si>
    <t>Concordanze del Canzoniere di Francesco Petrarca / Giuseppe Savoca, Bartolo Calderone.</t>
  </si>
  <si>
    <t>und</t>
  </si>
  <si>
    <t>Strumenti di lessicografia letteraria italiana, 1122-0708 ; vol. 27</t>
  </si>
  <si>
    <t>1042350671:und</t>
  </si>
  <si>
    <t>746660242</t>
  </si>
  <si>
    <t>ocn746660242</t>
  </si>
  <si>
    <t>3103125562I</t>
  </si>
  <si>
    <t>9788822260864</t>
  </si>
  <si>
    <t>794887358</t>
  </si>
  <si>
    <t>3103125563I</t>
  </si>
  <si>
    <t>794887357</t>
  </si>
  <si>
    <t>PQ4490 A4 B52 1962</t>
  </si>
  <si>
    <t>0                      PQ 4490000A  4                  B  52          1962</t>
  </si>
  <si>
    <t>Petrarch, Scipio and the "Africa" : the birth of humanism's dream / by Aldo S. Bernardo.</t>
  </si>
  <si>
    <t>Bernardo, Aldo S.</t>
  </si>
  <si>
    <t>Baltimore : Johns Hopkins Press, 1962.</t>
  </si>
  <si>
    <t>2018-04-21</t>
  </si>
  <si>
    <t>2753684:eng</t>
  </si>
  <si>
    <t>1836630</t>
  </si>
  <si>
    <t>ocm01836630</t>
  </si>
  <si>
    <t>30007785583</t>
  </si>
  <si>
    <t>791996726</t>
  </si>
  <si>
    <t>PQ4490 A4 1926</t>
  </si>
  <si>
    <t>0                      PQ 4490000A  4           1926</t>
  </si>
  <si>
    <t>L'Africa / dc Franceso Petrarca ; edizione critica per cura di Nicolo Festa ; corredata di un ritratto e cinque tavole fuori testo.</t>
  </si>
  <si>
    <t>Firenze : Sansoni, [1926]</t>
  </si>
  <si>
    <t>1926</t>
  </si>
  <si>
    <t>Edizione nazionale delle opere di Francesco Petrarca ; 1</t>
  </si>
  <si>
    <t>1151690385:lat</t>
  </si>
  <si>
    <t>9105435</t>
  </si>
  <si>
    <t>ocm09105435</t>
  </si>
  <si>
    <t>3103621716C</t>
  </si>
  <si>
    <t>792657292</t>
  </si>
  <si>
    <t>PQ4490 E85 L48 2012</t>
  </si>
  <si>
    <t>0                      PQ 4490000E  85                 L  48          2012</t>
  </si>
  <si>
    <t>Lettere a Petrarca / traduzione e note a cura di Ugo Dotti.</t>
  </si>
  <si>
    <t>Torino : N. Aragno, ©2012.</t>
  </si>
  <si>
    <t>1209965268:lat</t>
  </si>
  <si>
    <t>828626476</t>
  </si>
  <si>
    <t>ocn828626476</t>
  </si>
  <si>
    <t>3103126200Z</t>
  </si>
  <si>
    <t>9788884195876</t>
  </si>
  <si>
    <t>794941404</t>
  </si>
  <si>
    <t>PQ4490 S313 2003</t>
  </si>
  <si>
    <t>0                      PQ 4490000S  313         2003</t>
  </si>
  <si>
    <t>The secret / by Francesco Petrarch ; edited with an introduction by Carol E. Quillen.</t>
  </si>
  <si>
    <t>Boston : Bedford/St. Martin's, ©2003.</t>
  </si>
  <si>
    <t>The Bedford series in history and culture</t>
  </si>
  <si>
    <t>2869537284:eng</t>
  </si>
  <si>
    <t>53336687</t>
  </si>
  <si>
    <t>ocm53336687</t>
  </si>
  <si>
    <t>3102505439K</t>
  </si>
  <si>
    <t>9780312154387</t>
  </si>
  <si>
    <t>793826661</t>
  </si>
  <si>
    <t>2015-11-02</t>
  </si>
  <si>
    <t>31029068897</t>
  </si>
  <si>
    <t>793826659</t>
  </si>
  <si>
    <t>2009-06-19</t>
  </si>
  <si>
    <t>3102505444I</t>
  </si>
  <si>
    <t>793826660</t>
  </si>
  <si>
    <t>PQ4490 V583 R85 2010</t>
  </si>
  <si>
    <t>0                      PQ 4490000V  583                R  85          2010</t>
  </si>
  <si>
    <t>La Vita Terrentii de Petrarca / Iñigo Ruiz Arzàlluz.</t>
  </si>
  <si>
    <t>Ruiz Arzalluz, Iñigo.</t>
  </si>
  <si>
    <t>Studi sul Petrarca / Ente nazionale Francesco Petrarca ; 39</t>
  </si>
  <si>
    <t>5218828705:spa</t>
  </si>
  <si>
    <t>662402595</t>
  </si>
  <si>
    <t>ocn662402595</t>
  </si>
  <si>
    <t>3103125160U</t>
  </si>
  <si>
    <t>9788884556479</t>
  </si>
  <si>
    <t>794837223</t>
  </si>
  <si>
    <t>PQ4495 E26 C37 2010</t>
  </si>
  <si>
    <t>0                      PQ 4495000E  26                 C  37          2010</t>
  </si>
  <si>
    <t>Libro senza titolo = [Liber sine nomine] / Francesco Petrarca ; traduzione e cura di Laura Casarsa ; introduzione di Ugo Dotti ; [testo critico di Paul Piur rivisto da Laura Casarsa].</t>
  </si>
  <si>
    <t>Torino : N. Aragno, 2010.</t>
  </si>
  <si>
    <t>2865514084:ita</t>
  </si>
  <si>
    <t>724302729</t>
  </si>
  <si>
    <t>ocn724302729</t>
  </si>
  <si>
    <t>3103125482H</t>
  </si>
  <si>
    <t>9788884194565</t>
  </si>
  <si>
    <t>794876289</t>
  </si>
  <si>
    <t>PQ4495 S3 F46 1992</t>
  </si>
  <si>
    <t>0                      PQ 4495000S  3                  F  46          1992</t>
  </si>
  <si>
    <t>Francisci Petrarcae Secretum = Il mio segreto / Francesco Petrarca ; a cura di Enrico Fenzi.</t>
  </si>
  <si>
    <t>Milano : Mursia, ©1992.</t>
  </si>
  <si>
    <t>GUM ; nuova serie ; 213</t>
  </si>
  <si>
    <t>2015-04-05</t>
  </si>
  <si>
    <t>8910570069:ita</t>
  </si>
  <si>
    <t>61556453</t>
  </si>
  <si>
    <t>ocm61556453</t>
  </si>
  <si>
    <t>31029068847</t>
  </si>
  <si>
    <t>9788842511342</t>
  </si>
  <si>
    <t>793989093</t>
  </si>
  <si>
    <t>PQ4496 E21 1985</t>
  </si>
  <si>
    <t>0                      PQ 4496000E  21          1985</t>
  </si>
  <si>
    <t>Selections from the Canzoniere and other works / Petrarch ; translated with an introduction and notes by Mark Musa.</t>
  </si>
  <si>
    <t>Oxford [Oxfordshire] ; New York : Oxford University Press, 1985.</t>
  </si>
  <si>
    <t>2018-12-02</t>
  </si>
  <si>
    <t>2863494596:eng</t>
  </si>
  <si>
    <t>11971793</t>
  </si>
  <si>
    <t>ocm11971793</t>
  </si>
  <si>
    <t>3000383074Z</t>
  </si>
  <si>
    <t>9780192817075</t>
  </si>
  <si>
    <t>792795531</t>
  </si>
  <si>
    <t>PQ4496 E21 2003</t>
  </si>
  <si>
    <t>0                      PQ 4496000E  21          2003</t>
  </si>
  <si>
    <t>Invectives / Francesco Petrarca ; edited and translated by David Marsh.</t>
  </si>
  <si>
    <t>Cambridge, Mass. : Harvard University Press, 2003.</t>
  </si>
  <si>
    <t>The I Tatti Renaissance library ; 11</t>
  </si>
  <si>
    <t>2017-11-02</t>
  </si>
  <si>
    <t>198121468:eng</t>
  </si>
  <si>
    <t>52773811</t>
  </si>
  <si>
    <t>ocm52773811</t>
  </si>
  <si>
    <t>3102717610U</t>
  </si>
  <si>
    <t>9780674011540</t>
  </si>
  <si>
    <t>793813760</t>
  </si>
  <si>
    <t>PQ4496 E21 2008</t>
  </si>
  <si>
    <t>0                      PQ 4496000E  21          2008</t>
  </si>
  <si>
    <t>Selections from the Canzoniere and other works / Petrarch ; translated and edited with an introduction and notes by Mark Musa.</t>
  </si>
  <si>
    <t>Oxford [Oxfordshire] ; New York : Oxford University Press, 2008.</t>
  </si>
  <si>
    <t>2018-12-08</t>
  </si>
  <si>
    <t>192027143</t>
  </si>
  <si>
    <t>ocn192027143</t>
  </si>
  <si>
    <t>31032903427</t>
  </si>
  <si>
    <t>9780199540693</t>
  </si>
  <si>
    <t>794302688</t>
  </si>
  <si>
    <t>PQ4496 E23 J66 2000</t>
  </si>
  <si>
    <t>0                      PQ 4496000E  23                 J  66          2000</t>
  </si>
  <si>
    <t>The Canzoniere : (Rerum vulgarium fragmenta) / Francesco Petrarca ; translated into English verse together with the original texts, introduction and notes by Frederic J. Jones.</t>
  </si>
  <si>
    <t>vol.1</t>
  </si>
  <si>
    <t>Market Harborough, Leics. : Troubador, ©2000-2001.</t>
  </si>
  <si>
    <t>4095579833:eng</t>
  </si>
  <si>
    <t>47637376</t>
  </si>
  <si>
    <t>ocm47637376</t>
  </si>
  <si>
    <t>31030071357</t>
  </si>
  <si>
    <t>9781899293124</t>
  </si>
  <si>
    <t>793704172</t>
  </si>
  <si>
    <t>PQ4496 E23 M6 2002</t>
  </si>
  <si>
    <t>0                      PQ 4496000E  23                 M  6           2002</t>
  </si>
  <si>
    <t>Canzoniere : selected poems / Petrarch ; translated with an introduction and notes by Anthony Mortimer.</t>
  </si>
  <si>
    <t>London : Penguin, 2002.</t>
  </si>
  <si>
    <t>2015-04-17</t>
  </si>
  <si>
    <t>2019-01-18</t>
  </si>
  <si>
    <t>2829813228:eng</t>
  </si>
  <si>
    <t>50271299</t>
  </si>
  <si>
    <t>ocm50271299</t>
  </si>
  <si>
    <t>31030594480</t>
  </si>
  <si>
    <t>9780140448160</t>
  </si>
  <si>
    <t>793759544</t>
  </si>
  <si>
    <t>3103059453Z</t>
  </si>
  <si>
    <t>793759543</t>
  </si>
  <si>
    <t>PQ4496 E23 M6 2005</t>
  </si>
  <si>
    <t>0                      PQ 4496000E  23                 M  6           2005</t>
  </si>
  <si>
    <t>Petrarch's Canzoniere in the English Renaissance / edited with introduction and notes by Anthony Mortimer.</t>
  </si>
  <si>
    <t>Amsterdam ; New York : Rodopi, 2005.</t>
  </si>
  <si>
    <t>Rev. and enl. ed.</t>
  </si>
  <si>
    <t>Internationale Forschungen zur allgemeinen und vergleichenden Literaturwissenschaft ; 88</t>
  </si>
  <si>
    <t>2015-04-13</t>
  </si>
  <si>
    <t>138937898:eng</t>
  </si>
  <si>
    <t>61193970</t>
  </si>
  <si>
    <t>ocm61193970</t>
  </si>
  <si>
    <t>31024875900</t>
  </si>
  <si>
    <t>9789042016767</t>
  </si>
  <si>
    <t>793948410</t>
  </si>
  <si>
    <t>PQ4496 E23 M8 1996</t>
  </si>
  <si>
    <t>0                      PQ 4496000E  23                 M  8           1996</t>
  </si>
  <si>
    <t>Petrarch : the Canzoniere, or Rerum vulgarium fragmenta / [Francesco Petrarca] ; translated into verse with notes and commentary by Mark Musa ; introduction by Mark Musa and Barbara Manfredi.</t>
  </si>
  <si>
    <t>Bloomington, Ind. : Indiana University Press, 1996.</t>
  </si>
  <si>
    <t>2017-05-28</t>
  </si>
  <si>
    <t>2800070580:eng</t>
  </si>
  <si>
    <t>428068484</t>
  </si>
  <si>
    <t>ocn428068484</t>
  </si>
  <si>
    <t>3101572212S</t>
  </si>
  <si>
    <t>MISSING</t>
  </si>
  <si>
    <t>9780253339447</t>
  </si>
  <si>
    <t>794762274</t>
  </si>
  <si>
    <t>PQ4496 E25 1962</t>
  </si>
  <si>
    <t>0                      PQ 4496000E  25          1962</t>
  </si>
  <si>
    <t>The triumphs of Petrarch / translated by Ernest Hatch Wilkins ; drawings by Virgil Burnett.</t>
  </si>
  <si>
    <t>Chicago [Ill.] : University of Chicago Press, 1962.</t>
  </si>
  <si>
    <t>4535592501:eng</t>
  </si>
  <si>
    <t>345296</t>
  </si>
  <si>
    <t>ocm00345296</t>
  </si>
  <si>
    <t>3103022235E</t>
  </si>
  <si>
    <t>791344808</t>
  </si>
  <si>
    <t>2008-08-11</t>
  </si>
  <si>
    <t>30004512872</t>
  </si>
  <si>
    <t>791344807</t>
  </si>
  <si>
    <t>PQ4496 E25 1971</t>
  </si>
  <si>
    <t>0                      PQ 4496000E  25          1971</t>
  </si>
  <si>
    <t>Lord Morley's Tryumphes of Fraunces Petrarcke; the first English translation of the Trionfi. Edited by D.D. Carnicelli.</t>
  </si>
  <si>
    <t>Cambridge, Mass., Harvard University Press, 1971.</t>
  </si>
  <si>
    <t>209274</t>
  </si>
  <si>
    <t>ocm00209274</t>
  </si>
  <si>
    <t>3000608041F</t>
  </si>
  <si>
    <t>9780674539167</t>
  </si>
  <si>
    <t>791294298</t>
  </si>
  <si>
    <t>PQ4496 E29 B83 1974</t>
  </si>
  <si>
    <t>0                      PQ 4496000E  29                 B  83          1974</t>
  </si>
  <si>
    <t>Petrarch's Bucolicum carmen / translated and annotated by Thomas G. Bergin ; with ill. by Deane Keller.</t>
  </si>
  <si>
    <t>New Haven : Yale University Press, 1974.</t>
  </si>
  <si>
    <t>2016-08-05</t>
  </si>
  <si>
    <t>349972630:eng</t>
  </si>
  <si>
    <t>1094784</t>
  </si>
  <si>
    <t>ocm01094784</t>
  </si>
  <si>
    <t>3100245211P</t>
  </si>
  <si>
    <t>9780300017243</t>
  </si>
  <si>
    <t>791545315</t>
  </si>
  <si>
    <t>2006-11-16</t>
  </si>
  <si>
    <t>3000412385L</t>
  </si>
  <si>
    <t>791545314</t>
  </si>
  <si>
    <t>PQ4496 E29 D413 1991</t>
  </si>
  <si>
    <t>0                      PQ 4496000E  29                 D  413         1991</t>
  </si>
  <si>
    <t>Petrarch's Remedies for fortune fair and foul : a modern English translation of De remediis utriusque fortune, with a commentary / by Conrad H. Rawski.</t>
  </si>
  <si>
    <t>Bloomington : Indiana University Press, ©1991.</t>
  </si>
  <si>
    <t>2008-11-26</t>
  </si>
  <si>
    <t>2908568345:eng</t>
  </si>
  <si>
    <t>21197888</t>
  </si>
  <si>
    <t>ocm21197888</t>
  </si>
  <si>
    <t>3101143992H</t>
  </si>
  <si>
    <t>9780253348449</t>
  </si>
  <si>
    <t>793112253</t>
  </si>
  <si>
    <t>3101143991J</t>
  </si>
  <si>
    <t>793112255</t>
  </si>
  <si>
    <t>3103009082T</t>
  </si>
  <si>
    <t>793112256</t>
  </si>
  <si>
    <t>3101143983I</t>
  </si>
  <si>
    <t>793112252</t>
  </si>
  <si>
    <t>2013-03-27</t>
  </si>
  <si>
    <t>3101143993F</t>
  </si>
  <si>
    <t>793112254</t>
  </si>
  <si>
    <t>PQ4496 E29 D9 1978</t>
  </si>
  <si>
    <t>0                      PQ 4496000E  29                 D  9           1978</t>
  </si>
  <si>
    <t>The life of solitude / by Francis Petrarch ; translated with introd. and notes by Jacob Zeitlin.</t>
  </si>
  <si>
    <t>Westport, Conn. : Hyperion Press, 1978, ©1924.</t>
  </si>
  <si>
    <t>Hyperion reprint ed.</t>
  </si>
  <si>
    <t>The Hyperion library of world literature</t>
  </si>
  <si>
    <t>2018-08-17</t>
  </si>
  <si>
    <t>1987142:eng</t>
  </si>
  <si>
    <t>3415358</t>
  </si>
  <si>
    <t>ocm03415358</t>
  </si>
  <si>
    <t>3102738705F</t>
  </si>
  <si>
    <t>9780883555941</t>
  </si>
  <si>
    <t>792253129</t>
  </si>
  <si>
    <t>PQ4496 E29 E21 2017</t>
  </si>
  <si>
    <t>0                      PQ 4496000E  29                 E  21          2017</t>
  </si>
  <si>
    <t>Selected letters / Francesco Petrarca ; translated by Elaine Fantham.</t>
  </si>
  <si>
    <t>Cambridge, Massachusetts : Harvard University Press, 2017.</t>
  </si>
  <si>
    <t>The I Tatti Renaissance library ; 76, 77</t>
  </si>
  <si>
    <t>2018-06-01</t>
  </si>
  <si>
    <t>2018-07-05</t>
  </si>
  <si>
    <t>4915285751:eng</t>
  </si>
  <si>
    <t>946906964</t>
  </si>
  <si>
    <t>ocn946906964</t>
  </si>
  <si>
    <t>3103698544C</t>
  </si>
  <si>
    <t>9780674058347</t>
  </si>
  <si>
    <t>795014891</t>
  </si>
  <si>
    <t>3103698560E</t>
  </si>
  <si>
    <t>795014890</t>
  </si>
  <si>
    <t>PQ4496 E29 E23 1975</t>
  </si>
  <si>
    <t>0                      PQ 4496000E  29                 E  23          1975</t>
  </si>
  <si>
    <t>Rerum familiarium libri / Francesco Petrarca ; translated by Aldo S. Bernardo.</t>
  </si>
  <si>
    <t>Albany : State University of New York Press, 1975-&lt;1985&gt;</t>
  </si>
  <si>
    <t>4820457810:eng</t>
  </si>
  <si>
    <t>1230521</t>
  </si>
  <si>
    <t>ocm01230521</t>
  </si>
  <si>
    <t>31032247914</t>
  </si>
  <si>
    <t>9780873952958</t>
  </si>
  <si>
    <t>791578697</t>
  </si>
  <si>
    <t>2017-02-01</t>
  </si>
  <si>
    <t>3100809054E</t>
  </si>
  <si>
    <t>791578696</t>
  </si>
  <si>
    <t>PQ4496 E29 E23 2005</t>
  </si>
  <si>
    <t>0                      PQ 4496000E  29                 E  23          2005</t>
  </si>
  <si>
    <t>Letters on familiar matters = Rerum familiarium libri / Francesco Petrarch ; translated by Aldo S. Bernardo.</t>
  </si>
  <si>
    <t>New York : Italica Press, ©2005.</t>
  </si>
  <si>
    <t>2017-05-10</t>
  </si>
  <si>
    <t>4714397899:eng</t>
  </si>
  <si>
    <t>62888034</t>
  </si>
  <si>
    <t>ocm62888034</t>
  </si>
  <si>
    <t>31035819695</t>
  </si>
  <si>
    <t>9781599100005</t>
  </si>
  <si>
    <t>794113560</t>
  </si>
  <si>
    <t>31035819645</t>
  </si>
  <si>
    <t>794113561</t>
  </si>
  <si>
    <t>2015-05-12</t>
  </si>
  <si>
    <t>31035819597</t>
  </si>
  <si>
    <t>794113562</t>
  </si>
  <si>
    <t>PQ4496 E29 E23 2006</t>
  </si>
  <si>
    <t>0                      PQ 4496000E  29                 E  23          2006</t>
  </si>
  <si>
    <t>Petrarch's Ascent of Mount Ventoux : the Familiaris IV, I / Rodney John Lokaj.</t>
  </si>
  <si>
    <t>Roma : Edizioni dell'Ateneo, 2006.</t>
  </si>
  <si>
    <t>New commented ed.</t>
  </si>
  <si>
    <t>Scriptores latini ; 23</t>
  </si>
  <si>
    <t>2016-02-11</t>
  </si>
  <si>
    <t>47947427:eng</t>
  </si>
  <si>
    <t>83594995</t>
  </si>
  <si>
    <t>ocm83594995</t>
  </si>
  <si>
    <t>31028062188</t>
  </si>
  <si>
    <t>9788884760289</t>
  </si>
  <si>
    <t>794208767</t>
  </si>
  <si>
    <t>PQ4496 E29 I75 2002</t>
  </si>
  <si>
    <t>0                      PQ 4496000E  29                 I  75          2002</t>
  </si>
  <si>
    <t>Petrarch's guide to the Holy Land : Itinerary to the Sepulcher of Our Lord Jesus Christ = Itinerarium ad sepulchrum domini nostri Yehsu Christi : facsimile edition of Cremona, Biblioteca statale, Deposito libreria civica, manuscript BB. 1.2.5. / with an introductory essay, translation, and notes by Theodore J. Cachey, Jr.</t>
  </si>
  <si>
    <t>Notre Dame, Ind. : University of Notre Dame Press, ©2002.</t>
  </si>
  <si>
    <t>5946332:eng</t>
  </si>
  <si>
    <t>50251926</t>
  </si>
  <si>
    <t>ocm50251926</t>
  </si>
  <si>
    <t>31023283745</t>
  </si>
  <si>
    <t>9780268038731</t>
  </si>
  <si>
    <t>793758930</t>
  </si>
  <si>
    <t>PQ4496 E29 S33 1975</t>
  </si>
  <si>
    <t>0                      PQ 4496000E  29                 S  33          1975</t>
  </si>
  <si>
    <t>Petrarch's Secret : or, The soul's conflict with passion ; three dialogues between himself and S. Augustine. / translated from the Latin by William H. Draper.</t>
  </si>
  <si>
    <t>[Norwood, Pa.] : Norwood Editions, 1975.</t>
  </si>
  <si>
    <t>2016-04-08</t>
  </si>
  <si>
    <t>2908424302:eng</t>
  </si>
  <si>
    <t>1892545</t>
  </si>
  <si>
    <t>ocm01892545</t>
  </si>
  <si>
    <t>3103379981N</t>
  </si>
  <si>
    <t>792006863</t>
  </si>
  <si>
    <t>PQ4496 E29 S33 2016</t>
  </si>
  <si>
    <t>0                      PQ 4496000E  29                 S  33          2016</t>
  </si>
  <si>
    <t>My secret book / Francesco Petrarca ; edited and translated by Nicholas Mann.</t>
  </si>
  <si>
    <t>Cambridge, Massachusetts : Harvard University Press, 2016.</t>
  </si>
  <si>
    <t>The I Tatti Renaissance library ; 72</t>
  </si>
  <si>
    <t>2908650673:eng</t>
  </si>
  <si>
    <t>922970880</t>
  </si>
  <si>
    <t>ocn922970880</t>
  </si>
  <si>
    <t>31036542410</t>
  </si>
  <si>
    <t>9780674003460</t>
  </si>
  <si>
    <t>795004409</t>
  </si>
  <si>
    <t>PQ4496 E39 E23 1992</t>
  </si>
  <si>
    <t>0                      PQ 4496000E  39                 E  23          1992</t>
  </si>
  <si>
    <t>Letters of old age = Rerum senilium libri I-XVIII / Francis Petrarch ; translated by Aldo S. Bernardo, Saul Levin, and Reta A. Bernardo.</t>
  </si>
  <si>
    <t>Baltimore : Johns Hopkins University Press, ©1992.</t>
  </si>
  <si>
    <t>9937353927:eng</t>
  </si>
  <si>
    <t>23902132</t>
  </si>
  <si>
    <t>ocm23902132</t>
  </si>
  <si>
    <t>3101217695E</t>
  </si>
  <si>
    <t>9780801842122</t>
  </si>
  <si>
    <t>793184678</t>
  </si>
  <si>
    <t>PQ4504 F74</t>
  </si>
  <si>
    <t>0                      PQ 4504000F  74</t>
  </si>
  <si>
    <t>Francis Petrarch, six centuries later : a symposium / edited by Aldo Scaglione.</t>
  </si>
  <si>
    <t>Chapel Hill : Dept. of Romance Languages, University of North Carolina ; [Portland, Or.] : [Distributed by International Scholarly Book Service], 1975.</t>
  </si>
  <si>
    <t>North Carolina studies in the Romance languages and literatures: Symposia ; 3</t>
  </si>
  <si>
    <t>2019-03-14</t>
  </si>
  <si>
    <t>365407065:eng</t>
  </si>
  <si>
    <t>1256959</t>
  </si>
  <si>
    <t>ocm01256959</t>
  </si>
  <si>
    <t>30004354169</t>
  </si>
  <si>
    <t>9780884389538</t>
  </si>
  <si>
    <t>791585060</t>
  </si>
  <si>
    <t>PQ4505 C15 2015</t>
  </si>
  <si>
    <t>0                      PQ 4505000C  15          2015</t>
  </si>
  <si>
    <t>The Cambridge companion to Petrarch / edited by Albert Russell Ascoli and Unn Falkeid.</t>
  </si>
  <si>
    <t>Cambridge : Cambridge University Press, 2015.</t>
  </si>
  <si>
    <t>Cambridge companions to authors</t>
  </si>
  <si>
    <t>2788391875:eng</t>
  </si>
  <si>
    <t>914221316</t>
  </si>
  <si>
    <t>ocn914221316</t>
  </si>
  <si>
    <t>31036087768</t>
  </si>
  <si>
    <t>9781107006140</t>
  </si>
  <si>
    <t>794999950</t>
  </si>
  <si>
    <t>PQ4505 C45 2017</t>
  </si>
  <si>
    <t>0                      PQ 4505000C  45          2017</t>
  </si>
  <si>
    <t>Petrarch : Everywhere a Wanderer / Christopher S. Celenza.</t>
  </si>
  <si>
    <t>Celenza, Christopher S., 1967- author.</t>
  </si>
  <si>
    <t>London, UK : Reaktion Books, 2017.</t>
  </si>
  <si>
    <t>Renaissance lives series</t>
  </si>
  <si>
    <t>4143844514:eng</t>
  </si>
  <si>
    <t>979568303</t>
  </si>
  <si>
    <t>ocn979568303</t>
  </si>
  <si>
    <t>3103740075A</t>
  </si>
  <si>
    <t>9781780238388</t>
  </si>
  <si>
    <t>795033538</t>
  </si>
  <si>
    <t>PQ4505 H7 1972</t>
  </si>
  <si>
    <t>0                      PQ 4505000H  7           1972</t>
  </si>
  <si>
    <t>Petrarch: his life and times.</t>
  </si>
  <si>
    <t>Hollway-Calthrop, H. C. (Henry Calthrop)</t>
  </si>
  <si>
    <t>New York, Cooper Square Publishers, 1972.</t>
  </si>
  <si>
    <t>2015-10-13</t>
  </si>
  <si>
    <t>1504003:eng</t>
  </si>
  <si>
    <t>348288</t>
  </si>
  <si>
    <t>ocm00348288</t>
  </si>
  <si>
    <t>3103447945B</t>
  </si>
  <si>
    <t>9780815404064</t>
  </si>
  <si>
    <t>791345912</t>
  </si>
  <si>
    <t>PQ4505 J4</t>
  </si>
  <si>
    <t>0                      PQ 4505000J  4</t>
  </si>
  <si>
    <t>Francesco Petrarca : poet and humanist / by Maud F. Jerrold.</t>
  </si>
  <si>
    <t>Jerrold, Maud F.</t>
  </si>
  <si>
    <t>London : J.M. Dent ; New York : E.P. Dutton, 1909.</t>
  </si>
  <si>
    <t>1195018:eng</t>
  </si>
  <si>
    <t>41455383</t>
  </si>
  <si>
    <t>ocm41455383</t>
  </si>
  <si>
    <t>3000783010X</t>
  </si>
  <si>
    <t>793591994</t>
  </si>
  <si>
    <t>PQ4505 W5 1961</t>
  </si>
  <si>
    <t>0                      PQ 4505000W  5           1961</t>
  </si>
  <si>
    <t>Life of Petrarch.</t>
  </si>
  <si>
    <t>2018-05-22</t>
  </si>
  <si>
    <t>7829388:eng</t>
  </si>
  <si>
    <t>343931</t>
  </si>
  <si>
    <t>ocm00343931</t>
  </si>
  <si>
    <t>3102929938T</t>
  </si>
  <si>
    <t>791344331</t>
  </si>
  <si>
    <t>2017-07-12</t>
  </si>
  <si>
    <t>3102929795N</t>
  </si>
  <si>
    <t>791344330</t>
  </si>
  <si>
    <t>3100590068F</t>
  </si>
  <si>
    <t>791344332</t>
  </si>
  <si>
    <t>PQ4507 A23 R44 2014</t>
  </si>
  <si>
    <t>0                      PQ 4507000A  23                 R  44          2014</t>
  </si>
  <si>
    <t>I fragmenta dell'epistola Ad posteritatem di Francesco Petrarca / Laura Refe.</t>
  </si>
  <si>
    <t>Refe, Laura, author, editor, translator.</t>
  </si>
  <si>
    <t>Messina : Università degli Studi di Messina, Centro internazionale di studi umanistici, [2014]</t>
  </si>
  <si>
    <t>Peculiares</t>
  </si>
  <si>
    <t>9936897775:ita</t>
  </si>
  <si>
    <t>934435499</t>
  </si>
  <si>
    <t>ocn934435499</t>
  </si>
  <si>
    <t>31036630352</t>
  </si>
  <si>
    <t>9788887541571</t>
  </si>
  <si>
    <t>795009572</t>
  </si>
  <si>
    <t>PQ4518 T67 2011</t>
  </si>
  <si>
    <t>0                      PQ 4518000T  67          2011</t>
  </si>
  <si>
    <t>Petrarca : paesaggi, città, architetture / Carlo Tosco.</t>
  </si>
  <si>
    <t>Tosco, Carlo, 1963-</t>
  </si>
  <si>
    <t>Macerata : Quodlibet, 2011.</t>
  </si>
  <si>
    <t>Città e paesaggio</t>
  </si>
  <si>
    <t>1078087728:ita</t>
  </si>
  <si>
    <t>775411066</t>
  </si>
  <si>
    <t>ocn775411066</t>
  </si>
  <si>
    <t>3103125668F</t>
  </si>
  <si>
    <t>9788874624218</t>
  </si>
  <si>
    <t>794907424</t>
  </si>
  <si>
    <t>PQ4519 M5 W5</t>
  </si>
  <si>
    <t>0                      PQ 4519000M  5                  W  5</t>
  </si>
  <si>
    <t>Petrarch's eight years in Milan.</t>
  </si>
  <si>
    <t>Cambridge, Mass., Mediaeval Academy of America, 1958.</t>
  </si>
  <si>
    <t>Mediaeval Academy of America. Publication no. 69</t>
  </si>
  <si>
    <t>1500026:eng</t>
  </si>
  <si>
    <t>347537</t>
  </si>
  <si>
    <t>ocm00347537</t>
  </si>
  <si>
    <t>3000770590A</t>
  </si>
  <si>
    <t>9780910956437</t>
  </si>
  <si>
    <t>791345640</t>
  </si>
  <si>
    <t>PQ4535 E8 P48 2006</t>
  </si>
  <si>
    <t>0                      PQ 4535000E  8                  P  48          2006</t>
  </si>
  <si>
    <t>Il petrarchismo : un modello di poesia per l'Europa.</t>
  </si>
  <si>
    <t>Roma : Bulzoni, ©2006.</t>
  </si>
  <si>
    <t>Biblioteca del Cinquecento ; 128</t>
  </si>
  <si>
    <t>351951091:ita</t>
  </si>
  <si>
    <t>133430759</t>
  </si>
  <si>
    <t>ocn133430759</t>
  </si>
  <si>
    <t>31027817970</t>
  </si>
  <si>
    <t>9788878701816</t>
  </si>
  <si>
    <t>794232297</t>
  </si>
  <si>
    <t>31027817920</t>
  </si>
  <si>
    <t>794232296</t>
  </si>
  <si>
    <t>PQ4535 F67 2011</t>
  </si>
  <si>
    <t>0                      PQ 4535000F  67          2011</t>
  </si>
  <si>
    <t>Pluralità del petrarchismo / Giorgio Forni.</t>
  </si>
  <si>
    <t>Forni, Giorgio.</t>
  </si>
  <si>
    <t>Pisa : Pacini editore, [2011]</t>
  </si>
  <si>
    <t>Saggi critici ; 54</t>
  </si>
  <si>
    <t>5219001862:ita</t>
  </si>
  <si>
    <t>822016494</t>
  </si>
  <si>
    <t>ocn822016494</t>
  </si>
  <si>
    <t>3103126070R</t>
  </si>
  <si>
    <t>9788863153026</t>
  </si>
  <si>
    <t>794936289</t>
  </si>
  <si>
    <t>PQ4537 E5 M5 1980</t>
  </si>
  <si>
    <t>0                      PQ 4537000E  5                  M  5           1980</t>
  </si>
  <si>
    <t>Petrarch and Petrarchism : the English and French traditions / Stephen Minta.</t>
  </si>
  <si>
    <t>Minta, Stephen.</t>
  </si>
  <si>
    <t>Manchester [England] : Manchester University Press ; Totowa, N.J. : Barnes &amp; Noble, 1980.</t>
  </si>
  <si>
    <t>2016-04-18</t>
  </si>
  <si>
    <t>257207155:eng</t>
  </si>
  <si>
    <t>6761963</t>
  </si>
  <si>
    <t>ocm06761963</t>
  </si>
  <si>
    <t>31030638693</t>
  </si>
  <si>
    <t>9780719007453</t>
  </si>
  <si>
    <t>792521863</t>
  </si>
  <si>
    <t>PQ4537 E5 Z823 2008</t>
  </si>
  <si>
    <t>0                      PQ 4537000E  5                  Z  823         2008</t>
  </si>
  <si>
    <t>Petrarch in romantic England / Edoardo Zuccato.</t>
  </si>
  <si>
    <t>Zuccato, Edoardo.</t>
  </si>
  <si>
    <t>Houndmills, Basingstoke, Hampshire [England] ; New York : Palgrave Macmillan, 2008.</t>
  </si>
  <si>
    <t>119917408:eng</t>
  </si>
  <si>
    <t>213408629</t>
  </si>
  <si>
    <t>ocn213408629</t>
  </si>
  <si>
    <t>31028531000</t>
  </si>
  <si>
    <t>9780230542600</t>
  </si>
  <si>
    <t>794308130</t>
  </si>
  <si>
    <t>PQ4537 F7 D87 1997</t>
  </si>
  <si>
    <t>0                      PQ 4537000F  7                  D  87          1997</t>
  </si>
  <si>
    <t>L'or des mots : une lecture de Pétrarque et du mythe littéraire de Vaucluse des origines à l'orée du XXe siècle : histoire du pétrarquisme en France / Ève Duperray.</t>
  </si>
  <si>
    <t>Duperray, Ève.</t>
  </si>
  <si>
    <t>Paris : Publications de la Sorbonne, 1997.</t>
  </si>
  <si>
    <t>Histoire moderne, 0761-523X ; 35</t>
  </si>
  <si>
    <t>2016-09-19</t>
  </si>
  <si>
    <t>364075019:fre</t>
  </si>
  <si>
    <t>38056263</t>
  </si>
  <si>
    <t>ocm38056263</t>
  </si>
  <si>
    <t>31018709388</t>
  </si>
  <si>
    <t>9782859442965</t>
  </si>
  <si>
    <t>793514058</t>
  </si>
  <si>
    <t>PQ4537 F7 P64 2004</t>
  </si>
  <si>
    <t>0                      PQ 4537000F  7                  P  64          2004</t>
  </si>
  <si>
    <t>Les poètes français de la Renaissance et Pétrarque / études réunies par Jean Balsamo ; envoi par Jean Barbier-Mueller ; avant-propos par Michel Jeanneret.</t>
  </si>
  <si>
    <t>Genève : Droz, 2004.</t>
  </si>
  <si>
    <t>Travaux d'humanisme et Renaissance, 0082-6081 ; no 394. Textes et travaux de la Fondation Barbier-Mueller pour l'etude de la poésie italienne de la Renaissance ; no 1</t>
  </si>
  <si>
    <t>2019-09-09</t>
  </si>
  <si>
    <t>181341962:fre</t>
  </si>
  <si>
    <t>56933344</t>
  </si>
  <si>
    <t>ocm56933344</t>
  </si>
  <si>
    <t>3102428239A</t>
  </si>
  <si>
    <t>9782600009478</t>
  </si>
  <si>
    <t>793904364</t>
  </si>
  <si>
    <t>PQ4537 G4 S56 2004</t>
  </si>
  <si>
    <t>0                      PQ 4537000G  4                  S  56          2004</t>
  </si>
  <si>
    <t>Francesco Petrarca, 1304-1374 : atti del XXVI simposio internazionale di studi italo-tedeschi "Francesco Petrarca nel 700° Anniversario della Nascita" / [edizione curata dall'Accademia di studi italo-tedeschi sotto la direzione di Ivo de Gennaro e Roberto Cotteri] = Akten des XXVI. Internationalen Symposiums deutsch-italienischer Studien "Francesco Petrarca zur 700. Wiederkehr des Geburtstages / [herausgegeben von der Akademie Deutsch-Italienischer Studien unter der Leitung von Ivo de Gennaro e Roberto Cotteri].</t>
  </si>
  <si>
    <t>Simposio internazionale di studi italo-tedeschi (26th : 2004 : Merano, Italy)</t>
  </si>
  <si>
    <t>Merano : Accademia di studi italo-tedeschi, 2011.</t>
  </si>
  <si>
    <t>Studi italo-tedeschi = Deutsch-italienische Studien ; 27</t>
  </si>
  <si>
    <t>5092897877:ger</t>
  </si>
  <si>
    <t>771946812</t>
  </si>
  <si>
    <t>ocn771946812</t>
  </si>
  <si>
    <t>3103125626N</t>
  </si>
  <si>
    <t>9788895423012</t>
  </si>
  <si>
    <t>794904292</t>
  </si>
  <si>
    <t>PQ4540 A87 2010</t>
  </si>
  <si>
    <t>0                      PQ 4540000A  87          2010</t>
  </si>
  <si>
    <t>Favola fui : Petrarch writes his readers / Albert Russell Ascoli.</t>
  </si>
  <si>
    <t>Binghamton, NY : Center for Medieval &amp; Renaissance Studies/State University of New York at Binghamton, ©2010.</t>
  </si>
  <si>
    <t>Bernardo lecture series ; no. 17</t>
  </si>
  <si>
    <t>690363626:eng</t>
  </si>
  <si>
    <t>674941498</t>
  </si>
  <si>
    <t>ocn674941498</t>
  </si>
  <si>
    <t>3103362674U</t>
  </si>
  <si>
    <t>9781438438061</t>
  </si>
  <si>
    <t>794849657</t>
  </si>
  <si>
    <t>PQ4540 C6 1988</t>
  </si>
  <si>
    <t>0                      PQ 4540000C  6           1988</t>
  </si>
  <si>
    <t>Petrarch's allegories of writing / Paul Colilli.</t>
  </si>
  <si>
    <t>Colilli, Paul, 1952-</t>
  </si>
  <si>
    <t>Naples : Nicola de Dominicus, 1988.</t>
  </si>
  <si>
    <t>Studi e testi di bibliologia e critica letteraria. ; 16</t>
  </si>
  <si>
    <t>2018-07-16</t>
  </si>
  <si>
    <t>21685136:eng</t>
  </si>
  <si>
    <t>427941120</t>
  </si>
  <si>
    <t>ocn427941120</t>
  </si>
  <si>
    <t>3100965714C</t>
  </si>
  <si>
    <t>794716595</t>
  </si>
  <si>
    <t>PQ4540 M3 1984</t>
  </si>
  <si>
    <t>0                      PQ 4540000M  3           1984</t>
  </si>
  <si>
    <t>Petrarch / Nicholas Mann.</t>
  </si>
  <si>
    <t>Mann, Nicholas.</t>
  </si>
  <si>
    <t>Oxford [Oxfordshire] ; New York : Oxford University Press, 1984.</t>
  </si>
  <si>
    <t>3407070:eng</t>
  </si>
  <si>
    <t>10533251</t>
  </si>
  <si>
    <t>ocm10533251</t>
  </si>
  <si>
    <t>3000534602A</t>
  </si>
  <si>
    <t>9780192876102</t>
  </si>
  <si>
    <t>792730856</t>
  </si>
  <si>
    <t>PQ4540 M37 1993</t>
  </si>
  <si>
    <t>0                      PQ 4540000M  37          1993</t>
  </si>
  <si>
    <t>The worlds of Petrarch / Giuseppe Mazzotta.</t>
  </si>
  <si>
    <t>Durham : Duke University Press, 1993.</t>
  </si>
  <si>
    <t>Duke monographs in medieval and Renaissance studies ; 14</t>
  </si>
  <si>
    <t>356107:eng</t>
  </si>
  <si>
    <t>28067117</t>
  </si>
  <si>
    <t>ocm28067117</t>
  </si>
  <si>
    <t>3101379218W</t>
  </si>
  <si>
    <t>9780822313632</t>
  </si>
  <si>
    <t>793279110</t>
  </si>
  <si>
    <t>PQ4540 P39 1997</t>
  </si>
  <si>
    <t>0                      PQ 4540000P  39          1997</t>
  </si>
  <si>
    <t>Petrarca e la cultura europea / a cura di Luisa Rotondi Secchi Tarugi.</t>
  </si>
  <si>
    <t>Milano : Nuovi Orizzonti, 1997.</t>
  </si>
  <si>
    <t>Caleidoscopio ; 7</t>
  </si>
  <si>
    <t>350633592:ita</t>
  </si>
  <si>
    <t>37974779</t>
  </si>
  <si>
    <t>ocm37974779</t>
  </si>
  <si>
    <t>3101898144U</t>
  </si>
  <si>
    <t>9788885075405</t>
  </si>
  <si>
    <t>793511580</t>
  </si>
  <si>
    <t>PQ4540 P48 2009</t>
  </si>
  <si>
    <t>0                      PQ 4540000P  48          2009</t>
  </si>
  <si>
    <t>Petrarch : a critical guide to the complete works / edited by Victoria Kirkham and Armando Maggi.</t>
  </si>
  <si>
    <t>Chicago : The University of Chicago Press, ©2009.</t>
  </si>
  <si>
    <t>900738285:eng</t>
  </si>
  <si>
    <t>262429412</t>
  </si>
  <si>
    <t>ocn262429412</t>
  </si>
  <si>
    <t>31030800122</t>
  </si>
  <si>
    <t>9780226437415</t>
  </si>
  <si>
    <t>794401690</t>
  </si>
  <si>
    <t>PQ4542 T7</t>
  </si>
  <si>
    <t>0                      PQ 4542000T  7</t>
  </si>
  <si>
    <t>The poet as philosopher ; Petrarch and the formation of Renaissance consciousness / Charles Trinkaus.</t>
  </si>
  <si>
    <t>Trinkaus, Charles, 1911-1999.</t>
  </si>
  <si>
    <t>New Haven : Yale University Press, 1979.</t>
  </si>
  <si>
    <t>2016-01-26</t>
  </si>
  <si>
    <t>918008847:eng</t>
  </si>
  <si>
    <t>5100825</t>
  </si>
  <si>
    <t>ocm05100825</t>
  </si>
  <si>
    <t>30004131069</t>
  </si>
  <si>
    <t>9780300023275</t>
  </si>
  <si>
    <t>792407418</t>
  </si>
  <si>
    <t>PQ4542 Z35 2010</t>
  </si>
  <si>
    <t>0                      PQ 4542000Z  35          2010</t>
  </si>
  <si>
    <t>Petrarch's humanism and the care of the self / Gur Zak.</t>
  </si>
  <si>
    <t>Zak, Gur, 1975-</t>
  </si>
  <si>
    <t>Cambridge ; New York : Cambridge University Press, 2010.</t>
  </si>
  <si>
    <t>327420541:eng</t>
  </si>
  <si>
    <t>441946005</t>
  </si>
  <si>
    <t>ocn441946005</t>
  </si>
  <si>
    <t>3103241724K</t>
  </si>
  <si>
    <t>9780521114677</t>
  </si>
  <si>
    <t>794786878</t>
  </si>
  <si>
    <t>PQ4543 Q55 1998</t>
  </si>
  <si>
    <t>0                      PQ 4543000Q  55          1998</t>
  </si>
  <si>
    <t>Rereading the Renaissance : Petrarch, Augustine, and the language of humanism / Carol Everhart Quillen.</t>
  </si>
  <si>
    <t>Quillen, Carol E.</t>
  </si>
  <si>
    <t>Ann Arbor : University of Michigan Press, ©1998.</t>
  </si>
  <si>
    <t>[Recentiores]</t>
  </si>
  <si>
    <t>197970701:eng</t>
  </si>
  <si>
    <t>38043094</t>
  </si>
  <si>
    <t>ocm38043094</t>
  </si>
  <si>
    <t>3101905957E</t>
  </si>
  <si>
    <t>9780472107353</t>
  </si>
  <si>
    <t>793513625</t>
  </si>
  <si>
    <t>PQ4545 C66 2003</t>
  </si>
  <si>
    <t>0                      PQ 4545000C  66          2003</t>
  </si>
  <si>
    <t>La bibliothèque de Pétrarque : livres et auteurs autour d'un humaniste : actes du IIe Congrès international sciences et arts, philologie et politique à la Renaissance, 27-29 novembre 2003 / Maurice Brock, Francesco Furlan, Frank la Brasca [editors].</t>
  </si>
  <si>
    <t>Congrès international sciences et arts, philologie et politique à la Renaissance (2nd : 2003 : Tours, France)</t>
  </si>
  <si>
    <t>Turnhout : Brepols, 2011.</t>
  </si>
  <si>
    <t>Collection Études renaissantes</t>
  </si>
  <si>
    <t>1043891042:fre</t>
  </si>
  <si>
    <t>760888309</t>
  </si>
  <si>
    <t>ocn760888309</t>
  </si>
  <si>
    <t>3103556318S</t>
  </si>
  <si>
    <t>9782503516523</t>
  </si>
  <si>
    <t>794898679</t>
  </si>
  <si>
    <t>PQ4545 W5</t>
  </si>
  <si>
    <t>0                      PQ 4545000W  5</t>
  </si>
  <si>
    <t>Petrarch and the renascence [by] J.H. Whitfield.</t>
  </si>
  <si>
    <t>Oxford, B. Blackwell, 1943.</t>
  </si>
  <si>
    <t>1943</t>
  </si>
  <si>
    <t>1487414:eng</t>
  </si>
  <si>
    <t>2481260</t>
  </si>
  <si>
    <t>ocm02481260</t>
  </si>
  <si>
    <t>3100011578X</t>
  </si>
  <si>
    <t>792133480</t>
  </si>
  <si>
    <t>PQ4546 C55 2010</t>
  </si>
  <si>
    <t>0                      PQ 4546000C  55          2010</t>
  </si>
  <si>
    <t>Di selva in selva ratto mi trasformo : identità e metamorfosi della parola petrarchesca / Loredana Chines.</t>
  </si>
  <si>
    <t>Lingue e letterature Carocci ; 110</t>
  </si>
  <si>
    <t>796540905:ita</t>
  </si>
  <si>
    <t>649311211</t>
  </si>
  <si>
    <t>ocn649311211</t>
  </si>
  <si>
    <t>3103125167U</t>
  </si>
  <si>
    <t>9788843051304</t>
  </si>
  <si>
    <t>794831665</t>
  </si>
  <si>
    <t>PQ4549 M44 P48 2006</t>
  </si>
  <si>
    <t>0                      PQ 4549000M  44                 P  48          2006</t>
  </si>
  <si>
    <t>Petrarca e la medicina : atti del Convegno di Capo d'Orlando 27-28 giugno 2003 / a cura di Monica Berté, Vincenzo Fera e Tiziana Pesenti.</t>
  </si>
  <si>
    <t>Messina : Centro interdipartimentale di studi umanistici, ©2006.</t>
  </si>
  <si>
    <t>Biblioteca umanistica ; 8</t>
  </si>
  <si>
    <t>351870433:ita</t>
  </si>
  <si>
    <t>167762099</t>
  </si>
  <si>
    <t>ocn167762099</t>
  </si>
  <si>
    <t>3102872138P</t>
  </si>
  <si>
    <t>9788887541298</t>
  </si>
  <si>
    <t>794262652</t>
  </si>
  <si>
    <t>PQ4553 G5 2013</t>
  </si>
  <si>
    <t>0                      PQ 4553000G  5           2013</t>
  </si>
  <si>
    <t>Gismirante ; Madonna Leonessa / edited by Maria Bendinelli Predelli ; English translations by Joyce Myerson, Amanda Glover and Andrea Saunderson.</t>
  </si>
  <si>
    <t>Pucci, Antonio, -1388, author.</t>
  </si>
  <si>
    <t>Edinburgh : [Société Rencesvals British Branch], 2013.</t>
  </si>
  <si>
    <t>British Rencesvals publications ; 6</t>
  </si>
  <si>
    <t>1860263614:eng</t>
  </si>
  <si>
    <t>876283296</t>
  </si>
  <si>
    <t>ocn876283296</t>
  </si>
  <si>
    <t>31036691428</t>
  </si>
  <si>
    <t>9780951979167</t>
  </si>
  <si>
    <t>794969915</t>
  </si>
  <si>
    <t>PQ4553 G84 2017</t>
  </si>
  <si>
    <t>0                      PQ 4553000G  84          2017</t>
  </si>
  <si>
    <t>Cantari della Guerra di Pisa / Antonio Pucci ; edizione critica a cura di Maria Bendinelli Predelli.</t>
  </si>
  <si>
    <t>Pucci, Antonio, approximately 1310-1388, author.</t>
  </si>
  <si>
    <t>Firenze : Società Editrice Fiorentina, [2017]</t>
  </si>
  <si>
    <t>Studi, 2035-4363 ; 26</t>
  </si>
  <si>
    <t>4586846069:ita</t>
  </si>
  <si>
    <t>992800394</t>
  </si>
  <si>
    <t>ocn992800394</t>
  </si>
  <si>
    <t>3103718337L</t>
  </si>
  <si>
    <t>9788860324290</t>
  </si>
  <si>
    <t>795038431</t>
  </si>
  <si>
    <t>PQ4554 R55 E98 2000</t>
  </si>
  <si>
    <t>0                      PQ 4554000R  55                 E  98          2000</t>
  </si>
  <si>
    <t>Expositiones Catonis : saggio di ricostruzione critica / Bonvesin da la Riva ; a cura di Carlo Beretta.</t>
  </si>
  <si>
    <t>Bonvesin, da la Riva, approximately 1250-1314.</t>
  </si>
  <si>
    <t>Pisa : Scuola normale superiore, 2000.</t>
  </si>
  <si>
    <t>Centro di cultura medievale / Scuola normale superiore di Pisa ; 10</t>
  </si>
  <si>
    <t>2019-10-14</t>
  </si>
  <si>
    <t>436811058:ita</t>
  </si>
  <si>
    <t>45820167</t>
  </si>
  <si>
    <t>ocm45820167</t>
  </si>
  <si>
    <t>3102190699T</t>
  </si>
  <si>
    <t>9788876420917</t>
  </si>
  <si>
    <t>793678844</t>
  </si>
  <si>
    <t>PQ4556 S3 C736</t>
  </si>
  <si>
    <t>0                      PQ 4556000S  3                  C  736</t>
  </si>
  <si>
    <t>La poesia nelle Croniche de Giovanni Sercambi / Furio Possenti.</t>
  </si>
  <si>
    <t>Possenti, Furio.</t>
  </si>
  <si>
    <t>Lucca : [publisher not identified], 1974.</t>
  </si>
  <si>
    <t>Accademia lucchese di scienze, lettere e arti. Studi e testi ; 8</t>
  </si>
  <si>
    <t>2015-09-28</t>
  </si>
  <si>
    <t>3901173287:ita</t>
  </si>
  <si>
    <t>2222990</t>
  </si>
  <si>
    <t>ocm02222990</t>
  </si>
  <si>
    <t>3103635644M</t>
  </si>
  <si>
    <t>792069704</t>
  </si>
  <si>
    <t>PQ4556 U2 D5833 2011</t>
  </si>
  <si>
    <t>0                      PQ 4556000U  2                  D  5833        2011</t>
  </si>
  <si>
    <t>La Crusca nei margini : edizione critica delle postille al Dittamondo di Giulio Perticari e Vincenzo Monti / a cura di Simona Brambilla.</t>
  </si>
  <si>
    <t>Pisa : ETS, 2011.</t>
  </si>
  <si>
    <t>Res litteraria ; 8</t>
  </si>
  <si>
    <t>1118127683:ita</t>
  </si>
  <si>
    <t>794703470</t>
  </si>
  <si>
    <t>ocn794703470</t>
  </si>
  <si>
    <t>3103125930C</t>
  </si>
  <si>
    <t>9788846731340</t>
  </si>
  <si>
    <t>794920313</t>
  </si>
  <si>
    <t>PQ4561.A1 C565 2018</t>
  </si>
  <si>
    <t>0                      PQ 4561000A  1                  C  565         2018</t>
  </si>
  <si>
    <t>Commedia in versi da restituire a Niccolò Machiavelli : edizione critica secondo il ms. Banco Rari 29 / a cura di Pasquale Stoppelli.</t>
  </si>
  <si>
    <t>Commedia in versi.</t>
  </si>
  <si>
    <t>Roma : Edizioni di storia e letteratura, 2018.</t>
  </si>
  <si>
    <t>Libri, carte, immagini ; 11</t>
  </si>
  <si>
    <t>2019-08-21</t>
  </si>
  <si>
    <t>4773551583:ita</t>
  </si>
  <si>
    <t>1046967122</t>
  </si>
  <si>
    <t>on1046967122</t>
  </si>
  <si>
    <t>3103305516Q</t>
  </si>
  <si>
    <t>9788893591669</t>
  </si>
  <si>
    <t>795060575</t>
  </si>
  <si>
    <t>PQ4562 A3 V4 1983</t>
  </si>
  <si>
    <t>0                      PQ 4562000A  3                  V  4           1983</t>
  </si>
  <si>
    <t>La Virginia / Bernardo Accolti ; prefazione di Marina Calore.</t>
  </si>
  <si>
    <t>Accolti, Bernardo, -1535.</t>
  </si>
  <si>
    <t>[Bologna] : A. Forni, [1983]</t>
  </si>
  <si>
    <t>Teatro italiano antico. La Commedia del XVI secolo ; n. 14</t>
  </si>
  <si>
    <t>2015-09-30</t>
  </si>
  <si>
    <t>232628785:ita</t>
  </si>
  <si>
    <t>11233862</t>
  </si>
  <si>
    <t>ocm11233862</t>
  </si>
  <si>
    <t>3103636087N</t>
  </si>
  <si>
    <t>792764270</t>
  </si>
  <si>
    <t>PQ4562 A434 2015</t>
  </si>
  <si>
    <t>0                      PQ 4562000A  434         2015</t>
  </si>
  <si>
    <t>Tutti gli scritti / Carlo Alberti ; edizione critica e commento a cura di Alberto Martelli.</t>
  </si>
  <si>
    <t>Alberti, Carlo, active 15th century, author.</t>
  </si>
  <si>
    <t>Firenze : Edizioni Polistampa, [2015]</t>
  </si>
  <si>
    <t>Edizione nazionale delle opere di Leon Battista Alberti : 5, Scritti sull'amore e il matrimonio ; 1a/5a</t>
  </si>
  <si>
    <t>2538703743:ita</t>
  </si>
  <si>
    <t>908024070</t>
  </si>
  <si>
    <t>ocn908024070</t>
  </si>
  <si>
    <t>31036286671</t>
  </si>
  <si>
    <t>9788859614616</t>
  </si>
  <si>
    <t>794994090</t>
  </si>
  <si>
    <t>PQ4562 A6 I513 1987</t>
  </si>
  <si>
    <t>0                      PQ 4562000A  6                  I  513         1987</t>
  </si>
  <si>
    <t>Dinner pieces / Leon Battista Alberti ; a translation of the Intercenales by David Marsh.</t>
  </si>
  <si>
    <t>Alberti, Leon Battista, 1404-1472.</t>
  </si>
  <si>
    <t>Binghamton, N.Y. : Medieval &amp; Renaissance Texts &amp; Studies in conjuction with the Renaissance Society of America, 1987.</t>
  </si>
  <si>
    <t>Medieval &amp; Renaissance texts &amp; studies ; v. 45</t>
  </si>
  <si>
    <t>2260848925:eng</t>
  </si>
  <si>
    <t>14932009</t>
  </si>
  <si>
    <t>ocm14932009</t>
  </si>
  <si>
    <t>3101141589W</t>
  </si>
  <si>
    <t>9780866980289</t>
  </si>
  <si>
    <t>792914061</t>
  </si>
  <si>
    <t>PQ4562 A6 Z58 2012</t>
  </si>
  <si>
    <t>0                      PQ 4562000A  6                  Z  58          2012</t>
  </si>
  <si>
    <t>Leon Battista Alberti : poeta, artista, camaleonte / Guglielmo Gorni ; a cura di Paola Allegretti.</t>
  </si>
  <si>
    <t>Uomini e dottrine ; 57</t>
  </si>
  <si>
    <t>1173798575:ita</t>
  </si>
  <si>
    <t>813927207</t>
  </si>
  <si>
    <t>ocn813927207</t>
  </si>
  <si>
    <t>3103126062T</t>
  </si>
  <si>
    <t>9788863724189</t>
  </si>
  <si>
    <t>794931931</t>
  </si>
  <si>
    <t>PQ4562 A6 Z649 2003</t>
  </si>
  <si>
    <t>0                      PQ 4562000A  6                  Z  649         2003</t>
  </si>
  <si>
    <t>Studia Albertiana : lectures et lecteurs de L.B. Alberti / Francesco Furlan.</t>
  </si>
  <si>
    <t>Furlan, Francesco.</t>
  </si>
  <si>
    <t>Turin : Nino Aragno ; Paris : Vrin, 2003.</t>
  </si>
  <si>
    <t>Nova humanistica</t>
  </si>
  <si>
    <t>2018-06-18</t>
  </si>
  <si>
    <t>890479863:fre</t>
  </si>
  <si>
    <t>55622283</t>
  </si>
  <si>
    <t>ocm55622283</t>
  </si>
  <si>
    <t>3102870708L</t>
  </si>
  <si>
    <t>9782711616145</t>
  </si>
  <si>
    <t>793879603</t>
  </si>
  <si>
    <t>PQ4562 A6 Z66 2012</t>
  </si>
  <si>
    <t>0                      PQ 4562000A  6                  Z  66          2012</t>
  </si>
  <si>
    <t>Living well in Renaissance Italy : the virtues of humanism and the irony of Leon Battista Alberti / Timothy Kircher.</t>
  </si>
  <si>
    <t>Kircher, Timothy.</t>
  </si>
  <si>
    <t>Tempe : ACMRS (Arizona Center for Medieval and Renaissance Studies), 2012.</t>
  </si>
  <si>
    <t>Medieval and renaissance texts and studies ; v. 423</t>
  </si>
  <si>
    <t>1065581803:eng</t>
  </si>
  <si>
    <t>769010723</t>
  </si>
  <si>
    <t>ocn769010723</t>
  </si>
  <si>
    <t>31036441193</t>
  </si>
  <si>
    <t>9780866984713</t>
  </si>
  <si>
    <t>794902982</t>
  </si>
  <si>
    <t>PQ4562 A6 Z67 1998</t>
  </si>
  <si>
    <t>0                      PQ 4562000A  6                  Z  67          1998</t>
  </si>
  <si>
    <t>Studi su Leon Battista Alberti / Cecil Grayson ; a cura di Paolo Claut.</t>
  </si>
  <si>
    <t>Grayson, Cecil.</t>
  </si>
  <si>
    <t>[Firenze] : Olschki, [1998]</t>
  </si>
  <si>
    <t>Ingenium ; n. 1</t>
  </si>
  <si>
    <t>25835525:ita</t>
  </si>
  <si>
    <t>40482557</t>
  </si>
  <si>
    <t>ocm40482557</t>
  </si>
  <si>
    <t>3102079625W</t>
  </si>
  <si>
    <t>9788822246677</t>
  </si>
  <si>
    <t>793568187</t>
  </si>
  <si>
    <t>PQ4562 A6 Z8</t>
  </si>
  <si>
    <t>0                      PQ 4562000A  6                  Z  8</t>
  </si>
  <si>
    <t>Leon Battista Alberti, scrittore / Giulio Dolci.</t>
  </si>
  <si>
    <t>Dolci, Giulio.</t>
  </si>
  <si>
    <t>Pisa : Stab. Tipografico Succ. FF. Nistri, 1911.</t>
  </si>
  <si>
    <t>1911</t>
  </si>
  <si>
    <t>15954381:ita</t>
  </si>
  <si>
    <t>6866462</t>
  </si>
  <si>
    <t>ocm06866462</t>
  </si>
  <si>
    <t>3000794581G</t>
  </si>
  <si>
    <t>792527634</t>
  </si>
  <si>
    <t>PQ4562 A6 1960</t>
  </si>
  <si>
    <t>0                      PQ 4562000A  6           1960</t>
  </si>
  <si>
    <t>Opere volgari, a cura di Cecil Grayson.</t>
  </si>
  <si>
    <t>Bari, G. Laterza, 1960-73.</t>
  </si>
  <si>
    <t>Scrittori d'Italia ; n. 218, 234, 254</t>
  </si>
  <si>
    <t>1940577:ita</t>
  </si>
  <si>
    <t>1015923</t>
  </si>
  <si>
    <t>ocm01015923</t>
  </si>
  <si>
    <t>3100809114M</t>
  </si>
  <si>
    <t>791525271</t>
  </si>
  <si>
    <t>2008-04-24</t>
  </si>
  <si>
    <t>3102907163S</t>
  </si>
  <si>
    <t>791525273</t>
  </si>
  <si>
    <t>3100809115K</t>
  </si>
  <si>
    <t>791525272</t>
  </si>
  <si>
    <t>PQ4562 A72 M5713 2002</t>
  </si>
  <si>
    <t>0                      PQ 4562000A  72                 M  5713        2002</t>
  </si>
  <si>
    <t>La Mirtilla : a pastoral / Isabella Andreini ; translated with an introduction and notes by Julie D. Campbell.</t>
  </si>
  <si>
    <t>Andreini, Isabella, 1562-1604.</t>
  </si>
  <si>
    <t>Tempe, Ariz. : Arizona Center for Medieval and Renaissance Studies, 2002.</t>
  </si>
  <si>
    <t>Medieval and Renaissance texts and studies ; v. 242</t>
  </si>
  <si>
    <t>2017-04-29</t>
  </si>
  <si>
    <t>10177801307:eng</t>
  </si>
  <si>
    <t>49260879</t>
  </si>
  <si>
    <t>ocm49260879</t>
  </si>
  <si>
    <t>3102278245W</t>
  </si>
  <si>
    <t>9780866982849</t>
  </si>
  <si>
    <t>793736171</t>
  </si>
  <si>
    <t>PQ4562 A72 M5713 2018</t>
  </si>
  <si>
    <t>0                      PQ 4562000A  72                 M  5713        2018</t>
  </si>
  <si>
    <t>Mirtilla : a pastoral / Isabella Andreini ; edited by Valeria Finucci ; translated by Julia Kisacky.</t>
  </si>
  <si>
    <t>Andreini, Isabella, 1562-1604, author.</t>
  </si>
  <si>
    <t>Toronto, Ontario : Iter Press ; Tempe, Arizona : Arizona Center for Medieval and Renaissance Studies, 2018.</t>
  </si>
  <si>
    <t>A bilingual edition.</t>
  </si>
  <si>
    <t>The other voice in early modern Europe: the Toronto series ; 62</t>
  </si>
  <si>
    <t>10177673128:eng</t>
  </si>
  <si>
    <t>1011561259</t>
  </si>
  <si>
    <t>on1011561259</t>
  </si>
  <si>
    <t>31037033838</t>
  </si>
  <si>
    <t>9780866985888</t>
  </si>
  <si>
    <t>795045613</t>
  </si>
  <si>
    <t>PQ4562 A74 Z58 2011</t>
  </si>
  <si>
    <t>0                      PQ 4562000A  74                 Z  58          2011</t>
  </si>
  <si>
    <t>Meraviglioso diletto : la traduzione poetica del Cinquecento e le "Metamorfosi d'Ovidio" di Giovanni Andrea dell'Anguillara / Gabriele Bucchi.</t>
  </si>
  <si>
    <t>Bucchi, Gabriele.</t>
  </si>
  <si>
    <t>Quaderni della Sezione di italiano dell'Università di Losanna ; 2</t>
  </si>
  <si>
    <t>1078639147:ita</t>
  </si>
  <si>
    <t>775640658</t>
  </si>
  <si>
    <t>ocn775640658</t>
  </si>
  <si>
    <t>31031257818</t>
  </si>
  <si>
    <t>9788846729804</t>
  </si>
  <si>
    <t>794907727</t>
  </si>
  <si>
    <t>PQ4562 A9 A2 2006</t>
  </si>
  <si>
    <t>0                      PQ 4562000A  9                  A  2           2006</t>
  </si>
  <si>
    <t>Sweet fire : Tullia D'Aragona's poetry of dialogue and selected prose / translated and edited by Elizabeth A. Pallitto.</t>
  </si>
  <si>
    <t>Aragona, Tullia d', approximately 1510-1556.</t>
  </si>
  <si>
    <t>New York : Braziller, 2007.</t>
  </si>
  <si>
    <t>2015-10-01</t>
  </si>
  <si>
    <t>1059239387:eng</t>
  </si>
  <si>
    <t>70292122</t>
  </si>
  <si>
    <t>ocm70292122</t>
  </si>
  <si>
    <t>3102631988R</t>
  </si>
  <si>
    <t>9780807615621</t>
  </si>
  <si>
    <t>794152633</t>
  </si>
  <si>
    <t>PQ4563 A1 1992 v.4</t>
  </si>
  <si>
    <t>0                      PQ 4563000A  1           1992                                        v.4</t>
  </si>
  <si>
    <t>Lettere / Pietro Aretino ; a cura di Paolo Procaccioli.</t>
  </si>
  <si>
    <t>Aretino, Pietro, 1492-1556.</t>
  </si>
  <si>
    <t>Roma : Salerno, 1997-</t>
  </si>
  <si>
    <t>Edizione nazionale delle opere di Pietro Aretino ; 4</t>
  </si>
  <si>
    <t>2019-07-17</t>
  </si>
  <si>
    <t>5091005837:ita</t>
  </si>
  <si>
    <t>38257022</t>
  </si>
  <si>
    <t>ocm38257022</t>
  </si>
  <si>
    <t>3102077726$</t>
  </si>
  <si>
    <t>9788884022288</t>
  </si>
  <si>
    <t>793520349</t>
  </si>
  <si>
    <t>3101895558I</t>
  </si>
  <si>
    <t>793520352</t>
  </si>
  <si>
    <t>t.6</t>
  </si>
  <si>
    <t>3102220774V</t>
  </si>
  <si>
    <t>793520347</t>
  </si>
  <si>
    <t>3102012709N</t>
  </si>
  <si>
    <t>793520350</t>
  </si>
  <si>
    <t>t.5</t>
  </si>
  <si>
    <t>3102169946B</t>
  </si>
  <si>
    <t>793520348</t>
  </si>
  <si>
    <t>3101942727M</t>
  </si>
  <si>
    <t>793520351</t>
  </si>
  <si>
    <t>PQ4563 A1 1992 v.5</t>
  </si>
  <si>
    <t>0                      PQ 4563000A  1           1992                                        v.5</t>
  </si>
  <si>
    <t>Teatro / a cura di Alessio Decaria e Federico Della Corte.</t>
  </si>
  <si>
    <t>Roma : Salerno, &lt;2005-&gt;</t>
  </si>
  <si>
    <t>Edizione nazionale delle opere di Pietro Aretino ; 5</t>
  </si>
  <si>
    <t>2012-05-04</t>
  </si>
  <si>
    <t>3375631950:ita</t>
  </si>
  <si>
    <t>60814475</t>
  </si>
  <si>
    <t>ocm60814475</t>
  </si>
  <si>
    <t>3103303012C</t>
  </si>
  <si>
    <t>793944393</t>
  </si>
  <si>
    <t>2011-09-09</t>
  </si>
  <si>
    <t>3102520678G</t>
  </si>
  <si>
    <t>793944392</t>
  </si>
  <si>
    <t>3103303013C</t>
  </si>
  <si>
    <t>793944394</t>
  </si>
  <si>
    <t>PQ4563 A1 1992 v.6</t>
  </si>
  <si>
    <t>0                      PQ 4563000A  1           1992                                        v.6</t>
  </si>
  <si>
    <t>Operette politiche e satiriche / Pietro Aretino.</t>
  </si>
  <si>
    <t>Roma : Salerno, 2012-2013.</t>
  </si>
  <si>
    <t>Edizione nazionale delle opere di Pietro Aretino ; v. 6</t>
  </si>
  <si>
    <t>1128128694:ita</t>
  </si>
  <si>
    <t>815380599</t>
  </si>
  <si>
    <t>ocn815380599</t>
  </si>
  <si>
    <t>31034849149</t>
  </si>
  <si>
    <t>9788884028839</t>
  </si>
  <si>
    <t>794932491</t>
  </si>
  <si>
    <t>3103551230A</t>
  </si>
  <si>
    <t>794932492</t>
  </si>
  <si>
    <t>PQ4563 A1 1992 v.7</t>
  </si>
  <si>
    <t>0                      PQ 4563000A  1           1992                                        v.7</t>
  </si>
  <si>
    <t>Opere religiose / Pietro Aretino.</t>
  </si>
  <si>
    <t>Roma : Salerno, ©2011-</t>
  </si>
  <si>
    <t>Edizione nazionale delle opere di Pietro Aretino ; 7</t>
  </si>
  <si>
    <t>5189664291:ita</t>
  </si>
  <si>
    <t>776893978</t>
  </si>
  <si>
    <t>ocn776893978</t>
  </si>
  <si>
    <t>3103794026A</t>
  </si>
  <si>
    <t>9788884029737</t>
  </si>
  <si>
    <t>794908429</t>
  </si>
  <si>
    <t>31034257212</t>
  </si>
  <si>
    <t>794908428</t>
  </si>
  <si>
    <t>PQ4563 A25 1926</t>
  </si>
  <si>
    <t>0                      PQ 4563000A  25          1926</t>
  </si>
  <si>
    <t>The works of Aretino, translated into English from the original Italian, with a critical and biographical essay, by Samuel Putnam, illustrations by Marquis de Bayros ...</t>
  </si>
  <si>
    <t>Chicago, Pub. for subscribers only, by P. Covici, 1926.</t>
  </si>
  <si>
    <t>2016-10-25</t>
  </si>
  <si>
    <t>291240813:eng</t>
  </si>
  <si>
    <t>1004250</t>
  </si>
  <si>
    <t>ocm01004250</t>
  </si>
  <si>
    <t>3102657518J</t>
  </si>
  <si>
    <t>791522667</t>
  </si>
  <si>
    <t>2008-11-17</t>
  </si>
  <si>
    <t>3102657523H</t>
  </si>
  <si>
    <t>791522668</t>
  </si>
  <si>
    <t>PQ4563 C613 2003</t>
  </si>
  <si>
    <t>0                      PQ 4563000C  613         2003</t>
  </si>
  <si>
    <t>Cortigiana / Pietro Aretino ; translated by J. Douglas Campbell and Leonard G. Sborocchi ; introduction by Raymond B. Waddington.</t>
  </si>
  <si>
    <t>Ottawa : Dovehouse Editions, 2003.</t>
  </si>
  <si>
    <t>Carleton Renaissance plays in translation ; 38</t>
  </si>
  <si>
    <t>6482078:eng</t>
  </si>
  <si>
    <t>50185956</t>
  </si>
  <si>
    <t>ocm50185956</t>
  </si>
  <si>
    <t>3102996423N</t>
  </si>
  <si>
    <t>9781895537703</t>
  </si>
  <si>
    <t>793757495</t>
  </si>
  <si>
    <t>PQ4563 D5313 2003</t>
  </si>
  <si>
    <t>0                      PQ 4563000D  5313        2003</t>
  </si>
  <si>
    <t>The school of whoredom / Pietro Aretino ; translated by Rosa Maria Falvo, Alessandro Gallenzi and Rebecca Skipwith.</t>
  </si>
  <si>
    <t>London : Hesperus, 2003.</t>
  </si>
  <si>
    <t>100 pages</t>
  </si>
  <si>
    <t>2017-06-18</t>
  </si>
  <si>
    <t>422883386:eng</t>
  </si>
  <si>
    <t>59372884</t>
  </si>
  <si>
    <t>ocm59372884</t>
  </si>
  <si>
    <t>3102996438L</t>
  </si>
  <si>
    <t>9781843910367</t>
  </si>
  <si>
    <t>793929661</t>
  </si>
  <si>
    <t>PQ4563 R2 R3413 2006</t>
  </si>
  <si>
    <t>0                      PQ 4563000R  2                  R  3413        2006</t>
  </si>
  <si>
    <t>The secret life of wives / Pietro Aretino ; translated by Andrew Brown ; foreword by Paul Bailey.</t>
  </si>
  <si>
    <t>London : Hesperus Press Limited, 2006.</t>
  </si>
  <si>
    <t>Hesperus classics</t>
  </si>
  <si>
    <t>53101565:eng</t>
  </si>
  <si>
    <t>60513829</t>
  </si>
  <si>
    <t>ocm60513829</t>
  </si>
  <si>
    <t>3102578845X</t>
  </si>
  <si>
    <t>9781843911227</t>
  </si>
  <si>
    <t>793938720</t>
  </si>
  <si>
    <t>PQ4563 R2 1965</t>
  </si>
  <si>
    <t>0                      PQ 4563000R  2           1965</t>
  </si>
  <si>
    <t>I ragionamenti / Pietro Aretino.</t>
  </si>
  <si>
    <t>Bologna : Sampietro, 1965.</t>
  </si>
  <si>
    <t>Collana '70</t>
  </si>
  <si>
    <t>422883386:ita</t>
  </si>
  <si>
    <t>34069505</t>
  </si>
  <si>
    <t>ocm34069505</t>
  </si>
  <si>
    <t>3000609316Y</t>
  </si>
  <si>
    <t>793417786</t>
  </si>
  <si>
    <t>PQ4564 A4 1967</t>
  </si>
  <si>
    <t>0                      PQ 4564000A  4           1967</t>
  </si>
  <si>
    <t>The letters of Pietro Aretino [translated] by Thomas Caldecot Chubb.</t>
  </si>
  <si>
    <t>[Hamden, Conn.] Archon Books, 1967.</t>
  </si>
  <si>
    <t>2017-10-28</t>
  </si>
  <si>
    <t>118135234:eng</t>
  </si>
  <si>
    <t>997190</t>
  </si>
  <si>
    <t>ocm00997190</t>
  </si>
  <si>
    <t>3103488396W</t>
  </si>
  <si>
    <t>791521261</t>
  </si>
  <si>
    <t>PQ4564 B47 2003</t>
  </si>
  <si>
    <t>0                      PQ 4564000B  47          2003</t>
  </si>
  <si>
    <t>Aretino e la stampa : strategie di autopromozione a Venezia nel Cinquecento / Fabio Massimo Bertolo.</t>
  </si>
  <si>
    <t>Bertolo, Fabio Massimo.</t>
  </si>
  <si>
    <t>Roma : Salerno, ©2003.</t>
  </si>
  <si>
    <t>Quaderni di "Filologia e critica" ; 17</t>
  </si>
  <si>
    <t>891304774:ita</t>
  </si>
  <si>
    <t>52746402</t>
  </si>
  <si>
    <t>ocm52746402</t>
  </si>
  <si>
    <t>31023285397</t>
  </si>
  <si>
    <t>9788884024053</t>
  </si>
  <si>
    <t>793813093</t>
  </si>
  <si>
    <t>PQ4564 C34 1985</t>
  </si>
  <si>
    <t>0                      PQ 4564000C  34          1985</t>
  </si>
  <si>
    <t>Pietro Aretino and the Republic of Venice : researches on Aretino and his circle in Venice, 1527-1556 / Christopher Cairns.</t>
  </si>
  <si>
    <t>Cairns, Christopher.</t>
  </si>
  <si>
    <t>Firenze : L.S. Olschki, 1985.</t>
  </si>
  <si>
    <t>Biblioteca dell'"Archivum Romanicum". Serie I, Storia, letteratura, paleografia ; vol. 194</t>
  </si>
  <si>
    <t>795382809:eng</t>
  </si>
  <si>
    <t>12877696</t>
  </si>
  <si>
    <t>ocm12877696</t>
  </si>
  <si>
    <t>3000470422F</t>
  </si>
  <si>
    <t>9788822233622</t>
  </si>
  <si>
    <t>792831562</t>
  </si>
  <si>
    <t>PQ4564 W33 2004</t>
  </si>
  <si>
    <t>0                      PQ 4564000W  33          2004</t>
  </si>
  <si>
    <t>Aretino's satyr : sexuality, satire and self-projection in sixteenth-century literature and art / Raymond B. Waddington.</t>
  </si>
  <si>
    <t>Waddington, Raymond B.</t>
  </si>
  <si>
    <t>Toronto ; Buffalo : University of Toronto Press, ©2004.</t>
  </si>
  <si>
    <t>839196684:eng</t>
  </si>
  <si>
    <t>52324165</t>
  </si>
  <si>
    <t>ocm52324165</t>
  </si>
  <si>
    <t>31023263969</t>
  </si>
  <si>
    <t>9780802088147</t>
  </si>
  <si>
    <t>793803486</t>
  </si>
  <si>
    <t>PQ4564 W33 2013</t>
  </si>
  <si>
    <t>0                      PQ 4564000W  33          2013</t>
  </si>
  <si>
    <t>Pietro Aretino : subverting the system in Renaissance Italy / Raymond B. Waddington.</t>
  </si>
  <si>
    <t>Farnham, Surrey ; Burlington, VT : Ashgate, 2013.</t>
  </si>
  <si>
    <t>Variorum collected studies series ; 1036</t>
  </si>
  <si>
    <t>1654825479:eng</t>
  </si>
  <si>
    <t>857754188</t>
  </si>
  <si>
    <t>ocn857754188</t>
  </si>
  <si>
    <t>3103529716J</t>
  </si>
  <si>
    <t>9781409464358</t>
  </si>
  <si>
    <t>794955346</t>
  </si>
  <si>
    <t>PQ4567 A2 1976</t>
  </si>
  <si>
    <t>0                      PQ 4567000A  2           1976</t>
  </si>
  <si>
    <t>Orlando furioso / Ludovico Ariosto ; a cura di Cesare Segre.</t>
  </si>
  <si>
    <t>Ariosto, Lodovico, 1474-1533.</t>
  </si>
  <si>
    <t>[Milano] : A. Mondadori, 1976.</t>
  </si>
  <si>
    <t>2019-09-29</t>
  </si>
  <si>
    <t>1911014458:ita</t>
  </si>
  <si>
    <t>427286163</t>
  </si>
  <si>
    <t>ocn427286163</t>
  </si>
  <si>
    <t>30004465983</t>
  </si>
  <si>
    <t>794564208</t>
  </si>
  <si>
    <t>PQ4567 A2 2006</t>
  </si>
  <si>
    <t>0                      PQ 4567000A  2           2006</t>
  </si>
  <si>
    <t>Orlando furioso secondo la princeps del 1516 / Ludovico Ariosto ; edizione critica a cura di Marco Dorigatti ; con la collaborazione di Gerarda Stimato.</t>
  </si>
  <si>
    <t>[Florence, Italy] : L.S. Olschki, 2006.</t>
  </si>
  <si>
    <t>367437681:ita</t>
  </si>
  <si>
    <t>80747394</t>
  </si>
  <si>
    <t>ocm80747394</t>
  </si>
  <si>
    <t>3102704153H</t>
  </si>
  <si>
    <t>9788822255761</t>
  </si>
  <si>
    <t>794201524</t>
  </si>
  <si>
    <t>PQ4569 B7</t>
  </si>
  <si>
    <t>0                      PQ 4569000B  7</t>
  </si>
  <si>
    <t>Ludovico Ariosto : a preface to the Orlando furioso / C.P. Brand.</t>
  </si>
  <si>
    <t>Brand, C. P. (Charles Peter)</t>
  </si>
  <si>
    <t>Edinburgh : Edinburgh University Press, 1974.</t>
  </si>
  <si>
    <t>Writers of Italy series ; 1</t>
  </si>
  <si>
    <t>294277712:eng</t>
  </si>
  <si>
    <t>1011794</t>
  </si>
  <si>
    <t>ocm01011794</t>
  </si>
  <si>
    <t>3000436511A</t>
  </si>
  <si>
    <t>9780852242469</t>
  </si>
  <si>
    <t>791524576</t>
  </si>
  <si>
    <t>PQ4569 C36 2017</t>
  </si>
  <si>
    <t>0                      PQ 4569000C  36          2017</t>
  </si>
  <si>
    <t>L'ultimo Ariosto : dalle Satire ai Frammenti autografi / Ida Campeggiani.</t>
  </si>
  <si>
    <t>Campeggiani, Ida, 1987- author.</t>
  </si>
  <si>
    <t>Pisa : Edizioni della Normale, [2017]</t>
  </si>
  <si>
    <t>Studi ; 37</t>
  </si>
  <si>
    <t>4586821340:ita</t>
  </si>
  <si>
    <t>1032292951</t>
  </si>
  <si>
    <t>on1032292951</t>
  </si>
  <si>
    <t>3103721206S</t>
  </si>
  <si>
    <t>9788876426087</t>
  </si>
  <si>
    <t>795055988</t>
  </si>
  <si>
    <t>PQ4569 L47 2016</t>
  </si>
  <si>
    <t>0                      PQ 4569000L  47          2016</t>
  </si>
  <si>
    <t>Lessico critico dell'Orlando furioso / a cura di Annalisa Izzo.</t>
  </si>
  <si>
    <t>1&amp;#x00AA; edizione.</t>
  </si>
  <si>
    <t>Lingue e letterature Carocci ; 221</t>
  </si>
  <si>
    <t>4188038919:ita</t>
  </si>
  <si>
    <t>974707797</t>
  </si>
  <si>
    <t>ocn974707797</t>
  </si>
  <si>
    <t>3103716190Z</t>
  </si>
  <si>
    <t>9788843082179</t>
  </si>
  <si>
    <t>795029798</t>
  </si>
  <si>
    <t>PQ4569 S35 2014</t>
  </si>
  <si>
    <t>0                      PQ 4569000S  35          2014</t>
  </si>
  <si>
    <t>Storia e follia nel "Furioso" / Giovanna Scianatico.</t>
  </si>
  <si>
    <t>Scianatico, Giovanna, author.</t>
  </si>
  <si>
    <t>Bari : Progedit, novembre 2014.</t>
  </si>
  <si>
    <t>Incroci e percorsi di lingue e letterature</t>
  </si>
  <si>
    <t>2411727584:ita</t>
  </si>
  <si>
    <t>904251397</t>
  </si>
  <si>
    <t>ocn904251397</t>
  </si>
  <si>
    <t>3103201054I</t>
  </si>
  <si>
    <t>9788861942424</t>
  </si>
  <si>
    <t>794990231</t>
  </si>
  <si>
    <t>PQ4569 T73 2010</t>
  </si>
  <si>
    <t>0                      PQ 4569000T  73          2010</t>
  </si>
  <si>
    <t>"Tra mille carte vive ancora" : Ricezione del "Furioso" tra immagini e parole / a cura di Lina Bolzoni, Serena Pezzini, Giovanna Rizzarelli.</t>
  </si>
  <si>
    <t>Lucca : Pacini Fazzi, ©2010.</t>
  </si>
  <si>
    <t>Morgana : collana di studi e testi rinascimentali ; 15</t>
  </si>
  <si>
    <t>1083955142:ita</t>
  </si>
  <si>
    <t>779385432</t>
  </si>
  <si>
    <t>ocn779385432</t>
  </si>
  <si>
    <t>3103125749G</t>
  </si>
  <si>
    <t>9788865500521</t>
  </si>
  <si>
    <t>794910869</t>
  </si>
  <si>
    <t>PQ4570 C37 1997</t>
  </si>
  <si>
    <t>0                      PQ 4570000C  37          1997</t>
  </si>
  <si>
    <t>The Orlando furioso : a stoic comedy / Clare Carroll.</t>
  </si>
  <si>
    <t>Carroll, Clare, 1955-</t>
  </si>
  <si>
    <t>Tempe, Ariz. : Medieval &amp; Renaissance Texts &amp; Studies, 1997.</t>
  </si>
  <si>
    <t>Medieval &amp; Renaissance texts &amp; studies ; v. 174</t>
  </si>
  <si>
    <t>366042835:eng</t>
  </si>
  <si>
    <t>36648641</t>
  </si>
  <si>
    <t>ocm36648641</t>
  </si>
  <si>
    <t>31018297527</t>
  </si>
  <si>
    <t>9780866982153</t>
  </si>
  <si>
    <t>793480393</t>
  </si>
  <si>
    <t>PQ4570 M35 2016</t>
  </si>
  <si>
    <t>0                      PQ 4570000M  35          2016</t>
  </si>
  <si>
    <t>Ariosto e la battaglia della Polesella : guerra e poesia nella Ferrara di inizio Cinquecento / Nicolò Maldina.</t>
  </si>
  <si>
    <t>Collana del Dipartimento di filologia classica e italianistica dell'Università di Bologna. Sezione di italianistica ; 28</t>
  </si>
  <si>
    <t>4039152756:ita</t>
  </si>
  <si>
    <t>969804953</t>
  </si>
  <si>
    <t>ocn969804953</t>
  </si>
  <si>
    <t>31037169741</t>
  </si>
  <si>
    <t>9788815270979</t>
  </si>
  <si>
    <t>795027514</t>
  </si>
  <si>
    <t>PQ4570 M87 2013</t>
  </si>
  <si>
    <t>0                      PQ 4570000M  87          2013</t>
  </si>
  <si>
    <t>L'antiqua damigella : dell'ironia nell'Orlando furioso / Franco Musarra ; prefazione di Giulio Ferroni.</t>
  </si>
  <si>
    <t>Musarra, Franco, 1940-</t>
  </si>
  <si>
    <t>Resoconti di letteratura italiana ; 8</t>
  </si>
  <si>
    <t>1378974149:ita</t>
  </si>
  <si>
    <t>854562495</t>
  </si>
  <si>
    <t>ocn854562495</t>
  </si>
  <si>
    <t>3103553759K</t>
  </si>
  <si>
    <t>9788876674594</t>
  </si>
  <si>
    <t>794952530</t>
  </si>
  <si>
    <t>PQ4572 A3 M66 2010</t>
  </si>
  <si>
    <t>0                      PQ 4572000A  3                  M  66          2010</t>
  </si>
  <si>
    <t>I mostri dell'Orlando furioso, specchi della natura umana / Cristiana Lardo.</t>
  </si>
  <si>
    <t>Lardo, Cristiana.</t>
  </si>
  <si>
    <t>Firenze : Le lettere, ©2010.</t>
  </si>
  <si>
    <t>Saggi ; 98</t>
  </si>
  <si>
    <t>764588934:ita</t>
  </si>
  <si>
    <t>692270202</t>
  </si>
  <si>
    <t>ocn692270202</t>
  </si>
  <si>
    <t>3103125273P</t>
  </si>
  <si>
    <t>9788860873620</t>
  </si>
  <si>
    <t>794856018</t>
  </si>
  <si>
    <t>PQ4572 A3 M664 2017</t>
  </si>
  <si>
    <t>0                      PQ 4572000A  3                  M  664         2017</t>
  </si>
  <si>
    <t>L'anello di Melissa : deformità e mostruosità nell'Orlando furioso / Giovanni Guerzoni ; prefazione di Michele Collina.</t>
  </si>
  <si>
    <t>Guerzoni, Giovanni, author.</t>
  </si>
  <si>
    <t>Ferrara : 2G Editrice, 2017.</t>
  </si>
  <si>
    <t>Le delizie ; 8</t>
  </si>
  <si>
    <t>4474733593:ita</t>
  </si>
  <si>
    <t>1019989411</t>
  </si>
  <si>
    <t>on1019989411</t>
  </si>
  <si>
    <t>3103721238F</t>
  </si>
  <si>
    <t>9788889248508</t>
  </si>
  <si>
    <t>795050079</t>
  </si>
  <si>
    <t>PQ4572 A3 S76 2012</t>
  </si>
  <si>
    <t>0                      PQ 4572000A  3                  S  76          2012</t>
  </si>
  <si>
    <t>Genealogies of fiction : women warriors and the dynastic imagination in the Orlando furioso / Eleonora Stoppino.</t>
  </si>
  <si>
    <t>Stoppino, Eleonora.</t>
  </si>
  <si>
    <t>New York : Fordham University Press, 2012.</t>
  </si>
  <si>
    <t>2014-11-24</t>
  </si>
  <si>
    <t>1018075208:eng</t>
  </si>
  <si>
    <t>755213232</t>
  </si>
  <si>
    <t>ocn755213232</t>
  </si>
  <si>
    <t>3103395529G</t>
  </si>
  <si>
    <t>9780823240371</t>
  </si>
  <si>
    <t>794893717</t>
  </si>
  <si>
    <t>PQ4572 A3 W644 2016</t>
  </si>
  <si>
    <t>0                      PQ 4572000A  3                  W  644         2016</t>
  </si>
  <si>
    <t>Les mille et un visages de la virago : Marphise et Bradamante, entre continuation et variation / Valentina Denzel.</t>
  </si>
  <si>
    <t>Denzel, Valentina, author.</t>
  </si>
  <si>
    <t>Perspectives comparatistes, 2103-480X ; 38. Série Genres, sexes, tectes ; 1</t>
  </si>
  <si>
    <t>3020171470:fre</t>
  </si>
  <si>
    <t>949926999</t>
  </si>
  <si>
    <t>ocn949926999</t>
  </si>
  <si>
    <t>31037087648</t>
  </si>
  <si>
    <t>9782812447563</t>
  </si>
  <si>
    <t>795016409</t>
  </si>
  <si>
    <t>PQ4582 E5 A353</t>
  </si>
  <si>
    <t>0                      PQ 4582000E  5                  A  353</t>
  </si>
  <si>
    <t>Ariosto's Orlando furioso / selections from the translation by Sir John Harrington.</t>
  </si>
  <si>
    <t>Bloomington : Indiana University Press, 1663.</t>
  </si>
  <si>
    <t>2005-03-28</t>
  </si>
  <si>
    <t>2018-02-24</t>
  </si>
  <si>
    <t>4494974724:eng</t>
  </si>
  <si>
    <t>53281190</t>
  </si>
  <si>
    <t>ocm53281190</t>
  </si>
  <si>
    <t>31023570625</t>
  </si>
  <si>
    <t>793825378</t>
  </si>
  <si>
    <t>3000552110T</t>
  </si>
  <si>
    <t>793825377</t>
  </si>
  <si>
    <t>PQ4582 E5 A368 1975</t>
  </si>
  <si>
    <t>0                      PQ 4582000E  5                  A  368         1975</t>
  </si>
  <si>
    <t>Orlando furioso = The frenzy of Orlando : a romantic epic / by Ludovico Ariosto ; translated with an introduction by Barbara Reynolds.</t>
  </si>
  <si>
    <t>pt.2</t>
  </si>
  <si>
    <t>Harmondsworth ; Baltimore : Penguin, 1975-</t>
  </si>
  <si>
    <t>2010-11-26</t>
  </si>
  <si>
    <t>2019-10-07</t>
  </si>
  <si>
    <t>1911014458:eng</t>
  </si>
  <si>
    <t>1933892</t>
  </si>
  <si>
    <t>ocm01933892</t>
  </si>
  <si>
    <t>31024489974</t>
  </si>
  <si>
    <t>9780140443110</t>
  </si>
  <si>
    <t>792014031</t>
  </si>
  <si>
    <t>pt.1</t>
  </si>
  <si>
    <t>3102449347S</t>
  </si>
  <si>
    <t>792014030</t>
  </si>
  <si>
    <t>3102449086T</t>
  </si>
  <si>
    <t>792014029</t>
  </si>
  <si>
    <t>3102449357Q</t>
  </si>
  <si>
    <t>792014032</t>
  </si>
  <si>
    <t>PQ4582 E5 A38 1998</t>
  </si>
  <si>
    <t>0                      PQ 4582000E  5                  A  38          1998</t>
  </si>
  <si>
    <t>Orlando Furioso / Ludovico Ariosto ; translated with an introduction by Guido Waldman.</t>
  </si>
  <si>
    <t>Oxford ; New York : Oxford University Press, 1998.</t>
  </si>
  <si>
    <t>2017-09-23</t>
  </si>
  <si>
    <t>41133856</t>
  </si>
  <si>
    <t>ocm41133856</t>
  </si>
  <si>
    <t>31024696723</t>
  </si>
  <si>
    <t>9780192836779</t>
  </si>
  <si>
    <t>793585145</t>
  </si>
  <si>
    <t>PQ4582 E5 A38 2009</t>
  </si>
  <si>
    <t>0                      PQ 4582000E  5                  A  38          2009</t>
  </si>
  <si>
    <t>Orlando furioso : a new verse translation / Ludovico Ariosto ; [translated by] David R. Slavitt.</t>
  </si>
  <si>
    <t>Cambridge, Mass. : Belknap Press of Harvard University Press, 2009.</t>
  </si>
  <si>
    <t>318876862</t>
  </si>
  <si>
    <t>ocn318876862</t>
  </si>
  <si>
    <t>3103097349S</t>
  </si>
  <si>
    <t>9780674035355</t>
  </si>
  <si>
    <t>794482921</t>
  </si>
  <si>
    <t>PQ4582 E5 2010</t>
  </si>
  <si>
    <t>0                      PQ 4582000E  5           2010</t>
  </si>
  <si>
    <t>"My muse will have a story to paint" : selected prose of Ludovico Ariosto / translated with an introduction by Dennis Looney.</t>
  </si>
  <si>
    <t>The da Ponte library series</t>
  </si>
  <si>
    <t>349281312:eng</t>
  </si>
  <si>
    <t>466659621</t>
  </si>
  <si>
    <t>ocn466659621</t>
  </si>
  <si>
    <t>31032669869</t>
  </si>
  <si>
    <t>9781442640870</t>
  </si>
  <si>
    <t>794794845</t>
  </si>
  <si>
    <t>PQ4586 A7 G35 2017</t>
  </si>
  <si>
    <t>0                      PQ 4586000A  7                  G  35          2017</t>
  </si>
  <si>
    <t>Galassia Ariosto : il modello editoriale dell'Orlando furioso dal libro illustrato al web / a cura di Lina Bolzoni.</t>
  </si>
  <si>
    <t>Roma : Donzelli editore, [2017]</t>
  </si>
  <si>
    <t>4730357444:ita</t>
  </si>
  <si>
    <t>1015565284</t>
  </si>
  <si>
    <t>on1015565284</t>
  </si>
  <si>
    <t>3103721134R</t>
  </si>
  <si>
    <t>9788868436803</t>
  </si>
  <si>
    <t>795048083</t>
  </si>
  <si>
    <t>PQ4595 P36 2015</t>
  </si>
  <si>
    <t>0                      PQ 4595000P  36          2015</t>
  </si>
  <si>
    <t>Lo specchio del Rinascimento : novità su Tiziano e Dosso che ritraggono Ariosto = The mirror of the Renaissance : new findings on Titian and Dosso portraying Ariosto / Marco Paoli : traduzione, Loretta Vandi.</t>
  </si>
  <si>
    <t>Paoli, Marco, author.</t>
  </si>
  <si>
    <t>Lucca - Italy : Maria Pacini Fazzi editore, [2015]</t>
  </si>
  <si>
    <t>2471766173:ita</t>
  </si>
  <si>
    <t>905086869</t>
  </si>
  <si>
    <t>ocn905086869</t>
  </si>
  <si>
    <t>3103663832D</t>
  </si>
  <si>
    <t>9788865504536</t>
  </si>
  <si>
    <t>794991096</t>
  </si>
  <si>
    <t>PQ4599 S36 2015</t>
  </si>
  <si>
    <t>0                      PQ 4599000S  36          2015</t>
  </si>
  <si>
    <t>Ludovico Ariosto / Luigi Scorrano.</t>
  </si>
  <si>
    <t>Scorrano, Luigi, 1938- author.</t>
  </si>
  <si>
    <t>Roma : Ediesse, [2015]</t>
  </si>
  <si>
    <t>Fondamenti. Chi è ; 18</t>
  </si>
  <si>
    <t>2550864620:ita</t>
  </si>
  <si>
    <t>904251398</t>
  </si>
  <si>
    <t>ocn904251398</t>
  </si>
  <si>
    <t>3103201059I</t>
  </si>
  <si>
    <t>9788823018716</t>
  </si>
  <si>
    <t>794990232</t>
  </si>
  <si>
    <t>PQ4599 U56 2011</t>
  </si>
  <si>
    <t>0                      PQ 4599000U  56          2011</t>
  </si>
  <si>
    <t>L'uno e l'altro Ariosto : in corte e nelle delizie / a cura di Gianni Venturi.</t>
  </si>
  <si>
    <t>Ferrara paesaggio estense ; 5</t>
  </si>
  <si>
    <t>836163752:ita</t>
  </si>
  <si>
    <t>707959829</t>
  </si>
  <si>
    <t>ocn707959829</t>
  </si>
  <si>
    <t>3103125299L</t>
  </si>
  <si>
    <t>9788822260413</t>
  </si>
  <si>
    <t>794868310</t>
  </si>
  <si>
    <t>PQ4603 Z8 R56 2012</t>
  </si>
  <si>
    <t>0                      PQ 4603000Z  8                  R  56          2012</t>
  </si>
  <si>
    <t>Rimario diacronico dell'Orlando Furioso / diretto da Cesare Segre ; a cura di Clelia Martignoni, Luigina Morini, Manuela Sassi.</t>
  </si>
  <si>
    <t>Pavia : IUSS Press, [2012]</t>
  </si>
  <si>
    <t>1639743882:ita</t>
  </si>
  <si>
    <t>811589248</t>
  </si>
  <si>
    <t>ocn811589248</t>
  </si>
  <si>
    <t>3103125905I</t>
  </si>
  <si>
    <t>9788861980686</t>
  </si>
  <si>
    <t>794930176</t>
  </si>
  <si>
    <t>v.1 ( + DVD-ROM)</t>
  </si>
  <si>
    <t>3103125904I</t>
  </si>
  <si>
    <t>794930177</t>
  </si>
  <si>
    <t>PQ4605 B28 M46 2010</t>
  </si>
  <si>
    <t>0                      PQ 4605000B  28                 M  46          2010</t>
  </si>
  <si>
    <t>El menzoniero, overamente Bosadrello / Baldassarre da Fossombrone ; testo critico e commento a cura di Giuseppe Crimi.</t>
  </si>
  <si>
    <t>Baldassarre, da Fossombrone.</t>
  </si>
  <si>
    <t>Casoria (Napoli) : Loffredo University Press, [2010]</t>
  </si>
  <si>
    <t>Studi di italianistica ; 3</t>
  </si>
  <si>
    <t>892749514:ita</t>
  </si>
  <si>
    <t>666211394</t>
  </si>
  <si>
    <t>ocn666211394</t>
  </si>
  <si>
    <t>3103125188Q</t>
  </si>
  <si>
    <t>9788875644178</t>
  </si>
  <si>
    <t>794844819</t>
  </si>
  <si>
    <t>PQ4606 A15 1992</t>
  </si>
  <si>
    <t>0                      PQ 4606000A  15          1992</t>
  </si>
  <si>
    <t>Le Novelle / Matteo Bandello ; a cura di Delmo Maestri.</t>
  </si>
  <si>
    <t>Bandello, Matteo, 1485-1561.</t>
  </si>
  <si>
    <t>Alessandria : Edizione dell'Orso, 1992-</t>
  </si>
  <si>
    <t>Contributi e proposte ; 6</t>
  </si>
  <si>
    <t>2001-12-08</t>
  </si>
  <si>
    <t>2019-06-18</t>
  </si>
  <si>
    <t>4417305069:ita</t>
  </si>
  <si>
    <t>30338105</t>
  </si>
  <si>
    <t>ocm30338105</t>
  </si>
  <si>
    <t>3101547707V</t>
  </si>
  <si>
    <t>9788876940507</t>
  </si>
  <si>
    <t>793332852</t>
  </si>
  <si>
    <t>3101812425Q</t>
  </si>
  <si>
    <t>793332851</t>
  </si>
  <si>
    <t>2004-09-07</t>
  </si>
  <si>
    <t>3101547705Z</t>
  </si>
  <si>
    <t>793332854</t>
  </si>
  <si>
    <t>3101812417P</t>
  </si>
  <si>
    <t>793332853</t>
  </si>
  <si>
    <t>PQ4606 Z5 C46 2010</t>
  </si>
  <si>
    <t>0                      PQ 4606000Z  5                  C  46          2010</t>
  </si>
  <si>
    <t>Storie mirabili : studi sulle novelle di Matteo Bandello / a cura di Gian Mario Anselmi e Elisabetta Menetti.</t>
  </si>
  <si>
    <t>Centro studi di "Matteo Bandello e la cultura rinascimentale." Convegno internazionale (5th : 2010 : Tortona, Italy, and Castelnuovo Scrivia, Italy)</t>
  </si>
  <si>
    <t>Collana del Dipartimento di filologia classica e italianistica dell'Università di Bologna. Sezione di italianistica ; 25</t>
  </si>
  <si>
    <t>1166043303:ita</t>
  </si>
  <si>
    <t>809029922</t>
  </si>
  <si>
    <t>ocn809029922</t>
  </si>
  <si>
    <t>31031259900</t>
  </si>
  <si>
    <t>9788815240743</t>
  </si>
  <si>
    <t>794928051</t>
  </si>
  <si>
    <t>PQ4607 B439 C67 2011</t>
  </si>
  <si>
    <t>0                      PQ 4607000B  439                C  67          2011</t>
  </si>
  <si>
    <t>Cosimo Bartoli (1503-1572) : atti del Convegno internazionale : Mantova, 18-19 novembre - Firenze, 20 novembre 2009 / a cura di Francesco Paolo Fiore e Daniela Lamberini.</t>
  </si>
  <si>
    <t>Firenze : Leo S. Olschki, 2011 printing.</t>
  </si>
  <si>
    <t>Ingenium / Centro studi Alberti ; n. 15</t>
  </si>
  <si>
    <t>1102931069:ita</t>
  </si>
  <si>
    <t>787851397</t>
  </si>
  <si>
    <t>ocn787851397</t>
  </si>
  <si>
    <t>3103125767C</t>
  </si>
  <si>
    <t>9788822260826</t>
  </si>
  <si>
    <t>794916127</t>
  </si>
  <si>
    <t>PQ4607 B5 P4 1974</t>
  </si>
  <si>
    <t>0                      PQ 4607000B  5                  P  4           1974</t>
  </si>
  <si>
    <t>Il Pentamerone ossia, La fiaba delle fiabe / Giambattista Basile ; tradotta dall'antico dialetto napoletano e corredata di introduzione e note storiche di Benedetto Croce ; prefazione di Italo Calvino.</t>
  </si>
  <si>
    <t>Basile, Giambattista, approximately 1575-1632.</t>
  </si>
  <si>
    <t>Roma ; Bari : Laterza, 1974.</t>
  </si>
  <si>
    <t>Universale Laterza ; 298-300</t>
  </si>
  <si>
    <t>2019-03-09</t>
  </si>
  <si>
    <t>3863716386:ita</t>
  </si>
  <si>
    <t>6356720</t>
  </si>
  <si>
    <t>ocm06356720</t>
  </si>
  <si>
    <t>3000450327L</t>
  </si>
  <si>
    <t>792493244</t>
  </si>
  <si>
    <t>31008090829</t>
  </si>
  <si>
    <t>792493243</t>
  </si>
  <si>
    <t>PQ4607 B5 P4 2002</t>
  </si>
  <si>
    <t>0                      PQ 4607000B  5                  P  4           2002</t>
  </si>
  <si>
    <t>Il cunto de li cunti / di Giambattista Basile ; nella riscrittura di Roberto De Simone ; note di Candida De Iudicibus ; illustrazioni di Gennaro Vallifuoco.</t>
  </si>
  <si>
    <t>Basile, Giambattista, ca. 1575-1632.</t>
  </si>
  <si>
    <t>Torino : G. Einaudi, 2002.</t>
  </si>
  <si>
    <t>365139998:ita</t>
  </si>
  <si>
    <t>427518950</t>
  </si>
  <si>
    <t>ocn427518950</t>
  </si>
  <si>
    <t>3102395203$</t>
  </si>
  <si>
    <t>9788806142148</t>
  </si>
  <si>
    <t>794674242</t>
  </si>
  <si>
    <t>3102395204$</t>
  </si>
  <si>
    <t>794674243</t>
  </si>
  <si>
    <t>PQ4607 B5 P413 2007</t>
  </si>
  <si>
    <t>0                      PQ 4607000B  5                  P  413         2007</t>
  </si>
  <si>
    <t>Giambattista Basile's The tale of tales, or, Entertainment for little ones / translated by Nancy L. Canepa ; illustrated by Carmelo Lettere ; foreword by Jack Zipes.</t>
  </si>
  <si>
    <t>Detroit : Wayne State University Press, ©2007.</t>
  </si>
  <si>
    <t>Series in fairy-tale studies</t>
  </si>
  <si>
    <t>2019-01-08</t>
  </si>
  <si>
    <t>3863379165:eng</t>
  </si>
  <si>
    <t>71842806</t>
  </si>
  <si>
    <t>ocm71842806</t>
  </si>
  <si>
    <t>3102599456T</t>
  </si>
  <si>
    <t>9780814328668</t>
  </si>
  <si>
    <t>794169194</t>
  </si>
  <si>
    <t>PQ4607 B5 P431 2012</t>
  </si>
  <si>
    <t>0                      PQ 4607000B  5                  P  431         2012</t>
  </si>
  <si>
    <t>Metamorfosi del Cunto di Basile : traduzioni, riscritture, adattamenti / Angela Albanese ; presentazione di Paolo Cherchi.</t>
  </si>
  <si>
    <t>Albanese, Angela.</t>
  </si>
  <si>
    <t>Ravenna : Longo Editore, [2012]</t>
  </si>
  <si>
    <t>Il portico. Sez.: Materiali letterari ; 159</t>
  </si>
  <si>
    <t>1182626279:ita</t>
  </si>
  <si>
    <t>818724522</t>
  </si>
  <si>
    <t>ocn818724522</t>
  </si>
  <si>
    <t>3103126127Y</t>
  </si>
  <si>
    <t>9788880637400</t>
  </si>
  <si>
    <t>794934094</t>
  </si>
  <si>
    <t>PQ4607 B5 P438 2017</t>
  </si>
  <si>
    <t>0                      PQ 4607000B  5                  P  438         2017</t>
  </si>
  <si>
    <t>Le parole del "Cunto" : indagini sul lessico napoletano del Seicento / Carolina Stromboli.</t>
  </si>
  <si>
    <t>Stromboli, Carolina, author.</t>
  </si>
  <si>
    <t>Strumenti di linguistica italiana ; Nuova serie 14</t>
  </si>
  <si>
    <t>4617686719:ita</t>
  </si>
  <si>
    <t>1005678314</t>
  </si>
  <si>
    <t>on1005678314</t>
  </si>
  <si>
    <t>3103718101D</t>
  </si>
  <si>
    <t>9788876676536</t>
  </si>
  <si>
    <t>795042687</t>
  </si>
  <si>
    <t>PQ4608 A6 1954</t>
  </si>
  <si>
    <t>0                      PQ 4608000A  6           1954</t>
  </si>
  <si>
    <t>Gli Asolani / translated by Rudolf B. Gottfried.</t>
  </si>
  <si>
    <t>Bembo, Pietro, 1470-1547.</t>
  </si>
  <si>
    <t>Bloomington : Indiana University Press, 1954.</t>
  </si>
  <si>
    <t>Indiana University publications. Humanities series, no. 31</t>
  </si>
  <si>
    <t>2017-11-22</t>
  </si>
  <si>
    <t>1808018413:eng</t>
  </si>
  <si>
    <t>51104759</t>
  </si>
  <si>
    <t>ocm51104759</t>
  </si>
  <si>
    <t>3103643873B</t>
  </si>
  <si>
    <t>793779032</t>
  </si>
  <si>
    <t>PQ4608 A67 2001</t>
  </si>
  <si>
    <t>0                      PQ 4608000A  67          2001</t>
  </si>
  <si>
    <t>Prose della volgar lingua : l'editio princeps del 1525 riscontrata con l'autografo Vaticano latino 3210 / Pietro Bembo ; edizione critica a cura di Claudio Vela.</t>
  </si>
  <si>
    <t>Bologna : CLUEB, ©2001.</t>
  </si>
  <si>
    <t>Testi e studi di filologia e letteratura ; 5</t>
  </si>
  <si>
    <t>2018-04-04</t>
  </si>
  <si>
    <t>1152193050:ita</t>
  </si>
  <si>
    <t>48107887</t>
  </si>
  <si>
    <t>ocm48107887</t>
  </si>
  <si>
    <t>3102171347U</t>
  </si>
  <si>
    <t>9788849115857</t>
  </si>
  <si>
    <t>793716135</t>
  </si>
  <si>
    <t>PQ4608 K53 2004</t>
  </si>
  <si>
    <t>0                      PQ 4608000K  53          2004</t>
  </si>
  <si>
    <t>Pietro Bembo : lover, linguist, cardinal / Carol Kidwell.</t>
  </si>
  <si>
    <t>Kidwell, Carol.</t>
  </si>
  <si>
    <t>Montreal ; Ithaca : McGill-Queen's University Press, ©2004.</t>
  </si>
  <si>
    <t>2017-11-26</t>
  </si>
  <si>
    <t>793980815:eng</t>
  </si>
  <si>
    <t>54500712</t>
  </si>
  <si>
    <t>ocm54500712</t>
  </si>
  <si>
    <t>31024196045</t>
  </si>
  <si>
    <t>9780773527096</t>
  </si>
  <si>
    <t>793863047</t>
  </si>
  <si>
    <t>PQ4608 W55 2017</t>
  </si>
  <si>
    <t>0                      PQ 4608000W  55          2017</t>
  </si>
  <si>
    <t>Pietro Bembo on Etna : the ascent of a Venetian humanist / Gareth D. Williams.</t>
  </si>
  <si>
    <t>Williams, Gareth D., author.</t>
  </si>
  <si>
    <t>New York, NY : Oxford University Press, [2017]</t>
  </si>
  <si>
    <t>4146256550:eng</t>
  </si>
  <si>
    <t>973920986</t>
  </si>
  <si>
    <t>ocn973920986</t>
  </si>
  <si>
    <t>3103811790T</t>
  </si>
  <si>
    <t>9780190272296</t>
  </si>
  <si>
    <t>795029392</t>
  </si>
  <si>
    <t>PQ4610 B4 A83613 1984</t>
  </si>
  <si>
    <t>0                      PQ 4610000B  4                  A  83613       1984</t>
  </si>
  <si>
    <t>Commentary on a canzone of Benivieni / by Giovanni Pico della Mirandola ; translated by Sears Jayne.</t>
  </si>
  <si>
    <t>Pico della Mirandola, Giovanni, 1463-1494.</t>
  </si>
  <si>
    <t>New York : P. Lang, ©1984.</t>
  </si>
  <si>
    <t>American university studies. Series II, Romance languages and literature ; v. 19</t>
  </si>
  <si>
    <t>3377115897:eng</t>
  </si>
  <si>
    <t>11157615</t>
  </si>
  <si>
    <t>ocm11157615</t>
  </si>
  <si>
    <t>30003723179</t>
  </si>
  <si>
    <t>9780820401751</t>
  </si>
  <si>
    <t>792760735</t>
  </si>
  <si>
    <t>PQ4610 B47 Z64 1978</t>
  </si>
  <si>
    <t>0                      PQ 4610000B  47                 Z  64          1978</t>
  </si>
  <si>
    <t>Arcadia and the stage : an introduction to the dramatic art of Angelo Beolco called Ruzante / by Nancy Dersofi ; with an introd. by Dante Della Terza.</t>
  </si>
  <si>
    <t>Dersofi, Nancy.</t>
  </si>
  <si>
    <t>Madrid : J. Porrúa Turanzas, [1978]</t>
  </si>
  <si>
    <t>Studia humanitatis</t>
  </si>
  <si>
    <t>293866451:eng</t>
  </si>
  <si>
    <t>4540746</t>
  </si>
  <si>
    <t>ocm04540746</t>
  </si>
  <si>
    <t>3000360658$</t>
  </si>
  <si>
    <t>9788473170758</t>
  </si>
  <si>
    <t>792360602</t>
  </si>
  <si>
    <t>PQ4610 B5 2014</t>
  </si>
  <si>
    <t>0                      PQ 4610000B  5           2014</t>
  </si>
  <si>
    <t>Opere di Francesco Berni e dei berneschi / a cura di Giorgio Bárberi Squarotti e Moreno Savoretti.</t>
  </si>
  <si>
    <t>Berni, Francesco, 1497 or 1498-1535, author.</t>
  </si>
  <si>
    <t>Torino : UTET grandi opere, [2014]</t>
  </si>
  <si>
    <t>Classici italiani</t>
  </si>
  <si>
    <t>3862826628:ita</t>
  </si>
  <si>
    <t>885252971</t>
  </si>
  <si>
    <t>ocn885252971</t>
  </si>
  <si>
    <t>3103539040T</t>
  </si>
  <si>
    <t>9788802087023</t>
  </si>
  <si>
    <t>794977173</t>
  </si>
  <si>
    <t>PQ4610 B58 U7313 2005</t>
  </si>
  <si>
    <t>0                      PQ 4610000B  58                 U  7313        2005</t>
  </si>
  <si>
    <t>Urania : a romance / Giulia Bigolina ; edited and translated by Valeria Finucci.</t>
  </si>
  <si>
    <t>Bigolina, Giulia, -1569.</t>
  </si>
  <si>
    <t>Chicago : University of Chicago Press, 2005.</t>
  </si>
  <si>
    <t>The other voice in early modern Europe</t>
  </si>
  <si>
    <t>990807:eng</t>
  </si>
  <si>
    <t>55730038</t>
  </si>
  <si>
    <t>ocm55730038</t>
  </si>
  <si>
    <t>3102433019Z</t>
  </si>
  <si>
    <t>9780226048772</t>
  </si>
  <si>
    <t>793881616</t>
  </si>
  <si>
    <t>PQ4610 B58 Z65 2011</t>
  </si>
  <si>
    <t>0                      PQ 4610000B  58                 Z  65          2011</t>
  </si>
  <si>
    <t>Kissing the wild woman : art, beauty, and the reformation of the Italian prose romance in Giulia Bigolina's Urania / Christopher Nissen.</t>
  </si>
  <si>
    <t>Nissen, Christopher.</t>
  </si>
  <si>
    <t>896355849:eng</t>
  </si>
  <si>
    <t>720811306</t>
  </si>
  <si>
    <t>ocn720811306</t>
  </si>
  <si>
    <t>3103326207N</t>
  </si>
  <si>
    <t>9781442643406</t>
  </si>
  <si>
    <t>794875177</t>
  </si>
  <si>
    <t>PQ4612 A9 2012</t>
  </si>
  <si>
    <t>0                      PQ 4612000A  9           2012</t>
  </si>
  <si>
    <t>Amorum libri tres / Matteo Maria Boiardo ; a cura di Tiziano Zanato.</t>
  </si>
  <si>
    <t>Boiardo, Matteo Maria, 1441 - 1494.</t>
  </si>
  <si>
    <t>Novara : Interlinea Edizioni, 2012.</t>
  </si>
  <si>
    <t>Opere ; / di Matteo Maria Boiardo ; 3,2</t>
  </si>
  <si>
    <t>3375591255:ita</t>
  </si>
  <si>
    <t>793802626</t>
  </si>
  <si>
    <t>ocn793802626</t>
  </si>
  <si>
    <t>3103125800L</t>
  </si>
  <si>
    <t>9788882128449</t>
  </si>
  <si>
    <t>794918704</t>
  </si>
  <si>
    <t>31031257996</t>
  </si>
  <si>
    <t>794918705</t>
  </si>
  <si>
    <t>PQ4612 C36 1993</t>
  </si>
  <si>
    <t>0                      PQ 4612000C  36          1993</t>
  </si>
  <si>
    <t>Tarocchi / Matteo Maria Boiardo ; a cura di Simona Foà.</t>
  </si>
  <si>
    <t>Boiardo, Matteo Maria, 1440 or 1441-1494.</t>
  </si>
  <si>
    <t>Roma : Salerno editrice, ©1993.</t>
  </si>
  <si>
    <t>Minima ; 40</t>
  </si>
  <si>
    <t>2016-10-13</t>
  </si>
  <si>
    <t>3857536470:ita</t>
  </si>
  <si>
    <t>30459911</t>
  </si>
  <si>
    <t>ocm30459911</t>
  </si>
  <si>
    <t>3101443482J</t>
  </si>
  <si>
    <t>9788884021267</t>
  </si>
  <si>
    <t>793335906</t>
  </si>
  <si>
    <t>PQ4614 C62 2011</t>
  </si>
  <si>
    <t>0                      PQ 4614000C  62          2011</t>
  </si>
  <si>
    <t>Boiardo a Scandiano : dieci anni di studi : atti del Convegno, Scandiano 21 maggio 2011 / a cura di Andrea Canova e Gino Ruozzi.</t>
  </si>
  <si>
    <t>Convegno su Boiardo a Scandiano (2011 : Scandiano, Italy)</t>
  </si>
  <si>
    <t>Studi ; 68</t>
  </si>
  <si>
    <t>1182609232:ita</t>
  </si>
  <si>
    <t>812250958</t>
  </si>
  <si>
    <t>ocn812250958</t>
  </si>
  <si>
    <t>3103125918G</t>
  </si>
  <si>
    <t>9788882128524</t>
  </si>
  <si>
    <t>794930782</t>
  </si>
  <si>
    <t>PQ4615 B43 M3 1994</t>
  </si>
  <si>
    <t>0                      PQ 4615000B  43                 M  3           1994</t>
  </si>
  <si>
    <t>Maria Maddalena peccatrice e convertita / Anton Giulio Brignole Sale ; a cura di Delia Eusebio.</t>
  </si>
  <si>
    <t>Brignole Sale, Anton Giulio, 1605-1662.</t>
  </si>
  <si>
    <t>Parma : Fondazione Pietro Bembo : Ugo Guanda, ©1994.</t>
  </si>
  <si>
    <t>Biblioteca di scrittori italiani</t>
  </si>
  <si>
    <t>429016644:ita</t>
  </si>
  <si>
    <t>39042499</t>
  </si>
  <si>
    <t>ocm39042499</t>
  </si>
  <si>
    <t>3101576267K</t>
  </si>
  <si>
    <t>9788877467423</t>
  </si>
  <si>
    <t>793536423</t>
  </si>
  <si>
    <t>PQ4615 B5 A3 1993</t>
  </si>
  <si>
    <t>0                      PQ 4615000B  5                  A  3           1993</t>
  </si>
  <si>
    <t>Oeuvres complètes = opere complete / Giordano Bruno ; introduction philologique de Giovanni Aquilecchia ; texte établi par Giovanni Aquilecchia ; préface et notes de Giorgio Bàrberi Squarotti ; traduction de Yves Hersant.</t>
  </si>
  <si>
    <t>Sect.1:v.5:pt.1</t>
  </si>
  <si>
    <t>Bruno, Giordano, 1548-1600.</t>
  </si>
  <si>
    <t>Paris : Les Belles Lettres, 1993-</t>
  </si>
  <si>
    <t>2003-05-31</t>
  </si>
  <si>
    <t>2868905988:fre</t>
  </si>
  <si>
    <t>29696289</t>
  </si>
  <si>
    <t>ocm29696289</t>
  </si>
  <si>
    <t>3101968959X</t>
  </si>
  <si>
    <t>9782251344430</t>
  </si>
  <si>
    <t>793318601</t>
  </si>
  <si>
    <t>Sect.1:v.7:2008</t>
  </si>
  <si>
    <t>2015-09-08</t>
  </si>
  <si>
    <t>3103026501W</t>
  </si>
  <si>
    <t>793318597</t>
  </si>
  <si>
    <t>Sect.3:v.3</t>
  </si>
  <si>
    <t>31026934874</t>
  </si>
  <si>
    <t>793318594</t>
  </si>
  <si>
    <t>Sect.3:v.5</t>
  </si>
  <si>
    <t>31033938519</t>
  </si>
  <si>
    <t>793318593</t>
  </si>
  <si>
    <t>Sect.3:v.2</t>
  </si>
  <si>
    <t>3102291840W</t>
  </si>
  <si>
    <t>793318595</t>
  </si>
  <si>
    <t>Sect.1:v.3:2016</t>
  </si>
  <si>
    <t>3103701557B</t>
  </si>
  <si>
    <t>793318604</t>
  </si>
  <si>
    <t>Sect.1:v.4:2006</t>
  </si>
  <si>
    <t>2014-06-27</t>
  </si>
  <si>
    <t>3102683642B</t>
  </si>
  <si>
    <t>793318602</t>
  </si>
  <si>
    <t>Sect.1:v.5:pt.2</t>
  </si>
  <si>
    <t>31019690176</t>
  </si>
  <si>
    <t>793318600</t>
  </si>
  <si>
    <t>Sect.1:v.1</t>
  </si>
  <si>
    <t>3101406607Y</t>
  </si>
  <si>
    <t>793318608</t>
  </si>
  <si>
    <t>Sect.1:v.2</t>
  </si>
  <si>
    <t>2015-10-05</t>
  </si>
  <si>
    <t>3101406570V</t>
  </si>
  <si>
    <t>793318606</t>
  </si>
  <si>
    <t>Sect.1:v.6</t>
  </si>
  <si>
    <t>2014-07-03</t>
  </si>
  <si>
    <t>31014066124</t>
  </si>
  <si>
    <t>793318599</t>
  </si>
  <si>
    <t>Sect.1:v.3</t>
  </si>
  <si>
    <t>31015967408</t>
  </si>
  <si>
    <t>793318605</t>
  </si>
  <si>
    <t>Sect.1:v.7</t>
  </si>
  <si>
    <t>3102001367$</t>
  </si>
  <si>
    <t>793318598</t>
  </si>
  <si>
    <t>Sect.1:v.4</t>
  </si>
  <si>
    <t>31015452854</t>
  </si>
  <si>
    <t>793318603</t>
  </si>
  <si>
    <t>Sect.1:v.1:2003</t>
  </si>
  <si>
    <t>3102682394E</t>
  </si>
  <si>
    <t>793318607</t>
  </si>
  <si>
    <t>Sect.3:v.1</t>
  </si>
  <si>
    <t>3102069756N</t>
  </si>
  <si>
    <t>793318596</t>
  </si>
  <si>
    <t>PQ4615.B5 A58 1993</t>
  </si>
  <si>
    <t>0                      PQ 4615000B  5                  A  58          1993</t>
  </si>
  <si>
    <t>STANDING ORDER</t>
  </si>
  <si>
    <t>B000334828</t>
  </si>
  <si>
    <t>793318609</t>
  </si>
  <si>
    <t>PQ4615 B5 C3637 2007</t>
  </si>
  <si>
    <t>0                      PQ 4615000B  5                  C  3637        2007</t>
  </si>
  <si>
    <t>Comica pazzia : vicissitudine e destini umani nel Candelaio di Giordano Bruno / Anna Laura Puliafito Bleuel.</t>
  </si>
  <si>
    <t>Puliafito Bleuel, Anna Laura.</t>
  </si>
  <si>
    <t>Studi e testi per la storia religiosa del Cinquecento, 1122-0694 ; 13</t>
  </si>
  <si>
    <t>315474493:ita</t>
  </si>
  <si>
    <t>85842415</t>
  </si>
  <si>
    <t>ocm85842415</t>
  </si>
  <si>
    <t>3102826162S</t>
  </si>
  <si>
    <t>9788822256249</t>
  </si>
  <si>
    <t>794217023</t>
  </si>
  <si>
    <t>PQ4615 B5 Z88 2005</t>
  </si>
  <si>
    <t>0                      PQ 4615000B  5                  Z  88          2005</t>
  </si>
  <si>
    <t>Giordano Bruno and the geometry of language / Arielle Saiber.</t>
  </si>
  <si>
    <t>Saiber, Arielle.</t>
  </si>
  <si>
    <t>Aldershot, Hampshire, England ; Burlington, VT : Ashgate, ©2005.</t>
  </si>
  <si>
    <t>Literary and scientific cultures of early modernity</t>
  </si>
  <si>
    <t>2458072:eng</t>
  </si>
  <si>
    <t>57501024</t>
  </si>
  <si>
    <t>ocm57501024</t>
  </si>
  <si>
    <t>3102480004O</t>
  </si>
  <si>
    <t>9780754633211</t>
  </si>
  <si>
    <t>793914200</t>
  </si>
  <si>
    <t>PQ4615.B56 Z624 2012</t>
  </si>
  <si>
    <t>0                      PQ 4615000B  56                 Z  624         2012</t>
  </si>
  <si>
    <t>Studi su Girolamo Brusoni / Maria Di Giovanna.</t>
  </si>
  <si>
    <t>Di Giovanna, Maria.</t>
  </si>
  <si>
    <t>Caltanissetta : Salvatore Sciascia Editore, [2012]</t>
  </si>
  <si>
    <t>Talea ; 4</t>
  </si>
  <si>
    <t>1217664871:ita</t>
  </si>
  <si>
    <t>834494738</t>
  </si>
  <si>
    <t>ocn834494738</t>
  </si>
  <si>
    <t>3103126167Q</t>
  </si>
  <si>
    <t>9788882413231</t>
  </si>
  <si>
    <t>794944365</t>
  </si>
  <si>
    <t>PQ4615 B6 A23 1980</t>
  </si>
  <si>
    <t>0                      PQ 4615000B  6                  A  23          1980</t>
  </si>
  <si>
    <t>Complete poems and selected letters of Michelangelo / translated, with foreword and notes, by Creighton Gilbert ; edited, with biographical introduction, by Robert N. Linscott.</t>
  </si>
  <si>
    <t>Michelangelo Buonarroti, 1475-1564, author.</t>
  </si>
  <si>
    <t>Princeton, N.J. : Princeton University Press, ©1980.</t>
  </si>
  <si>
    <t>1st Princeton paperback, [3rd edition]</t>
  </si>
  <si>
    <t>2016-06-09</t>
  </si>
  <si>
    <t>3855445510:eng</t>
  </si>
  <si>
    <t>6454946</t>
  </si>
  <si>
    <t>ocm06454946</t>
  </si>
  <si>
    <t>3103476239N</t>
  </si>
  <si>
    <t>9780691072340</t>
  </si>
  <si>
    <t>792500423</t>
  </si>
  <si>
    <t>PQ4615 B6 A265 1991</t>
  </si>
  <si>
    <t>0                      PQ 4615000B  6                  A  265         1991</t>
  </si>
  <si>
    <t>The poetry of Michelangelo : an annotated translation / by James M. Saslow.</t>
  </si>
  <si>
    <t>New Haven : Yale University Press, ©1991.</t>
  </si>
  <si>
    <t>2018-01-17</t>
  </si>
  <si>
    <t>2019-11-10</t>
  </si>
  <si>
    <t>287238238:eng</t>
  </si>
  <si>
    <t>22450593</t>
  </si>
  <si>
    <t>ocm22450593</t>
  </si>
  <si>
    <t>3103634634U</t>
  </si>
  <si>
    <t>9780300049602</t>
  </si>
  <si>
    <t>793144427</t>
  </si>
  <si>
    <t>31028661952</t>
  </si>
  <si>
    <t>793144428</t>
  </si>
  <si>
    <t>PQ4615 B6 A268 1997</t>
  </si>
  <si>
    <t>0                      PQ 4615000B  6                  A  268         1997</t>
  </si>
  <si>
    <t>Love sonnets and madrigals to Tommaso de'Cavalieri / Michelangelo ; translated from the Italian and with an introduction by Michael Sullivan.</t>
  </si>
  <si>
    <t>Michelangelo Buonarroti, 1475-1564.</t>
  </si>
  <si>
    <t>London : P. Owen, 1997.</t>
  </si>
  <si>
    <t>2019-10-17</t>
  </si>
  <si>
    <t>287238287:eng</t>
  </si>
  <si>
    <t>38269740</t>
  </si>
  <si>
    <t>ocm38269740</t>
  </si>
  <si>
    <t>3101911078J</t>
  </si>
  <si>
    <t>9780720610406</t>
  </si>
  <si>
    <t>793520746</t>
  </si>
  <si>
    <t>PQ4615 B6 A27</t>
  </si>
  <si>
    <t>0                      PQ 4615000B  6                  A  27</t>
  </si>
  <si>
    <t>The sonnets of Michael Angelo Buonarroti and Tommaso Campanella / now for the first time translated into rhymed English by John Addington Symonds.</t>
  </si>
  <si>
    <t>London : Smith, Elder, &amp; Co., 1878</t>
  </si>
  <si>
    <t>1878</t>
  </si>
  <si>
    <t>2869733803:eng</t>
  </si>
  <si>
    <t>34424848</t>
  </si>
  <si>
    <t>ocm34424848</t>
  </si>
  <si>
    <t>30007742538</t>
  </si>
  <si>
    <t>793426489</t>
  </si>
  <si>
    <t>PQ4615 B6 A27 1970</t>
  </si>
  <si>
    <t>0                      PQ 4615000B  6                  A  27          1970</t>
  </si>
  <si>
    <t>The sonnets of Michelangelo. Translated by Elizabeth Jennings, with a selection of Michelangelo drawings and an introd. by Michael Ayrton.</t>
  </si>
  <si>
    <t>Garden City, N.Y., Doubleday, 1970 [©1961]</t>
  </si>
  <si>
    <t>[1st ed. in the U.S.].</t>
  </si>
  <si>
    <t>2015-11-23</t>
  </si>
  <si>
    <t>3943277484:eng</t>
  </si>
  <si>
    <t>106212</t>
  </si>
  <si>
    <t>ocm00106212</t>
  </si>
  <si>
    <t>3000615585L</t>
  </si>
  <si>
    <t>791258933</t>
  </si>
  <si>
    <t>PQ4615 B6 A6 2015</t>
  </si>
  <si>
    <t>0                      PQ 4615000B  6                  A  6           2015</t>
  </si>
  <si>
    <t>Canzoniere / Michelangelo Buonarroti ; a cura di Maria Chiara Tarsi.</t>
  </si>
  <si>
    <t>[Milan, Italy] : Fondazione Pietro Bembo : Ugo Guanda Editore, [2015]</t>
  </si>
  <si>
    <t>3945482596:ita</t>
  </si>
  <si>
    <t>914471107</t>
  </si>
  <si>
    <t>ocn914471107</t>
  </si>
  <si>
    <t>3103629981R</t>
  </si>
  <si>
    <t>9788823509368</t>
  </si>
  <si>
    <t>795000245</t>
  </si>
  <si>
    <t>PQ4615 B6 A83 2010</t>
  </si>
  <si>
    <t>0                      PQ 4615000B  6                  A  83          2010</t>
  </si>
  <si>
    <t>Michelangelo and the art of letter writing / Deborah Parker.</t>
  </si>
  <si>
    <t>Cambridge [England] ; New York : Cambridge University Press, 2010.</t>
  </si>
  <si>
    <t>466274299:eng</t>
  </si>
  <si>
    <t>595739071</t>
  </si>
  <si>
    <t>ocn595739071</t>
  </si>
  <si>
    <t>3103235329L</t>
  </si>
  <si>
    <t>9780521761406</t>
  </si>
  <si>
    <t>794815067</t>
  </si>
  <si>
    <t>PQ4615 B6 A84x</t>
  </si>
  <si>
    <t>0                      PQ 4615000B  6                  A  84x</t>
  </si>
  <si>
    <t>Self and symbolism in the poetry of Michelangelo, John Donne, and Agrippa d'Aubigné. By Alma B. Altizer.</t>
  </si>
  <si>
    <t>Altizer, Alma B. (Alma Barker), 1941-</t>
  </si>
  <si>
    <t>The Hague, Martinus Nijhoff, 1973.</t>
  </si>
  <si>
    <t>Archives internationales d'histoire des idées. Series minor ; 10</t>
  </si>
  <si>
    <t>2016-02-12</t>
  </si>
  <si>
    <t>292460332:eng</t>
  </si>
  <si>
    <t>3207580</t>
  </si>
  <si>
    <t>ocm03207580</t>
  </si>
  <si>
    <t>3101566643O</t>
  </si>
  <si>
    <t>9789024715510</t>
  </si>
  <si>
    <t>792229836</t>
  </si>
  <si>
    <t>PQ4615 B6 B66</t>
  </si>
  <si>
    <t>0                      PQ 4615000B  6                  B  66</t>
  </si>
  <si>
    <t>Il Rinascimento e la lirica di Michelangelo : anno accademico 1960-61 / Umberto Bosco.</t>
  </si>
  <si>
    <t>Bosco, Umberto, 1900-1987.</t>
  </si>
  <si>
    <t>Roma : E. De Santis, [1961]</t>
  </si>
  <si>
    <t>475225408:ita</t>
  </si>
  <si>
    <t>427102585</t>
  </si>
  <si>
    <t>ocn427102585</t>
  </si>
  <si>
    <t>3000419013N</t>
  </si>
  <si>
    <t>794520116</t>
  </si>
  <si>
    <t>PQ4615 B6 C36 2012</t>
  </si>
  <si>
    <t>0                      PQ 4615000B  6                  C  36          2012</t>
  </si>
  <si>
    <t>Le varianti della poesia di Michelangelo : scrivere per via di porre / Ida Campeggiani.</t>
  </si>
  <si>
    <t>Campeggiani, Ida, 1987-</t>
  </si>
  <si>
    <t>Morgana ; 18</t>
  </si>
  <si>
    <t>1334701601:ita</t>
  </si>
  <si>
    <t>843957055</t>
  </si>
  <si>
    <t>ocn843957055</t>
  </si>
  <si>
    <t>3103126194K</t>
  </si>
  <si>
    <t>9788865501856</t>
  </si>
  <si>
    <t>794948367</t>
  </si>
  <si>
    <t>PQ4615 B6 C43 2017</t>
  </si>
  <si>
    <t>0                      PQ 4615000B  6                  C  43          2017</t>
  </si>
  <si>
    <t>"I' parlo a te, Signor" : itinerario spirituale di Michelangelo Buonarroti / Annamaria Cecchetto.</t>
  </si>
  <si>
    <t>Cecchetto, Annamaria, 1985- author.</t>
  </si>
  <si>
    <t>Roma : Fondazione Mario Luzi editore, giugno 2017.</t>
  </si>
  <si>
    <t>4666965486:ita</t>
  </si>
  <si>
    <t>1004290538</t>
  </si>
  <si>
    <t>on1004290538</t>
  </si>
  <si>
    <t>3103721185A</t>
  </si>
  <si>
    <t>9788867480838</t>
  </si>
  <si>
    <t>795041852</t>
  </si>
  <si>
    <t>PQ4615 B6 C55</t>
  </si>
  <si>
    <t>0                      PQ 4615000B  6                  C  55</t>
  </si>
  <si>
    <t>The poetry of Michelangelo [by] Robert J. Clements.</t>
  </si>
  <si>
    <t>Clements, Robert J. (Robert John), 1912-1993.</t>
  </si>
  <si>
    <t>[New York] New York University Press, 1965.</t>
  </si>
  <si>
    <t>The Gotham library of the New York University Press</t>
  </si>
  <si>
    <t>196630943:eng</t>
  </si>
  <si>
    <t>778309</t>
  </si>
  <si>
    <t>ocm00778309</t>
  </si>
  <si>
    <t>3103146273B</t>
  </si>
  <si>
    <t>791468014</t>
  </si>
  <si>
    <t>PQ4615 B6 R93 1998</t>
  </si>
  <si>
    <t>0                      PQ 4615000B  6                  R  93          1998</t>
  </si>
  <si>
    <t>The poetry of Michelangelo : an introduction / Christopher Ryan.</t>
  </si>
  <si>
    <t>Ryan, Christopher, 1943-2004.</t>
  </si>
  <si>
    <t>Madison [N.J.] : Fairleigh Dickinson University Press ; London : Associated University Presses, ©1998.</t>
  </si>
  <si>
    <t>344825684:eng</t>
  </si>
  <si>
    <t>38130589</t>
  </si>
  <si>
    <t>ocm38130589</t>
  </si>
  <si>
    <t>3101906385S</t>
  </si>
  <si>
    <t>9780838638026</t>
  </si>
  <si>
    <t>793516416</t>
  </si>
  <si>
    <t>PQ4615 B6 S35 2013</t>
  </si>
  <si>
    <t>0                      PQ 4615000B  6                  S  35          2013</t>
  </si>
  <si>
    <t>Michelangelo Buonarroti : forme del sapere tra letteratura e arte nel Rinascimento / Oscar Schiavone.</t>
  </si>
  <si>
    <t>Schiavone, Oscar, author.</t>
  </si>
  <si>
    <t>Firenze : Edizioni Polistampa, [2013]</t>
  </si>
  <si>
    <t>Universitario. Storia dell'arte ; 1</t>
  </si>
  <si>
    <t>1415568195:ita</t>
  </si>
  <si>
    <t>856902207</t>
  </si>
  <si>
    <t>ocn856902207</t>
  </si>
  <si>
    <t>3103561764L</t>
  </si>
  <si>
    <t>9788859612711</t>
  </si>
  <si>
    <t>794954573</t>
  </si>
  <si>
    <t>PQ4615 B7 Z66 2011</t>
  </si>
  <si>
    <t>0                      PQ 4615000B  7                  Z  66          2011</t>
  </si>
  <si>
    <t>Music, spectacle and cultural brokerage in early modern Italy : Michelangelo Buonarroti il Giovane / Janie Cole.</t>
  </si>
  <si>
    <t>Cole, Janie.</t>
  </si>
  <si>
    <t>[Firenze] : Olschki, 2011.</t>
  </si>
  <si>
    <t>Fondazione Carlo Marchi. Quaderni ; 44</t>
  </si>
  <si>
    <t>8911175853:ita</t>
  </si>
  <si>
    <t>779706090</t>
  </si>
  <si>
    <t>ocn779706090</t>
  </si>
  <si>
    <t>3103125722K</t>
  </si>
  <si>
    <t>794911271</t>
  </si>
  <si>
    <t>3103125721K</t>
  </si>
  <si>
    <t>794911272</t>
  </si>
  <si>
    <t>PQ4615.B7 Z66 2011</t>
  </si>
  <si>
    <t>Music, spectacle and cultural brokerage in early modern Italy : Michelangelo Buonarroti il giovane / Janie Cole.</t>
  </si>
  <si>
    <t>Quaderni / Fondazione Carlo Marchi ; 44</t>
  </si>
  <si>
    <t>1086924219:eng</t>
  </si>
  <si>
    <t>793100394</t>
  </si>
  <si>
    <t>ocn793100394</t>
  </si>
  <si>
    <t>B001560553</t>
  </si>
  <si>
    <t>9788822259899</t>
  </si>
  <si>
    <t>794917594</t>
  </si>
  <si>
    <t>PQ4615 B8 A2 2017</t>
  </si>
  <si>
    <t>0                      PQ 4615000B  8                  A  2           2017</t>
  </si>
  <si>
    <t>The poetry of Burchiello : deep-fried nouns, hunchbacked pumpkins, and other nonsense / Fabian Alfie, Aileen A. Feng, [translators].</t>
  </si>
  <si>
    <t>Burchiello, 1404-1449, author.</t>
  </si>
  <si>
    <t>Tempe, Arizona : ACMRS [Arizona Center for Medieval and Renaissance Studies], 2017.</t>
  </si>
  <si>
    <t>Medieval and Renaissance texts and studies ; volume 495</t>
  </si>
  <si>
    <t>8965114226:eng</t>
  </si>
  <si>
    <t>975487246</t>
  </si>
  <si>
    <t>ocn975487246</t>
  </si>
  <si>
    <t>3103701894U</t>
  </si>
  <si>
    <t>9780866985505</t>
  </si>
  <si>
    <t>795030200</t>
  </si>
  <si>
    <t>PQ4615 B8 2010</t>
  </si>
  <si>
    <t>0                      PQ 4615000B  8           2010</t>
  </si>
  <si>
    <t>Le poesie autentiche / Domenico di Giovanni detto il Burchiello ; a cura di Antonio Lanza.</t>
  </si>
  <si>
    <t>Burchiello, 1404-1449.</t>
  </si>
  <si>
    <t>Roma : Aracne, [2010]</t>
  </si>
  <si>
    <t>I classici italiani ; 1</t>
  </si>
  <si>
    <t>1011195513:ita</t>
  </si>
  <si>
    <t>775819688</t>
  </si>
  <si>
    <t>ocn775819688</t>
  </si>
  <si>
    <t>31031258717</t>
  </si>
  <si>
    <t>9788854832435</t>
  </si>
  <si>
    <t>794907869</t>
  </si>
  <si>
    <t>PQ4617 C365 Z56 2000</t>
  </si>
  <si>
    <t>0                      PQ 4617000C  365                Z  56          2000</t>
  </si>
  <si>
    <t>Riforma religiosa e poesia popolare a Venezia nel Cinquecento : Alessandro Caravia / Enrica Benini Clementi.</t>
  </si>
  <si>
    <t>Benini Clementi, Enrica.</t>
  </si>
  <si>
    <t>Firenze : L.S. Olschki, 2000.</t>
  </si>
  <si>
    <t>Studi e testi per la storia religiosa del Cinquecento, 1122-0694 ; 7</t>
  </si>
  <si>
    <t>2016-08-08</t>
  </si>
  <si>
    <t>320493705:ita</t>
  </si>
  <si>
    <t>43547834</t>
  </si>
  <si>
    <t>ocm43547834</t>
  </si>
  <si>
    <t>3102132765V</t>
  </si>
  <si>
    <t>9788822248367</t>
  </si>
  <si>
    <t>793629158</t>
  </si>
  <si>
    <t>PQ4617 C6 A6 1957</t>
  </si>
  <si>
    <t>0                      PQ 4617000C  6                  A  6           1957</t>
  </si>
  <si>
    <t>Prose scelte e annotate / Giovanni Della Casa ; a cura di Severino Ferrari ; nuova presentazione di Ettore Bonora.</t>
  </si>
  <si>
    <t>Della Casa, Giovanni, 1503-1556, author.</t>
  </si>
  <si>
    <t>Firenze : Sansoni, 1957.</t>
  </si>
  <si>
    <t>Biblioteca carducciana ; XVI</t>
  </si>
  <si>
    <t>4159881240:ita</t>
  </si>
  <si>
    <t>23502761</t>
  </si>
  <si>
    <t>ocm23502761</t>
  </si>
  <si>
    <t>3000614502J</t>
  </si>
  <si>
    <t>793174012</t>
  </si>
  <si>
    <t>PQ4617 C6 Z64 2006</t>
  </si>
  <si>
    <t>0                      PQ 4617000C  6                  Z  64          2006</t>
  </si>
  <si>
    <t>Giovanni Della Casa : un seminario per il centenario / a cura di Amedeo Quondam.</t>
  </si>
  <si>
    <t>Biblioteca del Cinquecento ; 120</t>
  </si>
  <si>
    <t>2019-09-18</t>
  </si>
  <si>
    <t>891716575:ita</t>
  </si>
  <si>
    <t>64556951</t>
  </si>
  <si>
    <t>ocm64556951</t>
  </si>
  <si>
    <t>3102629058X</t>
  </si>
  <si>
    <t>9788878700918</t>
  </si>
  <si>
    <t>794130127</t>
  </si>
  <si>
    <t>PQ4617 C6 Z76 1984</t>
  </si>
  <si>
    <t>0                      PQ 4617000C  6                  Z  76          1984</t>
  </si>
  <si>
    <t>Die "scienza civile" des Giovanni della Casa : Literatur als Gesellschaftskunst in der Gegenreformation / Klaus Ley.</t>
  </si>
  <si>
    <t>Ley, Klaus.</t>
  </si>
  <si>
    <t>Heidelberg : C. Winter, 1984.</t>
  </si>
  <si>
    <t>Studia Romanica ; 57. Heft</t>
  </si>
  <si>
    <t>289544700:ger</t>
  </si>
  <si>
    <t>11561385</t>
  </si>
  <si>
    <t>ocm11561385</t>
  </si>
  <si>
    <t>3103636129X</t>
  </si>
  <si>
    <t>9783533035350</t>
  </si>
  <si>
    <t>792778493</t>
  </si>
  <si>
    <t>PQ4617 C617 M34 2012</t>
  </si>
  <si>
    <t>0                      PQ 4617000C  617                M  34          2012</t>
  </si>
  <si>
    <t>Il magnifico Signor Cavallier Luigi Cassola piacentino : edizione critica dei Madrigali, censimento e indice dei capoversi di tutte le rime / [edited by] Giuliano Bellorini.</t>
  </si>
  <si>
    <t>Cassola, Luigi, -approximately 1560.</t>
  </si>
  <si>
    <t>Firenze : Leo S. Olschki editore, 2012.</t>
  </si>
  <si>
    <t>Biblioteca dell'archivum romanicum. Serie I: Storia, letteratura, paleografia ; 401</t>
  </si>
  <si>
    <t>1203206303:ita</t>
  </si>
  <si>
    <t>820786231</t>
  </si>
  <si>
    <t>ocn820786231</t>
  </si>
  <si>
    <t>3103126297H</t>
  </si>
  <si>
    <t>9788822261779</t>
  </si>
  <si>
    <t>794935799</t>
  </si>
  <si>
    <t>PQ4617 C65 A6 2015</t>
  </si>
  <si>
    <t>0                      PQ 4617000C  65                 A  6           2015</t>
  </si>
  <si>
    <t>Rime e Tirsi / Baldassarre Castiglione - Cesare Gonzaga ; a cura di Giacomo Vagni.</t>
  </si>
  <si>
    <t>Bologna : I libri di Emil, [2015]</t>
  </si>
  <si>
    <t>Biblioteca del Rinascimento e del Barocco ; .8</t>
  </si>
  <si>
    <t>2577344031:ita</t>
  </si>
  <si>
    <t>914253205</t>
  </si>
  <si>
    <t>ocn914253205</t>
  </si>
  <si>
    <t>3103630293D</t>
  </si>
  <si>
    <t>9788866801368</t>
  </si>
  <si>
    <t>795000013</t>
  </si>
  <si>
    <t>PQ4617 C65 Z48 2016</t>
  </si>
  <si>
    <t>0                      PQ 4617000C  65                 Z  48          2016</t>
  </si>
  <si>
    <t>Lettere famigliari e diplomatiche / Baldassarre Castiglione ; a cura di Guido La Rocca, Angelo Stella e Umberto Morando ; lettera ad Alfonso Valdés a cura di Paolo Pintacuda ; nota al testo di Roberto Vetrugno ; note alle illustrazioni di Luca Bianco ; introduzione di Angelo Stella.</t>
  </si>
  <si>
    <t>Castiglione, Baldassarre, conte, 1478-1529, author.</t>
  </si>
  <si>
    <t>Torino : Giulio Einaudi editore, [2016]</t>
  </si>
  <si>
    <t>3875666030:ita</t>
  </si>
  <si>
    <t>958844916</t>
  </si>
  <si>
    <t>ocn958844916</t>
  </si>
  <si>
    <t>31037153086</t>
  </si>
  <si>
    <t>9788806183783</t>
  </si>
  <si>
    <t>795022042</t>
  </si>
  <si>
    <t>3103715313D</t>
  </si>
  <si>
    <t>795022041</t>
  </si>
  <si>
    <t>3103715303G</t>
  </si>
  <si>
    <t>795022040</t>
  </si>
  <si>
    <t>PQ4618 A17 1952</t>
  </si>
  <si>
    <t>0                      PQ 4618000A  17          1952</t>
  </si>
  <si>
    <t>Canzonette, rime varie, dialoghi / a cura di Luigi Negri.</t>
  </si>
  <si>
    <t>Chiabrera, Gabriello, 1552-1638.</t>
  </si>
  <si>
    <t>[Torino] Unione tipografico-editrice torinese [1952]</t>
  </si>
  <si>
    <t>Classici italiani, v. 47</t>
  </si>
  <si>
    <t>3565993:ita</t>
  </si>
  <si>
    <t>5730728</t>
  </si>
  <si>
    <t>ocm05730728</t>
  </si>
  <si>
    <t>3000625850M</t>
  </si>
  <si>
    <t>792449661</t>
  </si>
  <si>
    <t>PQ4619 C17 P4 2000</t>
  </si>
  <si>
    <t>0                      PQ 4619000C  17                 P  4           2000</t>
  </si>
  <si>
    <t>Peregrinaggio di tre giovani figliuoli del re di Serendippo / Cristoforo Armeno ; a cura di Renzo Bragantini.</t>
  </si>
  <si>
    <t>Cristoforo Armeno, active 16th century.</t>
  </si>
  <si>
    <t>Roma : Salerno, 2000.</t>
  </si>
  <si>
    <t>I novellieri italiani ; v. 31</t>
  </si>
  <si>
    <t>2018-09-18</t>
  </si>
  <si>
    <t>4160295612:ita</t>
  </si>
  <si>
    <t>51304061</t>
  </si>
  <si>
    <t>ocm51304061</t>
  </si>
  <si>
    <t>31020478823</t>
  </si>
  <si>
    <t>9788884023001</t>
  </si>
  <si>
    <t>793782631</t>
  </si>
  <si>
    <t>PQ4619 C9 A23 1999</t>
  </si>
  <si>
    <t>0                      PQ 4619000C  9                  A  23          1999</t>
  </si>
  <si>
    <t>Hypnerotomachia Poliphili = The strife of love in a dream / Francesco Colonna ; the entire text translated for the first time into English with an introduction by Joscelyn Godwin with the original woodcut illustrations.</t>
  </si>
  <si>
    <t>Colonna, Francesco, -1527.</t>
  </si>
  <si>
    <t>London : Thames &amp; Hudson, 1999.</t>
  </si>
  <si>
    <t>4535591794:eng</t>
  </si>
  <si>
    <t>46633906</t>
  </si>
  <si>
    <t>ocm46633906</t>
  </si>
  <si>
    <t>3102070457Z</t>
  </si>
  <si>
    <t>9780500019429</t>
  </si>
  <si>
    <t>793688141</t>
  </si>
  <si>
    <t>PQ4619 C9 E5 1976</t>
  </si>
  <si>
    <t>0                      PQ 4619000C  9                  E  5           1976</t>
  </si>
  <si>
    <t>Hypnerotomachia, the strife of love in a dream, London 1592 / Francesco Colonna.</t>
  </si>
  <si>
    <t>New York : Garland Pub., 1976.</t>
  </si>
  <si>
    <t>The Renaissance and the gods</t>
  </si>
  <si>
    <t>2120997</t>
  </si>
  <si>
    <t>ocm02120997</t>
  </si>
  <si>
    <t>3102983662Q</t>
  </si>
  <si>
    <t>9780824020644</t>
  </si>
  <si>
    <t>792051009</t>
  </si>
  <si>
    <t>PQ4619 C9 E5 1999</t>
  </si>
  <si>
    <t>0                      PQ 4619000C  9                  E  5           1999</t>
  </si>
  <si>
    <t>Hypnerotomachia Poliphili : the strife of love in a dream / Francesco Colonna ; the entire text translated for the first time into English with an introduction by Joscelyn Godwin ; with the original woodcut illustrations.</t>
  </si>
  <si>
    <t>London : Thames &amp; Hudson, 1999</t>
  </si>
  <si>
    <t>2019-05-30</t>
  </si>
  <si>
    <t>56440229</t>
  </si>
  <si>
    <t>ocm56440229</t>
  </si>
  <si>
    <t>3103608651S</t>
  </si>
  <si>
    <t>9780500511046</t>
  </si>
  <si>
    <t>793893357</t>
  </si>
  <si>
    <t>PQ4619 C9 F8 1981</t>
  </si>
  <si>
    <t>0                      PQ 4619000C  9                  F  8           1981</t>
  </si>
  <si>
    <t>Le songe de Poliphile : ou, Hypnérotomachie / Francesco Colonna ; [Littéralement traduit pour la première fois, avec une introd. et des notes par Claudius Popelin].</t>
  </si>
  <si>
    <t>Genève : Slatkine Reprints, 1981.</t>
  </si>
  <si>
    <t>2015-12-15</t>
  </si>
  <si>
    <t>4535591794:fre</t>
  </si>
  <si>
    <t>427170298</t>
  </si>
  <si>
    <t>ocn427170298</t>
  </si>
  <si>
    <t>3000335060T</t>
  </si>
  <si>
    <t>9782051003353</t>
  </si>
  <si>
    <t>794524185</t>
  </si>
  <si>
    <t>3100809153C</t>
  </si>
  <si>
    <t>794524184</t>
  </si>
  <si>
    <t>PQ4619 C9 H973 2012</t>
  </si>
  <si>
    <t>0                      PQ 4619000C  9                  H  973         2012</t>
  </si>
  <si>
    <t>Hypnerotomachia Poliphili e Roma : metodologie euristiche per lo studio del Rinascimento / Stefano Colonna.</t>
  </si>
  <si>
    <t>Colonna, Stefano.</t>
  </si>
  <si>
    <t>Roma : Gangemi Editore, [2012]</t>
  </si>
  <si>
    <t>2019-02-25</t>
  </si>
  <si>
    <t>1209547289:ita</t>
  </si>
  <si>
    <t>828409877</t>
  </si>
  <si>
    <t>ocn828409877</t>
  </si>
  <si>
    <t>3103623664W</t>
  </si>
  <si>
    <t>9788849224719</t>
  </si>
  <si>
    <t>794941094</t>
  </si>
  <si>
    <t>PQ4619 C9 Z66 2006</t>
  </si>
  <si>
    <t>0                      PQ 4619000C  9                  Z  66          2006</t>
  </si>
  <si>
    <t>Hypnerotomachia Poliphili : re-discovering antiquity through the dreams of Poliphilus / Esteban Alejandro Cruz.</t>
  </si>
  <si>
    <t>Cruz, Esteban Alejandro, 1971-</t>
  </si>
  <si>
    <t>Victoria, B.C. : Trafford, c2006.</t>
  </si>
  <si>
    <t>505333286:eng</t>
  </si>
  <si>
    <t>82771710</t>
  </si>
  <si>
    <t>ocm82771710</t>
  </si>
  <si>
    <t>3103701166Q</t>
  </si>
  <si>
    <t>9781412053242</t>
  </si>
  <si>
    <t>794206997</t>
  </si>
  <si>
    <t>PQ4619 C9 Z737 1986</t>
  </si>
  <si>
    <t>0                      PQ 4619000C  9                  Z  737         1986</t>
  </si>
  <si>
    <t>Les jardins du songe : "Poliphile" et la mystique de la Renaissance / Emanuela Kretzulesco-Quaranta ; préface de Pierre Lyautey.</t>
  </si>
  <si>
    <t>Kretzulesco-Quaranta, Emanuela.</t>
  </si>
  <si>
    <t>Paris : Les Belles Lettres, 1986.</t>
  </si>
  <si>
    <t>2e éd. rev. et corr.</t>
  </si>
  <si>
    <t>2015-12-21</t>
  </si>
  <si>
    <t>865304968:fre</t>
  </si>
  <si>
    <t>19857555</t>
  </si>
  <si>
    <t>ocm19857555</t>
  </si>
  <si>
    <t>3103545520T</t>
  </si>
  <si>
    <t>9782251344805</t>
  </si>
  <si>
    <t>793070787</t>
  </si>
  <si>
    <t>PQ4619 C9 Z76 2005</t>
  </si>
  <si>
    <t>0                      PQ 4619000C  9                  Z  76          2005</t>
  </si>
  <si>
    <t>Leon Battista Alberti's hypnerotomachia poliphili : re-cognizing the architectural body in the early Italian Renaissance / Liane Lefaivre.</t>
  </si>
  <si>
    <t>Lefaivre, Liane.</t>
  </si>
  <si>
    <t>Cambridge, Mass. ; London : MIT Press, 2005.</t>
  </si>
  <si>
    <t>1st MIT Press pbk. ed.</t>
  </si>
  <si>
    <t>18533478:eng</t>
  </si>
  <si>
    <t>988621699</t>
  </si>
  <si>
    <t>ocn988621699</t>
  </si>
  <si>
    <t>3103862959H</t>
  </si>
  <si>
    <t>9780262621953</t>
  </si>
  <si>
    <t>795036821</t>
  </si>
  <si>
    <t>B001674298</t>
  </si>
  <si>
    <t>795036820</t>
  </si>
  <si>
    <t>PQ4619 C9 1969</t>
  </si>
  <si>
    <t>0                      PQ 4619000C  9           1969</t>
  </si>
  <si>
    <t>Hypnerotomachia Poliphili : ubi humana omnia non nisi somnium esse docet : atque obiter plurima scitu sane quam digna commemorat : Venice 1499.</t>
  </si>
  <si>
    <t>Farnborough, Hants., England : Gregg, 1969.</t>
  </si>
  <si>
    <t>4535591794:ita</t>
  </si>
  <si>
    <t>101153</t>
  </si>
  <si>
    <t>ocm00101153</t>
  </si>
  <si>
    <t>3102983663Q</t>
  </si>
  <si>
    <t>9780576159944</t>
  </si>
  <si>
    <t>791257060</t>
  </si>
  <si>
    <t>PQ4619 C9 1980</t>
  </si>
  <si>
    <t>0                      PQ 4619000C  9           1980</t>
  </si>
  <si>
    <t>Hypnerotomachia Poliphili / Francesco Colonna ; edizione critica e commento a cura di Giovanni Pozzi e Lucia A. Ciapponi.</t>
  </si>
  <si>
    <t>Padova : Antenore, 1980.</t>
  </si>
  <si>
    <t>Ristampa anastatica in formato ridotto con correzioni, una premessa e un aggiornamento bibliografico.</t>
  </si>
  <si>
    <t>Medioevo e umanesimo ; 38-39</t>
  </si>
  <si>
    <t>2012-04-05</t>
  </si>
  <si>
    <t>7006723</t>
  </si>
  <si>
    <t>ocm07006723</t>
  </si>
  <si>
    <t>3100809154A</t>
  </si>
  <si>
    <t>792535168</t>
  </si>
  <si>
    <t>30003239544</t>
  </si>
  <si>
    <t>792535169</t>
  </si>
  <si>
    <t>PQ4619 C9 1998</t>
  </si>
  <si>
    <t>0                      PQ 4619000C  9           1998</t>
  </si>
  <si>
    <t>Hypnerotomachia Poliphili / Francesco Colonna ; a cura di Marco Ariani, Mino Gabriele.</t>
  </si>
  <si>
    <t>Milano : Adelphi, ©1998.</t>
  </si>
  <si>
    <t>Classici ; 66</t>
  </si>
  <si>
    <t>2013-10-15</t>
  </si>
  <si>
    <t>40816490</t>
  </si>
  <si>
    <t>ocm40816490</t>
  </si>
  <si>
    <t>3101969418P</t>
  </si>
  <si>
    <t>9788845914249</t>
  </si>
  <si>
    <t>793576237</t>
  </si>
  <si>
    <t>3101969422Y</t>
  </si>
  <si>
    <t>793576238</t>
  </si>
  <si>
    <t>PQ4620 A24 2005</t>
  </si>
  <si>
    <t>0                      PQ 4620000A  24          2005</t>
  </si>
  <si>
    <t>Sonnets for Michelangelo : a bilingual edition / Vittoria Colonna ; edited and translated by Abigail Brundin.</t>
  </si>
  <si>
    <t>Colonna, Vittoria, 1492-1547.</t>
  </si>
  <si>
    <t>Chicago : University of Chicago Press, ©2005.</t>
  </si>
  <si>
    <t>2018-05-23</t>
  </si>
  <si>
    <t>794179508:eng</t>
  </si>
  <si>
    <t>57342053</t>
  </si>
  <si>
    <t>ocm57342053</t>
  </si>
  <si>
    <t>3102483736M</t>
  </si>
  <si>
    <t>9780226113913</t>
  </si>
  <si>
    <t>793910863</t>
  </si>
  <si>
    <t>PQ4620 B78 2008</t>
  </si>
  <si>
    <t>0                      PQ 4620000B  78          2008</t>
  </si>
  <si>
    <t>Vittoria Colonna and the spiritual poetics of the Italian Reformation / Abigail Brundin.</t>
  </si>
  <si>
    <t>Brundin, Abigail.</t>
  </si>
  <si>
    <t>Aldershot, England ; Burlington, VT : Ashgate, ©2008.</t>
  </si>
  <si>
    <t>[Catholic Christendom, 1300-1700]</t>
  </si>
  <si>
    <t>110217056:eng</t>
  </si>
  <si>
    <t>162126789</t>
  </si>
  <si>
    <t>ocn162126789</t>
  </si>
  <si>
    <t>3102852908H</t>
  </si>
  <si>
    <t>9780754640493</t>
  </si>
  <si>
    <t>794257181</t>
  </si>
  <si>
    <t>PQ4620 C66 2016</t>
  </si>
  <si>
    <t>0                      PQ 4620000C  66          2016</t>
  </si>
  <si>
    <t>A companion to Vittoria Colonna / edited by Abigail Brundin, Tatiana Crivelli, and Maria Serena Sapegno.</t>
  </si>
  <si>
    <t>Leiden ; Boston : Brill, [2016]</t>
  </si>
  <si>
    <t>The Renaissance Society of America text and studies series ; volume 5</t>
  </si>
  <si>
    <t>3484190629:eng</t>
  </si>
  <si>
    <t>951955813</t>
  </si>
  <si>
    <t>ocn951955813</t>
  </si>
  <si>
    <t>31036988084</t>
  </si>
  <si>
    <t>9789004310735</t>
  </si>
  <si>
    <t>795017873</t>
  </si>
  <si>
    <t>PQ4621 C74 B9413 2018</t>
  </si>
  <si>
    <t>0                      PQ 4621000C  74                 B  9413        2018</t>
  </si>
  <si>
    <t>The buffoons : a ridiculous comedy : a bilingual edition / Margherita Costa ; edited and translated by Sara E. Díaz and Jessica Goethals.</t>
  </si>
  <si>
    <t>Costa, Margherita, active 17th century, author.</t>
  </si>
  <si>
    <t>The other voice in early modern Europe: the Toronto series ; 63</t>
  </si>
  <si>
    <t>4658982846:eng</t>
  </si>
  <si>
    <t>1014011494</t>
  </si>
  <si>
    <t>on1014011494</t>
  </si>
  <si>
    <t>3103738413J</t>
  </si>
  <si>
    <t>9780866985925</t>
  </si>
  <si>
    <t>795047578</t>
  </si>
  <si>
    <t>PQ4621 D3 Z82 1997</t>
  </si>
  <si>
    <t>0                      PQ 4621000D  3                  Z  82          1997</t>
  </si>
  <si>
    <t>Lodovico Dolce, Renaissance man of letters / Ronnie H. Terpening.</t>
  </si>
  <si>
    <t>Terpening, Ronnie H., 1946-</t>
  </si>
  <si>
    <t>Toronto : University of Toronto Press, ©1997.</t>
  </si>
  <si>
    <t>2015-11-03</t>
  </si>
  <si>
    <t>610886:eng</t>
  </si>
  <si>
    <t>36989611</t>
  </si>
  <si>
    <t>ocm36989611</t>
  </si>
  <si>
    <t>3101877903T</t>
  </si>
  <si>
    <t>9780802041593</t>
  </si>
  <si>
    <t>793489102</t>
  </si>
  <si>
    <t>PQ4621 D3 Z92 2011</t>
  </si>
  <si>
    <t>0                      PQ 4621000D  3                  Z  92          2011</t>
  </si>
  <si>
    <t>Venezia in coturno : Lodovico Dolce tragediografo (1543-1557) / Stefano Giazzon.</t>
  </si>
  <si>
    <t>Giazzon, Stefano, 1975-</t>
  </si>
  <si>
    <t>Roma : Aracne, 2011</t>
  </si>
  <si>
    <t>2013-01-22</t>
  </si>
  <si>
    <t>1078087586:ita</t>
  </si>
  <si>
    <t>775410919</t>
  </si>
  <si>
    <t>ocn775410919</t>
  </si>
  <si>
    <t>3103125738I</t>
  </si>
  <si>
    <t>9788854844643</t>
  </si>
  <si>
    <t>794907420</t>
  </si>
  <si>
    <t>PQ4621 D5 C66 1998</t>
  </si>
  <si>
    <t>0                      PQ 4621000D  5                  C  66          1998</t>
  </si>
  <si>
    <t>Contra Aretinum : con un'appendice di lettere / Anton Francesco Doni ; a cura di Paolo Procaccioli.</t>
  </si>
  <si>
    <t>Doni, Anton Francesco, 1513-1574.</t>
  </si>
  <si>
    <t>Manziana (Roma) : Vecchiarelli, 1998.</t>
  </si>
  <si>
    <t>Studi e testi. Ser. 1. ; n. 6</t>
  </si>
  <si>
    <t>2015-11-22</t>
  </si>
  <si>
    <t>365426026:ita</t>
  </si>
  <si>
    <t>40053677</t>
  </si>
  <si>
    <t>ocm40053677</t>
  </si>
  <si>
    <t>31019896185</t>
  </si>
  <si>
    <t>9788882470036</t>
  </si>
  <si>
    <t>793559063</t>
  </si>
  <si>
    <t>PQ4621 D5 M3 1928</t>
  </si>
  <si>
    <t>0                      PQ 4621000D  5                  M  3           1928</t>
  </si>
  <si>
    <t>I marmi, a cura di Ezio Chiòrboli.</t>
  </si>
  <si>
    <t>Bari, G. Laterza &amp; figli, 1928.</t>
  </si>
  <si>
    <t>1928</t>
  </si>
  <si>
    <t>Scrittori d'Italia ; 106-107</t>
  </si>
  <si>
    <t>2017-11-23</t>
  </si>
  <si>
    <t>3376209428:ita</t>
  </si>
  <si>
    <t>3673556</t>
  </si>
  <si>
    <t>ocm03673556</t>
  </si>
  <si>
    <t>3000614506B</t>
  </si>
  <si>
    <t>792279698</t>
  </si>
  <si>
    <t>V.2</t>
  </si>
  <si>
    <t>3103742547M</t>
  </si>
  <si>
    <t>792279697</t>
  </si>
  <si>
    <t>PQ4621 D5 M335 2012</t>
  </si>
  <si>
    <t>0                      PQ 4621000D  5                  M  335         2012</t>
  </si>
  <si>
    <t>I Marmi di Anton Francesco Doni : la storia, i generi e le arti / a cura di Giovanna Rizzarelli.</t>
  </si>
  <si>
    <t>Firenze : L.S. Olschki, 2012.</t>
  </si>
  <si>
    <t>Biblioteca dell'"Archivum romanicum." Serie I: Storia, letteratura, paleografia ; 389</t>
  </si>
  <si>
    <t>2018-07-20</t>
  </si>
  <si>
    <t>1090763258:ita</t>
  </si>
  <si>
    <t>781553948</t>
  </si>
  <si>
    <t>ocn781553948</t>
  </si>
  <si>
    <t>3103125764C</t>
  </si>
  <si>
    <t>9788822261137</t>
  </si>
  <si>
    <t>794912861</t>
  </si>
  <si>
    <t>PQ4621 D5 Z85 2012</t>
  </si>
  <si>
    <t>0                      PQ 4621000D  5                  Z  85          2012</t>
  </si>
  <si>
    <t>Dissonanze concordi : temi, questioni e personaggi intorno ad Anton Francesco Doni / a cura di Giovanna Rizzarelli.</t>
  </si>
  <si>
    <t>Dissonanze concordi, temi, questioni e personaggi intorno ad Anton Francesco Doni (Conference) (2012 : Pisa, Italy)</t>
  </si>
  <si>
    <t>Bologna : Il Mulino, ©2013.</t>
  </si>
  <si>
    <t>Percorsi. Linguistica e critica letteraria</t>
  </si>
  <si>
    <t>1391857200:ita</t>
  </si>
  <si>
    <t>829689667</t>
  </si>
  <si>
    <t>ocn829689667</t>
  </si>
  <si>
    <t>3103126227V</t>
  </si>
  <si>
    <t>9788815241146</t>
  </si>
  <si>
    <t>794942627</t>
  </si>
  <si>
    <t>PQ4621 E6 K64 1991</t>
  </si>
  <si>
    <t>0                      PQ 4621000E  6                  K  64          1991</t>
  </si>
  <si>
    <t>Mario Equicola : the real courtier / Stephen Kolsky.</t>
  </si>
  <si>
    <t>Genève : Librairie Droz, 1991.</t>
  </si>
  <si>
    <t>Travaux d'humanisme et Renaissance ; no. 246</t>
  </si>
  <si>
    <t>2015-10-09</t>
  </si>
  <si>
    <t>36536210:eng</t>
  </si>
  <si>
    <t>26433142</t>
  </si>
  <si>
    <t>ocm26433142</t>
  </si>
  <si>
    <t>31037732675</t>
  </si>
  <si>
    <t>793244775</t>
  </si>
  <si>
    <t>PQ4622 D5713 1992</t>
  </si>
  <si>
    <t>0                      PQ 4622000D  5713        1992</t>
  </si>
  <si>
    <t>On the beauty of women / Agnolo Firenzuola ; translated and edited by Konrad Eisenbichler and Jacqueline Murray.</t>
  </si>
  <si>
    <t>Firenzuola, Agnolo, 1493-1543.</t>
  </si>
  <si>
    <t>Philadelphia : University of Pennsylvania Press, 1992.</t>
  </si>
  <si>
    <t>2018-05-08</t>
  </si>
  <si>
    <t>4915180754:eng</t>
  </si>
  <si>
    <t>26132960</t>
  </si>
  <si>
    <t>ocm26132960</t>
  </si>
  <si>
    <t>31011596460</t>
  </si>
  <si>
    <t>9780812231588</t>
  </si>
  <si>
    <t>793238350</t>
  </si>
  <si>
    <t>PQ4623 F6 A17 1995</t>
  </si>
  <si>
    <t>0                      PQ 4623000F  6                  A  17          1995</t>
  </si>
  <si>
    <t>Rime / Veronica Franco ; a cura di Stefano Bianchi.</t>
  </si>
  <si>
    <t>Franco, Veronica, 1546-1591.</t>
  </si>
  <si>
    <t>Milano : Mursia, ©1995.</t>
  </si>
  <si>
    <t>Letture della civiltà letteraria</t>
  </si>
  <si>
    <t>4917073794:ita</t>
  </si>
  <si>
    <t>34802678</t>
  </si>
  <si>
    <t>ocm34802678</t>
  </si>
  <si>
    <t>3101575900T</t>
  </si>
  <si>
    <t>9788842519454</t>
  </si>
  <si>
    <t>793436293</t>
  </si>
  <si>
    <t>PQ4623 F6 A613 1998</t>
  </si>
  <si>
    <t>0                      PQ 4623000F  6                  A  613         1998</t>
  </si>
  <si>
    <t>Poems and selected letters / Veronica Franco ; edited and translated by Ann Rosalind Jones and Margaret F. Rosenthal.</t>
  </si>
  <si>
    <t>Franco, Veronica, 1546-1591, author.</t>
  </si>
  <si>
    <t>Chicago : University of Chicago Press, 1998.</t>
  </si>
  <si>
    <t>198522041:eng</t>
  </si>
  <si>
    <t>39157718</t>
  </si>
  <si>
    <t>ocm39157718</t>
  </si>
  <si>
    <t>3102983657S</t>
  </si>
  <si>
    <t>9780226259864</t>
  </si>
  <si>
    <t>793539314</t>
  </si>
  <si>
    <t>PQ4623 F6 Z48 1998</t>
  </si>
  <si>
    <t>0                      PQ 4623000F  6                  Z  48          1998</t>
  </si>
  <si>
    <t>Lettere / Veronica Franco ; a cura di Stefano Bianchi.</t>
  </si>
  <si>
    <t>Roma : Salerno, ©1998.</t>
  </si>
  <si>
    <t>Minima ; 61</t>
  </si>
  <si>
    <t>2452620368:ita</t>
  </si>
  <si>
    <t>39023701</t>
  </si>
  <si>
    <t>ocm39023701</t>
  </si>
  <si>
    <t>31019047229</t>
  </si>
  <si>
    <t>9788884022356</t>
  </si>
  <si>
    <t>793536018</t>
  </si>
  <si>
    <t>PQ4623 G24 1972</t>
  </si>
  <si>
    <t>0                      PQ 4623000G  24          1972</t>
  </si>
  <si>
    <t>Opere. A cura di Paolo Cherchi.</t>
  </si>
  <si>
    <t>Garzoni, Tomaso, 1549?-1589.</t>
  </si>
  <si>
    <t>Napoli, F. Rossi, ©1972.</t>
  </si>
  <si>
    <t>Classici della cultura italiana. Sezione letteraria</t>
  </si>
  <si>
    <t>23230155:ita</t>
  </si>
  <si>
    <t>6637450</t>
  </si>
  <si>
    <t>ocm06637450</t>
  </si>
  <si>
    <t>3103773851X</t>
  </si>
  <si>
    <t>792513174</t>
  </si>
  <si>
    <t>PQ4623 G3 1976</t>
  </si>
  <si>
    <t>0                      PQ 4623000G  3           1976</t>
  </si>
  <si>
    <t>Opere / di Giovan Battista Gelli ; a cura di Delmo Maestri.</t>
  </si>
  <si>
    <t>Gelli, Giovanni Battista, 1498-1563.</t>
  </si>
  <si>
    <t>[Torino] : Unione tipografico-editrice torinese, 1976.</t>
  </si>
  <si>
    <t>Classici italiani ; 39</t>
  </si>
  <si>
    <t>3177086:ita</t>
  </si>
  <si>
    <t>4638292</t>
  </si>
  <si>
    <t>ocm04638292</t>
  </si>
  <si>
    <t>31013348685</t>
  </si>
  <si>
    <t>9788802026398</t>
  </si>
  <si>
    <t>792370276</t>
  </si>
  <si>
    <t>PQ4625 G6 Z54 2010</t>
  </si>
  <si>
    <t>0                      PQ 4625000G  6                  Z  54          2010</t>
  </si>
  <si>
    <t>Sub specie lusus : eresia e letteratura da Grazzini a Sciascia / Agnese Amaduri.</t>
  </si>
  <si>
    <t>Amaduri, A. (Agnese), 1976-</t>
  </si>
  <si>
    <t>Occasioni critiche ; 7</t>
  </si>
  <si>
    <t>864639821:ita</t>
  </si>
  <si>
    <t>711514711</t>
  </si>
  <si>
    <t>ocn711514711</t>
  </si>
  <si>
    <t>3103125390I</t>
  </si>
  <si>
    <t>9788877967435</t>
  </si>
  <si>
    <t>794870998</t>
  </si>
  <si>
    <t>PQ4625 G65 Z65 2012</t>
  </si>
  <si>
    <t>0                      PQ 4625000G  65                 Z  65          2012</t>
  </si>
  <si>
    <t>Le muse del calvario : Angelo Grillo e la poesia dei benedettini cassinesi / Francesco Ferretti.</t>
  </si>
  <si>
    <t>Ferretti, Francesco, 1978-</t>
  </si>
  <si>
    <t>Collana di studi della Fondazione Michele Pellegrino</t>
  </si>
  <si>
    <t>1083654491:ita</t>
  </si>
  <si>
    <t>779253122</t>
  </si>
  <si>
    <t>ocn779253122</t>
  </si>
  <si>
    <t>3103125919G</t>
  </si>
  <si>
    <t>9788815237125</t>
  </si>
  <si>
    <t>794910667</t>
  </si>
  <si>
    <t>PQ4626 Z5 G83 1997</t>
  </si>
  <si>
    <t>0                      PQ 4626000Z  5                  G  83          1997</t>
  </si>
  <si>
    <t>Guarini, la musica, i musicisti / a cura di Angelo Pompilio.</t>
  </si>
  <si>
    <t>Lucca : Libreria musicale italiana, ©1997.</t>
  </si>
  <si>
    <t>ConNotazioni ; 3</t>
  </si>
  <si>
    <t>2018-07-30</t>
  </si>
  <si>
    <t>42493372:ita</t>
  </si>
  <si>
    <t>39289232</t>
  </si>
  <si>
    <t>ocm39289232</t>
  </si>
  <si>
    <t>3101952271X</t>
  </si>
  <si>
    <t>9788870961935</t>
  </si>
  <si>
    <t>793542893</t>
  </si>
  <si>
    <t>PQ4627 M2 A25 1985</t>
  </si>
  <si>
    <t>0                      PQ 4627000M  2                  A  25          1985</t>
  </si>
  <si>
    <t>The comedies of Machiavelli / edited and translated by David Sices and James B. Atkinson.</t>
  </si>
  <si>
    <t>Machiavelli, Niccolò, 1469-1527, author.</t>
  </si>
  <si>
    <t>Hanover : Published for Dartmouth College by University Press of New England, 1985.</t>
  </si>
  <si>
    <t>Bilingual ed.</t>
  </si>
  <si>
    <t>2015-11-12</t>
  </si>
  <si>
    <t>196682879:eng</t>
  </si>
  <si>
    <t>11813915</t>
  </si>
  <si>
    <t>ocm11813915</t>
  </si>
  <si>
    <t>3000375260Y</t>
  </si>
  <si>
    <t>9780874513295</t>
  </si>
  <si>
    <t>792789167</t>
  </si>
  <si>
    <t>2014-04-16</t>
  </si>
  <si>
    <t>31005734652</t>
  </si>
  <si>
    <t>792789168</t>
  </si>
  <si>
    <t>3101419939P</t>
  </si>
  <si>
    <t>792789166</t>
  </si>
  <si>
    <t>PQ4627 M2 A3 2011</t>
  </si>
  <si>
    <t>0                      PQ 4627000M  2                  A  3           2011</t>
  </si>
  <si>
    <t>Ecrits littéraires en prose / Machiavel ; textes présentés, traduits et annotés par Patrick Mula.</t>
  </si>
  <si>
    <t>Machiavelli, Niccolò, 1469-1527.</t>
  </si>
  <si>
    <t>Grenoble : Ellug, 2011.</t>
  </si>
  <si>
    <t>Paroles d'ailleurs, 1286-8485</t>
  </si>
  <si>
    <t>912143534:fre</t>
  </si>
  <si>
    <t>731328164</t>
  </si>
  <si>
    <t>ocn731328164</t>
  </si>
  <si>
    <t>3103427858M</t>
  </si>
  <si>
    <t>9782843101892</t>
  </si>
  <si>
    <t>794880778</t>
  </si>
  <si>
    <t>PQ4627 M2 A6 2012</t>
  </si>
  <si>
    <t>0                      PQ 4627000M  2                  A  6           2012</t>
  </si>
  <si>
    <t>Scritti in poesia e in prosa / Niccolò Machiavelli ; a cura di A. Corsaro, P. Cosentino, E. Cutinelli-Rèndina, F. Grazzini, N. Marcelli ; coordinamento di Francesco Bausi.</t>
  </si>
  <si>
    <t>Roma : Salerno Editrice, 2012.</t>
  </si>
  <si>
    <t>Edizione nazionale delle opere di Niccolò Machiavelli. Sezione 3: Opere letterarie ; volume secondo</t>
  </si>
  <si>
    <t>2018-07-17</t>
  </si>
  <si>
    <t>1248691785:ita</t>
  </si>
  <si>
    <t>846459612</t>
  </si>
  <si>
    <t>ocn846459612</t>
  </si>
  <si>
    <t>3103126257P</t>
  </si>
  <si>
    <t>9788884027702</t>
  </si>
  <si>
    <t>794949072</t>
  </si>
  <si>
    <t>PQ4627 M2 A6 2013</t>
  </si>
  <si>
    <t>0                      PQ 4627000M  2                  A  6           2013</t>
  </si>
  <si>
    <t>Teatro / Niccolò Machiavelli ; introduzione e commento di Denis Fachard.</t>
  </si>
  <si>
    <t>Classici ; 25</t>
  </si>
  <si>
    <t>5092903140:ita</t>
  </si>
  <si>
    <t>817538641</t>
  </si>
  <si>
    <t>ocn817538641</t>
  </si>
  <si>
    <t>3103126125Y</t>
  </si>
  <si>
    <t>9788843067114</t>
  </si>
  <si>
    <t>794933489</t>
  </si>
  <si>
    <t>PQ4627 M2 D535</t>
  </si>
  <si>
    <t>0                      PQ 4627000M  2                  D  535</t>
  </si>
  <si>
    <t>Una giarda fiorentina : il Dialogo della lingua attribuito a Niccolò Machiavelli / Mario Martelli.</t>
  </si>
  <si>
    <t>Roma : Salerno editrice, 1978.</t>
  </si>
  <si>
    <t>Quaderni di "Filologia e critica" ; 1</t>
  </si>
  <si>
    <t>2019-02-04</t>
  </si>
  <si>
    <t>889961599:ita</t>
  </si>
  <si>
    <t>4568709</t>
  </si>
  <si>
    <t>ocm04568709</t>
  </si>
  <si>
    <t>3000467820B</t>
  </si>
  <si>
    <t>9788885026209</t>
  </si>
  <si>
    <t>792363406</t>
  </si>
  <si>
    <t>PQ4627 M2 Z63</t>
  </si>
  <si>
    <t>0                      PQ 4627000M  2                  Z  63</t>
  </si>
  <si>
    <t>Machiavelli e la lingua fiorentina.</t>
  </si>
  <si>
    <t>Chiappelli, Fredi, 1921-1990.</t>
  </si>
  <si>
    <t>Bologna, M. Boni, 1974.</t>
  </si>
  <si>
    <t>Saggi ; 11</t>
  </si>
  <si>
    <t>2086211:ita</t>
  </si>
  <si>
    <t>1154702</t>
  </si>
  <si>
    <t>ocm01154702</t>
  </si>
  <si>
    <t>30004310265</t>
  </si>
  <si>
    <t>791559131</t>
  </si>
  <si>
    <t>PQ4627 M2 Z64</t>
  </si>
  <si>
    <t>0                      PQ 4627000M  2                  Z  64</t>
  </si>
  <si>
    <t>Nuovi studi sul linguaggio del Machiavelli.</t>
  </si>
  <si>
    <t>Firenze, F. Le Monnier, 1969.</t>
  </si>
  <si>
    <t>Bibliotechina del saggiatore, 30</t>
  </si>
  <si>
    <t>2453467:ita</t>
  </si>
  <si>
    <t>1547490</t>
  </si>
  <si>
    <t>ocm01547490</t>
  </si>
  <si>
    <t>3000614514C</t>
  </si>
  <si>
    <t>791710540</t>
  </si>
  <si>
    <t>PQ4627.M2 Z655 2000</t>
  </si>
  <si>
    <t>0                      PQ 4627000M  2                  Z  655         2000</t>
  </si>
  <si>
    <t>The comedy and tragedy of Machiavelli : essays on the literary works / edited by Vickie B. Sullivan.</t>
  </si>
  <si>
    <t>837077444:eng</t>
  </si>
  <si>
    <t>43521078</t>
  </si>
  <si>
    <t>ocm43521078</t>
  </si>
  <si>
    <t>3102044140P</t>
  </si>
  <si>
    <t>9780300082586</t>
  </si>
  <si>
    <t>793628586</t>
  </si>
  <si>
    <t>PQ4627 M2 Z657 2004</t>
  </si>
  <si>
    <t>0                      PQ 4627000M  2                  Z  657         2004</t>
  </si>
  <si>
    <t>Il teatro di Machiavelli : Gargnano del Garda (30 settembre-2 ottobre 2004) / a cura di Gennaro Barbarisi e Anna Maria Cabrini.</t>
  </si>
  <si>
    <t>Convegno di letteratura italiana (Gargnano, Italy) (9th : 2004)</t>
  </si>
  <si>
    <t>Milano : Cisalpino, 2005.</t>
  </si>
  <si>
    <t>Quaderni di Acme / Università di Milano. Facoltà di lettere e filosofia ; 71</t>
  </si>
  <si>
    <t>864900668:ita</t>
  </si>
  <si>
    <t>62871471</t>
  </si>
  <si>
    <t>ocm62871471</t>
  </si>
  <si>
    <t>3102617781J</t>
  </si>
  <si>
    <t>9788832360356</t>
  </si>
  <si>
    <t>794113183</t>
  </si>
  <si>
    <t>PQ4627 M2 Z74 1993</t>
  </si>
  <si>
    <t>0                      PQ 4627000M  2                  Z  74          1993</t>
  </si>
  <si>
    <t>Machiavelli and the discourse of literature / edited by Albert Russell Ascoli and Victoria Kahn.</t>
  </si>
  <si>
    <t>Ithaca, N.Y. : Cornell University Press, 1993.</t>
  </si>
  <si>
    <t>2017-04-10</t>
  </si>
  <si>
    <t>365052102:eng</t>
  </si>
  <si>
    <t>28547937</t>
  </si>
  <si>
    <t>ocm28547937</t>
  </si>
  <si>
    <t>3101353010O</t>
  </si>
  <si>
    <t>9780801428708</t>
  </si>
  <si>
    <t>793290605</t>
  </si>
  <si>
    <t>PQ4627 M2 Z76 2011</t>
  </si>
  <si>
    <t>0                      PQ 4627000M  2                  Z  76          2011</t>
  </si>
  <si>
    <t>Niccolò Machiavelli : history, power, and virtue / edited by Leonidas Donskis.</t>
  </si>
  <si>
    <t>Amsterdam ; New York : Rodopi, 2011.</t>
  </si>
  <si>
    <t>Value inquiry book series ; v. 226. Philosophy, literature, and politics</t>
  </si>
  <si>
    <t>864139571:eng</t>
  </si>
  <si>
    <t>703204492</t>
  </si>
  <si>
    <t>ocn703204492</t>
  </si>
  <si>
    <t>3103362838W</t>
  </si>
  <si>
    <t>9789042032774</t>
  </si>
  <si>
    <t>794864472</t>
  </si>
  <si>
    <t>PQ4627 M2 Z78</t>
  </si>
  <si>
    <t>0                      PQ 4627000M  2                  Z  78</t>
  </si>
  <si>
    <t>Politica e commedia : Dal Beroaldo al Machiavelli / Ezio Raimondi.</t>
  </si>
  <si>
    <t>Bologna : Il mulino, ©1972.</t>
  </si>
  <si>
    <t>Saggi, 119</t>
  </si>
  <si>
    <t>289424480:ita</t>
  </si>
  <si>
    <t>742173</t>
  </si>
  <si>
    <t>ocm00742173</t>
  </si>
  <si>
    <t>30006160590</t>
  </si>
  <si>
    <t>791459444</t>
  </si>
  <si>
    <t>PQ4627 M2 Z784 1988</t>
  </si>
  <si>
    <t>0                      PQ 4627000M  2                  Z  784         1988</t>
  </si>
  <si>
    <t>Foxes and lions : Machiavelli's confidence men / Wayne A. Rebhorn.</t>
  </si>
  <si>
    <t>Rebhorn, Wayne A., 1943-</t>
  </si>
  <si>
    <t>Ithaca : Cornell University Press, 1988.</t>
  </si>
  <si>
    <t>2017-04-12</t>
  </si>
  <si>
    <t>144021558:eng</t>
  </si>
  <si>
    <t>16684028</t>
  </si>
  <si>
    <t>ocm16684028</t>
  </si>
  <si>
    <t>3103001099M</t>
  </si>
  <si>
    <t>9780801420955</t>
  </si>
  <si>
    <t>792968876</t>
  </si>
  <si>
    <t>PQ4627 M2 Z85 1966</t>
  </si>
  <si>
    <t>0                      PQ 4627000M  2                  Z  85          1966</t>
  </si>
  <si>
    <t>Machiavelli / J.H. Whitfield.</t>
  </si>
  <si>
    <t>Whitfield, J. H. (John Humphreys)</t>
  </si>
  <si>
    <t>New York : Russell &amp; Russell, 1965.</t>
  </si>
  <si>
    <t>2018-06-30</t>
  </si>
  <si>
    <t>3768419412:eng</t>
  </si>
  <si>
    <t>270882885</t>
  </si>
  <si>
    <t>ocn270882885</t>
  </si>
  <si>
    <t>3103008297P</t>
  </si>
  <si>
    <t>794413152</t>
  </si>
  <si>
    <t>2007-03-10</t>
  </si>
  <si>
    <t>31030083023</t>
  </si>
  <si>
    <t>794413151</t>
  </si>
  <si>
    <t>PQ4627 M2 2006</t>
  </si>
  <si>
    <t>0                      PQ 4627000M  2           2006</t>
  </si>
  <si>
    <t>Opere / Niccolò Machiavelli ; a cura di Rinaldo Rinaldi.</t>
  </si>
  <si>
    <t>v.1:t.2</t>
  </si>
  <si>
    <t>Torino : UTET, ©2006.</t>
  </si>
  <si>
    <t>Classici italiani (Unione tipografico-editrice torinese)</t>
  </si>
  <si>
    <t>2017-10-17</t>
  </si>
  <si>
    <t>3374883231:ita</t>
  </si>
  <si>
    <t>81261033</t>
  </si>
  <si>
    <t>ocm81261033</t>
  </si>
  <si>
    <t>3102691080O</t>
  </si>
  <si>
    <t>9788802072623</t>
  </si>
  <si>
    <t>794202980</t>
  </si>
  <si>
    <t>v.1:t.1</t>
  </si>
  <si>
    <t>3102691085O</t>
  </si>
  <si>
    <t>794202981</t>
  </si>
  <si>
    <t>PQ4627 M2 2017</t>
  </si>
  <si>
    <t>0                      PQ 4627000M  2           2017</t>
  </si>
  <si>
    <t>Teatro : Andria ; Mandragola ; Clizia / Niccolò Machiavelli ; a cura di Pasquale Stoppelli.</t>
  </si>
  <si>
    <t>Roma : Salerno Editrice, [2017]</t>
  </si>
  <si>
    <t>Edizione nazionale delle opere di Niccolò Machiavelli. Sezione III, Opere letterarie ; volume primo</t>
  </si>
  <si>
    <t>1418091691:ita</t>
  </si>
  <si>
    <t>1000395715</t>
  </si>
  <si>
    <t>on1000395715</t>
  </si>
  <si>
    <t>3103718616H</t>
  </si>
  <si>
    <t>9788869731914</t>
  </si>
  <si>
    <t>795040185</t>
  </si>
  <si>
    <t>PQ4627 M3 Z48 2006</t>
  </si>
  <si>
    <t>0                      PQ 4627000M  3                  Z  48          2006</t>
  </si>
  <si>
    <t>Lettere a diversi del signor Girolamo Magagnati / a cura e con introduzione di Laura Salvetti Firpo ; con premessa: La vita di Girolamo Magagnati / a cura di Carlo Carabba e Giuliano Gasparri.</t>
  </si>
  <si>
    <t>Magagnati, Girolamo.</t>
  </si>
  <si>
    <t>[Florence] : Leo S. Olschki, 2006.</t>
  </si>
  <si>
    <t>Le corrispondenze letterarie, scientifiche ed erudite dal rinascimento all'età moderna. Subsidia ; 5</t>
  </si>
  <si>
    <t>2018-02-27</t>
  </si>
  <si>
    <t>63139215:ita</t>
  </si>
  <si>
    <t>77571205</t>
  </si>
  <si>
    <t>ocm77571205</t>
  </si>
  <si>
    <t>3103063444J</t>
  </si>
  <si>
    <t>9788822255495</t>
  </si>
  <si>
    <t>794192315</t>
  </si>
  <si>
    <t>PQ4627 M84 E5735 2010</t>
  </si>
  <si>
    <t>0                      PQ 4627000M  84                 E  5735        2010</t>
  </si>
  <si>
    <t>Poesia epica e scrittura femminile nel Seicento : L'Enrico di Lucrezia Marinelli / Laura Lazzari ; con una prefazione di Virginia Cox.</t>
  </si>
  <si>
    <t>Lazzari, Laura.</t>
  </si>
  <si>
    <t>Leonforte (Enna) : Insula, ©2010.</t>
  </si>
  <si>
    <t>ISaggi ; 2</t>
  </si>
  <si>
    <t>792735700:ita</t>
  </si>
  <si>
    <t>703877844</t>
  </si>
  <si>
    <t>ocn703877844</t>
  </si>
  <si>
    <t>3103125344S</t>
  </si>
  <si>
    <t>9788883850042</t>
  </si>
  <si>
    <t>794865170</t>
  </si>
  <si>
    <t>PQ4627 M84 Z755 2008</t>
  </si>
  <si>
    <t>0                      PQ 4627000M  84                 Z  755         2008</t>
  </si>
  <si>
    <t>Lucrezia Marinella and the "querelle des femmes" in seventeenth-century Italy / Paola Malpezzi Price and Christine Ristaino.</t>
  </si>
  <si>
    <t>Malpezzi Price, Paola, 1948-</t>
  </si>
  <si>
    <t>Madison : Fairleigh Dickinson University Press, ©2008.</t>
  </si>
  <si>
    <t>2017-08-29</t>
  </si>
  <si>
    <t>104788834:eng</t>
  </si>
  <si>
    <t>155715218</t>
  </si>
  <si>
    <t>ocn155715218</t>
  </si>
  <si>
    <t>31026515068</t>
  </si>
  <si>
    <t>9780838641224</t>
  </si>
  <si>
    <t>794253539</t>
  </si>
  <si>
    <t>PQ4627 M84 Z83 2013</t>
  </si>
  <si>
    <t>0                      PQ 4627000M  84                 Z  83          2013</t>
  </si>
  <si>
    <t>A portrait of a Renaissance feminist : Lucrezia Marinella's life and works / edited by Antonella Cagnolati ; contributions by Antonella Cagnolati [and others].</t>
  </si>
  <si>
    <t>Donne nella storia ; 8</t>
  </si>
  <si>
    <t>1356212010:eng</t>
  </si>
  <si>
    <t>846459294</t>
  </si>
  <si>
    <t>ocn846459294</t>
  </si>
  <si>
    <t>3103126378I</t>
  </si>
  <si>
    <t>9788854857360</t>
  </si>
  <si>
    <t>794949068</t>
  </si>
  <si>
    <t>PQ4627 M9 G37 2012</t>
  </si>
  <si>
    <t>0                      PQ 4627000M  9                  G  37          2012</t>
  </si>
  <si>
    <t>Le gare de' Disperati (1644) ; The Desperadoes : an heroick history (1733) / Giovanni Ambrogio Marini ; a cura di Luca Manini.</t>
  </si>
  <si>
    <t>Marini, Giovanni Ambrogio, approximately 1594-approximately 1650.</t>
  </si>
  <si>
    <t>Lavis (Trento) : La finestra, 2012.</t>
  </si>
  <si>
    <t>Archivio barocco ; 16</t>
  </si>
  <si>
    <t>5619832869:ita</t>
  </si>
  <si>
    <t>796781889</t>
  </si>
  <si>
    <t>ocn796781889</t>
  </si>
  <si>
    <t>31031258629</t>
  </si>
  <si>
    <t>9788895925400</t>
  </si>
  <si>
    <t>794922392</t>
  </si>
  <si>
    <t>PQ4628 A2 1962</t>
  </si>
  <si>
    <t>0                      PQ 4628000A  2           1962</t>
  </si>
  <si>
    <t>Opere scelte di Giovan Battista Marino e dei Marinisti / a cura di Giovanni Getto. Vol. 1, Marino.</t>
  </si>
  <si>
    <t>Marino, Giambattista, 1569-1625.</t>
  </si>
  <si>
    <t>Torino : UTET, 1962.</t>
  </si>
  <si>
    <t>2a ed.</t>
  </si>
  <si>
    <t>4095615561:ita</t>
  </si>
  <si>
    <t>277565297</t>
  </si>
  <si>
    <t>ocn277565297</t>
  </si>
  <si>
    <t>3100413650D</t>
  </si>
  <si>
    <t>794419765</t>
  </si>
  <si>
    <t>3100416040P</t>
  </si>
  <si>
    <t>794419764</t>
  </si>
  <si>
    <t>PQ4628 A2 1996</t>
  </si>
  <si>
    <t>0                      PQ 4628000A  2           1996</t>
  </si>
  <si>
    <t>Opere scelte / di Giovan Battista Marino e dei Marinisti ; a cura di Giovanni Getto.</t>
  </si>
  <si>
    <t>[Torino] Unione Tipografico-Editrice Torinese ©1996.</t>
  </si>
  <si>
    <t>2. ed. [rev.].</t>
  </si>
  <si>
    <t>2016-03-11</t>
  </si>
  <si>
    <t>3953385164:ita</t>
  </si>
  <si>
    <t>428093086</t>
  </si>
  <si>
    <t>ocn428093086</t>
  </si>
  <si>
    <t>31018987713</t>
  </si>
  <si>
    <t>9788802026435</t>
  </si>
  <si>
    <t>794771480</t>
  </si>
  <si>
    <t>3101898787P</t>
  </si>
  <si>
    <t>794771479</t>
  </si>
  <si>
    <t>PQ4628 A2 2017</t>
  </si>
  <si>
    <t>0                      PQ 4628000A  2           2017</t>
  </si>
  <si>
    <t>Scritti vari / Giovan Battista Marino ; introduzione, commento e testo critico a cura di Lorenzo Geri e Pietro Giulio Riga.</t>
  </si>
  <si>
    <t>Marino, Giambattista, 1569-1625, author.</t>
  </si>
  <si>
    <t>Roma : Edizioni di storia e letteratura, 2017.</t>
  </si>
  <si>
    <t>Edizione delle opere di Giovan Battista Marino ; 2</t>
  </si>
  <si>
    <t>4658970365:ita</t>
  </si>
  <si>
    <t>1014004263</t>
  </si>
  <si>
    <t>on1014004263</t>
  </si>
  <si>
    <t>3103721191F</t>
  </si>
  <si>
    <t>9788893591140</t>
  </si>
  <si>
    <t>795047572</t>
  </si>
  <si>
    <t>PQ4628 G33 B37 2013</t>
  </si>
  <si>
    <t>0                      PQ 4628000G  33                 B  37          2013</t>
  </si>
  <si>
    <t>Barocke Bildkulturen : Dialog der Künste in Giovan Battista Marinos "Galeria" / herausgegeben von Rainer Stillers und Christiane Kruse.</t>
  </si>
  <si>
    <t>Wiesbaden : Harrassowitz in Kommission, 2013.</t>
  </si>
  <si>
    <t>Wolfenbütteler Arbeiten zur Barockforschung ; Bd. 48</t>
  </si>
  <si>
    <t>1056708154:ger</t>
  </si>
  <si>
    <t>839241011</t>
  </si>
  <si>
    <t>ocn839241011</t>
  </si>
  <si>
    <t>3103492324S</t>
  </si>
  <si>
    <t>9783447066280</t>
  </si>
  <si>
    <t>794945442</t>
  </si>
  <si>
    <t>PQ4628 R58 2011</t>
  </si>
  <si>
    <t>0                      PQ 4628000R  58          2011</t>
  </si>
  <si>
    <t>Il ritratto del serenissimo don Carlo Emanuello, duca di Savoia / Giambattista Marino ; edizione critica e commentata a cura di Giuseppe Alonzo.</t>
  </si>
  <si>
    <t>3943479067:ita</t>
  </si>
  <si>
    <t>719414089</t>
  </si>
  <si>
    <t>ocn719414089</t>
  </si>
  <si>
    <t>3103125385K</t>
  </si>
  <si>
    <t>9788854837669</t>
  </si>
  <si>
    <t>794874410</t>
  </si>
  <si>
    <t>PQ4628 Z8 C67 2012</t>
  </si>
  <si>
    <t>0                      PQ 4628000Z  8                  C  67          2012</t>
  </si>
  <si>
    <t>In terra di letteratura : poesia e poetica di Giovan Battista Marino / Marco Corradini.</t>
  </si>
  <si>
    <t>Corradini, Marco.</t>
  </si>
  <si>
    <t>Lecce, Italia : Argo, ©2012.</t>
  </si>
  <si>
    <t>Biblioteca barocca ; 10</t>
  </si>
  <si>
    <t>1170828072:ita</t>
  </si>
  <si>
    <t>780945707</t>
  </si>
  <si>
    <t>ocn780945707</t>
  </si>
  <si>
    <t>31031258885</t>
  </si>
  <si>
    <t>9788882341633</t>
  </si>
  <si>
    <t>794912408</t>
  </si>
  <si>
    <t>PQ4630 F3 1891</t>
  </si>
  <si>
    <t>0                      PQ 4630000F  3           1891</t>
  </si>
  <si>
    <t>Lorenzino de'Medici e la società cortigiana del cinquecento. Con le rime e le lettere di Lorenzino e un' appendice di documenti.</t>
  </si>
  <si>
    <t>Ferrai, Luigi Alberto, 1839-1902.</t>
  </si>
  <si>
    <t>Milano, U. Hoepli, 1891.</t>
  </si>
  <si>
    <t>1891</t>
  </si>
  <si>
    <t>7508015:ita</t>
  </si>
  <si>
    <t>13880294</t>
  </si>
  <si>
    <t>ocm13880294</t>
  </si>
  <si>
    <t>3102748846$</t>
  </si>
  <si>
    <t>792870462</t>
  </si>
  <si>
    <t>PQ4630 M263 A6 2017</t>
  </si>
  <si>
    <t>0                      PQ 4630000M  263                A  6           2017</t>
  </si>
  <si>
    <t>Le opere in prosa e altre poesia / Chiara Matraini ; a cura di Anna Mario.</t>
  </si>
  <si>
    <t>Matraini, Chiara, 1515-1604?, author.</t>
  </si>
  <si>
    <t>Passignano s.T., Perugia : Aguaplano, MMXVII.</t>
  </si>
  <si>
    <t>Testi ; 2</t>
  </si>
  <si>
    <t>4569290472:ita</t>
  </si>
  <si>
    <t>1019738884</t>
  </si>
  <si>
    <t>on1019738884</t>
  </si>
  <si>
    <t>3103721233P</t>
  </si>
  <si>
    <t>9788897738978</t>
  </si>
  <si>
    <t>795049414</t>
  </si>
  <si>
    <t>PQ4630 M28 A66 2004</t>
  </si>
  <si>
    <t>0                      PQ 4630000M  28                 A  66          2004</t>
  </si>
  <si>
    <t>Apology for a murder / Lorenzino de' Medici ; translated by Andrew Brown.</t>
  </si>
  <si>
    <t>Medici, Lorenzino de', 1514-1548.</t>
  </si>
  <si>
    <t>London : Hesperus, 2004.</t>
  </si>
  <si>
    <t>3943935047:eng</t>
  </si>
  <si>
    <t>53871848</t>
  </si>
  <si>
    <t>ocm53871848</t>
  </si>
  <si>
    <t>3102496244I</t>
  </si>
  <si>
    <t>9781843910794</t>
  </si>
  <si>
    <t>793852000</t>
  </si>
  <si>
    <t>PQ4630 M3 C62 1995</t>
  </si>
  <si>
    <t>0                      PQ 4630000M  3                  C  62          1995</t>
  </si>
  <si>
    <t>The autobiography of Lorenzo de' Medici the Magnificent : a commentary on my sonnets together with the text of Il comento in the critical edition of Tiziano Zanato / translated with an introduction by James Wyatt Cook.</t>
  </si>
  <si>
    <t>Medici, Lorenzo de', 1449-1492.</t>
  </si>
  <si>
    <t>Binghamton, N.Y. : Medieval &amp; Renaissance Texts &amp; Studies, 1995.</t>
  </si>
  <si>
    <t>Medieval &amp; Renaissance texts &amp; studies ; v. 129</t>
  </si>
  <si>
    <t>2015-04-28</t>
  </si>
  <si>
    <t>31232674:eng</t>
  </si>
  <si>
    <t>30398477</t>
  </si>
  <si>
    <t>ocm30398477</t>
  </si>
  <si>
    <t>3103099447H</t>
  </si>
  <si>
    <t>9780866981361</t>
  </si>
  <si>
    <t>793334537</t>
  </si>
  <si>
    <t>PQ4630 M3 1913</t>
  </si>
  <si>
    <t>0                      PQ 4630000M  3           1913</t>
  </si>
  <si>
    <t>Opere / a cura di Attilio Simioni.</t>
  </si>
  <si>
    <t>Bari : G. Laterza &amp; figli, 1913-14.</t>
  </si>
  <si>
    <t>Scrittori d'Italia. ; [54, 59]</t>
  </si>
  <si>
    <t>2016-05-26</t>
  </si>
  <si>
    <t>1662948:ita</t>
  </si>
  <si>
    <t>8744827</t>
  </si>
  <si>
    <t>ocm08744827</t>
  </si>
  <si>
    <t>3100809130O</t>
  </si>
  <si>
    <t>792638667</t>
  </si>
  <si>
    <t>3000782992B</t>
  </si>
  <si>
    <t>792638668</t>
  </si>
  <si>
    <t>PQ4630 M3 2016</t>
  </si>
  <si>
    <t>0                      PQ 4630000M  3           2016</t>
  </si>
  <si>
    <t>The complete literary works of Lorenzo de' Medici, "the magnificent" / translated with an introduction by Guido A. Guarino.</t>
  </si>
  <si>
    <t>Medici, Lorenzo de', 1449-1492, author.</t>
  </si>
  <si>
    <t>New York : Italica Press, 2016.</t>
  </si>
  <si>
    <t>Italica Press medieval &amp; renaissance texts</t>
  </si>
  <si>
    <t>4462245972:eng</t>
  </si>
  <si>
    <t>947807253</t>
  </si>
  <si>
    <t>ocn947807253</t>
  </si>
  <si>
    <t>31036978267</t>
  </si>
  <si>
    <t>9781599102306</t>
  </si>
  <si>
    <t>795015246</t>
  </si>
  <si>
    <t>PQ4630 N45 Z78 2012</t>
  </si>
  <si>
    <t>0                      PQ 4630000N  45                 Z  78          2012</t>
  </si>
  <si>
    <t>La poesia ai tempi della "tribulazione" : Giovanni Nesi e i savonaroliani / Giulia Ponsiglione.</t>
  </si>
  <si>
    <t>Ponsiglione, Giulia.</t>
  </si>
  <si>
    <t>Roma : Edizioni di Storia e Letteratura, 2012.</t>
  </si>
  <si>
    <t>Temi e testi ; 100</t>
  </si>
  <si>
    <t>2017-09-25</t>
  </si>
  <si>
    <t>1104135631:ita</t>
  </si>
  <si>
    <t>789632023</t>
  </si>
  <si>
    <t>ocn789632023</t>
  </si>
  <si>
    <t>31031258679</t>
  </si>
  <si>
    <t>9788863723779</t>
  </si>
  <si>
    <t>794916582</t>
  </si>
  <si>
    <t>PQ4630 P2 D5 2005</t>
  </si>
  <si>
    <t>0                      PQ 4630000P  2                  D  5           2005</t>
  </si>
  <si>
    <t>Diporti / Girolamo Parabosco, Gherardo Borgogni ; a cura di Donato Pirovano.</t>
  </si>
  <si>
    <t>Roma : Salerno, ©2005.</t>
  </si>
  <si>
    <t>I novellieri italiani ; v. 32</t>
  </si>
  <si>
    <t>2016-01-25</t>
  </si>
  <si>
    <t>20400224:ita</t>
  </si>
  <si>
    <t>59140399</t>
  </si>
  <si>
    <t>ocm59140399</t>
  </si>
  <si>
    <t>3102506635A</t>
  </si>
  <si>
    <t>9788884024770</t>
  </si>
  <si>
    <t>793927867</t>
  </si>
  <si>
    <t>PQ4630 P2275 R56 2016</t>
  </si>
  <si>
    <t>0                      PQ 4630000P  2275               R  56          2016</t>
  </si>
  <si>
    <t>Rime volgari non più date in luce : (Venezia, 1549) / Ludovico Paschale da Catharo Dalmatino ; edizione e commento a cura di Luciana Borsetto.</t>
  </si>
  <si>
    <t>Paskvalić, Lj. (Ljudevit), approximately 1500-approximately 1551, author.</t>
  </si>
  <si>
    <t>Alessandria : Edizioni dell'Orso, [2016]</t>
  </si>
  <si>
    <t>Manierismo e barocco ; 20</t>
  </si>
  <si>
    <t>5092686596:ita</t>
  </si>
  <si>
    <t>1082298397</t>
  </si>
  <si>
    <t>on1082298397</t>
  </si>
  <si>
    <t>3103716186Q</t>
  </si>
  <si>
    <t>9788862747103</t>
  </si>
  <si>
    <t>795077666</t>
  </si>
  <si>
    <t>PQ4630 P3 Z535 2011</t>
  </si>
  <si>
    <t>0                      PQ 4630000P  3                  Z  535         2011</t>
  </si>
  <si>
    <t>Alessandro Piccolomini (1508-1579) : un Siennois à la croisée des genres et des savoirs / [réunies et présentés par] Marie-Françoise Piéjus, Michel Plaisance, Matteo Residori.</t>
  </si>
  <si>
    <t>Paris : Université Sorbonne Nouvelle Paris 3, 2011.</t>
  </si>
  <si>
    <t>Centre interuniversitaire de recherche sur la Renaissance italienne ; 31</t>
  </si>
  <si>
    <t>2015-04-21</t>
  </si>
  <si>
    <t>1119127751:fre</t>
  </si>
  <si>
    <t>795130277</t>
  </si>
  <si>
    <t>ocn795130277</t>
  </si>
  <si>
    <t>3103483551H</t>
  </si>
  <si>
    <t>9782900478318</t>
  </si>
  <si>
    <t>794920866</t>
  </si>
  <si>
    <t>PQ4630 P35 Z75 2006</t>
  </si>
  <si>
    <t>0                      PQ 4630000P  35                 Z  75          2006</t>
  </si>
  <si>
    <t>La Biblioteca dei Pico nel Palazzo Ducale di Mirandola : il catalogo del 1723 / a cura di Giorgio Montecchi ; testi e trascrizioni di Alberto Calciolari [and others].</t>
  </si>
  <si>
    <t>Mirandola : Gruppo studi bassa modenese, 2006.</t>
  </si>
  <si>
    <t>Biblioteca ; n. 24</t>
  </si>
  <si>
    <t>2017-02-21</t>
  </si>
  <si>
    <t>9906735265:ita</t>
  </si>
  <si>
    <t>82148877</t>
  </si>
  <si>
    <t>ocm82148877</t>
  </si>
  <si>
    <t>3103038951Y</t>
  </si>
  <si>
    <t>794205092</t>
  </si>
  <si>
    <t>PQ4630 P5 A6 2018</t>
  </si>
  <si>
    <t>0                      PQ 4630000P  5                  A  6           2018</t>
  </si>
  <si>
    <t>Greek and Latin poetry / Angelo Poliziano ; edited and translated by Peter E. Knox.</t>
  </si>
  <si>
    <t>Poliziano, Angelo, 1454-1494, author.</t>
  </si>
  <si>
    <t>Cambridge, Massachusetts : Harvard University Press, 2018.</t>
  </si>
  <si>
    <t>I Tatti Renaissance library ; 86</t>
  </si>
  <si>
    <t>4545186956:eng</t>
  </si>
  <si>
    <t>1006441588</t>
  </si>
  <si>
    <t>on1006441588</t>
  </si>
  <si>
    <t>31038123628</t>
  </si>
  <si>
    <t>9780674984578</t>
  </si>
  <si>
    <t>795043029</t>
  </si>
  <si>
    <t>PQ4630 P5 A713 1979</t>
  </si>
  <si>
    <t>0                      PQ 4630000P  5                  A  713         1979</t>
  </si>
  <si>
    <t>The stanze of Angelo Poliziano / translated by David Quint.</t>
  </si>
  <si>
    <t>Poliziano, Angelo, 1454-1494.</t>
  </si>
  <si>
    <t>Amherst : University of Massachusetts Press, 1979.</t>
  </si>
  <si>
    <t>2019-10-09</t>
  </si>
  <si>
    <t>3769226202:eng</t>
  </si>
  <si>
    <t>3844142</t>
  </si>
  <si>
    <t>ocm03844142</t>
  </si>
  <si>
    <t>3000439564B</t>
  </si>
  <si>
    <t>9780870231452</t>
  </si>
  <si>
    <t>792297689</t>
  </si>
  <si>
    <t>PQ4630 P5 A86 2011</t>
  </si>
  <si>
    <t>0                      PQ 4630000P  5                  A  86          2011</t>
  </si>
  <si>
    <t>Angelo Poliziano e dintorni : percorsi di ricerca / a cura di Claudia Corfiati e Mauro De Nichilo.</t>
  </si>
  <si>
    <t>Bari : Cacucci, ©2011.</t>
  </si>
  <si>
    <t>Rinascimento e barocco ; nuova serie 6</t>
  </si>
  <si>
    <t>1042848287:ita</t>
  </si>
  <si>
    <t>760053779</t>
  </si>
  <si>
    <t>ocn760053779</t>
  </si>
  <si>
    <t>3103125624N</t>
  </si>
  <si>
    <t>9788866110507</t>
  </si>
  <si>
    <t>794898166</t>
  </si>
  <si>
    <t>PQ4630 P5 B7 1983</t>
  </si>
  <si>
    <t>0                      PQ 4630000P  5                  B  7           1983</t>
  </si>
  <si>
    <t>Poliziano e l'umanesimo della parola / Vittore Branca.</t>
  </si>
  <si>
    <t>Torino : G. Einaudi, ©1983.</t>
  </si>
  <si>
    <t>[1a ed. "Saggi" Einaudi].</t>
  </si>
  <si>
    <t>Saggi ; 655</t>
  </si>
  <si>
    <t>2015-03-03</t>
  </si>
  <si>
    <t>2928152:ita</t>
  </si>
  <si>
    <t>10405237</t>
  </si>
  <si>
    <t>ocm10405237</t>
  </si>
  <si>
    <t>30003570801</t>
  </si>
  <si>
    <t>9788806055677</t>
  </si>
  <si>
    <t>792724797</t>
  </si>
  <si>
    <t>PQ4630 P53 Z59 2010</t>
  </si>
  <si>
    <t>0                      PQ 4630000P  53                 Z  59          2010</t>
  </si>
  <si>
    <t>Pollastra and the origins of Twelfth night : Parthenio, commedia (1516) with an English translation / Louise George Clubb.</t>
  </si>
  <si>
    <t>Farnham, Surrey, England ; Burlington, VT : Ashgate, ©2010.</t>
  </si>
  <si>
    <t>Anglo-Italian Renaissance studies series</t>
  </si>
  <si>
    <t>796385449:eng</t>
  </si>
  <si>
    <t>645889641</t>
  </si>
  <si>
    <t>ocn645889641</t>
  </si>
  <si>
    <t>3103324158O</t>
  </si>
  <si>
    <t>9780754668909</t>
  </si>
  <si>
    <t>794829888</t>
  </si>
  <si>
    <t>PQ4630 P6 A19 2000</t>
  </si>
  <si>
    <t>0                      PQ 4630000P  6                  A  19          2000</t>
  </si>
  <si>
    <t>Teatro / Giovan Battista Della Porta ; a cura di Raffaele Sirri.</t>
  </si>
  <si>
    <t>Porta, Giambattista della, approximately 1535-1615.</t>
  </si>
  <si>
    <t>Napoli : Edizioni scientifiche italiane, 2000-2003.</t>
  </si>
  <si>
    <t>Edizione nazionale delle opere di Giovan Battista della Porta ; v. 15</t>
  </si>
  <si>
    <t>2017-07-19</t>
  </si>
  <si>
    <t>2863813126:ita</t>
  </si>
  <si>
    <t>47301810</t>
  </si>
  <si>
    <t>ocm47301810</t>
  </si>
  <si>
    <t>3102275865M</t>
  </si>
  <si>
    <t>9788849500943</t>
  </si>
  <si>
    <t>793702981</t>
  </si>
  <si>
    <t>3102656820C</t>
  </si>
  <si>
    <t>793702983</t>
  </si>
  <si>
    <t>3102656815E</t>
  </si>
  <si>
    <t>793702984</t>
  </si>
  <si>
    <t>3102276275Y</t>
  </si>
  <si>
    <t>793702982</t>
  </si>
  <si>
    <t>PQ4630 P6 Z6</t>
  </si>
  <si>
    <t>0                      PQ 4630000P  6                  Z  6</t>
  </si>
  <si>
    <t>Giambattista della Porta, dramatist.</t>
  </si>
  <si>
    <t>Princeton, N.J., Princeton University Press, 1965.</t>
  </si>
  <si>
    <t>1406548:eng</t>
  </si>
  <si>
    <t>323286</t>
  </si>
  <si>
    <t>ocm00323286</t>
  </si>
  <si>
    <t>30004260946</t>
  </si>
  <si>
    <t>791336842</t>
  </si>
  <si>
    <t>PQ4630 P6 Z85</t>
  </si>
  <si>
    <t>0                      PQ 4630000P  6                  Z  85</t>
  </si>
  <si>
    <t>L'attività teatrale di G.B. Della Porta / Raffaele Sirri Rubes.</t>
  </si>
  <si>
    <t>Sirri, Raffaele.</t>
  </si>
  <si>
    <t>Napoli : Libreria De Simone, 1968.</t>
  </si>
  <si>
    <t>2015-07-07</t>
  </si>
  <si>
    <t>350974297:ita</t>
  </si>
  <si>
    <t>18426490</t>
  </si>
  <si>
    <t>ocm18426490</t>
  </si>
  <si>
    <t>3000615625Z</t>
  </si>
  <si>
    <t>793025233</t>
  </si>
  <si>
    <t>PQ4630 P9 Z58 1985</t>
  </si>
  <si>
    <t>0                      PQ 4630000P  9                  Z  58          1985</t>
  </si>
  <si>
    <t>Le muse dei Pulci : studi su Luca e Luigi Pulci / Stefano Carrai.</t>
  </si>
  <si>
    <t>Carrai, Stefano.</t>
  </si>
  <si>
    <t>Napoli : Guida, ©1985.</t>
  </si>
  <si>
    <t>Esperienze ; 128</t>
  </si>
  <si>
    <t>345941466:ita</t>
  </si>
  <si>
    <t>14590052</t>
  </si>
  <si>
    <t>ocm14590052</t>
  </si>
  <si>
    <t>30008072214</t>
  </si>
  <si>
    <t>9788870428742</t>
  </si>
  <si>
    <t>792894785</t>
  </si>
  <si>
    <t>PQ4631 M3 F7 2001</t>
  </si>
  <si>
    <t>0                      PQ 4631000M  3                  F  7           2001</t>
  </si>
  <si>
    <t>Morgante / Luigi Pulci ; traduction, introduction et notes par Pierre Sarrazin.</t>
  </si>
  <si>
    <t>Pulci, Luigi, 1432-1484.</t>
  </si>
  <si>
    <t>Turnhout : Brepols, ©2001.</t>
  </si>
  <si>
    <t>Miroir du Moyen Age</t>
  </si>
  <si>
    <t>9168882426:fre</t>
  </si>
  <si>
    <t>51096257</t>
  </si>
  <si>
    <t>ocm51096257</t>
  </si>
  <si>
    <t>31022908145</t>
  </si>
  <si>
    <t>9782503511610</t>
  </si>
  <si>
    <t>793778862</t>
  </si>
  <si>
    <t>PQ4631 Z5 D44 2009</t>
  </si>
  <si>
    <t>0                      PQ 4631000Z  5                  D  44          2009</t>
  </si>
  <si>
    <t>Luigi Pulci e Francesco di Matteo Castellani : novità e testi inediti da uno zibaldone magliabechiano / Alessio Decaria.</t>
  </si>
  <si>
    <t>Decaria, Alessio.</t>
  </si>
  <si>
    <t>Firenze : Società editrice fiorentina, ©2009.</t>
  </si>
  <si>
    <t>Quaderni Aldo Palazzeschi. Nuova serie / Centro di studi Aldo Palazzeschi, Università degli studi di Firezne, Facoltà di lettere e filosofia ; 22</t>
  </si>
  <si>
    <t>2017-04-09</t>
  </si>
  <si>
    <t>891327802:ita</t>
  </si>
  <si>
    <t>503242147</t>
  </si>
  <si>
    <t>ocn503242147</t>
  </si>
  <si>
    <t>31031249778</t>
  </si>
  <si>
    <t>9788860321060</t>
  </si>
  <si>
    <t>794806259</t>
  </si>
  <si>
    <t>PQ4632 Q38 Z63 1999</t>
  </si>
  <si>
    <t>0                      PQ 4632000Q  38                 Z  63          1999</t>
  </si>
  <si>
    <t>I libri di un letterato calabrese del cinquecento : (Sertorio Quattromani, 1541-1603) / Carlo De Frede.</t>
  </si>
  <si>
    <t>De Frede, Carlo.</t>
  </si>
  <si>
    <t>Napoli : Accademia pontaniana, 1999.</t>
  </si>
  <si>
    <t>Quaderni dell'Accademia pontaniana ; n. 26</t>
  </si>
  <si>
    <t>477747553:ita</t>
  </si>
  <si>
    <t>43055524</t>
  </si>
  <si>
    <t>ocm43055524</t>
  </si>
  <si>
    <t>3103042923M</t>
  </si>
  <si>
    <t>793619345</t>
  </si>
  <si>
    <t>PQ4632 R2 Z56</t>
  </si>
  <si>
    <t>0                      PQ 4632000R  2                  Z  56</t>
  </si>
  <si>
    <t>Lingua e cultura di Francesco Redi, medico.</t>
  </si>
  <si>
    <t>Altieri Biagi, Maria Luisa.</t>
  </si>
  <si>
    <t>Firenze, L.S. Olschki, 1968.</t>
  </si>
  <si>
    <t>2017-09-19</t>
  </si>
  <si>
    <t>13357359:ita</t>
  </si>
  <si>
    <t>16763770</t>
  </si>
  <si>
    <t>ocm16763770</t>
  </si>
  <si>
    <t>3103743337S</t>
  </si>
  <si>
    <t>792971862</t>
  </si>
  <si>
    <t>PQ4632 R48 A65 1988</t>
  </si>
  <si>
    <t>0                      PQ 4632000R  48                 A  65          1988</t>
  </si>
  <si>
    <t>L'Alcibiade fanciullo a scola / Antonio Rocco ; a cura di Laura Coci.</t>
  </si>
  <si>
    <t>Rocco, Antonio, 1576-1653.</t>
  </si>
  <si>
    <t>Roma : Salerno, 1988.</t>
  </si>
  <si>
    <t>Omikron ; 27</t>
  </si>
  <si>
    <t>2015-02-24</t>
  </si>
  <si>
    <t>13393434:ita</t>
  </si>
  <si>
    <t>22882434</t>
  </si>
  <si>
    <t>ocm22882434</t>
  </si>
  <si>
    <t>3100225791U</t>
  </si>
  <si>
    <t>9788884020000</t>
  </si>
  <si>
    <t>793155807</t>
  </si>
  <si>
    <t>PQ4632 R78 T74 2011</t>
  </si>
  <si>
    <t>0                      PQ 4632000R  78                 T  74          2011</t>
  </si>
  <si>
    <t>Ruscelli grammatico e polemista : i Tre discorsi a Lodovico Dolce / Stefano Telve.</t>
  </si>
  <si>
    <t>Telve, Stefano, 1969-</t>
  </si>
  <si>
    <t>Roma : Vecchiarelli, 2011.</t>
  </si>
  <si>
    <t>Cinquecento. Studi ; 38 (n.s. 2)</t>
  </si>
  <si>
    <t>2013-02-14</t>
  </si>
  <si>
    <t>1098158994:ita</t>
  </si>
  <si>
    <t>767734822</t>
  </si>
  <si>
    <t>ocn767734822</t>
  </si>
  <si>
    <t>3103125672D</t>
  </si>
  <si>
    <t>9788882472962</t>
  </si>
  <si>
    <t>794901439</t>
  </si>
  <si>
    <t>3103125671D</t>
  </si>
  <si>
    <t>794901440</t>
  </si>
  <si>
    <t>PQ4632 S68 Z56 2012</t>
  </si>
  <si>
    <t>0                      PQ 4632000S  68                 Z  56          2012</t>
  </si>
  <si>
    <t>L'opera poetica di Virginia Martini Salvi (Siena, c. 1510-Roma, post 1571) / Konrad Eisenbichler.</t>
  </si>
  <si>
    <t>Eisenbichler, Konrad, author.</t>
  </si>
  <si>
    <t>Siena : Accademia senese degli intronati, 2012.</t>
  </si>
  <si>
    <t>Accademia senese degli intronati. Monografie di storia e letteratura senese ; XVII</t>
  </si>
  <si>
    <t>2014-10-05</t>
  </si>
  <si>
    <t>1878011835:ita</t>
  </si>
  <si>
    <t>821652747</t>
  </si>
  <si>
    <t>ocn821652747</t>
  </si>
  <si>
    <t>31035344068</t>
  </si>
  <si>
    <t>9788889073186</t>
  </si>
  <si>
    <t>794936192</t>
  </si>
  <si>
    <t>PQ4633 A1 1961</t>
  </si>
  <si>
    <t>0                      PQ 4633000A  1           1961</t>
  </si>
  <si>
    <t>Opere volgari / a cura di Alfredo Mauro.</t>
  </si>
  <si>
    <t>Sannazaro, Jacopo, 1458-1530.</t>
  </si>
  <si>
    <t>Bari, G. Laterza, 1961.</t>
  </si>
  <si>
    <t>Scrittori d'Italia, n. 220</t>
  </si>
  <si>
    <t>3768659103:ita</t>
  </si>
  <si>
    <t>6672570</t>
  </si>
  <si>
    <t>ocm06672570</t>
  </si>
  <si>
    <t>30006167102</t>
  </si>
  <si>
    <t>792515587</t>
  </si>
  <si>
    <t>PQ4633 Z5 K4 1983</t>
  </si>
  <si>
    <t>0                      PQ 4633000Z  5                  K  4           1983</t>
  </si>
  <si>
    <t>Jacopo Sannazaro and the uses of pastoral / William J. Kennedy.</t>
  </si>
  <si>
    <t>Kennedy, William J. (William John), 1942-</t>
  </si>
  <si>
    <t>Hanover [N.H.] : University Press of New England, 1983.</t>
  </si>
  <si>
    <t>2016-03-18</t>
  </si>
  <si>
    <t>43845494:eng</t>
  </si>
  <si>
    <t>9970606</t>
  </si>
  <si>
    <t>ocm09970606</t>
  </si>
  <si>
    <t>30003589174</t>
  </si>
  <si>
    <t>9780874512687</t>
  </si>
  <si>
    <t>792702891</t>
  </si>
  <si>
    <t>PQ4633 Z5 K54 1993</t>
  </si>
  <si>
    <t>0                      PQ 4633000Z  5                  K  54          1993</t>
  </si>
  <si>
    <t>Sannazaro and Arcadia / Carol Kidwell.</t>
  </si>
  <si>
    <t>London : Duckworth, 1993.</t>
  </si>
  <si>
    <t>31853505:eng</t>
  </si>
  <si>
    <t>30108746</t>
  </si>
  <si>
    <t>ocm30108746</t>
  </si>
  <si>
    <t>3103026265T</t>
  </si>
  <si>
    <t>9780715624777</t>
  </si>
  <si>
    <t>793329826</t>
  </si>
  <si>
    <t>PQ4633 Z5 S37 2006</t>
  </si>
  <si>
    <t>0                      PQ 4633000Z  5                  S  37          2006</t>
  </si>
  <si>
    <t>La Serenissima e il regno : nel V Centenario dell'Arcadia di Iacopo Sannazaro : atti del convegno di studi (Bari-Venezia, 4-8 ottobre 2004) / raccolti da Davide Canfora, Angela Caracciolo Aricò ; prefazione di Francesco Tateo.</t>
  </si>
  <si>
    <t>Bari : Cacucci, 2006.</t>
  </si>
  <si>
    <t>Rinascimento e barocco ; 2</t>
  </si>
  <si>
    <t>2019-05-25</t>
  </si>
  <si>
    <t>464765608:ita</t>
  </si>
  <si>
    <t>173263827</t>
  </si>
  <si>
    <t>ocn173263827</t>
  </si>
  <si>
    <t>31030297682</t>
  </si>
  <si>
    <t>9788884225511</t>
  </si>
  <si>
    <t>794266101</t>
  </si>
  <si>
    <t>PQ4634 S22 1968</t>
  </si>
  <si>
    <t>0                      PQ 4634000S  22          1968</t>
  </si>
  <si>
    <t>Poesie, [Di] Girolamo Savonarola. A cura di Mario Martelli.</t>
  </si>
  <si>
    <t>Savonarola, Girolamo, 1452-1498.</t>
  </si>
  <si>
    <t>Roma, A. Belardetti, 1968.</t>
  </si>
  <si>
    <t>Edizione nazionale delle opere di Girolamo Savonarola ; [vol. 12]</t>
  </si>
  <si>
    <t>10177330904:ita</t>
  </si>
  <si>
    <t>2300715</t>
  </si>
  <si>
    <t>ocm02300715</t>
  </si>
  <si>
    <t>30006156305</t>
  </si>
  <si>
    <t>792100408</t>
  </si>
  <si>
    <t>PQ4634 S222 Z48 2012</t>
  </si>
  <si>
    <t>0                      PQ 4634000S  222                Z  48          2012</t>
  </si>
  <si>
    <t>Se mai fui vostra : lettere d'amore a Pietro Bembo / Maria Savorgnan ; nuova edizione critica a cura di Monica Farnetti.</t>
  </si>
  <si>
    <t>Savorgnan, Maria.</t>
  </si>
  <si>
    <t>Ferrara : Edisai, ©2012.</t>
  </si>
  <si>
    <t>Quaderni dell'ISR ; 1</t>
  </si>
  <si>
    <t>1852922211:ita</t>
  </si>
  <si>
    <t>903598962</t>
  </si>
  <si>
    <t>ocn903598962</t>
  </si>
  <si>
    <t>31036213972</t>
  </si>
  <si>
    <t>9788896714096</t>
  </si>
  <si>
    <t>794989458</t>
  </si>
  <si>
    <t>PQ4634 S224 A2 2008</t>
  </si>
  <si>
    <t>0                      PQ 4634000S  224                A  2           2008</t>
  </si>
  <si>
    <t>The Commedia dell'arte of Flaminio Scala : a translation and analysis of 30 scenarios / edited and translated by Richard Andrews.</t>
  </si>
  <si>
    <t>Scala, Flaminio, active 1620.</t>
  </si>
  <si>
    <t>Lanham, Md. : Scarecrow Press, 2008.</t>
  </si>
  <si>
    <t>3372888396:eng</t>
  </si>
  <si>
    <t>233813735</t>
  </si>
  <si>
    <t>ocn233813735</t>
  </si>
  <si>
    <t>3102977365O</t>
  </si>
  <si>
    <t>9780810862074</t>
  </si>
  <si>
    <t>794367200</t>
  </si>
  <si>
    <t>PQ4634 S224 T4 1976</t>
  </si>
  <si>
    <t>0                      PQ 4634000S  224                T  4           1976</t>
  </si>
  <si>
    <t>Il teatro delle favole rappresentative / Flaminio Scala ; a cura di Ferruccio Marotti.</t>
  </si>
  <si>
    <t>Milano : Il polifilo, 1976.</t>
  </si>
  <si>
    <t>Archivio del teatro italiano ; n. 7</t>
  </si>
  <si>
    <t>2017-03-20</t>
  </si>
  <si>
    <t>9846020227:ita</t>
  </si>
  <si>
    <t>2856429</t>
  </si>
  <si>
    <t>ocm02856429</t>
  </si>
  <si>
    <t>3100809121P</t>
  </si>
  <si>
    <t>792185529</t>
  </si>
  <si>
    <t>30004186045</t>
  </si>
  <si>
    <t>792185530</t>
  </si>
  <si>
    <t>PQ4634 S224 Z55 2014</t>
  </si>
  <si>
    <t>0                      PQ 4634000S  224                Z  55          2014</t>
  </si>
  <si>
    <t>Befriending the commedia dell'arte of Flaminio Scala : the comic scenarios / Natalie Crohn Schmitt.</t>
  </si>
  <si>
    <t>Schmitt, Natalie Crohn, author.</t>
  </si>
  <si>
    <t>1890530940:eng</t>
  </si>
  <si>
    <t>880237302</t>
  </si>
  <si>
    <t>ocn880237302</t>
  </si>
  <si>
    <t>3103495174C</t>
  </si>
  <si>
    <t>9781442648999</t>
  </si>
  <si>
    <t>794972758</t>
  </si>
  <si>
    <t>PQ4634 S43 Z65 2016</t>
  </si>
  <si>
    <t>0                      PQ 4634000S  43                 Z  65          2016</t>
  </si>
  <si>
    <t>Gabriele Simeoni (1509-1570?) : un Florentin en France entre princes et libraires / sous la direction de Silvia D'Amico et Catherine Magnien-Simonin.</t>
  </si>
  <si>
    <t>Genève : Droz, [2016]</t>
  </si>
  <si>
    <t>Travaux d'humanisme et Renaissance, 0082-6081 ; no 568</t>
  </si>
  <si>
    <t>3995224697:fre</t>
  </si>
  <si>
    <t>964359853</t>
  </si>
  <si>
    <t>ocn964359853</t>
  </si>
  <si>
    <t>3103709053$</t>
  </si>
  <si>
    <t>9782600018333</t>
  </si>
  <si>
    <t>795025169</t>
  </si>
  <si>
    <t>PQ4634 S6 C3213 2013</t>
  </si>
  <si>
    <t>0                      PQ 4634000S  6                  C  3213        2013</t>
  </si>
  <si>
    <t>Canace (1542) / Sperone Speroni ; translation with introduction and notes by Elio Brancaforte.</t>
  </si>
  <si>
    <t>Speroni, Sperone, 1500-1588.</t>
  </si>
  <si>
    <t>Toronto, ON : Centre for Reformation and Renaissance Studies, ©2013.</t>
  </si>
  <si>
    <t>Carleton Renaissance plays in translation ; 42</t>
  </si>
  <si>
    <t>1360057596:eng</t>
  </si>
  <si>
    <t>853309031</t>
  </si>
  <si>
    <t>ocn853309031</t>
  </si>
  <si>
    <t>31035255202</t>
  </si>
  <si>
    <t>9780772721402</t>
  </si>
  <si>
    <t>794952036</t>
  </si>
  <si>
    <t>PQ4634 S65 A17 1930</t>
  </si>
  <si>
    <t>0                      PQ 4634000S  65                 A  17          1930</t>
  </si>
  <si>
    <t>Sonette an den Grafen : Collaltino di collalto / Gaspara Stampa ; [ausgewählt und übertragen von Leo Graf Lanckoroński ; Nachwort versehen von Maria Gräfin Lanckorońska].</t>
  </si>
  <si>
    <t>Stampa, Gaspara, approximately 1523-approximately 1554.</t>
  </si>
  <si>
    <t>Frankfurt : Bibliophilen-Gesellschaft, 1930.</t>
  </si>
  <si>
    <t>44319854:ger</t>
  </si>
  <si>
    <t>11028042</t>
  </si>
  <si>
    <t>ocm11028042</t>
  </si>
  <si>
    <t>3103106852H</t>
  </si>
  <si>
    <t>792754545</t>
  </si>
  <si>
    <t>PQ4634 S65 A27 1994</t>
  </si>
  <si>
    <t>0                      PQ 4634000S  65                 A  27          1994</t>
  </si>
  <si>
    <t>Selected poems / edited and translated by Laura Anna Stortoni &amp; Mary Prentice Lillie.</t>
  </si>
  <si>
    <t>2015-06-19</t>
  </si>
  <si>
    <t>1851420009:eng</t>
  </si>
  <si>
    <t>30894762</t>
  </si>
  <si>
    <t>ocm30894762</t>
  </si>
  <si>
    <t>3103743219Y</t>
  </si>
  <si>
    <t>9780934977371</t>
  </si>
  <si>
    <t>793347839</t>
  </si>
  <si>
    <t>PQ4634 S65 B3 1982</t>
  </si>
  <si>
    <t>0                      PQ 4634000S  65                 B  3           1982</t>
  </si>
  <si>
    <t>Gaspara Stampa / by Fiora A. Bassanese.</t>
  </si>
  <si>
    <t>Bassanese, Fiora A.</t>
  </si>
  <si>
    <t>Boston : Twayne, ©1982.</t>
  </si>
  <si>
    <t>Twayne's world authors series ; TWAS 658</t>
  </si>
  <si>
    <t>32309288:eng</t>
  </si>
  <si>
    <t>8560547</t>
  </si>
  <si>
    <t>ocm08560547</t>
  </si>
  <si>
    <t>3100809123L</t>
  </si>
  <si>
    <t>9780805765014</t>
  </si>
  <si>
    <t>792627388</t>
  </si>
  <si>
    <t>PQ4634 S65 R48 2015</t>
  </si>
  <si>
    <t>0                      PQ 4634000S  65                 R  48          2015</t>
  </si>
  <si>
    <t>Rethinking Gaspara Stampa in the canon of renaissance poetry / edited by Unn Falkeid and Aileen A. Feng.</t>
  </si>
  <si>
    <t>Farnham, Surrey, England : Ashgate Publishing Limited ; Burlington, VT : Ashgate Publishing Company, [2015]</t>
  </si>
  <si>
    <t>Women and gender in the early modern world</t>
  </si>
  <si>
    <t>2532095243:eng</t>
  </si>
  <si>
    <t>903873517</t>
  </si>
  <si>
    <t>ocn903873517</t>
  </si>
  <si>
    <t>3103611719C</t>
  </si>
  <si>
    <t>9781472427069</t>
  </si>
  <si>
    <t>794989731</t>
  </si>
  <si>
    <t>PQ4634 S6513 2010</t>
  </si>
  <si>
    <t>0                      PQ 4634000S  6513        2010</t>
  </si>
  <si>
    <t>The complete poems : the 1554 edition of the "rime," a bilingual edition / Gaspara Stampa ; edited by Troy Tower and Jane Tylus ; translated and with an introduction by Jane Tylus.</t>
  </si>
  <si>
    <t>Chicago : The University of Chicago Press, 2010.</t>
  </si>
  <si>
    <t>The other voice in early modern europe</t>
  </si>
  <si>
    <t>1812999170:eng</t>
  </si>
  <si>
    <t>587198941</t>
  </si>
  <si>
    <t>ocn587198941</t>
  </si>
  <si>
    <t>31032373645</t>
  </si>
  <si>
    <t>9780226770710</t>
  </si>
  <si>
    <t>794814400</t>
  </si>
  <si>
    <t>PQ4634 S7 P5 2000</t>
  </si>
  <si>
    <t>0                      PQ 4634000S  7                  P  5           2000</t>
  </si>
  <si>
    <t>Le piacevoli notti / Giovan Francesco Straparola ; a cura di Donato Pirovano.</t>
  </si>
  <si>
    <t>Straparola, Giovanni Francesco, approximately 1480-1557?</t>
  </si>
  <si>
    <t>Roma : Salerno, ©2000.</t>
  </si>
  <si>
    <t>I novellieri italiani ; v. 29</t>
  </si>
  <si>
    <t>3374725831:ita</t>
  </si>
  <si>
    <t>45412810</t>
  </si>
  <si>
    <t>ocm45412810</t>
  </si>
  <si>
    <t>3102109466O</t>
  </si>
  <si>
    <t>9788884023100</t>
  </si>
  <si>
    <t>793670854</t>
  </si>
  <si>
    <t>3102109470X</t>
  </si>
  <si>
    <t>793670855</t>
  </si>
  <si>
    <t>PQ4634 S7 P513 2012</t>
  </si>
  <si>
    <t>0                      PQ 4634000S  7                  P  513         2012</t>
  </si>
  <si>
    <t>The pleasant nights / Giovan Francesco Straparola ; edited with introduction and commentaries by Donald Beecher ; translated by W.G. Waters, thoroughly revised and corrected by the editor.</t>
  </si>
  <si>
    <t>Straparola, Giovanni Francesco, approximately 1480-1557.</t>
  </si>
  <si>
    <t>Toronto : University of Toronto Press, ©2012.</t>
  </si>
  <si>
    <t>The Lorenzo da Ponte Italian library</t>
  </si>
  <si>
    <t>8911935623:eng</t>
  </si>
  <si>
    <t>785765276</t>
  </si>
  <si>
    <t>ocn785765276</t>
  </si>
  <si>
    <t>31034022006</t>
  </si>
  <si>
    <t>9781442644267</t>
  </si>
  <si>
    <t>794915166</t>
  </si>
  <si>
    <t>PQ4634 S7 P513 2015</t>
  </si>
  <si>
    <t>0                      PQ 4634000S  7                  P  513         2015</t>
  </si>
  <si>
    <t>The pleasant nights / Giovan Francesco Straparola ; edited and translated by Suzanne Magnanini.</t>
  </si>
  <si>
    <t>Straparola, Giovanni Francesco, approximately 1480-1557?, author.</t>
  </si>
  <si>
    <t>Toronto, Ontario : Iter Academic Press ; Tempe, Arizona : Arizona Center for Medieval and Renaissance Studies, 2015.</t>
  </si>
  <si>
    <t>The other voice in early modern Europe. The Toronto series ; 40</t>
  </si>
  <si>
    <t>3374725831:eng</t>
  </si>
  <si>
    <t>910009726</t>
  </si>
  <si>
    <t>ocn910009726</t>
  </si>
  <si>
    <t>3103653860E</t>
  </si>
  <si>
    <t>9780866985369</t>
  </si>
  <si>
    <t>794995751</t>
  </si>
  <si>
    <t>PQ4634 S7 P523 2002</t>
  </si>
  <si>
    <t>0                      PQ 4634000S  7                  P  523         2002</t>
  </si>
  <si>
    <t>Fairy godfather : Straparola, Venice, and the fairy tale tradition / Ruth B. Bottigheimer.</t>
  </si>
  <si>
    <t>Bottigheimer, Ruth B.</t>
  </si>
  <si>
    <t>Philadelphia : University of Pennsylvania Press, ©2002.</t>
  </si>
  <si>
    <t>2019-07-10</t>
  </si>
  <si>
    <t>891883714:eng</t>
  </si>
  <si>
    <t>49873331</t>
  </si>
  <si>
    <t>ocm49873331</t>
  </si>
  <si>
    <t>31022170056</t>
  </si>
  <si>
    <t>9780812236804</t>
  </si>
  <si>
    <t>793749627</t>
  </si>
  <si>
    <t>PQ4634.S7 Z73 2008</t>
  </si>
  <si>
    <t>0                      PQ 4634000S  7                  Z  73          2008</t>
  </si>
  <si>
    <t>Fairy-tale science : monstrous generation in the tales of Straparola and Basile / Suzanne Magnanini.</t>
  </si>
  <si>
    <t>Magnanini, Suzanne.</t>
  </si>
  <si>
    <t>Toronto : University of Toronto Press, c2008.</t>
  </si>
  <si>
    <t>837043562:eng</t>
  </si>
  <si>
    <t>184738247</t>
  </si>
  <si>
    <t>ocn184738247</t>
  </si>
  <si>
    <t>3102706296Z</t>
  </si>
  <si>
    <t>9780802097545</t>
  </si>
  <si>
    <t>794289137</t>
  </si>
  <si>
    <t>PQ4634 S825 Z75 2013</t>
  </si>
  <si>
    <t>0                      PQ 4634000S  825                Z  75          2013</t>
  </si>
  <si>
    <t>Lorenzo di Filippo Strozzi and Niccolò Machiavelli : patron, client, and the Pistola fatta per la peste/an epistle written concerning the plague / William J. Landon.</t>
  </si>
  <si>
    <t>Landon, William J., 1974- author.</t>
  </si>
  <si>
    <t>2013-11-01</t>
  </si>
  <si>
    <t>1654124669:eng</t>
  </si>
  <si>
    <t>851238360</t>
  </si>
  <si>
    <t>ocn851238360</t>
  </si>
  <si>
    <t>3103492909E</t>
  </si>
  <si>
    <t>9781442644243</t>
  </si>
  <si>
    <t>794950776</t>
  </si>
  <si>
    <t>PQ4634 T3 M54 2003</t>
  </si>
  <si>
    <t>0                      PQ 4634000T  3                  M  54          2003</t>
  </si>
  <si>
    <t>Luigi Tansillo and lyric poetry in sixteenth-century Naples / by Erika Milburn.</t>
  </si>
  <si>
    <t>Milburn, Erika.</t>
  </si>
  <si>
    <t>Leeds, UK : Maney Publishing for the Modern Humanities Research Association, 2003.</t>
  </si>
  <si>
    <t>Texts and dissertations ; v. 57</t>
  </si>
  <si>
    <t>1069986:eng</t>
  </si>
  <si>
    <t>53118802</t>
  </si>
  <si>
    <t>ocm53118802</t>
  </si>
  <si>
    <t>31023369074</t>
  </si>
  <si>
    <t>9781902653976</t>
  </si>
  <si>
    <t>793821726</t>
  </si>
  <si>
    <t>PQ4634 T3 2011</t>
  </si>
  <si>
    <t>0                      PQ 4634000T  3           2011</t>
  </si>
  <si>
    <t>Rime / Luigi Tansillo ; introduzione e testo a cura di Tobia R. Toscano ; commento di Erika Milburn e Rossano Pestarino.</t>
  </si>
  <si>
    <t>Tansillo, Luigi, 1510-1568.</t>
  </si>
  <si>
    <t>Biblioteca del Cinquecento ; 154</t>
  </si>
  <si>
    <t>4020896961:ita</t>
  </si>
  <si>
    <t>778325219</t>
  </si>
  <si>
    <t>ocn778325219</t>
  </si>
  <si>
    <t>3103463528X</t>
  </si>
  <si>
    <t>9788878706071</t>
  </si>
  <si>
    <t>794909602</t>
  </si>
  <si>
    <t>3103463529X</t>
  </si>
  <si>
    <t>794909601</t>
  </si>
  <si>
    <t>PQ4634 T6 Z76 2012</t>
  </si>
  <si>
    <t>0                      PQ 4634000T  6                  Z  76          2012</t>
  </si>
  <si>
    <t>Dall'Amadigi al Rinaldo : Bernardo e Torquato Tasso tra epico ed eroico / Rosanna Morace.</t>
  </si>
  <si>
    <t>Morace, Rosanna, 1980- author.</t>
  </si>
  <si>
    <t>Alessandria : Edizioni dell'Orso, [2012]</t>
  </si>
  <si>
    <t>Studi e testi / Commissione nazionale per l'edizione delle opere del Tasso ; 6</t>
  </si>
  <si>
    <t>2013-10-24</t>
  </si>
  <si>
    <t>1173780279:ita</t>
  </si>
  <si>
    <t>811589487</t>
  </si>
  <si>
    <t>ocn811589487</t>
  </si>
  <si>
    <t>3103125924E</t>
  </si>
  <si>
    <t>9788862743686</t>
  </si>
  <si>
    <t>794930183</t>
  </si>
  <si>
    <t>PQ4636 A3 S6 1964</t>
  </si>
  <si>
    <t>0                      PQ 4636000A  3                  S  6           1964</t>
  </si>
  <si>
    <t>Opere. / A cura di Bortolo Tommaso Sozzi.</t>
  </si>
  <si>
    <t>Torino : Union e Tipografico-Editrice Torinese, [1964]</t>
  </si>
  <si>
    <t>2. ed. riveduta.</t>
  </si>
  <si>
    <t>Classici italiani, 45</t>
  </si>
  <si>
    <t>2018-07-12</t>
  </si>
  <si>
    <t>5091618525:ita</t>
  </si>
  <si>
    <t>61591059</t>
  </si>
  <si>
    <t>ocm61591059</t>
  </si>
  <si>
    <t>3000615633$</t>
  </si>
  <si>
    <t>794030042</t>
  </si>
  <si>
    <t>PQ4637 A21 2011</t>
  </si>
  <si>
    <t>0                      PQ 4637000A  21          2011</t>
  </si>
  <si>
    <t>Love poems for Lucrezia Bendidio / Torquato Tasso ; edited with an introduction and English verse translations by Max Wickert.</t>
  </si>
  <si>
    <t>New York : Italica Press, 2011.</t>
  </si>
  <si>
    <t>Italica Press dual-language poetry series</t>
  </si>
  <si>
    <t>1815293570:eng</t>
  </si>
  <si>
    <t>733755467</t>
  </si>
  <si>
    <t>ocn733755467</t>
  </si>
  <si>
    <t>3103472016C</t>
  </si>
  <si>
    <t>9781599102627</t>
  </si>
  <si>
    <t>794882209</t>
  </si>
  <si>
    <t>PQ4638 E66</t>
  </si>
  <si>
    <t>0                      PQ 4638000E  66</t>
  </si>
  <si>
    <t>La Gerusalemme liberata.</t>
  </si>
  <si>
    <t>Brescia : La seuola, 1966.</t>
  </si>
  <si>
    <t>4. ed.</t>
  </si>
  <si>
    <t>2016-03-07</t>
  </si>
  <si>
    <t>846030:ita</t>
  </si>
  <si>
    <t>61591512</t>
  </si>
  <si>
    <t>ocm61591512</t>
  </si>
  <si>
    <t>3000625845F</t>
  </si>
  <si>
    <t>794030519</t>
  </si>
  <si>
    <t>PQ4638 E68x</t>
  </si>
  <si>
    <t>0                      PQ 4638000E  68x</t>
  </si>
  <si>
    <t>La Gerusalemme liberata, con introduzione e commento di Piero Nardi.</t>
  </si>
  <si>
    <t>Milano] Edizioni Scholastiche Mondadori [1961]</t>
  </si>
  <si>
    <t>[14. ed.</t>
  </si>
  <si>
    <t>2016-03-28</t>
  </si>
  <si>
    <t>12445034</t>
  </si>
  <si>
    <t>ocm12445034</t>
  </si>
  <si>
    <t>30007655430</t>
  </si>
  <si>
    <t>792816039</t>
  </si>
  <si>
    <t>PQ4638 E78</t>
  </si>
  <si>
    <t>0                      PQ 4638000E  78</t>
  </si>
  <si>
    <t>La Gerusalemme liberata / Torquato Tasso ; a cura di Giovanni Getto.</t>
  </si>
  <si>
    <t>Brescia : La Scuola, 1978, ©1960.</t>
  </si>
  <si>
    <t>8. ed.</t>
  </si>
  <si>
    <t>Collana di classici italiani</t>
  </si>
  <si>
    <t>2016-07-18</t>
  </si>
  <si>
    <t>61549163</t>
  </si>
  <si>
    <t>ocm61549163</t>
  </si>
  <si>
    <t>3103023896H</t>
  </si>
  <si>
    <t>793980811</t>
  </si>
  <si>
    <t>PQ4638 Z9 2010</t>
  </si>
  <si>
    <t>0                      PQ 4638000Z  9           2010</t>
  </si>
  <si>
    <t>Gerusalemme conquistata : ms. Vind. Lat. 72 della Biblioteca nazionale di Napoli / Torquato Tasso ; edizione critica a cura di Claudio Gigante.</t>
  </si>
  <si>
    <t>Alessandria : Edizioni dell'Orso, 2010-</t>
  </si>
  <si>
    <t>Edizione nazionale delle opere di Torquato Tasso ; 3</t>
  </si>
  <si>
    <t>2863398395:ita</t>
  </si>
  <si>
    <t>704509565</t>
  </si>
  <si>
    <t>ocn704509565</t>
  </si>
  <si>
    <t>3103125295L</t>
  </si>
  <si>
    <t>9788862742368</t>
  </si>
  <si>
    <t>794865731</t>
  </si>
  <si>
    <t>PQ4639 A3 C6</t>
  </si>
  <si>
    <t>0                      PQ 4639000A  3                  C  6</t>
  </si>
  <si>
    <t>The landscape of the mind : pastoralism and platonic theory in Tasso's Aminta and Shakespeare's early comedies / by Richard Cody.</t>
  </si>
  <si>
    <t>Cody, Richard.</t>
  </si>
  <si>
    <t>Oxford : Clarendon Press, 1969.</t>
  </si>
  <si>
    <t>2012-03-22</t>
  </si>
  <si>
    <t>2019-11-29</t>
  </si>
  <si>
    <t>197854303:eng</t>
  </si>
  <si>
    <t>32970</t>
  </si>
  <si>
    <t>ocm00032970</t>
  </si>
  <si>
    <t>30002019423</t>
  </si>
  <si>
    <t>9780198116806</t>
  </si>
  <si>
    <t>791234763</t>
  </si>
  <si>
    <t>30006156402</t>
  </si>
  <si>
    <t>791234762</t>
  </si>
  <si>
    <t>PQ4639 A3 P57 2012</t>
  </si>
  <si>
    <t>0                      PQ 4639000A  3                  P  57          2012</t>
  </si>
  <si>
    <t>Amintas e poi Aminta : il dramma pastorale tassiano in Inghilterra / Silvia Pireddu.</t>
  </si>
  <si>
    <t>Pireddu, Silvia.</t>
  </si>
  <si>
    <t>Milano : EDUCatt, 2012.</t>
  </si>
  <si>
    <t>1332171985:ita</t>
  </si>
  <si>
    <t>843755365</t>
  </si>
  <si>
    <t>ocn843755365</t>
  </si>
  <si>
    <t>3103126271L</t>
  </si>
  <si>
    <t>9788883119613</t>
  </si>
  <si>
    <t>794948143</t>
  </si>
  <si>
    <t>PQ4639 R2 2012</t>
  </si>
  <si>
    <t>0                      PQ 4639000R  2           2012</t>
  </si>
  <si>
    <t>Rinaldo / Torquato Tasso.</t>
  </si>
  <si>
    <t>Edizione commentata / a cura di Matteo Navone.</t>
  </si>
  <si>
    <t>Studi e testi / Commissione nazionale per l'edizione delle opere del Tasso ; 7</t>
  </si>
  <si>
    <t>4923061322:ita</t>
  </si>
  <si>
    <t>809029834</t>
  </si>
  <si>
    <t>ocn809029834</t>
  </si>
  <si>
    <t>3103125947A</t>
  </si>
  <si>
    <t>9788862743761</t>
  </si>
  <si>
    <t>794928048</t>
  </si>
  <si>
    <t>PQ4640 A43 R67 2007</t>
  </si>
  <si>
    <t>0                      PQ 4640000A  43                 R  67          2007</t>
  </si>
  <si>
    <t>Io come filosofo era stato dubbio : la retorica dei "Dialoghi" di Tasso / Massimo Rossi.</t>
  </si>
  <si>
    <t>Rossi, Massimo.</t>
  </si>
  <si>
    <t>Ricerca</t>
  </si>
  <si>
    <t>2015-05-28</t>
  </si>
  <si>
    <t>367930462:ita</t>
  </si>
  <si>
    <t>224388373</t>
  </si>
  <si>
    <t>ocn224388373</t>
  </si>
  <si>
    <t>3102898056R</t>
  </si>
  <si>
    <t>9788815121776</t>
  </si>
  <si>
    <t>794338370</t>
  </si>
  <si>
    <t>PQ4640 D5 E5 1973</t>
  </si>
  <si>
    <t>0                      PQ 4640000D  5                  E  5           1973</t>
  </si>
  <si>
    <t>Discourses on the heroic poem; translated [from the Italian] with notes by Mariella Cavalchini and Irene Samuel.</t>
  </si>
  <si>
    <t>Oxford, Clarendon Press, 1973.</t>
  </si>
  <si>
    <t>1154114030:eng</t>
  </si>
  <si>
    <t>674111</t>
  </si>
  <si>
    <t>ocm00674111</t>
  </si>
  <si>
    <t>3102823872H</t>
  </si>
  <si>
    <t>9780198157144</t>
  </si>
  <si>
    <t>791443305</t>
  </si>
  <si>
    <t>PQ4641 A3 C3 1976</t>
  </si>
  <si>
    <t>0                      PQ 4641000A  3                  C  3           1976</t>
  </si>
  <si>
    <t>Carlo Cosentino e la Gerusalemme liberata in dialetto calabrese / [a cura di] Silvana Naccarato.</t>
  </si>
  <si>
    <t>Chiaravalle Centrale : Effe emme, 1976.</t>
  </si>
  <si>
    <t>3857846246:ita</t>
  </si>
  <si>
    <t>3445656</t>
  </si>
  <si>
    <t>ocm03445656</t>
  </si>
  <si>
    <t>3103636211B</t>
  </si>
  <si>
    <t>792256362</t>
  </si>
  <si>
    <t>PQ4642 E2 1982</t>
  </si>
  <si>
    <t>0                      PQ 4642000E  2           1982</t>
  </si>
  <si>
    <t>Tasso's dialogues : a selection with the Discourse on the art of the dialogue / translated with introduction and notes by Carnes Lord and Dain A. Trafton.</t>
  </si>
  <si>
    <t>Biblioteca italiana</t>
  </si>
  <si>
    <t>2015-02-05</t>
  </si>
  <si>
    <t>1102478302:eng</t>
  </si>
  <si>
    <t>7672608</t>
  </si>
  <si>
    <t>ocm07672608</t>
  </si>
  <si>
    <t>30003434649</t>
  </si>
  <si>
    <t>9780520044647</t>
  </si>
  <si>
    <t>792573837</t>
  </si>
  <si>
    <t>PQ4642 E21 F3 1981</t>
  </si>
  <si>
    <t>0                      PQ 4642000E  21                 F  3           1981</t>
  </si>
  <si>
    <t>Godfrey of Bulloigne : a critical edition of Edward Fairfax's translation of Tasso's Gerusalemme liberata, together with Fairfax's original poems / edited by Kathleen M. Lea and T.M. Gang.</t>
  </si>
  <si>
    <t>Oxford : Clarendon Press ; New York : Oxford University Press, 1981.</t>
  </si>
  <si>
    <t>Oxford English texts</t>
  </si>
  <si>
    <t>2016-06-08</t>
  </si>
  <si>
    <t>10076043322:eng</t>
  </si>
  <si>
    <t>5410483</t>
  </si>
  <si>
    <t>ocm05410483</t>
  </si>
  <si>
    <t>3103004937W</t>
  </si>
  <si>
    <t>9780198124801</t>
  </si>
  <si>
    <t>792431074</t>
  </si>
  <si>
    <t>PQ4642 E21 W53 2009</t>
  </si>
  <si>
    <t>0                      PQ 4642000E  21                 W  53          2009</t>
  </si>
  <si>
    <t>The liberation of Jerusalem (Gerusalemme liberata) / Torquato Tasso ; translated by Max Wickert ; with an introduction and notes by Mark Davie.</t>
  </si>
  <si>
    <t>Oxford ; New York : Oxford University Press, 2009.</t>
  </si>
  <si>
    <t>4495032654:eng</t>
  </si>
  <si>
    <t>243546110</t>
  </si>
  <si>
    <t>ocn243546110</t>
  </si>
  <si>
    <t>31032912496</t>
  </si>
  <si>
    <t>9780199535354</t>
  </si>
  <si>
    <t>794378516</t>
  </si>
  <si>
    <t>3103290230C</t>
  </si>
  <si>
    <t>794378515</t>
  </si>
  <si>
    <t>PQ4646 P57 1982</t>
  </si>
  <si>
    <t>0                      PQ 4646000P  57          1982</t>
  </si>
  <si>
    <t>Torquato Tasso : l'uomo, il poeta, il cortigiano / Fabio Pittorru.</t>
  </si>
  <si>
    <t>Pittorru, Fabio.</t>
  </si>
  <si>
    <t>Milano : Bompiani, 1982.</t>
  </si>
  <si>
    <t>Ritratti</t>
  </si>
  <si>
    <t>2016-11-05</t>
  </si>
  <si>
    <t>292606798:ita</t>
  </si>
  <si>
    <t>10045415</t>
  </si>
  <si>
    <t>ocm10045415</t>
  </si>
  <si>
    <t>30003515940</t>
  </si>
  <si>
    <t>792706335</t>
  </si>
  <si>
    <t>PQ4646 S55</t>
  </si>
  <si>
    <t>0                      PQ 4646000S  55</t>
  </si>
  <si>
    <t>Le Tasse et la littérature et l'art baroques en France [par] Joyce G. Simpson.</t>
  </si>
  <si>
    <t>Simpson, Joyce G.</t>
  </si>
  <si>
    <t>Paris, Librairie A.G. Nizet, 1962.</t>
  </si>
  <si>
    <t>2017-08-23</t>
  </si>
  <si>
    <t>351205975:fre</t>
  </si>
  <si>
    <t>512793</t>
  </si>
  <si>
    <t>ocm00512793</t>
  </si>
  <si>
    <t>30007797182</t>
  </si>
  <si>
    <t>791399537</t>
  </si>
  <si>
    <t>PQ4646 S85 2003</t>
  </si>
  <si>
    <t>0                      PQ 4646000S  85          2003</t>
  </si>
  <si>
    <t>Sul Tasso : studi di filologia e letteratura italiana offerti a Luigi Poma / a cura di Franco Gavazzeni.</t>
  </si>
  <si>
    <t>Roma : Antenore, 2003.</t>
  </si>
  <si>
    <t>Miscellanea erudita. Nuova serie ; 65</t>
  </si>
  <si>
    <t>890942150:ita</t>
  </si>
  <si>
    <t>53823949</t>
  </si>
  <si>
    <t>ocm53823949</t>
  </si>
  <si>
    <t>31028737019</t>
  </si>
  <si>
    <t>9788884555557</t>
  </si>
  <si>
    <t>793851136</t>
  </si>
  <si>
    <t>PQ4646 T63 1999</t>
  </si>
  <si>
    <t>0                      PQ 4646000T  63          1999</t>
  </si>
  <si>
    <t>Torquato Tasso e la cultura estense / a cura di Gianni Venturi ; indice dei nomi e bibliografia generale a cura di Angela Ghinato e Roberta Ziosi.</t>
  </si>
  <si>
    <t>Firenze : L.S. Olschki, 1999.</t>
  </si>
  <si>
    <t>Biblioteca dell'"Archivum Romanicum." Serie I, Storia, letteratura, paleografia ; 280</t>
  </si>
  <si>
    <t>2007-10-02</t>
  </si>
  <si>
    <t>2015-02-03</t>
  </si>
  <si>
    <t>502520885:ita</t>
  </si>
  <si>
    <t>41873015</t>
  </si>
  <si>
    <t>ocm41873015</t>
  </si>
  <si>
    <t>3102209236S</t>
  </si>
  <si>
    <t>9788822247476</t>
  </si>
  <si>
    <t>793597960</t>
  </si>
  <si>
    <t>3102209196J</t>
  </si>
  <si>
    <t>793597962</t>
  </si>
  <si>
    <t>2010-05-03</t>
  </si>
  <si>
    <t>3102209231S</t>
  </si>
  <si>
    <t>793597961</t>
  </si>
  <si>
    <t>PQ4648 A4 D87 2010</t>
  </si>
  <si>
    <t>0                      PQ 4648000A  4                  D  87          2010</t>
  </si>
  <si>
    <t>"Giovinetta peregrina" : la vera storia di Laura Peperara e Torquato Tasso / Elio Durante, Anna Martellotti.</t>
  </si>
  <si>
    <t>Durante, Elio.</t>
  </si>
  <si>
    <t>Firenze : L.S. Olschki, 2010.</t>
  </si>
  <si>
    <t>Biblioteca dell'Archivum romanicum. Ser. 1.: Storia, letteratura, paleografia ; 371</t>
  </si>
  <si>
    <t>2017-08-21</t>
  </si>
  <si>
    <t>768821049:ita</t>
  </si>
  <si>
    <t>610839855</t>
  </si>
  <si>
    <t>ocn610839855</t>
  </si>
  <si>
    <t>3103125169U</t>
  </si>
  <si>
    <t>9788822259813</t>
  </si>
  <si>
    <t>794820814</t>
  </si>
  <si>
    <t>PQ4654 A2 M37 2010</t>
  </si>
  <si>
    <t>0                      PQ 4654000A  2                  M  37          2010</t>
  </si>
  <si>
    <t>Tasso in controluce : risonanze e fortune del gran Torquato / Gian Piero Maragoni.</t>
  </si>
  <si>
    <t>Maragoni, Gian Piero, 1959-</t>
  </si>
  <si>
    <t>Roma : Robin, 2010.</t>
  </si>
  <si>
    <t>I libri grigi ; 13</t>
  </si>
  <si>
    <t>767721237:ita</t>
  </si>
  <si>
    <t>694828902</t>
  </si>
  <si>
    <t>ocn694828902</t>
  </si>
  <si>
    <t>3103125291L</t>
  </si>
  <si>
    <t>9788873716273</t>
  </si>
  <si>
    <t>794857940</t>
  </si>
  <si>
    <t>PQ4655 S78 2012</t>
  </si>
  <si>
    <t>0                      PQ 4655000S  78          2012</t>
  </si>
  <si>
    <t>Studi tassiani sorrentini : 11 marzo 2012 / [presentazione, Antonio Cuomo].</t>
  </si>
  <si>
    <t>[Castellammare di Stabia] (Napoli) : N. Longobardi, [2012]</t>
  </si>
  <si>
    <t>1172971327:ita</t>
  </si>
  <si>
    <t>805053021</t>
  </si>
  <si>
    <t>ocn805053021</t>
  </si>
  <si>
    <t>3103479910V</t>
  </si>
  <si>
    <t>794926164</t>
  </si>
  <si>
    <t>PQ4656 F47 E87 2015</t>
  </si>
  <si>
    <t>0                      PQ 4656000F  47                 E  87          2015</t>
  </si>
  <si>
    <t>Espacios oblicuos / Paloma Fernández Gomá.</t>
  </si>
  <si>
    <t>Fernández Gomá, Paloma, 1953- author.</t>
  </si>
  <si>
    <t>Torrejón de la Calzada, Madrid : Devenir, 2015.</t>
  </si>
  <si>
    <t>Primera edición.</t>
  </si>
  <si>
    <t>Devenir poesía ; número 266</t>
  </si>
  <si>
    <t>2549359085:spa</t>
  </si>
  <si>
    <t>919322016</t>
  </si>
  <si>
    <t>ocn919322016</t>
  </si>
  <si>
    <t>3103637610T</t>
  </si>
  <si>
    <t>9788494342325</t>
  </si>
  <si>
    <t>795001752</t>
  </si>
  <si>
    <t>PQ4656 G86 1998</t>
  </si>
  <si>
    <t>0                      PQ 4656000G  86          1998</t>
  </si>
  <si>
    <t>The epic rhetoric of Tasso : theory and practice / Maggie Günsberg.</t>
  </si>
  <si>
    <t>Günsberg, Maggie.</t>
  </si>
  <si>
    <t>Oxford : Legenda, European Humanities Research Centre : Modern Humanities Research Association, 1998.</t>
  </si>
  <si>
    <t>Legenda</t>
  </si>
  <si>
    <t>836981358:eng</t>
  </si>
  <si>
    <t>39678660</t>
  </si>
  <si>
    <t>ocm39678660</t>
  </si>
  <si>
    <t>3101918335R</t>
  </si>
  <si>
    <t>9781900755054</t>
  </si>
  <si>
    <t>793550848</t>
  </si>
  <si>
    <t>PQ4656 K37 1983</t>
  </si>
  <si>
    <t>0                      PQ 4656000K  37          1983</t>
  </si>
  <si>
    <t>Tasso and Milton : the problem of Christian epic / Judith A. Kates.</t>
  </si>
  <si>
    <t>Kates, Judith A., 1941-</t>
  </si>
  <si>
    <t>Lewisburg : Bucknell University Press ; London : Associated University Presses, ©1983.</t>
  </si>
  <si>
    <t>796720395:eng</t>
  </si>
  <si>
    <t>9393343</t>
  </si>
  <si>
    <t>ocm09393343</t>
  </si>
  <si>
    <t>3100012130Z</t>
  </si>
  <si>
    <t>9780838750469</t>
  </si>
  <si>
    <t>792673819</t>
  </si>
  <si>
    <t>PQ4656 R68 1945</t>
  </si>
  <si>
    <t>0                      PQ 4656000R  68          1945</t>
  </si>
  <si>
    <t>Les origines et les caractères de la première croisade.</t>
  </si>
  <si>
    <t>Rousset, Paul.</t>
  </si>
  <si>
    <t>Neuchâtel, Baconnière [©1945]</t>
  </si>
  <si>
    <t>1945</t>
  </si>
  <si>
    <t>2018-10-12</t>
  </si>
  <si>
    <t>350482572:fre</t>
  </si>
  <si>
    <t>1220579</t>
  </si>
  <si>
    <t>ocm01220579</t>
  </si>
  <si>
    <t>3101187026M</t>
  </si>
  <si>
    <t>791576268</t>
  </si>
  <si>
    <t>PQ4657 M33 G58 2012</t>
  </si>
  <si>
    <t>0                      PQ 4657000M  33                 G  58          2012</t>
  </si>
  <si>
    <t>Magia e storia in Torquato Tasso / Fabio Giunta.</t>
  </si>
  <si>
    <t>Giunta, Fabio.</t>
  </si>
  <si>
    <t>Milano : UNICOPLI, 2012.</t>
  </si>
  <si>
    <t>Testi e studi ; 256</t>
  </si>
  <si>
    <t>1366444223:ita</t>
  </si>
  <si>
    <t>834494781</t>
  </si>
  <si>
    <t>ocn834494781</t>
  </si>
  <si>
    <t>3103126158S</t>
  </si>
  <si>
    <t>9788840016139</t>
  </si>
  <si>
    <t>794944367</t>
  </si>
  <si>
    <t>PQ4657 R4 P53 2010</t>
  </si>
  <si>
    <t>0                      PQ 4657000R  4                  P  53          2010</t>
  </si>
  <si>
    <t>"Su nel sereno de' lucenti giri" : le Rime sacre di Torquato Tasso / Angelo Alberto Piatti.</t>
  </si>
  <si>
    <t>Piatti, Angelo Alberto.</t>
  </si>
  <si>
    <t>Contributi e proposte ; 73</t>
  </si>
  <si>
    <t>892632471:ita</t>
  </si>
  <si>
    <t>652361792</t>
  </si>
  <si>
    <t>ocn652361792</t>
  </si>
  <si>
    <t>3103125234X</t>
  </si>
  <si>
    <t>9788862741972</t>
  </si>
  <si>
    <t>794833409</t>
  </si>
  <si>
    <t>PQ4657 R4 S46 2016</t>
  </si>
  <si>
    <t>0                      PQ 4657000R  4                  S  46          2016</t>
  </si>
  <si>
    <t>Senza te son nulla : studi sulla poesia sacra di Torquato Tasso / a cura di Marco Corradini e Ottavio Ghidini.</t>
  </si>
  <si>
    <t>Roma : Edizioni di storia e letteratura ; Milano : Centro culturale "Alle Grazie" - Padri domenicani, giugno 2016.</t>
  </si>
  <si>
    <t>Temi e testi ; 151. Serie "Teologia e letteratura"</t>
  </si>
  <si>
    <t>3542020835:ita</t>
  </si>
  <si>
    <t>953719724</t>
  </si>
  <si>
    <t>ocn953719724</t>
  </si>
  <si>
    <t>3103564816G</t>
  </si>
  <si>
    <t>9788863729245</t>
  </si>
  <si>
    <t>795019165</t>
  </si>
  <si>
    <t>PQ4659 C65 2011</t>
  </si>
  <si>
    <t>0                      PQ 4659000C  65          2011</t>
  </si>
  <si>
    <t>Figure della diligenza : costanti e varianti del Tasso lirico nel canzoniere Chigiano L VIII 302 / Davide Colussi.</t>
  </si>
  <si>
    <t>Colussi, Davide.</t>
  </si>
  <si>
    <t>Roma : Editrice Antenore, MMXI.</t>
  </si>
  <si>
    <t>Miscellanea erudita. Nuova serie ; 79</t>
  </si>
  <si>
    <t>1076205645:ita</t>
  </si>
  <si>
    <t>774488875</t>
  </si>
  <si>
    <t>ocn774488875</t>
  </si>
  <si>
    <t>3103125713M</t>
  </si>
  <si>
    <t>9788884556615</t>
  </si>
  <si>
    <t>794906436</t>
  </si>
  <si>
    <t>PQ4664 T475 E76 2002</t>
  </si>
  <si>
    <t>0                      PQ 4664000T  475                E  76          2002</t>
  </si>
  <si>
    <t>Ermegildo / Emanuele Tesauro ; a cura di Pierantonio Frare e Michele Gazich.</t>
  </si>
  <si>
    <t>Tesauro, Emanuele, conte, 1592-1675.</t>
  </si>
  <si>
    <t>Manziana (Roma) : Vecchiarelli, ©2002.</t>
  </si>
  <si>
    <t>La scena e l'ombra ; nuova ser., 8</t>
  </si>
  <si>
    <t>2017-03-27</t>
  </si>
  <si>
    <t>3769916911:ita</t>
  </si>
  <si>
    <t>49697494</t>
  </si>
  <si>
    <t>ocm49697494</t>
  </si>
  <si>
    <t>3102216925G</t>
  </si>
  <si>
    <t>9788882470364</t>
  </si>
  <si>
    <t>793745837</t>
  </si>
  <si>
    <t>PQ4664 T475 Z62 2011</t>
  </si>
  <si>
    <t>0                      PQ 4664000T  475                Z  62          2011</t>
  </si>
  <si>
    <t>Il velo di Alcesti : metafora, dissimulazione e verità nell'opera di Emanuele Tesauro / Monica Bisi.</t>
  </si>
  <si>
    <t>Bisi, Monica.</t>
  </si>
  <si>
    <t>Res litteraria ; 6</t>
  </si>
  <si>
    <t>897463623:ita</t>
  </si>
  <si>
    <t>721865834</t>
  </si>
  <si>
    <t>ocn721865834</t>
  </si>
  <si>
    <t>3103125392I</t>
  </si>
  <si>
    <t>9788846728050</t>
  </si>
  <si>
    <t>794875377</t>
  </si>
  <si>
    <t>PQ4664 T475 Z69 2012</t>
  </si>
  <si>
    <t>0                      PQ 4664000T  475                Z  69          2012</t>
  </si>
  <si>
    <t>"Per la causa del cielo dello Stato" : retorica, politica e religione nei Panegirici sacri del Tesauro / Luisella Giachino.</t>
  </si>
  <si>
    <t>Giachino, Luisella.</t>
  </si>
  <si>
    <t>Contributi e proposte ; 80</t>
  </si>
  <si>
    <t>1220087665:ita</t>
  </si>
  <si>
    <t>836773700</t>
  </si>
  <si>
    <t>ocn836773700</t>
  </si>
  <si>
    <t>3103126198K</t>
  </si>
  <si>
    <t>9788862744034</t>
  </si>
  <si>
    <t>794944957</t>
  </si>
  <si>
    <t>PQ4664 T58 Z68 2012</t>
  </si>
  <si>
    <t>0                      PQ 4664000T  58                 Z  68          2012</t>
  </si>
  <si>
    <t>Il debito delle lettere : Pomponio Torelli e la cultura farnesiana di fine Cinquecento / a cura di Alessandro Bianchi, Nicola Catelli, Andrea Torre.</t>
  </si>
  <si>
    <t>Milano : Unicopli, 2012.</t>
  </si>
  <si>
    <t>Parole allo specchio / Dipartimento di italianistica, Università degli studi di Parma ; 26</t>
  </si>
  <si>
    <t>1122979452:ita</t>
  </si>
  <si>
    <t>798054115</t>
  </si>
  <si>
    <t>ocn798054115</t>
  </si>
  <si>
    <t>31031258933</t>
  </si>
  <si>
    <t>9788840015552</t>
  </si>
  <si>
    <t>794923038</t>
  </si>
  <si>
    <t>PQ4664 V315 A6 2001</t>
  </si>
  <si>
    <t>0                      PQ 4664000V  315                A  6           2001</t>
  </si>
  <si>
    <t>Poesie diverse / Maffio Venier ; a cura di Attilio Carminati ; prefazione di Manlio Cortelazzo.</t>
  </si>
  <si>
    <t>Venier, Maffio, 1550-1586.</t>
  </si>
  <si>
    <t>Venezia : Corbo e Fiore, ©2001.</t>
  </si>
  <si>
    <t>Idiomi ; 8</t>
  </si>
  <si>
    <t>144921965:ita</t>
  </si>
  <si>
    <t>51266163</t>
  </si>
  <si>
    <t>ocm51266163</t>
  </si>
  <si>
    <t>31022925126</t>
  </si>
  <si>
    <t>9788870860917</t>
  </si>
  <si>
    <t>793781844</t>
  </si>
  <si>
    <t>PQ4664 V315 S823 1982</t>
  </si>
  <si>
    <t>0                      PQ 4664000V  315                S  823         1982</t>
  </si>
  <si>
    <t>Contributi rinascimentali : Venezia e Firenze / Tiziana Agostini Nordio, Valerio Vianello ; prefazione di Giorgio Padoan.</t>
  </si>
  <si>
    <t>Agostini Nordio, Tiziana, 1957-</t>
  </si>
  <si>
    <t>Abano Terme (Padova) : Francisci, 1982.</t>
  </si>
  <si>
    <t>Materiali e ricerche ; 1</t>
  </si>
  <si>
    <t>2016-01-21</t>
  </si>
  <si>
    <t>11081435:ita</t>
  </si>
  <si>
    <t>16110464</t>
  </si>
  <si>
    <t>ocm16110464</t>
  </si>
  <si>
    <t>3000361624B</t>
  </si>
  <si>
    <t>792955308</t>
  </si>
  <si>
    <t>PQ4664 V428 E74 2012</t>
  </si>
  <si>
    <t>0                      PQ 4664000V  428                E  74          2012</t>
  </si>
  <si>
    <t>L'eremita Antonio : poema sacro / Lodovico Verucci ; introduzione e note di Pasquale Tuscano.</t>
  </si>
  <si>
    <t>Verucci, Lodovico, 1538-1616.</t>
  </si>
  <si>
    <t>Sisto (Perugia) : Effe, ©2012.</t>
  </si>
  <si>
    <t>Classici umbri della letteratura</t>
  </si>
  <si>
    <t>1126988223:ita</t>
  </si>
  <si>
    <t>794362047</t>
  </si>
  <si>
    <t>ocn794362047</t>
  </si>
  <si>
    <t>3103125807L</t>
  </si>
  <si>
    <t>9788896591802</t>
  </si>
  <si>
    <t>794919733</t>
  </si>
  <si>
    <t>PQ4664 V72 Z78 2011</t>
  </si>
  <si>
    <t>0                      PQ 4664000V  72                 Z  78          2011</t>
  </si>
  <si>
    <t>Giovanni Villifranchi : la fabbrica delle favole sceniche di Tasso e Ariosto / Linda Pirruccio.</t>
  </si>
  <si>
    <t>Pirruccio, Linda.</t>
  </si>
  <si>
    <t>Roma : Bulzoni, 2011.</t>
  </si>
  <si>
    <t>Biblioteca di cultura ; 716</t>
  </si>
  <si>
    <t>909080487:ita</t>
  </si>
  <si>
    <t>730398232</t>
  </si>
  <si>
    <t>ocn730398232</t>
  </si>
  <si>
    <t>3103125489H</t>
  </si>
  <si>
    <t>9788878705685</t>
  </si>
  <si>
    <t>794879995</t>
  </si>
  <si>
    <t>PQ4677 A4 1988</t>
  </si>
  <si>
    <t>0                      PQ 4677000A  4           1988</t>
  </si>
  <si>
    <t>Tragedie / Vittorio Alfieri ; a cura di Stefano Jacomuzzi.</t>
  </si>
  <si>
    <t>Alfieri, Vittorio, 1749-1803.</t>
  </si>
  <si>
    <t>Milano : A. Mondadori, 1988.</t>
  </si>
  <si>
    <t>1. ed. Oscar classici.</t>
  </si>
  <si>
    <t>Oscar classici</t>
  </si>
  <si>
    <t>4915708418:ita</t>
  </si>
  <si>
    <t>22619865</t>
  </si>
  <si>
    <t>ocm22619865</t>
  </si>
  <si>
    <t>31031509817</t>
  </si>
  <si>
    <t>9788804308508</t>
  </si>
  <si>
    <t>793149329</t>
  </si>
  <si>
    <t>PQ4677 A85 2017</t>
  </si>
  <si>
    <t>0                      PQ 4677000A  85          2017</t>
  </si>
  <si>
    <t>Frammenti di traduzioni / Vittorio Alfieri ; edizione critica a cura di Patrizia Pellizzari.</t>
  </si>
  <si>
    <t>Alfieri, Vittorio, 1749-1803, author, translator.</t>
  </si>
  <si>
    <t>Alessandria : Edizioni dell'Orso, 2017-</t>
  </si>
  <si>
    <t>Edizione nazionale delle opere di Vittorio Alfieri / Fondazione "Centro di Studi Alfieriani"</t>
  </si>
  <si>
    <t>4656668591:ita</t>
  </si>
  <si>
    <t>1003395933</t>
  </si>
  <si>
    <t>on1003395933</t>
  </si>
  <si>
    <t>3103721235L</t>
  </si>
  <si>
    <t>9788862747493</t>
  </si>
  <si>
    <t>795041586</t>
  </si>
  <si>
    <t>PQ4681 A2 1977</t>
  </si>
  <si>
    <t>0                      PQ 4681000A  2           1977</t>
  </si>
  <si>
    <t>Vita / Vittorio Alfieri ; introduzione e note di Giulio Cattaneo.</t>
  </si>
  <si>
    <t>Milano : Garzanti, 1977.</t>
  </si>
  <si>
    <t>1. ed. nella collezione I Garzanti I Grandi libri.</t>
  </si>
  <si>
    <t>I Grandi libri ; 196</t>
  </si>
  <si>
    <t>2019-09-15</t>
  </si>
  <si>
    <t>9381553324:ita</t>
  </si>
  <si>
    <t>4034203</t>
  </si>
  <si>
    <t>ocm04034203</t>
  </si>
  <si>
    <t>3000456237T</t>
  </si>
  <si>
    <t>792315485</t>
  </si>
  <si>
    <t>PQ4681 A2 1983</t>
  </si>
  <si>
    <t>0                      PQ 4681000A  2           1983</t>
  </si>
  <si>
    <t>Vita / Vittorio Alfieri ; a cura di Vittore Branca.</t>
  </si>
  <si>
    <t>Milano : Mursia, ©1983.</t>
  </si>
  <si>
    <t>GUM ; nuova ser., 50</t>
  </si>
  <si>
    <t>3130733:ita</t>
  </si>
  <si>
    <t>11366090</t>
  </si>
  <si>
    <t>ocm11366090</t>
  </si>
  <si>
    <t>3000383345U</t>
  </si>
  <si>
    <t>792770251</t>
  </si>
  <si>
    <t>PQ4681 A5 2011</t>
  </si>
  <si>
    <t>0                      PQ 4681000A  5           2011</t>
  </si>
  <si>
    <t>Alfieri e Calzabigi / cura di Angelo Fabrizi, Laura Ghidetti, Francesca Mecatti ; con uno scritto inedito di Giuseppe Pelli.</t>
  </si>
  <si>
    <t>Firenze : Le lettere, 2011.</t>
  </si>
  <si>
    <t>Quaderni della Rassegna ; n. 3</t>
  </si>
  <si>
    <t>5617800759:ita</t>
  </si>
  <si>
    <t>713177996</t>
  </si>
  <si>
    <t>ocn713177996</t>
  </si>
  <si>
    <t>3103125338U</t>
  </si>
  <si>
    <t>9788860871527</t>
  </si>
  <si>
    <t>794872546</t>
  </si>
  <si>
    <t>PQ4682 A435 2011</t>
  </si>
  <si>
    <t>0                      PQ 4682000A  435         2011</t>
  </si>
  <si>
    <t>Alfieri fra Italia ed Europa : letteratura, teatro, cultura / a cura di Carla Forno e Chiara Cedrati.</t>
  </si>
  <si>
    <t>Modena : Mucchi, 2011.</t>
  </si>
  <si>
    <t>1076206035:ita</t>
  </si>
  <si>
    <t>774489397</t>
  </si>
  <si>
    <t>ocn774489397</t>
  </si>
  <si>
    <t>3103125654H</t>
  </si>
  <si>
    <t>9788870005530</t>
  </si>
  <si>
    <t>794906444</t>
  </si>
  <si>
    <t>PQ4682 C45 2012</t>
  </si>
  <si>
    <t>0                      PQ 4682000C  45          2012</t>
  </si>
  <si>
    <t>L'originalità classica della commedia alfieriana / Diego Chiesi.</t>
  </si>
  <si>
    <t>Chiesi, Diego, 1989-</t>
  </si>
  <si>
    <t>Alessandria : Edizioni dell'Orso, 2012.</t>
  </si>
  <si>
    <t>Studi e ricerche ; 102</t>
  </si>
  <si>
    <t>1117278724:ita</t>
  </si>
  <si>
    <t>794362324</t>
  </si>
  <si>
    <t>ocn794362324</t>
  </si>
  <si>
    <t>3103125817J</t>
  </si>
  <si>
    <t>9788862743549</t>
  </si>
  <si>
    <t>794919743</t>
  </si>
  <si>
    <t>PQ4682 C58 1983</t>
  </si>
  <si>
    <t>0                      PQ 4682000C  58          1983</t>
  </si>
  <si>
    <t>Vittorio Alfieri e la cultura piemontese fra illuminismo e rivoluzione : atti del Convegno internazionale di studi in memoria di Carlo Palmisano, San Salvatore Monferrato, 22-24 settembre 1983 / a cura di Giovanna Ioli.</t>
  </si>
  <si>
    <t>Convegno internazionale di studi in memoria di Carlo Palmisano (1983 : San Salvatore Monferrato, Italy)</t>
  </si>
  <si>
    <t>[Italy] : [publisher not identified], [1985]</t>
  </si>
  <si>
    <t>2017-06-15</t>
  </si>
  <si>
    <t>430277093:ita</t>
  </si>
  <si>
    <t>16003876</t>
  </si>
  <si>
    <t>ocm16003876</t>
  </si>
  <si>
    <t>30005353158</t>
  </si>
  <si>
    <t>792950685</t>
  </si>
  <si>
    <t>PQ4682 D43 2011</t>
  </si>
  <si>
    <t>0                      PQ 4682000D  43          2011</t>
  </si>
  <si>
    <t>La drammaturgia alfieriana fra mito e politica / Monia De Bernardis.</t>
  </si>
  <si>
    <t>De Bernardis, Monia.</t>
  </si>
  <si>
    <t>Lecce : Pensa multimedia, 2011.</t>
  </si>
  <si>
    <t>Mneme ; 8</t>
  </si>
  <si>
    <t>1121689939:ita</t>
  </si>
  <si>
    <t>796781642</t>
  </si>
  <si>
    <t>ocn796781642</t>
  </si>
  <si>
    <t>3103125826H</t>
  </si>
  <si>
    <t>9788882328849</t>
  </si>
  <si>
    <t>794922386</t>
  </si>
  <si>
    <t>PQ4682 F37 2012</t>
  </si>
  <si>
    <t>0                      PQ 4682000F  37          2012</t>
  </si>
  <si>
    <t>Alfieri / Gabriella Fenocchio.</t>
  </si>
  <si>
    <t>Fenocchio, Gabriella.</t>
  </si>
  <si>
    <t>Bologna : Il Mulino, [2012]</t>
  </si>
  <si>
    <t>Profili di storia letteraria</t>
  </si>
  <si>
    <t>1098194758:ita</t>
  </si>
  <si>
    <t>783120463</t>
  </si>
  <si>
    <t>ocn783120463</t>
  </si>
  <si>
    <t>31031258983</t>
  </si>
  <si>
    <t>9788815238498</t>
  </si>
  <si>
    <t>794913813</t>
  </si>
  <si>
    <t>PQ4682 F56 2012</t>
  </si>
  <si>
    <t>0                      PQ 4682000F  56          2012</t>
  </si>
  <si>
    <t>The heroic female : redefining the role of the heroine in the tragedies of Vittorio Alfieri / by Stephanie Laggini Fiore.</t>
  </si>
  <si>
    <t>Fiore, Stephanie Laggini.</t>
  </si>
  <si>
    <t>Newcastle upon Tyne : Cambridge Scholars Publishing, 2012.</t>
  </si>
  <si>
    <t>14108181:eng</t>
  </si>
  <si>
    <t>779864412</t>
  </si>
  <si>
    <t>ocn779864412</t>
  </si>
  <si>
    <t>3103458182I</t>
  </si>
  <si>
    <t>9781443836609</t>
  </si>
  <si>
    <t>794911436</t>
  </si>
  <si>
    <t>PQ4682 M55 2012</t>
  </si>
  <si>
    <t>0                      PQ 4682000M  55          2012</t>
  </si>
  <si>
    <t>Alfieri e la crisi europea / Nicolò Mineo.</t>
  </si>
  <si>
    <t>Letteratura italiana: Saggi e strumenti ; 11</t>
  </si>
  <si>
    <t>1185648257:ita</t>
  </si>
  <si>
    <t>820790579</t>
  </si>
  <si>
    <t>ocn820790579</t>
  </si>
  <si>
    <t>31031259882</t>
  </si>
  <si>
    <t>9788820408183</t>
  </si>
  <si>
    <t>794935827</t>
  </si>
  <si>
    <t>PQ4682 T65 2014</t>
  </si>
  <si>
    <t>0                      PQ 4682000T  65          2014</t>
  </si>
  <si>
    <t>Percorsi alfieriani / Paola Trivero.</t>
  </si>
  <si>
    <t>Trivero, Paola, author.</t>
  </si>
  <si>
    <t>Alessandria : Edizioni dell'Orso, [2014]</t>
  </si>
  <si>
    <t>Contributi e proposte ; 87</t>
  </si>
  <si>
    <t>2534204758:ita</t>
  </si>
  <si>
    <t>910505773</t>
  </si>
  <si>
    <t>ocn910505773</t>
  </si>
  <si>
    <t>3103628541N</t>
  </si>
  <si>
    <t>9788862745734</t>
  </si>
  <si>
    <t>794996220</t>
  </si>
  <si>
    <t>PQ4683 A3 Z6155 2011</t>
  </si>
  <si>
    <t>0                      PQ 4683000A  3                  Z  6155        2011</t>
  </si>
  <si>
    <t>De Amicis nel Cuore di Torino : convegno internazionale di studi, Torino, 9-10 dicembre 2008 / a cura di Clara Allasia.</t>
  </si>
  <si>
    <t>857879364:ita</t>
  </si>
  <si>
    <t>709663845</t>
  </si>
  <si>
    <t>ocn709663845</t>
  </si>
  <si>
    <t>3103125340S</t>
  </si>
  <si>
    <t>9788862742610</t>
  </si>
  <si>
    <t>794869550</t>
  </si>
  <si>
    <t>PQ4683 B43 A2 2007</t>
  </si>
  <si>
    <t>0                      PQ 4683000B  43                 A  2           2007</t>
  </si>
  <si>
    <t>Sonnets / Guiseppe Gioacchino Belli ; translated by Mike Stocks.</t>
  </si>
  <si>
    <t>Belli, Giuseppe Gioachino, 1791-1863.</t>
  </si>
  <si>
    <t>Oxford : Oneworld Classics, 2007.</t>
  </si>
  <si>
    <t>Connoisseur</t>
  </si>
  <si>
    <t>2016-05-21</t>
  </si>
  <si>
    <t>4160983937:eng</t>
  </si>
  <si>
    <t>85692018</t>
  </si>
  <si>
    <t>ocm85692018</t>
  </si>
  <si>
    <t>3102571014H</t>
  </si>
  <si>
    <t>9781847490407</t>
  </si>
  <si>
    <t>794214243</t>
  </si>
  <si>
    <t>PQ4683 B43 A28</t>
  </si>
  <si>
    <t>0                      PQ 4683000B  43                 A  28</t>
  </si>
  <si>
    <t>Sonnets of Giuseppe Belli / translated, with an introduction, by Miller Williams.</t>
  </si>
  <si>
    <t>Baton Rouge : Louisiana State University Press, ©1981.</t>
  </si>
  <si>
    <t>209096209:eng</t>
  </si>
  <si>
    <t>6813025</t>
  </si>
  <si>
    <t>ocm06813025</t>
  </si>
  <si>
    <t>3103847618U</t>
  </si>
  <si>
    <t>9780807107621</t>
  </si>
  <si>
    <t>792524555</t>
  </si>
  <si>
    <t>PQ4683 B43 Z8278 2011</t>
  </si>
  <si>
    <t>0                      PQ 4683000B  43                 Z  8278        2011</t>
  </si>
  <si>
    <t>Come sarebbe a ddì?! : le forme dell'arguzia nei Sonetti di G.G. Belli / Valentina Russi.</t>
  </si>
  <si>
    <t>Russi, Valentina.</t>
  </si>
  <si>
    <t>Manziana (Roma) : Vecchiarelli, 2011.</t>
  </si>
  <si>
    <t>Negotia litteraria. Studi ; 10</t>
  </si>
  <si>
    <t>1083105281:ita</t>
  </si>
  <si>
    <t>778839117</t>
  </si>
  <si>
    <t>ocn778839117</t>
  </si>
  <si>
    <t>3103125645J</t>
  </si>
  <si>
    <t>9788882472412</t>
  </si>
  <si>
    <t>794910290</t>
  </si>
  <si>
    <t>PQ4683 B86 Z59 2015</t>
  </si>
  <si>
    <t>0                      PQ 4683000B  86                 Z  59          2015</t>
  </si>
  <si>
    <t>Carlo Bini : una poetica dell'umorismo / Laura Diafani.</t>
  </si>
  <si>
    <t>Diafani, Laura, author.</t>
  </si>
  <si>
    <t>Quaderni Aldo Palazzeschi, 1721-8543 ; nuova serie 36</t>
  </si>
  <si>
    <t>2559003490:ita</t>
  </si>
  <si>
    <t>912285991</t>
  </si>
  <si>
    <t>ocn912285991</t>
  </si>
  <si>
    <t>3103630294B</t>
  </si>
  <si>
    <t>9788860323347</t>
  </si>
  <si>
    <t>794998809</t>
  </si>
  <si>
    <t>PQ4684 B25 S7</t>
  </si>
  <si>
    <t>0                      PQ 4684000B  25                 S  7</t>
  </si>
  <si>
    <t>Storielle vane. Introduzione e note di Marziano Guglielminetti.</t>
  </si>
  <si>
    <t>Boito, Camillo, 1836-1914.</t>
  </si>
  <si>
    <t>Roma, Silva, 1971.</t>
  </si>
  <si>
    <t>Critica e storia, 6</t>
  </si>
  <si>
    <t>5091128238:ita</t>
  </si>
  <si>
    <t>3218457</t>
  </si>
  <si>
    <t>ocm03218457</t>
  </si>
  <si>
    <t>3000637208T</t>
  </si>
  <si>
    <t>792231108</t>
  </si>
  <si>
    <t>PQ4684 C44 A27 2003</t>
  </si>
  <si>
    <t>0                      PQ 4684000C  44                 A  27          2003</t>
  </si>
  <si>
    <t>Selected writings of an eighteenth-century Venetian woman of letters / Elisabetta Caminer Turra ; edited and translated by Catherine M. Sama.</t>
  </si>
  <si>
    <t>Caminer Turra, Elisabetta, 1751-1796.</t>
  </si>
  <si>
    <t>Chicago : University of Chicago Press, 2003.</t>
  </si>
  <si>
    <t>2015-07-12</t>
  </si>
  <si>
    <t>145686402:eng</t>
  </si>
  <si>
    <t>51810535</t>
  </si>
  <si>
    <t>ocm51810535</t>
  </si>
  <si>
    <t>3102495177J</t>
  </si>
  <si>
    <t>9780226817675</t>
  </si>
  <si>
    <t>793791537</t>
  </si>
  <si>
    <t>PQ4684 C8 L48 2015</t>
  </si>
  <si>
    <t>0                      PQ 4684000C  8                  L  48          2015</t>
  </si>
  <si>
    <t>Lettere alla assente : note ed appunti / Luigi Capuana ; a cura di Domenico Calcaterra.</t>
  </si>
  <si>
    <t>Capuana, Luigi, 1839-1915, author.</t>
  </si>
  <si>
    <t>Cuneo : Nerosubianco, [2015]</t>
  </si>
  <si>
    <t>Le drizze ; 23</t>
  </si>
  <si>
    <t>5092508126:ita</t>
  </si>
  <si>
    <t>926886299</t>
  </si>
  <si>
    <t>ocn926886299</t>
  </si>
  <si>
    <t>3103624718U</t>
  </si>
  <si>
    <t>9788898007578</t>
  </si>
  <si>
    <t>795005564</t>
  </si>
  <si>
    <t>PQ4684 C8 R28 2010</t>
  </si>
  <si>
    <t>0                      PQ 4684000C  8                  R  28          2010</t>
  </si>
  <si>
    <t>Racconti per ragazzi : 1901-1913 : inediti e rari / Luigi Capuana ; a cura di Luciana Pasquini.</t>
  </si>
  <si>
    <t>Capuana, Luigi, 1839-1915.</t>
  </si>
  <si>
    <t>Lanciano (Chieti) : R. Carabba, 2010.</t>
  </si>
  <si>
    <t>Classici Carabba ; 13</t>
  </si>
  <si>
    <t>505345449:ita</t>
  </si>
  <si>
    <t>644523758</t>
  </si>
  <si>
    <t>ocn644523758</t>
  </si>
  <si>
    <t>31031251291</t>
  </si>
  <si>
    <t>9788863440843</t>
  </si>
  <si>
    <t>794829210</t>
  </si>
  <si>
    <t>PQ4684 C8 Z53 2011</t>
  </si>
  <si>
    <t>0                      PQ 4684000C  8                  Z  53          2011</t>
  </si>
  <si>
    <t>Il cantiere Italia : il romanzo : Capuana e Borgese costruttori / Ambra Carta.</t>
  </si>
  <si>
    <t>Carta, Ambra.</t>
  </si>
  <si>
    <t>Palermo : Duepunti, ©2011.</t>
  </si>
  <si>
    <t>Dossier ; 7</t>
  </si>
  <si>
    <t>1101331076:ita</t>
  </si>
  <si>
    <t>785862834</t>
  </si>
  <si>
    <t>ocn785862834</t>
  </si>
  <si>
    <t>3103125737I</t>
  </si>
  <si>
    <t>9788889987759</t>
  </si>
  <si>
    <t>794915374</t>
  </si>
  <si>
    <t>PQ4684 C8 Z645 2012</t>
  </si>
  <si>
    <t>0                      PQ 4684000C  8                  Z  645         2012</t>
  </si>
  <si>
    <t>Sulla narrativa siciliana di Luigi Capuana / Alberico Guarnieri.</t>
  </si>
  <si>
    <t>Guarnieri, Alberico.</t>
  </si>
  <si>
    <t>Cosenza, Italy : Luigi Pellegrini Editore, [2012]</t>
  </si>
  <si>
    <t>Collana Crocevia ; 4</t>
  </si>
  <si>
    <t>8912271794:ita</t>
  </si>
  <si>
    <t>801440292</t>
  </si>
  <si>
    <t>ocn801440292</t>
  </si>
  <si>
    <t>31031258787</t>
  </si>
  <si>
    <t>9788881018666</t>
  </si>
  <si>
    <t>794925006</t>
  </si>
  <si>
    <t>PQ4684 C8 Z915 2017</t>
  </si>
  <si>
    <t>0                      PQ 4684000C  8                  Z  915         2017</t>
  </si>
  <si>
    <t>Subalternità siciliana nella scrittura di Luigi Capuana e Giovanni Verga / Anita Virga.</t>
  </si>
  <si>
    <t>Virga, Anita, 1983- author.</t>
  </si>
  <si>
    <t>Studi e saggi ; 171</t>
  </si>
  <si>
    <t>4390108379:ita</t>
  </si>
  <si>
    <t>990442280</t>
  </si>
  <si>
    <t>ocn990442280</t>
  </si>
  <si>
    <t>3103748466T</t>
  </si>
  <si>
    <t>9788864534763</t>
  </si>
  <si>
    <t>795037792</t>
  </si>
  <si>
    <t>PQ4685 A1 1958</t>
  </si>
  <si>
    <t>0                      PQ 4685000A  1           1958</t>
  </si>
  <si>
    <t>Edizione nazionale delle opere di Giosuè Carducci.</t>
  </si>
  <si>
    <t>Carducci, Giosuè, 1835-1907.</t>
  </si>
  <si>
    <t>Bologna : N. Zanichelli, 1958-</t>
  </si>
  <si>
    <t>2017-02-04</t>
  </si>
  <si>
    <t>2908488843:ita</t>
  </si>
  <si>
    <t>4450977</t>
  </si>
  <si>
    <t>ocm04450977</t>
  </si>
  <si>
    <t>3100464440Q</t>
  </si>
  <si>
    <t>792351118</t>
  </si>
  <si>
    <t>3100464451L</t>
  </si>
  <si>
    <t>792351109</t>
  </si>
  <si>
    <t>3100464450N</t>
  </si>
  <si>
    <t>792351110</t>
  </si>
  <si>
    <t>3100423315L</t>
  </si>
  <si>
    <t>792351112</t>
  </si>
  <si>
    <t>31004644498</t>
  </si>
  <si>
    <t>792351115</t>
  </si>
  <si>
    <t>3100464442M</t>
  </si>
  <si>
    <t>792351119</t>
  </si>
  <si>
    <t>3100464445G</t>
  </si>
  <si>
    <t>792351121</t>
  </si>
  <si>
    <t>3100464443K</t>
  </si>
  <si>
    <t>792351116</t>
  </si>
  <si>
    <t>3100840981X</t>
  </si>
  <si>
    <t>792351125</t>
  </si>
  <si>
    <t>3100464444I</t>
  </si>
  <si>
    <t>792351122</t>
  </si>
  <si>
    <t>3100464441O</t>
  </si>
  <si>
    <t>792351117</t>
  </si>
  <si>
    <t>3100464447C</t>
  </si>
  <si>
    <t>792351123</t>
  </si>
  <si>
    <t>3100464448A</t>
  </si>
  <si>
    <t>792351124</t>
  </si>
  <si>
    <t>3100423313P</t>
  </si>
  <si>
    <t>792351114</t>
  </si>
  <si>
    <t>3100423316J</t>
  </si>
  <si>
    <t>792351113</t>
  </si>
  <si>
    <t>3100464452J</t>
  </si>
  <si>
    <t>792351111</t>
  </si>
  <si>
    <t>30006121230</t>
  </si>
  <si>
    <t>792351126</t>
  </si>
  <si>
    <t>3100464446E</t>
  </si>
  <si>
    <t>792351120</t>
  </si>
  <si>
    <t>PQ4685 A2 1913</t>
  </si>
  <si>
    <t>0                      PQ 4685000A  2           1913</t>
  </si>
  <si>
    <t>Carducci : a selection of his poems / with verse translations, notes and three introductory essays by G.L. Bickersteth.</t>
  </si>
  <si>
    <t>New York : [publisher not identified], 1913.</t>
  </si>
  <si>
    <t>2015-12-22</t>
  </si>
  <si>
    <t>497890495:ita</t>
  </si>
  <si>
    <t>427151274</t>
  </si>
  <si>
    <t>ocn427151274</t>
  </si>
  <si>
    <t>30007743372</t>
  </si>
  <si>
    <t>794522649</t>
  </si>
  <si>
    <t>PQ4685 A3 H54 1994</t>
  </si>
  <si>
    <t>0                      PQ 4685000A  3                  H  54          1994</t>
  </si>
  <si>
    <t>Selected verse / Giosue Carducci ; edited with a translation, introduction, and commentary by David H. Higgins.</t>
  </si>
  <si>
    <t>Warminster, England : Aris &amp; Phillips, ©1994.</t>
  </si>
  <si>
    <t>2017-03-18</t>
  </si>
  <si>
    <t>198849454:eng</t>
  </si>
  <si>
    <t>36330612</t>
  </si>
  <si>
    <t>ocm36330612</t>
  </si>
  <si>
    <t>3101464918S</t>
  </si>
  <si>
    <t>9780856686290</t>
  </si>
  <si>
    <t>793472714</t>
  </si>
  <si>
    <t>PQ4685 R48 2011</t>
  </si>
  <si>
    <t>0                      PQ 4685000R  48          2011</t>
  </si>
  <si>
    <t>Rime e ritmi / Giosue Carducci ; introduzione e commento a cura di Marco Veglia.</t>
  </si>
  <si>
    <t>Classici ; 10</t>
  </si>
  <si>
    <t>5091905706:ita</t>
  </si>
  <si>
    <t>729345494</t>
  </si>
  <si>
    <t>ocn729345494</t>
  </si>
  <si>
    <t>3103125457N</t>
  </si>
  <si>
    <t>9788843057986</t>
  </si>
  <si>
    <t>794879316</t>
  </si>
  <si>
    <t>PQ4686 A45 C75 2010</t>
  </si>
  <si>
    <t>0                      PQ 4686000A  45                 C  75          2010</t>
  </si>
  <si>
    <t>Lidia a Giosuè : frammenti di un epistolario / Carolina Cristofori Piva ; a cura di Francesca Florimbii, Lorenza Miretti.</t>
  </si>
  <si>
    <t>Cristofori Piva, Carolina, -1881.</t>
  </si>
  <si>
    <t>Bologna : Archetipolibri, 2010.</t>
  </si>
  <si>
    <t>Strumenti e saggi di letteratura</t>
  </si>
  <si>
    <t>836163145:ita</t>
  </si>
  <si>
    <t>707959215</t>
  </si>
  <si>
    <t>ocn707959215</t>
  </si>
  <si>
    <t>3103125379M</t>
  </si>
  <si>
    <t>9788889891681</t>
  </si>
  <si>
    <t>794868304</t>
  </si>
  <si>
    <t>PQ4686 B68 2011</t>
  </si>
  <si>
    <t>0                      PQ 4686000B  68          2011</t>
  </si>
  <si>
    <t>Archeologia e poesia : 1861-1911 : Carducci, Pascoli, d'Annunzio / Lorenzo Braccesi ; ricerca iconografica di Maddalena Bassani.</t>
  </si>
  <si>
    <t>Braccesi, Lorenzo.</t>
  </si>
  <si>
    <t>Roma : "L'Erma" di Bretschneider, ©2011.</t>
  </si>
  <si>
    <t>L'eredità dell'antico ; 11</t>
  </si>
  <si>
    <t>2015-03-30</t>
  </si>
  <si>
    <t>950397911:ita</t>
  </si>
  <si>
    <t>742504813</t>
  </si>
  <si>
    <t>ocn742504813</t>
  </si>
  <si>
    <t>3103125461L</t>
  </si>
  <si>
    <t>9788882656003</t>
  </si>
  <si>
    <t>794884950</t>
  </si>
  <si>
    <t>PQ4686 C279 2012</t>
  </si>
  <si>
    <t>0                      PQ 4686000C  279         2012</t>
  </si>
  <si>
    <t>Studi carducciani / Guido Capovilla.</t>
  </si>
  <si>
    <t>Capovilla, Guido.</t>
  </si>
  <si>
    <t>Modena : Mucchi, 2012.</t>
  </si>
  <si>
    <t>Il vaglio ; 65</t>
  </si>
  <si>
    <t>1100398561:ita</t>
  </si>
  <si>
    <t>785336051</t>
  </si>
  <si>
    <t>ocn785336051</t>
  </si>
  <si>
    <t>3103125741G</t>
  </si>
  <si>
    <t>9788870005455</t>
  </si>
  <si>
    <t>794914805</t>
  </si>
  <si>
    <t>PQ4686 C3224 2011</t>
  </si>
  <si>
    <t>0                      PQ 4686000C  3224        2011</t>
  </si>
  <si>
    <t>Carducci e il medioevo bolognese fra letteratura e archivi / a cura di Massimo Giansante.</t>
  </si>
  <si>
    <t>Bologna : presso La Deputazione di storia patria, 2011.</t>
  </si>
  <si>
    <t>Documenti e studi / Deputazione di storia patria per le province di Romagna ; 40</t>
  </si>
  <si>
    <t>2019-03-07</t>
  </si>
  <si>
    <t>1055341822:ita</t>
  </si>
  <si>
    <t>764330056</t>
  </si>
  <si>
    <t>ocn764330056</t>
  </si>
  <si>
    <t>31031256979</t>
  </si>
  <si>
    <t>794900311</t>
  </si>
  <si>
    <t>PQ4686 C335 2012</t>
  </si>
  <si>
    <t>0                      PQ 4686000C  335         2012</t>
  </si>
  <si>
    <t>Carducci, la storia e gli storici / a cura di Emilio Torchio.</t>
  </si>
  <si>
    <t>Modena : Mucchi Editore, 2012.</t>
  </si>
  <si>
    <t>Il vaglio ; 68</t>
  </si>
  <si>
    <t>1125629724:ita</t>
  </si>
  <si>
    <t>799999264</t>
  </si>
  <si>
    <t>ocn799999264</t>
  </si>
  <si>
    <t>3103125824H</t>
  </si>
  <si>
    <t>9788870005677</t>
  </si>
  <si>
    <t>794924362</t>
  </si>
  <si>
    <t>PQ4686 C347 2010</t>
  </si>
  <si>
    <t>0                      PQ 4686000C  347         2010</t>
  </si>
  <si>
    <t>Carducci : politica e poesia / Umberto Carpi.</t>
  </si>
  <si>
    <t>Carpi, Umberto, 1941-</t>
  </si>
  <si>
    <t>Pisa : Edizioni della Normale, ©2010.</t>
  </si>
  <si>
    <t>Studi ; 17</t>
  </si>
  <si>
    <t>2011-11-28</t>
  </si>
  <si>
    <t>889994521:ita</t>
  </si>
  <si>
    <t>715908243</t>
  </si>
  <si>
    <t>ocn715908243</t>
  </si>
  <si>
    <t>3103125435R</t>
  </si>
  <si>
    <t>9788876424021</t>
  </si>
  <si>
    <t>794873955</t>
  </si>
  <si>
    <t>PQ4686 M25 2012</t>
  </si>
  <si>
    <t>0                      PQ 4686000M  25          2012</t>
  </si>
  <si>
    <t>Giosue Carducci : un anticlericale col desiderio di Dio / Franco Marcone.</t>
  </si>
  <si>
    <t>Marcone, Franco, 1976-2011.</t>
  </si>
  <si>
    <t>Todi (PG) [i.e. Perugia, Italy] : Tau, ©2012.</t>
  </si>
  <si>
    <t>Via pulchritudinis ; Quaderni analecta ; 1</t>
  </si>
  <si>
    <t>5620448022:ita</t>
  </si>
  <si>
    <t>802322590</t>
  </si>
  <si>
    <t>ocn802322590</t>
  </si>
  <si>
    <t>31031258649</t>
  </si>
  <si>
    <t>9788862442046</t>
  </si>
  <si>
    <t>794925580</t>
  </si>
  <si>
    <t>PQ4686 O45 2010</t>
  </si>
  <si>
    <t>0                      PQ 4686000O  45          2010</t>
  </si>
  <si>
    <t>Giosuè Carducci : una vita da poeta : [le opere, i luoghi, gli amori del vate del Risorgimento] / Luigi Oliveto.</t>
  </si>
  <si>
    <t>Oliveto, Luigi, 1947-</t>
  </si>
  <si>
    <t>Arcidosso (Grosseto) : Effigi ; Siena : Primamedia, 2011.</t>
  </si>
  <si>
    <t>POP nel tempo popolari</t>
  </si>
  <si>
    <t>1816415377:ita</t>
  </si>
  <si>
    <t>753624096</t>
  </si>
  <si>
    <t>ocn753624096</t>
  </si>
  <si>
    <t>3103125537O</t>
  </si>
  <si>
    <t>9788864331263</t>
  </si>
  <si>
    <t>794892190</t>
  </si>
  <si>
    <t>PQ4686 S735 2011</t>
  </si>
  <si>
    <t>0                      PQ 4686000S  735         2011</t>
  </si>
  <si>
    <t>L'artista e il vate : l'esperienza poetica di Giosue Carducci / Marco Sterpos.</t>
  </si>
  <si>
    <t>Sterpos, Marco.</t>
  </si>
  <si>
    <t>Cosenza : Falco, ©2011.</t>
  </si>
  <si>
    <t>Parva libraria ; 3</t>
  </si>
  <si>
    <t>1062025354:ita</t>
  </si>
  <si>
    <t>768397191</t>
  </si>
  <si>
    <t>ocn768397191</t>
  </si>
  <si>
    <t>3103125602R</t>
  </si>
  <si>
    <t>9788896895474</t>
  </si>
  <si>
    <t>794902285</t>
  </si>
  <si>
    <t>PQ4687 C95 Z62 2012</t>
  </si>
  <si>
    <t>0                      PQ 4687000C  95                 Z  62          2012</t>
  </si>
  <si>
    <t>La scuola di Cesarotti e gli esordi del giovane Foscolo / Claudio Chiancone.</t>
  </si>
  <si>
    <t>Chiancone, Claudio, 1977-</t>
  </si>
  <si>
    <t>Pisa : ETS, 2012.</t>
  </si>
  <si>
    <t>Letteratura italiana ; 24</t>
  </si>
  <si>
    <t>1309753584:ita</t>
  </si>
  <si>
    <t>842837487</t>
  </si>
  <si>
    <t>ocn842837487</t>
  </si>
  <si>
    <t>3103126204Z</t>
  </si>
  <si>
    <t>9788846734495</t>
  </si>
  <si>
    <t>794947584</t>
  </si>
  <si>
    <t>PQ4687 C95 Z89 2015</t>
  </si>
  <si>
    <t>0                      PQ 4687000C  95                 Z  89          2015</t>
  </si>
  <si>
    <t>Melchiorre Cesarotti / Fabiana Savorgnan Cergneu di Brazzà.</t>
  </si>
  <si>
    <t>Savorgnan di Brazzà, Fabiana, author.</t>
  </si>
  <si>
    <t>Acireale : Bonanno editore, 2015.</t>
  </si>
  <si>
    <t>Scrittori d'Italia ; 6</t>
  </si>
  <si>
    <t>3701293587:ita</t>
  </si>
  <si>
    <t>954233317</t>
  </si>
  <si>
    <t>ocn954233317</t>
  </si>
  <si>
    <t>31036233639</t>
  </si>
  <si>
    <t>9788863180558</t>
  </si>
  <si>
    <t>795019670</t>
  </si>
  <si>
    <t>PQ4688 C627 S76 1997</t>
  </si>
  <si>
    <t>0                      PQ 4688000C  627                S  76          1997</t>
  </si>
  <si>
    <t>Storia de li remmure de Napole / Nicola Corvo ; a cura di Antonio Marzo.</t>
  </si>
  <si>
    <t>Corvo, Nicola, active 18th century.</t>
  </si>
  <si>
    <t>Roma : G. e M. Benincasa, 1997.</t>
  </si>
  <si>
    <t>Testi dialettali napoletani ; 10</t>
  </si>
  <si>
    <t>2017-05-05</t>
  </si>
  <si>
    <t>41025103:ita</t>
  </si>
  <si>
    <t>37206505</t>
  </si>
  <si>
    <t>ocm37206505</t>
  </si>
  <si>
    <t>3101945920D</t>
  </si>
  <si>
    <t>9788886418010</t>
  </si>
  <si>
    <t>793493180</t>
  </si>
  <si>
    <t>PQ4688 D55 G6 1979</t>
  </si>
  <si>
    <t>0                      PQ 4688000D  55                 G  6           1979</t>
  </si>
  <si>
    <t>Goccie d'inchiostro / Carlo Dossi ; a cura di Dante Isella.</t>
  </si>
  <si>
    <t>Dossi, Carlo, 1849-1910.</t>
  </si>
  <si>
    <t>Milano : Adelphi, 1979.</t>
  </si>
  <si>
    <t>Piccola biblioteca Adelphi ; 76</t>
  </si>
  <si>
    <t>2017-01-14</t>
  </si>
  <si>
    <t>5091283459:ita</t>
  </si>
  <si>
    <t>5440993</t>
  </si>
  <si>
    <t>ocm05440993</t>
  </si>
  <si>
    <t>30004293899</t>
  </si>
  <si>
    <t>792433505</t>
  </si>
  <si>
    <t>PQ4688 D55 N6x</t>
  </si>
  <si>
    <t>0                      PQ 4688000D  55                 N  6x</t>
  </si>
  <si>
    <t>Note azzurre / Carlo Dossi ; a cura di Dante Isella.</t>
  </si>
  <si>
    <t>Milano : Adelphi, 1964.</t>
  </si>
  <si>
    <t>13892157:ita</t>
  </si>
  <si>
    <t>4063128</t>
  </si>
  <si>
    <t>ocm04063128</t>
  </si>
  <si>
    <t>3000632225H</t>
  </si>
  <si>
    <t>792318550</t>
  </si>
  <si>
    <t>3100464513P</t>
  </si>
  <si>
    <t>792318549</t>
  </si>
  <si>
    <t>PQ4688 F6 P7 2011</t>
  </si>
  <si>
    <t>0                      PQ 4688000F  6                  P  7           2011</t>
  </si>
  <si>
    <t>Piccolo mondo moderno / Antonio Fogazzaro ; a cura di Roberto Randaccio ; introduzione di Daniela Marcheschi.</t>
  </si>
  <si>
    <t>Fogazzaro, Antonio, 1842-1911.</t>
  </si>
  <si>
    <t>Venezia : Marsilio, 2011.</t>
  </si>
  <si>
    <t>Le opere. Edizione nazionale / Antonio Fogazzaro</t>
  </si>
  <si>
    <t>4918787649:ita</t>
  </si>
  <si>
    <t>785862749</t>
  </si>
  <si>
    <t>ocn785862749</t>
  </si>
  <si>
    <t>3103125727K</t>
  </si>
  <si>
    <t>9788831711449</t>
  </si>
  <si>
    <t>794915373</t>
  </si>
  <si>
    <t>PQ4688 F6 Z48 2010</t>
  </si>
  <si>
    <t>0                      PQ 4688000F  6                  Z  48          2010</t>
  </si>
  <si>
    <t>Carteggio, 1883-1904 / Antonio Fogazzaro, Giuseppe Giacosa ; a cura di Oreste Palmiero ; presentazione di Fabio Finotti.</t>
  </si>
  <si>
    <t>Vicenza : Accademia Olimpica, 2010.</t>
  </si>
  <si>
    <t>I quaderni dell'Accademia Olimpica ; 22</t>
  </si>
  <si>
    <t>796724402:ita</t>
  </si>
  <si>
    <t>671869172</t>
  </si>
  <si>
    <t>ocn671869172</t>
  </si>
  <si>
    <t>3103125253T</t>
  </si>
  <si>
    <t>9788878711075</t>
  </si>
  <si>
    <t>794849262</t>
  </si>
  <si>
    <t>PQ4688 F6 Z48 2010b</t>
  </si>
  <si>
    <t>0                      PQ 4688000F  6                  Z  48          2010b</t>
  </si>
  <si>
    <t>Carteggio, 1903-1910 / Antonio Fogazzaro, Carl Muth ; a cura di Elena Raponi.</t>
  </si>
  <si>
    <t>796585766:ita</t>
  </si>
  <si>
    <t>671869174</t>
  </si>
  <si>
    <t>ocn671869174</t>
  </si>
  <si>
    <t>3103125248V</t>
  </si>
  <si>
    <t>9788878711082</t>
  </si>
  <si>
    <t>794849263</t>
  </si>
  <si>
    <t>PQ4688 F6 Z48 2011</t>
  </si>
  <si>
    <t>0                      PQ 4688000F  6                  Z  48          2011</t>
  </si>
  <si>
    <t>Carteggio, 1887-1909 / Antonio Fogazzaro, Yole Biaggini Moschini ; a cura di Viviana Bertoldo e Piero Luxardo.</t>
  </si>
  <si>
    <t>Vicenza : Accademia Olimpica, 2011.</t>
  </si>
  <si>
    <t>1088014088:ita</t>
  </si>
  <si>
    <t>779876259</t>
  </si>
  <si>
    <t>ocn779876259</t>
  </si>
  <si>
    <t>3103125702O</t>
  </si>
  <si>
    <t>9788878711112</t>
  </si>
  <si>
    <t>794911532</t>
  </si>
  <si>
    <t>PQ4688 F6 Z627 2011</t>
  </si>
  <si>
    <t>0                      PQ 4688000F  6                  Z  627         2011</t>
  </si>
  <si>
    <t>Musica, mistero e mito : Antonio Fogazzaro / Alessandro Cazzato.</t>
  </si>
  <si>
    <t>Cazzato, Alessandro.</t>
  </si>
  <si>
    <t>Bari : Florestano, ©2011.</t>
  </si>
  <si>
    <t>1045550854:ita</t>
  </si>
  <si>
    <t>761843305</t>
  </si>
  <si>
    <t>ocn761843305</t>
  </si>
  <si>
    <t>3103125600R</t>
  </si>
  <si>
    <t>9788895840659</t>
  </si>
  <si>
    <t>794899540</t>
  </si>
  <si>
    <t>PQ4689 A1 1994</t>
  </si>
  <si>
    <t>0                      PQ 4689000A  1           1994</t>
  </si>
  <si>
    <t>Opere / Ugo Foscolo ; edizione diretta da Franco Gavazzeni con la collaborazione di Maria Maddalena Lombardi e Franco Longoni.</t>
  </si>
  <si>
    <t>Foscolo, Ugo, 1778-1827.</t>
  </si>
  <si>
    <t>Torino : Einaudi-Gallimard, 1994-1995.</t>
  </si>
  <si>
    <t>Biblioteca della Pléiade ; 11, 14</t>
  </si>
  <si>
    <t>2018-04-16</t>
  </si>
  <si>
    <t>3373381923:ita</t>
  </si>
  <si>
    <t>32984848</t>
  </si>
  <si>
    <t>ocm32984848</t>
  </si>
  <si>
    <t>3101469413X</t>
  </si>
  <si>
    <t>9788844600174</t>
  </si>
  <si>
    <t>793399105</t>
  </si>
  <si>
    <t>3101469409O</t>
  </si>
  <si>
    <t>793399104</t>
  </si>
  <si>
    <t>PQ4689 D43 A24 2008</t>
  </si>
  <si>
    <t>0                      PQ 4689000D  43                 A  24          2008</t>
  </si>
  <si>
    <t>"A egregie cose" : studi sui "Sepolcri" di Ugo Foscolo / a cura di Fabio Danelon.</t>
  </si>
  <si>
    <t>Venezia : Marsilio, 2008.</t>
  </si>
  <si>
    <t>892355521:ita</t>
  </si>
  <si>
    <t>237883448</t>
  </si>
  <si>
    <t>ocn237883448</t>
  </si>
  <si>
    <t>3103090817A</t>
  </si>
  <si>
    <t>9788831795395</t>
  </si>
  <si>
    <t>794373754</t>
  </si>
  <si>
    <t>PQ4689 D43 D52 2008</t>
  </si>
  <si>
    <t>0                      PQ 4689000D  43                 D  52          2008</t>
  </si>
  <si>
    <t>Immagini di natura e ritualità classica : studi sui "Sepolcri" e sulle "Grazie" del Foscolo / Giulio Di Fonzo.</t>
  </si>
  <si>
    <t>Di Fonzo, Giulio.</t>
  </si>
  <si>
    <t>Soveria Mannelli : Rubbettino, ©2008.</t>
  </si>
  <si>
    <t>Iride ; 48</t>
  </si>
  <si>
    <t>891150294:ita</t>
  </si>
  <si>
    <t>313647714</t>
  </si>
  <si>
    <t>ocn313647714</t>
  </si>
  <si>
    <t>31030908670</t>
  </si>
  <si>
    <t>9788849822793</t>
  </si>
  <si>
    <t>794437873</t>
  </si>
  <si>
    <t>PQ4689 D43 G4</t>
  </si>
  <si>
    <t>0                      PQ 4689000D  43                 G  4</t>
  </si>
  <si>
    <t>La composizione dei Sepolcri di Ugo Foscolo / Giovanni Getto.</t>
  </si>
  <si>
    <t>Getto, Giovanni.</t>
  </si>
  <si>
    <t>Saggi di "Lettere italiane" ; 24</t>
  </si>
  <si>
    <t>350782799:ita</t>
  </si>
  <si>
    <t>3344871</t>
  </si>
  <si>
    <t>ocm03344871</t>
  </si>
  <si>
    <t>3000416882O</t>
  </si>
  <si>
    <t>792245002</t>
  </si>
  <si>
    <t>PQ4689 D43 M3</t>
  </si>
  <si>
    <t>0                      PQ 4689000D  43                 M  3</t>
  </si>
  <si>
    <t>Semantica e metrica dei Sepolcri del Foscolo : con uno studio sull'endecasillabo / Oreste Macrì.</t>
  </si>
  <si>
    <t>Macrí, Oreste, 1913-1998.</t>
  </si>
  <si>
    <t>Roma : Bulzoni, 1978.</t>
  </si>
  <si>
    <t>L'Analisi letteraria ; 19</t>
  </si>
  <si>
    <t>155657594:ita</t>
  </si>
  <si>
    <t>5264858</t>
  </si>
  <si>
    <t>ocm05264858</t>
  </si>
  <si>
    <t>3000424134U</t>
  </si>
  <si>
    <t>792420589</t>
  </si>
  <si>
    <t>PQ4689 D43 S46 2010</t>
  </si>
  <si>
    <t>0                      PQ 4689000D  43                 S  46          2010</t>
  </si>
  <si>
    <t>I Sepolcri di Foscolo : la poesia e la fortuna : atti del convegno di studi, Firenze, 28-29 marzo 2008 / a cura di Arnaldo Bruni, Benedetta Rivalta.</t>
  </si>
  <si>
    <t>Bologna : CLUEB, ©2010.</t>
  </si>
  <si>
    <t>Testi e studi di filologia e letteratura</t>
  </si>
  <si>
    <t>796364478:ita</t>
  </si>
  <si>
    <t>649313898</t>
  </si>
  <si>
    <t>ocn649313898</t>
  </si>
  <si>
    <t>3103125143Y</t>
  </si>
  <si>
    <t>9788849133080</t>
  </si>
  <si>
    <t>794831676</t>
  </si>
  <si>
    <t>PQ4689 D433 2006</t>
  </si>
  <si>
    <t>0                      PQ 4689000D  433         2006</t>
  </si>
  <si>
    <t>Dei sepolcri di Ugo Foscolo : Gargnano del Garda (29 settembre - 1 ottobre 2005) / a cura di Gennaro Barbarisi e William Spaggiari.</t>
  </si>
  <si>
    <t>T.1</t>
  </si>
  <si>
    <t>Convegno di studi di lingua e letteratura italiana (10th : 2005 : Gargnano, Italy)</t>
  </si>
  <si>
    <t>Milan : Cisalpino, ©2006-</t>
  </si>
  <si>
    <t>Quaderni di Acme ; 80</t>
  </si>
  <si>
    <t>476677920:ita</t>
  </si>
  <si>
    <t>77525528</t>
  </si>
  <si>
    <t>ocm77525528</t>
  </si>
  <si>
    <t>3102803784S</t>
  </si>
  <si>
    <t>9788832360554</t>
  </si>
  <si>
    <t>794191851</t>
  </si>
  <si>
    <t>T.2</t>
  </si>
  <si>
    <t>3102803779U</t>
  </si>
  <si>
    <t>794191850</t>
  </si>
  <si>
    <t>PQ4689 U6 2012</t>
  </si>
  <si>
    <t>0                      PQ 4689000U  6           2012</t>
  </si>
  <si>
    <t>Ultime lettere di Jacopo Ortis / introduzion, testo e commento a cura di Maria Antonietta Terzoli.</t>
  </si>
  <si>
    <t>Foscolo, Ugo.</t>
  </si>
  <si>
    <t>Classici ; 17</t>
  </si>
  <si>
    <t>2019-01-14</t>
  </si>
  <si>
    <t>837333:ita</t>
  </si>
  <si>
    <t>788854916</t>
  </si>
  <si>
    <t>ocn788854916</t>
  </si>
  <si>
    <t>31031257858</t>
  </si>
  <si>
    <t>9788843059003</t>
  </si>
  <si>
    <t>794916472</t>
  </si>
  <si>
    <t>PQ4689 U63 N47 2014</t>
  </si>
  <si>
    <t>0                      PQ 4689000U  63                 N  47          2014</t>
  </si>
  <si>
    <t>Il dialogo dei tre massimi sistemi : le Ultime lettere di Jacopo Ortis fra il Werther e la Nuova Eloisa / Enzo Neppi.</t>
  </si>
  <si>
    <t>Neppi, Enzo, author.</t>
  </si>
  <si>
    <t>Napoli : Liguori editore, novembre 2014.</t>
  </si>
  <si>
    <t>2534059797:ita</t>
  </si>
  <si>
    <t>905553136</t>
  </si>
  <si>
    <t>ocn905553136</t>
  </si>
  <si>
    <t>31036217609</t>
  </si>
  <si>
    <t>9788820764197</t>
  </si>
  <si>
    <t>794991560</t>
  </si>
  <si>
    <t>PQ4691 B37 2008</t>
  </si>
  <si>
    <t>0                      PQ 4691000B  37          2008</t>
  </si>
  <si>
    <t>Intrecci foscoliani : tra sacro e profano / Raffaella Bertazzoli.</t>
  </si>
  <si>
    <t>Bertazzoli, Raffaella.</t>
  </si>
  <si>
    <t>Verona : Fiorini, ©2008.</t>
  </si>
  <si>
    <t>La musa critica ; 5</t>
  </si>
  <si>
    <t>905385338:ita</t>
  </si>
  <si>
    <t>317454037</t>
  </si>
  <si>
    <t>ocn317454037</t>
  </si>
  <si>
    <t>3103117223W</t>
  </si>
  <si>
    <t>9788887082890</t>
  </si>
  <si>
    <t>794453627</t>
  </si>
  <si>
    <t>PQ4691 B78 2007</t>
  </si>
  <si>
    <t>0                      PQ 4691000B  78          2007</t>
  </si>
  <si>
    <t>Foscolo traduttore e poeta : da Omero ai "Sepolcri" / Arnaldo Bruni.</t>
  </si>
  <si>
    <t>Bruni, Arnaldo.</t>
  </si>
  <si>
    <t>Bologna : CLUEB, ©2007.</t>
  </si>
  <si>
    <t>Testi e studi di filologia e letteratura ; 11</t>
  </si>
  <si>
    <t>316124460:ita</t>
  </si>
  <si>
    <t>216924626</t>
  </si>
  <si>
    <t>ocn216924626</t>
  </si>
  <si>
    <t>3102898028X</t>
  </si>
  <si>
    <t>9788849129625</t>
  </si>
  <si>
    <t>794315799</t>
  </si>
  <si>
    <t>PQ4691 C27</t>
  </si>
  <si>
    <t>0                      PQ 4691000C  27</t>
  </si>
  <si>
    <t>Ugo Foscolo, poet of exile / Glauco Cambon.</t>
  </si>
  <si>
    <t>Cambon, Glauco.</t>
  </si>
  <si>
    <t>2016-04-17</t>
  </si>
  <si>
    <t>441865:eng</t>
  </si>
  <si>
    <t>5891995</t>
  </si>
  <si>
    <t>ocm05891995</t>
  </si>
  <si>
    <t>3000312747K</t>
  </si>
  <si>
    <t>9780691064246</t>
  </si>
  <si>
    <t>792461293</t>
  </si>
  <si>
    <t>PQ4691 C32 2017</t>
  </si>
  <si>
    <t>0                      PQ 4691000C  32          2017</t>
  </si>
  <si>
    <t>Le sacre sponde : Foscolo e i poeti greci tra filologia e rimpianto : "sparìr le Pleiadi / sparìo la luna..." / Claudia Carella.</t>
  </si>
  <si>
    <t>Carella, Claudia, 1979- author.</t>
  </si>
  <si>
    <t>Roma : Universitalia, [2017]</t>
  </si>
  <si>
    <t>Collana Ex Libris</t>
  </si>
  <si>
    <t>4246321540:ita</t>
  </si>
  <si>
    <t>989905598</t>
  </si>
  <si>
    <t>ocn989905598</t>
  </si>
  <si>
    <t>31037211892</t>
  </si>
  <si>
    <t>9788865078327</t>
  </si>
  <si>
    <t>795037320</t>
  </si>
  <si>
    <t>PQ4691 C335 2011</t>
  </si>
  <si>
    <t>0                      PQ 4691000C  335         2011</t>
  </si>
  <si>
    <t>Letteratura e passioni : Ugo Foscolo e la questione dello stile / Andrea Carrozzini ; prefazione di Ettore Catalano.</t>
  </si>
  <si>
    <t>Carrozzini, Andrea, 1974-</t>
  </si>
  <si>
    <t>Bari : Progedit, 2011.</t>
  </si>
  <si>
    <t>1042848381:ita</t>
  </si>
  <si>
    <t>760053888</t>
  </si>
  <si>
    <t>ocn760053888</t>
  </si>
  <si>
    <t>3103125589E</t>
  </si>
  <si>
    <t>9788861941007</t>
  </si>
  <si>
    <t>794898174</t>
  </si>
  <si>
    <t>PQ4691 C38 1990</t>
  </si>
  <si>
    <t>0                      PQ 4691000C  38          1990</t>
  </si>
  <si>
    <t>Studi e note su Foscolo e Leopardi / Giorgio Cavallini.</t>
  </si>
  <si>
    <t>Cavallini, Giorgio.</t>
  </si>
  <si>
    <t>Roma : Bulzoni, ©1990.</t>
  </si>
  <si>
    <t>Biblioteca di cultura ; 409</t>
  </si>
  <si>
    <t>25385465:ita</t>
  </si>
  <si>
    <t>23590643</t>
  </si>
  <si>
    <t>ocm23590643</t>
  </si>
  <si>
    <t>3101136943L</t>
  </si>
  <si>
    <t>9788871191904</t>
  </si>
  <si>
    <t>793177308</t>
  </si>
  <si>
    <t>PQ4691 C47 1990</t>
  </si>
  <si>
    <t>0                      PQ 4691000C  47          1990</t>
  </si>
  <si>
    <t>Introduzione a Foscolo / di Marco Cerruti.</t>
  </si>
  <si>
    <t>Roma-Bari : Laterza, 1990.</t>
  </si>
  <si>
    <t>Gli scrittori ; 17</t>
  </si>
  <si>
    <t>25398899:ita</t>
  </si>
  <si>
    <t>23831161</t>
  </si>
  <si>
    <t>ocm23831161</t>
  </si>
  <si>
    <t>3101107178A</t>
  </si>
  <si>
    <t>9788842036081</t>
  </si>
  <si>
    <t>793183038</t>
  </si>
  <si>
    <t>PQ4691 C67 2003</t>
  </si>
  <si>
    <t>0                      PQ 4691000C  67          2003</t>
  </si>
  <si>
    <t>Ugo Foscolo : pensare il bello : la natura, la mimesi, le arti / Renata Cotrone.</t>
  </si>
  <si>
    <t>Cotrone, Renata.</t>
  </si>
  <si>
    <t>Bari : B.A. Graphis, 2003.</t>
  </si>
  <si>
    <t>I verdi</t>
  </si>
  <si>
    <t>476331785:ita</t>
  </si>
  <si>
    <t>56522952</t>
  </si>
  <si>
    <t>ocm56522952</t>
  </si>
  <si>
    <t>31025091961</t>
  </si>
  <si>
    <t>9788886864923</t>
  </si>
  <si>
    <t>793895021</t>
  </si>
  <si>
    <t>PQ4691 D45 1992</t>
  </si>
  <si>
    <t>0                      PQ 4691000D  45          1992</t>
  </si>
  <si>
    <t>Foscolo e il romanticismo / Michele Dell'Aquila.</t>
  </si>
  <si>
    <t>Dell'Aquila, Michele.</t>
  </si>
  <si>
    <t>Bari : Adriatica, 1992.</t>
  </si>
  <si>
    <t>Lo Zodiaco ; 3</t>
  </si>
  <si>
    <t>31052233:ita</t>
  </si>
  <si>
    <t>28297855</t>
  </si>
  <si>
    <t>ocm28297855</t>
  </si>
  <si>
    <t>3101347682Z</t>
  </si>
  <si>
    <t>793284868</t>
  </si>
  <si>
    <t>PQ4691 F7</t>
  </si>
  <si>
    <t>0                      PQ 4691000F  7</t>
  </si>
  <si>
    <t>Il neoclassicismo e Ugo Foscolo.</t>
  </si>
  <si>
    <t>Frattini, Alberto.</t>
  </si>
  <si>
    <t>[Bologna] Cappelli [1965]</t>
  </si>
  <si>
    <t>Universale Cappelli ; 102</t>
  </si>
  <si>
    <t>354921647:ita</t>
  </si>
  <si>
    <t>938727</t>
  </si>
  <si>
    <t>ocm00938727</t>
  </si>
  <si>
    <t>3000633625X</t>
  </si>
  <si>
    <t>791506999</t>
  </si>
  <si>
    <t>PQ4691 G73 2004</t>
  </si>
  <si>
    <t>0                      PQ 4691000G  73          2004</t>
  </si>
  <si>
    <t>Ugo Foscolo : tra le folgori e la notte / Alberto Granese.</t>
  </si>
  <si>
    <t>Granese, Alberto.</t>
  </si>
  <si>
    <t>Salerno : Edisud, ©2004.</t>
  </si>
  <si>
    <t>Civiltà letteraria italiana ; 25</t>
  </si>
  <si>
    <t>367346140:ita</t>
  </si>
  <si>
    <t>55199324</t>
  </si>
  <si>
    <t>ocm55199324</t>
  </si>
  <si>
    <t>3102389169G</t>
  </si>
  <si>
    <t>9788887907377</t>
  </si>
  <si>
    <t>793875799</t>
  </si>
  <si>
    <t>PQ4691 M285 1990</t>
  </si>
  <si>
    <t>0                      PQ 4691000M  285         1990</t>
  </si>
  <si>
    <t>La poesia del Foscolo : sonetti, odi, sepolcri, brani delle grazie, appendice critica / Giuseppe Marchese.</t>
  </si>
  <si>
    <t>Marchese, Giuseppe.</t>
  </si>
  <si>
    <t>Palermo : ILA Palma, 1990.</t>
  </si>
  <si>
    <t>473596044:ita</t>
  </si>
  <si>
    <t>23049218</t>
  </si>
  <si>
    <t>ocm23049218</t>
  </si>
  <si>
    <t>3101144320O</t>
  </si>
  <si>
    <t>793160211</t>
  </si>
  <si>
    <t>PQ4691 O5 1981</t>
  </si>
  <si>
    <t>0                      PQ 4691000O  5           1981</t>
  </si>
  <si>
    <t>Of virgin muses and of love : a study of Foscolo's Dei sepolcri / Tom O'Neill.</t>
  </si>
  <si>
    <t>O'Neill, Tom, 1942-2001.</t>
  </si>
  <si>
    <t>Dublin : Published for the Foundation for Italian Studies, University College Dublin [by] Irish Academic Press, ©1981.</t>
  </si>
  <si>
    <t>Publications of the Foundation for Italian Studies, University College Dublin ; 2</t>
  </si>
  <si>
    <t>768815134:eng</t>
  </si>
  <si>
    <t>9761416</t>
  </si>
  <si>
    <t>ocm09761416</t>
  </si>
  <si>
    <t>30003505856</t>
  </si>
  <si>
    <t>9780716500995</t>
  </si>
  <si>
    <t>792692292</t>
  </si>
  <si>
    <t>PQ4691 P37 2011</t>
  </si>
  <si>
    <t>0                      PQ 4691000P  37          2011</t>
  </si>
  <si>
    <t>Ugo Foscolo and English culture / Sandra Parmegiani.</t>
  </si>
  <si>
    <t>Parmegiani, Sandra.</t>
  </si>
  <si>
    <t>Italian perspectives ; 20</t>
  </si>
  <si>
    <t>198589993:eng</t>
  </si>
  <si>
    <t>755067951</t>
  </si>
  <si>
    <t>ocn755067951</t>
  </si>
  <si>
    <t>3103458021X</t>
  </si>
  <si>
    <t>9781906540609</t>
  </si>
  <si>
    <t>794893536</t>
  </si>
  <si>
    <t>PQ4691 T465 2007</t>
  </si>
  <si>
    <t>0                      PQ 4691000T  465         2007</t>
  </si>
  <si>
    <t>Con l'incantesimo della parola : Foscolo scrittore e critico / Maria Antonietta Terzoli.</t>
  </si>
  <si>
    <t>Terzoli, Maria Antonietta.</t>
  </si>
  <si>
    <t>Roma : Edizioni di storia e letteratura, 2007.</t>
  </si>
  <si>
    <t>Uomini e dottrine ; 46</t>
  </si>
  <si>
    <t>315516746:ita</t>
  </si>
  <si>
    <t>156956645</t>
  </si>
  <si>
    <t>ocn156956645</t>
  </si>
  <si>
    <t>31026710347</t>
  </si>
  <si>
    <t>9788884983565</t>
  </si>
  <si>
    <t>794256119</t>
  </si>
  <si>
    <t>PQ4691 V47 2007</t>
  </si>
  <si>
    <t>0                      PQ 4691000V  47          2007</t>
  </si>
  <si>
    <t>Foscolo : una modernità al plurale / Marcello Verdenelli.</t>
  </si>
  <si>
    <t>Verdenelli, Marcello.</t>
  </si>
  <si>
    <t>Albano (Roma) : Anemone purpurea, 2007.</t>
  </si>
  <si>
    <t>Pagine in controluce ; 4</t>
  </si>
  <si>
    <t>473383727:ita</t>
  </si>
  <si>
    <t>144614677</t>
  </si>
  <si>
    <t>ocn144614677</t>
  </si>
  <si>
    <t>3102826062V</t>
  </si>
  <si>
    <t>9788889788158</t>
  </si>
  <si>
    <t>794236586</t>
  </si>
  <si>
    <t>PQ4693 A1 1959</t>
  </si>
  <si>
    <t>0                      PQ 4693000A  1           1959</t>
  </si>
  <si>
    <t>Tutte le Opere di Carlo Goldoni / a cura di Giuseppe Ortolani.</t>
  </si>
  <si>
    <t>Goldoni, Carlo.</t>
  </si>
  <si>
    <t>Classici Italiani Mondadori</t>
  </si>
  <si>
    <t>2018-04-08</t>
  </si>
  <si>
    <t>3373345955:ita</t>
  </si>
  <si>
    <t>316398937</t>
  </si>
  <si>
    <t>ocn316398937</t>
  </si>
  <si>
    <t>3100464480E</t>
  </si>
  <si>
    <t>794448766</t>
  </si>
  <si>
    <t>2013-06-13</t>
  </si>
  <si>
    <t>3100464488Z</t>
  </si>
  <si>
    <t>794448761</t>
  </si>
  <si>
    <t>2011-12-03</t>
  </si>
  <si>
    <t>31004644854</t>
  </si>
  <si>
    <t>794448757</t>
  </si>
  <si>
    <t>3100464481C</t>
  </si>
  <si>
    <t>794448754</t>
  </si>
  <si>
    <t>2015-02-21</t>
  </si>
  <si>
    <t>31004644935</t>
  </si>
  <si>
    <t>794448763</t>
  </si>
  <si>
    <t>31004644862</t>
  </si>
  <si>
    <t>794448759</t>
  </si>
  <si>
    <t>3100464482A</t>
  </si>
  <si>
    <t>794448755</t>
  </si>
  <si>
    <t>30007796356</t>
  </si>
  <si>
    <t>794448767</t>
  </si>
  <si>
    <t>2011-10-22</t>
  </si>
  <si>
    <t>31004644870</t>
  </si>
  <si>
    <t>794448762</t>
  </si>
  <si>
    <t>31004644927</t>
  </si>
  <si>
    <t>794448764</t>
  </si>
  <si>
    <t>31004644846</t>
  </si>
  <si>
    <t>794448758</t>
  </si>
  <si>
    <t>2013-03-07</t>
  </si>
  <si>
    <t>3100464489X</t>
  </si>
  <si>
    <t>794448760</t>
  </si>
  <si>
    <t>2014-11-07</t>
  </si>
  <si>
    <t>31004644838</t>
  </si>
  <si>
    <t>794448756</t>
  </si>
  <si>
    <t>2016-10-05</t>
  </si>
  <si>
    <t>31035926464</t>
  </si>
  <si>
    <t>794448765</t>
  </si>
  <si>
    <t>PQ4693 A1 2010</t>
  </si>
  <si>
    <t>0                      PQ 4693000A  1           2010</t>
  </si>
  <si>
    <t>Drammi seri per musica / Carlo Goldoni ; a cura di Silvia Urbani.</t>
  </si>
  <si>
    <t>Goldoni, Carlo, 1707-1793.</t>
  </si>
  <si>
    <t>Venezia : Marsilio, 2010.</t>
  </si>
  <si>
    <t>Carlo Goldoni Le opere, Edizione nazionale</t>
  </si>
  <si>
    <t>678591415:ita</t>
  </si>
  <si>
    <t>668178060</t>
  </si>
  <si>
    <t>ocn668178060</t>
  </si>
  <si>
    <t>31031252092</t>
  </si>
  <si>
    <t>9788831706063</t>
  </si>
  <si>
    <t>794845898</t>
  </si>
  <si>
    <t>PQ4694 A74 2010</t>
  </si>
  <si>
    <t>0                      PQ 4694000A  74          2010</t>
  </si>
  <si>
    <t>L'avare fastueux = L'avaro fastoso / Carlo Goldoni ; a cura di Paola Luciani.</t>
  </si>
  <si>
    <t>Edizione nazionale.</t>
  </si>
  <si>
    <t>Carlo Goldoni le opere</t>
  </si>
  <si>
    <t>422764958:ita</t>
  </si>
  <si>
    <t>642806289</t>
  </si>
  <si>
    <t>ocn642806289</t>
  </si>
  <si>
    <t>31031251015</t>
  </si>
  <si>
    <t>9788831799928</t>
  </si>
  <si>
    <t>794828392</t>
  </si>
  <si>
    <t>PQ4694 B6 1984</t>
  </si>
  <si>
    <t>0                      PQ 4694000B  6           1984</t>
  </si>
  <si>
    <t>La bottega del caffè / Carlo Goldoni ; introduzione di Luigi Lunari ; cronologia, premessa al testo, bibliografia e note di Carlo Pedretti.</t>
  </si>
  <si>
    <t>Milano : Rizzoli, 1984.</t>
  </si>
  <si>
    <t>BUR teatro</t>
  </si>
  <si>
    <t>2015-04-04</t>
  </si>
  <si>
    <t>19993758:ita</t>
  </si>
  <si>
    <t>13114412</t>
  </si>
  <si>
    <t>ocm13114412</t>
  </si>
  <si>
    <t>30003784813</t>
  </si>
  <si>
    <t>9788817124775</t>
  </si>
  <si>
    <t>792841087</t>
  </si>
  <si>
    <t>PQ4694 D3 2005</t>
  </si>
  <si>
    <t>0                      PQ 4694000D  3           2005</t>
  </si>
  <si>
    <t>La dalmatina / Carlo Goldoni ; a cura di Anna Scannapieco.</t>
  </si>
  <si>
    <t>Venezia : Marsilio, 2005.</t>
  </si>
  <si>
    <t>Carlo Goldoni, Le opere, Edizione nazionale</t>
  </si>
  <si>
    <t>2015-11-27</t>
  </si>
  <si>
    <t>351303016:ita</t>
  </si>
  <si>
    <t>61766255</t>
  </si>
  <si>
    <t>ocm61766255</t>
  </si>
  <si>
    <t>3102816086W</t>
  </si>
  <si>
    <t>9788831786782</t>
  </si>
  <si>
    <t>794098260</t>
  </si>
  <si>
    <t>PQ4694 D66 2011</t>
  </si>
  <si>
    <t>0                      PQ 4694000D  66          2011</t>
  </si>
  <si>
    <t>La donna di maneggio / Carlo Goldoni ; a cura di Elena Randi ; introduzione di Roberto Alonge.</t>
  </si>
  <si>
    <t>Goldoni, Carlo 1707-1793</t>
  </si>
  <si>
    <t>1 ed.</t>
  </si>
  <si>
    <t>Carlo Goldoni, le opere edizione nazionale</t>
  </si>
  <si>
    <t>115638499:ita</t>
  </si>
  <si>
    <t>793192039</t>
  </si>
  <si>
    <t>ocn793192039</t>
  </si>
  <si>
    <t>3103125815J</t>
  </si>
  <si>
    <t>9788831709569</t>
  </si>
  <si>
    <t>794917668</t>
  </si>
  <si>
    <t>PQ4694 L5 2007</t>
  </si>
  <si>
    <t>0                      PQ 4694000L  5           2007</t>
  </si>
  <si>
    <t>La locandiera / Carlo Goldoni ; a cura di Sara Mamone e Teresa Megale.</t>
  </si>
  <si>
    <t>Venezia : Marsilio, 2007.</t>
  </si>
  <si>
    <t>2019-08-14</t>
  </si>
  <si>
    <t>835894:ita</t>
  </si>
  <si>
    <t>163580671</t>
  </si>
  <si>
    <t>ocn163580671</t>
  </si>
  <si>
    <t>3102805196$</t>
  </si>
  <si>
    <t>9788831792684</t>
  </si>
  <si>
    <t>794258011</t>
  </si>
  <si>
    <t>PQ4694 L53 S67 2010</t>
  </si>
  <si>
    <t>0                      PQ 4694000L  53                 S  67          2010</t>
  </si>
  <si>
    <t>La locandiera di Carlo Goldoni : una magnifica denigrazione della femminilità / Aldo Spranzi.</t>
  </si>
  <si>
    <t>Spranzi, Aldo.</t>
  </si>
  <si>
    <t>Milano : Unicopli, 2010.</t>
  </si>
  <si>
    <t>768988770:ita</t>
  </si>
  <si>
    <t>696013330</t>
  </si>
  <si>
    <t>ocn696013330</t>
  </si>
  <si>
    <t>3103125361O</t>
  </si>
  <si>
    <t>9788840014449</t>
  </si>
  <si>
    <t>794858855</t>
  </si>
  <si>
    <t>PQ4694 S5 2011</t>
  </si>
  <si>
    <t>0                      PQ 4694000S  5           2011</t>
  </si>
  <si>
    <t>Il servitore di due padroni / Carlo Goldoni ; a cura di Valentina Gallo ; introduzione di Siro Ferrone.</t>
  </si>
  <si>
    <t>Edizione nazionale, 1. ed.</t>
  </si>
  <si>
    <t>4522445303:ita</t>
  </si>
  <si>
    <t>704509761</t>
  </si>
  <si>
    <t>ocn704509761</t>
  </si>
  <si>
    <t>3103125350Q</t>
  </si>
  <si>
    <t>9788831708319</t>
  </si>
  <si>
    <t>794865737</t>
  </si>
  <si>
    <t>PQ4694 U63 C36 2017</t>
  </si>
  <si>
    <t>0                      PQ 4694000U  63                 C  36          2017</t>
  </si>
  <si>
    <t>Una delle ultime sere di carnovale di Goldoni per Luigi Squarzina / Mariagabriella Cambiaghi.</t>
  </si>
  <si>
    <t>Cambiaghi, Mariagabriella, 1966- author.</t>
  </si>
  <si>
    <t>Narrare la scena ; 14</t>
  </si>
  <si>
    <t>4218868062:ita</t>
  </si>
  <si>
    <t>987705144</t>
  </si>
  <si>
    <t>ocn987705144</t>
  </si>
  <si>
    <t>3103721205U</t>
  </si>
  <si>
    <t>9788846745903</t>
  </si>
  <si>
    <t>795036321</t>
  </si>
  <si>
    <t>PQ4695 E5 S513 2012</t>
  </si>
  <si>
    <t>0                      PQ 4695000E  5                  S  513         2012</t>
  </si>
  <si>
    <t>The servant of two masters / by Carlo Goldoni ; translated and introduced by Stephen Mulrine.</t>
  </si>
  <si>
    <t>London : Nick Hern Books, 2012.</t>
  </si>
  <si>
    <t>Drama classics</t>
  </si>
  <si>
    <t>4522445303:eng</t>
  </si>
  <si>
    <t>794263397</t>
  </si>
  <si>
    <t>ocn794263397</t>
  </si>
  <si>
    <t>3103455747K</t>
  </si>
  <si>
    <t>9781848421936</t>
  </si>
  <si>
    <t>794919445</t>
  </si>
  <si>
    <t>PQ4695 E5 1961</t>
  </si>
  <si>
    <t>0                      PQ 4695000E  5           1961</t>
  </si>
  <si>
    <t>Three comedies / Carlo Goldoni.</t>
  </si>
  <si>
    <t>London ; New York : Oxford University Press, 1961.</t>
  </si>
  <si>
    <t>The Oxford library of Italian classics</t>
  </si>
  <si>
    <t>2015-10-02</t>
  </si>
  <si>
    <t>445744:eng</t>
  </si>
  <si>
    <t>288365</t>
  </si>
  <si>
    <t>ocm00288365</t>
  </si>
  <si>
    <t>3100175415Z</t>
  </si>
  <si>
    <t>791324955</t>
  </si>
  <si>
    <t>2006-08-07</t>
  </si>
  <si>
    <t>30005521662</t>
  </si>
  <si>
    <t>791324953</t>
  </si>
  <si>
    <t>3100175416X</t>
  </si>
  <si>
    <t>791324954</t>
  </si>
  <si>
    <t>PQ4695 E5 2016</t>
  </si>
  <si>
    <t>0                      PQ 4695000E  5           2016</t>
  </si>
  <si>
    <t>Five comedies / Carlo Goldoni ; edited by Gianluca Rizzo and Michael Hackett ; with Brittany Asaro ; introduction by Michael Hackett ; with an essay by Cesare De Michelis.</t>
  </si>
  <si>
    <t>The Da Ponte Italian library series</t>
  </si>
  <si>
    <t>3768398188:eng</t>
  </si>
  <si>
    <t>925399305</t>
  </si>
  <si>
    <t>ocn925399305</t>
  </si>
  <si>
    <t>31036456585</t>
  </si>
  <si>
    <t>9781442650282</t>
  </si>
  <si>
    <t>795004994</t>
  </si>
  <si>
    <t>PQ4698 A4 A34 2012</t>
  </si>
  <si>
    <t>0                      PQ 4698000A  4                  A  34          2012</t>
  </si>
  <si>
    <t>Memorie italiane / Carlo Goldoni ; edizione e commento a cura di Epifanio Ajello.</t>
  </si>
  <si>
    <t>Goldoni, Carlo, 1707-1793, author.</t>
  </si>
  <si>
    <t>25650671:ita</t>
  </si>
  <si>
    <t>820120636</t>
  </si>
  <si>
    <t>ocn820120636</t>
  </si>
  <si>
    <t>31031260152</t>
  </si>
  <si>
    <t>9788820741457</t>
  </si>
  <si>
    <t>794935063</t>
  </si>
  <si>
    <t>PQ4698 A5</t>
  </si>
  <si>
    <t>0                      PQ 4698000A  5</t>
  </si>
  <si>
    <t>Memorie.</t>
  </si>
  <si>
    <t>Milano : [publisher not identified], [19--?]</t>
  </si>
  <si>
    <t>Classici Italiani, serie III ; v.61</t>
  </si>
  <si>
    <t>2015-02-12</t>
  </si>
  <si>
    <t>3373388270:ita</t>
  </si>
  <si>
    <t>61613257</t>
  </si>
  <si>
    <t>ocm61613257</t>
  </si>
  <si>
    <t>31036013163</t>
  </si>
  <si>
    <t>794051493</t>
  </si>
  <si>
    <t>PQ4698 A5 1965</t>
  </si>
  <si>
    <t>0                      PQ 4698000A  5           1965</t>
  </si>
  <si>
    <t>Mémoires de M. Goldoni, pour servir à l'histoire de sa vie et à celle de son théâtre. Éd. présentée et annotée par Paul de Roux.</t>
  </si>
  <si>
    <t>[Paris] Mercure de France, 1965.</t>
  </si>
  <si>
    <t>Le Temps retrouvé, 2</t>
  </si>
  <si>
    <t>3373388270:fre</t>
  </si>
  <si>
    <t>4854381</t>
  </si>
  <si>
    <t>ocm04854381</t>
  </si>
  <si>
    <t>3000633404C</t>
  </si>
  <si>
    <t>9782715223806</t>
  </si>
  <si>
    <t>792388593</t>
  </si>
  <si>
    <t>PQ4698 A5 1993c</t>
  </si>
  <si>
    <t>0                      PQ 4698000A  5           1993c</t>
  </si>
  <si>
    <t>Memorie / Carlo Goldoni ; traduzione di Eugenio Levi ; note di Guido Davico Bonino, Eugenio Levi, Daniele Ponchiroli ; a cura di Guido Davico Bonino.</t>
  </si>
  <si>
    <t>Torino : Einaudi, ©1993.</t>
  </si>
  <si>
    <t>Einaudi tascabili ; 131</t>
  </si>
  <si>
    <t>28811550</t>
  </si>
  <si>
    <t>ocm28811550</t>
  </si>
  <si>
    <t>3101456173B</t>
  </si>
  <si>
    <t>9788806132491</t>
  </si>
  <si>
    <t>793297095</t>
  </si>
  <si>
    <t>PQ4699 A586 2010</t>
  </si>
  <si>
    <t>0                      PQ 4699000A  586         2010</t>
  </si>
  <si>
    <t>Goldoni il libertino : eros, violenza, morte / Roberto Alonge.</t>
  </si>
  <si>
    <t>Alonge, Roberto.</t>
  </si>
  <si>
    <t>Roma : Laterza, 2010.</t>
  </si>
  <si>
    <t>Percorsi ; 131</t>
  </si>
  <si>
    <t>692954687:ita</t>
  </si>
  <si>
    <t>677915527</t>
  </si>
  <si>
    <t>ocn677915527</t>
  </si>
  <si>
    <t>3103125223Z</t>
  </si>
  <si>
    <t>9788842094500</t>
  </si>
  <si>
    <t>794850301</t>
  </si>
  <si>
    <t>PQ4699 C283 1995</t>
  </si>
  <si>
    <t>0                      PQ 4699000C  283         1995</t>
  </si>
  <si>
    <t>Carlo Goldoni 1793-1993 : atti del convegno del bicentenario (Venezia, 11-13 aprile 1994) / a cura di Carmelo Alberti e Gilberto Pizzamiglio.</t>
  </si>
  <si>
    <t>Venezia : Regione del Veneto, 1995.</t>
  </si>
  <si>
    <t>891508713:ita</t>
  </si>
  <si>
    <t>34734326</t>
  </si>
  <si>
    <t>ocm34734326</t>
  </si>
  <si>
    <t>3101873118V</t>
  </si>
  <si>
    <t>793434438</t>
  </si>
  <si>
    <t>PQ4699 C38 1993</t>
  </si>
  <si>
    <t>0                      PQ 4699000C  38          1993</t>
  </si>
  <si>
    <t>Goldoni and Venice : a study of six comedies in dialect / by Emanuela Cervato ; translated by Andrew Thompson.</t>
  </si>
  <si>
    <t>Cervato, Emanuela.</t>
  </si>
  <si>
    <t>Market Harborough, Leics. : Dept. of Italian, University of Hull, 1993.</t>
  </si>
  <si>
    <t>40480165:eng</t>
  </si>
  <si>
    <t>35282180</t>
  </si>
  <si>
    <t>ocm35282180</t>
  </si>
  <si>
    <t>3102246364B</t>
  </si>
  <si>
    <t>9780859587464</t>
  </si>
  <si>
    <t>793448630</t>
  </si>
  <si>
    <t>PQ4699 D36 2013</t>
  </si>
  <si>
    <t>0                      PQ 4699000D  36          2013</t>
  </si>
  <si>
    <t>Goldoni / Daniel Dancourt.</t>
  </si>
  <si>
    <t>Dancourt, Daniel, author.</t>
  </si>
  <si>
    <t>Grez-sur-Loing : Pardès, [2013]</t>
  </si>
  <si>
    <t>Qui suis-je?</t>
  </si>
  <si>
    <t>2044980740:fre</t>
  </si>
  <si>
    <t>841180788</t>
  </si>
  <si>
    <t>ocn841180788</t>
  </si>
  <si>
    <t>31035146592</t>
  </si>
  <si>
    <t>9782867144585</t>
  </si>
  <si>
    <t>794946549</t>
  </si>
  <si>
    <t>PQ4699 F454 2011</t>
  </si>
  <si>
    <t>0                      PQ 4699000F  454         2011</t>
  </si>
  <si>
    <t>La vita e il teatro di Carlo Goldoni / Siro Ferrone.</t>
  </si>
  <si>
    <t>Ferrone, Siro, 1946-</t>
  </si>
  <si>
    <t>Elementi</t>
  </si>
  <si>
    <t>793927717:ita</t>
  </si>
  <si>
    <t>704509766</t>
  </si>
  <si>
    <t>ocn704509766</t>
  </si>
  <si>
    <t>3103125313Y</t>
  </si>
  <si>
    <t>9788831708647</t>
  </si>
  <si>
    <t>794865738</t>
  </si>
  <si>
    <t>PQ4699 G56 2008</t>
  </si>
  <si>
    <t>0                      PQ 4699000G  56          2008</t>
  </si>
  <si>
    <t>Oltre la Serenissima : Goldoni, Napoli e la cultura meridionale : giornata di studio, 9 settembre 2008, Benevento città spettacolo, XXIX edizione / a cura di Antonia Lezza, Anna Scannapieco.</t>
  </si>
  <si>
    <t>1120964050:ita</t>
  </si>
  <si>
    <t>793723541</t>
  </si>
  <si>
    <t>ocn793723541</t>
  </si>
  <si>
    <t>3103125765C</t>
  </si>
  <si>
    <t>9788820755232</t>
  </si>
  <si>
    <t>794918631</t>
  </si>
  <si>
    <t>PQ4699 G86 2001</t>
  </si>
  <si>
    <t>0                      PQ 4699000G  86          2001</t>
  </si>
  <si>
    <t>Playing with gender : the comedies of Goldoni / Maggie Günsberg.</t>
  </si>
  <si>
    <t>Leeds, UK : Northern Universities Press, 2001.</t>
  </si>
  <si>
    <t>Italian perspectives, 1464-1879 ; 7</t>
  </si>
  <si>
    <t>203082365:eng</t>
  </si>
  <si>
    <t>49350379</t>
  </si>
  <si>
    <t>ocm49350379</t>
  </si>
  <si>
    <t>3102187553S</t>
  </si>
  <si>
    <t>9781902653242</t>
  </si>
  <si>
    <t>793738181</t>
  </si>
  <si>
    <t>PQ4699 K45</t>
  </si>
  <si>
    <t>0                      PQ 4699000K  45</t>
  </si>
  <si>
    <t>Goldoni and the Venice of his time.</t>
  </si>
  <si>
    <t>New York, The Macmillan Company, 1920.</t>
  </si>
  <si>
    <t>1585095:eng</t>
  </si>
  <si>
    <t>710310</t>
  </si>
  <si>
    <t>ocm00710310</t>
  </si>
  <si>
    <t>30007796429</t>
  </si>
  <si>
    <t>791451905</t>
  </si>
  <si>
    <t>PQ4699 L83 2012</t>
  </si>
  <si>
    <t>0                      PQ 4699000L  83          2012</t>
  </si>
  <si>
    <t>Drammaturgie goldoniane / Paola Luciani.</t>
  </si>
  <si>
    <t>Luciani, Paola.</t>
  </si>
  <si>
    <t>Firenze : Società editrice fiorentina, ©2012.</t>
  </si>
  <si>
    <t>Biblioteca di letteratura ; 20</t>
  </si>
  <si>
    <t>1190081504:ita</t>
  </si>
  <si>
    <t>822016166</t>
  </si>
  <si>
    <t>ocn822016166</t>
  </si>
  <si>
    <t>3103126051V</t>
  </si>
  <si>
    <t>9788860322340</t>
  </si>
  <si>
    <t>794936284</t>
  </si>
  <si>
    <t>PQ4699 M6</t>
  </si>
  <si>
    <t>0                      PQ 4699000M  6</t>
  </si>
  <si>
    <t>Saggi goldoniani, a cura di Vittore Branca.</t>
  </si>
  <si>
    <t>Momigliano, Attilio, 1883-1952.</t>
  </si>
  <si>
    <t>Venezia, Istituto per la collaborazione culturale [1959]</t>
  </si>
  <si>
    <t>Civiltà veneziana. Saggi, 5</t>
  </si>
  <si>
    <t>2015-01-16</t>
  </si>
  <si>
    <t>2315965:ita</t>
  </si>
  <si>
    <t>2472435</t>
  </si>
  <si>
    <t>ocm02472435</t>
  </si>
  <si>
    <t>30007796445</t>
  </si>
  <si>
    <t>792132356</t>
  </si>
  <si>
    <t>PQ4699 R513</t>
  </si>
  <si>
    <t>0                      PQ 4699000R  513</t>
  </si>
  <si>
    <t>Carlo Goldoni / Heinz Reidt ; translated by Ursule Molinaro.</t>
  </si>
  <si>
    <t>Riedt, Heinz, 1919- author.</t>
  </si>
  <si>
    <t>New York : Frederick Ungar Publishing Co., [1974]</t>
  </si>
  <si>
    <t>World dramatists</t>
  </si>
  <si>
    <t>1909603:eng</t>
  </si>
  <si>
    <t>947633</t>
  </si>
  <si>
    <t>ocm00947633</t>
  </si>
  <si>
    <t>3000404090$</t>
  </si>
  <si>
    <t>9780804427296</t>
  </si>
  <si>
    <t>791509489</t>
  </si>
  <si>
    <t>PQ4699 S744</t>
  </si>
  <si>
    <t>0                      PQ 4699000S  744</t>
  </si>
  <si>
    <t>Carlo Goldoni, life, work and times / Eugene Steele.</t>
  </si>
  <si>
    <t>Steele, Eugene.</t>
  </si>
  <si>
    <t>Ravenna [Italy] : Longo Editore, [1981]</t>
  </si>
  <si>
    <t>L'Interprete ; 20</t>
  </si>
  <si>
    <t>42863599:eng</t>
  </si>
  <si>
    <t>8763234</t>
  </si>
  <si>
    <t>ocm08763234</t>
  </si>
  <si>
    <t>30003263828</t>
  </si>
  <si>
    <t>792639385</t>
  </si>
  <si>
    <t>PQ4700 A54 2015</t>
  </si>
  <si>
    <t>0                      PQ 4700000A  54          2015</t>
  </si>
  <si>
    <t>Che cos'è questa crisi? : divagazioni sul teatro di Goldoni e sui suoi interpreti / Bartolo Anglani.</t>
  </si>
  <si>
    <t>Anglani, Bartolo, author.</t>
  </si>
  <si>
    <t>Ariccia (RM) : Aracne editrice int.le S.r.l., 2015.</t>
  </si>
  <si>
    <t>Oggetti e soggetti ; 31</t>
  </si>
  <si>
    <t>2544687148:ita</t>
  </si>
  <si>
    <t>910913448</t>
  </si>
  <si>
    <t>ocn910913448</t>
  </si>
  <si>
    <t>3103628540P</t>
  </si>
  <si>
    <t>9788854883857</t>
  </si>
  <si>
    <t>794996672</t>
  </si>
  <si>
    <t>PQ4700 G65 1995</t>
  </si>
  <si>
    <t>0                      PQ 4700000G  65          1995</t>
  </si>
  <si>
    <t>Goldoni and the musical theatre / edited by Domenico Pietropaolo.</t>
  </si>
  <si>
    <t>Ottawa : Legas, c1995.</t>
  </si>
  <si>
    <t>2017-09-27</t>
  </si>
  <si>
    <t>55926332:eng</t>
  </si>
  <si>
    <t>32387321</t>
  </si>
  <si>
    <t>ocm32387321</t>
  </si>
  <si>
    <t>3101570614I</t>
  </si>
  <si>
    <t>9780921252429</t>
  </si>
  <si>
    <t>793382462</t>
  </si>
  <si>
    <t>PQ4700 .M36 2019</t>
  </si>
  <si>
    <t>0                      PQ 4700000M  36          2019</t>
  </si>
  <si>
    <t>Carlo Goldoni negli anni parigini : tra autore e attore, testo e scena / Silvia Manciati</t>
  </si>
  <si>
    <t>Manciati, Silvia, author.</t>
  </si>
  <si>
    <t>Roma : UniversItalia, [2019]</t>
  </si>
  <si>
    <t>Arti dello spettacolo. Teatro</t>
  </si>
  <si>
    <t>9649146647:ita</t>
  </si>
  <si>
    <t>1128034131</t>
  </si>
  <si>
    <t>on1128034131</t>
  </si>
  <si>
    <t>3103875721T</t>
  </si>
  <si>
    <t>9788832932898</t>
  </si>
  <si>
    <t>795086283</t>
  </si>
  <si>
    <t>PQ4700 S33 2011</t>
  </si>
  <si>
    <t>0                      PQ 4700000S  33          2011</t>
  </si>
  <si>
    <t>Le donne di Carlo Goldoni tra Venezia e Napoli / Giuseppina Scognamiglio.</t>
  </si>
  <si>
    <t>Scognamiglio, Giuseppina.</t>
  </si>
  <si>
    <t>Napoli : Edizioni scientifiche italiane, 2011.</t>
  </si>
  <si>
    <t>La scrittura teatrale : studi e testi ; 6</t>
  </si>
  <si>
    <t>1058799625:ita</t>
  </si>
  <si>
    <t>767577944</t>
  </si>
  <si>
    <t>ocn767577944</t>
  </si>
  <si>
    <t>3103125607R</t>
  </si>
  <si>
    <t>9788849522426</t>
  </si>
  <si>
    <t>794901225</t>
  </si>
  <si>
    <t>PQ4703 A23 1988</t>
  </si>
  <si>
    <t>0                      PQ 4703000A  23          1988</t>
  </si>
  <si>
    <t>Carlo Gozzi : translations of The love of three oranges, Turandot, and the snake lady : with a bio-critical introduction / John Louis DiGaetani.</t>
  </si>
  <si>
    <t>Gozzi, Carlo, 1720-1806.</t>
  </si>
  <si>
    <t>New York : Greenwood Press, 1988.</t>
  </si>
  <si>
    <t>Contributions in drama and theatre studies, 0163-3821 ; no. 24</t>
  </si>
  <si>
    <t>1059106387:eng</t>
  </si>
  <si>
    <t>16085620</t>
  </si>
  <si>
    <t>ocm16085620</t>
  </si>
  <si>
    <t>3000538530Q</t>
  </si>
  <si>
    <t>9780313256769</t>
  </si>
  <si>
    <t>792954105</t>
  </si>
  <si>
    <t>PQ4703 A6 2011</t>
  </si>
  <si>
    <t>0                      PQ 4703000A  6           2011</t>
  </si>
  <si>
    <t>Commedie in commedia / Carlo Gozzi ; a cura di Fabio Soldini e Piermario Vescovo.</t>
  </si>
  <si>
    <t>Gozzi, Carlo.</t>
  </si>
  <si>
    <t>Letteratura universale Marsilio</t>
  </si>
  <si>
    <t>1075967203:ita</t>
  </si>
  <si>
    <t>774165205</t>
  </si>
  <si>
    <t>ocn774165205</t>
  </si>
  <si>
    <t>3103125689B</t>
  </si>
  <si>
    <t>9788831711029</t>
  </si>
  <si>
    <t>794906353</t>
  </si>
  <si>
    <t>PQ4703 M6713 1951</t>
  </si>
  <si>
    <t>0                      PQ 4703000M  6713        1951</t>
  </si>
  <si>
    <t>The blue monster (Il nostro turchino); a fairy play in five acts; trans. with an introd. by Edward J. Dent.</t>
  </si>
  <si>
    <t>Cambridge, Univ. Press, 1951.</t>
  </si>
  <si>
    <t>1951</t>
  </si>
  <si>
    <t>3943613777:eng</t>
  </si>
  <si>
    <t>4978601</t>
  </si>
  <si>
    <t>ocm04978601</t>
  </si>
  <si>
    <t>3103021309L</t>
  </si>
  <si>
    <t>792398911</t>
  </si>
  <si>
    <t>PQ4703 Z5 D54 2000</t>
  </si>
  <si>
    <t>0                      PQ 4703000Z  5                  D  54          2000</t>
  </si>
  <si>
    <t>Carlo Gozzi : a life in the 18th century Venetian theater, an afterlife in opera / by John Louis DiGaetani.</t>
  </si>
  <si>
    <t>DiGaetani, John Louis, 1943-</t>
  </si>
  <si>
    <t>Jefferson, N.C. ; London : McFarland, ©2000.</t>
  </si>
  <si>
    <t>20869397:eng</t>
  </si>
  <si>
    <t>42643313</t>
  </si>
  <si>
    <t>ocm42643313</t>
  </si>
  <si>
    <t>31020195321</t>
  </si>
  <si>
    <t>9780786400775</t>
  </si>
  <si>
    <t>793610490</t>
  </si>
  <si>
    <t>PQ4704 G3 1957</t>
  </si>
  <si>
    <t>0                      PQ 4704000G  3           1957</t>
  </si>
  <si>
    <t>La Gazzetta veneta. [Di] Gaspare Gozzi. A cura di Antonio Zardo, nuova presentazione di Fiorenzo Forti.</t>
  </si>
  <si>
    <t>Gozzi, Gasparo, conte, 1713-1786.</t>
  </si>
  <si>
    <t>Firenze, Sansoni [1957]</t>
  </si>
  <si>
    <t>Biblioteca carducciani ; 22</t>
  </si>
  <si>
    <t>8908577762:ita</t>
  </si>
  <si>
    <t>3145231</t>
  </si>
  <si>
    <t>ocm03145231</t>
  </si>
  <si>
    <t>3000627510$</t>
  </si>
  <si>
    <t>792222738</t>
  </si>
  <si>
    <t>PQ4704 Z7 1939</t>
  </si>
  <si>
    <t>0                      PQ 4704000Z  7           1939</t>
  </si>
  <si>
    <t>Opere scelte, a cura di Enrico Falqui. Con 12 illustrazioni.</t>
  </si>
  <si>
    <t>Milano Roma, Rizzoli &amp;c. [1939]</t>
  </si>
  <si>
    <t>1939</t>
  </si>
  <si>
    <t>I Classici Rizzoli, diretti da Ugo Ojetti</t>
  </si>
  <si>
    <t>5010858:ita</t>
  </si>
  <si>
    <t>23510718</t>
  </si>
  <si>
    <t>ocm23510718</t>
  </si>
  <si>
    <t>3000627997J</t>
  </si>
  <si>
    <t>793174535</t>
  </si>
  <si>
    <t>PQ4708 A1 1983 v. 1</t>
  </si>
  <si>
    <t>0                      PQ 4708000A  1           1983                                        v. 1</t>
  </si>
  <si>
    <t>The moral essays = Operette morali / Giacomo Leopardi ; translated from the Italian by Patrick Creagh.</t>
  </si>
  <si>
    <t>v. 1*</t>
  </si>
  <si>
    <t>Leopardi, Giacomo, 1798-1837.</t>
  </si>
  <si>
    <t>New York : Columbia University Press, 1983.</t>
  </si>
  <si>
    <t>Works of Giacomo Leopardi ; v. 1</t>
  </si>
  <si>
    <t>4160766024:eng</t>
  </si>
  <si>
    <t>9081180</t>
  </si>
  <si>
    <t>ocm09081180</t>
  </si>
  <si>
    <t>3000346469L</t>
  </si>
  <si>
    <t>9780231057066</t>
  </si>
  <si>
    <t>792655760</t>
  </si>
  <si>
    <t>PQ4708 A13 1938</t>
  </si>
  <si>
    <t>0                      PQ 4708000A  13          1938</t>
  </si>
  <si>
    <t>Antologia leopardiana : Canti, Operette morali zibaldone, Pensieri / con una antologia critica [di] Guiseppe Petronio.</t>
  </si>
  <si>
    <t>Milano : A. Vallardi, [1938]</t>
  </si>
  <si>
    <t>1938</t>
  </si>
  <si>
    <t>32550013:ita</t>
  </si>
  <si>
    <t>61591563</t>
  </si>
  <si>
    <t>ocm61591563</t>
  </si>
  <si>
    <t>3000627580F</t>
  </si>
  <si>
    <t>794030562</t>
  </si>
  <si>
    <t>PQ4708 A13 1978</t>
  </si>
  <si>
    <t>0                      PQ 4708000A  13          1978</t>
  </si>
  <si>
    <t>Operette morali / Giacomo Leopardi ; a cura di Cesare Galimberti.</t>
  </si>
  <si>
    <t>Napoli : Guida, 1978.</t>
  </si>
  <si>
    <t>Collana Sigma : Testi ; 4</t>
  </si>
  <si>
    <t>2016-09-09</t>
  </si>
  <si>
    <t>3768936630:ita</t>
  </si>
  <si>
    <t>4488593</t>
  </si>
  <si>
    <t>ocm04488593</t>
  </si>
  <si>
    <t>3000454391T</t>
  </si>
  <si>
    <t>792353952</t>
  </si>
  <si>
    <t>PQ4708 A13 2016</t>
  </si>
  <si>
    <t>0                      PQ 4708000A  13          2016</t>
  </si>
  <si>
    <t>Inno a Nettuno ; Odae adespotae / Giacomo Leopardi ; a cura di Margherita Centenari.</t>
  </si>
  <si>
    <t>Leopardi, Giacomo, 1798-1837, author.</t>
  </si>
  <si>
    <t>Testi e studi leopardiani ; 20</t>
  </si>
  <si>
    <t>4154381072:ita</t>
  </si>
  <si>
    <t>968197502</t>
  </si>
  <si>
    <t>ocn968197502</t>
  </si>
  <si>
    <t>3103716159T</t>
  </si>
  <si>
    <t>9788831724654</t>
  </si>
  <si>
    <t>795027012</t>
  </si>
  <si>
    <t>PQ4708 A2 1978</t>
  </si>
  <si>
    <t>0                      PQ 4708000A  2           1978</t>
  </si>
  <si>
    <t>Canti / Giacomo Leopardi ; a cura di Giuseppe e Domenico De Robertis.</t>
  </si>
  <si>
    <t>Milano : A. Mondadori, 1978.</t>
  </si>
  <si>
    <t>1. ed. Oscar studio.</t>
  </si>
  <si>
    <t>Gli Oscar studio ; 61</t>
  </si>
  <si>
    <t>237297:ita</t>
  </si>
  <si>
    <t>4437704</t>
  </si>
  <si>
    <t>ocm04437704</t>
  </si>
  <si>
    <t>3000303081C</t>
  </si>
  <si>
    <t>792350155</t>
  </si>
  <si>
    <t>PQ4708 A2 1984</t>
  </si>
  <si>
    <t>0                      PQ 4708000A  2           1984</t>
  </si>
  <si>
    <t>Canti / di Giacomo Leopardi : edizione critica e autografi / a cura di Domenico De Robertis.</t>
  </si>
  <si>
    <t>Milano : Polifilo, ©1984.</t>
  </si>
  <si>
    <t>11866089</t>
  </si>
  <si>
    <t>ocm11866089</t>
  </si>
  <si>
    <t>3103644424Z</t>
  </si>
  <si>
    <t>9788870504781</t>
  </si>
  <si>
    <t>792791569</t>
  </si>
  <si>
    <t>3000371680W</t>
  </si>
  <si>
    <t>792791570</t>
  </si>
  <si>
    <t>PQ4708 A2 1998</t>
  </si>
  <si>
    <t>0                      PQ 4708000A  2           1998</t>
  </si>
  <si>
    <t>Canti / Giacomo Leopardi ; introduzione di Franco Gavazzeni ; note di Franco Gavazzeni e Maria Maddalena Lombardi.</t>
  </si>
  <si>
    <t>Milano : Biblioteca universale Rizzoli, 1998.</t>
  </si>
  <si>
    <t>BUR poesia</t>
  </si>
  <si>
    <t>39195855</t>
  </si>
  <si>
    <t>ocm39195855</t>
  </si>
  <si>
    <t>3101908464M</t>
  </si>
  <si>
    <t>9788817172257</t>
  </si>
  <si>
    <t>793540442</t>
  </si>
  <si>
    <t>PQ4708 A2 2010</t>
  </si>
  <si>
    <t>0                      PQ 4708000A  2           2010</t>
  </si>
  <si>
    <t>Canti / Giacomo Leopardi ; translated and annotated by Jonathan Galassi.</t>
  </si>
  <si>
    <t>New York : Farrar, Straus &amp; Giroux, 2010.</t>
  </si>
  <si>
    <t>2019-02-16</t>
  </si>
  <si>
    <t>237297:eng</t>
  </si>
  <si>
    <t>528665875</t>
  </si>
  <si>
    <t>ocn528665875</t>
  </si>
  <si>
    <t>3103235944$</t>
  </si>
  <si>
    <t>9780374235031</t>
  </si>
  <si>
    <t>794809689</t>
  </si>
  <si>
    <t>PQ4708 A76 2002</t>
  </si>
  <si>
    <t>0                      PQ 4708000A  76          2002</t>
  </si>
  <si>
    <t>Appressamento della morte / Giacomo Leopardi ; edizione critica a cura di Sabrina Delcò-Toschini ; introduzione e commento a cura di Christian Genetelli.</t>
  </si>
  <si>
    <t>Roma : Antenore, 2002.</t>
  </si>
  <si>
    <t>Scrittori italiani commentati ; 9</t>
  </si>
  <si>
    <t>2018-04-24</t>
  </si>
  <si>
    <t>5090970390:ita</t>
  </si>
  <si>
    <t>51233187</t>
  </si>
  <si>
    <t>ocm51233187</t>
  </si>
  <si>
    <t>3102295831I</t>
  </si>
  <si>
    <t>9788884555632</t>
  </si>
  <si>
    <t>793781026</t>
  </si>
  <si>
    <t>PQ4708 O7 1979</t>
  </si>
  <si>
    <t>0                      PQ 4708000O  7           1979</t>
  </si>
  <si>
    <t>Operette morali / [di] Giacomo Leopardi ; edizione critica a cura di Ottavio Besomi.</t>
  </si>
  <si>
    <t>Milano : Fondazione Arnoldo e Alberto Mondadori, 1979.</t>
  </si>
  <si>
    <t>Testi e strumenti di filologia italiana. Testi ; 3</t>
  </si>
  <si>
    <t>2015-09-13</t>
  </si>
  <si>
    <t>7519490</t>
  </si>
  <si>
    <t>ocm07519490</t>
  </si>
  <si>
    <t>3000330391V</t>
  </si>
  <si>
    <t>792563148</t>
  </si>
  <si>
    <t>PQ4708 V65 2012</t>
  </si>
  <si>
    <t>0                      PQ 4708000V  65          2012</t>
  </si>
  <si>
    <t>Volgarizzamenti in prosa, 1822-1827 / Giacomo Leopardi ; edizione critica di Franco D'Intino.</t>
  </si>
  <si>
    <t>Testi e studi leopardiani / Centro nazionale di studi leopardiani ; 18</t>
  </si>
  <si>
    <t>1121685223:ita</t>
  </si>
  <si>
    <t>796779841</t>
  </si>
  <si>
    <t>ocn796779841</t>
  </si>
  <si>
    <t>3103125819J</t>
  </si>
  <si>
    <t>9788831711111</t>
  </si>
  <si>
    <t>794922357</t>
  </si>
  <si>
    <t>PQ4708 Z3 1991</t>
  </si>
  <si>
    <t>0                      PQ 4708000Z  3           1991</t>
  </si>
  <si>
    <t>Zibaldone di pensieri : edizione critica e annotata / Giacomo Leopardi ; a cura di Giuseppe Pacella.</t>
  </si>
  <si>
    <t>[Milano] : Garzanti, 1991.</t>
  </si>
  <si>
    <t>Libri della spiga</t>
  </si>
  <si>
    <t>2019-03-01</t>
  </si>
  <si>
    <t>3372488029:ita</t>
  </si>
  <si>
    <t>25246998</t>
  </si>
  <si>
    <t>ocm25246998</t>
  </si>
  <si>
    <t>3100960563W</t>
  </si>
  <si>
    <t>9788811586524</t>
  </si>
  <si>
    <t>793215225</t>
  </si>
  <si>
    <t>3100960573T</t>
  </si>
  <si>
    <t>793215224</t>
  </si>
  <si>
    <t>3100960583Q</t>
  </si>
  <si>
    <t>793215223</t>
  </si>
  <si>
    <t>PQ4708 Z32 1997b</t>
  </si>
  <si>
    <t>0                      PQ 4708000Z  32          1997b</t>
  </si>
  <si>
    <t>Edizione tematica dello Zibaldone di pensieri stabilità sugli Indici leopardiani / Giacomo Leopardi ; a cura di Fabiana Cacciapuoti ; prefazione di Antonio Prete.</t>
  </si>
  <si>
    <t>Roma : Donzelli editore, ©1997-©2003.</t>
  </si>
  <si>
    <t>Biblioteca ; 24-29</t>
  </si>
  <si>
    <t>3372169858:ita</t>
  </si>
  <si>
    <t>38017090</t>
  </si>
  <si>
    <t>ocm38017090</t>
  </si>
  <si>
    <t>3102336363A</t>
  </si>
  <si>
    <t>9788879898041</t>
  </si>
  <si>
    <t>793513016</t>
  </si>
  <si>
    <t>3102077974H</t>
  </si>
  <si>
    <t>793513020</t>
  </si>
  <si>
    <t>3102183599O</t>
  </si>
  <si>
    <t>793513018</t>
  </si>
  <si>
    <t>3102011359T</t>
  </si>
  <si>
    <t>793513019</t>
  </si>
  <si>
    <t>31022905870</t>
  </si>
  <si>
    <t>793513017</t>
  </si>
  <si>
    <t>31018722996</t>
  </si>
  <si>
    <t>793513021</t>
  </si>
  <si>
    <t>PQ4708 Z3213 2013</t>
  </si>
  <si>
    <t>0                      PQ 4708000Z  3213        2013</t>
  </si>
  <si>
    <t>Zibaldone / Giacomo Leopardi ; edited by Michael Caesar and Franco D'Intino ; translated from the Italian by Kathleen Baldwin [and others].</t>
  </si>
  <si>
    <t>New York : Farrar, Straus and Giroux, 2013.</t>
  </si>
  <si>
    <t>2015-03-19</t>
  </si>
  <si>
    <t>3372169858:eng</t>
  </si>
  <si>
    <t>794973811</t>
  </si>
  <si>
    <t>ocn794973811</t>
  </si>
  <si>
    <t>3103601237$</t>
  </si>
  <si>
    <t>9780374296827</t>
  </si>
  <si>
    <t>794920714</t>
  </si>
  <si>
    <t>PQ4708 Z3213 2014</t>
  </si>
  <si>
    <t>0                      PQ 4708000Z  3213        2014</t>
  </si>
  <si>
    <t>Passions / Giacomo Leopardi ; translated by Tim Parks.</t>
  </si>
  <si>
    <t>New Haven ; London : Yale University Press, [2014]</t>
  </si>
  <si>
    <t>Margellos world republic of letters book</t>
  </si>
  <si>
    <t>875644412</t>
  </si>
  <si>
    <t>ocn875644412</t>
  </si>
  <si>
    <t>31036564833</t>
  </si>
  <si>
    <t>9780300186338</t>
  </si>
  <si>
    <t>794969542</t>
  </si>
  <si>
    <t>PQ4708 Z4 C33 2010</t>
  </si>
  <si>
    <t>0                      PQ 4708000Z  4                  C  33          2010</t>
  </si>
  <si>
    <t>Dentro lo Zibaldone : il tempo circolare della scrittura di Leopardi / Fabiana Cacciapuoti ; postfazione di Perle Abbrugiati.</t>
  </si>
  <si>
    <t>Cacciapuoti, Fabiana.</t>
  </si>
  <si>
    <t>Roma : Donzelli, 2010.</t>
  </si>
  <si>
    <t>792095032:ita</t>
  </si>
  <si>
    <t>609530051</t>
  </si>
  <si>
    <t>ocn609530051</t>
  </si>
  <si>
    <t>3103125060X</t>
  </si>
  <si>
    <t>9788860364609</t>
  </si>
  <si>
    <t>794820013</t>
  </si>
  <si>
    <t>PQ4709 E5 A1 1966</t>
  </si>
  <si>
    <t>0                      PQ 4709000E  5                  A  1           1966</t>
  </si>
  <si>
    <t>Selected prose and poetry / Giacomo Leopardi ; edited, translated, and introduced by Iris Origo and John Heath-Stubbs.</t>
  </si>
  <si>
    <t>London ; Toronto : Oxford University Press, 1966.</t>
  </si>
  <si>
    <t>1429636:eng</t>
  </si>
  <si>
    <t>3619696</t>
  </si>
  <si>
    <t>ocm03619696</t>
  </si>
  <si>
    <t>3000202001B</t>
  </si>
  <si>
    <t>792273888</t>
  </si>
  <si>
    <t>PQ4709 E5 A1 1966a</t>
  </si>
  <si>
    <t>0                      PQ 4709000E  5                  A  1           1966a</t>
  </si>
  <si>
    <t>Poems and prose, edited by Angel Flores. Introd. by Sergio Pacifici.</t>
  </si>
  <si>
    <t>Bloomington, Indiana University Press [1966]</t>
  </si>
  <si>
    <t>2018-02-26</t>
  </si>
  <si>
    <t>4535572333:eng</t>
  </si>
  <si>
    <t>203551</t>
  </si>
  <si>
    <t>ocm00203551</t>
  </si>
  <si>
    <t>3100244939H</t>
  </si>
  <si>
    <t>9780253200945</t>
  </si>
  <si>
    <t>791292591</t>
  </si>
  <si>
    <t>PQ4709 E5 A1 1981</t>
  </si>
  <si>
    <t>0                      PQ 4709000E  5                  A  1           1981</t>
  </si>
  <si>
    <t>A Leopardi reader / editing and translations by Ottavio M. Casale.</t>
  </si>
  <si>
    <t>Urbana : University of Illinois Press, ©1981.</t>
  </si>
  <si>
    <t>2016-12-20</t>
  </si>
  <si>
    <t>1059199549:eng</t>
  </si>
  <si>
    <t>7174235</t>
  </si>
  <si>
    <t>ocm07174235</t>
  </si>
  <si>
    <t>30003293271</t>
  </si>
  <si>
    <t>9780252008245</t>
  </si>
  <si>
    <t>792544012</t>
  </si>
  <si>
    <t>PQ4710 A2 C36 2013</t>
  </si>
  <si>
    <t>0                      PQ 4710000A  2                  C  36          2013</t>
  </si>
  <si>
    <t>Classicism and romanticism in Italian literature : Leopardi's Discourse on romantic poetry / by Fabio A. Camilletti.</t>
  </si>
  <si>
    <t>Camilletti, Fabio.</t>
  </si>
  <si>
    <t>London ; Brookfield, Vt., USA : Pickering &amp; Chatto, ©2013.</t>
  </si>
  <si>
    <t>Warwick series in the humanities ; no. 1</t>
  </si>
  <si>
    <t>1173744825:eng</t>
  </si>
  <si>
    <t>813861751</t>
  </si>
  <si>
    <t>ocn813861751</t>
  </si>
  <si>
    <t>3103456707O</t>
  </si>
  <si>
    <t>9781848932876</t>
  </si>
  <si>
    <t>794931884</t>
  </si>
  <si>
    <t>PQ4710 A3 1998</t>
  </si>
  <si>
    <t>0                      PQ 4710000A  3           1998</t>
  </si>
  <si>
    <t>Epistolario / Giacomo Leopardi ; a cura di Franco Brioschi e Patrizia Landi.</t>
  </si>
  <si>
    <t>Torino : Bollati Boringhieri, ©1998.</t>
  </si>
  <si>
    <t>Pantheon</t>
  </si>
  <si>
    <t>3373772048:ita</t>
  </si>
  <si>
    <t>40647597</t>
  </si>
  <si>
    <t>ocm40647597</t>
  </si>
  <si>
    <t>3101944210C</t>
  </si>
  <si>
    <t>9788833911120</t>
  </si>
  <si>
    <t>793572045</t>
  </si>
  <si>
    <t>31019442063</t>
  </si>
  <si>
    <t>793572046</t>
  </si>
  <si>
    <t>PQ4710 A3 2003</t>
  </si>
  <si>
    <t>0                      PQ 4710000A  3           2003</t>
  </si>
  <si>
    <t>Carteggio Leopardi-Colletta rivisto sugli autografi con tre lettere inedite di Giacomo Leopardi / a cura di Elisabetta Benucci ; presentazione di Raffaele Garofalo ; introduzione di Enrico Ghidetti.</t>
  </si>
  <si>
    <t>Firenze : Le lettere, 2003.</t>
  </si>
  <si>
    <t>Quaderni della "Rassegna" ; n. 2</t>
  </si>
  <si>
    <t>2017-06-27</t>
  </si>
  <si>
    <t>15586222:ita</t>
  </si>
  <si>
    <t>55511287</t>
  </si>
  <si>
    <t>ocm55511287</t>
  </si>
  <si>
    <t>3102318523E</t>
  </si>
  <si>
    <t>9788871667102</t>
  </si>
  <si>
    <t>793877562</t>
  </si>
  <si>
    <t>PQ4710 A458 2014</t>
  </si>
  <si>
    <t>0                      PQ 4710000A  458         2014</t>
  </si>
  <si>
    <t>Desiderio e assuefazione : studio sul pensiero di Leopardi / Alessandra Aloisi.</t>
  </si>
  <si>
    <t>Aloisi, Alessandra, author.</t>
  </si>
  <si>
    <t>Pisa : Edizioni ETS, [2014]</t>
  </si>
  <si>
    <t>Philosophica ; 128. Serie blu</t>
  </si>
  <si>
    <t>5219047356:ita</t>
  </si>
  <si>
    <t>882554444</t>
  </si>
  <si>
    <t>ocn882554444</t>
  </si>
  <si>
    <t>3103659294S</t>
  </si>
  <si>
    <t>9788846738479</t>
  </si>
  <si>
    <t>794975150</t>
  </si>
  <si>
    <t>PQ4710 B35 2010</t>
  </si>
  <si>
    <t>0                      PQ 4710000B  35          2010</t>
  </si>
  <si>
    <t>Il gener frale : saggi leopardiani / Novella Bellucci.</t>
  </si>
  <si>
    <t>Bellucci, Novella.</t>
  </si>
  <si>
    <t>Testi e studi leopardiani ; 14</t>
  </si>
  <si>
    <t>891328901:ita</t>
  </si>
  <si>
    <t>515400166</t>
  </si>
  <si>
    <t>ocn515400166</t>
  </si>
  <si>
    <t>31031249964</t>
  </si>
  <si>
    <t>9788831799461</t>
  </si>
  <si>
    <t>794807998</t>
  </si>
  <si>
    <t>PQ4710 B486 2012</t>
  </si>
  <si>
    <t>0                      PQ 4710000B  486         2012</t>
  </si>
  <si>
    <t>Pensieri sull'etimo : aspetti linguistici nello Zibaldone di Leopardi / Angela Bianchi ; prefazione di Diego Poli.</t>
  </si>
  <si>
    <t>Bianchi, Angela.</t>
  </si>
  <si>
    <t>1145235314:ita</t>
  </si>
  <si>
    <t>794703577</t>
  </si>
  <si>
    <t>ocn794703577</t>
  </si>
  <si>
    <t>31031258747</t>
  </si>
  <si>
    <t>9788843065615</t>
  </si>
  <si>
    <t>794920316</t>
  </si>
  <si>
    <t>PQ4710 B5188 2011</t>
  </si>
  <si>
    <t>0                      PQ 4710000B  5188        2011</t>
  </si>
  <si>
    <t>Una vita più vitale : stile e pensiero in Leopardi / Emilio Bigi ; a cura di Cristina Zampese ; introduzione di Luigi Blasucci.</t>
  </si>
  <si>
    <t>Bigi, Emilio.</t>
  </si>
  <si>
    <t>Venezia : Marsilio, ©2011.</t>
  </si>
  <si>
    <t>Testi e studi leopardiani / Centro nazionale di studi leopardiani ; 16</t>
  </si>
  <si>
    <t>1081148014:ita</t>
  </si>
  <si>
    <t>777474651</t>
  </si>
  <si>
    <t>ocn777474651</t>
  </si>
  <si>
    <t>3103125663F</t>
  </si>
  <si>
    <t>9788831706957</t>
  </si>
  <si>
    <t>794908822</t>
  </si>
  <si>
    <t>PQ4710 B5258 2012</t>
  </si>
  <si>
    <t>0                      PQ 4710000B  5258        2012</t>
  </si>
  <si>
    <t>Leopardi in Grecia / Christos Bintoudis ; introduzione di Novella Bellucci.</t>
  </si>
  <si>
    <t>Bintoudēs, Chrēstos, 1978-</t>
  </si>
  <si>
    <t>Saggi di greco moderno ; 3</t>
  </si>
  <si>
    <t>1320987551:ita</t>
  </si>
  <si>
    <t>807031509</t>
  </si>
  <si>
    <t>ocn807031509</t>
  </si>
  <si>
    <t>31031258953</t>
  </si>
  <si>
    <t>9788878706460</t>
  </si>
  <si>
    <t>794927176</t>
  </si>
  <si>
    <t>PQ4710 B5392 2017</t>
  </si>
  <si>
    <t>0                      PQ 4710000B  5392        2017</t>
  </si>
  <si>
    <t>La svolta dell'idillio e altre pagine leopardiane / Luigi Blasucci.</t>
  </si>
  <si>
    <t>Blasucci, Luigi, author.</t>
  </si>
  <si>
    <t>Bologna : Il mulino, [2017]</t>
  </si>
  <si>
    <t>Saggi ; 861</t>
  </si>
  <si>
    <t>4552367380:ita</t>
  </si>
  <si>
    <t>1010543838</t>
  </si>
  <si>
    <t>on1010543838</t>
  </si>
  <si>
    <t>31037211957</t>
  </si>
  <si>
    <t>9788815273871</t>
  </si>
  <si>
    <t>795045189</t>
  </si>
  <si>
    <t>PQ4710 B5452 2011</t>
  </si>
  <si>
    <t>0                      PQ 4710000B  5452        2011</t>
  </si>
  <si>
    <t>I titoli dei Canti e altri studi leopardiani / Luigi Blasucci.</t>
  </si>
  <si>
    <t>Blasucci, Luigi.</t>
  </si>
  <si>
    <t>Testi e studi leopardiani / Centro nazionale di studi leopardiani ; 15</t>
  </si>
  <si>
    <t>351855842:ita</t>
  </si>
  <si>
    <t>724302619</t>
  </si>
  <si>
    <t>ocn724302619</t>
  </si>
  <si>
    <t>3103125395I</t>
  </si>
  <si>
    <t>9788831705660</t>
  </si>
  <si>
    <t>794876284</t>
  </si>
  <si>
    <t>PQ4710 B67 2015</t>
  </si>
  <si>
    <t>0                      PQ 4710000B  67          2015</t>
  </si>
  <si>
    <t>Leopardi e i volti di Dio / Salvatore Borzì.</t>
  </si>
  <si>
    <t>Borzì, Salvatore, 1972- author.</t>
  </si>
  <si>
    <t>Acireale : Bonanno editore, [2015]</t>
  </si>
  <si>
    <t>Occasioni critiche ; 22</t>
  </si>
  <si>
    <t>2785172566:ita</t>
  </si>
  <si>
    <t>927413869</t>
  </si>
  <si>
    <t>ocn927413869</t>
  </si>
  <si>
    <t>31036233582</t>
  </si>
  <si>
    <t>9788863180503</t>
  </si>
  <si>
    <t>795005908</t>
  </si>
  <si>
    <t>PQ4710 C3282 2016</t>
  </si>
  <si>
    <t>0                      PQ 4710000C  3282        2016</t>
  </si>
  <si>
    <t>Leopardi traduttore : la prosa (1816-1817) / Valerio Camarotto.</t>
  </si>
  <si>
    <t>Camarotto, Valerio, author.</t>
  </si>
  <si>
    <t>Macerata : Quodlibet, luglio 2016.</t>
  </si>
  <si>
    <t>3805537691:ita</t>
  </si>
  <si>
    <t>980302173</t>
  </si>
  <si>
    <t>ocn980302173</t>
  </si>
  <si>
    <t>3103716978U</t>
  </si>
  <si>
    <t>9788874628469</t>
  </si>
  <si>
    <t>795033653</t>
  </si>
  <si>
    <t>PQ4710 C334 2011</t>
  </si>
  <si>
    <t>0                      PQ 4710000C  334         2011</t>
  </si>
  <si>
    <t>Lo scrittoio di Leopardi : processi compositivi e formazione di tópoi / Giuseppe Antonio Camerino.</t>
  </si>
  <si>
    <t>Camerino, Giuseppe Antonio.</t>
  </si>
  <si>
    <t>Napoli : Liguori, 2011.</t>
  </si>
  <si>
    <t>Domini</t>
  </si>
  <si>
    <t>1074131163:ita</t>
  </si>
  <si>
    <t>773015469</t>
  </si>
  <si>
    <t>ocn773015469</t>
  </si>
  <si>
    <t>3103125623N</t>
  </si>
  <si>
    <t>9788820754822</t>
  </si>
  <si>
    <t>794905127</t>
  </si>
  <si>
    <t>PQ4710 C3353 2010</t>
  </si>
  <si>
    <t>0                      PQ 4710000C  3353        2010</t>
  </si>
  <si>
    <t>L'antico romantico : Leopardi e il sistema del bello, 1816-1832 / Alessandro Camiciottoli.</t>
  </si>
  <si>
    <t>Camiciottoli, Alessandro.</t>
  </si>
  <si>
    <t>Firenze : Società editrice fiorentina, ©2010.</t>
  </si>
  <si>
    <t>Quaderni Aldo Palazzeschi. Nuova serie / Centro di studi Aldo Palazzeschi, Università degli studi di Firenze, Facoltà di lettere e filosofia ; 23</t>
  </si>
  <si>
    <t>792094009:ita</t>
  </si>
  <si>
    <t>620114948</t>
  </si>
  <si>
    <t>ocn620114948</t>
  </si>
  <si>
    <t>3103125084T</t>
  </si>
  <si>
    <t>9788860321039</t>
  </si>
  <si>
    <t>794823518</t>
  </si>
  <si>
    <t>PQ4710 C3354 2013</t>
  </si>
  <si>
    <t>0                      PQ 4710000C  3354        2013</t>
  </si>
  <si>
    <t>Leopardi's nymphs : grace, melancholy, and the uncanny / by Fabio A. Camilletti.</t>
  </si>
  <si>
    <t>Camilletti, Fabio, author.</t>
  </si>
  <si>
    <t>Leeds : Legenda, 2013.</t>
  </si>
  <si>
    <t>Italian perspectives ; 28</t>
  </si>
  <si>
    <t>1791591065:eng</t>
  </si>
  <si>
    <t>844873115</t>
  </si>
  <si>
    <t>ocn844873115</t>
  </si>
  <si>
    <t>3103529831C</t>
  </si>
  <si>
    <t>9781907975912</t>
  </si>
  <si>
    <t>794948811</t>
  </si>
  <si>
    <t>PQ4710 C359 2011</t>
  </si>
  <si>
    <t>0                      PQ 4710000C  359         2011</t>
  </si>
  <si>
    <t>Giacomo Leopardi, Monaldo e l'idea della legge : studi leopardiani su una fonte inedita dello Zibaldone (1820-1821) : l'Essai di Félicité de Lamennais / Vittorio Capuzza.</t>
  </si>
  <si>
    <t>Capuzza, Vittorio.</t>
  </si>
  <si>
    <t>Law and the humanities ; 1</t>
  </si>
  <si>
    <t>1081148055:ita</t>
  </si>
  <si>
    <t>777474726</t>
  </si>
  <si>
    <t>ocn777474726</t>
  </si>
  <si>
    <t>3103125660F</t>
  </si>
  <si>
    <t>9788854843578</t>
  </si>
  <si>
    <t>794908826</t>
  </si>
  <si>
    <t>PQ4710 C385 2010</t>
  </si>
  <si>
    <t>0                      PQ 4710000C  385         2010</t>
  </si>
  <si>
    <t>Umana cosa picciol tempo dura : Leopardi, Saffo e il mondo greco / Claudia Carella.</t>
  </si>
  <si>
    <t>Carella, Claudia, 1979-</t>
  </si>
  <si>
    <t>Roma : UniversItalia, ©2010.</t>
  </si>
  <si>
    <t>Collana Letteratura</t>
  </si>
  <si>
    <t>836163144:ita</t>
  </si>
  <si>
    <t>707959214</t>
  </si>
  <si>
    <t>ocn707959214</t>
  </si>
  <si>
    <t>3103125341S</t>
  </si>
  <si>
    <t>9788865070338</t>
  </si>
  <si>
    <t>794868303</t>
  </si>
  <si>
    <t>PQ4710 C438 2011</t>
  </si>
  <si>
    <t>0                      PQ 4710000C  438         2011</t>
  </si>
  <si>
    <t>La distanza del cielo : Leopardi e lo spazio dell'ispirazione / Alessandro Carrera.</t>
  </si>
  <si>
    <t>Carrera, Alessandro, 1954-</t>
  </si>
  <si>
    <t>Milano : Medusa, 2011.</t>
  </si>
  <si>
    <t>Le porpore ; 55</t>
  </si>
  <si>
    <t>919220086:ita</t>
  </si>
  <si>
    <t>709663054</t>
  </si>
  <si>
    <t>ocn709663054</t>
  </si>
  <si>
    <t>3103125355Q</t>
  </si>
  <si>
    <t>9788876982255</t>
  </si>
  <si>
    <t>794869513</t>
  </si>
  <si>
    <t>PQ4710 C447 2011</t>
  </si>
  <si>
    <t>0                      PQ 4710000C  447         2011</t>
  </si>
  <si>
    <t>Il pubblico delle lettrici e altri studi leopardiani / Umberto Casari.</t>
  </si>
  <si>
    <t>Casari, Umberto.</t>
  </si>
  <si>
    <t>Verona : Fiorini, 2011.</t>
  </si>
  <si>
    <t>Università degli studi di Verona ; [16]</t>
  </si>
  <si>
    <t>1081148180:ita</t>
  </si>
  <si>
    <t>777474865</t>
  </si>
  <si>
    <t>ocn777474865</t>
  </si>
  <si>
    <t>3103125705O</t>
  </si>
  <si>
    <t>9788896419281</t>
  </si>
  <si>
    <t>794908833</t>
  </si>
  <si>
    <t>PQ4710 C47 2011</t>
  </si>
  <si>
    <t>0                      PQ 4710000C  47          2011</t>
  </si>
  <si>
    <t>Giacomo Leopardi / Cesare Cattaneo.</t>
  </si>
  <si>
    <t>Cattaneo, Cesare, 1912-1943.</t>
  </si>
  <si>
    <t>Cernobbio : Archivio Cattaneo editore, [2011]</t>
  </si>
  <si>
    <t>I saggi ; 8</t>
  </si>
  <si>
    <t>3944946812:ita</t>
  </si>
  <si>
    <t>745969870</t>
  </si>
  <si>
    <t>ocn745969870</t>
  </si>
  <si>
    <t>31034732240</t>
  </si>
  <si>
    <t>9788890534928</t>
  </si>
  <si>
    <t>794886744</t>
  </si>
  <si>
    <t>PQ4710 C667 2010</t>
  </si>
  <si>
    <t>0                      PQ 4710000C  667         2010</t>
  </si>
  <si>
    <t>Leopardi / Pietro Citati.</t>
  </si>
  <si>
    <t>Citati, Pietro.</t>
  </si>
  <si>
    <t>Milano : Mondadori, ©2010.</t>
  </si>
  <si>
    <t>685418977:ita</t>
  </si>
  <si>
    <t>669907208</t>
  </si>
  <si>
    <t>ocn669907208</t>
  </si>
  <si>
    <t>31031252022</t>
  </si>
  <si>
    <t>9788804603252</t>
  </si>
  <si>
    <t>794847195</t>
  </si>
  <si>
    <t>PQ4710 C72 2008</t>
  </si>
  <si>
    <t>0                      PQ 4710000C  72          2008</t>
  </si>
  <si>
    <t>La prospettiva antropologica nel pensiero e nella poesia di Giacomo Leopardi : atti del XII Convegno internazionale di studi leopardiani : Recanati 23-26 settembre 2008 / a cura di Chiara Gaiardoni ; prefazione di Fabio Corvatta.</t>
  </si>
  <si>
    <t>Convegno internazionale di studi leopardiani (12th : 2008 : Recanati, Italy)</t>
  </si>
  <si>
    <t>898595104:ita</t>
  </si>
  <si>
    <t>649312447</t>
  </si>
  <si>
    <t>ocn649312447</t>
  </si>
  <si>
    <t>3103125132$</t>
  </si>
  <si>
    <t>9788822260048</t>
  </si>
  <si>
    <t>794831672</t>
  </si>
  <si>
    <t>PQ4710 C738 2014</t>
  </si>
  <si>
    <t>0                      PQ 4710000C  738         2014</t>
  </si>
  <si>
    <t>"La notte consumata indarno" : Leopardi e i traduttori dell'Eneide / Giulia Corsalini.</t>
  </si>
  <si>
    <t>Corsalini, Giulia, author.</t>
  </si>
  <si>
    <t>Macerata : Eum, dicembre 2014.</t>
  </si>
  <si>
    <t>Eum x letteratura</t>
  </si>
  <si>
    <t>2281756689:ita</t>
  </si>
  <si>
    <t>902639002</t>
  </si>
  <si>
    <t>ocn902639002</t>
  </si>
  <si>
    <t>3103621759V</t>
  </si>
  <si>
    <t>9788860564054</t>
  </si>
  <si>
    <t>794988311</t>
  </si>
  <si>
    <t>PQ4710 D385 2012</t>
  </si>
  <si>
    <t>0                      PQ 4710000D  385         2012</t>
  </si>
  <si>
    <t>Quel punto acerbo : temporalità e conoscenza metaforica in Leopardi / Antonella Del Gatto.</t>
  </si>
  <si>
    <t>Del Gatto, Antonella.</t>
  </si>
  <si>
    <t>Biblioteca dell'Archivum Romanicum. Serie I, Storia, letteratura, paleografia, 0066-6807 ; 409</t>
  </si>
  <si>
    <t>1209547413:ita</t>
  </si>
  <si>
    <t>828410003</t>
  </si>
  <si>
    <t>ocn828410003</t>
  </si>
  <si>
    <t>3103126138W</t>
  </si>
  <si>
    <t>9788822262103</t>
  </si>
  <si>
    <t>794941099</t>
  </si>
  <si>
    <t>PQ4710 D473 1996</t>
  </si>
  <si>
    <t>0                      PQ 4710000D  473         1996</t>
  </si>
  <si>
    <t>Leopardi, poeta e pensatore = Leopardi, Dichter und Denker ; [atti del terzo Convegno internazionale della Deutsche Leopardi-Gesellschaft, in collaborazione con l'Istituto universitario orientale, Napoli, 20-24 marzo 1996] / a cura di Sebastian Neumeister, Raffaele Sirri.</t>
  </si>
  <si>
    <t>Deutsche Leopardi-Gesellschaft. Jahrestagung (3rd : 1996 : Naples, Italy)</t>
  </si>
  <si>
    <t>Napoli : A. Guida, ©1997.</t>
  </si>
  <si>
    <t>4021179101:ita</t>
  </si>
  <si>
    <t>42428751</t>
  </si>
  <si>
    <t>ocm42428751</t>
  </si>
  <si>
    <t>31019079914</t>
  </si>
  <si>
    <t>9788871881584</t>
  </si>
  <si>
    <t>793607361</t>
  </si>
  <si>
    <t>PQ4710 D556 2012</t>
  </si>
  <si>
    <t>0                      PQ 4710000D  556         2012</t>
  </si>
  <si>
    <t>ES e Superego in Giacomo Leopardi / Noemi Di Gioia, Giuseppe Tarditi.</t>
  </si>
  <si>
    <t>Di Gioia, Noemi, author.</t>
  </si>
  <si>
    <t>Roma : Aracne editrice, 2012.</t>
  </si>
  <si>
    <t>Saggistica Aracne ; 237</t>
  </si>
  <si>
    <t>1107198892:ita</t>
  </si>
  <si>
    <t>793216630</t>
  </si>
  <si>
    <t>ocn793216630</t>
  </si>
  <si>
    <t>3103125829H</t>
  </si>
  <si>
    <t>9788854846005</t>
  </si>
  <si>
    <t>794917756</t>
  </si>
  <si>
    <t>PQ4710 D573 2010</t>
  </si>
  <si>
    <t>0                      PQ 4710000D  573         2010</t>
  </si>
  <si>
    <t>Onomastica leopardiana : studio sui nomi propri nei Canti, nelle Operette morali e nei Paralipomeni.</t>
  </si>
  <si>
    <t>Di Ruzza, Floriana.</t>
  </si>
  <si>
    <t>Roma : Nuova cultura, 2010.</t>
  </si>
  <si>
    <t>909564624:ita</t>
  </si>
  <si>
    <t>730876122</t>
  </si>
  <si>
    <t>ocn730876122</t>
  </si>
  <si>
    <t>3103125583E</t>
  </si>
  <si>
    <t>794880306</t>
  </si>
  <si>
    <t>PQ4710 F36 1985</t>
  </si>
  <si>
    <t>0                      PQ 4710000F  36          1985</t>
  </si>
  <si>
    <t>L'entusiasmo della ragione : il romantico e l'antico nell'esperienza leopardiana / Pino Fasano.</t>
  </si>
  <si>
    <t>Fasano, Pino.</t>
  </si>
  <si>
    <t>Roma : Bulzoni, ©1985.</t>
  </si>
  <si>
    <t>Strumenti di ricerca ; 43</t>
  </si>
  <si>
    <t>2018-06-07</t>
  </si>
  <si>
    <t>365522562:ita</t>
  </si>
  <si>
    <t>13308863</t>
  </si>
  <si>
    <t>ocm13308863</t>
  </si>
  <si>
    <t>3000382934G</t>
  </si>
  <si>
    <t>792847839</t>
  </si>
  <si>
    <t>PQ4710 F368 2011</t>
  </si>
  <si>
    <t>0                      PQ 4710000F  368         2011</t>
  </si>
  <si>
    <t>L'altro Leopardi : il più grande poeta filosofo dell'era moderna e contemporanea / Lino Farina.</t>
  </si>
  <si>
    <t>Farina, Lino.</t>
  </si>
  <si>
    <t>Siena : Protagon, ©2011.</t>
  </si>
  <si>
    <t>1062025312:ita</t>
  </si>
  <si>
    <t>768397147</t>
  </si>
  <si>
    <t>ocn768397147</t>
  </si>
  <si>
    <t>3103125615P</t>
  </si>
  <si>
    <t>9788880243199</t>
  </si>
  <si>
    <t>794902284</t>
  </si>
  <si>
    <t>PQ4710 G353 2011</t>
  </si>
  <si>
    <t>0                      PQ 4710000G  353         2011</t>
  </si>
  <si>
    <t>Con atti e con parole : saggi sul pensiero linguistico di Leopardi / Costanza Geddes da Filicaia.</t>
  </si>
  <si>
    <t>Geddes da Filicaia, Costanza, 1976-</t>
  </si>
  <si>
    <t>Soveria Mannelli : Rubbettino, 2011.</t>
  </si>
  <si>
    <t>Università</t>
  </si>
  <si>
    <t>982015486:ita</t>
  </si>
  <si>
    <t>745969651</t>
  </si>
  <si>
    <t>ocn745969651</t>
  </si>
  <si>
    <t>3103125485H</t>
  </si>
  <si>
    <t>9788849831139</t>
  </si>
  <si>
    <t>794886740</t>
  </si>
  <si>
    <t>PQ4710 G4848 2011</t>
  </si>
  <si>
    <t>0                      PQ 4710000G  4848        2011</t>
  </si>
  <si>
    <t>Leopardi nel 1828 : saggi sui Canti / Antonio Girardi.</t>
  </si>
  <si>
    <t>Girardi, Antonio, 1950-</t>
  </si>
  <si>
    <t>Testi e studi leopardiani / Centro nazionale di studi leopardiani ; 17</t>
  </si>
  <si>
    <t>1081148114:ita</t>
  </si>
  <si>
    <t>777474792</t>
  </si>
  <si>
    <t>ocn777474792</t>
  </si>
  <si>
    <t>3103125664F</t>
  </si>
  <si>
    <t>9788831709163</t>
  </si>
  <si>
    <t>794908830</t>
  </si>
  <si>
    <t>PQ4710 G864 2011</t>
  </si>
  <si>
    <t>0                      PQ 4710000G  864         2011</t>
  </si>
  <si>
    <t>Una scienza del possibile : studi su Leopardi e la modernità / Guido Guglielmi ; a cura di Niva Lorenzini.</t>
  </si>
  <si>
    <t>Guglielmi, Guido, 1930-2002.</t>
  </si>
  <si>
    <t>San Cesario di Lecce (Lecce) : Manni, ©2011.</t>
  </si>
  <si>
    <t>Antifone ; 22</t>
  </si>
  <si>
    <t>1032926206:ita</t>
  </si>
  <si>
    <t>758436392</t>
  </si>
  <si>
    <t>ocn758436392</t>
  </si>
  <si>
    <t>3103125569I</t>
  </si>
  <si>
    <t>9788862663670</t>
  </si>
  <si>
    <t>794896363</t>
  </si>
  <si>
    <t>PQ4710 L21975 2010</t>
  </si>
  <si>
    <t>0                      PQ 4710000L  21975       2010</t>
  </si>
  <si>
    <t>Leopardi e il '500 / a cura di Paola Italia ; prefazione di Stefano Carrai.</t>
  </si>
  <si>
    <t>Ospedaletto (Pisa) : Pacini, ©2010.</t>
  </si>
  <si>
    <t>908588915:ita</t>
  </si>
  <si>
    <t>707959780</t>
  </si>
  <si>
    <t>ocn707959780</t>
  </si>
  <si>
    <t>3103125334U</t>
  </si>
  <si>
    <t>9788863152135</t>
  </si>
  <si>
    <t>794868309</t>
  </si>
  <si>
    <t>PQ4710 L225 1999</t>
  </si>
  <si>
    <t>0                      PQ 4710000L  225         1999</t>
  </si>
  <si>
    <t>Leopardi e l'età romantica / a cura di Mario Andrea Rigoni.</t>
  </si>
  <si>
    <t>Venezia : Marsilio, ©1999.</t>
  </si>
  <si>
    <t>140913653:ita</t>
  </si>
  <si>
    <t>43082867</t>
  </si>
  <si>
    <t>ocm43082867</t>
  </si>
  <si>
    <t>3102044217G</t>
  </si>
  <si>
    <t>9788831773034</t>
  </si>
  <si>
    <t>793619885</t>
  </si>
  <si>
    <t>PQ4710 L257 2000</t>
  </si>
  <si>
    <t>0                      PQ 4710000L  257         2000</t>
  </si>
  <si>
    <t>Leopardi e lo spettacolo della natura : atti del Convegno internazionale, Napoli 17- 19 dicembre 1998 / a cura di Vincenzo Placella.</t>
  </si>
  <si>
    <t>Napoli : L'Orientale, 2000.</t>
  </si>
  <si>
    <t>111461139:ita</t>
  </si>
  <si>
    <t>46481944</t>
  </si>
  <si>
    <t>ocm46481944</t>
  </si>
  <si>
    <t>3102133213S</t>
  </si>
  <si>
    <t>793685911</t>
  </si>
  <si>
    <t>PQ4710 L2588 2012</t>
  </si>
  <si>
    <t>0                      PQ 4710000L  2588        2012</t>
  </si>
  <si>
    <t>Leopardi, gli italiani, l'Italia / a cura di Edmondo Montali.</t>
  </si>
  <si>
    <t>Convegno "Leopardi, l'Italia, gli italiani" (2011)</t>
  </si>
  <si>
    <t>Roma : Ediesse, [2012]</t>
  </si>
  <si>
    <t>Storia e memoria</t>
  </si>
  <si>
    <t>1106211543:ita</t>
  </si>
  <si>
    <t>792795484</t>
  </si>
  <si>
    <t>ocn792795484</t>
  </si>
  <si>
    <t>3103125854B</t>
  </si>
  <si>
    <t>9788823016842</t>
  </si>
  <si>
    <t>794917070</t>
  </si>
  <si>
    <t>PQ4710 L2588 2015</t>
  </si>
  <si>
    <t>0                      PQ 4710000L  2588        2015</t>
  </si>
  <si>
    <t>Leopardi : immaginazione e realtà / a cura di Alessandra Mirra ; introduzione di Fabio Finotti.</t>
  </si>
  <si>
    <t>Venezia : Marsilio, giugno 2015.</t>
  </si>
  <si>
    <t>Italicità ; 2</t>
  </si>
  <si>
    <t>2569659141:ita</t>
  </si>
  <si>
    <t>913745306</t>
  </si>
  <si>
    <t>ocn913745306</t>
  </si>
  <si>
    <t>3103629929T</t>
  </si>
  <si>
    <t>9788831719742</t>
  </si>
  <si>
    <t>794999566</t>
  </si>
  <si>
    <t>PQ4710 L268 2013</t>
  </si>
  <si>
    <t>0                      PQ 4710000L  268         2013</t>
  </si>
  <si>
    <t>Lettura dei Canti di Giacomo Leopardi : due giornate di studi in onore di Alessandro Martini / a c. di Christian Genetelli ; con la coll. di Edoardo Fumagalli e Guido Pedrojetta.</t>
  </si>
  <si>
    <t>Novara : Interlinea, 2013.</t>
  </si>
  <si>
    <t>Studi ; 71</t>
  </si>
  <si>
    <t>1210438692:ita</t>
  </si>
  <si>
    <t>828700687</t>
  </si>
  <si>
    <t>ocn828700687</t>
  </si>
  <si>
    <t>3103126166Q</t>
  </si>
  <si>
    <t>9788882128661</t>
  </si>
  <si>
    <t>794941570</t>
  </si>
  <si>
    <t>PQ4710 L38 2015</t>
  </si>
  <si>
    <t>0                      PQ 4710000L  38          2015</t>
  </si>
  <si>
    <t>Leopardi filosofo maledetto / Pierpaolo Lauria ; prefazione di Alberto Folin.</t>
  </si>
  <si>
    <t>Lauria, Pierpaolo, 1976- author.</t>
  </si>
  <si>
    <t>Milano : Mimesis, [2015]</t>
  </si>
  <si>
    <t>Mimesis/Filosofie ; N. 404</t>
  </si>
  <si>
    <t>2995297843:ita</t>
  </si>
  <si>
    <t>936372044</t>
  </si>
  <si>
    <t>ocn936372044</t>
  </si>
  <si>
    <t>3103708102H</t>
  </si>
  <si>
    <t>9788857531885</t>
  </si>
  <si>
    <t>795010743</t>
  </si>
  <si>
    <t>PQ4710 L56 2012</t>
  </si>
  <si>
    <t>0                      PQ 4710000L  56          2012</t>
  </si>
  <si>
    <t>Leopardi e il senso dell'animo / Giovanni Lo Conti ; con la collaborazione di Franco Moliterno.</t>
  </si>
  <si>
    <t>Lo Conti, Giovanni.</t>
  </si>
  <si>
    <t>Roma : Palombi, ©2012.</t>
  </si>
  <si>
    <t>1108630145:ita</t>
  </si>
  <si>
    <t>793723458</t>
  </si>
  <si>
    <t>ocn793723458</t>
  </si>
  <si>
    <t>3103125771A</t>
  </si>
  <si>
    <t>9788860604248</t>
  </si>
  <si>
    <t>794918629</t>
  </si>
  <si>
    <t>PQ4710 L59 2017</t>
  </si>
  <si>
    <t>0                      PQ 4710000L  59          2017</t>
  </si>
  <si>
    <t>L'Achille dei "Canti" : Leopardi, "L'infinito," il poema del ritorno a casa / Gilberto Lonardi.</t>
  </si>
  <si>
    <t>Lonardi, Gilberto, author.</t>
  </si>
  <si>
    <t>[Florence] : Le lettere, [2017]</t>
  </si>
  <si>
    <t>4569287032:ita</t>
  </si>
  <si>
    <t>1009072165</t>
  </si>
  <si>
    <t>on1009072165</t>
  </si>
  <si>
    <t>31037181209</t>
  </si>
  <si>
    <t>9788860879653</t>
  </si>
  <si>
    <t>795045068</t>
  </si>
  <si>
    <t>PQ4710 L77 2012</t>
  </si>
  <si>
    <t>0                      PQ 4710000L  77          2012</t>
  </si>
  <si>
    <t>Il poeta e la sua mensa : memorie e sapori nella vita e nell'opera di Giacomo Leopardi : con una selezione di ricette dell'epoca / Tommaso Lucchetti.</t>
  </si>
  <si>
    <t>Lucchetti, Tommaso.</t>
  </si>
  <si>
    <t>Ancona, Italia : Il lavoro editoriale, [2012]</t>
  </si>
  <si>
    <t>1217664578:ita</t>
  </si>
  <si>
    <t>834494466</t>
  </si>
  <si>
    <t>ocn834494466</t>
  </si>
  <si>
    <t>3103126153S</t>
  </si>
  <si>
    <t>9788876636998</t>
  </si>
  <si>
    <t>794944361</t>
  </si>
  <si>
    <t>PQ4710 M194 2012</t>
  </si>
  <si>
    <t>0                      PQ 4710000M  194         2012</t>
  </si>
  <si>
    <t>L'epistolario di Giacomo Leopardi : lingua e stile / Fabio Magro.</t>
  </si>
  <si>
    <t>Magro, Fabio.</t>
  </si>
  <si>
    <t>Pisa ; Rome : Fabrizio Serra, 2012.</t>
  </si>
  <si>
    <t>Italiana per la storia della lingua scritta in Italia ; 7</t>
  </si>
  <si>
    <t>1100398452:ita</t>
  </si>
  <si>
    <t>785335927</t>
  </si>
  <si>
    <t>ocn785335927</t>
  </si>
  <si>
    <t>3103125756E</t>
  </si>
  <si>
    <t>9788862274807</t>
  </si>
  <si>
    <t>794914800</t>
  </si>
  <si>
    <t>PQ4710 M2148 2012</t>
  </si>
  <si>
    <t>0                      PQ 4710000M  2148        2012</t>
  </si>
  <si>
    <t>La cognizione degli effetti : studi sul lessico estetico di Leopardi / Marco Manotta.</t>
  </si>
  <si>
    <t>Manotta, Marco.</t>
  </si>
  <si>
    <t>La modernità letteraria ; 37</t>
  </si>
  <si>
    <t>1203412177:ita</t>
  </si>
  <si>
    <t>824727891</t>
  </si>
  <si>
    <t>ocn824727891</t>
  </si>
  <si>
    <t>3103126063T</t>
  </si>
  <si>
    <t>9788846734334</t>
  </si>
  <si>
    <t>794938220</t>
  </si>
  <si>
    <t>PQ4710 M2193 2012</t>
  </si>
  <si>
    <t>0                      PQ 4710000M  2193        2012</t>
  </si>
  <si>
    <t>Un giallo a Napoli : la seconda morte di Giacomo Leopardi : saggi / Loretta Marcon.</t>
  </si>
  <si>
    <t>Marcon, Loretta, 1950-</t>
  </si>
  <si>
    <t>Napoli : A. Guida, 2012.</t>
  </si>
  <si>
    <t>Strumenti e ricerche</t>
  </si>
  <si>
    <t>5092051618:ita</t>
  </si>
  <si>
    <t>798609770</t>
  </si>
  <si>
    <t>ocn798609770</t>
  </si>
  <si>
    <t>3103125948A</t>
  </si>
  <si>
    <t>9788866661429</t>
  </si>
  <si>
    <t>794923796</t>
  </si>
  <si>
    <t>PQ4710 M2195 2011</t>
  </si>
  <si>
    <t>0                      PQ 4710000M  2195        2011</t>
  </si>
  <si>
    <t>Kant e Leopardi : saggi / Loretta Marcon.</t>
  </si>
  <si>
    <t>Napoli : Guida, ©2011.</t>
  </si>
  <si>
    <t>Strumenti e ricerche ; 65</t>
  </si>
  <si>
    <t>836163798:ita</t>
  </si>
  <si>
    <t>707959879</t>
  </si>
  <si>
    <t>ocn707959879</t>
  </si>
  <si>
    <t>3103125316Y</t>
  </si>
  <si>
    <t>9788860427908</t>
  </si>
  <si>
    <t>794868312</t>
  </si>
  <si>
    <t>PQ4710 M267 2011</t>
  </si>
  <si>
    <t>0                      PQ 4710000M  267         2011</t>
  </si>
  <si>
    <t>Leopardi politico e il Risorgimento / Luigi Mastrangelo.</t>
  </si>
  <si>
    <t>Mastrangelo, Luigi.</t>
  </si>
  <si>
    <t>Napoli : Luciano, ©2010.</t>
  </si>
  <si>
    <t>Eccedenza del passato ; 17</t>
  </si>
  <si>
    <t>836163810:ita</t>
  </si>
  <si>
    <t>707959891</t>
  </si>
  <si>
    <t>ocn707959891</t>
  </si>
  <si>
    <t>3103125346S</t>
  </si>
  <si>
    <t>9788860261175</t>
  </si>
  <si>
    <t>794868313</t>
  </si>
  <si>
    <t>PQ4710 M35 2016</t>
  </si>
  <si>
    <t>0                      PQ 4710000M  35          2016</t>
  </si>
  <si>
    <t>Monaldo e Giacomo Leopardi nelle terre estensi : conferenze tenute a Modena dal 25 novembre 2016 al 26 febbraio 2017 / a cura di Diletta Biagini.</t>
  </si>
  <si>
    <t>Modena : Edizioni Terra e Identità, [2016]</t>
  </si>
  <si>
    <t>Quaderni del Ducato ; 10</t>
  </si>
  <si>
    <t>4154451838:ita</t>
  </si>
  <si>
    <t>981635849</t>
  </si>
  <si>
    <t>ocn981635849</t>
  </si>
  <si>
    <t>3103716176T</t>
  </si>
  <si>
    <t>795034003</t>
  </si>
  <si>
    <t>PQ4710 M368 2012</t>
  </si>
  <si>
    <t>0                      PQ 4710000M  368         2012</t>
  </si>
  <si>
    <t>Leopardi antiromantico e altri saggi sui Canti / Pier Vincenzo Mengaldo.</t>
  </si>
  <si>
    <t>Saggi ; 771</t>
  </si>
  <si>
    <t>1098194732:ita</t>
  </si>
  <si>
    <t>783120435</t>
  </si>
  <si>
    <t>ocn783120435</t>
  </si>
  <si>
    <t>31031257868</t>
  </si>
  <si>
    <t>9788815238238</t>
  </si>
  <si>
    <t>794913811</t>
  </si>
  <si>
    <t>PQ4710 M52 2012</t>
  </si>
  <si>
    <t>0                      PQ 4710000M  52          2012</t>
  </si>
  <si>
    <t>Leopardi teorico del tragico : dagli abbozzi teatrali alla poesia lirica / Alessandra Mirra.</t>
  </si>
  <si>
    <t>Mirra, Alessandra.</t>
  </si>
  <si>
    <t>Macerata : EUM, 2012.</t>
  </si>
  <si>
    <t>EUM x. Letteratura italiana</t>
  </si>
  <si>
    <t>1183335842:ita</t>
  </si>
  <si>
    <t>819378088</t>
  </si>
  <si>
    <t>ocn819378088</t>
  </si>
  <si>
    <t>3103126042X</t>
  </si>
  <si>
    <t>9788860563354</t>
  </si>
  <si>
    <t>794934471</t>
  </si>
  <si>
    <t>PQ4710 M66 2017</t>
  </si>
  <si>
    <t>0                      PQ 4710000M  66          2017</t>
  </si>
  <si>
    <t>Coll'arditezza della frase : ordine artificiale e sublime nei "Canti" di Leopardi / Simone Moro.</t>
  </si>
  <si>
    <t>Moro, Simone, 1988- author.</t>
  </si>
  <si>
    <t>"Quaderni" della Sezione di italiano dell'Università di Losanna ; 12</t>
  </si>
  <si>
    <t>4422092769:ita</t>
  </si>
  <si>
    <t>993955000</t>
  </si>
  <si>
    <t>ocn993955000</t>
  </si>
  <si>
    <t>3103720968K</t>
  </si>
  <si>
    <t>9788846747709</t>
  </si>
  <si>
    <t>795038857</t>
  </si>
  <si>
    <t>PQ4710 O716 1953</t>
  </si>
  <si>
    <t>0                      PQ 4710000O  716         1953</t>
  </si>
  <si>
    <t>Leopardi.</t>
  </si>
  <si>
    <t>Origo, Iris, 1902-1988.</t>
  </si>
  <si>
    <t>London : [publisher not identified], [1953]</t>
  </si>
  <si>
    <t>4925171193:ita</t>
  </si>
  <si>
    <t>61585992</t>
  </si>
  <si>
    <t>ocm61585992</t>
  </si>
  <si>
    <t>30005521743</t>
  </si>
  <si>
    <t>794023800</t>
  </si>
  <si>
    <t>PQ4710 P353 2013</t>
  </si>
  <si>
    <t>0                      PQ 4710000P  353         2013</t>
  </si>
  <si>
    <t>Per Leopardi : documenti, proposte, disattribuzioni / Pantaleo Palmieri ; presentazione di Emilio Pasquini.</t>
  </si>
  <si>
    <t>Palmieri, Pantaleo, author.</t>
  </si>
  <si>
    <t>Ravenna : Longo, [2013]</t>
  </si>
  <si>
    <t>L'interprete ; 103</t>
  </si>
  <si>
    <t>1360359789:ita</t>
  </si>
  <si>
    <t>848752176</t>
  </si>
  <si>
    <t>ocn848752176</t>
  </si>
  <si>
    <t>3103126255P</t>
  </si>
  <si>
    <t>9788880637592</t>
  </si>
  <si>
    <t>794949972</t>
  </si>
  <si>
    <t>PQ4710 P44 2011</t>
  </si>
  <si>
    <t>0                      PQ 4710000P  44          2011</t>
  </si>
  <si>
    <t>Per un lessico leopardiano / a cura di Novella Bellucci e Franco D'Intino.</t>
  </si>
  <si>
    <t>Roma : Palombi, ©2011.</t>
  </si>
  <si>
    <t>1083654617:ita</t>
  </si>
  <si>
    <t>779253263</t>
  </si>
  <si>
    <t>ocn779253263</t>
  </si>
  <si>
    <t>31031256989</t>
  </si>
  <si>
    <t>9788860603968</t>
  </si>
  <si>
    <t>794910671</t>
  </si>
  <si>
    <t>PQ4710 P5885 2011</t>
  </si>
  <si>
    <t>0                      PQ 4710000P  5885        2011</t>
  </si>
  <si>
    <t>Giacomo Leopardi : la concezione dell'umano, tra utopia e disincanto / Gaspare Polizzi.</t>
  </si>
  <si>
    <t>Polizzi, Gaspare, 1955-</t>
  </si>
  <si>
    <t>Milano : Mimesis, ©2011.</t>
  </si>
  <si>
    <t>Filosofie ; n. 120</t>
  </si>
  <si>
    <t>919332559:ita</t>
  </si>
  <si>
    <t>738358262</t>
  </si>
  <si>
    <t>ocn738358262</t>
  </si>
  <si>
    <t>3103125497F</t>
  </si>
  <si>
    <t>9788857505688</t>
  </si>
  <si>
    <t>794882582</t>
  </si>
  <si>
    <t>PQ4710 P65 2015</t>
  </si>
  <si>
    <t>0                      PQ 4710000P  65          2015</t>
  </si>
  <si>
    <t>Io sono quella che tu fuggi : Leopardi e la natura / Gaspare Polizzi.</t>
  </si>
  <si>
    <t>Polizzi, Gaspare, 1955- author.</t>
  </si>
  <si>
    <t>Roma : Edizioni di storia e letteratura, luglio 2015.</t>
  </si>
  <si>
    <t>Argomenti ; 2</t>
  </si>
  <si>
    <t>2846170131:ita</t>
  </si>
  <si>
    <t>920379582</t>
  </si>
  <si>
    <t>ocn920379582</t>
  </si>
  <si>
    <t>31036247133</t>
  </si>
  <si>
    <t>9788863727883</t>
  </si>
  <si>
    <t>795002213</t>
  </si>
  <si>
    <t>PQ4710 P73 1998</t>
  </si>
  <si>
    <t>0                      PQ 4710000P  73          1998</t>
  </si>
  <si>
    <t>Finitudine e infinito : su Leopardi / Antonio Prete.</t>
  </si>
  <si>
    <t>Prete, Antonio.</t>
  </si>
  <si>
    <t>Milano : Feltrinelli, 1998.</t>
  </si>
  <si>
    <t>1. ed. in "Campi del sapere."</t>
  </si>
  <si>
    <t>Campi del sapere</t>
  </si>
  <si>
    <t>347096358:ita</t>
  </si>
  <si>
    <t>39023662</t>
  </si>
  <si>
    <t>ocm39023662</t>
  </si>
  <si>
    <t>3101947074G</t>
  </si>
  <si>
    <t>9788807102394</t>
  </si>
  <si>
    <t>793536016</t>
  </si>
  <si>
    <t>PQ4710 P74 2012</t>
  </si>
  <si>
    <t>0                      PQ 4710000P  74          2012</t>
  </si>
  <si>
    <t>Al chiaror delle nevi : poeti-traduttori francesi di Giacomo Leopardi a confronto / Novella Primo.</t>
  </si>
  <si>
    <t>Primo, Novella.</t>
  </si>
  <si>
    <t>Lecce : Milella, ©2012.</t>
  </si>
  <si>
    <t>La scrittura possibile ; 28</t>
  </si>
  <si>
    <t>1744787050:ita</t>
  </si>
  <si>
    <t>844695387</t>
  </si>
  <si>
    <t>ocn844695387</t>
  </si>
  <si>
    <t>3103126243R</t>
  </si>
  <si>
    <t>9788870485318</t>
  </si>
  <si>
    <t>794948648</t>
  </si>
  <si>
    <t>PQ4710 P83 2015</t>
  </si>
  <si>
    <t>0                      PQ 4710000P  83          2015</t>
  </si>
  <si>
    <t>Vita di Leopardi giorno per giorno / Antonio. Pucciarelli.</t>
  </si>
  <si>
    <t>Pucciarelli, Antonio, author.</t>
  </si>
  <si>
    <t>Napoli : Guida editori, [2015]</t>
  </si>
  <si>
    <t>2799129835:ita</t>
  </si>
  <si>
    <t>929450843</t>
  </si>
  <si>
    <t>ocn929450843</t>
  </si>
  <si>
    <t>3103660902X</t>
  </si>
  <si>
    <t>9788868660895</t>
  </si>
  <si>
    <t>795006546</t>
  </si>
  <si>
    <t>PQ4710 R6 1973</t>
  </si>
  <si>
    <t>0                      PQ 4710000R  6           1973</t>
  </si>
  <si>
    <t>Saggio sul Leopardi.</t>
  </si>
  <si>
    <t>De Robertis, Giuseppe, 1888-1963.</t>
  </si>
  <si>
    <t>Firenze, Vallecchi, 1973.</t>
  </si>
  <si>
    <t>Letteratura Vallecchi</t>
  </si>
  <si>
    <t>2017-09-08</t>
  </si>
  <si>
    <t>2243371:ita</t>
  </si>
  <si>
    <t>1347089</t>
  </si>
  <si>
    <t>ocm01347089</t>
  </si>
  <si>
    <t>3000628416N</t>
  </si>
  <si>
    <t>791605976</t>
  </si>
  <si>
    <t>PQ4710 R63 2011</t>
  </si>
  <si>
    <t>0                      PQ 4710000R  63          2011</t>
  </si>
  <si>
    <t>L'Italia agli italiani : versi inediti veri o presunti di Giacomo Leopardi / Lorenza Rocco Carbone.</t>
  </si>
  <si>
    <t>Rocco Carbone, Lorenza.</t>
  </si>
  <si>
    <t>Napoli : Edizioni scientifiche italiane, ©2011.</t>
  </si>
  <si>
    <t>916976346:ita</t>
  </si>
  <si>
    <t>732279991</t>
  </si>
  <si>
    <t>ocn732279991</t>
  </si>
  <si>
    <t>3103125436R</t>
  </si>
  <si>
    <t>9788849521603</t>
  </si>
  <si>
    <t>794881217</t>
  </si>
  <si>
    <t>PQ4710 R67 2012</t>
  </si>
  <si>
    <t>0                      PQ 4710000R  67          2012</t>
  </si>
  <si>
    <t>Giacomo Leopardi's search for a common life through poetry : a different nobility, a different love / Frank Rosengarten.</t>
  </si>
  <si>
    <t>Rosengarten, Frank, 1927-</t>
  </si>
  <si>
    <t>Madison [NJ] : Fairleigh Dickinson University Press, ©2012.</t>
  </si>
  <si>
    <t>1083515653:eng</t>
  </si>
  <si>
    <t>759916341</t>
  </si>
  <si>
    <t>ocn759916341</t>
  </si>
  <si>
    <t>3103421654F</t>
  </si>
  <si>
    <t>9781611475050</t>
  </si>
  <si>
    <t>794898039</t>
  </si>
  <si>
    <t>PQ4710 S325 2011</t>
  </si>
  <si>
    <t>0                      PQ 4710000S  325         2011</t>
  </si>
  <si>
    <t>Sul materialismo leopardiano : tra pensiero poetante e poetare pensante / Giulia Santi ; in appendice Leopardi negli Stati Uniti ; prefazione di Fabio Minazzi.</t>
  </si>
  <si>
    <t>Santi, Giulia, 1983-</t>
  </si>
  <si>
    <t>Studi / Centro internazionale Insubrico ; 4</t>
  </si>
  <si>
    <t>1058803071:ita</t>
  </si>
  <si>
    <t>767578041</t>
  </si>
  <si>
    <t>ocn767578041</t>
  </si>
  <si>
    <t>3103125640J</t>
  </si>
  <si>
    <t>9788857502885</t>
  </si>
  <si>
    <t>794901227</t>
  </si>
  <si>
    <t>PQ4710 S355 2012</t>
  </si>
  <si>
    <t>0                      PQ 4710000S  355         2012</t>
  </si>
  <si>
    <t>Doppio inganno : immaginazione e intelletto in Giacomo Leopardi / Lorenzo Sarno.</t>
  </si>
  <si>
    <t>Sarno, Lorenzo.</t>
  </si>
  <si>
    <t>Bologna : Pendragon Fortepiano, [2012]</t>
  </si>
  <si>
    <t>1184786276:ita</t>
  </si>
  <si>
    <t>820121412</t>
  </si>
  <si>
    <t>ocn820121412</t>
  </si>
  <si>
    <t>3103126037Z</t>
  </si>
  <si>
    <t>9788865540398</t>
  </si>
  <si>
    <t>794935085</t>
  </si>
  <si>
    <t>PQ4710 S3746 2015</t>
  </si>
  <si>
    <t>0                      PQ 4710000S  3746        2015</t>
  </si>
  <si>
    <t>Felicità antica e infelicità moderna : l'epicureismo e Leopardi / Georgia Schiavon.</t>
  </si>
  <si>
    <t>Schiavon, Georgia, author.</t>
  </si>
  <si>
    <t>Milano : Alboversorio, [2015]</t>
  </si>
  <si>
    <t>Studi ; 25</t>
  </si>
  <si>
    <t>2301358389:ita</t>
  </si>
  <si>
    <t>903942290</t>
  </si>
  <si>
    <t>ocn903942290</t>
  </si>
  <si>
    <t>3103621371K</t>
  </si>
  <si>
    <t>9788897553946</t>
  </si>
  <si>
    <t>794989841</t>
  </si>
  <si>
    <t>PQ4710 S395 2015</t>
  </si>
  <si>
    <t>0                      PQ 4710000S  395         2015</t>
  </si>
  <si>
    <t>Il senso del tempo in Giacomo Leopardi / a cura di Paola Polito e Erling Strudsholm.</t>
  </si>
  <si>
    <t>Studi e testi di cultura letteraria ; 10</t>
  </si>
  <si>
    <t>2598633849:ita</t>
  </si>
  <si>
    <t>918819397</t>
  </si>
  <si>
    <t>ocn918819397</t>
  </si>
  <si>
    <t>3103630334P</t>
  </si>
  <si>
    <t>9788896117545</t>
  </si>
  <si>
    <t>795001166</t>
  </si>
  <si>
    <t>PQ4710 S435 2015</t>
  </si>
  <si>
    <t>0                      PQ 4710000S  435         2015</t>
  </si>
  <si>
    <t>In viaggio con Leopardi : la partita sul destino dell'uomo / Emanuele Severino.</t>
  </si>
  <si>
    <t>Severino, Emanuele, author.</t>
  </si>
  <si>
    <t>Milan : Rizzoli, maggio 2015.</t>
  </si>
  <si>
    <t>2575177274:ita</t>
  </si>
  <si>
    <t>910913434</t>
  </si>
  <si>
    <t>ocn910913434</t>
  </si>
  <si>
    <t>3103628524N</t>
  </si>
  <si>
    <t>9788817081931</t>
  </si>
  <si>
    <t>794996671</t>
  </si>
  <si>
    <t>PQ4710 S47 2011</t>
  </si>
  <si>
    <t>0                      PQ 4710000S  47          2011</t>
  </si>
  <si>
    <t>Il silenzio della luna : l'altro Leopardi, tra scienza, filosofia e trascendenza / G. Corsinovi [and others] ; a cura di Graziella Corsinovi.</t>
  </si>
  <si>
    <t>Recco, Genova : Le mani, ©2011.</t>
  </si>
  <si>
    <t>Collana di filosofia e scienze antropologiche ; 28</t>
  </si>
  <si>
    <t>1076205411:ita</t>
  </si>
  <si>
    <t>774488053</t>
  </si>
  <si>
    <t>ocn774488053</t>
  </si>
  <si>
    <t>3103125667F</t>
  </si>
  <si>
    <t>9788880125853</t>
  </si>
  <si>
    <t>794906432</t>
  </si>
  <si>
    <t>PQ4710 S53 1998</t>
  </si>
  <si>
    <t>0                      PQ 4710000S  53          1998</t>
  </si>
  <si>
    <t>Leopardi filosofo anti-filosofo / Ghan Singh.</t>
  </si>
  <si>
    <t>Singh, G.</t>
  </si>
  <si>
    <t>Pisa : Istituti editoriali e poligrafici internazionali, ©1997.</t>
  </si>
  <si>
    <t>Letteratura e dintorni ; 7</t>
  </si>
  <si>
    <t>2015-11-11</t>
  </si>
  <si>
    <t>26176941:ita</t>
  </si>
  <si>
    <t>40144256</t>
  </si>
  <si>
    <t>ocm40144256</t>
  </si>
  <si>
    <t>3101984649J</t>
  </si>
  <si>
    <t>9788881470297</t>
  </si>
  <si>
    <t>793560627</t>
  </si>
  <si>
    <t>PQ4710 T27 2011</t>
  </si>
  <si>
    <t>0                      PQ 4710000T  27          2011</t>
  </si>
  <si>
    <t>Il velo e la morte : saggio su Leopardi / Tommaso Tarani.</t>
  </si>
  <si>
    <t>Tarani, Tommaso.</t>
  </si>
  <si>
    <t>Firenze : Società editrice fiorentina, ©2011.</t>
  </si>
  <si>
    <t>Quaderni Aldo Palazzeschi. Nuova serie / Centro di studi Aldo Palazzeschi, Università degli studi di Firenze, Facoltà di lettere e filosofia ; 26</t>
  </si>
  <si>
    <t>5618173908:ita</t>
  </si>
  <si>
    <t>707959231</t>
  </si>
  <si>
    <t>ocn707959231</t>
  </si>
  <si>
    <t>3103125335U</t>
  </si>
  <si>
    <t>9788860321404</t>
  </si>
  <si>
    <t>794868305</t>
  </si>
  <si>
    <t>PQ4710 T46 2015</t>
  </si>
  <si>
    <t>0                      PQ 4710000T  46          2015</t>
  </si>
  <si>
    <t>Ten steps : critical inquiries on Leopardi / Fabio A. Camilletti and Paola Cori (eds).</t>
  </si>
  <si>
    <t>Oxford ; New York : Peter Lang, 2015.</t>
  </si>
  <si>
    <t>Italian modernities ; vol. 23</t>
  </si>
  <si>
    <t>2285053626:eng</t>
  </si>
  <si>
    <t>902803266</t>
  </si>
  <si>
    <t>ocn902803266</t>
  </si>
  <si>
    <t>3103395412L</t>
  </si>
  <si>
    <t>9783034319256</t>
  </si>
  <si>
    <t>794988539</t>
  </si>
  <si>
    <t>PQ4710 U773 2015</t>
  </si>
  <si>
    <t>0                      PQ 4710000U  773         2015</t>
  </si>
  <si>
    <t>"Questa maledetta vita" : il "romanzo autobiografico" di Giacomo Leopardi / Raffaele Urraro.</t>
  </si>
  <si>
    <t>Urraro, Raffaele, author.</t>
  </si>
  <si>
    <t>Firenze : Leo S. Olschki editore, MMXV.</t>
  </si>
  <si>
    <t>Biblioteca dell'"Archivum Romanicum." Serie I: Storia, letteratura, paleografia, 0066-6807 ; 439</t>
  </si>
  <si>
    <t>2553722405:ita</t>
  </si>
  <si>
    <t>911401156</t>
  </si>
  <si>
    <t>ocn911401156</t>
  </si>
  <si>
    <t>3103624998Z</t>
  </si>
  <si>
    <t>9788822263780</t>
  </si>
  <si>
    <t>794998362</t>
  </si>
  <si>
    <t>PQ4710 V233 2010</t>
  </si>
  <si>
    <t>0                      PQ 4710000V  233         2010</t>
  </si>
  <si>
    <t>La riforma teatrale di Leopardi : la stesura integrale di Maria Antonietta, Erminia, Telesilla / Violante Valenti ; prefazione di Donatella Donati ; nota di Nino Portoghese.</t>
  </si>
  <si>
    <t>Valenti, Violante.</t>
  </si>
  <si>
    <t>Siracusa : Morrone, ©2011.</t>
  </si>
  <si>
    <t>909080438:ita</t>
  </si>
  <si>
    <t>730397699</t>
  </si>
  <si>
    <t>ocn730397699</t>
  </si>
  <si>
    <t>3103125470J</t>
  </si>
  <si>
    <t>9788895936864</t>
  </si>
  <si>
    <t>794879989</t>
  </si>
  <si>
    <t>PQ4710 V36 2012</t>
  </si>
  <si>
    <t>0                      PQ 4710000V  36          2012</t>
  </si>
  <si>
    <t>Il sistema-Leopardi : teoria e critica della modernità / Fabio Vander.</t>
  </si>
  <si>
    <t>Vander, Fabio, 1958-</t>
  </si>
  <si>
    <t>Milano : Mimesis, [2012]</t>
  </si>
  <si>
    <t>Filosofie ; 254</t>
  </si>
  <si>
    <t>1331490525:ita</t>
  </si>
  <si>
    <t>840403822</t>
  </si>
  <si>
    <t>ocn840403822</t>
  </si>
  <si>
    <t>3103126159S</t>
  </si>
  <si>
    <t>9788857514116</t>
  </si>
  <si>
    <t>794945926</t>
  </si>
  <si>
    <t>PQ4710 V47 2013</t>
  </si>
  <si>
    <t>0                      PQ 4710000V  47          2013</t>
  </si>
  <si>
    <t>The atheism of Giacomo Leopardi / Cosetta Veronese and Pamela Williams.</t>
  </si>
  <si>
    <t>Veronese, Cosetta, 1970- author.</t>
  </si>
  <si>
    <t>Leicester, UK : Troubador Publishing Ltd., [2013]</t>
  </si>
  <si>
    <t>2265485873:eng</t>
  </si>
  <si>
    <t>830353336</t>
  </si>
  <si>
    <t>ocn830353336</t>
  </si>
  <si>
    <t>3103580694C</t>
  </si>
  <si>
    <t>9781780885544</t>
  </si>
  <si>
    <t>794943319</t>
  </si>
  <si>
    <t>PQ4712 L4 A818</t>
  </si>
  <si>
    <t>0                      PQ 4712000L  4                  A  818</t>
  </si>
  <si>
    <t>Contro maestro Ciliegia : commento teologico a Le avventure di Pinocchio / Giacomo Biffi.</t>
  </si>
  <si>
    <t>Biffi, Giacomo.</t>
  </si>
  <si>
    <t>Milano : Jaca Book, 1977.</t>
  </si>
  <si>
    <t>Già e non ancora ; 27</t>
  </si>
  <si>
    <t>9593457491:ita</t>
  </si>
  <si>
    <t>4779716</t>
  </si>
  <si>
    <t>ocm04779716</t>
  </si>
  <si>
    <t>3103552862J</t>
  </si>
  <si>
    <t>792382747</t>
  </si>
  <si>
    <t>PQ4712 L4 A83</t>
  </si>
  <si>
    <t>0                      PQ 4712000L  4                  A  83</t>
  </si>
  <si>
    <t>Educazione e politica nel Pinocchio.</t>
  </si>
  <si>
    <t>Decollanz, Giuseppe.</t>
  </si>
  <si>
    <t>Bari, Scuola '70, [1972?]</t>
  </si>
  <si>
    <t>2210112303:ita</t>
  </si>
  <si>
    <t>25717030</t>
  </si>
  <si>
    <t>ocm25717030</t>
  </si>
  <si>
    <t>30006324720</t>
  </si>
  <si>
    <t>793228575</t>
  </si>
  <si>
    <t>PQ4712 L4 A857 2012</t>
  </si>
  <si>
    <t>0                      PQ 4712000L  4                  A  857         2012</t>
  </si>
  <si>
    <t>Pinocchio, puppets, and modernity : the mechanical body / edited by Katia Pizzi.</t>
  </si>
  <si>
    <t>New York : Routledge, 2012.</t>
  </si>
  <si>
    <t>Children's literature and culture</t>
  </si>
  <si>
    <t>663875234:eng</t>
  </si>
  <si>
    <t>666242830</t>
  </si>
  <si>
    <t>ocn666242830</t>
  </si>
  <si>
    <t>3103384704N</t>
  </si>
  <si>
    <t>9780415890960</t>
  </si>
  <si>
    <t>794845024</t>
  </si>
  <si>
    <t>- Redpath Basement - Chinese Japanese Korean Collection - Regular Loan</t>
  </si>
  <si>
    <t>PQ4712 L4 P5614 2014</t>
  </si>
  <si>
    <t>0                      PQ 4712000L  4                  P  5614        2014</t>
  </si>
  <si>
    <t>Mu ou qi yu ji = Pinocchio / (Yi) Kaluo Keluodi yuan zhu ; (Mei) M.A. Moli Ying yi ; Zhuang Xinglai yi.</t>
  </si>
  <si>
    <t>Collodi, Carlo, 1826-1890, author.</t>
  </si>
  <si>
    <t>Shanghai Shi : Shanghai ke xue ji shu wen xian chu ban she, 2014.</t>
  </si>
  <si>
    <t>Di 1 ban.</t>
  </si>
  <si>
    <t>chi</t>
  </si>
  <si>
    <t>Xujiahui cang shu lou shuang yu gu shi jing dian</t>
  </si>
  <si>
    <t>4536113904:chi</t>
  </si>
  <si>
    <t>884534714</t>
  </si>
  <si>
    <t>ocn884534714</t>
  </si>
  <si>
    <t>3103558322I</t>
  </si>
  <si>
    <t>9787543959927</t>
  </si>
  <si>
    <t>794976443</t>
  </si>
  <si>
    <t>PQ4712 M29 Z88 2011</t>
  </si>
  <si>
    <t>0                      PQ 4712000M  29                 Z  88          2011</t>
  </si>
  <si>
    <t>Quando la letteratura incontra il Risorgimento : Andrea Maffei e le spoglie di Ugo Foscolo / Marta Marri Tonelli.</t>
  </si>
  <si>
    <t>Tonelli, Marta Marri.</t>
  </si>
  <si>
    <t>Riva del Garda : MAG, ©2011.</t>
  </si>
  <si>
    <t>Echi d'Ottocento ; 1</t>
  </si>
  <si>
    <t>1201884262:ita</t>
  </si>
  <si>
    <t>824351789</t>
  </si>
  <si>
    <t>ocn824351789</t>
  </si>
  <si>
    <t>3103126072R</t>
  </si>
  <si>
    <t>9788866860068</t>
  </si>
  <si>
    <t>794937719</t>
  </si>
  <si>
    <t>PQ4712 M3 M436 2015</t>
  </si>
  <si>
    <t>0                      PQ 4712000M  3                  M  436         2015</t>
  </si>
  <si>
    <t>"Mai non mi diero i dei senza un egual disastro una ventura" : la Merope di Scipione Maffei nel terzo centenario (1713-2013) / a cura di Enrico Zucchi.</t>
  </si>
  <si>
    <t>L'Ippogrifo ; N. 2</t>
  </si>
  <si>
    <t>2564248757:ita</t>
  </si>
  <si>
    <t>913218052</t>
  </si>
  <si>
    <t>ocn913218052</t>
  </si>
  <si>
    <t>3103629975M</t>
  </si>
  <si>
    <t>9788857528915</t>
  </si>
  <si>
    <t>794999247</t>
  </si>
  <si>
    <t>PQ4712 M5 Z563 2011</t>
  </si>
  <si>
    <t>0                      PQ 4712000M  5                  Z  563         2011</t>
  </si>
  <si>
    <t>Fratelli d'Italia : tra le fonti letterarie del canone risorgimentale / Alfredo Cottignoli.</t>
  </si>
  <si>
    <t>Cottignoli, Alfredo, 1944-</t>
  </si>
  <si>
    <t>Letteratura italiana. Saggi e strumenti ; 7</t>
  </si>
  <si>
    <t>1042838177:ita</t>
  </si>
  <si>
    <t>760053739</t>
  </si>
  <si>
    <t>ocn760053739</t>
  </si>
  <si>
    <t>3103125579G</t>
  </si>
  <si>
    <t>9788856839272</t>
  </si>
  <si>
    <t>794898163</t>
  </si>
  <si>
    <t>PQ4713 A1 1954</t>
  </si>
  <si>
    <t>0                      PQ 4713000A  1           1954</t>
  </si>
  <si>
    <t>Tutte le opere di Alessandro Manzoni / a cura di Alberto Chiari e Fausto Ghisalberti.</t>
  </si>
  <si>
    <t>v.7:pt.2</t>
  </si>
  <si>
    <t>Manzoni, Alessandro, 1785-1873.</t>
  </si>
  <si>
    <t>[Milano] : Mondadori, 1954-1970.</t>
  </si>
  <si>
    <t>Classici Mondadori.</t>
  </si>
  <si>
    <t>9907075834:ita</t>
  </si>
  <si>
    <t>427302859</t>
  </si>
  <si>
    <t>ocn427302859</t>
  </si>
  <si>
    <t>3100464545C</t>
  </si>
  <si>
    <t>794575042</t>
  </si>
  <si>
    <t>v.2:pt.2</t>
  </si>
  <si>
    <t>31004645486</t>
  </si>
  <si>
    <t>794575050</t>
  </si>
  <si>
    <t>30005237425</t>
  </si>
  <si>
    <t>794575052</t>
  </si>
  <si>
    <t>3100464550J</t>
  </si>
  <si>
    <t>794575047</t>
  </si>
  <si>
    <t>v.7:pt.3</t>
  </si>
  <si>
    <t>3100464552F</t>
  </si>
  <si>
    <t>794575041</t>
  </si>
  <si>
    <t>v.7:pt.1</t>
  </si>
  <si>
    <t>3100464544E</t>
  </si>
  <si>
    <t>794575043</t>
  </si>
  <si>
    <t>v.2:pt.1</t>
  </si>
  <si>
    <t>31004645478</t>
  </si>
  <si>
    <t>794575051</t>
  </si>
  <si>
    <t>31004645494</t>
  </si>
  <si>
    <t>794575048</t>
  </si>
  <si>
    <t>v.2:pt.3</t>
  </si>
  <si>
    <t>3100464543G</t>
  </si>
  <si>
    <t>794575049</t>
  </si>
  <si>
    <t>v.5:pt.1</t>
  </si>
  <si>
    <t>3100464553D</t>
  </si>
  <si>
    <t>794575046</t>
  </si>
  <si>
    <t>v.5:pt.3</t>
  </si>
  <si>
    <t>3101115185H</t>
  </si>
  <si>
    <t>794575044</t>
  </si>
  <si>
    <t>v.5:pt.2</t>
  </si>
  <si>
    <t>31009655920</t>
  </si>
  <si>
    <t>794575045</t>
  </si>
  <si>
    <t>PQ4713 A1 2000 v. 1</t>
  </si>
  <si>
    <t>0                      PQ 4713000A  1           2000                                        v. 1</t>
  </si>
  <si>
    <t>Inni sacri e odi civili / Alessandro Manzoni ; introduzione e commento di Pierantonio Frare.</t>
  </si>
  <si>
    <t>Manzoni, Alessandro, 1785-1873, author.</t>
  </si>
  <si>
    <t>Milano : Centro nazionale studi manzoniani, 2017.</t>
  </si>
  <si>
    <t>Edizione nazionale ed europea delle opere di Alessandro Manzoni ; 1</t>
  </si>
  <si>
    <t>10142038126:ita</t>
  </si>
  <si>
    <t>1038519321</t>
  </si>
  <si>
    <t>on1038519321</t>
  </si>
  <si>
    <t>3103794042C</t>
  </si>
  <si>
    <t>9788831906005</t>
  </si>
  <si>
    <t>795058668</t>
  </si>
  <si>
    <t>PQ4713 A1 2000 v. 14</t>
  </si>
  <si>
    <t>0                      PQ 4713000A  1           2000                                        v. 14</t>
  </si>
  <si>
    <t>Del romanzo storico e, in genere, de'componimenti misti di storia e d'invenzione / [Alessandro Manzoni] ; premessa di Giovanni Macchia ; introduzione di Folco Portinari ; testo a cura di Silvia De Laude ; interventi sul romanzo storico, 1827-1831 di Zajotti, Tommaseo, Scalvini ; a cura di Fabio Danelon.</t>
  </si>
  <si>
    <t>v. 14*</t>
  </si>
  <si>
    <t>Milano : Centro nazionale studi manzoniani, 2000.</t>
  </si>
  <si>
    <t>Edizione nazionale ed europea delle opere di Alessandro Manzoni ; 14</t>
  </si>
  <si>
    <t>2017-06-01</t>
  </si>
  <si>
    <t>365883730:ita</t>
  </si>
  <si>
    <t>46612883</t>
  </si>
  <si>
    <t>ocm46612883</t>
  </si>
  <si>
    <t>31026289688</t>
  </si>
  <si>
    <t>793687307</t>
  </si>
  <si>
    <t>PQ4713 A1 2000 v. 23.2</t>
  </si>
  <si>
    <t>0                      PQ 4713000A  1           2000                                        v. 23.2</t>
  </si>
  <si>
    <t>Postille di Luigi Rossari al Dizionario universale critico enciclopedico di Francesco D'Alberti di Villanuova, Milano, Cairo, 1825 / a cura di Sara Pacaccio.</t>
  </si>
  <si>
    <t>(v.23.2)</t>
  </si>
  <si>
    <t>Rossari, Luigi, author.</t>
  </si>
  <si>
    <t>Milano : Centro nazionale studi manzoniani, 2014.</t>
  </si>
  <si>
    <t>Edizione nazionale ed europea delle opere di Alessandro Manzoni ; volume 23.2</t>
  </si>
  <si>
    <t>2269957137:ita</t>
  </si>
  <si>
    <t>902639000</t>
  </si>
  <si>
    <t>ocn902639000</t>
  </si>
  <si>
    <t>3103200336H</t>
  </si>
  <si>
    <t>9788887924299</t>
  </si>
  <si>
    <t>794988310</t>
  </si>
  <si>
    <t>PQ4713 A1 2000 v. 4</t>
  </si>
  <si>
    <t>0                      PQ 4713000A  1           2000                                        v. 4</t>
  </si>
  <si>
    <t>Adelchi : tragedia / Alessandro Manzoni ; introduzione e commento di Carlo Annoni ; a cura di Rita Zama ; nota al testo di Isabella Becherucci ; [seguito da] Spartaco / Alessandro Manzoni ; a cura di Angelo Stella ; premessa di Giuseppe Zecchini.</t>
  </si>
  <si>
    <t>v. 4*</t>
  </si>
  <si>
    <t>Milano : Centro nazionale studi manzoniani, 2015.</t>
  </si>
  <si>
    <t>Edizione nazionale ed europea delle opere di Alessandro Manzoni ; volume 4</t>
  </si>
  <si>
    <t>5342828487:ita</t>
  </si>
  <si>
    <t>969186331</t>
  </si>
  <si>
    <t>ocn969186331</t>
  </si>
  <si>
    <t>31037103895</t>
  </si>
  <si>
    <t>9788887924336</t>
  </si>
  <si>
    <t>795027344</t>
  </si>
  <si>
    <t>PQ4713 A1 2000 v. 4 suppl.</t>
  </si>
  <si>
    <t>0                      PQ 4713000A  1           2000                                        v. 4 suppl.</t>
  </si>
  <si>
    <t>Unitá dell'opera / Isabella Becherucci</t>
  </si>
  <si>
    <t>v. 4 suppl.*</t>
  </si>
  <si>
    <t>Becherucci, Isabella, author.</t>
  </si>
  <si>
    <t>4041147105:ita</t>
  </si>
  <si>
    <t>970663202</t>
  </si>
  <si>
    <t>ocn970663202</t>
  </si>
  <si>
    <t>3103710394C</t>
  </si>
  <si>
    <t>795027781</t>
  </si>
  <si>
    <t>PQ4713 A1 2000 v.11</t>
  </si>
  <si>
    <t>0                      PQ 4713000A  1           2000                                        v.11</t>
  </si>
  <si>
    <t>I promessi sposi : testo del 1840-1842 / Alessandro Manzoni ; a cura di Teresa Poggi Salani.</t>
  </si>
  <si>
    <t>v.11*</t>
  </si>
  <si>
    <t>Milano : Centro Nazionale Studi Manzoniani, 2013.</t>
  </si>
  <si>
    <t>Edizione nazionale ed europea delle opere di Alessandro Manzoni ; volume 2</t>
  </si>
  <si>
    <t>327272697:ita</t>
  </si>
  <si>
    <t>881288495</t>
  </si>
  <si>
    <t>ocn881288495</t>
  </si>
  <si>
    <t>3103554151Y</t>
  </si>
  <si>
    <t>9788887924275</t>
  </si>
  <si>
    <t>794974102</t>
  </si>
  <si>
    <t>PQ4713 A1 2000 v.29</t>
  </si>
  <si>
    <t>0                      PQ 4713000A  1           2000                                        v.29</t>
  </si>
  <si>
    <t>Carteggi letterari / a cura di Serena Bertolucci e Giovanni Meda Riquier.</t>
  </si>
  <si>
    <t>Milano : Centro nazionale studi manzoniani, 2010-2017.</t>
  </si>
  <si>
    <t>Edizione nazionale ed europea delle opere di Alessandro Manzoni ; 29</t>
  </si>
  <si>
    <t>520787082:ita</t>
  </si>
  <si>
    <t>648956651</t>
  </si>
  <si>
    <t>ocn648956651</t>
  </si>
  <si>
    <t>3103284798B</t>
  </si>
  <si>
    <t>9788879243179</t>
  </si>
  <si>
    <t>794831550</t>
  </si>
  <si>
    <t>t.2.1</t>
  </si>
  <si>
    <t>3103759805M</t>
  </si>
  <si>
    <t>794831549</t>
  </si>
  <si>
    <t>t.2.2</t>
  </si>
  <si>
    <t>3103759800W</t>
  </si>
  <si>
    <t>794831548</t>
  </si>
  <si>
    <t>PQ4713 A1 2012</t>
  </si>
  <si>
    <t>0                      PQ 4713000A  1           2012</t>
  </si>
  <si>
    <t>Scritti storici e politici / Alessandro Manzoni ; a cura di Luca Badini Confalonieri.</t>
  </si>
  <si>
    <t>v.4:t.1</t>
  </si>
  <si>
    <t>Torino : Unione tipografico-editrice torinese, 2012.</t>
  </si>
  <si>
    <t>Opere di Alessandro Manzoni ; 4</t>
  </si>
  <si>
    <t>2016-07-13</t>
  </si>
  <si>
    <t>1379105137:ita</t>
  </si>
  <si>
    <t>854562741</t>
  </si>
  <si>
    <t>ocn854562741</t>
  </si>
  <si>
    <t>3103535007G</t>
  </si>
  <si>
    <t>9788802086071</t>
  </si>
  <si>
    <t>794952532</t>
  </si>
  <si>
    <t>v.4:t.2</t>
  </si>
  <si>
    <t>3103535003G</t>
  </si>
  <si>
    <t>794952531</t>
  </si>
  <si>
    <t>PQ4713 A2 1950</t>
  </si>
  <si>
    <t>0                      PQ 4713000A  2           1950</t>
  </si>
  <si>
    <t>Scritti non compiuti, poesie giovanili e sparse, lettere pensieri giudizi, con aggiunta di testimonianze sul Manzoni e indice analitico, a cura di M. Barbi e F. Ghisalberti.</t>
  </si>
  <si>
    <t>Milano, Casa del Manzoni, 1950.</t>
  </si>
  <si>
    <t>His Opere, v. 3</t>
  </si>
  <si>
    <t>2908433466:ita</t>
  </si>
  <si>
    <t>1329852</t>
  </si>
  <si>
    <t>ocm01329852</t>
  </si>
  <si>
    <t>3000635566D</t>
  </si>
  <si>
    <t>791601554</t>
  </si>
  <si>
    <t>PQ4713 A2 1968</t>
  </si>
  <si>
    <t>0                      PQ 4713000A  2           1968</t>
  </si>
  <si>
    <t>Opere.</t>
  </si>
  <si>
    <t>Milano] : U. Mursia, [©1968]</t>
  </si>
  <si>
    <t>[5. ed.</t>
  </si>
  <si>
    <t>Le Corone della Grande Universale Mursia ; 2</t>
  </si>
  <si>
    <t>10075991909:ita</t>
  </si>
  <si>
    <t>427526773</t>
  </si>
  <si>
    <t>ocn427526773</t>
  </si>
  <si>
    <t>3000633947B</t>
  </si>
  <si>
    <t>794675907</t>
  </si>
  <si>
    <t>PQ4713 P3 1958</t>
  </si>
  <si>
    <t>0                      PQ 4713000P  3           1958</t>
  </si>
  <si>
    <t>I promessi sposi / di Alessandro Manzoni ; a cura di Cesare Angelini.</t>
  </si>
  <si>
    <t>[Milano] : Unione Topografico - editrice Torinese, [1958]</t>
  </si>
  <si>
    <t>Classici Italiani.</t>
  </si>
  <si>
    <t>2019-02-07</t>
  </si>
  <si>
    <t>427157461</t>
  </si>
  <si>
    <t>ocn427157461</t>
  </si>
  <si>
    <t>3103679137W</t>
  </si>
  <si>
    <t>794523069</t>
  </si>
  <si>
    <t>PQ4713 P3 1963</t>
  </si>
  <si>
    <t>0                      PQ 4713000P  3           1963</t>
  </si>
  <si>
    <t>I promessi sposi / Alessandro Manzoni ; commento critico di Luigi Russo.</t>
  </si>
  <si>
    <t>Firenze: La Nuova Italia, 1963.</t>
  </si>
  <si>
    <t>2016-11-27</t>
  </si>
  <si>
    <t>427161204</t>
  </si>
  <si>
    <t>ocn427161204</t>
  </si>
  <si>
    <t>30001696909</t>
  </si>
  <si>
    <t>794523430</t>
  </si>
  <si>
    <t>PQ4713 P3 1964a</t>
  </si>
  <si>
    <t>0                      PQ 4713000P  3           1964a</t>
  </si>
  <si>
    <t>I promessi sposi. Con note e commento di Giovanni Getto.</t>
  </si>
  <si>
    <t>[Firenze] Sansoni [1964]</t>
  </si>
  <si>
    <t>2016-10-03</t>
  </si>
  <si>
    <t>17021095</t>
  </si>
  <si>
    <t>ocm17021095</t>
  </si>
  <si>
    <t>30006324542</t>
  </si>
  <si>
    <t>792980628</t>
  </si>
  <si>
    <t>PQ4713 P3 1973b</t>
  </si>
  <si>
    <t>0                      PQ 4713000P  3           1973b</t>
  </si>
  <si>
    <t>I promessi sposi / Alessandro Manzoni ; Introduzione di Aurelia Accame Bobbio ; Note di Claudio Redi.</t>
  </si>
  <si>
    <t>[Milano] : Bietti, 1973.</t>
  </si>
  <si>
    <t>I Classici Bietti</t>
  </si>
  <si>
    <t>2016-01-23</t>
  </si>
  <si>
    <t>61688489</t>
  </si>
  <si>
    <t>ocm61688489</t>
  </si>
  <si>
    <t>3000399204C</t>
  </si>
  <si>
    <t>794090992</t>
  </si>
  <si>
    <t>PQ4713 P3 2002</t>
  </si>
  <si>
    <t>0                      PQ 4713000P  3           2002</t>
  </si>
  <si>
    <t>I promessi sposi / Alessandro Manzoni ; saggio introduttivo, revisione del testo critico e commento a cura di Salvatore Silvano Nigro ; collaborazione di Ermanno Paccagnini per la "Storia della colonna infame."</t>
  </si>
  <si>
    <t>Milano : A. Mondadori, 2002.</t>
  </si>
  <si>
    <t>Alessandro Manzoni, I romanzi ; 2</t>
  </si>
  <si>
    <t>49874469</t>
  </si>
  <si>
    <t>ocm49874469</t>
  </si>
  <si>
    <t>3102619664I</t>
  </si>
  <si>
    <t>9788804504177</t>
  </si>
  <si>
    <t>793749669</t>
  </si>
  <si>
    <t>3102619659K</t>
  </si>
  <si>
    <t>793749670</t>
  </si>
  <si>
    <t>PQ4713 P5 B67 2013</t>
  </si>
  <si>
    <t>0                      PQ 4713000P  5                  B  67          2013</t>
  </si>
  <si>
    <t>Il romanzo indiscreto : epistemologia del privato nei Promessi sposi / Alessandro Bosco.</t>
  </si>
  <si>
    <t>Bosco, Alessandro.</t>
  </si>
  <si>
    <t>Macerata : Quodlibet, 2013.</t>
  </si>
  <si>
    <t>Scienze della cultura</t>
  </si>
  <si>
    <t>1367340590:ita</t>
  </si>
  <si>
    <t>852688752</t>
  </si>
  <si>
    <t>ocn852688752</t>
  </si>
  <si>
    <t>3103126289J</t>
  </si>
  <si>
    <t>9788874625376</t>
  </si>
  <si>
    <t>794951489</t>
  </si>
  <si>
    <t>PQ4713 P5 C67 2002</t>
  </si>
  <si>
    <t>0                      PQ 4713000P  5                  C  67          2002</t>
  </si>
  <si>
    <t>Manzoni : guida ai Promessi sposi / Alfredo Cottignoli.</t>
  </si>
  <si>
    <t>Roma : Carocci, 2002.</t>
  </si>
  <si>
    <t>Le bussole ; 56</t>
  </si>
  <si>
    <t>2017-11-01</t>
  </si>
  <si>
    <t>479204183:ita</t>
  </si>
  <si>
    <t>51216164</t>
  </si>
  <si>
    <t>ocm51216164</t>
  </si>
  <si>
    <t>3103394137U</t>
  </si>
  <si>
    <t>9788843022557</t>
  </si>
  <si>
    <t>793780553</t>
  </si>
  <si>
    <t>PQ4713 P5 C85 2011</t>
  </si>
  <si>
    <t>0                      PQ 4713000P  5                  C  85          2011</t>
  </si>
  <si>
    <t>Cultures in contact : translation and reception of I promessi sposi in 19th century England / Vittoria Intonti &amp; Rosella Mallardi (eds.).</t>
  </si>
  <si>
    <t>Bern ; New York : Peter Lang, 2011.</t>
  </si>
  <si>
    <t>1020096787:eng</t>
  </si>
  <si>
    <t>756044529</t>
  </si>
  <si>
    <t>ocn756044529</t>
  </si>
  <si>
    <t>3103381852M</t>
  </si>
  <si>
    <t>9783034306881</t>
  </si>
  <si>
    <t>794894152</t>
  </si>
  <si>
    <t>PQ4713 P5 M636 2010</t>
  </si>
  <si>
    <t>0                      PQ 4713000P  5                  M  636         2010</t>
  </si>
  <si>
    <t>Ma non è un romanzo storico-- : Rocco Montano lettore dei Promessi sposi / Massimiliano Merisi.</t>
  </si>
  <si>
    <t>Merisi, Massimiliano.</t>
  </si>
  <si>
    <t>Salerno : Edisud Salerno, [2010]</t>
  </si>
  <si>
    <t>Civiltà letteraria italiana ; 44</t>
  </si>
  <si>
    <t>796791448:ita</t>
  </si>
  <si>
    <t>670463491</t>
  </si>
  <si>
    <t>ocn670463491</t>
  </si>
  <si>
    <t>3103125185Q</t>
  </si>
  <si>
    <t>9788895154763</t>
  </si>
  <si>
    <t>794847797</t>
  </si>
  <si>
    <t>PQ4713 P5 P65 2011</t>
  </si>
  <si>
    <t>0                      PQ 4713000P  5                  P  65          2011</t>
  </si>
  <si>
    <t>La similitudine perfetta : la prosa di Manzoni nella scuola italiana dell'Ottocento / Giuseppe Polimeni.</t>
  </si>
  <si>
    <t>Polimeni, Giuseppe, author.</t>
  </si>
  <si>
    <t>Milano, Italy : FrancoAngeli, ©2011.</t>
  </si>
  <si>
    <t>Critica letteraria e linguistica ; 291.84</t>
  </si>
  <si>
    <t>1074131035:ita</t>
  </si>
  <si>
    <t>773015272</t>
  </si>
  <si>
    <t>ocn773015272</t>
  </si>
  <si>
    <t>31031257838</t>
  </si>
  <si>
    <t>9788856844818</t>
  </si>
  <si>
    <t>794905117</t>
  </si>
  <si>
    <t>PQ4713 P5 P74 2015</t>
  </si>
  <si>
    <t>0                      PQ 4713000P  5                  P  74          2015</t>
  </si>
  <si>
    <t>Promessi sposi d'autore : un cantiere letterario per Luchino Visconti / a cura di Salvatore Silvano Nigro e Silvia Moretti.</t>
  </si>
  <si>
    <t>Palermo : Sellerio editore, [2015]</t>
  </si>
  <si>
    <t>La nuova diagonale ; 107</t>
  </si>
  <si>
    <t>2465853102:ita</t>
  </si>
  <si>
    <t>904251486</t>
  </si>
  <si>
    <t>ocn904251486</t>
  </si>
  <si>
    <t>31036213883</t>
  </si>
  <si>
    <t>9788838931789</t>
  </si>
  <si>
    <t>794990235</t>
  </si>
  <si>
    <t>PQ4713 P5 R338 2004</t>
  </si>
  <si>
    <t>0                      PQ 4713000P  5                  R  338         2004</t>
  </si>
  <si>
    <t>La dissimulazione romanzesca : antropologia manzoniana / Ezio Raimondi.</t>
  </si>
  <si>
    <t>Bologna : Il mulino, 2004.</t>
  </si>
  <si>
    <t>Nuova ed. aumentata.</t>
  </si>
  <si>
    <t>Saggi ; 613</t>
  </si>
  <si>
    <t>2015-09-11</t>
  </si>
  <si>
    <t>355372673:ita</t>
  </si>
  <si>
    <t>55027888</t>
  </si>
  <si>
    <t>ocm55027888</t>
  </si>
  <si>
    <t>3102393510X</t>
  </si>
  <si>
    <t>9788815099365</t>
  </si>
  <si>
    <t>793872982</t>
  </si>
  <si>
    <t>PQ4713 P5 R594 2012</t>
  </si>
  <si>
    <t>0                      PQ 4713000P  5                  R  594         2012</t>
  </si>
  <si>
    <t>Il Vangelo secondo Manzoni : le risposte dei personaggi dei Promessi sposi alle nostre domande filosofiche e teologiche / Francesco Rizzi.</t>
  </si>
  <si>
    <t>Rizzi, Francesco.</t>
  </si>
  <si>
    <t>Verona : Fede &amp; cultura, 2012.</t>
  </si>
  <si>
    <t>Saggistica ; 51</t>
  </si>
  <si>
    <t>1098195044:ita</t>
  </si>
  <si>
    <t>783120771</t>
  </si>
  <si>
    <t>ocn783120771</t>
  </si>
  <si>
    <t>3103125758E</t>
  </si>
  <si>
    <t>9788864091242</t>
  </si>
  <si>
    <t>794913824</t>
  </si>
  <si>
    <t>PQ4713 P5 S635 2012</t>
  </si>
  <si>
    <t>0                      PQ 4713000P  5                  S  635         2012</t>
  </si>
  <si>
    <t>La parodia dei Promessi sposi, ovvero, L'inettitudine della cultura letteraria / Aldo Spranzi.</t>
  </si>
  <si>
    <t>Spranzi, Aldo, 1932-</t>
  </si>
  <si>
    <t>1357812574:ita</t>
  </si>
  <si>
    <t>828889380</t>
  </si>
  <si>
    <t>ocn828889380</t>
  </si>
  <si>
    <t>3103513698Z</t>
  </si>
  <si>
    <t>9788840016016</t>
  </si>
  <si>
    <t>794941878</t>
  </si>
  <si>
    <t>PQ4713 P5 S855 2012</t>
  </si>
  <si>
    <t>0                      PQ 4713000P  5                  S  855         2012</t>
  </si>
  <si>
    <t>I promessi sposi : un'idea di romanzo / Franco Suitner.</t>
  </si>
  <si>
    <t>Roma : Carocci editore, 2012.</t>
  </si>
  <si>
    <t>Frecce ; 143</t>
  </si>
  <si>
    <t>1124056959:ita</t>
  </si>
  <si>
    <t>798610398</t>
  </si>
  <si>
    <t>ocn798610398</t>
  </si>
  <si>
    <t>3103125940A</t>
  </si>
  <si>
    <t>9788843062416</t>
  </si>
  <si>
    <t>794923801</t>
  </si>
  <si>
    <t>PQ4713 S63 T65 2012</t>
  </si>
  <si>
    <t>0                      PQ 4713000S  63                 T  65          2012</t>
  </si>
  <si>
    <t>Il mondo sottosopra : Spartaco e altre reticenze manzoniane / Duccio Tongiorgi.</t>
  </si>
  <si>
    <t>Tongiorgi, Duccio, 1966-</t>
  </si>
  <si>
    <t>Temi e testi ; 108</t>
  </si>
  <si>
    <t>1175679689:ita</t>
  </si>
  <si>
    <t>815378672</t>
  </si>
  <si>
    <t>ocn815378672</t>
  </si>
  <si>
    <t>3103126123Y</t>
  </si>
  <si>
    <t>9788863724639</t>
  </si>
  <si>
    <t>794932449</t>
  </si>
  <si>
    <t>PQ4714 A2 C6 2013</t>
  </si>
  <si>
    <t>0                      PQ 4714000A  2                  C  6           2013</t>
  </si>
  <si>
    <t>The betrothed : a tale of XVII century milan / Alessandro Manzoni ; translated by Archibald Colquhoun ; with an introduction by Jonathan Keates.</t>
  </si>
  <si>
    <t>New York : Alfred A. Knopf, 2013.</t>
  </si>
  <si>
    <t>Everyman's Library ; 357</t>
  </si>
  <si>
    <t>2016-08-22</t>
  </si>
  <si>
    <t>327272697:eng</t>
  </si>
  <si>
    <t>825046429</t>
  </si>
  <si>
    <t>ocn825046429</t>
  </si>
  <si>
    <t>3103502140W</t>
  </si>
  <si>
    <t>9780375712340</t>
  </si>
  <si>
    <t>794938380</t>
  </si>
  <si>
    <t>PQ4714 A2 1914</t>
  </si>
  <si>
    <t>0                      PQ 4714000A  2           1914</t>
  </si>
  <si>
    <t>The betrothed / translated from the Italian of Alessandro Manzoni.</t>
  </si>
  <si>
    <t>London : Bell, 1914.</t>
  </si>
  <si>
    <t>Penguin classics.</t>
  </si>
  <si>
    <t>427245434</t>
  </si>
  <si>
    <t>ocn427245434</t>
  </si>
  <si>
    <t>31001461674</t>
  </si>
  <si>
    <t>9780140442748</t>
  </si>
  <si>
    <t>794550977</t>
  </si>
  <si>
    <t>3000195641O</t>
  </si>
  <si>
    <t>794550978</t>
  </si>
  <si>
    <t>PQ4714 A2 1972</t>
  </si>
  <si>
    <t>0                      PQ 4714000A  2           1972</t>
  </si>
  <si>
    <t>The betrothed; translated with an introduction by Bruce Penman.</t>
  </si>
  <si>
    <t>696681</t>
  </si>
  <si>
    <t>ocm00696681</t>
  </si>
  <si>
    <t>3000358606L</t>
  </si>
  <si>
    <t>791448579</t>
  </si>
  <si>
    <t>PQ4715 A3 2015</t>
  </si>
  <si>
    <t>0                      PQ 4715000A  3           2015</t>
  </si>
  <si>
    <t>Manzoni, Tommaseo e gli amici di Firenze : carteggio (1825-1871) / a cura di Irene Gambacorti.</t>
  </si>
  <si>
    <t>Studi, 2035-4363 ; 18</t>
  </si>
  <si>
    <t>2844628443:ita</t>
  </si>
  <si>
    <t>933229189</t>
  </si>
  <si>
    <t>ocn933229189</t>
  </si>
  <si>
    <t>31036611374</t>
  </si>
  <si>
    <t>9788860323538</t>
  </si>
  <si>
    <t>795008923</t>
  </si>
  <si>
    <t>PQ4715 B34</t>
  </si>
  <si>
    <t>0                      PQ 4715000B  34</t>
  </si>
  <si>
    <t>Alessandro Manzoni / by Gian Piero Barricelli.</t>
  </si>
  <si>
    <t>Barricelli, Jean Pierre.</t>
  </si>
  <si>
    <t>Boston : Twayne Publishers, ©1976.</t>
  </si>
  <si>
    <t>Twayne's world authors series ; TWAS 411 : Italy</t>
  </si>
  <si>
    <t>3998269:eng</t>
  </si>
  <si>
    <t>2213306</t>
  </si>
  <si>
    <t>ocm02213306</t>
  </si>
  <si>
    <t>3103706654P</t>
  </si>
  <si>
    <t>9780805762518</t>
  </si>
  <si>
    <t>792068211</t>
  </si>
  <si>
    <t>PQ4715 B36 2012</t>
  </si>
  <si>
    <t>0                      PQ 4715000B  36          2012</t>
  </si>
  <si>
    <t>Scampoli manzoniani / Isabella Becherucci.</t>
  </si>
  <si>
    <t>Becherucci, Isabella.</t>
  </si>
  <si>
    <t>Strumenti di letteratura italiana ; 40</t>
  </si>
  <si>
    <t>1182626731:ita</t>
  </si>
  <si>
    <t>818725024</t>
  </si>
  <si>
    <t>ocn818725024</t>
  </si>
  <si>
    <t>31031259862</t>
  </si>
  <si>
    <t>9788876674457</t>
  </si>
  <si>
    <t>794934104</t>
  </si>
  <si>
    <t>PQ4715 B75 2017</t>
  </si>
  <si>
    <t>0                      PQ 4715000B  75          2017</t>
  </si>
  <si>
    <t>Grammatica del buio : strategie testuali di Manzoni saggista / Mariarosa Bricchi.</t>
  </si>
  <si>
    <t>Bricchi, Mariarosa, 1963- author.</t>
  </si>
  <si>
    <t>Quinterni ; III</t>
  </si>
  <si>
    <t>4667608293:ita</t>
  </si>
  <si>
    <t>1015246194</t>
  </si>
  <si>
    <t>on1015246194</t>
  </si>
  <si>
    <t>3103721136N</t>
  </si>
  <si>
    <t>9788887924497</t>
  </si>
  <si>
    <t>795047829</t>
  </si>
  <si>
    <t>PQ4715 C34</t>
  </si>
  <si>
    <t>0                      PQ 4715000C  34</t>
  </si>
  <si>
    <t>Alessandro Manzoni : the story of a spiritual quest / S.B. Chandler.</t>
  </si>
  <si>
    <t>Chandler, S. Bernard (Stanley Bernard)</t>
  </si>
  <si>
    <t>Writers of Italy series ; 2</t>
  </si>
  <si>
    <t>235008108:eng</t>
  </si>
  <si>
    <t>1218116</t>
  </si>
  <si>
    <t>ocm01218116</t>
  </si>
  <si>
    <t>3000430623T</t>
  </si>
  <si>
    <t>9780852242476</t>
  </si>
  <si>
    <t>791575716</t>
  </si>
  <si>
    <t>PQ4715 C58 1954</t>
  </si>
  <si>
    <t>0                      PQ 4715000C  58          1954</t>
  </si>
  <si>
    <t>Manzoni and his times; a biography of the author of The betrothed (I promessi sposi).</t>
  </si>
  <si>
    <t>Colquhoun, Archibald.</t>
  </si>
  <si>
    <t>New York, Dutton [1954]</t>
  </si>
  <si>
    <t>1616854:eng</t>
  </si>
  <si>
    <t>755835</t>
  </si>
  <si>
    <t>ocm00755835</t>
  </si>
  <si>
    <t>3000202008Y</t>
  </si>
  <si>
    <t>791462726</t>
  </si>
  <si>
    <t>PQ4715 D324 2013</t>
  </si>
  <si>
    <t>0                      PQ 4715000D  324         2013</t>
  </si>
  <si>
    <t>Le nevrosi di Manzoni : quando la storia uccise la poesia / Paolo D'Angelo.</t>
  </si>
  <si>
    <t>D'Angelo, Paolo, 1956-</t>
  </si>
  <si>
    <t>Saggi ; 788</t>
  </si>
  <si>
    <t>1371509255:ita</t>
  </si>
  <si>
    <t>844692529</t>
  </si>
  <si>
    <t>ocn844692529</t>
  </si>
  <si>
    <t>3103126230T</t>
  </si>
  <si>
    <t>9788815245403</t>
  </si>
  <si>
    <t>794948641</t>
  </si>
  <si>
    <t>PQ4715 E45 2010</t>
  </si>
  <si>
    <t>0                      PQ 4715000E  45          2010</t>
  </si>
  <si>
    <t>Manzoni : la politica le parole / Diego Ellero.</t>
  </si>
  <si>
    <t>Ellero, Diego.</t>
  </si>
  <si>
    <t>Milano : Casa del Manzoni : Centro nazionale studi manzoniani, 2010.</t>
  </si>
  <si>
    <t>Quaderni Manzoni ; 8</t>
  </si>
  <si>
    <t>1039347154:ita</t>
  </si>
  <si>
    <t>759150636</t>
  </si>
  <si>
    <t>ocn759150636</t>
  </si>
  <si>
    <t>3103125578G</t>
  </si>
  <si>
    <t>9788887924831</t>
  </si>
  <si>
    <t>794897019</t>
  </si>
  <si>
    <t>PQ4715 F42 2000</t>
  </si>
  <si>
    <t>0                      PQ 4715000F  42          2000</t>
  </si>
  <si>
    <t>Topographies of desire : Manzoni, cultural practices, and colonial scars / Susanna F. Ferlito.</t>
  </si>
  <si>
    <t>Ferlito, Susanna F., 1962-</t>
  </si>
  <si>
    <t>New York : Peter Lang, ©2000.</t>
  </si>
  <si>
    <t>Studies in Italian culture--Literature in history ; vol. 28</t>
  </si>
  <si>
    <t>234365995:eng</t>
  </si>
  <si>
    <t>42475768</t>
  </si>
  <si>
    <t>ocm42475768</t>
  </si>
  <si>
    <t>31019652746</t>
  </si>
  <si>
    <t>9780820444680</t>
  </si>
  <si>
    <t>793608347</t>
  </si>
  <si>
    <t>PQ4715 G457 2015</t>
  </si>
  <si>
    <t>0                      PQ 4715000G  457         2015</t>
  </si>
  <si>
    <t>Manzoni e Leopardi : dialettiche dello stile, forme del pensiero / Ottavio Ghidini.</t>
  </si>
  <si>
    <t>Ghidini, Ottavio, author.</t>
  </si>
  <si>
    <t>Res litteraria ; 10</t>
  </si>
  <si>
    <t>2525302916:ita</t>
  </si>
  <si>
    <t>909277985</t>
  </si>
  <si>
    <t>ocn909277985</t>
  </si>
  <si>
    <t>3103628561H</t>
  </si>
  <si>
    <t>9788846741790</t>
  </si>
  <si>
    <t>794995373</t>
  </si>
  <si>
    <t>PQ4715 G475 2015</t>
  </si>
  <si>
    <t>0                      PQ 4715000G  475         2015</t>
  </si>
  <si>
    <t>Manzoni : la prosa del mondo / Elio Gioanola.</t>
  </si>
  <si>
    <t>Gioanola, Elio, author.</t>
  </si>
  <si>
    <t>Milano : Jaca Book, marzo 2015.</t>
  </si>
  <si>
    <t>Saggi di letteratura</t>
  </si>
  <si>
    <t>2298453945:ita</t>
  </si>
  <si>
    <t>903598993</t>
  </si>
  <si>
    <t>ocn903598993</t>
  </si>
  <si>
    <t>3103628075Q</t>
  </si>
  <si>
    <t>9788816413016</t>
  </si>
  <si>
    <t>794989459</t>
  </si>
  <si>
    <t>PQ4715 G486 2010</t>
  </si>
  <si>
    <t>0                      PQ 4715000G  486         2010</t>
  </si>
  <si>
    <t>Per la conversione di A. Manzoni, 1810-2010 : il tema della conversione fra l'antico e il moderno : atti : XXIX edizione delle "Giornate dell'osservanza, 22-23 maggio 2010-Convento dell'Osservanza via dell'Osservanza, 88-Bologna / a cura di Giuseppe Chili.</t>
  </si>
  <si>
    <t>Giornate dell'Osservanza (29th : 2010 : Bologna, Italy)</t>
  </si>
  <si>
    <t>Bologna : Fondazione del Monte, 2010.</t>
  </si>
  <si>
    <t>Quaderni della Fondazione del Monte di Bologna e Ravenna ; 15</t>
  </si>
  <si>
    <t>1123622088:ita</t>
  </si>
  <si>
    <t>775410794</t>
  </si>
  <si>
    <t>ocn775410794</t>
  </si>
  <si>
    <t>3103125658H</t>
  </si>
  <si>
    <t>794907417</t>
  </si>
  <si>
    <t>PQ4715 G84 2012</t>
  </si>
  <si>
    <t>0                      PQ 4715000G  84          2012</t>
  </si>
  <si>
    <t>Manzoni teatrale : le tragedie di Manzoni tra dibattito europeo e fortuna italiana / Angela Guidotti.</t>
  </si>
  <si>
    <t>Guidotti, Angela, author.</t>
  </si>
  <si>
    <t>Lucca : Maria Pacini Fazzi editore, [2012]</t>
  </si>
  <si>
    <t>Voci di repertorio. Quaderni ; 4</t>
  </si>
  <si>
    <t>1758655494:ita</t>
  </si>
  <si>
    <t>828889427</t>
  </si>
  <si>
    <t>ocn828889427</t>
  </si>
  <si>
    <t>3103126120Y</t>
  </si>
  <si>
    <t>9788865501658</t>
  </si>
  <si>
    <t>794941880</t>
  </si>
  <si>
    <t>PQ4715 I43 2012</t>
  </si>
  <si>
    <t>0                      PQ 4715000I  43          2012</t>
  </si>
  <si>
    <t>Immaginare e costruire la nazione : Manzoni da Napoleone a Garibaldi / a cura di Luca Danzi e Giorgio Panizza.</t>
  </si>
  <si>
    <t>Milano : Il saggiatore, ©2012.</t>
  </si>
  <si>
    <t>Opere e libri</t>
  </si>
  <si>
    <t>1124056336:ita</t>
  </si>
  <si>
    <t>798609766</t>
  </si>
  <si>
    <t>ocn798609766</t>
  </si>
  <si>
    <t>31031261011</t>
  </si>
  <si>
    <t>9788842818328</t>
  </si>
  <si>
    <t>794923795</t>
  </si>
  <si>
    <t>PQ4715 M28 2009</t>
  </si>
  <si>
    <t>0                      PQ 4715000M  28          2009</t>
  </si>
  <si>
    <t>Manzoni and the historical novel = Manzoni e il romanzo storico / edited by Salvatore Bancheri.</t>
  </si>
  <si>
    <t>New York ; Ottawa : Legas, ©2009.</t>
  </si>
  <si>
    <t>Literary criticism series ; 17</t>
  </si>
  <si>
    <t>908534075:eng</t>
  </si>
  <si>
    <t>316666719</t>
  </si>
  <si>
    <t>ocn316666719</t>
  </si>
  <si>
    <t>3102709680D</t>
  </si>
  <si>
    <t>9781897493076</t>
  </si>
  <si>
    <t>794449297</t>
  </si>
  <si>
    <t>PQ4715 .M87 2019</t>
  </si>
  <si>
    <t>0                      PQ 4715000M  87          2019</t>
  </si>
  <si>
    <t>Manzoni filosofo : l'invenzione della parola in dialogo con Antonio Rosmini / Biagio Giuseppe Muscherà.</t>
  </si>
  <si>
    <t>Muscherà, Biagio Giuseppe, 1972- author.</t>
  </si>
  <si>
    <t>Milano : Jaca book, settembre 2019.</t>
  </si>
  <si>
    <t>Filosofia</t>
  </si>
  <si>
    <t>9739466247:ita</t>
  </si>
  <si>
    <t>1129100732</t>
  </si>
  <si>
    <t>on1129100732</t>
  </si>
  <si>
    <t>3103875719G</t>
  </si>
  <si>
    <t>9788816415478</t>
  </si>
  <si>
    <t>795086482</t>
  </si>
  <si>
    <t>PQ4715 R23 2017</t>
  </si>
  <si>
    <t>0                      PQ 4715000R  23          2017</t>
  </si>
  <si>
    <t>Come lavorava Manzoni / Giulia Raboni.</t>
  </si>
  <si>
    <t>Raboni, Giulia, author.</t>
  </si>
  <si>
    <t>Roma : Carocci editore, maggio 2017.</t>
  </si>
  <si>
    <t>Bussole ; 545</t>
  </si>
  <si>
    <t>4411212188:ita</t>
  </si>
  <si>
    <t>994730117</t>
  </si>
  <si>
    <t>ocn994730117</t>
  </si>
  <si>
    <t>3103721212X</t>
  </si>
  <si>
    <t>9788843086351</t>
  </si>
  <si>
    <t>795039269</t>
  </si>
  <si>
    <t>PQ4717 D5 2014</t>
  </si>
  <si>
    <t>0                      PQ 4717000D  5           2014</t>
  </si>
  <si>
    <t>Didone abbandonata / Pietro Metastasio ; a cura di = edited by Arianna Frattali.</t>
  </si>
  <si>
    <t>Metastasio, Pietro, 1698-1782, author.</t>
  </si>
  <si>
    <t>Pisa : Edizioni ETS, ©2014.</t>
  </si>
  <si>
    <t>Canone teatrale europeo = Canon of European drama ; 11</t>
  </si>
  <si>
    <t>2906095:ita</t>
  </si>
  <si>
    <t>902638972</t>
  </si>
  <si>
    <t>ocn902638972</t>
  </si>
  <si>
    <t>31032007403</t>
  </si>
  <si>
    <t>9788846740663</t>
  </si>
  <si>
    <t>794988309</t>
  </si>
  <si>
    <t>PQ4719 L34 2010</t>
  </si>
  <si>
    <t>0                      PQ 4719000L  34          2010</t>
  </si>
  <si>
    <t>I personaggi classici secondo Metastasio : Catone in Utica, Olimpiade, Achille in Sciro / Paolo Lago.</t>
  </si>
  <si>
    <t>Lago, Paolo, 1974-</t>
  </si>
  <si>
    <t>Verona : Fiorini, ©2010.</t>
  </si>
  <si>
    <t>Mneme ; 13</t>
  </si>
  <si>
    <t>814163913:ita</t>
  </si>
  <si>
    <t>690102013</t>
  </si>
  <si>
    <t>ocn690102013</t>
  </si>
  <si>
    <t>3103125246V</t>
  </si>
  <si>
    <t>9788896419083</t>
  </si>
  <si>
    <t>794855323</t>
  </si>
  <si>
    <t>PQ4719 P53 2000</t>
  </si>
  <si>
    <t>0                      PQ 4719000P  53          2000</t>
  </si>
  <si>
    <t>Pietro Metastasio : il testo e il contesto / a cura di Marta Columbro, Paologiovanni Maione.</t>
  </si>
  <si>
    <t>Napoli : Altrastampa, 2000.</t>
  </si>
  <si>
    <t>864060926:ita</t>
  </si>
  <si>
    <t>44539763</t>
  </si>
  <si>
    <t>ocm44539763</t>
  </si>
  <si>
    <t>3102265315F</t>
  </si>
  <si>
    <t>793652675</t>
  </si>
  <si>
    <t>PQ4720 M153 Z58 2011</t>
  </si>
  <si>
    <t>0                      PQ 4720000M  153                Z  58          2011</t>
  </si>
  <si>
    <t>Giuseppe Mezzanotte e D'Annunzio : cinquant'anni di amicizia / Franco Di Tizio.</t>
  </si>
  <si>
    <t>Di Tizio, Franco.</t>
  </si>
  <si>
    <t>Pescara : Ianieri, ©2011.</t>
  </si>
  <si>
    <t>Biblioteca dannunziana ; 9</t>
  </si>
  <si>
    <t>1075145073:ita</t>
  </si>
  <si>
    <t>773667889</t>
  </si>
  <si>
    <t>ocn773667889</t>
  </si>
  <si>
    <t>3103125653H</t>
  </si>
  <si>
    <t>9788897417057</t>
  </si>
  <si>
    <t>794905851</t>
  </si>
  <si>
    <t>PQ4720 M49 Z63 2012</t>
  </si>
  <si>
    <t>0                      PQ 4720000M  49                 Z  63          2012</t>
  </si>
  <si>
    <t>Costanza Monti / Francesca Favaro.</t>
  </si>
  <si>
    <t>Favaro, Francesca, 1972-</t>
  </si>
  <si>
    <t>Perugia : Ali &amp; no, [2012]</t>
  </si>
  <si>
    <t>Le farfalle ; 6</t>
  </si>
  <si>
    <t>1746024383:ita</t>
  </si>
  <si>
    <t>844695445</t>
  </si>
  <si>
    <t>ocn844695445</t>
  </si>
  <si>
    <t>3103126252P</t>
  </si>
  <si>
    <t>9788862540957</t>
  </si>
  <si>
    <t>794948649</t>
  </si>
  <si>
    <t>PQ4720 N7 C513 2014</t>
  </si>
  <si>
    <t>0                      PQ 4720000N  7                  C  513         2014</t>
  </si>
  <si>
    <t>Confessions of an Italian / Ippolito Nievo ; translated by Frederika Randall ; with an introduction by Lucy Riall.</t>
  </si>
  <si>
    <t>Nievo, Ippolito, 1831-1861, author.</t>
  </si>
  <si>
    <t>London, England : Penguin Books, 2014.</t>
  </si>
  <si>
    <t>2019-09-04</t>
  </si>
  <si>
    <t>2871726176:eng</t>
  </si>
  <si>
    <t>872977837</t>
  </si>
  <si>
    <t>ocn872977837</t>
  </si>
  <si>
    <t>3103608546P</t>
  </si>
  <si>
    <t>9780141391663</t>
  </si>
  <si>
    <t>794968320</t>
  </si>
  <si>
    <t>PQ4720 N7 Z578 2011</t>
  </si>
  <si>
    <t>0                      PQ 4720000N  7                  Z  578         2011</t>
  </si>
  <si>
    <t>Ippolito Nievo : uno scrittore politico / Elsa Chaarani Lesourd.</t>
  </si>
  <si>
    <t>Chaarani Lesourd, Elsa.</t>
  </si>
  <si>
    <t>929371996:ita</t>
  </si>
  <si>
    <t>740627214</t>
  </si>
  <si>
    <t>ocn740627214</t>
  </si>
  <si>
    <t>3103125468L</t>
  </si>
  <si>
    <t>9788831709668</t>
  </si>
  <si>
    <t>794883353</t>
  </si>
  <si>
    <t>PQ4720 N7 Z657 2011</t>
  </si>
  <si>
    <t>0                      PQ 4720000N  7                  Z  657         2011</t>
  </si>
  <si>
    <t>Studi su Ippolito Nievo : lingua e narrazione / Pier Vincenzo Mengaldo.</t>
  </si>
  <si>
    <t>Padova : Esedra, ©2011.</t>
  </si>
  <si>
    <t>L'upupa ; 6</t>
  </si>
  <si>
    <t>1044135179:ita</t>
  </si>
  <si>
    <t>760988583</t>
  </si>
  <si>
    <t>ocn760988583</t>
  </si>
  <si>
    <t>3103125585E</t>
  </si>
  <si>
    <t>9788860580740</t>
  </si>
  <si>
    <t>794898908</t>
  </si>
  <si>
    <t>PQ4721 A12 2011</t>
  </si>
  <si>
    <t>0                      PQ 4721000A  12          2011</t>
  </si>
  <si>
    <t>Alcune poesie di Ripano Eupilino / Giuseppe Parini ; a cura di Maria Cristina Albonico ; presentazione di Giorgio Baroni ; introduzione di Anna Bellio.</t>
  </si>
  <si>
    <t>Parini, Giuseppe, 1729-1799.</t>
  </si>
  <si>
    <t>Pisa : F. Serra, 2011.</t>
  </si>
  <si>
    <t>Edizione nazionale delle opere di Giuseppe Parini</t>
  </si>
  <si>
    <t>61690156:ita</t>
  </si>
  <si>
    <t>719414050</t>
  </si>
  <si>
    <t>ocn719414050</t>
  </si>
  <si>
    <t>3103125410V</t>
  </si>
  <si>
    <t>9788862273954</t>
  </si>
  <si>
    <t>794874408</t>
  </si>
  <si>
    <t>PQ4721 A25 2012</t>
  </si>
  <si>
    <t>0                      PQ 4721000A  25          2012</t>
  </si>
  <si>
    <t>Prose : scritti polemici, 1756-1760 / Giuseppe Parini ; a cura di Silvia Morgana e Paolo Bartesaghi.</t>
  </si>
  <si>
    <t>Pisa : Fabrizio Serra, 2012.</t>
  </si>
  <si>
    <t>3771477603:ita</t>
  </si>
  <si>
    <t>785336061</t>
  </si>
  <si>
    <t>ocn785336061</t>
  </si>
  <si>
    <t>3103125773A</t>
  </si>
  <si>
    <t>9788862274234</t>
  </si>
  <si>
    <t>794914807</t>
  </si>
  <si>
    <t>PQ4730 P29 T7 1983</t>
  </si>
  <si>
    <t>0                      PQ 4730000P  29                 T  7           1983</t>
  </si>
  <si>
    <t>La "trilogia di Giulietta" di Antonio Piazza / Antonia Mazza Tonucci.</t>
  </si>
  <si>
    <t>Piazza, Antonio, 1742-1825.</t>
  </si>
  <si>
    <t>Azzate : Edizioni Otto/Novecento, ©1983.</t>
  </si>
  <si>
    <t>Critica ed esegesi</t>
  </si>
  <si>
    <t>365604816:ita</t>
  </si>
  <si>
    <t>10924472</t>
  </si>
  <si>
    <t>ocm10924472</t>
  </si>
  <si>
    <t>30003624804</t>
  </si>
  <si>
    <t>792749862</t>
  </si>
  <si>
    <t>PQ4730 P73 1970</t>
  </si>
  <si>
    <t>0                      PQ 4730000P  73          1970</t>
  </si>
  <si>
    <t>Opere. A cura di Gabriele Catalano.</t>
  </si>
  <si>
    <t>Praga, Emilio, 1839-1875.</t>
  </si>
  <si>
    <t>Napoli, F. Rossi, 1970.</t>
  </si>
  <si>
    <t>2864356124:ita</t>
  </si>
  <si>
    <t>4871899</t>
  </si>
  <si>
    <t>ocm04871899</t>
  </si>
  <si>
    <t>3000615653U</t>
  </si>
  <si>
    <t>792389812</t>
  </si>
  <si>
    <t>PQ4730 P78 Z73 2014</t>
  </si>
  <si>
    <t>0                      PQ 4730000P  78                 Z  73          2014</t>
  </si>
  <si>
    <t>Reviewing Mario Pratesi : the critical press and its influence / Anne Urbancic.</t>
  </si>
  <si>
    <t>Urbancic, Anne, author.</t>
  </si>
  <si>
    <t>2060242054:eng</t>
  </si>
  <si>
    <t>879584248</t>
  </si>
  <si>
    <t>ocn879584248</t>
  </si>
  <si>
    <t>31034947640</t>
  </si>
  <si>
    <t>9781442648715</t>
  </si>
  <si>
    <t>794972406</t>
  </si>
  <si>
    <t>PQ4730 R2 T4 1976</t>
  </si>
  <si>
    <t>0                      PQ 4730000R  2                  T  4           1976</t>
  </si>
  <si>
    <t>Teresa / Neera [i.e. A.Z. Radius] ; nota introduttiva di Luigi Baldacci.</t>
  </si>
  <si>
    <t>Neera, 1846-1918.</t>
  </si>
  <si>
    <t>Torino : Einaudi, 1976.</t>
  </si>
  <si>
    <t>Centopagine ; 42</t>
  </si>
  <si>
    <t>13920044:ita</t>
  </si>
  <si>
    <t>3991246</t>
  </si>
  <si>
    <t>ocm03991246</t>
  </si>
  <si>
    <t>30001709624</t>
  </si>
  <si>
    <t>792311784</t>
  </si>
  <si>
    <t>PQ4730 R2 T413 1998</t>
  </si>
  <si>
    <t>0                      PQ 4730000R  2                  T  413         1998</t>
  </si>
  <si>
    <t>Teresa / Neera ; translated from the Italian by Martha King.</t>
  </si>
  <si>
    <t>Evanston, Ill. : Northwestern University Press, 1998.</t>
  </si>
  <si>
    <t>European classics</t>
  </si>
  <si>
    <t>13920044:eng</t>
  </si>
  <si>
    <t>39982248</t>
  </si>
  <si>
    <t>ocm39982248</t>
  </si>
  <si>
    <t>31021578155</t>
  </si>
  <si>
    <t>9780810116627</t>
  </si>
  <si>
    <t>793558308</t>
  </si>
  <si>
    <t>PQ4732 S456 Z464 2013</t>
  </si>
  <si>
    <t>0                      PQ 4732000S  456                Z  464         2013</t>
  </si>
  <si>
    <t>The diary of Elio Schmitz : scenes from the world of Italo Svevo / Carmine G. Di Biase.</t>
  </si>
  <si>
    <t>Di Biase, Carmine, 1959- author.</t>
  </si>
  <si>
    <t>Leics, UK : Troubador Publishing, ©2013.</t>
  </si>
  <si>
    <t>2014-06-17</t>
  </si>
  <si>
    <t>1880832618:eng</t>
  </si>
  <si>
    <t>838791904</t>
  </si>
  <si>
    <t>ocn838791904</t>
  </si>
  <si>
    <t>3103500541S</t>
  </si>
  <si>
    <t>9781780881133</t>
  </si>
  <si>
    <t>794945428</t>
  </si>
  <si>
    <t>PQ4733 T3 A28 1992</t>
  </si>
  <si>
    <t>0                      PQ 4733000T  3                  A  28          1992</t>
  </si>
  <si>
    <t>Fantastic tales / I.U. Tarchetti ; edited and translated by Lawrence Venuti ; with original illustrations by Jim Pearson.</t>
  </si>
  <si>
    <t>Tarchetti, Iginio Ugo, 1841-1869.</t>
  </si>
  <si>
    <t>San Francisco : Mercury House, ©1992.</t>
  </si>
  <si>
    <t>11753569:eng</t>
  </si>
  <si>
    <t>24504076</t>
  </si>
  <si>
    <t>ocm24504076</t>
  </si>
  <si>
    <t>31012153496</t>
  </si>
  <si>
    <t>9781562790202</t>
  </si>
  <si>
    <t>793199787</t>
  </si>
  <si>
    <t>PQ4733 T3 F613 1994</t>
  </si>
  <si>
    <t>0                      PQ 4733000T  3                  F  613         1994</t>
  </si>
  <si>
    <t>Passion / I.U. Tarchetti ; translated by Lawrence Venuti.</t>
  </si>
  <si>
    <t>San Francisco : Mercury House, ©1994.</t>
  </si>
  <si>
    <t>1938174:eng</t>
  </si>
  <si>
    <t>30156290</t>
  </si>
  <si>
    <t>ocm30156290</t>
  </si>
  <si>
    <t>3103349324V</t>
  </si>
  <si>
    <t>9781562790646</t>
  </si>
  <si>
    <t>793331072</t>
  </si>
  <si>
    <t>PQ4733 T3 Z85 2011</t>
  </si>
  <si>
    <t>0                      PQ 4733000T  3                  Z  85          2011</t>
  </si>
  <si>
    <t>Iginio Ugo Tarchetti : anatomia di un'anima / Francesco Ruchin ; introduzione di Marino Biondi ; presentazione di Corrado Tagliabue.</t>
  </si>
  <si>
    <t>Ruchin, Francesco.</t>
  </si>
  <si>
    <t>Prato : Pentalinea, ©2011.</t>
  </si>
  <si>
    <t>900366365:ita</t>
  </si>
  <si>
    <t>724303318</t>
  </si>
  <si>
    <t>ocn724303318</t>
  </si>
  <si>
    <t>3103125378M</t>
  </si>
  <si>
    <t>9788886855860</t>
  </si>
  <si>
    <t>794876294</t>
  </si>
  <si>
    <t>PQ4733 T7 M3 1973</t>
  </si>
  <si>
    <t>0                      PQ 4733000T  7                  M  3           1973</t>
  </si>
  <si>
    <t>Un matrimonio in provincia / Marchesa Colombi ; nota introduttiva di Natalia Ginzburg.</t>
  </si>
  <si>
    <t>Colombi, marchesa, 1840-1920.</t>
  </si>
  <si>
    <t>Torino : Einaudi, 1973.</t>
  </si>
  <si>
    <t>Centopagine ; 23</t>
  </si>
  <si>
    <t>4162832594:ita</t>
  </si>
  <si>
    <t>950808</t>
  </si>
  <si>
    <t>ocm00950808</t>
  </si>
  <si>
    <t>3000172882T</t>
  </si>
  <si>
    <t>791510145</t>
  </si>
  <si>
    <t>PQ4733 T7 M3 1993</t>
  </si>
  <si>
    <t>0                      PQ 4733000T  7                  M  3           1993</t>
  </si>
  <si>
    <t>Un matrimonio in provincia / La Marchesa Colombi ; prefazione di Giuliana Morandini ; con un ritratto della scrittrice di Giovanni Segantini.</t>
  </si>
  <si>
    <t>Novara : Interlinea, ©1993.</t>
  </si>
  <si>
    <t>Biblioteca del Centro novarese di studi letterari ; 2</t>
  </si>
  <si>
    <t>30372331</t>
  </si>
  <si>
    <t>ocm30372331</t>
  </si>
  <si>
    <t>31014490493</t>
  </si>
  <si>
    <t>9788877990204</t>
  </si>
  <si>
    <t>793333938</t>
  </si>
  <si>
    <t>PQ4733 T838 2014</t>
  </si>
  <si>
    <t>0                      PQ 4733000T  838         2014</t>
  </si>
  <si>
    <t>Poesie / Claudio Trivulzio ; a cura di Giuseppe Alonzo.</t>
  </si>
  <si>
    <t>Trivulzio, Claudio, 1588-1649, author.</t>
  </si>
  <si>
    <t>[Bologna, Italy] : I libri di Emil, [2014]</t>
  </si>
  <si>
    <t>Biblioteca del Rinascimento e del Barocco ; 6</t>
  </si>
  <si>
    <t>2552449285:ita</t>
  </si>
  <si>
    <t>911267391</t>
  </si>
  <si>
    <t>ocn911267391</t>
  </si>
  <si>
    <t>3103627834D</t>
  </si>
  <si>
    <t>9788866801023</t>
  </si>
  <si>
    <t>794998284</t>
  </si>
  <si>
    <t>PQ4734 V5 A15 1968</t>
  </si>
  <si>
    <t>0                      PQ 4734000V  5                  A  15          1968</t>
  </si>
  <si>
    <t>Tutte le novelle ... Con la cronologia della vita di Verga e dei suoi tempi, un'introduzione all'opera, un'antologia critica e una bibliografia a cura di Corrado Simioni.</t>
  </si>
  <si>
    <t>Verga, Giovanni, 1840-1922.</t>
  </si>
  <si>
    <t>[Milano], A. Mondadori, 1968.</t>
  </si>
  <si>
    <t>Gli Oscar, 163-164</t>
  </si>
  <si>
    <t>2018-03-10</t>
  </si>
  <si>
    <t>3374216319:ita</t>
  </si>
  <si>
    <t>3835056</t>
  </si>
  <si>
    <t>ocm03835056</t>
  </si>
  <si>
    <t>31001461747</t>
  </si>
  <si>
    <t>792296807</t>
  </si>
  <si>
    <t>30003001125</t>
  </si>
  <si>
    <t>792296808</t>
  </si>
  <si>
    <t>PQ4734 V5 A24 1973</t>
  </si>
  <si>
    <t>0                      PQ 4734000V  5                  A  24          1973</t>
  </si>
  <si>
    <t>The she-wolf, and other stories / Giovanni Verga ; translated with an introduction by Giovanni Cecchetti.</t>
  </si>
  <si>
    <t>Verga, Giovanni, 1840-1922, author.</t>
  </si>
  <si>
    <t>Berkeley : University of California Press, [1973]</t>
  </si>
  <si>
    <t>Second edition, revised and enlarged.</t>
  </si>
  <si>
    <t>2003-09-09</t>
  </si>
  <si>
    <t>2016-08-04</t>
  </si>
  <si>
    <t>4159935814:eng</t>
  </si>
  <si>
    <t>674355</t>
  </si>
  <si>
    <t>ocm00674355</t>
  </si>
  <si>
    <t>3102277678I</t>
  </si>
  <si>
    <t>9780520021532</t>
  </si>
  <si>
    <t>791443345</t>
  </si>
  <si>
    <t>3000192499G</t>
  </si>
  <si>
    <t>791443346</t>
  </si>
  <si>
    <t>PQ4734 V5 M33 1983</t>
  </si>
  <si>
    <t>0                      PQ 4734000V  5                  M  33          1983</t>
  </si>
  <si>
    <t>The house by the medlar tree / Giovanni Verga ; translated by Raymond Rosenthal ; with a new introduction by Giovanni Cecchetti.</t>
  </si>
  <si>
    <t>Berkeley : University of California Press, ©1983.</t>
  </si>
  <si>
    <t>2016-05-02</t>
  </si>
  <si>
    <t>885165:eng</t>
  </si>
  <si>
    <t>9324156</t>
  </si>
  <si>
    <t>ocm09324156</t>
  </si>
  <si>
    <t>3103143158U</t>
  </si>
  <si>
    <t>9780520048461</t>
  </si>
  <si>
    <t>792670133</t>
  </si>
  <si>
    <t>PQ4734 V5 M33x</t>
  </si>
  <si>
    <t>0                      PQ 4734000V  5                  M  33x</t>
  </si>
  <si>
    <t>The house by the medlar tree / by Giovanni Verga ; translated from the Italian by Eric Mosbacher.</t>
  </si>
  <si>
    <t>New York : Grove Press, ©1953.</t>
  </si>
  <si>
    <t>2019-03-15</t>
  </si>
  <si>
    <t>634894</t>
  </si>
  <si>
    <t>ocm00634894</t>
  </si>
  <si>
    <t>3000523757T</t>
  </si>
  <si>
    <t>791433872</t>
  </si>
  <si>
    <t>2016-01-11</t>
  </si>
  <si>
    <t>3000250328X</t>
  </si>
  <si>
    <t>791433871</t>
  </si>
  <si>
    <t>PQ4734 V5 M359 2012</t>
  </si>
  <si>
    <t>0                      PQ 4734000V  5                  M  359         2012</t>
  </si>
  <si>
    <t>Dipingere coi colori adatti : I Malavoglia e il romanzo moderno / Alessio Baldini.</t>
  </si>
  <si>
    <t>Baldini, Alessio.</t>
  </si>
  <si>
    <t>Macerata : Quodlibet, 2012.</t>
  </si>
  <si>
    <t>1119146868:ita</t>
  </si>
  <si>
    <t>795156510</t>
  </si>
  <si>
    <t>ocn795156510</t>
  </si>
  <si>
    <t>3103125805L</t>
  </si>
  <si>
    <t>9788874624249</t>
  </si>
  <si>
    <t>794920892</t>
  </si>
  <si>
    <t>PQ4734 V5 M38 2011</t>
  </si>
  <si>
    <t>0                      PQ 4734000V  5                  M  38          2011</t>
  </si>
  <si>
    <t>Evoluzione dei personaggi femminili dalla prima alla seconda redazione del Mastro don Gesualdo : tesi di laurea / Maria Rita D'Alessandro.</t>
  </si>
  <si>
    <t>D'Alessandro, Maria Rita.</t>
  </si>
  <si>
    <t>Castiglione di Sicilia (Catania) : Il convivio, 2011.</t>
  </si>
  <si>
    <t>Serie Clio ; n. 3</t>
  </si>
  <si>
    <t>1042577376:ita</t>
  </si>
  <si>
    <t>730398198</t>
  </si>
  <si>
    <t>ocn730398198</t>
  </si>
  <si>
    <t>3103125492F</t>
  </si>
  <si>
    <t>9788895503103</t>
  </si>
  <si>
    <t>794879991</t>
  </si>
  <si>
    <t>PQ4734 V5 N626 1924</t>
  </si>
  <si>
    <t>0                      PQ 4734000V  5                  N  626         1924</t>
  </si>
  <si>
    <t>Novelle rusticane / Giovanni Verga ; a cura e con un saggio introduttivo di Luigi Russo.</t>
  </si>
  <si>
    <t>Firenze : Vallecchi Editore, 1924.</t>
  </si>
  <si>
    <t>1924</t>
  </si>
  <si>
    <t>Classici Italiani commentati</t>
  </si>
  <si>
    <t>2017-10-19</t>
  </si>
  <si>
    <t>4917877426:ita</t>
  </si>
  <si>
    <t>7644059</t>
  </si>
  <si>
    <t>ocm07644059</t>
  </si>
  <si>
    <t>30005437975</t>
  </si>
  <si>
    <t>792572188</t>
  </si>
  <si>
    <t>PQ4734 V5 V536 2011</t>
  </si>
  <si>
    <t>0                      PQ 4734000V  5                  V  536         2011</t>
  </si>
  <si>
    <t>La lingua fusa : la prosa di Vita dei campi, dal parlato popolare allo scritto-narrato / Daria Motta.</t>
  </si>
  <si>
    <t>Motta, Daria.</t>
  </si>
  <si>
    <t>Biblioteca della Fondazione Verga. Serie Studi ; 12</t>
  </si>
  <si>
    <t>1079611454:ita</t>
  </si>
  <si>
    <t>776487598</t>
  </si>
  <si>
    <t>ocn776487598</t>
  </si>
  <si>
    <t>3103125676D</t>
  </si>
  <si>
    <t>9788877967411</t>
  </si>
  <si>
    <t>794908054</t>
  </si>
  <si>
    <t>PQ4734 V5 Z48 2011</t>
  </si>
  <si>
    <t>0                      PQ 4734000V  5                  Z  48          2011</t>
  </si>
  <si>
    <t>Lettere alla famiglia, 1851-1880 / Giovanni Verga ; a cura di Giuseppe Savoca e Antonio Di Silvestro.</t>
  </si>
  <si>
    <t>Acireale (Catania) : Bonanno, ©2011.</t>
  </si>
  <si>
    <t>Intersezioni ; 1</t>
  </si>
  <si>
    <t>1083654477:ita</t>
  </si>
  <si>
    <t>779253105</t>
  </si>
  <si>
    <t>ocn779253105</t>
  </si>
  <si>
    <t>31031258855</t>
  </si>
  <si>
    <t>9788877968678</t>
  </si>
  <si>
    <t>794910666</t>
  </si>
  <si>
    <t>PQ4734 V5 Z595 2010</t>
  </si>
  <si>
    <t>0                      PQ 4734000V  5                  Z  595         2010</t>
  </si>
  <si>
    <t>La figura del fanciullo nelle novelle di Giovanni Verga / Roberta Bellan.</t>
  </si>
  <si>
    <t>Bellan, Roberta, 1979-</t>
  </si>
  <si>
    <t>Roma : Il filo, 2010.</t>
  </si>
  <si>
    <t>Chronos. Nuove voci</t>
  </si>
  <si>
    <t>510681144:ita</t>
  </si>
  <si>
    <t>647667029</t>
  </si>
  <si>
    <t>ocn647667029</t>
  </si>
  <si>
    <t>3103125144Y</t>
  </si>
  <si>
    <t>9788856718485</t>
  </si>
  <si>
    <t>794830852</t>
  </si>
  <si>
    <t>PQ4734 V5 Z6527</t>
  </si>
  <si>
    <t>0                      PQ 4734000V  5                  Z  6527</t>
  </si>
  <si>
    <t>Giovanni Verga / by Giovanni Cecchetti.</t>
  </si>
  <si>
    <t>Cecchetti, Giovanni, 1922-1998.</t>
  </si>
  <si>
    <t>Boston : Twayne Publishers, ©1978.</t>
  </si>
  <si>
    <t>Twayne's world authors series ; TWAS 489 : Italy</t>
  </si>
  <si>
    <t>11180463:eng</t>
  </si>
  <si>
    <t>3609886</t>
  </si>
  <si>
    <t>ocm03609886</t>
  </si>
  <si>
    <t>3000414427L</t>
  </si>
  <si>
    <t>9780805763300</t>
  </si>
  <si>
    <t>792273081</t>
  </si>
  <si>
    <t>PQ4734 V5 Z6534 2012</t>
  </si>
  <si>
    <t>0                      PQ 4734000V  5                  Z  6534        2012</t>
  </si>
  <si>
    <t>La tinta uniforme del romanzo : il ciclo verghiano dell'eros / Andrea Cedola.</t>
  </si>
  <si>
    <t>Cedola, Andrea.</t>
  </si>
  <si>
    <t>Ravenna : G. Pozzi, ©2012.</t>
  </si>
  <si>
    <t>Studi e testi di cultura letteraria ; 3</t>
  </si>
  <si>
    <t>1142525906:ita</t>
  </si>
  <si>
    <t>802322860</t>
  </si>
  <si>
    <t>ocn802322860</t>
  </si>
  <si>
    <t>31031258639</t>
  </si>
  <si>
    <t>9788896117194</t>
  </si>
  <si>
    <t>794925586</t>
  </si>
  <si>
    <t>PQ4734 V5 Z65748 2012</t>
  </si>
  <si>
    <t>0                      PQ 4734000V  5                  Z  65748       2012</t>
  </si>
  <si>
    <t>In forma di lettera : la scrittura epistolare di Verga tra filologia e critica / Antonio Di Silvestro.</t>
  </si>
  <si>
    <t>Di Silvestro, Antonio.</t>
  </si>
  <si>
    <t>Acireale : Bonanno, ©2012.</t>
  </si>
  <si>
    <t>Intersezioni ; 4</t>
  </si>
  <si>
    <t>1211046439:ita</t>
  </si>
  <si>
    <t>828889440</t>
  </si>
  <si>
    <t>ocn828889440</t>
  </si>
  <si>
    <t>31031261081</t>
  </si>
  <si>
    <t>9788877969682</t>
  </si>
  <si>
    <t>794941882</t>
  </si>
  <si>
    <t>PQ4734 V5 Z66225 2011</t>
  </si>
  <si>
    <t>0                      PQ 4734000V  5                  Z  66225       2011</t>
  </si>
  <si>
    <t>Verga, Pirandello e altri siciliani / Pietro Gibellini.</t>
  </si>
  <si>
    <t>Gibellini, Pietro.</t>
  </si>
  <si>
    <t>Lecce : Milella, ©2011.</t>
  </si>
  <si>
    <t>Collana "Per un'ermeneutica militante" ; n. 1</t>
  </si>
  <si>
    <t>1042848495:ita</t>
  </si>
  <si>
    <t>760054027</t>
  </si>
  <si>
    <t>ocn760054027</t>
  </si>
  <si>
    <t>3103125598C</t>
  </si>
  <si>
    <t>9788870484908</t>
  </si>
  <si>
    <t>794898179</t>
  </si>
  <si>
    <t>PQ4734 V5 Z668 2012</t>
  </si>
  <si>
    <t>0                      PQ 4734000V  5                  Z  668         2012</t>
  </si>
  <si>
    <t>La verità difficile : indagini su Verga / Giuseppe Lo Castro.</t>
  </si>
  <si>
    <t>Lo Castro, Giuseppe.</t>
  </si>
  <si>
    <t>1090957222:ita</t>
  </si>
  <si>
    <t>781673166</t>
  </si>
  <si>
    <t>ocn781673166</t>
  </si>
  <si>
    <t>3103125718M</t>
  </si>
  <si>
    <t>9788820755430</t>
  </si>
  <si>
    <t>794912983</t>
  </si>
  <si>
    <t>PQ4734 V5 Z685</t>
  </si>
  <si>
    <t>0                      PQ 4734000V  5                  Z  685</t>
  </si>
  <si>
    <t>Verga / di Romano Luperini.</t>
  </si>
  <si>
    <t>Roma ; Bari : Laterza, [1975]</t>
  </si>
  <si>
    <t>Letteratura italiana Laterza ; 54</t>
  </si>
  <si>
    <t>4925760058:ita</t>
  </si>
  <si>
    <t>2376535</t>
  </si>
  <si>
    <t>ocm02376535</t>
  </si>
  <si>
    <t>3000406308P</t>
  </si>
  <si>
    <t>792111805</t>
  </si>
  <si>
    <t>PQ4734 V5 Z6854 2011</t>
  </si>
  <si>
    <t>0                      PQ 4734000V  5                  Z  6854        2011</t>
  </si>
  <si>
    <t>Verga / Andrea Manganaro.</t>
  </si>
  <si>
    <t>Manganaro, Andrea.</t>
  </si>
  <si>
    <t>Scrittori d'Italia ; 1</t>
  </si>
  <si>
    <t>1064721053:ita</t>
  </si>
  <si>
    <t>768810286</t>
  </si>
  <si>
    <t>ocn768810286</t>
  </si>
  <si>
    <t>31031257848</t>
  </si>
  <si>
    <t>9788877965370</t>
  </si>
  <si>
    <t>794902858</t>
  </si>
  <si>
    <t>PQ4734 V5 Z69</t>
  </si>
  <si>
    <t>0                      PQ 4734000V  5                  Z  69</t>
  </si>
  <si>
    <t>Preverismo, Verga e la generazione verghiana; la letteratura italiana dell'Ottocento.</t>
  </si>
  <si>
    <t>Marzot, Giulio.</t>
  </si>
  <si>
    <t>Universale Cappelli, 101. Serie storia della letteratura italiana</t>
  </si>
  <si>
    <t>1647943:ita</t>
  </si>
  <si>
    <t>10669329</t>
  </si>
  <si>
    <t>ocm10669329</t>
  </si>
  <si>
    <t>3000615670U</t>
  </si>
  <si>
    <t>792736760</t>
  </si>
  <si>
    <t>2003-01-20</t>
  </si>
  <si>
    <t>3000202017X</t>
  </si>
  <si>
    <t>792736761</t>
  </si>
  <si>
    <t>PQ4734 V5 Z852 2018</t>
  </si>
  <si>
    <t>0                      PQ 4734000V  5                  Z  852         2018</t>
  </si>
  <si>
    <t>La narrazione verista della nazione : analisi diacroniche delle scelte concettuali e stilistiche nella narrativa di Giovanni Verga / Angelo Pagliardini, Universität Innsbruck ; prefazione di Gabriella Alfieri.</t>
  </si>
  <si>
    <t>Pagliardini, Angelo, author.</t>
  </si>
  <si>
    <t>Canterano (RM) : Aracne editrice, gennaio 2018.</t>
  </si>
  <si>
    <t>5163403498:ita</t>
  </si>
  <si>
    <t>1032031852</t>
  </si>
  <si>
    <t>on1032031852</t>
  </si>
  <si>
    <t>3103785041F</t>
  </si>
  <si>
    <t>9788854899513</t>
  </si>
  <si>
    <t>795055895</t>
  </si>
  <si>
    <t>PQ4734 V5 Z8587 2011</t>
  </si>
  <si>
    <t>0                      PQ 4734000V  5                  Z  8587        2011</t>
  </si>
  <si>
    <t>Verga / Francesca Pilato, Luisella Mesiano ; progetto di Marziano Guglielminetti.</t>
  </si>
  <si>
    <t>Pilato, Francesca.</t>
  </si>
  <si>
    <t>Classici italiani moderni e contemporanei</t>
  </si>
  <si>
    <t>5092066566:ita</t>
  </si>
  <si>
    <t>760053795</t>
  </si>
  <si>
    <t>ocn760053795</t>
  </si>
  <si>
    <t>3103125591C</t>
  </si>
  <si>
    <t>9788843060993</t>
  </si>
  <si>
    <t>794898167</t>
  </si>
  <si>
    <t>PQ4801 L75 Z84</t>
  </si>
  <si>
    <t>0                      PQ 4801000L  75                 Z  84</t>
  </si>
  <si>
    <t>La Politica di Alvaro / saggi di G. Cingari [and others].</t>
  </si>
  <si>
    <t>[Cosenza] : Lerici, [1977?]</t>
  </si>
  <si>
    <t>2017-09-11</t>
  </si>
  <si>
    <t>424876533:ita</t>
  </si>
  <si>
    <t>3842300</t>
  </si>
  <si>
    <t>ocm03842300</t>
  </si>
  <si>
    <t>31002455236</t>
  </si>
  <si>
    <t>792297277</t>
  </si>
  <si>
    <t>PQ4803 A15 1949</t>
  </si>
  <si>
    <t>0                      PQ 4803000A  15          1949</t>
  </si>
  <si>
    <t>Prose di romanzi.</t>
  </si>
  <si>
    <t>D'Annunzio, Gabriele, 1863-1938.</t>
  </si>
  <si>
    <t>Milano, Mondadori, 1949]</t>
  </si>
  <si>
    <t>[3. ed.</t>
  </si>
  <si>
    <t>2017-11-07</t>
  </si>
  <si>
    <t>4495386831:ita</t>
  </si>
  <si>
    <t>15515954</t>
  </si>
  <si>
    <t>ocm15515954</t>
  </si>
  <si>
    <t>31032978147</t>
  </si>
  <si>
    <t>792933862</t>
  </si>
  <si>
    <t>31032974737</t>
  </si>
  <si>
    <t>792933863</t>
  </si>
  <si>
    <t>PQ4803 A15 1968</t>
  </si>
  <si>
    <t>0                      PQ 4803000A  15          1968</t>
  </si>
  <si>
    <t>Milano : Mondadori</t>
  </si>
  <si>
    <t>[8th ed.].</t>
  </si>
  <si>
    <t>I Classici contemporanei italiani</t>
  </si>
  <si>
    <t>1999-05-03</t>
  </si>
  <si>
    <t>2019-11-23</t>
  </si>
  <si>
    <t>61578131</t>
  </si>
  <si>
    <t>ocm61578131</t>
  </si>
  <si>
    <t>3100423319D</t>
  </si>
  <si>
    <t>794013854</t>
  </si>
  <si>
    <t>31039802468</t>
  </si>
  <si>
    <t>794013855</t>
  </si>
  <si>
    <t>PQ4803 A15 1988</t>
  </si>
  <si>
    <t>0                      PQ 4803000A  15          1988</t>
  </si>
  <si>
    <t>Prose di romanzi / Gabriele D'Annunzio ; edizione diretta da Ezio Raimondi ; a cura di Annamaria Andreoli ; introduzione di Ezio Raimondi.</t>
  </si>
  <si>
    <t>Milano : A. Mondadori, 1988-1989.</t>
  </si>
  <si>
    <t>1a ed. I Meridiani.</t>
  </si>
  <si>
    <t>2017-10-07</t>
  </si>
  <si>
    <t>2017-10-26</t>
  </si>
  <si>
    <t>2863393545:ita</t>
  </si>
  <si>
    <t>20431132</t>
  </si>
  <si>
    <t>ocm20431132</t>
  </si>
  <si>
    <t>3101317837D</t>
  </si>
  <si>
    <t>9788804312031</t>
  </si>
  <si>
    <t>793087749</t>
  </si>
  <si>
    <t>3101317838B</t>
  </si>
  <si>
    <t>793087748</t>
  </si>
  <si>
    <t>PQ4803 A16 1958</t>
  </si>
  <si>
    <t>0                      PQ 4803000A  16          1958</t>
  </si>
  <si>
    <t>Prose di ricerca, di lotta, di comando, di conquista, di tormento, d'indovinamento, di rinnovamento, di celebrazione, di rivendicazione, di liberazione, di favole, di giochi, di baleni / Gabriele d'Annunzio.</t>
  </si>
  <si>
    <t>Milano : A. Mondadori, 1958-1962.</t>
  </si>
  <si>
    <t>3. ed.</t>
  </si>
  <si>
    <t>Tutte le opere di Gabriele d'Annunzio, a cura di E. Bianchetti</t>
  </si>
  <si>
    <t>2863422176:ita</t>
  </si>
  <si>
    <t>24110282</t>
  </si>
  <si>
    <t>ocm24110282</t>
  </si>
  <si>
    <t>3100146172B</t>
  </si>
  <si>
    <t>793190131</t>
  </si>
  <si>
    <t>3100146181A</t>
  </si>
  <si>
    <t>793190130</t>
  </si>
  <si>
    <t>3000251895U</t>
  </si>
  <si>
    <t>793190132</t>
  </si>
  <si>
    <t>PQ4803 A16 2010</t>
  </si>
  <si>
    <t>0                      PQ 4803000A  16          2010</t>
  </si>
  <si>
    <t>Novelle sparse / Gabriele D'Annunzio ; [a cura di Srecko Jurisic].</t>
  </si>
  <si>
    <t>Roma : Bel-Ami, 2010.</t>
  </si>
  <si>
    <t>1. ed. Bel-Ami.</t>
  </si>
  <si>
    <t>Classici sommersi ; 4</t>
  </si>
  <si>
    <t>2017-06-10</t>
  </si>
  <si>
    <t>818459330:ita</t>
  </si>
  <si>
    <t>707460082</t>
  </si>
  <si>
    <t>ocn707460082</t>
  </si>
  <si>
    <t>3103125383K</t>
  </si>
  <si>
    <t>9788896289105</t>
  </si>
  <si>
    <t>794867755</t>
  </si>
  <si>
    <t>PQ4803 A17 1993</t>
  </si>
  <si>
    <t>0                      PQ 4803000A  17          1993</t>
  </si>
  <si>
    <t>Versi d'amore e di gloria / Gabriele D'Annunzio ; edizione diretta da Luciano Anceschi a cura di Annamaria Andreoli e Niva Lorenzini ; introduzione di Luciano Anceschi.</t>
  </si>
  <si>
    <t>Milano : A. Mondadori, 1989.</t>
  </si>
  <si>
    <t>2017-03-26</t>
  </si>
  <si>
    <t>3373465054:ita</t>
  </si>
  <si>
    <t>23000588</t>
  </si>
  <si>
    <t>ocm23000588</t>
  </si>
  <si>
    <t>31013152671</t>
  </si>
  <si>
    <t>9788804206620</t>
  </si>
  <si>
    <t>793159098</t>
  </si>
  <si>
    <t>31013152663</t>
  </si>
  <si>
    <t>793159099</t>
  </si>
  <si>
    <t>PQ4803 A19 2013</t>
  </si>
  <si>
    <t>0                      PQ 4803000A  19          2013</t>
  </si>
  <si>
    <t>Tragedie, sogni e misteri / Gabriele D'Annunzio ; a cura di Annamaria Andreoli, con la collaborazione di Giorgio Zanetti.</t>
  </si>
  <si>
    <t>D'Annunzio, Gabriele, 1863-1938, author.</t>
  </si>
  <si>
    <t>Milano : Mondadori, febrero 2013.</t>
  </si>
  <si>
    <t>I edizione I meridiani.</t>
  </si>
  <si>
    <t>4918827515:ita</t>
  </si>
  <si>
    <t>836773325</t>
  </si>
  <si>
    <t>ocn836773325</t>
  </si>
  <si>
    <t>3103126186M</t>
  </si>
  <si>
    <t>9788804627098</t>
  </si>
  <si>
    <t>794944953</t>
  </si>
  <si>
    <t>3103126181M</t>
  </si>
  <si>
    <t>794944954</t>
  </si>
  <si>
    <t>PQ4803 A6 2011</t>
  </si>
  <si>
    <t>0                      PQ 4803000A  6           2011</t>
  </si>
  <si>
    <t>Alcyone / Gabriele d'Annunzio ; a cura di Federico Roncoroni.</t>
  </si>
  <si>
    <t>Milano : Arnaldo Mondadori, 2011.</t>
  </si>
  <si>
    <t>Oscar Mondadori. Opere di Gabriele D'Annunzio</t>
  </si>
  <si>
    <t>2017-01-03</t>
  </si>
  <si>
    <t>697738:ita</t>
  </si>
  <si>
    <t>825107750</t>
  </si>
  <si>
    <t>ocn825107750</t>
  </si>
  <si>
    <t>3103483514P</t>
  </si>
  <si>
    <t>9788804500001</t>
  </si>
  <si>
    <t>794938492</t>
  </si>
  <si>
    <t>PQ4803 C5 1996</t>
  </si>
  <si>
    <t>0                      PQ 4803000C  5           1996</t>
  </si>
  <si>
    <t>La città morta / Gabriele D'Annunzio ; a cura di Milva Maria Cappellini.</t>
  </si>
  <si>
    <t>1. ed. Oscar Opere di Gabriele d'Annunzio.</t>
  </si>
  <si>
    <t>Oscar Mondadori</t>
  </si>
  <si>
    <t>4918839562:ita</t>
  </si>
  <si>
    <t>35980432</t>
  </si>
  <si>
    <t>ocm35980432</t>
  </si>
  <si>
    <t>3101829420W</t>
  </si>
  <si>
    <t>9788804418627</t>
  </si>
  <si>
    <t>793463203</t>
  </si>
  <si>
    <t>PQ4803 C66 1995</t>
  </si>
  <si>
    <t>0                      PQ 4803000C  66          1995</t>
  </si>
  <si>
    <t>Contemplazione della morte / Gabriele d'Annunzio ; a cura di Raffaella Castagnola.</t>
  </si>
  <si>
    <t>Milano : A. Mondadori, 1995.</t>
  </si>
  <si>
    <t>Opere di Gabriele d'Annunzio</t>
  </si>
  <si>
    <t>2512929:ita</t>
  </si>
  <si>
    <t>33998092</t>
  </si>
  <si>
    <t>ocm33998092</t>
  </si>
  <si>
    <t>31015181885</t>
  </si>
  <si>
    <t>9788804403173</t>
  </si>
  <si>
    <t>793416162</t>
  </si>
  <si>
    <t>PQ4803 F63 F67 2011</t>
  </si>
  <si>
    <t>0                      PQ 4803000F  63                 F  67          2011</t>
  </si>
  <si>
    <t>Forse che sì forse che no : Gabriele D'Annunzio a Mantova : atti del convegno di studi nel primo centenario della pubblicazione del romanzo, Mantova, Accademia Nazionale Virgiliana, 24 aprile 2010 / a cura di Rodolfo Signorini.</t>
  </si>
  <si>
    <t>Miscellanea / Accademia nazionale virgiliana di scienze, lettere e arti ; 20</t>
  </si>
  <si>
    <t>1090957345:ita</t>
  </si>
  <si>
    <t>781673308</t>
  </si>
  <si>
    <t>ocn781673308</t>
  </si>
  <si>
    <t>31031257926</t>
  </si>
  <si>
    <t>9788822261045</t>
  </si>
  <si>
    <t>794912988</t>
  </si>
  <si>
    <t>PQ4803 M216 2010</t>
  </si>
  <si>
    <t>0                      PQ 4803000M  216         2010</t>
  </si>
  <si>
    <t>Il martirio di San Sebastiano / Gabriele D'Annunzio ; a cura di Rossella Palmieri.</t>
  </si>
  <si>
    <t>Skené ; 12</t>
  </si>
  <si>
    <t>4160609707:ita</t>
  </si>
  <si>
    <t>609529851</t>
  </si>
  <si>
    <t>ocn609529851</t>
  </si>
  <si>
    <t>31031250440</t>
  </si>
  <si>
    <t>9788876003585</t>
  </si>
  <si>
    <t>794820010</t>
  </si>
  <si>
    <t>PQ4803 P5 1995</t>
  </si>
  <si>
    <t>0                      PQ 4803000P  5           1995</t>
  </si>
  <si>
    <t>Il piacere / Gabriele D'Annunzio ; a cura di Federico Roncoroni.</t>
  </si>
  <si>
    <t>Opere di Gabriele D'Annunzio</t>
  </si>
  <si>
    <t>3034452:ita</t>
  </si>
  <si>
    <t>33998101</t>
  </si>
  <si>
    <t>ocm33998101</t>
  </si>
  <si>
    <t>3101537669J</t>
  </si>
  <si>
    <t>9788804393474</t>
  </si>
  <si>
    <t>793416164</t>
  </si>
  <si>
    <t>PQ4803 P513 2013</t>
  </si>
  <si>
    <t>0                      PQ 4803000P  513         2013</t>
  </si>
  <si>
    <t>Pleasure / Gabriele D'Annunzio ; translated with a foreword and notes by Lara Gochin Raffaelli ; introduction by Alexander Stille.</t>
  </si>
  <si>
    <t>New York : Penguin Books, 2013.</t>
  </si>
  <si>
    <t>3034452:eng</t>
  </si>
  <si>
    <t>820123585</t>
  </si>
  <si>
    <t>ocn820123585</t>
  </si>
  <si>
    <t>3103504788Z</t>
  </si>
  <si>
    <t>9780143106746</t>
  </si>
  <si>
    <t>794935136</t>
  </si>
  <si>
    <t>PQ4803 Z3 F89 1989</t>
  </si>
  <si>
    <t>0                      PQ 4803000Z  3                  F  89          1989</t>
  </si>
  <si>
    <t>Francesca da Rimini / by Gabriele D'Annunzio ; translated by Arthur Symons.</t>
  </si>
  <si>
    <t>New York : H. Fertig, 1989, [©1902]</t>
  </si>
  <si>
    <t>2015-07-08</t>
  </si>
  <si>
    <t>2178336:eng</t>
  </si>
  <si>
    <t>17353849</t>
  </si>
  <si>
    <t>ocm17353849</t>
  </si>
  <si>
    <t>31009785034</t>
  </si>
  <si>
    <t>9780865273856</t>
  </si>
  <si>
    <t>792988831</t>
  </si>
  <si>
    <t>PQ4804 A4 2011</t>
  </si>
  <si>
    <t>0                      PQ 4804000A  4           2011</t>
  </si>
  <si>
    <t>Femmine e muse : epistolari e carteggi d'amore di Gabriele D'Annunzio / [a cura di] Franco Celenza.</t>
  </si>
  <si>
    <t>Saggi e carteggi dannunziani ; 11</t>
  </si>
  <si>
    <t>900366693:ita</t>
  </si>
  <si>
    <t>724303718</t>
  </si>
  <si>
    <t>ocn724303718</t>
  </si>
  <si>
    <t>3103125452N</t>
  </si>
  <si>
    <t>9788888302874</t>
  </si>
  <si>
    <t>794876300</t>
  </si>
  <si>
    <t>PQ4804 A422 2011</t>
  </si>
  <si>
    <t>0                      PQ 4804000A  422         2011</t>
  </si>
  <si>
    <t>Carteggio D'Annunzio-Bruers / a cura di Mirko Menna, Raffaella Castagnola ; con un saggio di Leonardo Lattarulo.</t>
  </si>
  <si>
    <t>Lanciano (Chieti) : R. Carabba, 2011.</t>
  </si>
  <si>
    <t>La biblioteca del particolare ; 18</t>
  </si>
  <si>
    <t>1028091337:ita</t>
  </si>
  <si>
    <t>757463355</t>
  </si>
  <si>
    <t>ocn757463355</t>
  </si>
  <si>
    <t>3103125545M</t>
  </si>
  <si>
    <t>9788863441529</t>
  </si>
  <si>
    <t>794895393</t>
  </si>
  <si>
    <t>PQ4804 A454 2011</t>
  </si>
  <si>
    <t>0                      PQ 4804000A  454         2011</t>
  </si>
  <si>
    <t>Inediti 1922-1936 : carteggio con maria Lombardi e altri scritti / Gabriele D'Annunzio. A cura di Filippo Caburlotto ...</t>
  </si>
  <si>
    <t>D'Annunzio, Gabriele 1863-1938</t>
  </si>
  <si>
    <t>Biblioteca dell' "Archivum romanicum" : Ser. 1, Storia, letteratura, paleografia ; 381</t>
  </si>
  <si>
    <t>1815270270:ita</t>
  </si>
  <si>
    <t>723549643</t>
  </si>
  <si>
    <t>ocn723549643</t>
  </si>
  <si>
    <t>3103125425T</t>
  </si>
  <si>
    <t>9788822260642</t>
  </si>
  <si>
    <t>794876043</t>
  </si>
  <si>
    <t>PQ4804 A466 2010</t>
  </si>
  <si>
    <t>0                      PQ 4804000A  466         2010</t>
  </si>
  <si>
    <t>Avrò la forza di scriverti : carteggio inedito D'Annunzio-Ester Pizzutti / a cura di Vito Moretti.</t>
  </si>
  <si>
    <t>La biblioteca del particolare ; 17</t>
  </si>
  <si>
    <t>757220143:ita</t>
  </si>
  <si>
    <t>681706363</t>
  </si>
  <si>
    <t>ocn681706363</t>
  </si>
  <si>
    <t>3103125233X</t>
  </si>
  <si>
    <t>9788863441345</t>
  </si>
  <si>
    <t>794852325</t>
  </si>
  <si>
    <t>PQ4804 A643 2010</t>
  </si>
  <si>
    <t>0                      PQ 4804000A  643         2010</t>
  </si>
  <si>
    <t>Il poeta a teatro : Gabriele D'Annunzio e la riforma della scena drammatica / Katia Lara Angioletti.</t>
  </si>
  <si>
    <t>Angioletti, Katia.</t>
  </si>
  <si>
    <t>Milano : CUEM, 2010.</t>
  </si>
  <si>
    <t>Tra spettacolo e drammaturgia</t>
  </si>
  <si>
    <t>768856626:ita</t>
  </si>
  <si>
    <t>620108379</t>
  </si>
  <si>
    <t>ocn620108379</t>
  </si>
  <si>
    <t>3103125070V</t>
  </si>
  <si>
    <t>9788860012623</t>
  </si>
  <si>
    <t>794823488</t>
  </si>
  <si>
    <t>PQ4804 B283 2014</t>
  </si>
  <si>
    <t>0                      PQ 4804000B  283         2014</t>
  </si>
  <si>
    <t>La sabbia del tempo : ancora D'Annunzio / Giorgio Bárberi Squarotti ; introduzione e cura Moreno Savoretti.</t>
  </si>
  <si>
    <t>Biblioteca di Sinestesie ; 26</t>
  </si>
  <si>
    <t>2489035375:ita</t>
  </si>
  <si>
    <t>906792924</t>
  </si>
  <si>
    <t>ocn906792924</t>
  </si>
  <si>
    <t>3103628070$</t>
  </si>
  <si>
    <t>9788898169740</t>
  </si>
  <si>
    <t>794992451</t>
  </si>
  <si>
    <t>PQ4804 B33 2013</t>
  </si>
  <si>
    <t>0                      PQ 4804000B  33          2013</t>
  </si>
  <si>
    <t>D'Annunzio in prosa / Renato Barilli.</t>
  </si>
  <si>
    <t>Barilli, Renato, author.</t>
  </si>
  <si>
    <t>Milano : Ugo Mursia Editore, [2013]</t>
  </si>
  <si>
    <t>Civiltà letteraria del Novecento. Saggi</t>
  </si>
  <si>
    <t>5620541217:ita</t>
  </si>
  <si>
    <t>864192937</t>
  </si>
  <si>
    <t>ocn864192937</t>
  </si>
  <si>
    <t>31035146424</t>
  </si>
  <si>
    <t>9788842551799</t>
  </si>
  <si>
    <t>794961756</t>
  </si>
  <si>
    <t>PQ4804 B38 2012</t>
  </si>
  <si>
    <t>0                      PQ 4804000B  38          2012</t>
  </si>
  <si>
    <t>Gabriele D'Annunzio / Raffaella Bertazzoli.</t>
  </si>
  <si>
    <t>Firenze : Le Monnier Università, 2012.</t>
  </si>
  <si>
    <t>Per leggere i classici italiani</t>
  </si>
  <si>
    <t>3375753445:ita</t>
  </si>
  <si>
    <t>821071522</t>
  </si>
  <si>
    <t>ocn821071522</t>
  </si>
  <si>
    <t>3103125917G</t>
  </si>
  <si>
    <t>9788800740418</t>
  </si>
  <si>
    <t>794936008</t>
  </si>
  <si>
    <t>PQ4804 C253 2015</t>
  </si>
  <si>
    <t>0                      PQ 4804000C  253         2015</t>
  </si>
  <si>
    <t>Di nuovo rugge il leone : Venezia, d'Annunzio e la Prima Guerra Mondiale / Filippo Caburlotto.</t>
  </si>
  <si>
    <t>Caburlotto, Filippo, 1973- author.</t>
  </si>
  <si>
    <t>Venezia : La toletta edizioni, marzo 2015.</t>
  </si>
  <si>
    <t>Secreta</t>
  </si>
  <si>
    <t>2534206851:ita</t>
  </si>
  <si>
    <t>910505599</t>
  </si>
  <si>
    <t>ocn910505599</t>
  </si>
  <si>
    <t>3103628529D</t>
  </si>
  <si>
    <t>9788897928904</t>
  </si>
  <si>
    <t>794996214</t>
  </si>
  <si>
    <t>PQ4804 C2854 2011</t>
  </si>
  <si>
    <t>0                      PQ 4804000C  2854        2011</t>
  </si>
  <si>
    <t>D'Annunzio poeta aviatore : l'estasi del volo / Cesare Capone ; con una presentazione di Giordano Bruno Guerri.</t>
  </si>
  <si>
    <t>Capone, Cesare.</t>
  </si>
  <si>
    <t>Cinisello Balsamo, Milano : Silvana, ©2011.</t>
  </si>
  <si>
    <t>1019344028:ita</t>
  </si>
  <si>
    <t>755700846</t>
  </si>
  <si>
    <t>ocn755700846</t>
  </si>
  <si>
    <t>3103125558K</t>
  </si>
  <si>
    <t>9788836621224</t>
  </si>
  <si>
    <t>794893917</t>
  </si>
  <si>
    <t>PQ4804 C625 2015</t>
  </si>
  <si>
    <t>0                      PQ 4804000C  625         2015</t>
  </si>
  <si>
    <t>Mon cher ami : Gabriele d'Annunzio e l'esilio francese (1910-1915) / Silvano Console.</t>
  </si>
  <si>
    <t>Console, Silvano, 1950- author.</t>
  </si>
  <si>
    <t>Chieti : Solfanelli, [2015]</t>
  </si>
  <si>
    <t>Faretra ; 47</t>
  </si>
  <si>
    <t>2544687722:ita</t>
  </si>
  <si>
    <t>910913420</t>
  </si>
  <si>
    <t>ocn910913420</t>
  </si>
  <si>
    <t>3103629961X</t>
  </si>
  <si>
    <t>9788874979127</t>
  </si>
  <si>
    <t>794996670</t>
  </si>
  <si>
    <t>PQ4804 C626 2013</t>
  </si>
  <si>
    <t>0                      PQ 4804000C  626         2013</t>
  </si>
  <si>
    <t>"Io ho quel che ho donato" : Convegno di studi su Gabriele d'Annunzio nel 150o della nascita (Verona, 20-21 marzo 2013) / prefazione di Raffaella Bertazzoli ; a cura di Cecilia Gibellini.</t>
  </si>
  <si>
    <t>Convegno di studi su Gabriele D'Annunzio nel 150o della nascita (2013 : Verona, Italy)</t>
  </si>
  <si>
    <t>Bologna : CLUEB, [2015]</t>
  </si>
  <si>
    <t>Lexis. Biblioteca delle lettere</t>
  </si>
  <si>
    <t>2801648460:ita</t>
  </si>
  <si>
    <t>976020617</t>
  </si>
  <si>
    <t>ocn976020617</t>
  </si>
  <si>
    <t>3103716085W</t>
  </si>
  <si>
    <t>9788849138788</t>
  </si>
  <si>
    <t>795030288</t>
  </si>
  <si>
    <t>PQ4804 C67 2012</t>
  </si>
  <si>
    <t>0                      PQ 4804000C  67          2012</t>
  </si>
  <si>
    <t>D'Annunzio / Simona Costa.</t>
  </si>
  <si>
    <t>Costa, Simona.</t>
  </si>
  <si>
    <t>Sestante ; 23</t>
  </si>
  <si>
    <t>1124014783:ita</t>
  </si>
  <si>
    <t>798550104</t>
  </si>
  <si>
    <t>ocn798550104</t>
  </si>
  <si>
    <t>31031258973</t>
  </si>
  <si>
    <t>9788884027252</t>
  </si>
  <si>
    <t>794923774</t>
  </si>
  <si>
    <t>PQ4804 C87 2011</t>
  </si>
  <si>
    <t>0                      PQ 4804000C  87          2011</t>
  </si>
  <si>
    <t>Silenzi, solitudini, segreti : altre metamorfosi dannunziane / Luciano Curreri.</t>
  </si>
  <si>
    <t>Curreri, Luciano.</t>
  </si>
  <si>
    <t>Acrireale : Bonanno, 2011.</t>
  </si>
  <si>
    <t>Occasioni critiche ; 9</t>
  </si>
  <si>
    <t>967655028:ita</t>
  </si>
  <si>
    <t>744284165</t>
  </si>
  <si>
    <t>ocn744284165</t>
  </si>
  <si>
    <t>3103125534O</t>
  </si>
  <si>
    <t>9788877965813</t>
  </si>
  <si>
    <t>794885896</t>
  </si>
  <si>
    <t>PQ4804 D2748 2015</t>
  </si>
  <si>
    <t>0                      PQ 4804000D  2748        2015</t>
  </si>
  <si>
    <t>D'Annunzio soldato / a cura di Giordano Bruno Guerri, Luciano Faverzani.</t>
  </si>
  <si>
    <t>[Rome] : Rodorigo editore, aprile 2015.</t>
  </si>
  <si>
    <t>2016-08-25</t>
  </si>
  <si>
    <t>2569629803:ita</t>
  </si>
  <si>
    <t>913745134</t>
  </si>
  <si>
    <t>ocn913745134</t>
  </si>
  <si>
    <t>3103627875$</t>
  </si>
  <si>
    <t>9788890920097</t>
  </si>
  <si>
    <t>794999563</t>
  </si>
  <si>
    <t>PQ4804 G2665 2014</t>
  </si>
  <si>
    <t>0                      PQ 4804000G  2665        2014</t>
  </si>
  <si>
    <t>Gabriele D'Annunzio e la Grande Guerra : " ... l'analogia tra l'eroismo e la voluttà" : atti del Convegno di studi, Fondazione "Il Vittoriale degli italiani," Gardone Riviera, 26 settembre 2014.</t>
  </si>
  <si>
    <t>Gabriele d'Annunzio e la Grande Guerra (Conference) (2014 : Gardone Riviera, Italy)</t>
  </si>
  <si>
    <t>Cinisello Balsamo, Milano : Silvana editoriale, [2015]</t>
  </si>
  <si>
    <t>L'officina del Vittoriale ; 7</t>
  </si>
  <si>
    <t>2496958988:ita</t>
  </si>
  <si>
    <t>907295590</t>
  </si>
  <si>
    <t>ocn907295590</t>
  </si>
  <si>
    <t>3103628555C</t>
  </si>
  <si>
    <t>9788836630875</t>
  </si>
  <si>
    <t>794993223</t>
  </si>
  <si>
    <t>PQ4804 G274 2012</t>
  </si>
  <si>
    <t>0                      PQ 4804000G  274         2012</t>
  </si>
  <si>
    <t>Gabriele d'Annunzio, padre dello stile italiano : atti del convegno di studi, Pescara, 8 luglio 2011 / coordinamento, Paola Sorge ; segreteria di redazione Chiara Arnaudi, Alessandro Tonacci, Roberta Valbusa.</t>
  </si>
  <si>
    <t>Cinisello Balsamo (Milano) : Silvana, ©2012.</t>
  </si>
  <si>
    <t>L'officina del Vittoriale ; 1</t>
  </si>
  <si>
    <t>1118127869:ita</t>
  </si>
  <si>
    <t>794703671</t>
  </si>
  <si>
    <t>ocn794703671</t>
  </si>
  <si>
    <t>31031257986</t>
  </si>
  <si>
    <t>9788836623396</t>
  </si>
  <si>
    <t>794920318</t>
  </si>
  <si>
    <t>PQ4804 G33 2015</t>
  </si>
  <si>
    <t>0                      PQ 4804000G  33          2015</t>
  </si>
  <si>
    <t>Gabriele D'Annunzio e la musica : nel centocinquantesimo anniversario della nascita, 1863-2013 : atti / a cura di Giuseppe Ferrari ; [autori, Raffaella Bertazzoli ... et al.].</t>
  </si>
  <si>
    <t>Sommacampagna (Verona) : Cierre edizioni, c2015.</t>
  </si>
  <si>
    <t>4130767542:ita</t>
  </si>
  <si>
    <t>914471065</t>
  </si>
  <si>
    <t>ocn914471065</t>
  </si>
  <si>
    <t>3103624734W</t>
  </si>
  <si>
    <t>9788883148071</t>
  </si>
  <si>
    <t>795000244</t>
  </si>
  <si>
    <t>PQ4804 G5125 2011</t>
  </si>
  <si>
    <t>0                      PQ 4804000G  5125        2011</t>
  </si>
  <si>
    <t>Tra metafore e miti : poesia e teatro in D'Annunzio / Valeria Giannantonio.</t>
  </si>
  <si>
    <t>Giannantonio, Valeria.</t>
  </si>
  <si>
    <t>1074131329:ita</t>
  </si>
  <si>
    <t>773015705</t>
  </si>
  <si>
    <t>ocn773015705</t>
  </si>
  <si>
    <t>3103125656H</t>
  </si>
  <si>
    <t>9788820755270</t>
  </si>
  <si>
    <t>794905135</t>
  </si>
  <si>
    <t>PQ4804 G538 2012</t>
  </si>
  <si>
    <t>0                      PQ 4804000G  538         2012</t>
  </si>
  <si>
    <t>Gabriele D'Annunzio l'inimitabile atleta : sport e super-omismo / Sergio Giuntini.</t>
  </si>
  <si>
    <t>Giuntini, Sergio, 1956-</t>
  </si>
  <si>
    <t>[Ivrea, Italy] : Bradipolibri, 2012.</t>
  </si>
  <si>
    <t>Collana UNASCI ; no. 4. Sezione Cultura ; no. 1</t>
  </si>
  <si>
    <t>1162401094:ita</t>
  </si>
  <si>
    <t>807031552</t>
  </si>
  <si>
    <t>ocn807031552</t>
  </si>
  <si>
    <t>31031258845</t>
  </si>
  <si>
    <t>9788896184707</t>
  </si>
  <si>
    <t>794927177</t>
  </si>
  <si>
    <t>PQ4804 G78 2008</t>
  </si>
  <si>
    <t>0                      PQ 4804000G  78          2008</t>
  </si>
  <si>
    <t>D'Annunzio : l'amante guerriero / Giordano Bruno Guerri.</t>
  </si>
  <si>
    <t>Guerri, Giordano Bruno, 1950-</t>
  </si>
  <si>
    <t>905863283:ita</t>
  </si>
  <si>
    <t>216923452</t>
  </si>
  <si>
    <t>ocn216923452</t>
  </si>
  <si>
    <t>3102898023X</t>
  </si>
  <si>
    <t>9788804574200</t>
  </si>
  <si>
    <t>794315777</t>
  </si>
  <si>
    <t>PQ4804 G785 2013</t>
  </si>
  <si>
    <t>0                      PQ 4804000G  785         2013</t>
  </si>
  <si>
    <t>La mia vita carnale : amori e passioni di Gabriele d'Annunzio / Giordano Bruno Guerri.</t>
  </si>
  <si>
    <t>Milano : Mondadori, 2013.</t>
  </si>
  <si>
    <t>1220087408:ita</t>
  </si>
  <si>
    <t>836773290</t>
  </si>
  <si>
    <t>ocn836773290</t>
  </si>
  <si>
    <t>3103126173O</t>
  </si>
  <si>
    <t>9788804626275</t>
  </si>
  <si>
    <t>794944952</t>
  </si>
  <si>
    <t>PQ4804 M358 2012</t>
  </si>
  <si>
    <t>0                      PQ 4804000M  358         2012</t>
  </si>
  <si>
    <t>D'Annunzio romanziere e altri narratori del Novecento italiano / Sandro Maxia.</t>
  </si>
  <si>
    <t>Maxia, Sandro.</t>
  </si>
  <si>
    <t>1117276033:ita</t>
  </si>
  <si>
    <t>794362007</t>
  </si>
  <si>
    <t>ocn794362007</t>
  </si>
  <si>
    <t>31031257976</t>
  </si>
  <si>
    <t>9788831712620</t>
  </si>
  <si>
    <t>794919727</t>
  </si>
  <si>
    <t>PQ4804 M367 2010</t>
  </si>
  <si>
    <t>0                      PQ 4804000M  367         2010</t>
  </si>
  <si>
    <t>Gli amuleti di D'Annunzio / Attilio Mazza, Antonio Bortolotti.</t>
  </si>
  <si>
    <t>Mazza, Attilio.</t>
  </si>
  <si>
    <t>Pescara : Ianieri, ©2010.</t>
  </si>
  <si>
    <t>Saggi e carteggi dannunziani ; 10</t>
  </si>
  <si>
    <t>864638583:ita</t>
  </si>
  <si>
    <t>711513934</t>
  </si>
  <si>
    <t>ocn711513934</t>
  </si>
  <si>
    <t>3103125362O</t>
  </si>
  <si>
    <t>9788888302867</t>
  </si>
  <si>
    <t>794870993</t>
  </si>
  <si>
    <t>PQ4804 M3675 2012</t>
  </si>
  <si>
    <t>0                      PQ 4804000M  3675        2012</t>
  </si>
  <si>
    <t>D'Annunzio e le donne / Attilio Mazza.</t>
  </si>
  <si>
    <t>[Pescara, Italy] : Ianieri, ©2012.</t>
  </si>
  <si>
    <t>Saggi e carteggi dannunziani ; 13</t>
  </si>
  <si>
    <t>1162400983:ita</t>
  </si>
  <si>
    <t>807031409</t>
  </si>
  <si>
    <t>ocn807031409</t>
  </si>
  <si>
    <t>31031258805</t>
  </si>
  <si>
    <t>9788897417194</t>
  </si>
  <si>
    <t>794927173</t>
  </si>
  <si>
    <t>PQ4804 M368 2011</t>
  </si>
  <si>
    <t>0                      PQ 4804000M  368         2011</t>
  </si>
  <si>
    <t>D'Annunzio e l'aldilà / Attilio Mazza.</t>
  </si>
  <si>
    <t>Saggi e carteggi dannunziani ; 12</t>
  </si>
  <si>
    <t>1074131327:ita</t>
  </si>
  <si>
    <t>773015703</t>
  </si>
  <si>
    <t>ocn773015703</t>
  </si>
  <si>
    <t>3103125833F</t>
  </si>
  <si>
    <t>9788897417088</t>
  </si>
  <si>
    <t>794905134</t>
  </si>
  <si>
    <t>PQ4804 M369 2012</t>
  </si>
  <si>
    <t>0                      PQ 4804000M  369         2012</t>
  </si>
  <si>
    <t>D'Annunzio e Riva del Garda : carteggio inedito d'Annunzio-Alide Maroni e familiari / Attilio Mazza, Ruggero Morghen.</t>
  </si>
  <si>
    <t>Pescara : Ianieri Editore, 2012.</t>
  </si>
  <si>
    <t>Saggi e carteggi dannunziani ; 15</t>
  </si>
  <si>
    <t>1184785937:ita</t>
  </si>
  <si>
    <t>820120905</t>
  </si>
  <si>
    <t>ocn820120905</t>
  </si>
  <si>
    <t>31031260200</t>
  </si>
  <si>
    <t>9788897417224</t>
  </si>
  <si>
    <t>794935069</t>
  </si>
  <si>
    <t>PQ4804 M3744 2012</t>
  </si>
  <si>
    <t>0                      PQ 4804000M  3744        2012</t>
  </si>
  <si>
    <t>Notti dannunziane nella testimonianza di Aélis Mazoyer / Attilio Mazza.</t>
  </si>
  <si>
    <t>Pescara : Ianieri, 2013.</t>
  </si>
  <si>
    <t>1404983556:ita</t>
  </si>
  <si>
    <t>840403828</t>
  </si>
  <si>
    <t>ocn840403828</t>
  </si>
  <si>
    <t>3103126157S</t>
  </si>
  <si>
    <t>9788897417385</t>
  </si>
  <si>
    <t>794945927</t>
  </si>
  <si>
    <t>PQ4804 M378 2015</t>
  </si>
  <si>
    <t>0                      PQ 4804000M  378         2015</t>
  </si>
  <si>
    <t>La religione di D'Annunzio / Attilio Mazza.</t>
  </si>
  <si>
    <t>Mazza, Attilio, author.</t>
  </si>
  <si>
    <t>[Pescara] : Ianieri editore, [2015]</t>
  </si>
  <si>
    <t>Saggi e carteggi dannunziani ; 20</t>
  </si>
  <si>
    <t>2562998496:ita</t>
  </si>
  <si>
    <t>907638889</t>
  </si>
  <si>
    <t>ocn907638889</t>
  </si>
  <si>
    <t>3003628084P</t>
  </si>
  <si>
    <t>9788897417774</t>
  </si>
  <si>
    <t>794993648</t>
  </si>
  <si>
    <t>PQ4804 M44 2019</t>
  </si>
  <si>
    <t>0                      PQ 4804000M  44          2019</t>
  </si>
  <si>
    <t>D'Annunzio e l'edizione 1911 della Commedia / Laura Melosi</t>
  </si>
  <si>
    <t>Melosi, Laura, author.</t>
  </si>
  <si>
    <t>Firenze : Leo S. Olschki editore, MMXIX [2019]</t>
  </si>
  <si>
    <t>Biblioteca di bibliografia ; CCXI</t>
  </si>
  <si>
    <t>9897503866:ita</t>
  </si>
  <si>
    <t>1123184761</t>
  </si>
  <si>
    <t>on1123184761</t>
  </si>
  <si>
    <t>3103907877N</t>
  </si>
  <si>
    <t>9788822266743</t>
  </si>
  <si>
    <t>795085457</t>
  </si>
  <si>
    <t>PQ4804 M55 2016</t>
  </si>
  <si>
    <t>0                      PQ 4804000M  55          2016</t>
  </si>
  <si>
    <t>D'Annunzio e le donne della Rosa / Iacopo Milana.</t>
  </si>
  <si>
    <t>Milana, Iacopo, 1984- author.</t>
  </si>
  <si>
    <t>Milano : Mimesis, [2016]</t>
  </si>
  <si>
    <t>Eterotopie ; N. 359</t>
  </si>
  <si>
    <t>4403896459:ita</t>
  </si>
  <si>
    <t>972504589</t>
  </si>
  <si>
    <t>ocn972504589</t>
  </si>
  <si>
    <t>3103716169Q</t>
  </si>
  <si>
    <t>9788857537382</t>
  </si>
  <si>
    <t>795028715</t>
  </si>
  <si>
    <t>PQ4804 M684 2011</t>
  </si>
  <si>
    <t>0                      PQ 4804000M  684         2011</t>
  </si>
  <si>
    <t>"Il donatore, il precursore" : Gabriele d'Annunzio nelle lettere del 1933 a GianCarlo Maroni / Ruggero Morghen ; prefazione di Attilio Mazza.</t>
  </si>
  <si>
    <t>Morghen, Ruggero.</t>
  </si>
  <si>
    <t>Montichiari (BS) : Zanetto, 2011.</t>
  </si>
  <si>
    <t>La ginestra / [Zanetto]</t>
  </si>
  <si>
    <t>1158442617:ita</t>
  </si>
  <si>
    <t>800447900</t>
  </si>
  <si>
    <t>ocn800447900</t>
  </si>
  <si>
    <t>31031258619</t>
  </si>
  <si>
    <t>794924576</t>
  </si>
  <si>
    <t>PQ4804 M685 2010</t>
  </si>
  <si>
    <t>0                      PQ 4804000M  685         2010</t>
  </si>
  <si>
    <t>Gabriele D'Annunzio nelle lettere a Giancarlo Maroni, 1934 / Ruggero Morghen.</t>
  </si>
  <si>
    <t>Morghen, Ruggero, 1957-</t>
  </si>
  <si>
    <t>Chieti : Solfanelli, ©2010.</t>
  </si>
  <si>
    <t>Micromegas ; 22</t>
  </si>
  <si>
    <t>774070765:ita</t>
  </si>
  <si>
    <t>699720794</t>
  </si>
  <si>
    <t>ocn699720794</t>
  </si>
  <si>
    <t>3103125302$</t>
  </si>
  <si>
    <t>9788874977031</t>
  </si>
  <si>
    <t>794861469</t>
  </si>
  <si>
    <t>PQ4804 M87 1996</t>
  </si>
  <si>
    <t>0                      PQ 4804000M  87          1996</t>
  </si>
  <si>
    <t>Il buon suddito del Mikado : D'Annunzio japonisant / Mariko Muramatsu.</t>
  </si>
  <si>
    <t>Muramatsu, Mariko.</t>
  </si>
  <si>
    <t>Milano : Archinto, ©1996.</t>
  </si>
  <si>
    <t>Gli aquiloni</t>
  </si>
  <si>
    <t>905391550:ita</t>
  </si>
  <si>
    <t>38113531</t>
  </si>
  <si>
    <t>ocm38113531</t>
  </si>
  <si>
    <t>3101888485A</t>
  </si>
  <si>
    <t>9788877681836</t>
  </si>
  <si>
    <t>793516051</t>
  </si>
  <si>
    <t>PQ4804 O88 2010</t>
  </si>
  <si>
    <t>0                      PQ 4804000O  88          2010</t>
  </si>
  <si>
    <t>Incantesimo solare : sul rapporto di dipendenza-codipendenza fra Duse e d'Annunzio / Paola Ottaviano.</t>
  </si>
  <si>
    <t>Ottaviano, Paola.</t>
  </si>
  <si>
    <t>Saggi e carteggi dannunziani ; 9</t>
  </si>
  <si>
    <t>766686042:ita</t>
  </si>
  <si>
    <t>694057282</t>
  </si>
  <si>
    <t>ocn694057282</t>
  </si>
  <si>
    <t>3103125279P</t>
  </si>
  <si>
    <t>9788888302881</t>
  </si>
  <si>
    <t>794857089</t>
  </si>
  <si>
    <t>PQ4804 P368 2012</t>
  </si>
  <si>
    <t>0                      PQ 4804000P  368         2012</t>
  </si>
  <si>
    <t>Percorsi russi al Vittoriale : archivi, testimonianze, prospettive di studio : atti del convegno internazionale di studi (Gardone Riviera, Gargano sul Garda, 14-15 ottobre 2011) / a cura di Maria Pia Pagani.</t>
  </si>
  <si>
    <t>L'officina del Vittoriale ; 2</t>
  </si>
  <si>
    <t>1323170699:ita</t>
  </si>
  <si>
    <t>836773256</t>
  </si>
  <si>
    <t>ocn836773256</t>
  </si>
  <si>
    <t>3103126150S</t>
  </si>
  <si>
    <t>9788836624720</t>
  </si>
  <si>
    <t>794944951</t>
  </si>
  <si>
    <t>PQ4804 P87 2010</t>
  </si>
  <si>
    <t>0                      PQ 4804000P  87          2010</t>
  </si>
  <si>
    <t>La più gran gioia è sempre all'altra riva : estetismo e simbolismo in Gabriele D'Annunzio / Aldo Putignano.</t>
  </si>
  <si>
    <t>Putignano, Aldo.</t>
  </si>
  <si>
    <t>Caltanissetta : S. Sciascia, ©2010.</t>
  </si>
  <si>
    <t>Sentieri saggistici ; 2</t>
  </si>
  <si>
    <t>796497939:ita</t>
  </si>
  <si>
    <t>656501717</t>
  </si>
  <si>
    <t>ocn656501717</t>
  </si>
  <si>
    <t>3103125197O</t>
  </si>
  <si>
    <t>9788882413095</t>
  </si>
  <si>
    <t>794834858</t>
  </si>
  <si>
    <t>PQ4804 S248 2011</t>
  </si>
  <si>
    <t>0                      PQ 4804000S  248         2011</t>
  </si>
  <si>
    <t>La censura occulta e palese nei confronti di D'Annunzio : Giovanni Rizzo, l'occhiuto carceriere al Vittoriale e i suoi rapporti segreti a Mussolini / Vito Salierno.</t>
  </si>
  <si>
    <t>Salierno, Vito.</t>
  </si>
  <si>
    <t>Lanciano (Chieti) : R. Carabba, ©2011.</t>
  </si>
  <si>
    <t>Piccola biblioteca Carabba ; 11</t>
  </si>
  <si>
    <t>903078933:ita</t>
  </si>
  <si>
    <t>726827857</t>
  </si>
  <si>
    <t>ocn726827857</t>
  </si>
  <si>
    <t>3103125459N</t>
  </si>
  <si>
    <t>9788863441512</t>
  </si>
  <si>
    <t>794877523</t>
  </si>
  <si>
    <t>PQ4804 S274 2015</t>
  </si>
  <si>
    <t>0                      PQ 4804000S  274         2015</t>
  </si>
  <si>
    <t>La cuoca di d'Annunzio : i biglietti del Vate a "Suor Intingola" : cibi, menù, desideri e inappetenze al Vittoriale / Maddalena Santeroni, Donatella Miliani.</t>
  </si>
  <si>
    <t>Santeroni, Maddalena, author.</t>
  </si>
  <si>
    <t>[Turin] : UTET, maggio 2015.</t>
  </si>
  <si>
    <t>2832622960:ita</t>
  </si>
  <si>
    <t>913217994</t>
  </si>
  <si>
    <t>ocn913217994</t>
  </si>
  <si>
    <t>3103630319L</t>
  </si>
  <si>
    <t>9788851127428</t>
  </si>
  <si>
    <t>794999245</t>
  </si>
  <si>
    <t>PQ4804 S276 2015</t>
  </si>
  <si>
    <t>0                      PQ 4804000S  276         2015</t>
  </si>
  <si>
    <t>D'Annunzio o Svevo / Antonella Santoro.</t>
  </si>
  <si>
    <t>Santoro, Antonella, author.</t>
  </si>
  <si>
    <t>Il cannocchiale rovesciato ; 5</t>
  </si>
  <si>
    <t>2778097369:ita</t>
  </si>
  <si>
    <t>913744424</t>
  </si>
  <si>
    <t>ocn913744424</t>
  </si>
  <si>
    <t>31036300324</t>
  </si>
  <si>
    <t>9788868660888</t>
  </si>
  <si>
    <t>794999556</t>
  </si>
  <si>
    <t>PQ4804 S34 2011</t>
  </si>
  <si>
    <t>0                      PQ 4804000S  34          2011</t>
  </si>
  <si>
    <t>Io, ultimo figlio degli elleni : la grecità impura di Gabriele d'Annunzio / Emanuela Scicchitano.</t>
  </si>
  <si>
    <t>Scicchitano, Emanuela, 1977-</t>
  </si>
  <si>
    <t>La modernità letteraria ; 24</t>
  </si>
  <si>
    <t>1032931657:ita</t>
  </si>
  <si>
    <t>758438806</t>
  </si>
  <si>
    <t>ocn758438806</t>
  </si>
  <si>
    <t>3103125677D</t>
  </si>
  <si>
    <t>9788846728043</t>
  </si>
  <si>
    <t>794896414</t>
  </si>
  <si>
    <t>PQ4804 S672 2013</t>
  </si>
  <si>
    <t>0                      PQ 4804000S  672         2013</t>
  </si>
  <si>
    <t>Eleganza e voluttà in Gabriele D'Annunzio / Paola Sorge ; introduzione di Lucio Villari.</t>
  </si>
  <si>
    <t>Sorge, Paola.</t>
  </si>
  <si>
    <t>Lanciano : Carabba, 2013.</t>
  </si>
  <si>
    <t>Universale Carabba</t>
  </si>
  <si>
    <t>1331490565:ita</t>
  </si>
  <si>
    <t>839273817</t>
  </si>
  <si>
    <t>ocn839273817</t>
  </si>
  <si>
    <t>3103126174O</t>
  </si>
  <si>
    <t>9788863442595</t>
  </si>
  <si>
    <t>794945480</t>
  </si>
  <si>
    <t>PQ4804 T7185 2012</t>
  </si>
  <si>
    <t>0                      PQ 4804000T  7185        2012</t>
  </si>
  <si>
    <t>Matite corsare : storia della satira dannunziana / Augusto Traina.</t>
  </si>
  <si>
    <t>Traina, Augusto.</t>
  </si>
  <si>
    <t>Lanciano (Chieti) : Carabba, 2012.</t>
  </si>
  <si>
    <t>1125629742:ita</t>
  </si>
  <si>
    <t>799999290</t>
  </si>
  <si>
    <t>ocn799999290</t>
  </si>
  <si>
    <t>3103125855B</t>
  </si>
  <si>
    <t>9788863442267</t>
  </si>
  <si>
    <t>794924364</t>
  </si>
  <si>
    <t>PQ4804 Z36 2011</t>
  </si>
  <si>
    <t>0                      PQ 4804000Z  36          2011</t>
  </si>
  <si>
    <t>Scrittori allo specchio : D'Annunzio e Pirandello / Franco Zangrilli.</t>
  </si>
  <si>
    <t>Zangrilli, Franco.</t>
  </si>
  <si>
    <t>Roma : Edicampus, ©2011.</t>
  </si>
  <si>
    <t>1170032318:ita</t>
  </si>
  <si>
    <t>811589524</t>
  </si>
  <si>
    <t>ocn811589524</t>
  </si>
  <si>
    <t>3103125906I</t>
  </si>
  <si>
    <t>9788897591061</t>
  </si>
  <si>
    <t>794930184</t>
  </si>
  <si>
    <t>PQ4805 R63 A75 1981</t>
  </si>
  <si>
    <t>0                      PQ 4805000R  63                 A  75          1981</t>
  </si>
  <si>
    <t>Un'anima persa : con una confessione dell'autore / Giovanni Arpino.</t>
  </si>
  <si>
    <t>Arpino, Giovanni, 1927-1987.</t>
  </si>
  <si>
    <t>Milano : Rizzoli, 1981.</t>
  </si>
  <si>
    <t>La Scala</t>
  </si>
  <si>
    <t>5609575099:ita</t>
  </si>
  <si>
    <t>17024556</t>
  </si>
  <si>
    <t>ocm17024556</t>
  </si>
  <si>
    <t>3000329267U</t>
  </si>
  <si>
    <t>792980687</t>
  </si>
  <si>
    <t>PQ4805 R63 A96</t>
  </si>
  <si>
    <t>0                      PQ 4805000R  63                 A  96</t>
  </si>
  <si>
    <t>Azzurro tenebra / Giovanni Arpino.</t>
  </si>
  <si>
    <t>Torino : Einaudi, 1977.</t>
  </si>
  <si>
    <t>13560955:ita</t>
  </si>
  <si>
    <t>4002359</t>
  </si>
  <si>
    <t>ocm04002359</t>
  </si>
  <si>
    <t>3000419841N</t>
  </si>
  <si>
    <t>792312555</t>
  </si>
  <si>
    <t>PQ4805 R63 B813 2011</t>
  </si>
  <si>
    <t>0                      PQ 4805000R  63                 B  813         2011</t>
  </si>
  <si>
    <t>Scent of a woman / Giovanni Arpino ; translated by Anne Milano Appel.</t>
  </si>
  <si>
    <t>London : Penguin, 2011.</t>
  </si>
  <si>
    <t>Penguin modern classics</t>
  </si>
  <si>
    <t>2288901532:eng</t>
  </si>
  <si>
    <t>720521276</t>
  </si>
  <si>
    <t>ocn720521276</t>
  </si>
  <si>
    <t>3103491757E</t>
  </si>
  <si>
    <t>9780141193182</t>
  </si>
  <si>
    <t>794875027</t>
  </si>
  <si>
    <t>PQ4805 R63 O4</t>
  </si>
  <si>
    <t>0                      PQ 4805000R  63                 O  4</t>
  </si>
  <si>
    <t>L'ombra delle colline / Giovanni Arpino.</t>
  </si>
  <si>
    <t>Milano : Mondadori, 1964.</t>
  </si>
  <si>
    <t>Narratori italiani ; v. 24</t>
  </si>
  <si>
    <t>350765953:ita</t>
  </si>
  <si>
    <t>8658613</t>
  </si>
  <si>
    <t>ocm08658613</t>
  </si>
  <si>
    <t>3000202028S</t>
  </si>
  <si>
    <t>792633241</t>
  </si>
  <si>
    <t>PQ4805 R63 P75</t>
  </si>
  <si>
    <t>0                      PQ 4805000R  63                 P  75</t>
  </si>
  <si>
    <t>Il primo quarto di luna / Giovanni Arpino.</t>
  </si>
  <si>
    <t>366224659:ita</t>
  </si>
  <si>
    <t>2837898</t>
  </si>
  <si>
    <t>ocm02837898</t>
  </si>
  <si>
    <t>30004038941</t>
  </si>
  <si>
    <t>792183558</t>
  </si>
  <si>
    <t>PQ4805 R63 S65 1983</t>
  </si>
  <si>
    <t>0                      PQ 4805000R  63                 S  65          1983</t>
  </si>
  <si>
    <t>La sposa segreta / Giovanni Arpino.</t>
  </si>
  <si>
    <t>Milano : Garzanti, 1983.</t>
  </si>
  <si>
    <t>Narratori moderni</t>
  </si>
  <si>
    <t>350995802:ita</t>
  </si>
  <si>
    <t>11279293</t>
  </si>
  <si>
    <t>ocm11279293</t>
  </si>
  <si>
    <t>3000362874K</t>
  </si>
  <si>
    <t>792766618</t>
  </si>
  <si>
    <t>PQ4805 R63 S8x</t>
  </si>
  <si>
    <t>0                      PQ 4805000R  63                 S  8x</t>
  </si>
  <si>
    <t>La suora giovane.</t>
  </si>
  <si>
    <t>Torino] Einaudi, [1959]</t>
  </si>
  <si>
    <t>[7. ed.</t>
  </si>
  <si>
    <t>I Coralli, 107</t>
  </si>
  <si>
    <t>149411856:ita</t>
  </si>
  <si>
    <t>12490954</t>
  </si>
  <si>
    <t>ocm12490954</t>
  </si>
  <si>
    <t>3000202029Q</t>
  </si>
  <si>
    <t>792816697</t>
  </si>
  <si>
    <t>PQ4805 R63 Z58 2012</t>
  </si>
  <si>
    <t>0                      PQ 4805000R  63                 Z  58          2012</t>
  </si>
  <si>
    <t>Giovanni Arpino : dal successo all'impegno, alla svolta / Luigi Cattanei.</t>
  </si>
  <si>
    <t>Cattanei, Luigi, author.</t>
  </si>
  <si>
    <t>Acqui Terme (Alessandria) : Impressioni grafiche, [2012]</t>
  </si>
  <si>
    <t>1171191758:ita</t>
  </si>
  <si>
    <t>812250787</t>
  </si>
  <si>
    <t>ocn812250787</t>
  </si>
  <si>
    <t>3103125928E</t>
  </si>
  <si>
    <t>9788861950825</t>
  </si>
  <si>
    <t>794930772</t>
  </si>
  <si>
    <t>PQ4807 A23 A15 1958</t>
  </si>
  <si>
    <t>0                      PQ 4807000A  23                 A  15          1958</t>
  </si>
  <si>
    <t>Tutte le novelle, 1911-1951.</t>
  </si>
  <si>
    <t>Bacchelli, Riccardo, 1891-1985.</t>
  </si>
  <si>
    <t>Milano] Mondadori [1958]</t>
  </si>
  <si>
    <t>Tutte le opere di Riccardo Bacchelli, v. 12-13</t>
  </si>
  <si>
    <t>10141846190:ita</t>
  </si>
  <si>
    <t>40318092</t>
  </si>
  <si>
    <t>ocm40318092</t>
  </si>
  <si>
    <t>30006156996</t>
  </si>
  <si>
    <t>793564114</t>
  </si>
  <si>
    <t>3103742467K</t>
  </si>
  <si>
    <t>793564113</t>
  </si>
  <si>
    <t>PQ4807 A23 D5 1983</t>
  </si>
  <si>
    <t>0                      PQ 4807000A  23                 D  5           1983</t>
  </si>
  <si>
    <t>Il diavolo al Pontelungo : romanzo storico / Riccardo Bacchelli ; con una cronologia della vita dell'autore e dei suoi tempi, una introduzione e una bibliografia a cura di Edmondo Aroldi.</t>
  </si>
  <si>
    <t>Gli Oscar ; 473</t>
  </si>
  <si>
    <t>198550858:ita</t>
  </si>
  <si>
    <t>427089272</t>
  </si>
  <si>
    <t>ocn427089272</t>
  </si>
  <si>
    <t>3103599417L</t>
  </si>
  <si>
    <t>794519664</t>
  </si>
  <si>
    <t>PQ4807 A7334 Z47 1989</t>
  </si>
  <si>
    <t>0                      PQ 4807000A  7334               Z  47          1989</t>
  </si>
  <si>
    <t>Capricci di vegliardo e taccuini inediti (1901-1952) / Bruno Barilli ; a cura di Andrea Battistini e Andrea Cristiani.</t>
  </si>
  <si>
    <t>Barilli, Bruno, 1880-1952.</t>
  </si>
  <si>
    <t>Torino : Einaudi, ©1989.</t>
  </si>
  <si>
    <t>Gli struzzi ; 368</t>
  </si>
  <si>
    <t>25033730:ita</t>
  </si>
  <si>
    <t>23467894</t>
  </si>
  <si>
    <t>ocm23467894</t>
  </si>
  <si>
    <t>3101486670G</t>
  </si>
  <si>
    <t>9788806115944</t>
  </si>
  <si>
    <t>793172288</t>
  </si>
  <si>
    <t>PQ4807 A734 Z563 2015</t>
  </si>
  <si>
    <t>0                      PQ 4807000A  734                Z  563         2015</t>
  </si>
  <si>
    <t>Antonio Barolini : cronistoria di un'anima : atti dei Convegni di New York e di Vicenza nel centenario della nascita / a cura di Teodolinda Barolini.</t>
  </si>
  <si>
    <t>Ungarettiana ; 8</t>
  </si>
  <si>
    <t>2753446300:ita</t>
  </si>
  <si>
    <t>922884600</t>
  </si>
  <si>
    <t>ocn922884600</t>
  </si>
  <si>
    <t>31036230788</t>
  </si>
  <si>
    <t>9788860323330</t>
  </si>
  <si>
    <t>795004179</t>
  </si>
  <si>
    <t>PQ4807 A734 Z65 2012</t>
  </si>
  <si>
    <t>0                      PQ 4807000A  734                Z  65          2012</t>
  </si>
  <si>
    <t>Un italiano in America : poesia e narrativa di Antonio Barolini / Ilaria Crotti, Monica Giachino, Michela Rusi.</t>
  </si>
  <si>
    <t>Crotti, Ilaria.</t>
  </si>
  <si>
    <t>Roma : Bulzoni Editore, [2012]</t>
  </si>
  <si>
    <t>Biblioteca di cultura ; 730</t>
  </si>
  <si>
    <t>1203411996:ita</t>
  </si>
  <si>
    <t>824727695</t>
  </si>
  <si>
    <t>ocn824727695</t>
  </si>
  <si>
    <t>3103126074R</t>
  </si>
  <si>
    <t>9788878706590</t>
  </si>
  <si>
    <t>794938218</t>
  </si>
  <si>
    <t>PQ4807 A74 L313 1950</t>
  </si>
  <si>
    <t>0                      PQ 4807000A  74                 L  313         1950</t>
  </si>
  <si>
    <t>Bicycle thieves; translated by C.J. Richards.</t>
  </si>
  <si>
    <t>Bartolini, Luigi, 1892-1963.</t>
  </si>
  <si>
    <t>New York, Macmillan, 1950.</t>
  </si>
  <si>
    <t>2016-08-12</t>
  </si>
  <si>
    <t>48858052:eng</t>
  </si>
  <si>
    <t>814227</t>
  </si>
  <si>
    <t>ocm00814227</t>
  </si>
  <si>
    <t>3000368135S</t>
  </si>
  <si>
    <t>791476642</t>
  </si>
  <si>
    <t>PQ4807 A79 A6 2014</t>
  </si>
  <si>
    <t>0                      PQ 4807000A  79                 A  6           2014</t>
  </si>
  <si>
    <t>Racconti, diari, cronache (1935-1956) / Giorgio Bassani ; a cura di Piero Pieri.</t>
  </si>
  <si>
    <t>Bassani, Giorgio, 1916-2000.</t>
  </si>
  <si>
    <t>Milano : Feltrinelli, novembre 2014.</t>
  </si>
  <si>
    <t>Prima edizione in "Le comete."</t>
  </si>
  <si>
    <t>Comete</t>
  </si>
  <si>
    <t>2035872642:ita</t>
  </si>
  <si>
    <t>900465439</t>
  </si>
  <si>
    <t>ocn900465439</t>
  </si>
  <si>
    <t>31036611455</t>
  </si>
  <si>
    <t>9788807530333</t>
  </si>
  <si>
    <t>794987542</t>
  </si>
  <si>
    <t>PQ4807 A79 G513 1965</t>
  </si>
  <si>
    <t>0                      PQ 4807000A  79                 G  513         1965</t>
  </si>
  <si>
    <t>The garden of the Finzi-Continis / Giorgio Basani ; translated from the Italian by Isabel Quigly.</t>
  </si>
  <si>
    <t>New York : Atheneum, 1965.</t>
  </si>
  <si>
    <t>2017-02-08</t>
  </si>
  <si>
    <t>360577:eng</t>
  </si>
  <si>
    <t>730201</t>
  </si>
  <si>
    <t>ocm00730201</t>
  </si>
  <si>
    <t>3102227305T</t>
  </si>
  <si>
    <t>9781400044221</t>
  </si>
  <si>
    <t>791456814</t>
  </si>
  <si>
    <t>PQ4807 A79 G513 1977</t>
  </si>
  <si>
    <t>0                      PQ 4807000A  79                 G  513         1977</t>
  </si>
  <si>
    <t>The garden of the Finzi-Continis / Giorgio Bassani ; translated from the Italian by William Weaver.</t>
  </si>
  <si>
    <t>San Diego : Harcourt Brace Jovanovich, [1983], ©1977.</t>
  </si>
  <si>
    <t>Harvest/HBJ book</t>
  </si>
  <si>
    <t>9488672</t>
  </si>
  <si>
    <t>ocm09488672</t>
  </si>
  <si>
    <t>31025084760</t>
  </si>
  <si>
    <t>9780156345705</t>
  </si>
  <si>
    <t>792678635</t>
  </si>
  <si>
    <t>PQ4807 A79 G513 2007</t>
  </si>
  <si>
    <t>0                      PQ 4807000A  79                 G  513         2007</t>
  </si>
  <si>
    <t>The garden of the Finzi-Continis / Giorgio Bassani ; translated by Jamie McKendrick.</t>
  </si>
  <si>
    <t>London ; New York, N.Y. : Penguin, ©2007.</t>
  </si>
  <si>
    <t>Modern classics</t>
  </si>
  <si>
    <t>2018-10-09</t>
  </si>
  <si>
    <t>71807796</t>
  </si>
  <si>
    <t>ocm71807796</t>
  </si>
  <si>
    <t>3102574216$</t>
  </si>
  <si>
    <t>9780141188362</t>
  </si>
  <si>
    <t>794168436</t>
  </si>
  <si>
    <t>PQ4807 A79 G536 2011</t>
  </si>
  <si>
    <t>0                      PQ 4807000A  79                 G  536         2011</t>
  </si>
  <si>
    <t>Il giardino dei Finzi-Contini : una fiaba nascosta / Sophie Nezri-Dufour.</t>
  </si>
  <si>
    <t>Nezri-Dufour, Sophie, 1969-</t>
  </si>
  <si>
    <t>Ravenna : Fernandel, ©2011.</t>
  </si>
  <si>
    <t>Laboratorio Fernandel ; 24</t>
  </si>
  <si>
    <t>865538177:ita</t>
  </si>
  <si>
    <t>712111989</t>
  </si>
  <si>
    <t>ocn712111989</t>
  </si>
  <si>
    <t>3103506244D</t>
  </si>
  <si>
    <t>9788895865362</t>
  </si>
  <si>
    <t>794871586</t>
  </si>
  <si>
    <t>PQ4807 A79 G5x</t>
  </si>
  <si>
    <t>0                      PQ 4807000A  79                 G  5x</t>
  </si>
  <si>
    <t>Il giardino dei Finzi-Contini / Giorgio Bassani.</t>
  </si>
  <si>
    <t>Torino : Einaudi, ©1962, 1972 printing.</t>
  </si>
  <si>
    <t>16. ed.</t>
  </si>
  <si>
    <t>360577:ita</t>
  </si>
  <si>
    <t>358624</t>
  </si>
  <si>
    <t>ocm00358624</t>
  </si>
  <si>
    <t>30002020312</t>
  </si>
  <si>
    <t>9788806152215</t>
  </si>
  <si>
    <t>791350128</t>
  </si>
  <si>
    <t>PQ4807 A79 O2313 1960</t>
  </si>
  <si>
    <t>0                      PQ 4807000A  79                 O  2313        1960</t>
  </si>
  <si>
    <t>The gold-rimmed spectacles. Translated from the Italian by Isabel Quigly.</t>
  </si>
  <si>
    <t>New York, Atheneum Publishers, 1960.</t>
  </si>
  <si>
    <t>[1st American ed.].</t>
  </si>
  <si>
    <t>2896978740:eng</t>
  </si>
  <si>
    <t>1251951</t>
  </si>
  <si>
    <t>ocm01251951</t>
  </si>
  <si>
    <t>3101852891A</t>
  </si>
  <si>
    <t>791584001</t>
  </si>
  <si>
    <t>PQ4807 A79 O2313 2012</t>
  </si>
  <si>
    <t>0                      PQ 4807000A  79                 O  2313        2012</t>
  </si>
  <si>
    <t>The gold-rimmed spectacles / Giorgio Bassani ; translated and with an afterword by Jamie McKendrick.</t>
  </si>
  <si>
    <t>London : Penguin, 2012.</t>
  </si>
  <si>
    <t>757930749</t>
  </si>
  <si>
    <t>ocn757930749</t>
  </si>
  <si>
    <t>31034634191</t>
  </si>
  <si>
    <t>9780141192154</t>
  </si>
  <si>
    <t>794895835</t>
  </si>
  <si>
    <t>PQ4807 A79 R613 2018</t>
  </si>
  <si>
    <t>0                      PQ 4807000A  79                 R  613         2018</t>
  </si>
  <si>
    <t>The novel of Ferrara / Giorgio Bassani ; translated by Jamie McKendrick ; foreword by André Aciman.</t>
  </si>
  <si>
    <t>Bassani, Giorgio, 1916-2000, author.</t>
  </si>
  <si>
    <t>New York, N.Y. : W.W. Norton &amp; Company, 2018.</t>
  </si>
  <si>
    <t>First American edition.</t>
  </si>
  <si>
    <t>5105487721:eng</t>
  </si>
  <si>
    <t>1027164842</t>
  </si>
  <si>
    <t>on1027164842</t>
  </si>
  <si>
    <t>3103811885I</t>
  </si>
  <si>
    <t>9780393080155</t>
  </si>
  <si>
    <t>795052590</t>
  </si>
  <si>
    <t>PQ4807 A79 R614 2006</t>
  </si>
  <si>
    <t>0                      PQ 4807000A  79                 R  614         2006</t>
  </si>
  <si>
    <t>Le roman de Ferrare / Bassani ; traductions de l'italien de Michel Arnaud et Gérard Genot ; révisées par Vincent Raynaud et Muriel Gallot.</t>
  </si>
  <si>
    <t>Bassani, Giorgio.</t>
  </si>
  <si>
    <t>[Paris] : Gallimard, ©2006.</t>
  </si>
  <si>
    <t>Quarto</t>
  </si>
  <si>
    <t>2019-01-26</t>
  </si>
  <si>
    <t>8913743089:fre</t>
  </si>
  <si>
    <t>91765838</t>
  </si>
  <si>
    <t>ocm91765838</t>
  </si>
  <si>
    <t>31027501704</t>
  </si>
  <si>
    <t>9782070772988</t>
  </si>
  <si>
    <t>794219143</t>
  </si>
  <si>
    <t>PQ4807 A79 R6365 2015</t>
  </si>
  <si>
    <t>0                      PQ 4807000A  79                 R  6365        2015</t>
  </si>
  <si>
    <t>II romanzo di Ferrara de Giorgio Bassani : réalisme et réécritures littéraires / Maria Pia De Paulis-Dalembert (éd.).</t>
  </si>
  <si>
    <t>Paris : Presses Sorbonne nouvelle, [2015]</t>
  </si>
  <si>
    <t>2797435950:fre</t>
  </si>
  <si>
    <t>929156403</t>
  </si>
  <si>
    <t>ocn929156403</t>
  </si>
  <si>
    <t>3103624502G</t>
  </si>
  <si>
    <t>9782878546682</t>
  </si>
  <si>
    <t>795006535</t>
  </si>
  <si>
    <t>PQ4807 A79 Z4581 2012</t>
  </si>
  <si>
    <t>0                      PQ 4807000A  79                 Z  4581        2012</t>
  </si>
  <si>
    <t>Giorgio Bassani critico, redattore, editore : atti del convegno, Roma, Fondazione Camillo Caetani, 28-29 ottobre 2010 / a cura di Massimiliano Tortora ; premesse di Paola Bassani, Bruno Toscano.</t>
  </si>
  <si>
    <t>Atti e rendiconti / Fondazione Camillo Caetani, Roma ; 2</t>
  </si>
  <si>
    <t>2013-12-12</t>
  </si>
  <si>
    <t>1121690863:ita</t>
  </si>
  <si>
    <t>796781814</t>
  </si>
  <si>
    <t>ocn796781814</t>
  </si>
  <si>
    <t>3103125910G</t>
  </si>
  <si>
    <t>9788863723854</t>
  </si>
  <si>
    <t>794922389</t>
  </si>
  <si>
    <t>PQ4807 A79 Z48 2011</t>
  </si>
  <si>
    <t>0                      PQ 4807000A  79                 Z  48          2011</t>
  </si>
  <si>
    <t>Sarà un bellissimo numero : carteggio, 1948-1959 / Giorgio Bassani, Marguerite Caetani ; a cura di Massimiliano Tortora.</t>
  </si>
  <si>
    <t>Roma : Edizioni di storia e letteratura, 2011.</t>
  </si>
  <si>
    <t>Archivio Caetani / Fondazione Camillo Caetani ; 2</t>
  </si>
  <si>
    <t>1090057895:ita</t>
  </si>
  <si>
    <t>780944872</t>
  </si>
  <si>
    <t>ocn780944872</t>
  </si>
  <si>
    <t>3103125733I</t>
  </si>
  <si>
    <t>9788863723847</t>
  </si>
  <si>
    <t>794912402</t>
  </si>
  <si>
    <t>PQ4807 A79 Z513 2017</t>
  </si>
  <si>
    <t>0                      PQ 4807000A  79                 Z  513         2017</t>
  </si>
  <si>
    <t>Saggi su Bassani / Maurice Actis-Grosso.</t>
  </si>
  <si>
    <t>Actis-Grosso, Maurice, author.</t>
  </si>
  <si>
    <t>Canterano (RM) : Aracne editrice, dicembre 2017.</t>
  </si>
  <si>
    <t>Saggistica Aracne</t>
  </si>
  <si>
    <t>4771523706:ita</t>
  </si>
  <si>
    <t>1023653536</t>
  </si>
  <si>
    <t>on1023653536</t>
  </si>
  <si>
    <t>3103721231T</t>
  </si>
  <si>
    <t>9788825506136</t>
  </si>
  <si>
    <t>795051907</t>
  </si>
  <si>
    <t>PQ4807 A79 Z52 2014</t>
  </si>
  <si>
    <t>0                      PQ 4807000A  79                 Z  52          2014</t>
  </si>
  <si>
    <t>Forme del visible : studi su Giorgio Bassani / Giulia Dell'Aquila.</t>
  </si>
  <si>
    <t>Dell'Aquila, Giulia, author.</t>
  </si>
  <si>
    <t>Stony Brook, NY : Forum Italicum Publishing, [2014]</t>
  </si>
  <si>
    <t>[Filibrary series] ; [no. 36]</t>
  </si>
  <si>
    <t>2830907892:eng</t>
  </si>
  <si>
    <t>931807940</t>
  </si>
  <si>
    <t>ocn931807940</t>
  </si>
  <si>
    <t>3103701906C</t>
  </si>
  <si>
    <t>9781893127883</t>
  </si>
  <si>
    <t>795007753</t>
  </si>
  <si>
    <t>PQ4807 A79 Z54 2010</t>
  </si>
  <si>
    <t>0                      PQ 4807000A  79                 Z  54          2010</t>
  </si>
  <si>
    <t>Giorgio Bassani : la poesia del romanzo, il romanzo del poeta / a cura di Antonello Perli.</t>
  </si>
  <si>
    <t>Convegno internazionale "Giorgio Bassani, la poesia del romanzo, il romanzo del poeta" (2010 : Nice, France)</t>
  </si>
  <si>
    <t>Ravenna : G. Pozzi, ©2011.</t>
  </si>
  <si>
    <t>Bassaniana ; 2</t>
  </si>
  <si>
    <t>2018-08-20</t>
  </si>
  <si>
    <t>1064721108:ita</t>
  </si>
  <si>
    <t>768810359</t>
  </si>
  <si>
    <t>ocn768810359</t>
  </si>
  <si>
    <t>3103125703O</t>
  </si>
  <si>
    <t>9788896117170</t>
  </si>
  <si>
    <t>794902860</t>
  </si>
  <si>
    <t>PQ4807 A79 Z545 2007</t>
  </si>
  <si>
    <t>0                      PQ 4807000A  79                 Z  545         2007</t>
  </si>
  <si>
    <t>Le parole di cristallo : sei studi su Giorgio Bassani / Giulia Dell'Aquila.</t>
  </si>
  <si>
    <t>Dell'Aquila, Giulia.</t>
  </si>
  <si>
    <t>Pisa : ETS, ©2007.</t>
  </si>
  <si>
    <t>Letteratura italiana ; 11</t>
  </si>
  <si>
    <t>103307242:ita</t>
  </si>
  <si>
    <t>144614859</t>
  </si>
  <si>
    <t>ocn144614859</t>
  </si>
  <si>
    <t>3102805368$</t>
  </si>
  <si>
    <t>9788846717733</t>
  </si>
  <si>
    <t>794236596</t>
  </si>
  <si>
    <t>PQ4807 A79 Z545 2016</t>
  </si>
  <si>
    <t>0                      PQ 4807000A  79                 Z  545         2016</t>
  </si>
  <si>
    <t>Scritti su Bassani : articoli, testimonianze e interviste tra storia, letteratura e cinema / Rita Castaldi ; con la collaborazione di Antonietta Molinari ; presentazione di Piero Stefani ; con un ricordo di Simonetta Savino ; a cura di Maurizio Villani.</t>
  </si>
  <si>
    <t>Castaldi, Rita, -2015, author, interviewer.</t>
  </si>
  <si>
    <t>Bologna : Diogene multimedia, marzo 2016.</t>
  </si>
  <si>
    <t>Saggi letterari</t>
  </si>
  <si>
    <t>3000528394:ita</t>
  </si>
  <si>
    <t>948984075</t>
  </si>
  <si>
    <t>ocn948984075</t>
  </si>
  <si>
    <t>3103661150C</t>
  </si>
  <si>
    <t>9788899126711</t>
  </si>
  <si>
    <t>795015868</t>
  </si>
  <si>
    <t>PQ4807 A79 Z56 2015</t>
  </si>
  <si>
    <t>0                      PQ 4807000A  79                 Z  56          2015</t>
  </si>
  <si>
    <t>Bribes de mémoire : Giorgio Bassani e dintorni / textes réunis et présentés par Pérette-Cécile Buffaria.</t>
  </si>
  <si>
    <t>Paris : Istituto Italiano di Cultura, 2015.</t>
  </si>
  <si>
    <t>Collection "Cahiers de l'Hôtel de Galliffet". Première série</t>
  </si>
  <si>
    <t>2900722784:ita</t>
  </si>
  <si>
    <t>936301834</t>
  </si>
  <si>
    <t>ocn936301834</t>
  </si>
  <si>
    <t>3103661703Y</t>
  </si>
  <si>
    <t>9782919205110</t>
  </si>
  <si>
    <t>795010639</t>
  </si>
  <si>
    <t>PQ4807 A79 Z562 2006</t>
  </si>
  <si>
    <t>0                      PQ 4807000A  79                 Z  562         2006</t>
  </si>
  <si>
    <t>Il romanzo di Ferrara : atti del Convegno internazionale di studi su Giorgio Bassani, Parigi, 12-13 maggio 2006 / a cura di Paolo Grossi.</t>
  </si>
  <si>
    <t>Convegno internazionale di studi su Giorgio Bassani (2006 : Paris, France)</t>
  </si>
  <si>
    <t>Parigi : Istituto italiano di cultura, 2007.</t>
  </si>
  <si>
    <t>Quaderni dell' Hôtel de Galliffet ; 12</t>
  </si>
  <si>
    <t>792958992:ita</t>
  </si>
  <si>
    <t>191036095</t>
  </si>
  <si>
    <t>ocn191036095</t>
  </si>
  <si>
    <t>31036640331</t>
  </si>
  <si>
    <t>9782950303042</t>
  </si>
  <si>
    <t>794296875</t>
  </si>
  <si>
    <t>PQ4807 A79 Z594 2011</t>
  </si>
  <si>
    <t>0                      PQ 4807000A  79                 Z  594         2011</t>
  </si>
  <si>
    <t>Giorgio Bassani, editore letterato / Gian Carlo Ferretti, Stefano Guerriero.</t>
  </si>
  <si>
    <t>Studi ; 148</t>
  </si>
  <si>
    <t>982015733:ita</t>
  </si>
  <si>
    <t>745969924</t>
  </si>
  <si>
    <t>ocn745969924</t>
  </si>
  <si>
    <t>3103125528Q</t>
  </si>
  <si>
    <t>9788862663663</t>
  </si>
  <si>
    <t>794886747</t>
  </si>
  <si>
    <t>PQ4807 A79 Z597 2013</t>
  </si>
  <si>
    <t>0                      PQ 4807000A  79                 Z  597         2013</t>
  </si>
  <si>
    <t>Giorgio Bassani : percorsi dello sguardo nelle arti visive / Alessandro Giardino.</t>
  </si>
  <si>
    <t>Giardino, Alessandro, author.</t>
  </si>
  <si>
    <t>Ravenna : Giorgio Pozzi editore, [2013]</t>
  </si>
  <si>
    <t>Bassaniana ; 4</t>
  </si>
  <si>
    <t>1433628628:ita</t>
  </si>
  <si>
    <t>864009238</t>
  </si>
  <si>
    <t>ocn864009238</t>
  </si>
  <si>
    <t>B001551266</t>
  </si>
  <si>
    <t>9788896117347</t>
  </si>
  <si>
    <t>794961620</t>
  </si>
  <si>
    <t>PQ4807 A79 Z64 2013</t>
  </si>
  <si>
    <t>0                      PQ 4807000A  79                 Z  64          2013</t>
  </si>
  <si>
    <t>The drama of the assimilated jew : Giorgio Bassani's Romanzo di Ferrara / Lucienne Kroha.</t>
  </si>
  <si>
    <t>Kroha, Lucienne, 1947- author.</t>
  </si>
  <si>
    <t>2015-07-17</t>
  </si>
  <si>
    <t>1409196387:eng</t>
  </si>
  <si>
    <t>861064123</t>
  </si>
  <si>
    <t>ocn861064123</t>
  </si>
  <si>
    <t>3103493977X</t>
  </si>
  <si>
    <t>9781442646162</t>
  </si>
  <si>
    <t>794958698</t>
  </si>
  <si>
    <t>PQ4807 A79 Z65 2010</t>
  </si>
  <si>
    <t>0                      PQ 4807000A  79                 Z  65          2010</t>
  </si>
  <si>
    <t>Giorgio Bassani a 10 anni dalla morte : atti del convegno internazionale di studi, Craiova, 14-15 aprile 2010 / a cura di Elena Pîrvu.</t>
  </si>
  <si>
    <t>Convegno internazionale di studi (2010 : Craiova (Romania))</t>
  </si>
  <si>
    <t>Quaderni della Rassegna ; 64</t>
  </si>
  <si>
    <t>865050106:ita</t>
  </si>
  <si>
    <t>698165282</t>
  </si>
  <si>
    <t>ocn698165282</t>
  </si>
  <si>
    <t>3103125266R</t>
  </si>
  <si>
    <t>9788876674020</t>
  </si>
  <si>
    <t>794860664</t>
  </si>
  <si>
    <t>PQ4807 A79 Z7 1983</t>
  </si>
  <si>
    <t>0                      PQ 4807000A  79                 Z  7           1983</t>
  </si>
  <si>
    <t>Bassani e il mondo ebraico / Ada Neiger.</t>
  </si>
  <si>
    <t>Neiger, Ada.</t>
  </si>
  <si>
    <t>Napoli : Loffredo, [1983]</t>
  </si>
  <si>
    <t>2016-03-08</t>
  </si>
  <si>
    <t>4991887:ita</t>
  </si>
  <si>
    <t>12119622</t>
  </si>
  <si>
    <t>ocm12119622</t>
  </si>
  <si>
    <t>3101899397X</t>
  </si>
  <si>
    <t>792802323</t>
  </si>
  <si>
    <t>PQ4807 A79 Z827 2012</t>
  </si>
  <si>
    <t>0                      PQ 4807000A  79                 Z  827         2012</t>
  </si>
  <si>
    <t>Indagini sulla narrativa di Giorgio Bassani a dieci anni della scomparsa : atti del convegno di studi : Ferrara, 14 ottobre 2010 / a cura di Donatella Capodarca e Tina Matarrese.</t>
  </si>
  <si>
    <t>La nuova meridiana ; 76</t>
  </si>
  <si>
    <t>3861631913:ita</t>
  </si>
  <si>
    <t>795755122</t>
  </si>
  <si>
    <t>ocn795755122</t>
  </si>
  <si>
    <t>3103125902I</t>
  </si>
  <si>
    <t>9788860875532</t>
  </si>
  <si>
    <t>794921553</t>
  </si>
  <si>
    <t>PQ4807 A79 Z8296 2016</t>
  </si>
  <si>
    <t>0                      PQ 4807000A  79                 Z  8296        2016</t>
  </si>
  <si>
    <t>Lezioni americane di Giorgio Bassani / a cura di Valerio Cappozzo.</t>
  </si>
  <si>
    <t>Ravenna : Giorgio Pozzi editore, [2016]</t>
  </si>
  <si>
    <t>Bassaniana ; 6</t>
  </si>
  <si>
    <t>3222381721:ita</t>
  </si>
  <si>
    <t>944445468</t>
  </si>
  <si>
    <t>ocn944445468</t>
  </si>
  <si>
    <t>31036611552</t>
  </si>
  <si>
    <t>9788896117576</t>
  </si>
  <si>
    <t>795013011</t>
  </si>
  <si>
    <t>PQ4807 A79 Z835 2011</t>
  </si>
  <si>
    <t>0                      PQ 4807000A  79                 Z  835         2011</t>
  </si>
  <si>
    <t>L'eco di Micòl : itinerario bassaniano = The echo of Micòl : a walk through the writings of Giorgio Bassani / Monica Pavani ; traduzione di/ translation by Thomas Marshall.</t>
  </si>
  <si>
    <t>(text+1 fold. map)</t>
  </si>
  <si>
    <t>Pavani, Monica.</t>
  </si>
  <si>
    <t>Ferrara : 2G, 2011.</t>
  </si>
  <si>
    <t>Le essenze ; 5</t>
  </si>
  <si>
    <t>1043191988:ita</t>
  </si>
  <si>
    <t>745970686</t>
  </si>
  <si>
    <t>ocn745970686</t>
  </si>
  <si>
    <t>3103125499F</t>
  </si>
  <si>
    <t>9788889248256</t>
  </si>
  <si>
    <t>794886765</t>
  </si>
  <si>
    <t>PQ4807 A79 Z835 2012</t>
  </si>
  <si>
    <t>0                      PQ 4807000A  79                 Z  835         2012</t>
  </si>
  <si>
    <t>Un poeta è sempre in esilio : studi su Bassani / Piero Pieri.</t>
  </si>
  <si>
    <t>Pieri, Piero, 1947-</t>
  </si>
  <si>
    <t>Ravenna : Giorgio Pozzi editore, [2012]</t>
  </si>
  <si>
    <t>Bassaniana ; 3</t>
  </si>
  <si>
    <t>2014-01-23</t>
  </si>
  <si>
    <t>1171191466:ita</t>
  </si>
  <si>
    <t>820775712</t>
  </si>
  <si>
    <t>ocn820775712</t>
  </si>
  <si>
    <t>31031260192</t>
  </si>
  <si>
    <t>9788896117255</t>
  </si>
  <si>
    <t>794935669</t>
  </si>
  <si>
    <t>PQ4807 A79 Z836 2012</t>
  </si>
  <si>
    <t>0                      PQ 4807000A  79                 Z  836         2012</t>
  </si>
  <si>
    <t>Poscritto a Giorgio Bassani : saggi in memoria del decimo anniversario della morte / a cura di Roberta Antognini, Rodica Diaconescu Blumenfeld.</t>
  </si>
  <si>
    <t>Milano : LED Edizioni Universitarie di Lettere Economia Diritto, 2012, ©2012.</t>
  </si>
  <si>
    <t>Colloquium</t>
  </si>
  <si>
    <t>1120177923:ita</t>
  </si>
  <si>
    <t>795755579</t>
  </si>
  <si>
    <t>ocn795755579</t>
  </si>
  <si>
    <t>31031258699</t>
  </si>
  <si>
    <t>9788879165105</t>
  </si>
  <si>
    <t>794921556</t>
  </si>
  <si>
    <t>PQ4807 A79 Z853 2010</t>
  </si>
  <si>
    <t>0                      PQ 4807000A  79                 Z  853         2010</t>
  </si>
  <si>
    <t>Bassani, Giorgio : un ebreo italiano / Marilena Renda.</t>
  </si>
  <si>
    <t>Renda, Marilena, 1976-</t>
  </si>
  <si>
    <t>Roma : Gaffi, 2010.</t>
  </si>
  <si>
    <t>Centenaria</t>
  </si>
  <si>
    <t>891811236:ita</t>
  </si>
  <si>
    <t>609530166</t>
  </si>
  <si>
    <t>ocn609530166</t>
  </si>
  <si>
    <t>3103125081T</t>
  </si>
  <si>
    <t>9788861650718</t>
  </si>
  <si>
    <t>794820018</t>
  </si>
  <si>
    <t>PQ4807 A79 Z896 2010</t>
  </si>
  <si>
    <t>0                      PQ 4807000A  79                 Z  896         2010</t>
  </si>
  <si>
    <t>Giorgio Bassani all'Accademia d'arte drammatica / Giulio Vannucci.</t>
  </si>
  <si>
    <t>Vannucci, Giulio.</t>
  </si>
  <si>
    <t>Roma : Bulzoni, ©2010.</t>
  </si>
  <si>
    <t>Novecento live ; 12</t>
  </si>
  <si>
    <t>757221073:ita</t>
  </si>
  <si>
    <t>681707480</t>
  </si>
  <si>
    <t>ocn681707480</t>
  </si>
  <si>
    <t>3103358438P</t>
  </si>
  <si>
    <t>9788878705128</t>
  </si>
  <si>
    <t>794852336</t>
  </si>
  <si>
    <t>PQ4807 E47 R513 1989</t>
  </si>
  <si>
    <t>0                      PQ 4807000E  47                 R  513         1989</t>
  </si>
  <si>
    <t>Private renaissance : a novel / Maria Bellonci ; translated by William Weaver.</t>
  </si>
  <si>
    <t>New York : Morrow, ©1989.</t>
  </si>
  <si>
    <t>2015-11-20</t>
  </si>
  <si>
    <t>4160888063:eng</t>
  </si>
  <si>
    <t>18561345</t>
  </si>
  <si>
    <t>ocm18561345</t>
  </si>
  <si>
    <t>3103602244Y</t>
  </si>
  <si>
    <t>9780688081881</t>
  </si>
  <si>
    <t>793029361</t>
  </si>
  <si>
    <t>PQ4807 E47 Z5</t>
  </si>
  <si>
    <t>0                      PQ 4807000E  47                 Z  5</t>
  </si>
  <si>
    <t>Pubblici segreti.</t>
  </si>
  <si>
    <t>Milano] Mondadori [1965]</t>
  </si>
  <si>
    <t>Quaderni dei Narratori italiani, v. 6</t>
  </si>
  <si>
    <t>5622861020:ita</t>
  </si>
  <si>
    <t>421493</t>
  </si>
  <si>
    <t>ocm00421493</t>
  </si>
  <si>
    <t>30006195673</t>
  </si>
  <si>
    <t>791374052</t>
  </si>
  <si>
    <t>PQ4807 E47 Z528 2011</t>
  </si>
  <si>
    <t>0                      PQ 4807000E  47                 Z  528         2011</t>
  </si>
  <si>
    <t>Gli orologi di Isabella : il Rinascimento di Maria Bellonci / Luisa Avellini.</t>
  </si>
  <si>
    <t>Avellini, Luisa, 1946-</t>
  </si>
  <si>
    <t>Bologna : I libri di Emil, ©2011.</t>
  </si>
  <si>
    <t>1309751421:ita</t>
  </si>
  <si>
    <t>842837433</t>
  </si>
  <si>
    <t>ocn842837433</t>
  </si>
  <si>
    <t>3103126235T</t>
  </si>
  <si>
    <t>9788896026786</t>
  </si>
  <si>
    <t>794947581</t>
  </si>
  <si>
    <t>PQ4807 E47 Z58 2014</t>
  </si>
  <si>
    <t>0                      PQ 4807000E  47                 Z  58          2014</t>
  </si>
  <si>
    <t>Officine della bellezza : Maria Bellonci e l'interpretazione narrativa del lusso rinascimentale / Luisa Avellini.</t>
  </si>
  <si>
    <t>Avellini, Luisa, 1946- author.</t>
  </si>
  <si>
    <t>Bologna : I libri di Emil, [2014]</t>
  </si>
  <si>
    <t>Scrittrici ; 1</t>
  </si>
  <si>
    <t>3466334579:ita</t>
  </si>
  <si>
    <t>908688126</t>
  </si>
  <si>
    <t>ocn908688126</t>
  </si>
  <si>
    <t>3103636020I</t>
  </si>
  <si>
    <t>9788866801238</t>
  </si>
  <si>
    <t>794994990</t>
  </si>
  <si>
    <t>PQ4807 E47 1994</t>
  </si>
  <si>
    <t>0                      PQ 4807000E  47          1994</t>
  </si>
  <si>
    <t>Opere / Maria Bellonci ; a cura di Ernesto Ferrero.</t>
  </si>
  <si>
    <t>Milano : A. Mondadori, 1994-1997.</t>
  </si>
  <si>
    <t>2017-12-22</t>
  </si>
  <si>
    <t>3373341407:ita</t>
  </si>
  <si>
    <t>32676395</t>
  </si>
  <si>
    <t>ocm32676395</t>
  </si>
  <si>
    <t>3101463951Z</t>
  </si>
  <si>
    <t>9788804391098</t>
  </si>
  <si>
    <t>793391550</t>
  </si>
  <si>
    <t>3101939500L</t>
  </si>
  <si>
    <t>793391549</t>
  </si>
  <si>
    <t>PQ4807 E66 A6 1974</t>
  </si>
  <si>
    <t>0                      PQ 4807000E  66                 A  6           1974</t>
  </si>
  <si>
    <t>Teatro / Aldo De Benedetti ; presentazioni di Achille Fiocco e Alberto Perrini.</t>
  </si>
  <si>
    <t>Benedetti, Aldo de.</t>
  </si>
  <si>
    <t>Milano : Edizioni del Borghese, 1974.</t>
  </si>
  <si>
    <t>Le Maschere ; v. 1</t>
  </si>
  <si>
    <t>2491004:ita</t>
  </si>
  <si>
    <t>1635525</t>
  </si>
  <si>
    <t>ocm01635525</t>
  </si>
  <si>
    <t>3000391920Q</t>
  </si>
  <si>
    <t>791797696</t>
  </si>
  <si>
    <t>PQ4807 E815 M333 2014</t>
  </si>
  <si>
    <t>0                      PQ 4807000E  815                M  333         2014</t>
  </si>
  <si>
    <t>La forma della coscienza : Il male oscuro di Giuseppe Berto / Paola Dottore.</t>
  </si>
  <si>
    <t>Dottore, Paola, 1980- author.</t>
  </si>
  <si>
    <t>Castelfranco Veneto (TV) : Biblioteca dei Leoni, [2014]</t>
  </si>
  <si>
    <t>2562684029:ita</t>
  </si>
  <si>
    <t>910085254</t>
  </si>
  <si>
    <t>ocn910085254</t>
  </si>
  <si>
    <t>3103628545F</t>
  </si>
  <si>
    <t>9788898613229</t>
  </si>
  <si>
    <t>794995809</t>
  </si>
  <si>
    <t>PQ4807 E815 Z656 2012</t>
  </si>
  <si>
    <t>0                      PQ 4807000E  815                Z  656         2012</t>
  </si>
  <si>
    <t>La coscienza di Berto / Paola Culicelli.</t>
  </si>
  <si>
    <t>Culicelli, Paola.</t>
  </si>
  <si>
    <t>Firenze : Le lettere, 2012.</t>
  </si>
  <si>
    <t>1083654541:ita</t>
  </si>
  <si>
    <t>779253176</t>
  </si>
  <si>
    <t>ocn779253176</t>
  </si>
  <si>
    <t>3103125808L</t>
  </si>
  <si>
    <t>9788860875433</t>
  </si>
  <si>
    <t>794910668</t>
  </si>
  <si>
    <t>PQ4807 E815 2010</t>
  </si>
  <si>
    <t>0                      PQ 4807000E  815         2010</t>
  </si>
  <si>
    <t>Soprappensieri : tutti gli articoli, 1962-1971 / Giuseppe Berto ; a cura di Luigi Fontanella.</t>
  </si>
  <si>
    <t>Berto, Giuseppe.</t>
  </si>
  <si>
    <t>Torino : N. Aragno, ©2010.</t>
  </si>
  <si>
    <t>796529231:ita</t>
  </si>
  <si>
    <t>656501590</t>
  </si>
  <si>
    <t>ocn656501590</t>
  </si>
  <si>
    <t>3103125189Q</t>
  </si>
  <si>
    <t>9788884194336</t>
  </si>
  <si>
    <t>794834857</t>
  </si>
  <si>
    <t>PQ4807 E85 Z525 2011</t>
  </si>
  <si>
    <t>0                      PQ 4807000E  85                 Z  525         2011</t>
  </si>
  <si>
    <t>Rivoluzione e diritto : libertà e persona nel teatro di Ugo Betti / Tina Achilli ; in appendice, Ugo Betti, La regina e gli insorti.</t>
  </si>
  <si>
    <t>Achilli, Tina.</t>
  </si>
  <si>
    <t>Arti, musica, spettacolo</t>
  </si>
  <si>
    <t>1044135314:ita</t>
  </si>
  <si>
    <t>760988756</t>
  </si>
  <si>
    <t>ocn760988756</t>
  </si>
  <si>
    <t>3103125582E</t>
  </si>
  <si>
    <t>9788861941137</t>
  </si>
  <si>
    <t>794898909</t>
  </si>
  <si>
    <t>PQ4807 I36 Z55 2015</t>
  </si>
  <si>
    <t>0                      PQ 4807000I  36                 Z  55          2015</t>
  </si>
  <si>
    <t>A voice in the fire : Piero Bigongiari's poetry of war and survival / Theodore Ell.</t>
  </si>
  <si>
    <t>Ell, Theodore, author.</t>
  </si>
  <si>
    <t>Kibworth Beauchamp, UK : Troubador Publishing Ltd., [2015]</t>
  </si>
  <si>
    <t>2576423454:eng</t>
  </si>
  <si>
    <t>916795645</t>
  </si>
  <si>
    <t>ocn916795645</t>
  </si>
  <si>
    <t>31036112404</t>
  </si>
  <si>
    <t>9781784622282</t>
  </si>
  <si>
    <t>795000806</t>
  </si>
  <si>
    <t>PQ4807 I4 Z63 2015</t>
  </si>
  <si>
    <t>0                      PQ 4807000I  4                  Z  63          2015</t>
  </si>
  <si>
    <t>La narrativa del primo Bilenchi : adolescenza, scrittura e riflessioni metaletterarie / Alessia Fetz.</t>
  </si>
  <si>
    <t>Fetz, Alessia, 1980- author.</t>
  </si>
  <si>
    <t>Strumenti di letteratura italiana ; 44</t>
  </si>
  <si>
    <t>2514949861:ita</t>
  </si>
  <si>
    <t>903207875</t>
  </si>
  <si>
    <t>ocn903207875</t>
  </si>
  <si>
    <t>31036213697</t>
  </si>
  <si>
    <t>9788876674914</t>
  </si>
  <si>
    <t>794988856</t>
  </si>
  <si>
    <t>PQ4807 O36 P4633 2017</t>
  </si>
  <si>
    <t>0                      PQ 4807000O  36                 P  4633        2017</t>
  </si>
  <si>
    <t>Boccioni atto primo : Pene dell'anima e la vocazione giovanile per la scrittura / a cura di Virginia Baradel ; con scritti di Antonia Arslan, Franca Munari.</t>
  </si>
  <si>
    <t>Padova : Il poligrafo, [2017]</t>
  </si>
  <si>
    <t>Carte versicolori ; 2</t>
  </si>
  <si>
    <t>4211413056:ita</t>
  </si>
  <si>
    <t>987269096</t>
  </si>
  <si>
    <t>ocn987269096</t>
  </si>
  <si>
    <t>3103721220Y</t>
  </si>
  <si>
    <t>9788871159775</t>
  </si>
  <si>
    <t>795035939</t>
  </si>
  <si>
    <t>PQ4807 O38 Z48 2011</t>
  </si>
  <si>
    <t>0                      PQ 4807000O  38                 Z  48          2011</t>
  </si>
  <si>
    <t>Sud come Europa : carteggio (1954-1960) / Vittorio Bodini, Leonardo Sciascia ; a cura di Fabio Moliterni.</t>
  </si>
  <si>
    <t>Bodini, Vittorio, 1914-1970.</t>
  </si>
  <si>
    <t>Nardò (LE) [i.e. Lecce, Italy] : Besa, ©2011.</t>
  </si>
  <si>
    <t>Bodiniana ; 2</t>
  </si>
  <si>
    <t>1101331165:ita</t>
  </si>
  <si>
    <t>785862993</t>
  </si>
  <si>
    <t>ocn785862993</t>
  </si>
  <si>
    <t>3103125735I</t>
  </si>
  <si>
    <t>9788849708035</t>
  </si>
  <si>
    <t>794915376</t>
  </si>
  <si>
    <t>PQ4807 O46 A6 1971</t>
  </si>
  <si>
    <t>0                      PQ 4807000O  46                 A  6           1971</t>
  </si>
  <si>
    <t>Il peccato e le altre opere. Ritratto di Boine di Giancarlo Vigorelli.</t>
  </si>
  <si>
    <t>Boine, Giovanni, 1887-1917.</t>
  </si>
  <si>
    <t>Parma, Guanda, 1971.</t>
  </si>
  <si>
    <t>Collana Fenice. Sezione poeti</t>
  </si>
  <si>
    <t>3944081607:ita</t>
  </si>
  <si>
    <t>941215</t>
  </si>
  <si>
    <t>ocm00941215</t>
  </si>
  <si>
    <t>31036789529</t>
  </si>
  <si>
    <t>791507582</t>
  </si>
  <si>
    <t>PQ4807 O65 R3 1943</t>
  </si>
  <si>
    <t>0                      PQ 4807000O  65                 R  3           1943</t>
  </si>
  <si>
    <t>Racconti Vecchi (1904-1914) / Massimo Bontempelli.</t>
  </si>
  <si>
    <t>Bontempelli, Massimo, 1878-1960.</t>
  </si>
  <si>
    <t>Verona : A. Mondadori, 1943.</t>
  </si>
  <si>
    <t>Racconti di Massimo Bontempelli ; 1</t>
  </si>
  <si>
    <t>2016-12-04</t>
  </si>
  <si>
    <t>429010852:ita</t>
  </si>
  <si>
    <t>7628020</t>
  </si>
  <si>
    <t>ocm07628020</t>
  </si>
  <si>
    <t>3000533465$</t>
  </si>
  <si>
    <t>792571298</t>
  </si>
  <si>
    <t>PQ4807 O75 A16 1962</t>
  </si>
  <si>
    <t>0                      PQ 4807000O  75                 A  16          1962</t>
  </si>
  <si>
    <t>La città assoluta e altri scritti, a cura di Mario Robertazzi.</t>
  </si>
  <si>
    <t>Borgese, Giuseppe Antonio, 1882-1952.</t>
  </si>
  <si>
    <t>Milano] Mondadori [1962]</t>
  </si>
  <si>
    <t>365887560:ita</t>
  </si>
  <si>
    <t>4578019</t>
  </si>
  <si>
    <t>ocm04578019</t>
  </si>
  <si>
    <t>3000774169Y</t>
  </si>
  <si>
    <t>792364386</t>
  </si>
  <si>
    <t>PQ4807 O75 R8 1974</t>
  </si>
  <si>
    <t>0                      PQ 4807000O  75                 R  8           1974</t>
  </si>
  <si>
    <t>Rubè / G.A. Borgese ; introduzione di Luciano De Maria.</t>
  </si>
  <si>
    <t>[Milano] : A. Mondadori, 1974.</t>
  </si>
  <si>
    <t>1. ed. Oscar Mondadori.</t>
  </si>
  <si>
    <t>Gli Oscar ; L167</t>
  </si>
  <si>
    <t>2217424:ita</t>
  </si>
  <si>
    <t>1926506</t>
  </si>
  <si>
    <t>ocm01926506</t>
  </si>
  <si>
    <t>3000170821M</t>
  </si>
  <si>
    <t>792012588</t>
  </si>
  <si>
    <t>PQ4807 O75 Z485 1998</t>
  </si>
  <si>
    <t>0                      PQ 4807000O  75                 Z  485         1998</t>
  </si>
  <si>
    <t>Lettere a Giovanni Gentile / Giuseppe Antonio Borgese ; a cura di Giuliana Stentella Petrarchini ; con una premessa di Piero Floriani.</t>
  </si>
  <si>
    <t>Roma : Archivio Guido Izzi, 1998.</t>
  </si>
  <si>
    <t>Archivio italiano ; 5</t>
  </si>
  <si>
    <t>198767397:ita</t>
  </si>
  <si>
    <t>41593456</t>
  </si>
  <si>
    <t>ocm41593456</t>
  </si>
  <si>
    <t>3102236796Z</t>
  </si>
  <si>
    <t>9788885760769</t>
  </si>
  <si>
    <t>793594817</t>
  </si>
  <si>
    <t>PQ4807 O75 Z6</t>
  </si>
  <si>
    <t>0                      PQ 4807000O  75                 Z  6</t>
  </si>
  <si>
    <t>Giuseppe Antonio Borgese.</t>
  </si>
  <si>
    <t>D'Alberti, Sarah.</t>
  </si>
  <si>
    <t>Palermo, S.F. Flaccovio 1971.</t>
  </si>
  <si>
    <t>Collana di saggi e monografie, nuova ser., 28</t>
  </si>
  <si>
    <t>2018-11-02</t>
  </si>
  <si>
    <t>1757500:ita</t>
  </si>
  <si>
    <t>587441</t>
  </si>
  <si>
    <t>ocm00587441</t>
  </si>
  <si>
    <t>3000615953I</t>
  </si>
  <si>
    <t>791422138</t>
  </si>
  <si>
    <t>PQ4807 O75 Z73 1982</t>
  </si>
  <si>
    <t>0                      PQ 4807000O  75                 Z  73          1982</t>
  </si>
  <si>
    <t>L'invenzione critica : Guiseppe Antonio Borgese / Vincenzo Licata.</t>
  </si>
  <si>
    <t>Licata, Vincenzo, active 1974-</t>
  </si>
  <si>
    <t>Palermo : S.F. Flaccovio, ©1982.</t>
  </si>
  <si>
    <t>Piccola collana saggi ; nuova ser., 13</t>
  </si>
  <si>
    <t>5592640:ita</t>
  </si>
  <si>
    <t>12971760</t>
  </si>
  <si>
    <t>ocm12971760</t>
  </si>
  <si>
    <t>30003741428</t>
  </si>
  <si>
    <t>792835173</t>
  </si>
  <si>
    <t>PQ4807 O75 Z75</t>
  </si>
  <si>
    <t>0                      PQ 4807000O  75                 Z  75</t>
  </si>
  <si>
    <t>Borgese e il fascismo / Fernando Mezzetti ; saggio introduttivo di Guido Piovene.</t>
  </si>
  <si>
    <t>Mezzetti, Fernando.</t>
  </si>
  <si>
    <t>Palermo : Sellerio, ©1978.</t>
  </si>
  <si>
    <t>Prisma ; 13</t>
  </si>
  <si>
    <t>14657566:ita</t>
  </si>
  <si>
    <t>4460163</t>
  </si>
  <si>
    <t>ocm04460163</t>
  </si>
  <si>
    <t>3000440899J</t>
  </si>
  <si>
    <t>792351700</t>
  </si>
  <si>
    <t>PQ4807 R28 A6 2003</t>
  </si>
  <si>
    <t>0                      PQ 4807000R  28                 A  6           2003</t>
  </si>
  <si>
    <t>Romanzi e saggi / Vitaliano Brancati ; a cura di Marco Dondero ; con un saggio introduttivo di Giulio Ferroni.</t>
  </si>
  <si>
    <t>Brancati, Vitaliano, 1907-1954.</t>
  </si>
  <si>
    <t>Milano : A. Mondadori, 2003.</t>
  </si>
  <si>
    <t>2018-12-11</t>
  </si>
  <si>
    <t>290902303:ita</t>
  </si>
  <si>
    <t>52564597</t>
  </si>
  <si>
    <t>ocm52564597</t>
  </si>
  <si>
    <t>3102325623I</t>
  </si>
  <si>
    <t>9788804513582</t>
  </si>
  <si>
    <t>793809807</t>
  </si>
  <si>
    <t>PQ4807 R28 B6 1973</t>
  </si>
  <si>
    <t>0                      PQ 4807000R  28                 B  6           1973</t>
  </si>
  <si>
    <t>Il borghese e l'immensità. Scritti 1930-1954. A cura di Sandro De Feo e G.A. Cibotto. Introduzione di G.A. Cibotto.</t>
  </si>
  <si>
    <t>Milano, V. Bompiani, 1973.</t>
  </si>
  <si>
    <t>2017-05-20</t>
  </si>
  <si>
    <t>365203778:ita</t>
  </si>
  <si>
    <t>947196</t>
  </si>
  <si>
    <t>ocm00947196</t>
  </si>
  <si>
    <t>3000614745U</t>
  </si>
  <si>
    <t>791509244</t>
  </si>
  <si>
    <t>PQ4807 R28 D6 1968</t>
  </si>
  <si>
    <t>0                      PQ 4807000R  28                 D  6           1968</t>
  </si>
  <si>
    <t>Don Giovanni in Sicilia / Vitaliano Brancati.</t>
  </si>
  <si>
    <t>Milano : V. Bompiani, 1968.</t>
  </si>
  <si>
    <t>11. ed.</t>
  </si>
  <si>
    <t>I delfini : i più famosi libri moderni ; 126</t>
  </si>
  <si>
    <t>2018-01-30</t>
  </si>
  <si>
    <t>4927464674:ita</t>
  </si>
  <si>
    <t>427509566</t>
  </si>
  <si>
    <t>ocn427509566</t>
  </si>
  <si>
    <t>3000615955E</t>
  </si>
  <si>
    <t>794671538</t>
  </si>
  <si>
    <t>PQ4807 R28 Z578 2011</t>
  </si>
  <si>
    <t>0                      PQ 4807000R  28                 Z  578         2011</t>
  </si>
  <si>
    <t>Tra incerti miti : Brancati e la modernità / Alberto Bianchi.</t>
  </si>
  <si>
    <t>Bianchi, Alberto, 1966-</t>
  </si>
  <si>
    <t>Casoria (NA) [i.e. Naples, Italy] : Loffredo University Press, [2011]</t>
  </si>
  <si>
    <t>Studi di italianistica ; 5</t>
  </si>
  <si>
    <t>916976485:ita</t>
  </si>
  <si>
    <t>732280181</t>
  </si>
  <si>
    <t>ocn732280181</t>
  </si>
  <si>
    <t>3103125455N</t>
  </si>
  <si>
    <t>9788875644857</t>
  </si>
  <si>
    <t>794881221</t>
  </si>
  <si>
    <t>PQ4807 U83 A19 1980</t>
  </si>
  <si>
    <t>0                      PQ 4807000U  83                 A  19          1980</t>
  </si>
  <si>
    <t>Teatro / Dino Buzzati ; a cura di Guido Davico Bonino.</t>
  </si>
  <si>
    <t>Buzzati, Dino, 1906-1972.</t>
  </si>
  <si>
    <t>Milano : A. Mondadori, 1980.</t>
  </si>
  <si>
    <t>1059166599:ita</t>
  </si>
  <si>
    <t>7638796</t>
  </si>
  <si>
    <t>ocm07638796</t>
  </si>
  <si>
    <t>3000324986N</t>
  </si>
  <si>
    <t>792572001</t>
  </si>
  <si>
    <t>PQ4807 U83 A2 2018</t>
  </si>
  <si>
    <t>0                      PQ 4807000U  83                 A  2           2018</t>
  </si>
  <si>
    <t>Catastrophe : and other stories / Dino Buzzati ; translated by Judith Landry.</t>
  </si>
  <si>
    <t>Buzzati, Dino, 1906-1972, author.</t>
  </si>
  <si>
    <t>New York, NY : Ecco, an imprint of HarperCollins Publishers, [2018]</t>
  </si>
  <si>
    <t>First Ecco paperback edition.</t>
  </si>
  <si>
    <t>The art of the story</t>
  </si>
  <si>
    <t>4498773164:eng</t>
  </si>
  <si>
    <t>1110657726</t>
  </si>
  <si>
    <t>on1110657726</t>
  </si>
  <si>
    <t>3103808498X</t>
  </si>
  <si>
    <t>9780062742735</t>
  </si>
  <si>
    <t>795083683</t>
  </si>
  <si>
    <t>PQ4807 U83 A6 1975</t>
  </si>
  <si>
    <t>0                      PQ 4807000U  83                 A  6           1975</t>
  </si>
  <si>
    <t>Romanzi e racconti / Dino Buzzati ; a cura di Giuliano Gramigna.</t>
  </si>
  <si>
    <t>[Milano] : A. Mondadori, 1975.</t>
  </si>
  <si>
    <t>12379074:ita</t>
  </si>
  <si>
    <t>2418075</t>
  </si>
  <si>
    <t>ocm02418075</t>
  </si>
  <si>
    <t>3000393965V</t>
  </si>
  <si>
    <t>792119281</t>
  </si>
  <si>
    <t>PQ4807 U83 A6 1998</t>
  </si>
  <si>
    <t>0                      PQ 4807000U  83                 A  6           1998</t>
  </si>
  <si>
    <t>Opere scelte / Dino Buzzati ; a cura di Giulio Carnazzi.</t>
  </si>
  <si>
    <t>Milano : A. Mondadori, 1998.</t>
  </si>
  <si>
    <t>2019-08-22</t>
  </si>
  <si>
    <t>291278841:ita</t>
  </si>
  <si>
    <t>39008874</t>
  </si>
  <si>
    <t>ocm39008874</t>
  </si>
  <si>
    <t>3101943516U</t>
  </si>
  <si>
    <t>9788804435839</t>
  </si>
  <si>
    <t>793535727</t>
  </si>
  <si>
    <t>PQ4807 U83 B4736 2009</t>
  </si>
  <si>
    <t>0                      PQ 4807000U  83                 B  4736        2009</t>
  </si>
  <si>
    <t>Il bestiario di Dino Buzzati / Cinzia Posenato.</t>
  </si>
  <si>
    <t>Posenato, Cinzia.</t>
  </si>
  <si>
    <t>[Bologna] : Inchiostri associati, ©2009.</t>
  </si>
  <si>
    <t>2017-10-24</t>
  </si>
  <si>
    <t>477828971:ita</t>
  </si>
  <si>
    <t>609529811</t>
  </si>
  <si>
    <t>ocn609529811</t>
  </si>
  <si>
    <t>3103125050Z</t>
  </si>
  <si>
    <t>9788890447402</t>
  </si>
  <si>
    <t>794820009</t>
  </si>
  <si>
    <t>PQ4807 U83 D4 1958</t>
  </si>
  <si>
    <t>0                      PQ 4807000U  83                 D  4           1958</t>
  </si>
  <si>
    <t>Il deserto dei Tartari : romanzo / di Dino Buzzati.</t>
  </si>
  <si>
    <t>[Milano] : A. Mondadori, 1958.</t>
  </si>
  <si>
    <t>Narratori italiani ; v. 36</t>
  </si>
  <si>
    <t>2019-05-06</t>
  </si>
  <si>
    <t>1080976:ita</t>
  </si>
  <si>
    <t>18302971</t>
  </si>
  <si>
    <t>ocm18302971</t>
  </si>
  <si>
    <t>3000774268W</t>
  </si>
  <si>
    <t>793020743</t>
  </si>
  <si>
    <t>PQ4807 U83 D4 1970</t>
  </si>
  <si>
    <t>0                      PQ 4807000U  83                 D  4           1970</t>
  </si>
  <si>
    <t>Il deserto dei Tartari.</t>
  </si>
  <si>
    <t>2019-02-27</t>
  </si>
  <si>
    <t>59803460</t>
  </si>
  <si>
    <t>ocm59803460</t>
  </si>
  <si>
    <t>3103602290R</t>
  </si>
  <si>
    <t>793931817</t>
  </si>
  <si>
    <t>PQ4807 U83 D43 2007</t>
  </si>
  <si>
    <t>0                      PQ 4807000U  83                 D  43          2007</t>
  </si>
  <si>
    <t>The Tartar steppe / Dino Buzzati ; translated from the Italian by Stuart C. Hood.</t>
  </si>
  <si>
    <t>Edinburgh ; New York : Canongate, 2007.</t>
  </si>
  <si>
    <t>4820859309:eng</t>
  </si>
  <si>
    <t>76852635</t>
  </si>
  <si>
    <t>ocm76852635</t>
  </si>
  <si>
    <t>3103669102K</t>
  </si>
  <si>
    <t>9781841959283</t>
  </si>
  <si>
    <t>794177805</t>
  </si>
  <si>
    <t>PQ4807 U83 D49x</t>
  </si>
  <si>
    <t>0                      PQ 4807000U  83                 D  49x</t>
  </si>
  <si>
    <t>Le désert des Tartares, Dino Buzzati : analyse critique / par François Livi.</t>
  </si>
  <si>
    <t>Livi, François.</t>
  </si>
  <si>
    <t>Paris : Hatier, [1973]</t>
  </si>
  <si>
    <t>Profil d'une œuvre, 0750-2516 ; 40</t>
  </si>
  <si>
    <t>3754475328:fre</t>
  </si>
  <si>
    <t>1900118</t>
  </si>
  <si>
    <t>ocm01900118</t>
  </si>
  <si>
    <t>3000627875X</t>
  </si>
  <si>
    <t>9782218019029</t>
  </si>
  <si>
    <t>792007955</t>
  </si>
  <si>
    <t>2003-07-23</t>
  </si>
  <si>
    <t>3101201557P</t>
  </si>
  <si>
    <t>792007956</t>
  </si>
  <si>
    <t>PQ4807 U83 N613 1983</t>
  </si>
  <si>
    <t>0                      PQ 4807000U  83                 N  613         1983</t>
  </si>
  <si>
    <t>Restless nights : selected stories of Dino Buzzati / chosen and translated by Lawrence Venuti.</t>
  </si>
  <si>
    <t>San Francisco : North Point Press, 1983.</t>
  </si>
  <si>
    <t>2015-11-17</t>
  </si>
  <si>
    <t>836704942:eng</t>
  </si>
  <si>
    <t>9813062</t>
  </si>
  <si>
    <t>ocm09813062</t>
  </si>
  <si>
    <t>3000165289U</t>
  </si>
  <si>
    <t>9780865471009</t>
  </si>
  <si>
    <t>792694678</t>
  </si>
  <si>
    <t>PQ4807 U83 P59 1969</t>
  </si>
  <si>
    <t>0                      PQ 4807000U  83                 P  59          1969</t>
  </si>
  <si>
    <t>Poema a fumetti.</t>
  </si>
  <si>
    <t>Milano] A. Mondadori [1969]</t>
  </si>
  <si>
    <t>2018-05-15</t>
  </si>
  <si>
    <t>1387596:ita</t>
  </si>
  <si>
    <t>351960</t>
  </si>
  <si>
    <t>ocm00351960</t>
  </si>
  <si>
    <t>3000192407A</t>
  </si>
  <si>
    <t>791347564</t>
  </si>
  <si>
    <t>PQ4807.U83 P63 2005</t>
  </si>
  <si>
    <t>0                      PQ 4807000U  83                 P  63          2005</t>
  </si>
  <si>
    <t>"Poema a fumetti" di Dino Buzzati nella cultura degli anni '60 tra fumetto, fotografia e arti visive : atti del convegno internazionale, Feltre e Belluno, 12-14 settembre 2002 / a cura di Nella Giannetto ; con la collaborazione di Manuela Gallina.</t>
  </si>
  <si>
    <t>Milano : Mondadori, 2005.</t>
  </si>
  <si>
    <t>2016-12-16</t>
  </si>
  <si>
    <t>480065451:ita</t>
  </si>
  <si>
    <t>63888400</t>
  </si>
  <si>
    <t>ocm63888400</t>
  </si>
  <si>
    <t>3102609950G</t>
  </si>
  <si>
    <t>9788804554479</t>
  </si>
  <si>
    <t>794123371</t>
  </si>
  <si>
    <t>PQ4807 U83 S55 1984</t>
  </si>
  <si>
    <t>0                      PQ 4807000U  83                 S  55          1984</t>
  </si>
  <si>
    <t>The siren : a selection from Dino Buzzati / chosen and translated by Lawrence Venuti.</t>
  </si>
  <si>
    <t>San Francisco : North Point Press, 1984.</t>
  </si>
  <si>
    <t>1059223627:eng</t>
  </si>
  <si>
    <t>11182958</t>
  </si>
  <si>
    <t>ocm11182958</t>
  </si>
  <si>
    <t>3000377936U</t>
  </si>
  <si>
    <t>9780865471597</t>
  </si>
  <si>
    <t>792761889</t>
  </si>
  <si>
    <t>PQ4807 U83 Z575 2012</t>
  </si>
  <si>
    <t>0                      PQ 4807000U  83                 Z  575         2012</t>
  </si>
  <si>
    <t>Alias in via Solferino : studi e ricerche sulla lingua di Buzzati / Fabio Atzori.</t>
  </si>
  <si>
    <t>Atzori, Fabio.</t>
  </si>
  <si>
    <t>Pisa ; Roma : Fabrizio Serra editore, 2012.</t>
  </si>
  <si>
    <t>Quaderni del Centro studi Buzzati ; 7</t>
  </si>
  <si>
    <t>1185863819:ita</t>
  </si>
  <si>
    <t>820786287</t>
  </si>
  <si>
    <t>ocn820786287</t>
  </si>
  <si>
    <t>3103126056V</t>
  </si>
  <si>
    <t>9788862275484</t>
  </si>
  <si>
    <t>794935802</t>
  </si>
  <si>
    <t>PQ4807 U83 Z5817 2010</t>
  </si>
  <si>
    <t>0                      PQ 4807000U  83                 Z  5817        2010</t>
  </si>
  <si>
    <t>E se poi venisse davvero? : Natale in casa Buzzati / Lucia Bellaspiga.</t>
  </si>
  <si>
    <t>Bellaspiga, Lucia, 1963-</t>
  </si>
  <si>
    <t>Milano : Àncora, 2010.</t>
  </si>
  <si>
    <t>Collana Bonsai</t>
  </si>
  <si>
    <t>767720575:ita</t>
  </si>
  <si>
    <t>694827622</t>
  </si>
  <si>
    <t>ocn694827622</t>
  </si>
  <si>
    <t>3103125274P</t>
  </si>
  <si>
    <t>9788851408220</t>
  </si>
  <si>
    <t>794857913</t>
  </si>
  <si>
    <t>PQ4807 U83 Z643 2012</t>
  </si>
  <si>
    <t>0                      PQ 4807000U  83                 Z  643         2012</t>
  </si>
  <si>
    <t>Il dialogo segreto : le Dolomiti di Dino Buzzati / a cura di Rolly Marchi e Bepi Pellegrinon.</t>
  </si>
  <si>
    <t>Belluno : Nuovi sentieri, 2012.</t>
  </si>
  <si>
    <t>1171191362:ita</t>
  </si>
  <si>
    <t>812250227</t>
  </si>
  <si>
    <t>ocn812250227</t>
  </si>
  <si>
    <t>31031260270</t>
  </si>
  <si>
    <t>9788897863014</t>
  </si>
  <si>
    <t>794930758</t>
  </si>
  <si>
    <t>PQ4807 U83 Z733 2010</t>
  </si>
  <si>
    <t>0                      PQ 4807000U  83                 Z  733         2010</t>
  </si>
  <si>
    <t>Un gigante trascurato? : 1988-2008, vent'anni di promozione di studi dell'Associazione internazionale Dino Buzzati / a cura di Patrizia Dalla Rosa e Bianca Maria Da Rif.</t>
  </si>
  <si>
    <t>Pisa : F. Serra, 2010.</t>
  </si>
  <si>
    <t>Quaderni del Centro studi Buzzati ; 6</t>
  </si>
  <si>
    <t>897461262:ita</t>
  </si>
  <si>
    <t>721863249</t>
  </si>
  <si>
    <t>ocn721863249</t>
  </si>
  <si>
    <t>3103125401X</t>
  </si>
  <si>
    <t>9788862273336</t>
  </si>
  <si>
    <t>794875371</t>
  </si>
  <si>
    <t>PQ4807 U83 Z79 2014</t>
  </si>
  <si>
    <t>0                      PQ 4807000U  83                 Z  79          2014</t>
  </si>
  <si>
    <t>Oltre l'immaginazione lo sguardo : il teatro di Dino Buzzati / Serena Mazzone.</t>
  </si>
  <si>
    <t>Mazzone, Serena, author.</t>
  </si>
  <si>
    <t>Roma : Aracne editrice S.r.l., febbraio 2014.</t>
  </si>
  <si>
    <t>I nuovi critici ; 9</t>
  </si>
  <si>
    <t>1917683490:ita</t>
  </si>
  <si>
    <t>877112279</t>
  </si>
  <si>
    <t>ocn877112279</t>
  </si>
  <si>
    <t>31036216394</t>
  </si>
  <si>
    <t>9788854869493</t>
  </si>
  <si>
    <t>794970522</t>
  </si>
  <si>
    <t>PQ4807 U83 Z93 2004</t>
  </si>
  <si>
    <t>0                      PQ 4807000U  83                 Z  93          2004</t>
  </si>
  <si>
    <t>La penna diabolica : Buzzati scrittore-giornalista / Franco Zangrilli.</t>
  </si>
  <si>
    <t>Pesaro : Metauro, 2004.</t>
  </si>
  <si>
    <t>Studi ; 11</t>
  </si>
  <si>
    <t>364084352:ita</t>
  </si>
  <si>
    <t>56820147</t>
  </si>
  <si>
    <t>ocm56820147</t>
  </si>
  <si>
    <t>3102507606C</t>
  </si>
  <si>
    <t>9788887543384</t>
  </si>
  <si>
    <t>793902528</t>
  </si>
  <si>
    <t>PQ4807 U83 Z96 2012</t>
  </si>
  <si>
    <t>0                      PQ 4807000U  83                 Z  96          2012</t>
  </si>
  <si>
    <t>Le muse di Buzzati : realtà e mistero / Franco Zangrilli.</t>
  </si>
  <si>
    <t>Zangrilli, Franco, author.</t>
  </si>
  <si>
    <t>Pesaro (Italy) : Metauro, [2012]</t>
  </si>
  <si>
    <t>Studi ; 26</t>
  </si>
  <si>
    <t>1171191388:ita</t>
  </si>
  <si>
    <t>812250267</t>
  </si>
  <si>
    <t>ocn812250267</t>
  </si>
  <si>
    <t>3103125929E</t>
  </si>
  <si>
    <t>9788861560901</t>
  </si>
  <si>
    <t>794930759</t>
  </si>
  <si>
    <t>PQ4809 A418 B37 2001</t>
  </si>
  <si>
    <t>0                      PQ 4809000A  418                B  37          2001</t>
  </si>
  <si>
    <t>Il barone rampante / Italo Calvino ; tavole di Maria Enrica Agostinelli.</t>
  </si>
  <si>
    <t>Calvino, Italo.</t>
  </si>
  <si>
    <t>Milano : Mondadori, ©2001.</t>
  </si>
  <si>
    <t>Contemporanea</t>
  </si>
  <si>
    <t>2018-04-28</t>
  </si>
  <si>
    <t>413959:ita</t>
  </si>
  <si>
    <t>48485327</t>
  </si>
  <si>
    <t>ocm48485327</t>
  </si>
  <si>
    <t>3102431949A</t>
  </si>
  <si>
    <t>9788804497974</t>
  </si>
  <si>
    <t>793722199</t>
  </si>
  <si>
    <t>PQ4809 A45 A16 1995</t>
  </si>
  <si>
    <t>0                      PQ 4809000A  45                 A  16          1995</t>
  </si>
  <si>
    <t>Saggi : 1945-1985 / Italo Calvino ; a cura di Mario Barenghi.</t>
  </si>
  <si>
    <t>Milano : Mondadori, 1995.</t>
  </si>
  <si>
    <t>I meridiani.</t>
  </si>
  <si>
    <t>350919249:ita</t>
  </si>
  <si>
    <t>34967359</t>
  </si>
  <si>
    <t>ocm34967359</t>
  </si>
  <si>
    <t>31030052822</t>
  </si>
  <si>
    <t>9788804404040</t>
  </si>
  <si>
    <t>793440053</t>
  </si>
  <si>
    <t>3102894648R</t>
  </si>
  <si>
    <t>793440052</t>
  </si>
  <si>
    <t>PQ4809 A45 A23 1992</t>
  </si>
  <si>
    <t>0                      PQ 4809000A  45                 A  23          1992</t>
  </si>
  <si>
    <t>Our ancestors : three novels / Italo Calvino ; translated from the Italian by Archibald Colquhoun ; with an introduction by the author.</t>
  </si>
  <si>
    <t>London : Minerva, 1992.</t>
  </si>
  <si>
    <t>2017-02-09</t>
  </si>
  <si>
    <t>9112920891:eng</t>
  </si>
  <si>
    <t>427955999</t>
  </si>
  <si>
    <t>ocn427955999</t>
  </si>
  <si>
    <t>31037057222</t>
  </si>
  <si>
    <t>9780749399375</t>
  </si>
  <si>
    <t>794721419</t>
  </si>
  <si>
    <t>PQ4809 A45 A6 1991</t>
  </si>
  <si>
    <t>0                      PQ 4809000A  45                 A  6           1991</t>
  </si>
  <si>
    <t>Romanzi e racconti / Italo Calvino ; edizione diretta da Claudio Milanini ; a cura di Mario Barenghi e Bruno Falcetto ; prefazione di Jean Starobinski.</t>
  </si>
  <si>
    <t>Milano : A. Mondadori, [1991-2013]</t>
  </si>
  <si>
    <t>2014-05-12</t>
  </si>
  <si>
    <t>10141369331:ita</t>
  </si>
  <si>
    <t>25583755</t>
  </si>
  <si>
    <t>ocm25583755</t>
  </si>
  <si>
    <t>31030052980</t>
  </si>
  <si>
    <t>9788804344537</t>
  </si>
  <si>
    <t>793225349</t>
  </si>
  <si>
    <t>2010-12-20</t>
  </si>
  <si>
    <t>3102283048G</t>
  </si>
  <si>
    <t>793225353</t>
  </si>
  <si>
    <t>31030052774</t>
  </si>
  <si>
    <t>793225350</t>
  </si>
  <si>
    <t>2012-09-14</t>
  </si>
  <si>
    <t>3102283049G</t>
  </si>
  <si>
    <t>793225351</t>
  </si>
  <si>
    <t>3102283050E</t>
  </si>
  <si>
    <t>793225352</t>
  </si>
  <si>
    <t>2002-05-06</t>
  </si>
  <si>
    <t>31030052784</t>
  </si>
  <si>
    <t>793225348</t>
  </si>
  <si>
    <t>PQ4809 A45 A6 2009</t>
  </si>
  <si>
    <t>0                      PQ 4809000A  45                 A  6           2009</t>
  </si>
  <si>
    <t>The complete Cosmicomics / Italo Calvino ; translated by Martin McLaughlin, Tim Parks, and William Weaver.</t>
  </si>
  <si>
    <t>London ; New York : Penguin Classics, 2009.</t>
  </si>
  <si>
    <t>5090407136:eng</t>
  </si>
  <si>
    <t>312626676</t>
  </si>
  <si>
    <t>ocn312626676</t>
  </si>
  <si>
    <t>3102859358Y</t>
  </si>
  <si>
    <t>9781846141652</t>
  </si>
  <si>
    <t>794436885</t>
  </si>
  <si>
    <t>PQ4809 A45 A8513 1983</t>
  </si>
  <si>
    <t>0                      PQ 4809000A  45                 A  8513        1983</t>
  </si>
  <si>
    <t>Difficult loves ; Smog ; A plunge into real estate / Italo Calvino.</t>
  </si>
  <si>
    <t>London : Secker &amp; Warburg, 1983.</t>
  </si>
  <si>
    <t>2019-04-26</t>
  </si>
  <si>
    <t>690418086:eng</t>
  </si>
  <si>
    <t>12022819</t>
  </si>
  <si>
    <t>ocm12022819</t>
  </si>
  <si>
    <t>3102354104Q</t>
  </si>
  <si>
    <t>9780436082740</t>
  </si>
  <si>
    <t>792797576</t>
  </si>
  <si>
    <t>PQ4809 A45 A8513 1984</t>
  </si>
  <si>
    <t>0                      PQ 4809000A  45                 A  8513        1984</t>
  </si>
  <si>
    <t>Difficult loves / Italo Calvino ; translated from the Italian by William Weaver and Archibald Colquhoun and Peggy Wright.</t>
  </si>
  <si>
    <t>San Diego : Harcourt Brace Jovanovich, [1984]</t>
  </si>
  <si>
    <t>10429703</t>
  </si>
  <si>
    <t>ocm10429703</t>
  </si>
  <si>
    <t>3103487595U</t>
  </si>
  <si>
    <t>9780151256105</t>
  </si>
  <si>
    <t>792725848</t>
  </si>
  <si>
    <t>PQ4809 A45 B3 1958</t>
  </si>
  <si>
    <t>0                      PQ 4809000A  45                 B  3           1958</t>
  </si>
  <si>
    <t>Il barone rampante / Italo Calvino.</t>
  </si>
  <si>
    <t>Torino : [publisher not identified], 1958.</t>
  </si>
  <si>
    <t>I coralli ; 79</t>
  </si>
  <si>
    <t>2018-02-09</t>
  </si>
  <si>
    <t>61609570</t>
  </si>
  <si>
    <t>ocm61609570</t>
  </si>
  <si>
    <t>3102078394U</t>
  </si>
  <si>
    <t>794048023</t>
  </si>
  <si>
    <t>PQ4809 A45 B3 1984</t>
  </si>
  <si>
    <t>0                      PQ 4809000A  45                 B  3           1984</t>
  </si>
  <si>
    <t>Il Barone rampante / Italo Calvino ; edited with introduction, notes and vocabulary by J.R. Woodhouse.</t>
  </si>
  <si>
    <t>Manchester ; Dover, N.H. : Manchester University Press, 1984.</t>
  </si>
  <si>
    <t>Repr. (with corrections).</t>
  </si>
  <si>
    <t>13347917</t>
  </si>
  <si>
    <t>ocm13347917</t>
  </si>
  <si>
    <t>3103006047C</t>
  </si>
  <si>
    <t>9780719004025</t>
  </si>
  <si>
    <t>792849535</t>
  </si>
  <si>
    <t>PQ4809 A45 B3 2002</t>
  </si>
  <si>
    <t>0                      PQ 4809000A  45                 B  3           2002</t>
  </si>
  <si>
    <t>Il barone rampante / Italo Calvino ; presentazione dell'autore.</t>
  </si>
  <si>
    <t>Milano, Italy : A. Mondadori, [1995], ©1993.</t>
  </si>
  <si>
    <t>25. ed.</t>
  </si>
  <si>
    <t>Oscar mondadori</t>
  </si>
  <si>
    <t>60819822</t>
  </si>
  <si>
    <t>ocm60819822</t>
  </si>
  <si>
    <t>3102880066P</t>
  </si>
  <si>
    <t>9788804370857</t>
  </si>
  <si>
    <t>793944449</t>
  </si>
  <si>
    <t>PQ4809 A45 B33x 1977</t>
  </si>
  <si>
    <t>0                      PQ 4809000A  45                 B  33x         1977</t>
  </si>
  <si>
    <t>The baron in the trees / Italo Calvino ; translated by Archibald Colquhoun.</t>
  </si>
  <si>
    <t>Calvino, Italo, author.</t>
  </si>
  <si>
    <t>New York : Harcourt Brace Jovanovich, 1977, ©1959.</t>
  </si>
  <si>
    <t>1st Harbrace paperbound library ed.</t>
  </si>
  <si>
    <t>Harbrace paperbound library ; 72</t>
  </si>
  <si>
    <t>2018-12-03</t>
  </si>
  <si>
    <t>413959:eng</t>
  </si>
  <si>
    <t>2597095</t>
  </si>
  <si>
    <t>ocm02597095</t>
  </si>
  <si>
    <t>3103705845N</t>
  </si>
  <si>
    <t>9780156106801</t>
  </si>
  <si>
    <t>792149659</t>
  </si>
  <si>
    <t>PQ4809 A45 C2813 1977</t>
  </si>
  <si>
    <t>0                      PQ 4809000A  45                 C  2813        1977</t>
  </si>
  <si>
    <t>The castle of crossed destinies / Italo Calvino ; translated from the Italian by William Weaver.</t>
  </si>
  <si>
    <t>New York : Harcourt Brace Jovanovich, ©1977.</t>
  </si>
  <si>
    <t>2019-06-10</t>
  </si>
  <si>
    <t>413970:eng</t>
  </si>
  <si>
    <t>2439427</t>
  </si>
  <si>
    <t>ocm02439427</t>
  </si>
  <si>
    <t>3103593221V</t>
  </si>
  <si>
    <t>9780151159987</t>
  </si>
  <si>
    <t>792122235</t>
  </si>
  <si>
    <t>PQ4809 A45 C2837 2015</t>
  </si>
  <si>
    <t>0                      PQ 4809000A  45                 C  2837        2015</t>
  </si>
  <si>
    <t>La carta del mondo : Italo Calvino nel Castello dei destini incrociati / Davide Savio.</t>
  </si>
  <si>
    <t>Savio, Davide, 1985- author.</t>
  </si>
  <si>
    <t>La modernità letteraria, 2421-1001 ; 50</t>
  </si>
  <si>
    <t>2530114392:ita</t>
  </si>
  <si>
    <t>910084788</t>
  </si>
  <si>
    <t>ocn910084788</t>
  </si>
  <si>
    <t>3103628519G</t>
  </si>
  <si>
    <t>9788846741653</t>
  </si>
  <si>
    <t>794995804</t>
  </si>
  <si>
    <t>PQ4809 A45 C3 1990</t>
  </si>
  <si>
    <t>0                      PQ 4809000A  45                 C  3           1990</t>
  </si>
  <si>
    <t>Il cavaliere inesistente / Italo Calvino.</t>
  </si>
  <si>
    <t>Milano : A. Mondadori, ©1990</t>
  </si>
  <si>
    <t>I libri di Italo Calvino</t>
  </si>
  <si>
    <t>414074:ita</t>
  </si>
  <si>
    <t>31714390</t>
  </si>
  <si>
    <t>ocm31714390</t>
  </si>
  <si>
    <t>3103088574H</t>
  </si>
  <si>
    <t>9788804336303</t>
  </si>
  <si>
    <t>793366441</t>
  </si>
  <si>
    <t>PQ4809 A45 C5 1972</t>
  </si>
  <si>
    <t>0                      PQ 4809000A  45                 C  5           1972</t>
  </si>
  <si>
    <t>Le città invisibili.</t>
  </si>
  <si>
    <t>Torino, Einaudi, 1972.</t>
  </si>
  <si>
    <t>500018345:ita</t>
  </si>
  <si>
    <t>788597</t>
  </si>
  <si>
    <t>ocm00788597</t>
  </si>
  <si>
    <t>3102987402S</t>
  </si>
  <si>
    <t>9788806476397</t>
  </si>
  <si>
    <t>791470170</t>
  </si>
  <si>
    <t>PQ4809 A45 C513 1978</t>
  </si>
  <si>
    <t>0                      PQ 4809000A  45                 C  513         1978</t>
  </si>
  <si>
    <t>Invisible cities / Italo Calvino ; translated from the Italian by William Weaver.</t>
  </si>
  <si>
    <t>New York : Harcourt Brace Jovanovich, 1978, ©1974.</t>
  </si>
  <si>
    <t>1st Harvest/HBJ ed.</t>
  </si>
  <si>
    <t>A Harvest/HBJ book</t>
  </si>
  <si>
    <t>2019-05-19</t>
  </si>
  <si>
    <t>500018345:eng</t>
  </si>
  <si>
    <t>3380425</t>
  </si>
  <si>
    <t>ocm03380425</t>
  </si>
  <si>
    <t>3102844728G</t>
  </si>
  <si>
    <t>9780156453806</t>
  </si>
  <si>
    <t>792248494</t>
  </si>
  <si>
    <t>3102844733E</t>
  </si>
  <si>
    <t>792248496</t>
  </si>
  <si>
    <t>3102844723G</t>
  </si>
  <si>
    <t>792248493</t>
  </si>
  <si>
    <t>3103643758B</t>
  </si>
  <si>
    <t>792248495</t>
  </si>
  <si>
    <t>PQ4809 A45 C534 2006</t>
  </si>
  <si>
    <t>0                      PQ 4809000A  45                 C  534         2006</t>
  </si>
  <si>
    <t>Il filosofo e le città : seminario su Le città invisibili di Italo Calvino / a cura di Anna Ichino, Marta Perego.</t>
  </si>
  <si>
    <t>Milano : CUEM, 2006.</t>
  </si>
  <si>
    <t>Il dodecaedro</t>
  </si>
  <si>
    <t>819627886:ita</t>
  </si>
  <si>
    <t>468976190</t>
  </si>
  <si>
    <t>ocn468976190</t>
  </si>
  <si>
    <t>31031250186</t>
  </si>
  <si>
    <t>9788860010513</t>
  </si>
  <si>
    <t>794795658</t>
  </si>
  <si>
    <t>PQ4809 A45 C5343 2010</t>
  </si>
  <si>
    <t>0                      PQ 4809000A  45                 C  5343        2010</t>
  </si>
  <si>
    <t>Le città e i nomi : un viaggio tra le Città invisibili di Italo Calvino / Gian Paolo Giudicetti, Marinella Lizza Venuti ; [con illustrazioni di Anne-Florence Echterbille].</t>
  </si>
  <si>
    <t>Giudicetti, Gian Paolo.</t>
  </si>
  <si>
    <t>Cuneo : Nerosubianco, ©2010.</t>
  </si>
  <si>
    <t>Le bandiere ; 1</t>
  </si>
  <si>
    <t>2013-09-11</t>
  </si>
  <si>
    <t>796379475:ita</t>
  </si>
  <si>
    <t>639152073</t>
  </si>
  <si>
    <t>ocn639152073</t>
  </si>
  <si>
    <t>31031251221</t>
  </si>
  <si>
    <t>9788889056431</t>
  </si>
  <si>
    <t>794826511</t>
  </si>
  <si>
    <t>PQ4809 A45 C535 2017</t>
  </si>
  <si>
    <t>0                      PQ 4809000A  45                 C  535         2017</t>
  </si>
  <si>
    <t>L'atlante dell'immaginario : un viaggio attraverso Le città invisibili di Italo Calvino / Dario Lanzetti.</t>
  </si>
  <si>
    <t>Lanzetti, Dario, 1981- author.</t>
  </si>
  <si>
    <t>Milano : Mimesis, [2017]</t>
  </si>
  <si>
    <t>Morfologie ; n. 48</t>
  </si>
  <si>
    <t>4998569436:ita</t>
  </si>
  <si>
    <t>1022990419</t>
  </si>
  <si>
    <t>on1022990419</t>
  </si>
  <si>
    <t>3103721230V</t>
  </si>
  <si>
    <t>9788857544564</t>
  </si>
  <si>
    <t>795051620</t>
  </si>
  <si>
    <t>PQ4809 A45 C538 2002</t>
  </si>
  <si>
    <t>0                      PQ 4809000A  45                 C  538         2002</t>
  </si>
  <si>
    <t>La visione dell'invisibile : saggi e materiali su Le città invisibili di Italo Calvino / a cura di Mario Barenghi, Gianni Canova, Bruno Falcetto.</t>
  </si>
  <si>
    <t>Milano : Mondadori, 2002.</t>
  </si>
  <si>
    <t>476153616:ita</t>
  </si>
  <si>
    <t>427515590</t>
  </si>
  <si>
    <t>ocn427515590</t>
  </si>
  <si>
    <t>3102286245Z</t>
  </si>
  <si>
    <t>9788837020194</t>
  </si>
  <si>
    <t>794672929</t>
  </si>
  <si>
    <t>PQ4809 A45 C5513 2013</t>
  </si>
  <si>
    <t>0                      PQ 4809000A  45                 C  5513        2013</t>
  </si>
  <si>
    <t>Collection of sand : essays / Italo Calvino ; translated by Martin McLaughlin.</t>
  </si>
  <si>
    <t>London : Penguin Books, 2013.</t>
  </si>
  <si>
    <t>2019-02-20</t>
  </si>
  <si>
    <t>2829645708:eng</t>
  </si>
  <si>
    <t>855703106</t>
  </si>
  <si>
    <t>ocn855703106</t>
  </si>
  <si>
    <t>31035036885</t>
  </si>
  <si>
    <t>9780141193748</t>
  </si>
  <si>
    <t>794953678</t>
  </si>
  <si>
    <t>PQ4809 A45 C58 1984</t>
  </si>
  <si>
    <t>0                      PQ 4809000A  45                 C  58          1984</t>
  </si>
  <si>
    <t>Collezione di sabbia / Italo Calvino.</t>
  </si>
  <si>
    <t>Milano : Garzanti, 1984.</t>
  </si>
  <si>
    <t>Saggi blu. Scacco giallo</t>
  </si>
  <si>
    <t>2015-07-22</t>
  </si>
  <si>
    <t>2829645708:ita</t>
  </si>
  <si>
    <t>12362325</t>
  </si>
  <si>
    <t>ocm12362325</t>
  </si>
  <si>
    <t>3102915536P</t>
  </si>
  <si>
    <t>792812053</t>
  </si>
  <si>
    <t>PQ4809 A45 C6 1966</t>
  </si>
  <si>
    <t>0                      PQ 4809000A  45                 C  6           1966</t>
  </si>
  <si>
    <t>Le cosmicomiche.</t>
  </si>
  <si>
    <t>Torino] Einaudi [1966, ©1965]</t>
  </si>
  <si>
    <t>2017-09-16</t>
  </si>
  <si>
    <t>398041:ita</t>
  </si>
  <si>
    <t>1220661</t>
  </si>
  <si>
    <t>ocm01220661</t>
  </si>
  <si>
    <t>3000202338D</t>
  </si>
  <si>
    <t>791576280</t>
  </si>
  <si>
    <t>PQ4809 A45 C6 1968</t>
  </si>
  <si>
    <t>0                      PQ 4809000A  45                 C  6           1968</t>
  </si>
  <si>
    <t>Cosmicomics / by Italo Calvino ; translated from the Italian by William Weaver.</t>
  </si>
  <si>
    <t>New York : Harcourt, Brace &amp; World, [1968]</t>
  </si>
  <si>
    <t>2019-10-21</t>
  </si>
  <si>
    <t>5090360804:eng</t>
  </si>
  <si>
    <t>443414</t>
  </si>
  <si>
    <t>ocm00443414</t>
  </si>
  <si>
    <t>3102997341I</t>
  </si>
  <si>
    <t>9782020100373</t>
  </si>
  <si>
    <t>791380137</t>
  </si>
  <si>
    <t>2019-09-21</t>
  </si>
  <si>
    <t>31030594294</t>
  </si>
  <si>
    <t>791380135</t>
  </si>
  <si>
    <t>31030594342</t>
  </si>
  <si>
    <t>791380136</t>
  </si>
  <si>
    <t>PQ4809 A45 E513 2011</t>
  </si>
  <si>
    <t>0                      PQ 4809000A  45                 E  513         2011</t>
  </si>
  <si>
    <t>Into the war / Italo Calvino ; translated by Martin McLaughlin.</t>
  </si>
  <si>
    <t>London, England : Penguin Books, 2011.</t>
  </si>
  <si>
    <t>348052318:eng</t>
  </si>
  <si>
    <t>751797071</t>
  </si>
  <si>
    <t>ocn751797071</t>
  </si>
  <si>
    <t>31034228319</t>
  </si>
  <si>
    <t>9780141193731</t>
  </si>
  <si>
    <t>794891084</t>
  </si>
  <si>
    <t>PQ4809 A45 E6 1974</t>
  </si>
  <si>
    <t>0                      PQ 4809000A  45                 E  6           1974</t>
  </si>
  <si>
    <t>L'entrata in guerra / Italo Calvino.</t>
  </si>
  <si>
    <t>Torino : Einaudi, 1974.</t>
  </si>
  <si>
    <t>Nuovi coralli ; 88</t>
  </si>
  <si>
    <t>348052318:ita</t>
  </si>
  <si>
    <t>1840756</t>
  </si>
  <si>
    <t>ocm01840756</t>
  </si>
  <si>
    <t>31037061475</t>
  </si>
  <si>
    <t>791997475</t>
  </si>
  <si>
    <t>PQ4809 A45 G5 1990</t>
  </si>
  <si>
    <t>0                      PQ 4809000A  45                 G  5           1990</t>
  </si>
  <si>
    <t>La giornata d'uno scrutatore / Italo Calvino.</t>
  </si>
  <si>
    <t>Torino : A. Mondadori, 1990.</t>
  </si>
  <si>
    <t>2018-05-04</t>
  </si>
  <si>
    <t>307559168:ita</t>
  </si>
  <si>
    <t>23992195</t>
  </si>
  <si>
    <t>ocm23992195</t>
  </si>
  <si>
    <t>3100948777M</t>
  </si>
  <si>
    <t>9788804335153</t>
  </si>
  <si>
    <t>793186931</t>
  </si>
  <si>
    <t>PQ4809 A45 M3</t>
  </si>
  <si>
    <t>0                      PQ 4809000A  45                 M  3</t>
  </si>
  <si>
    <t>Marcovaldo : ovvero Le stagioni in citt'a / Illus. di Sergio Tofano.</t>
  </si>
  <si>
    <t>[Torino] Einaudi [©1963]</t>
  </si>
  <si>
    <t>2018-05-01</t>
  </si>
  <si>
    <t>1663751:ita</t>
  </si>
  <si>
    <t>427521256</t>
  </si>
  <si>
    <t>ocn427521256</t>
  </si>
  <si>
    <t>3000629150U</t>
  </si>
  <si>
    <t>794675011</t>
  </si>
  <si>
    <t>PQ4809 A45 M313 1983</t>
  </si>
  <si>
    <t>0                      PQ 4809000A  45                 M  313         1983</t>
  </si>
  <si>
    <t>Marcovaldo, or, The seasons in the city / Italo Calvino ; translated from the Italian by William Weaver.</t>
  </si>
  <si>
    <t>San Diego, CA : Harcourt Brace Jovanovich, ©1983.</t>
  </si>
  <si>
    <t>A Helen and Kurt Wolff book</t>
  </si>
  <si>
    <t>5534554041:eng</t>
  </si>
  <si>
    <t>9393818</t>
  </si>
  <si>
    <t>ocm09393818</t>
  </si>
  <si>
    <t>30003508448</t>
  </si>
  <si>
    <t>9780151570812</t>
  </si>
  <si>
    <t>792673900</t>
  </si>
  <si>
    <t>PQ4809 A45 N6 1960</t>
  </si>
  <si>
    <t>0                      PQ 4809000A  45                 N  6           1960</t>
  </si>
  <si>
    <t>I nostri antenati / Italo Calvino.</t>
  </si>
  <si>
    <t>Torino : Einaudi, ©1960.</t>
  </si>
  <si>
    <t>2018-01-19</t>
  </si>
  <si>
    <t>2044560032:ita</t>
  </si>
  <si>
    <t>21561497</t>
  </si>
  <si>
    <t>ocm21561497</t>
  </si>
  <si>
    <t>3000629298Z</t>
  </si>
  <si>
    <t>793122734</t>
  </si>
  <si>
    <t>PQ4809 A45 N64</t>
  </si>
  <si>
    <t>0                      PQ 4809000A  45                 N  64</t>
  </si>
  <si>
    <t>Come leggere I nostri antenati (Il visconte dimezzato, Il barone rampante, Il cavaliere inesistente) di Italo Calvino / Franco Di Carlo.</t>
  </si>
  <si>
    <t>Di Carlo, Franco.</t>
  </si>
  <si>
    <t>Milano : Mursia, ©1978.</t>
  </si>
  <si>
    <t>Come leggere ; 13</t>
  </si>
  <si>
    <t>13510250:ita</t>
  </si>
  <si>
    <t>4000635</t>
  </si>
  <si>
    <t>ocm04000635</t>
  </si>
  <si>
    <t>30004595429</t>
  </si>
  <si>
    <t>792312392</t>
  </si>
  <si>
    <t>PQ4809 A45 P313 1985</t>
  </si>
  <si>
    <t>0                      PQ 4809000A  45                 P  313         1985</t>
  </si>
  <si>
    <t>Mr. Palomar / Italo Calvino ; translated from the Italian by William Weaver.</t>
  </si>
  <si>
    <t>San Diego : Harcourt Brace Jovanovich, ©1985.</t>
  </si>
  <si>
    <t>2017-06-21</t>
  </si>
  <si>
    <t>2731584:eng</t>
  </si>
  <si>
    <t>11812504</t>
  </si>
  <si>
    <t>ocm11812504</t>
  </si>
  <si>
    <t>3000380369V</t>
  </si>
  <si>
    <t>9780151628353</t>
  </si>
  <si>
    <t>792788999</t>
  </si>
  <si>
    <t>3103199129O</t>
  </si>
  <si>
    <t>792789000</t>
  </si>
  <si>
    <t>PQ4809 A45 P5</t>
  </si>
  <si>
    <t>0                      PQ 4809000A  45                 P  5</t>
  </si>
  <si>
    <t>Una pietra sopra : discorsi di letteratura e società / Italo Calvino.</t>
  </si>
  <si>
    <t>[1. ed. Struzzi Einaudi].</t>
  </si>
  <si>
    <t>Gli Struzzi ; 219</t>
  </si>
  <si>
    <t>5090353432:ita</t>
  </si>
  <si>
    <t>7174080</t>
  </si>
  <si>
    <t>ocm07174080</t>
  </si>
  <si>
    <t>30003222443</t>
  </si>
  <si>
    <t>792543973</t>
  </si>
  <si>
    <t>PQ4809 A45 P713 2014</t>
  </si>
  <si>
    <t>0                      PQ 4809000A  45                 P  713         2014</t>
  </si>
  <si>
    <t>Numbers in the dark : and other stories / Italo Calvino ; translated from the Italian by Tim Parks.</t>
  </si>
  <si>
    <t>Boston : Mariner Books, 2014.</t>
  </si>
  <si>
    <t>First Mariner Books edition.</t>
  </si>
  <si>
    <t>5415452:eng</t>
  </si>
  <si>
    <t>854944319</t>
  </si>
  <si>
    <t>ocn854944319</t>
  </si>
  <si>
    <t>31035817887</t>
  </si>
  <si>
    <t>9780544146426</t>
  </si>
  <si>
    <t>794952919</t>
  </si>
  <si>
    <t>PQ4809 A45 S3713 1992</t>
  </si>
  <si>
    <t>0                      PQ 4809000A  45                 S  3713        1992</t>
  </si>
  <si>
    <t>If on a winter's night a traveller / Italo Calvino.</t>
  </si>
  <si>
    <t>2018-12-07</t>
  </si>
  <si>
    <t>4494902242:eng</t>
  </si>
  <si>
    <t>877612579</t>
  </si>
  <si>
    <t>ocn877612579</t>
  </si>
  <si>
    <t>31034875483</t>
  </si>
  <si>
    <t>9780749399238</t>
  </si>
  <si>
    <t>794970972</t>
  </si>
  <si>
    <t>PQ4809 A45 S3713 1993</t>
  </si>
  <si>
    <t>0                      PQ 4809000A  45                 S  3713        1993</t>
  </si>
  <si>
    <t>If on a winter's night a traveler / Italo Calvino ; translated from the Italian by William Weaver ; with an introduction by Peter Washington.</t>
  </si>
  <si>
    <t>New York : Knopf : Distributed by Random House, 1993.</t>
  </si>
  <si>
    <t>Everyman's library ; 138</t>
  </si>
  <si>
    <t>2019-06-05</t>
  </si>
  <si>
    <t>4919832714:eng</t>
  </si>
  <si>
    <t>27265571</t>
  </si>
  <si>
    <t>ocm27265571</t>
  </si>
  <si>
    <t>3103748829J</t>
  </si>
  <si>
    <t>9780679420255</t>
  </si>
  <si>
    <t>793263103</t>
  </si>
  <si>
    <t>31037488006</t>
  </si>
  <si>
    <t>793263102</t>
  </si>
  <si>
    <t>2017-06-14</t>
  </si>
  <si>
    <t>3103440094J</t>
  </si>
  <si>
    <t>793263104</t>
  </si>
  <si>
    <t>PQ4809 A45 S3733 1984</t>
  </si>
  <si>
    <t>0                      PQ 4809000A  45                 S  3733        1984</t>
  </si>
  <si>
    <t>Comment j'ai écrit un de mes livres / par Italo Calvino.</t>
  </si>
  <si>
    <t>Paris : Groupe de recherches sémio-linguistíques, Ecole des hautes études en sciences sociales, 1984.</t>
  </si>
  <si>
    <t>Actes sémiotiques. Documents, 0291-1027 ; 6, 51 (1984)</t>
  </si>
  <si>
    <t>5612867259:fre</t>
  </si>
  <si>
    <t>38673777</t>
  </si>
  <si>
    <t>ocm38673777</t>
  </si>
  <si>
    <t>3102342269O</t>
  </si>
  <si>
    <t>793528791</t>
  </si>
  <si>
    <t>PQ4809 A45 S3733 2012</t>
  </si>
  <si>
    <t>0                      PQ 4809000A  45                 S  3733        2012</t>
  </si>
  <si>
    <t>Alla ricerca del testo perduto : il libro, la lettura e la scrittura in Italo Calvino : Se una notte d'inverno un viaggiatore / Rossana Avanzi.</t>
  </si>
  <si>
    <t>Avanzi, Rossana, 1959-</t>
  </si>
  <si>
    <t>Milano : Mimesis, 2012.</t>
  </si>
  <si>
    <t>Centro internazionale insubrico. Studi ; n. 9</t>
  </si>
  <si>
    <t>1149506308:ita</t>
  </si>
  <si>
    <t>805053859</t>
  </si>
  <si>
    <t>ocn805053859</t>
  </si>
  <si>
    <t>3103125926E</t>
  </si>
  <si>
    <t>9788857511351</t>
  </si>
  <si>
    <t>794926168</t>
  </si>
  <si>
    <t>PQ4809 A45 S413 1998</t>
  </si>
  <si>
    <t>0                      PQ 4809000A  45                 S  413         1998</t>
  </si>
  <si>
    <t>The path to the spiders' nests / Italo Calvino ; translated from the Italian by Archibald Colquhoun ; revised by Martin McLaughlin.</t>
  </si>
  <si>
    <t>Hopewell, N.J. : Ecco Press, ©1998.</t>
  </si>
  <si>
    <t>396752:eng</t>
  </si>
  <si>
    <t>38925133</t>
  </si>
  <si>
    <t>ocm38925133</t>
  </si>
  <si>
    <t>31027997960</t>
  </si>
  <si>
    <t>9780880016216</t>
  </si>
  <si>
    <t>793533362</t>
  </si>
  <si>
    <t>PQ4809 A45 S413 2000</t>
  </si>
  <si>
    <t>0                      PQ 4809000A  45                 S  413         2000</t>
  </si>
  <si>
    <t>New York : Ecco Press, 2000.</t>
  </si>
  <si>
    <t>43569501</t>
  </si>
  <si>
    <t>ocm43569501</t>
  </si>
  <si>
    <t>3103652979V</t>
  </si>
  <si>
    <t>9780060956585</t>
  </si>
  <si>
    <t>793629916</t>
  </si>
  <si>
    <t>PQ4809 A45 S413 2009</t>
  </si>
  <si>
    <t>0                      PQ 4809000A  45                 S  413         2009</t>
  </si>
  <si>
    <t>The path to the spiders' nests / Italo Calvino ; translated from the Italian by Archibald Colquhoun.</t>
  </si>
  <si>
    <t>London : Penguin, 2009.</t>
  </si>
  <si>
    <t>Rev. [ed.] / revised by Martin McLaughlin.</t>
  </si>
  <si>
    <t>312625980</t>
  </si>
  <si>
    <t>ocn312625980</t>
  </si>
  <si>
    <t>31036110088</t>
  </si>
  <si>
    <t>9780141189734</t>
  </si>
  <si>
    <t>794436859</t>
  </si>
  <si>
    <t>PQ4809 A45 S64 1986</t>
  </si>
  <si>
    <t>0                      PQ 4809000A  45                 S  64          1986</t>
  </si>
  <si>
    <t>Sotto il sole giaguaro / Italo Calvino.</t>
  </si>
  <si>
    <t>Milano : Garzanti, 1986.</t>
  </si>
  <si>
    <t>2018-04-10</t>
  </si>
  <si>
    <t>795589:ita</t>
  </si>
  <si>
    <t>15136109</t>
  </si>
  <si>
    <t>ocm15136109</t>
  </si>
  <si>
    <t>3000529982T</t>
  </si>
  <si>
    <t>792921501</t>
  </si>
  <si>
    <t>PQ4809 A45 S6413 1990</t>
  </si>
  <si>
    <t>0                      PQ 4809000A  45                 S  6413        1990</t>
  </si>
  <si>
    <t>Under the jaguar sun / Italo Calvino ; translated by William Weaver.</t>
  </si>
  <si>
    <t>San Diego : Harcourt Brace Jovanovich, 1990.</t>
  </si>
  <si>
    <t>2908576022:eng</t>
  </si>
  <si>
    <t>27064650</t>
  </si>
  <si>
    <t>ocm27064650</t>
  </si>
  <si>
    <t>3101011767M</t>
  </si>
  <si>
    <t>793258104</t>
  </si>
  <si>
    <t>PQ4809 A45 S8713 1993</t>
  </si>
  <si>
    <t>0                      PQ 4809000A  45                 S  8713        1993</t>
  </si>
  <si>
    <t>The road to San Giovanni / Italo Calvino ; translated from the Italian by Tim Parks.</t>
  </si>
  <si>
    <t>New York : Pantheon Books, ©1993.</t>
  </si>
  <si>
    <t>2018-04-09</t>
  </si>
  <si>
    <t>346631:eng</t>
  </si>
  <si>
    <t>27726785</t>
  </si>
  <si>
    <t>ocm27726785</t>
  </si>
  <si>
    <t>3101239545B</t>
  </si>
  <si>
    <t>9780679415237</t>
  </si>
  <si>
    <t>793270706</t>
  </si>
  <si>
    <t>PQ4809 A45 S8733 2017</t>
  </si>
  <si>
    <t>0                      PQ 4809000A  45                 S  8733        2017</t>
  </si>
  <si>
    <t>I Passaggi obbligati di Italo Calvino : autobiografia, memoria, identità / Luca Cottini.</t>
  </si>
  <si>
    <t>Cottini, Luca, author.</t>
  </si>
  <si>
    <t>L'interprete ; 107</t>
  </si>
  <si>
    <t>4477576579:ita</t>
  </si>
  <si>
    <t>992800959</t>
  </si>
  <si>
    <t>ocn992800959</t>
  </si>
  <si>
    <t>3103721202$</t>
  </si>
  <si>
    <t>9788880639800</t>
  </si>
  <si>
    <t>795038434</t>
  </si>
  <si>
    <t>PQ4809 A45 T5</t>
  </si>
  <si>
    <t>0                      PQ 4809000A  45                 T  5</t>
  </si>
  <si>
    <t>Ti con zero.</t>
  </si>
  <si>
    <t>Torino, Einaudi, 1967.</t>
  </si>
  <si>
    <t>414137:ita</t>
  </si>
  <si>
    <t>1188212</t>
  </si>
  <si>
    <t>ocm01188212</t>
  </si>
  <si>
    <t>3000202355D</t>
  </si>
  <si>
    <t>791568078</t>
  </si>
  <si>
    <t>PQ4809 A45 U4 1976</t>
  </si>
  <si>
    <t>0                      PQ 4809000A  45                 U  4           1976</t>
  </si>
  <si>
    <t>Ultimo viene il corvo / Italo Calvino.</t>
  </si>
  <si>
    <t>Nuovi coralli ; 152</t>
  </si>
  <si>
    <t>836085:ita</t>
  </si>
  <si>
    <t>3263735</t>
  </si>
  <si>
    <t>ocm03263735</t>
  </si>
  <si>
    <t>3000449961W</t>
  </si>
  <si>
    <t>9788806024192</t>
  </si>
  <si>
    <t>792236630</t>
  </si>
  <si>
    <t>PQ4809 A45 Z46 2012</t>
  </si>
  <si>
    <t>0                      PQ 4809000A  45                 Z  46          2012</t>
  </si>
  <si>
    <t>Sono nato in America ... : interviste 1951- 1985 / Italo Calvino ; a cura di Luca Baranelli ; introduzione di Marion Barenghi.</t>
  </si>
  <si>
    <t>Milano : Mondadori, [2012]</t>
  </si>
  <si>
    <t>La rosa</t>
  </si>
  <si>
    <t>2013-05-08</t>
  </si>
  <si>
    <t>1142525807:ita</t>
  </si>
  <si>
    <t>802322752</t>
  </si>
  <si>
    <t>ocn802322752</t>
  </si>
  <si>
    <t>3103125933C</t>
  </si>
  <si>
    <t>9788804621171</t>
  </si>
  <si>
    <t>794925583</t>
  </si>
  <si>
    <t>PQ4809 A45 Z463 1995</t>
  </si>
  <si>
    <t>0                      PQ 4809000A  45                 Z  463         1995</t>
  </si>
  <si>
    <t>Album Calvino / a cura di Luca Baranelli e di Ernesto Ferrero.</t>
  </si>
  <si>
    <t>350321911:ita</t>
  </si>
  <si>
    <t>35397944</t>
  </si>
  <si>
    <t>ocm35397944</t>
  </si>
  <si>
    <t>3101537930Y</t>
  </si>
  <si>
    <t>9788804405009</t>
  </si>
  <si>
    <t>793450666</t>
  </si>
  <si>
    <t>PQ4809 A45 Z464 1994</t>
  </si>
  <si>
    <t>0                      PQ 4809000A  45                 Z  464         1994</t>
  </si>
  <si>
    <t>Eremita a Parigi : pagine autobiografiche / Italo Calvino.</t>
  </si>
  <si>
    <t>Milano : A. Mondadori, 1994.</t>
  </si>
  <si>
    <t>898911:ita</t>
  </si>
  <si>
    <t>32182468</t>
  </si>
  <si>
    <t>ocm32182468</t>
  </si>
  <si>
    <t>31014654534</t>
  </si>
  <si>
    <t>9788804392491</t>
  </si>
  <si>
    <t>793377582</t>
  </si>
  <si>
    <t>PQ4809 A45 Z46413 2003</t>
  </si>
  <si>
    <t>0                      PQ 4809000A  45                 Z  46413       2003</t>
  </si>
  <si>
    <t>Hermit in Paris : autobiographical writings / Italo Calvino ; translated by Martin McLaughlin.</t>
  </si>
  <si>
    <t>London : Jonathan Cape, 2003.</t>
  </si>
  <si>
    <t>898911:eng</t>
  </si>
  <si>
    <t>50494371</t>
  </si>
  <si>
    <t>ocm50494371</t>
  </si>
  <si>
    <t>3102264218M</t>
  </si>
  <si>
    <t>9780224061322</t>
  </si>
  <si>
    <t>793766080</t>
  </si>
  <si>
    <t>PQ4809 A45 Z48 1991</t>
  </si>
  <si>
    <t>0                      PQ 4809000A  45                 Z  48          1991</t>
  </si>
  <si>
    <t>I libri degli altri : lettere, 1947-1981 / Italo Calvino ; a cura di Giovanni Tesio ; con una nota di Carlo Fruttero.</t>
  </si>
  <si>
    <t>Torino : Einaudi, ©1991.</t>
  </si>
  <si>
    <t>1. ed. Superc.</t>
  </si>
  <si>
    <t>2015-06-08</t>
  </si>
  <si>
    <t>364897275:ita</t>
  </si>
  <si>
    <t>24254527</t>
  </si>
  <si>
    <t>ocm24254527</t>
  </si>
  <si>
    <t>31009762905</t>
  </si>
  <si>
    <t>9788806124052</t>
  </si>
  <si>
    <t>793193839</t>
  </si>
  <si>
    <t>PQ4809 A45 Z48 2000</t>
  </si>
  <si>
    <t>0                      PQ 4809000A  45                 Z  48          2000</t>
  </si>
  <si>
    <t>Lettere 1940-1985 / Italo Calvino ; a cura di Luca Baranelli ; introduzione di Claudio Milanini.</t>
  </si>
  <si>
    <t>Milano : A. Mondadori, 2000.</t>
  </si>
  <si>
    <t>287359269:ita</t>
  </si>
  <si>
    <t>46364894</t>
  </si>
  <si>
    <t>ocm46364894</t>
  </si>
  <si>
    <t>3102337988L</t>
  </si>
  <si>
    <t>9788804479017</t>
  </si>
  <si>
    <t>793683390</t>
  </si>
  <si>
    <t>PQ4809 A45 Z48 2013</t>
  </si>
  <si>
    <t>0                      PQ 4809000A  45                 Z  48          2013</t>
  </si>
  <si>
    <t>Italo Calvino : letters, 1941-1985 / selected and with an introduction by Michael Wood ; translated by Martin McLaughlin.</t>
  </si>
  <si>
    <t>Princeton : Princeton University Press, 2013.</t>
  </si>
  <si>
    <t>2909177229:eng</t>
  </si>
  <si>
    <t>814389686</t>
  </si>
  <si>
    <t>ocn814389686</t>
  </si>
  <si>
    <t>31034983312</t>
  </si>
  <si>
    <t>9780691139456</t>
  </si>
  <si>
    <t>794932184</t>
  </si>
  <si>
    <t>PQ4809 A45 Z52 2016</t>
  </si>
  <si>
    <t>0                      PQ 4809000A  45                 Z  52          2016</t>
  </si>
  <si>
    <t>Le vertige selon Calvino / Perle Abbrugiati.</t>
  </si>
  <si>
    <t>Abbrugiati, Perle, author.</t>
  </si>
  <si>
    <t>Aix-en-Provence : Presses universitaires de Provence, 2016.</t>
  </si>
  <si>
    <t>Textuelles. Univers littéraires</t>
  </si>
  <si>
    <t>3104772154:fre</t>
  </si>
  <si>
    <t>950987104</t>
  </si>
  <si>
    <t>ocn950987104</t>
  </si>
  <si>
    <t>3103709078K</t>
  </si>
  <si>
    <t>9791032000595</t>
  </si>
  <si>
    <t>795017031</t>
  </si>
  <si>
    <t>PQ4809 A45 Z55 2001</t>
  </si>
  <si>
    <t>0                      PQ 4809000A  45                 Z  55          2001</t>
  </si>
  <si>
    <t>Stile Calvino : cinque studi / Alberto Asor Rosa.</t>
  </si>
  <si>
    <t>Torino : Einaudi, ©2001.</t>
  </si>
  <si>
    <t>Biblioteca Einaudi ; 121</t>
  </si>
  <si>
    <t>328323587:ita</t>
  </si>
  <si>
    <t>48569256</t>
  </si>
  <si>
    <t>ocm48569256</t>
  </si>
  <si>
    <t>3102224863E</t>
  </si>
  <si>
    <t>9788806159511</t>
  </si>
  <si>
    <t>793724070</t>
  </si>
  <si>
    <t>PQ4809 A45 Z553 2010</t>
  </si>
  <si>
    <t>0                      PQ 4809000A  45                 Z  553         2010</t>
  </si>
  <si>
    <t>Andar per tracce : percorsi di lettura su Italo Calvino / a cura di Vanna Zaccaro.</t>
  </si>
  <si>
    <t>Lecce : Pensa multimedia, 2010.</t>
  </si>
  <si>
    <t>La stadera. Quaderni</t>
  </si>
  <si>
    <t>768822015:ita</t>
  </si>
  <si>
    <t>650438841</t>
  </si>
  <si>
    <t>ocn650438841</t>
  </si>
  <si>
    <t>3103125149Y</t>
  </si>
  <si>
    <t>9788882327408</t>
  </si>
  <si>
    <t>794832488</t>
  </si>
  <si>
    <t>PQ4809 A45 Z56 2013</t>
  </si>
  <si>
    <t>0                      PQ 4809000A  45                 Z  56          2013</t>
  </si>
  <si>
    <t>Approaches to teaching the works of Italo Calvino / edited by Franco Ricci.</t>
  </si>
  <si>
    <t>New York : The Modern Language Association of America, 2013.</t>
  </si>
  <si>
    <t>Approaches to teaching world literature ; 125</t>
  </si>
  <si>
    <t>2016-04-25</t>
  </si>
  <si>
    <t>1261558953:eng</t>
  </si>
  <si>
    <t>840937181</t>
  </si>
  <si>
    <t>ocn840937181</t>
  </si>
  <si>
    <t>31035252487</t>
  </si>
  <si>
    <t>9781603291231</t>
  </si>
  <si>
    <t>794946395</t>
  </si>
  <si>
    <t>PQ4809 A45 Z58 1989</t>
  </si>
  <si>
    <t>0                      PQ 4809000A  45                 Z  58          1989</t>
  </si>
  <si>
    <t>Calvino revisited / edited by Franco Ricci.</t>
  </si>
  <si>
    <t>University of Toronto Italian studies ; 2</t>
  </si>
  <si>
    <t>15989186:eng</t>
  </si>
  <si>
    <t>17585873</t>
  </si>
  <si>
    <t>ocm17585873</t>
  </si>
  <si>
    <t>3100652110C</t>
  </si>
  <si>
    <t>9780919473713</t>
  </si>
  <si>
    <t>792996471</t>
  </si>
  <si>
    <t>3102809646F</t>
  </si>
  <si>
    <t>792996472</t>
  </si>
  <si>
    <t>PQ4809 A45 Z59 2009</t>
  </si>
  <si>
    <t>0                      PQ 4809000A  45                 Z  59          2009</t>
  </si>
  <si>
    <t>Calvino / Mario Barenghi.</t>
  </si>
  <si>
    <t>Barenghi, M. (Mario)</t>
  </si>
  <si>
    <t>Bologna : Il mulino, ©2009.</t>
  </si>
  <si>
    <t>2018-03-20</t>
  </si>
  <si>
    <t>189783747:ita</t>
  </si>
  <si>
    <t>310393102</t>
  </si>
  <si>
    <t>ocn310393102</t>
  </si>
  <si>
    <t>3103100254M</t>
  </si>
  <si>
    <t>9788815128164</t>
  </si>
  <si>
    <t>794435344</t>
  </si>
  <si>
    <t>PQ4809 A45 Z59 2016</t>
  </si>
  <si>
    <t>0                      PQ 4809000A  45                 Z  59          2016</t>
  </si>
  <si>
    <t>Nature et poétique en mouvement : Italo Calvino lecteur de Lucrèce, de l'Arioste et de Giordano Bruno / Maddalena Di Benedetto.</t>
  </si>
  <si>
    <t>Di Benedetto, Maddalena, 1981- author.</t>
  </si>
  <si>
    <t>Paris : L'Harmattan, [2016]</t>
  </si>
  <si>
    <t>La philosophie en commun</t>
  </si>
  <si>
    <t>3834975129:fre</t>
  </si>
  <si>
    <t>957389992</t>
  </si>
  <si>
    <t>ocn957389992</t>
  </si>
  <si>
    <t>3103709445J</t>
  </si>
  <si>
    <t>9782343096193</t>
  </si>
  <si>
    <t>795020914</t>
  </si>
  <si>
    <t>PQ4809 A45 Z595 1996</t>
  </si>
  <si>
    <t>0                      PQ 4809000A  45                 Z  595         1996</t>
  </si>
  <si>
    <t>L'occhio di Calvino / Marco Belpoliti.</t>
  </si>
  <si>
    <t>Belpoliti, Marco, 1954-</t>
  </si>
  <si>
    <t>Torino : Einaudi, ©1996.</t>
  </si>
  <si>
    <t>[1. ediz.].</t>
  </si>
  <si>
    <t>Saggi ; 805</t>
  </si>
  <si>
    <t>350561162:ita</t>
  </si>
  <si>
    <t>35698080</t>
  </si>
  <si>
    <t>ocm35698080</t>
  </si>
  <si>
    <t>3101825022R</t>
  </si>
  <si>
    <t>9788806139360</t>
  </si>
  <si>
    <t>793455261</t>
  </si>
  <si>
    <t>PQ4809.A45 Z634 2019</t>
  </si>
  <si>
    <t>0                      PQ 4809000A  45                 Z  634         2019</t>
  </si>
  <si>
    <t>Una lunga fedeltà a Italo Calvino : con lettere edite e inedite / Giovanni Falaschi.</t>
  </si>
  <si>
    <t>Falaschi, Giovanni, author.</t>
  </si>
  <si>
    <t>Perugia : Aguaplano, [2019]</t>
  </si>
  <si>
    <t>Aguaplano / Biblioteca</t>
  </si>
  <si>
    <t>9808286346:ita</t>
  </si>
  <si>
    <t>1114248751</t>
  </si>
  <si>
    <t>on1114248751</t>
  </si>
  <si>
    <t>3103875720V</t>
  </si>
  <si>
    <t>9788885803428</t>
  </si>
  <si>
    <t>795084441</t>
  </si>
  <si>
    <t>PQ4809 A45 Z647 2003</t>
  </si>
  <si>
    <t>0                      PQ 4809000A  45                 Z  647         2003</t>
  </si>
  <si>
    <t>Italo Calvino and the compass of literature / Eugenio Bolongaro.</t>
  </si>
  <si>
    <t>Bolongaro, Eugenio, 1959-</t>
  </si>
  <si>
    <t>Toronto ; Buffalo : University of Toronto Press, ©2003.</t>
  </si>
  <si>
    <t>781364:eng</t>
  </si>
  <si>
    <t>51629764</t>
  </si>
  <si>
    <t>ocm51629764</t>
  </si>
  <si>
    <t>31023832562</t>
  </si>
  <si>
    <t>9780802087638</t>
  </si>
  <si>
    <t>793788209</t>
  </si>
  <si>
    <t>PQ4809 A45 Z66 2000</t>
  </si>
  <si>
    <t>0                      PQ 4809000A  45                 Z  66          2000</t>
  </si>
  <si>
    <t>Il fantastico e il visibile / Giornata di studi su L'itinerario di Italo Calvino dal neorealismo alle Lezioni americane, Napoli, 9 maggio 1997, I.U.O., Aula delle Mura greche ; a cura di Caterina De Caprio e Ugo Maria Olivieri.</t>
  </si>
  <si>
    <t>Giornata di studi su L'itinerario di Italo Calvino dal neorealismo alle Lezioni americane (1997 : Naples, Italy)</t>
  </si>
  <si>
    <t>Napoli : Libreria Dante &amp; Descartes, ©2000.</t>
  </si>
  <si>
    <t>866845049:ita</t>
  </si>
  <si>
    <t>49549930</t>
  </si>
  <si>
    <t>ocm49549930</t>
  </si>
  <si>
    <t>31023032535</t>
  </si>
  <si>
    <t>793742655</t>
  </si>
  <si>
    <t>PQ4809 A45 Z6645 2008</t>
  </si>
  <si>
    <t>0                      PQ 4809000A  45                 Z  6645        2008</t>
  </si>
  <si>
    <t>Italo Calvino et le livre des romans suspendus : si par une nuit d'hiver un voyageur / Pierre Brunel.</t>
  </si>
  <si>
    <t>Brunel, Pierre.</t>
  </si>
  <si>
    <t>Chatou : Transparence, 2008.</t>
  </si>
  <si>
    <t>1er éd.</t>
  </si>
  <si>
    <t>Cf</t>
  </si>
  <si>
    <t>2017-09-26</t>
  </si>
  <si>
    <t>135174908:fre</t>
  </si>
  <si>
    <t>224897040</t>
  </si>
  <si>
    <t>ocn224897040</t>
  </si>
  <si>
    <t>3103560811W</t>
  </si>
  <si>
    <t>9782350510323</t>
  </si>
  <si>
    <t>794340723</t>
  </si>
  <si>
    <t>PQ4809 A45 Z668 2014</t>
  </si>
  <si>
    <t>0                      PQ 4809000A  45                 Z  668         2014</t>
  </si>
  <si>
    <t>Il secondo Calvino : un discorso sul metodo / Domenico Calcaterra ; prefazione di Alessandro Zaccuri.</t>
  </si>
  <si>
    <t>Calcaterra, Domenico, 1974- author.</t>
  </si>
  <si>
    <t>Saggi letterari ; n. 3</t>
  </si>
  <si>
    <t>1892834413:ita</t>
  </si>
  <si>
    <t>880397434</t>
  </si>
  <si>
    <t>ocn880397434</t>
  </si>
  <si>
    <t>3103126413R</t>
  </si>
  <si>
    <t>9788857522340</t>
  </si>
  <si>
    <t>794972972</t>
  </si>
  <si>
    <t>PQ4809 A45 Z6745 2015</t>
  </si>
  <si>
    <t>0                      PQ 4809000A  45                 Z  6745        2015</t>
  </si>
  <si>
    <t>Calvino e la Maremma : Enigmi e itinerari psicologici in Calvino e Fruttero, Castiglione della Pescaia, 20 luglio 2012 ; La ricerca di senso nell'opera di Italo Calvino : intrecci tra psicoanalisi e gioco linguistico, Grosseto, 2 marzo 2013 / con la presentazione di Carla Stroppa ; textos, Franco Petrucci, Alessandra Tenerini, Nivio Fortini.</t>
  </si>
  <si>
    <t>Arcidosso (GR) : Edizioni Effigi, [2015]</t>
  </si>
  <si>
    <t>NuoviSaggi ; 14</t>
  </si>
  <si>
    <t>2548214512:ita</t>
  </si>
  <si>
    <t>911035470</t>
  </si>
  <si>
    <t>ocn911035470</t>
  </si>
  <si>
    <t>3103624227C</t>
  </si>
  <si>
    <t>9788864335223</t>
  </si>
  <si>
    <t>794997008</t>
  </si>
  <si>
    <t>PQ4809 A45 Z684 1987</t>
  </si>
  <si>
    <t>0                      PQ 4809000A  45                 Z  684         1987</t>
  </si>
  <si>
    <t>Italo Calvino : metamorphoses of fantasy / by Albert Howard Carter, III.</t>
  </si>
  <si>
    <t>Carter, Albert Howard, 1943-</t>
  </si>
  <si>
    <t>Ann Arbor, Mich. : UMI Research Press, ©1987.</t>
  </si>
  <si>
    <t>Studies in speculative fiction ; no. 13</t>
  </si>
  <si>
    <t>8224676:eng</t>
  </si>
  <si>
    <t>14359127</t>
  </si>
  <si>
    <t>ocm14359127</t>
  </si>
  <si>
    <t>3000526722X</t>
  </si>
  <si>
    <t>9780835717809</t>
  </si>
  <si>
    <t>792887233</t>
  </si>
  <si>
    <t>PQ4809 A45 Z687 2010</t>
  </si>
  <si>
    <t>0                      PQ 4809000A  45                 Z  687         2010</t>
  </si>
  <si>
    <t>The mind of Italo Calvino : a critical exploration of his thought and writings / Dani Cavallaro.</t>
  </si>
  <si>
    <t>Cavallaro, Dani.</t>
  </si>
  <si>
    <t>Jefferson, N.C. : McFarland &amp; Co., Publishers, 2010.</t>
  </si>
  <si>
    <t>2019-04-01</t>
  </si>
  <si>
    <t>796321731:eng</t>
  </si>
  <si>
    <t>492091401</t>
  </si>
  <si>
    <t>ocn492091401</t>
  </si>
  <si>
    <t>3103243083L</t>
  </si>
  <si>
    <t>9780786447664</t>
  </si>
  <si>
    <t>794800981</t>
  </si>
  <si>
    <t>PQ4809 A45 Z6914 2011</t>
  </si>
  <si>
    <t>0                      PQ 4809000A  45                 Z  6914        2011</t>
  </si>
  <si>
    <t>Il &lt;&lt;sapore ariostesco&gt;&gt; in Calvino / Maria Angela Cernigliaro Tsouroula.</t>
  </si>
  <si>
    <t>Cernigliaro Tsouroula, Maria Angela.</t>
  </si>
  <si>
    <t>[S.l.] : Edizioni Progetto Cultura, 2011.</t>
  </si>
  <si>
    <t>LiberaMente ; 16</t>
  </si>
  <si>
    <t>5218959299:ita</t>
  </si>
  <si>
    <t>774035399</t>
  </si>
  <si>
    <t>ocn774035399</t>
  </si>
  <si>
    <t>3103125714M</t>
  </si>
  <si>
    <t>9788860923813</t>
  </si>
  <si>
    <t>794906229</t>
  </si>
  <si>
    <t>PQ4809 A45 Z69165 2013</t>
  </si>
  <si>
    <t>0                      PQ 4809000A  45                 Z  69165       2013</t>
  </si>
  <si>
    <t>Tra Eco e Calvino : relazioni rizomatiche : atti del Convegno Eco &amp; Calvino : rhizomatic relationships : University of Toronto, 13-14 aprile 2012 / a cura di Rocco Capozzi ; saggi di Stefano Bartezzaghi [and others].</t>
  </si>
  <si>
    <t>Convegno Eco &amp; Calvino, rizhomatic relationship (2012 : University of Toronto)</t>
  </si>
  <si>
    <t>Milano : EncycloMedia, ©2013.</t>
  </si>
  <si>
    <t>1367320750:ita</t>
  </si>
  <si>
    <t>846459948</t>
  </si>
  <si>
    <t>ocn846459948</t>
  </si>
  <si>
    <t>3103126246R</t>
  </si>
  <si>
    <t>9788897514213</t>
  </si>
  <si>
    <t>794949076</t>
  </si>
  <si>
    <t>PQ4809 A45 Z6917 2014</t>
  </si>
  <si>
    <t>0                      PQ 4809000A  45                 Z  6917        2014</t>
  </si>
  <si>
    <t>L'Oulipo e Italo Calvino / Michele Costagliola d'Abele.</t>
  </si>
  <si>
    <t>Costagliola d'Abele, Michele.</t>
  </si>
  <si>
    <t>Bern : Peter Lang, [2014]</t>
  </si>
  <si>
    <t>Liminaires, passages interculturels ; v. 30</t>
  </si>
  <si>
    <t>1791568516:ita</t>
  </si>
  <si>
    <t>871298535</t>
  </si>
  <si>
    <t>ocn871298535</t>
  </si>
  <si>
    <t>31031988453</t>
  </si>
  <si>
    <t>9783034314619</t>
  </si>
  <si>
    <t>794967529</t>
  </si>
  <si>
    <t>PQ4809 A45 Z6943 2010</t>
  </si>
  <si>
    <t>0                      PQ 4809000A  45                 Z  6943        2010</t>
  </si>
  <si>
    <t>Lo scoiattolo della penna : profilo di Italo Calvino, dall'impegno politico alla rottura con il PCI / Luca Di Bari.</t>
  </si>
  <si>
    <t>Di Bari, Luca.</t>
  </si>
  <si>
    <t>Centopassi ; 18</t>
  </si>
  <si>
    <t>796419657:ita</t>
  </si>
  <si>
    <t>652361794</t>
  </si>
  <si>
    <t>ocn652361794</t>
  </si>
  <si>
    <t>3103125148Y</t>
  </si>
  <si>
    <t>9788882326821</t>
  </si>
  <si>
    <t>794833410</t>
  </si>
  <si>
    <t>PQ4809 A45 Z711 2011</t>
  </si>
  <si>
    <t>0                      PQ 4809000A  45                 Z  711         2011</t>
  </si>
  <si>
    <t>Calvino e il teatro : storia di una passione rimossa / Enrica Maria Ferrara.</t>
  </si>
  <si>
    <t>Ferrara, Enrica, 1969-</t>
  </si>
  <si>
    <t>Oxford : Peter Lang, ©2011.</t>
  </si>
  <si>
    <t>Italian modernities ; v. 11</t>
  </si>
  <si>
    <t>865063347:ita</t>
  </si>
  <si>
    <t>748704532</t>
  </si>
  <si>
    <t>ocn748704532</t>
  </si>
  <si>
    <t>31035064487</t>
  </si>
  <si>
    <t>9783034301763</t>
  </si>
  <si>
    <t>794889503</t>
  </si>
  <si>
    <t>PQ4809 A45 Z7129 2009</t>
  </si>
  <si>
    <t>0                      PQ 4809000A  45                 Z  7129        2009</t>
  </si>
  <si>
    <t>Translation as stylistic evolution : Italo Calvino creative translator of Raymond Queneau / Federico Federici.</t>
  </si>
  <si>
    <t>Federici, Federico M.</t>
  </si>
  <si>
    <t>Amsterdam ; New York : Rodopi, 2009.</t>
  </si>
  <si>
    <t>Approaches to translation studies ; v. 32</t>
  </si>
  <si>
    <t>891015612:eng</t>
  </si>
  <si>
    <t>319205038</t>
  </si>
  <si>
    <t>ocn319205038</t>
  </si>
  <si>
    <t>3103080067T</t>
  </si>
  <si>
    <t>9789042025691</t>
  </si>
  <si>
    <t>794483510</t>
  </si>
  <si>
    <t>PQ4809.A45 Z72155 2012</t>
  </si>
  <si>
    <t>0                      PQ 4809000A  45                 Z  72155       2012</t>
  </si>
  <si>
    <t>Calvino verso Borges / Florinda Fusco.</t>
  </si>
  <si>
    <t>Fusco, Florinda, 1972-</t>
  </si>
  <si>
    <t>Bari : Cacucci, ©2012.</t>
  </si>
  <si>
    <t>1332005075:ita</t>
  </si>
  <si>
    <t>843752846</t>
  </si>
  <si>
    <t>ocn843752846</t>
  </si>
  <si>
    <t>B001553075</t>
  </si>
  <si>
    <t>9788866111849</t>
  </si>
  <si>
    <t>794948129</t>
  </si>
  <si>
    <t>PQ4809 A45 Z72327 2011</t>
  </si>
  <si>
    <t>0                      PQ 4809000A  45                 Z  72327       2011</t>
  </si>
  <si>
    <t>Italo Calvino : la realtà dell'immaginazione e le ambivalenze del moderno / Elena Gremigni.</t>
  </si>
  <si>
    <t>Gremigni, Elena.</t>
  </si>
  <si>
    <t>I quaderni delLe Lettere ; 4</t>
  </si>
  <si>
    <t>2012-03-31</t>
  </si>
  <si>
    <t>894524430:ita</t>
  </si>
  <si>
    <t>719414078</t>
  </si>
  <si>
    <t>ocn719414078</t>
  </si>
  <si>
    <t>3103125372M</t>
  </si>
  <si>
    <t>9788860874306</t>
  </si>
  <si>
    <t>794874409</t>
  </si>
  <si>
    <t>PQ4809 A45 Z728 2015</t>
  </si>
  <si>
    <t>0                      PQ 4809000A  45                 Z  728         2015</t>
  </si>
  <si>
    <t>La "pulce" musicale di Italo Calvino : canzoni e Allez-hop / Giovanni Inzerillo.</t>
  </si>
  <si>
    <t>Inzerillo, Giovanni, 1982- author.</t>
  </si>
  <si>
    <t>Strumenti di letteratura italiana ; 52</t>
  </si>
  <si>
    <t>2949273220:ita</t>
  </si>
  <si>
    <t>922332132</t>
  </si>
  <si>
    <t>ocn922332132</t>
  </si>
  <si>
    <t>3103624719S</t>
  </si>
  <si>
    <t>9788876675423</t>
  </si>
  <si>
    <t>795003785</t>
  </si>
  <si>
    <t>PQ4809 A45 Z749 2001</t>
  </si>
  <si>
    <t>0                      PQ 4809000A  45                 Z  749         2001</t>
  </si>
  <si>
    <t>Italo Calvino / edited and with an introduction by Harold Bloom.</t>
  </si>
  <si>
    <t>Philadelphia : Chelsea House Publishers, ©2001.</t>
  </si>
  <si>
    <t>Modern critical views</t>
  </si>
  <si>
    <t>55053133:eng</t>
  </si>
  <si>
    <t>43903616</t>
  </si>
  <si>
    <t>ocm43903616</t>
  </si>
  <si>
    <t>3102739247I</t>
  </si>
  <si>
    <t>9780791059197</t>
  </si>
  <si>
    <t>793638351</t>
  </si>
  <si>
    <t>PQ4809 A45 Z75 1988</t>
  </si>
  <si>
    <t>0                      PQ 4809000A  45                 Z  75          1988</t>
  </si>
  <si>
    <t>Italo Calvino : atti del convegno internationale, Firenze, Palazzo Medici-Riccardi, 26-28 febbraio 1987 / interventi di Luigi Baldacci [and others].</t>
  </si>
  <si>
    <t>Milano : Garzanti, 1988.</t>
  </si>
  <si>
    <t>2018-03-15</t>
  </si>
  <si>
    <t>898286541:ita</t>
  </si>
  <si>
    <t>20797570</t>
  </si>
  <si>
    <t>ocm20797570</t>
  </si>
  <si>
    <t>3103687386F</t>
  </si>
  <si>
    <t>9788811598015</t>
  </si>
  <si>
    <t>793098889</t>
  </si>
  <si>
    <t>PQ4809 A45 Z75 1995</t>
  </si>
  <si>
    <t>0                      PQ 4809000A  45                 Z  75          1995</t>
  </si>
  <si>
    <t>Italo Calvino : enciclopedia : arte, scienza e letteratura / Italo Calvino ; a cura di Marco Belpoliti.</t>
  </si>
  <si>
    <t>Milano : Marcos y Marcos, [1995]</t>
  </si>
  <si>
    <t>Riga ; 9</t>
  </si>
  <si>
    <t>39516617:ita</t>
  </si>
  <si>
    <t>34604494</t>
  </si>
  <si>
    <t>ocm34604494</t>
  </si>
  <si>
    <t>3101519212T</t>
  </si>
  <si>
    <t>9788871681368</t>
  </si>
  <si>
    <t>793431029</t>
  </si>
  <si>
    <t>PQ4809 A45 Z7536 1998</t>
  </si>
  <si>
    <t>0                      PQ 4809000A  45                 Z  7536        1998</t>
  </si>
  <si>
    <t>Italo Calvino / Martin McLaughlin.</t>
  </si>
  <si>
    <t>Edinburgh : Edinburgh University Press, ©1998.</t>
  </si>
  <si>
    <t>23424455:eng</t>
  </si>
  <si>
    <t>43837373</t>
  </si>
  <si>
    <t>ocm43837373</t>
  </si>
  <si>
    <t>3101906569I</t>
  </si>
  <si>
    <t>9780748609178</t>
  </si>
  <si>
    <t>793636533</t>
  </si>
  <si>
    <t>PQ4809 A45 Z7636 2008</t>
  </si>
  <si>
    <t>0                      PQ 4809000A  45                 Z  7636        2008</t>
  </si>
  <si>
    <t>Italo Calvino : percorsi potenziali / a cura di Raffaele Aragona.</t>
  </si>
  <si>
    <t>San Cesario di Lecce : Manni, ©2008.</t>
  </si>
  <si>
    <t>Studi ; 119</t>
  </si>
  <si>
    <t>158644706:ita</t>
  </si>
  <si>
    <t>272562306</t>
  </si>
  <si>
    <t>ocn272562306</t>
  </si>
  <si>
    <t>3103041202E</t>
  </si>
  <si>
    <t>9788862660341</t>
  </si>
  <si>
    <t>794415525</t>
  </si>
  <si>
    <t>PQ4809 A45 Z77 1990</t>
  </si>
  <si>
    <t>0                      PQ 4809000A  45                 Z  77          1990</t>
  </si>
  <si>
    <t>Italo Calvino / Elisabetta Mondello.</t>
  </si>
  <si>
    <t>Pordenone : Studio Tesi, 1990.</t>
  </si>
  <si>
    <t>Iconografia ; 4</t>
  </si>
  <si>
    <t>25340199:ita</t>
  </si>
  <si>
    <t>237159065</t>
  </si>
  <si>
    <t>ocn237159065</t>
  </si>
  <si>
    <t>3103088580F</t>
  </si>
  <si>
    <t>9788876921629</t>
  </si>
  <si>
    <t>794372539</t>
  </si>
  <si>
    <t>PQ4809 A45 Z7827 2010</t>
  </si>
  <si>
    <t>0                      PQ 4809000A  45                 Z  7827        2010</t>
  </si>
  <si>
    <t>Italo Calvino e i cavalieri fantastici / Chiara Lacirignola.</t>
  </si>
  <si>
    <t>Lacirignola, Chiara, 1982-</t>
  </si>
  <si>
    <t>Bari : Stilo, ©2010.</t>
  </si>
  <si>
    <t>Officina ; 9</t>
  </si>
  <si>
    <t>678591558:ita</t>
  </si>
  <si>
    <t>668178231</t>
  </si>
  <si>
    <t>ocn668178231</t>
  </si>
  <si>
    <t>3103125171S</t>
  </si>
  <si>
    <t>9788864790190</t>
  </si>
  <si>
    <t>794845905</t>
  </si>
  <si>
    <t>PQ4809 A45 Z784 2012</t>
  </si>
  <si>
    <t>0                      PQ 4809000A  45                 Z  784         2012</t>
  </si>
  <si>
    <t>Italo Calvino : Écrivain du paradoxe / Isabelle Lavergne.</t>
  </si>
  <si>
    <t>Lavergne, Isabelle.</t>
  </si>
  <si>
    <t>Paris : Hermann, [2012]</t>
  </si>
  <si>
    <t>Savoir. Lettres</t>
  </si>
  <si>
    <t>1168957469:fre</t>
  </si>
  <si>
    <t>808422813</t>
  </si>
  <si>
    <t>ocn808422813</t>
  </si>
  <si>
    <t>3103526984B</t>
  </si>
  <si>
    <t>9782705682354</t>
  </si>
  <si>
    <t>794927648</t>
  </si>
  <si>
    <t>PQ4809 A45 Z78525 2011</t>
  </si>
  <si>
    <t>0                      PQ 4809000A  45                 Z  78525       2011</t>
  </si>
  <si>
    <t>Una rilettura delle Lezioni americane di Italo Calvino / Gabriele Lolli.</t>
  </si>
  <si>
    <t>Lolli, Gabriele.</t>
  </si>
  <si>
    <t>Temi ; 200</t>
  </si>
  <si>
    <t>2011-04-08</t>
  </si>
  <si>
    <t>782746563:ita</t>
  </si>
  <si>
    <t>701206918</t>
  </si>
  <si>
    <t>ocn701206918</t>
  </si>
  <si>
    <t>3103125288N</t>
  </si>
  <si>
    <t>9788833921938</t>
  </si>
  <si>
    <t>794862627</t>
  </si>
  <si>
    <t>PQ4809 A45 Z7856 2015</t>
  </si>
  <si>
    <t>0                      PQ 4809000A  45                 Z  7856        2015</t>
  </si>
  <si>
    <t>Italo Calvino : quale autore laggiù attende la fine? / Anna Mario.</t>
  </si>
  <si>
    <t>Mario, Anna, author.</t>
  </si>
  <si>
    <t>Firenze, Italy : Firenze University Press, 2015.</t>
  </si>
  <si>
    <t>Studi e saggi ; 144</t>
  </si>
  <si>
    <t>2793484741:ita</t>
  </si>
  <si>
    <t>928638363</t>
  </si>
  <si>
    <t>ocn928638363</t>
  </si>
  <si>
    <t>3103665214T</t>
  </si>
  <si>
    <t>9788866558330</t>
  </si>
  <si>
    <t>795006296</t>
  </si>
  <si>
    <t>PQ4809 A45 Z7868 2011</t>
  </si>
  <si>
    <t>0                      PQ 4809000A  45                 Z  7868        2011</t>
  </si>
  <si>
    <t>Italo Calvino's architecture of lightness : the utopian imagination in an age of urban crisis / Letizia Modena.</t>
  </si>
  <si>
    <t>Modena, Letizia.</t>
  </si>
  <si>
    <t>New York : Routledge, 2011.</t>
  </si>
  <si>
    <t>Routledge studies in twentieth-century literature ; 17</t>
  </si>
  <si>
    <t>366794526:eng</t>
  </si>
  <si>
    <t>491891347</t>
  </si>
  <si>
    <t>ocn491891347</t>
  </si>
  <si>
    <t>31033433718</t>
  </si>
  <si>
    <t>9780415880381</t>
  </si>
  <si>
    <t>794800704</t>
  </si>
  <si>
    <t>PQ4809 A45 Z7878 2010</t>
  </si>
  <si>
    <t>0                      PQ 4809000A  45                 Z  7878        2010</t>
  </si>
  <si>
    <t>Italo Calvino tra i cinque sensi / Ulla Musarra-Schrøder.</t>
  </si>
  <si>
    <t>Musarra-Schrøder, Ulla.</t>
  </si>
  <si>
    <t>Resoconti di letteratura italiana ; 6</t>
  </si>
  <si>
    <t>678591254:ita</t>
  </si>
  <si>
    <t>668177868</t>
  </si>
  <si>
    <t>ocn668177868</t>
  </si>
  <si>
    <t>31031252072</t>
  </si>
  <si>
    <t>9788876673948</t>
  </si>
  <si>
    <t>794845897</t>
  </si>
  <si>
    <t>PQ4809 A45 Z827 2002</t>
  </si>
  <si>
    <t>0                      PQ 4809000A  45                 Z  827         2002</t>
  </si>
  <si>
    <t>Tra il cristallo e la fiamma : le Lezioni americane di Italo Calvino / Adriano Piacentini.</t>
  </si>
  <si>
    <t>Piacentini, Adriano.</t>
  </si>
  <si>
    <t>Firenze : Firenze Atheneum, [2002]</t>
  </si>
  <si>
    <t>Oxenford. Universale Atheneum ; 120</t>
  </si>
  <si>
    <t>307165222:ita</t>
  </si>
  <si>
    <t>50535563</t>
  </si>
  <si>
    <t>ocm50535563</t>
  </si>
  <si>
    <t>3102238354A</t>
  </si>
  <si>
    <t>9788872551936</t>
  </si>
  <si>
    <t>793767116</t>
  </si>
  <si>
    <t>PQ4809 A45 Z834 2005</t>
  </si>
  <si>
    <t>0                      PQ 4809000A  45                 Z  834         2005</t>
  </si>
  <si>
    <t>Mapping complexity : literature and science in the works of Italo Calvino / Kerstin Pilz.</t>
  </si>
  <si>
    <t>Pilz, Kerstin.</t>
  </si>
  <si>
    <t>Leicester : Troubador Pub., ©2005.</t>
  </si>
  <si>
    <t>2019-04-08</t>
  </si>
  <si>
    <t>367246289:eng</t>
  </si>
  <si>
    <t>58839698</t>
  </si>
  <si>
    <t>ocm58839698</t>
  </si>
  <si>
    <t>3102561476Z</t>
  </si>
  <si>
    <t>9781904744207</t>
  </si>
  <si>
    <t>793925198</t>
  </si>
  <si>
    <t>PQ4809 A45 Z845 2012</t>
  </si>
  <si>
    <t>0                      PQ 4809000A  45                 Z  845         2012</t>
  </si>
  <si>
    <t>Calvino americano : identità e viaggio nel nuovo mondo / Alessandro Raveggi.</t>
  </si>
  <si>
    <t>Raveggi, Alessandro.</t>
  </si>
  <si>
    <t>La nuova meridiana ; 77</t>
  </si>
  <si>
    <t>1188660397:ita</t>
  </si>
  <si>
    <t>817538992</t>
  </si>
  <si>
    <t>ocn817538992</t>
  </si>
  <si>
    <t>3103486978Q</t>
  </si>
  <si>
    <t>9788860875884</t>
  </si>
  <si>
    <t>794933494</t>
  </si>
  <si>
    <t>PQ4809 A45 Z85 1990</t>
  </si>
  <si>
    <t>0                      PQ 4809000A  45                 Z  85          1990</t>
  </si>
  <si>
    <t>Calvino and the age of Neorealism : fables of estrangement / Lucia Re.</t>
  </si>
  <si>
    <t>Re, Lucia, 1953-</t>
  </si>
  <si>
    <t>Stanford, Calif. : Stanford University Press, ©1990.</t>
  </si>
  <si>
    <t>2019-02-15</t>
  </si>
  <si>
    <t>454175324:eng</t>
  </si>
  <si>
    <t>20823296</t>
  </si>
  <si>
    <t>ocm20823296</t>
  </si>
  <si>
    <t>3101009689J</t>
  </si>
  <si>
    <t>9780804716505</t>
  </si>
  <si>
    <t>793100021</t>
  </si>
  <si>
    <t>PQ4809 A45 Z8567 2012</t>
  </si>
  <si>
    <t>0                      PQ 4809000A  45                 Z  8567        2012</t>
  </si>
  <si>
    <t>Umano? : una domanda per Italo Calvino e Michel Serres / Orsola Rignani.</t>
  </si>
  <si>
    <t>Rignani, Orsola.</t>
  </si>
  <si>
    <t>[Fidenza, Italy] : Mattioli 1885, ©2012.</t>
  </si>
  <si>
    <t>Explora</t>
  </si>
  <si>
    <t>1209547414:ita</t>
  </si>
  <si>
    <t>828410004</t>
  </si>
  <si>
    <t>ocn828410004</t>
  </si>
  <si>
    <t>3103126152S</t>
  </si>
  <si>
    <t>9788862613279</t>
  </si>
  <si>
    <t>794941100</t>
  </si>
  <si>
    <t>PQ4809 A45 Z8586 2012</t>
  </si>
  <si>
    <t>0                      PQ 4809000A  45                 Z  8586        2012</t>
  </si>
  <si>
    <t>Calvino e il cinema / Vito Santoro ; prefazione di Pasquale Voza.</t>
  </si>
  <si>
    <t>Santoro, Vito.</t>
  </si>
  <si>
    <t>1081148033:ita</t>
  </si>
  <si>
    <t>777474684</t>
  </si>
  <si>
    <t>ocn777474684</t>
  </si>
  <si>
    <t>3103125684B</t>
  </si>
  <si>
    <t>9788874624140</t>
  </si>
  <si>
    <t>794908824</t>
  </si>
  <si>
    <t>PQ4809 A45 Z86 1999</t>
  </si>
  <si>
    <t>0                      PQ 4809000A  45                 Z  86          1999</t>
  </si>
  <si>
    <t>Italo Calvino / di Domenico Scarpa.</t>
  </si>
  <si>
    <t>Scarpa, Domenico.</t>
  </si>
  <si>
    <t>Milano : B. Mondadori, 1999.</t>
  </si>
  <si>
    <t>Biblioteca degli scrittori</t>
  </si>
  <si>
    <t>44476117:ita</t>
  </si>
  <si>
    <t>41593554</t>
  </si>
  <si>
    <t>ocm41593554</t>
  </si>
  <si>
    <t>31021068218</t>
  </si>
  <si>
    <t>9788842494584</t>
  </si>
  <si>
    <t>793594822</t>
  </si>
  <si>
    <t>PQ4809 A45 Z863 2016</t>
  </si>
  <si>
    <t>0                      PQ 4809000A  45                 Z  863         2016</t>
  </si>
  <si>
    <t>Calvino's combinational creativity / edited by Elizabeth Scheiber.</t>
  </si>
  <si>
    <t>Newcastle upon Tyne, UK : Cambridge Scholars Publishing, 2016.</t>
  </si>
  <si>
    <t>2895890987:eng</t>
  </si>
  <si>
    <t>935985515</t>
  </si>
  <si>
    <t>ocn935985515</t>
  </si>
  <si>
    <t>3103655482A</t>
  </si>
  <si>
    <t>9781443887106</t>
  </si>
  <si>
    <t>795010287</t>
  </si>
  <si>
    <t>PQ4809 A45 Z878 2016</t>
  </si>
  <si>
    <t>0                      PQ 4809000A  45                 Z  878         2016</t>
  </si>
  <si>
    <t>Vaghi labirinti : intorno a Gottfried W. Leibniz e Italo Calvino / a cura di Monica Boscaro, Giuliano Martufi.</t>
  </si>
  <si>
    <t>Venezia : Cafoscarina, marzo 2016.</t>
  </si>
  <si>
    <t>3009753142:ita</t>
  </si>
  <si>
    <t>949855683</t>
  </si>
  <si>
    <t>ocn949855683</t>
  </si>
  <si>
    <t>3103564820E</t>
  </si>
  <si>
    <t>9788875434069</t>
  </si>
  <si>
    <t>795016220</t>
  </si>
  <si>
    <t>PQ4809 A45 Z89 1993</t>
  </si>
  <si>
    <t>0                      PQ 4809000A  45                 Z  89          1993</t>
  </si>
  <si>
    <t>Understanding Italo Calvino / by Beno Weiss.</t>
  </si>
  <si>
    <t>Weiss, Beno, 1933-</t>
  </si>
  <si>
    <t>Columbia, S.C. : University of South Carolina Press, ©1993.</t>
  </si>
  <si>
    <t>Understanding modern European and Latin American literature</t>
  </si>
  <si>
    <t>375334:eng</t>
  </si>
  <si>
    <t>27035084</t>
  </si>
  <si>
    <t>ocm27035084</t>
  </si>
  <si>
    <t>3101273505T</t>
  </si>
  <si>
    <t>9780872498587</t>
  </si>
  <si>
    <t>793257486</t>
  </si>
  <si>
    <t>PQ4809 A45 Z9</t>
  </si>
  <si>
    <t>0                      PQ 4809000A  45                 Z  9</t>
  </si>
  <si>
    <t>Italo Calvino: a reappraisal and an appreciation of the trilogy [by] J.R. Woodhouse.</t>
  </si>
  <si>
    <t>Woodhouse, John Robert.</t>
  </si>
  <si>
    <t>Hull, University of Hull, 1968.</t>
  </si>
  <si>
    <t>Occasional papers in modern languages ; no. 5</t>
  </si>
  <si>
    <t>1210618:eng</t>
  </si>
  <si>
    <t>41578</t>
  </si>
  <si>
    <t>ocm00041578</t>
  </si>
  <si>
    <t>3103041300B</t>
  </si>
  <si>
    <t>791236979</t>
  </si>
  <si>
    <t>PQ4809 A52 C3 1972</t>
  </si>
  <si>
    <t>0                      PQ 4809000A  52                 C  3           1972</t>
  </si>
  <si>
    <t>Canti orfici e altri scritti. Introduzione di Carlo Bo. Con una cronologia della vita dell'autore e dei suoi tempi, una antologia critica e una bibliographia a cura di Arrigo Bongiorno.</t>
  </si>
  <si>
    <t>Campana, Dino, 1885-1932.</t>
  </si>
  <si>
    <t>[Milano] A. Mondadori [1972]</t>
  </si>
  <si>
    <t>Gli Oscar ; L75</t>
  </si>
  <si>
    <t>4494876979:ita</t>
  </si>
  <si>
    <t>748401</t>
  </si>
  <si>
    <t>ocm00748401</t>
  </si>
  <si>
    <t>3000399987S</t>
  </si>
  <si>
    <t>791460803</t>
  </si>
  <si>
    <t>PQ4809 A52 C313 1984</t>
  </si>
  <si>
    <t>0                      PQ 4809000A  52                 C  313         1984</t>
  </si>
  <si>
    <t>Orphic songs / Dino Campana ; translated by Charles Wright ; introduction by Jonathan Galassi.</t>
  </si>
  <si>
    <t>[Oberlin, Ohio] : Oberlin College, ©1984.</t>
  </si>
  <si>
    <t>Field translation series ; 9</t>
  </si>
  <si>
    <t>2019-11-02</t>
  </si>
  <si>
    <t>820410:eng</t>
  </si>
  <si>
    <t>11502939</t>
  </si>
  <si>
    <t>ocm11502939</t>
  </si>
  <si>
    <t>3000377747X</t>
  </si>
  <si>
    <t>9780932440167</t>
  </si>
  <si>
    <t>792775929</t>
  </si>
  <si>
    <t>PQ4809 A52 C336 2010</t>
  </si>
  <si>
    <t>0                      PQ 4809000A  52                 C  336         2010</t>
  </si>
  <si>
    <t>Dentro del cielo stellare-- : la poesia orfica di Dino Campana / Marco Onofrio.</t>
  </si>
  <si>
    <t>Onofrio, Marco, 1971-</t>
  </si>
  <si>
    <t>Roma : EdiLet, 2010.</t>
  </si>
  <si>
    <t>Voltaire ; 5</t>
  </si>
  <si>
    <t>2012-11-17</t>
  </si>
  <si>
    <t>796550027:ita</t>
  </si>
  <si>
    <t>658004036</t>
  </si>
  <si>
    <t>ocn658004036</t>
  </si>
  <si>
    <t>3103125164U</t>
  </si>
  <si>
    <t>9788896517253</t>
  </si>
  <si>
    <t>794835793</t>
  </si>
  <si>
    <t>PQ4809 A52 Z48 2011</t>
  </si>
  <si>
    <t>0                      PQ 4809000A  52                 Z  48          2011</t>
  </si>
  <si>
    <t>Lettere di un povero diavolo : carteggio (1903-1931) : con altre testimonianze epistolari su Dino Campana (1903-1998) / Dino Campana ; a cura di Gabriel Cacho Millet.</t>
  </si>
  <si>
    <t>Firenze : Polistampa, ©2011.</t>
  </si>
  <si>
    <t>Il diaspro / Epistolari ; 13</t>
  </si>
  <si>
    <t>1074132361:ita</t>
  </si>
  <si>
    <t>773016507</t>
  </si>
  <si>
    <t>ocn773016507</t>
  </si>
  <si>
    <t>3103125621N</t>
  </si>
  <si>
    <t>9788859608615</t>
  </si>
  <si>
    <t>794905144</t>
  </si>
  <si>
    <t>PQ4809 A52 Z72 2012</t>
  </si>
  <si>
    <t>0                      PQ 4809000A  52                 Z  72          2012</t>
  </si>
  <si>
    <t>Dino Campana : la vita, i canti marini e i misteri orfici / Enrico Gurioli.</t>
  </si>
  <si>
    <t>Gurioli, Enrico, 1948-</t>
  </si>
  <si>
    <t>Bologna : Pendragon, 2012.</t>
  </si>
  <si>
    <t>1090058380:ita</t>
  </si>
  <si>
    <t>780945507</t>
  </si>
  <si>
    <t>ocn780945507</t>
  </si>
  <si>
    <t>3103125816J</t>
  </si>
  <si>
    <t>9788865981405</t>
  </si>
  <si>
    <t>794912405</t>
  </si>
  <si>
    <t>PQ4809 A52 Z744 2011</t>
  </si>
  <si>
    <t>0                      PQ 4809000A  52                 Z  744         2011</t>
  </si>
  <si>
    <t>La Verna di Campana e l'ombra di Soffici : atti dei convegni, La Verna, 18-19 settembre 2010, Poggio a Caiano, 4 dicembre 2010 / a cura di Giuseppe Langella.</t>
  </si>
  <si>
    <t>Poggio a Caiano (Prato) : SOF, Museo Soffici e del '900 italiano ; Prato : Pentalinea, ©2011.</t>
  </si>
  <si>
    <t>Quaderni sofficiani ; 17</t>
  </si>
  <si>
    <t>1121690441:ita</t>
  </si>
  <si>
    <t>796781724</t>
  </si>
  <si>
    <t>ocn796781724</t>
  </si>
  <si>
    <t>3103125836F</t>
  </si>
  <si>
    <t>9788886855891</t>
  </si>
  <si>
    <t>794922388</t>
  </si>
  <si>
    <t>PQ4809 A52 Z757 2012</t>
  </si>
  <si>
    <t>0                      PQ 4809000A  52                 Z  757         2012</t>
  </si>
  <si>
    <t>Il poeta sotto esame / Paolo Maccari ; con due importanti testi inediti di Dino Campana.</t>
  </si>
  <si>
    <t>Bagno a Ripoli (Firenze) : Passigli Editori, 2012.</t>
  </si>
  <si>
    <t>Le Occasioni</t>
  </si>
  <si>
    <t>1119113904:ita</t>
  </si>
  <si>
    <t>798214043</t>
  </si>
  <si>
    <t>ocn798214043</t>
  </si>
  <si>
    <t>3103125812J</t>
  </si>
  <si>
    <t>9788836813148</t>
  </si>
  <si>
    <t>794923284</t>
  </si>
  <si>
    <t>PQ4809 A52 Z87 1985</t>
  </si>
  <si>
    <t>0                      PQ 4809000A  52                 Z  87          1985</t>
  </si>
  <si>
    <t>Dino Campana : biografia di un poeta / Gianni Turchetta ; [fotografie di Maurizio Montefiori].</t>
  </si>
  <si>
    <t>Turchetta, Gianni.</t>
  </si>
  <si>
    <t>Milano : Imagommage : Marcos y Marcos, [1985]</t>
  </si>
  <si>
    <t>L'Immagine, lo scritto</t>
  </si>
  <si>
    <t>24089388:ita</t>
  </si>
  <si>
    <t>14188220</t>
  </si>
  <si>
    <t>ocm14188220</t>
  </si>
  <si>
    <t>3000477407D</t>
  </si>
  <si>
    <t>792881205</t>
  </si>
  <si>
    <t>PQ4809 A53 Z48 2010</t>
  </si>
  <si>
    <t>0                      PQ 4809000A  53                 Z  48          2010</t>
  </si>
  <si>
    <t>Urgentissime da evadere : viaggio nel '900 attraverso la corrispondenza di Achille Campanile / a cura di Silvio Moretti e Angelo Cannatà.</t>
  </si>
  <si>
    <t>Campanile, Achille, 1899-1977.</t>
  </si>
  <si>
    <t>891804305:ita</t>
  </si>
  <si>
    <t>649311845</t>
  </si>
  <si>
    <t>ocn649311845</t>
  </si>
  <si>
    <t>3103125182Q</t>
  </si>
  <si>
    <t>9788884194251</t>
  </si>
  <si>
    <t>794831668</t>
  </si>
  <si>
    <t>PQ4809 A57 A17 1998</t>
  </si>
  <si>
    <t>0                      PQ 4809000A  57                 A  17          1998</t>
  </si>
  <si>
    <t>L'opera in versi / Giorgio Caproni ; edizione critica a cura di Luca Zuliani ; introduzione di Pier Vincenzo Mengaldo ; cronologia e bibliografia a cura di Adele Dei.</t>
  </si>
  <si>
    <t>Caproni, Giorgio.</t>
  </si>
  <si>
    <t>2016-09-10</t>
  </si>
  <si>
    <t>350173697:ita</t>
  </si>
  <si>
    <t>39378982</t>
  </si>
  <si>
    <t>ocm39378982</t>
  </si>
  <si>
    <t>3102328331D</t>
  </si>
  <si>
    <t>9788804435860</t>
  </si>
  <si>
    <t>793545077</t>
  </si>
  <si>
    <t>PQ4809 A57 Z46 2014</t>
  </si>
  <si>
    <t>0                      PQ 4809000A  57                 Z  46          2014</t>
  </si>
  <si>
    <t>Il mondo ha bisogno dei poeti : interviste e autocommenti 1948-1990 / Giorgio Caproni ; a cura di Melissa Rota ; introduzione di Anna Dolfi.</t>
  </si>
  <si>
    <t>Caproni, Giorgio, author.</t>
  </si>
  <si>
    <t>Firenze, Italy : Firenze University Press, 2014.</t>
  </si>
  <si>
    <t>Moderna/comparata ; 7</t>
  </si>
  <si>
    <t>2478272383:ita</t>
  </si>
  <si>
    <t>903207911</t>
  </si>
  <si>
    <t>ocn903207911</t>
  </si>
  <si>
    <t>3103621365F</t>
  </si>
  <si>
    <t>9788866556763</t>
  </si>
  <si>
    <t>794988860</t>
  </si>
  <si>
    <t>PQ4809 A57 Z483 2012</t>
  </si>
  <si>
    <t>0                      PQ 4809000A  57                 Z  483         2012</t>
  </si>
  <si>
    <t>Lettere, 1952-1963 / Giorgio Caproni, Giuseppe De Robertis ; a cura di Anna Marra ; con uno scritto di Attilio Mauro Caproni.</t>
  </si>
  <si>
    <t>Roma : Bulzoni, 2012.</t>
  </si>
  <si>
    <t>Novecento live ; 16</t>
  </si>
  <si>
    <t>1203411994:ita</t>
  </si>
  <si>
    <t>824727693</t>
  </si>
  <si>
    <t>ocn824727693</t>
  </si>
  <si>
    <t>3103126080P</t>
  </si>
  <si>
    <t>9788878706613</t>
  </si>
  <si>
    <t>794938217</t>
  </si>
  <si>
    <t>PQ4809 A57 Z525 2010</t>
  </si>
  <si>
    <t>0                      PQ 4809000A  57                 Z  525         2010</t>
  </si>
  <si>
    <t>Giorgio Caproni maestro / Marcella Bacigalupi, Piero Fossati ; introduzione di Luigi Surdich.</t>
  </si>
  <si>
    <t>Bacigalupi, Marcella.</t>
  </si>
  <si>
    <t>Genova : Il melangolo, ©2010.</t>
  </si>
  <si>
    <t>Lecturae</t>
  </si>
  <si>
    <t>503732917:ita</t>
  </si>
  <si>
    <t>642806044</t>
  </si>
  <si>
    <t>ocn642806044</t>
  </si>
  <si>
    <t>31031251005</t>
  </si>
  <si>
    <t>9788870187717</t>
  </si>
  <si>
    <t>794828385</t>
  </si>
  <si>
    <t>PQ4809 A57 Z685 2012</t>
  </si>
  <si>
    <t>0                      PQ 4809000A  57                 Z  685         2012</t>
  </si>
  <si>
    <t>Giorgio Caproni : Roma la città del disamore / a cura di Elisa Donzelli, Biancamaria Frabotta.</t>
  </si>
  <si>
    <t>Roma : De Luca, 2012.</t>
  </si>
  <si>
    <t>1304022627:ita</t>
  </si>
  <si>
    <t>824727823</t>
  </si>
  <si>
    <t>ocn824727823</t>
  </si>
  <si>
    <t>3103126065T</t>
  </si>
  <si>
    <t>9788865571064</t>
  </si>
  <si>
    <t>794938219</t>
  </si>
  <si>
    <t>PQ4809 A57 Z845 2014</t>
  </si>
  <si>
    <t>0                      PQ 4809000A  57                 Z  845         2014</t>
  </si>
  <si>
    <t>Là dove non esiste paura : percorsi e forme del "pensare in musica" nella poesia di Giorgio Caproni / Lorenzo Peri.</t>
  </si>
  <si>
    <t>Peri, Lorenzo, author.</t>
  </si>
  <si>
    <t>Firenze : Società editrice fiorentina, [2014]</t>
  </si>
  <si>
    <t>Quaderni Aldo Palazzeschi, 1721-8543 ; nuova serie, 34</t>
  </si>
  <si>
    <t>3902786668:ita</t>
  </si>
  <si>
    <t>911267405</t>
  </si>
  <si>
    <t>ocn911267405</t>
  </si>
  <si>
    <t>3103627827A</t>
  </si>
  <si>
    <t>9788860322982</t>
  </si>
  <si>
    <t>794998287</t>
  </si>
  <si>
    <t>PQ4809 A57 Z94 2011</t>
  </si>
  <si>
    <t>0                      PQ 4809000A  57                 Z  94          2011</t>
  </si>
  <si>
    <t>Plurime corrispondenze : Giorgio Caproni e Myricae / Michela Zompetta ; prefazione di Luigi Surdich.</t>
  </si>
  <si>
    <t>Zompetta, Michela.</t>
  </si>
  <si>
    <t>Viterbo : Sette città, [2011]</t>
  </si>
  <si>
    <t>Acta</t>
  </si>
  <si>
    <t>967646415:ita</t>
  </si>
  <si>
    <t>744283190</t>
  </si>
  <si>
    <t>ocn744283190</t>
  </si>
  <si>
    <t>3103125488H</t>
  </si>
  <si>
    <t>9788878532557</t>
  </si>
  <si>
    <t>794885880</t>
  </si>
  <si>
    <t>PQ4809 A57 2013</t>
  </si>
  <si>
    <t>0                      PQ 4809000A  57          2013</t>
  </si>
  <si>
    <t>Prose critiche, 1934-1953 / Giorgio Caproni ; a cura di Raffaella Scarpa ; con una prefazione di Gian Luigi Beccaria.</t>
  </si>
  <si>
    <t>Caproni, Giorgio, 1912-1990.</t>
  </si>
  <si>
    <t>Racconigi (Cuneo) : N. Aragno, 2013.</t>
  </si>
  <si>
    <t>2868571445:ita</t>
  </si>
  <si>
    <t>829690597</t>
  </si>
  <si>
    <t>ocn829690597</t>
  </si>
  <si>
    <t>3103126188M</t>
  </si>
  <si>
    <t>9788884195951</t>
  </si>
  <si>
    <t>794942635</t>
  </si>
  <si>
    <t>3103126149U</t>
  </si>
  <si>
    <t>794942634</t>
  </si>
  <si>
    <t>3103126154S</t>
  </si>
  <si>
    <t>794942633</t>
  </si>
  <si>
    <t>3103126183M</t>
  </si>
  <si>
    <t>794942636</t>
  </si>
  <si>
    <t>PQ4809 A65 A125 1993</t>
  </si>
  <si>
    <t>0                      PQ 4809000A  65                 A  125         1993</t>
  </si>
  <si>
    <t>Opere / [di] Vincenzo Cardarelli ; a cura di Clelia Martignoni.</t>
  </si>
  <si>
    <t>Cardarelli, Vincenzo, 1887-1959.</t>
  </si>
  <si>
    <t>Milano : A. Mondadori, 1981.</t>
  </si>
  <si>
    <t>2017-03-16</t>
  </si>
  <si>
    <t>197039193:ita</t>
  </si>
  <si>
    <t>8517691</t>
  </si>
  <si>
    <t>ocm08517691</t>
  </si>
  <si>
    <t>3101316548P</t>
  </si>
  <si>
    <t>792624803</t>
  </si>
  <si>
    <t>PQ4809 A679 A6 2007</t>
  </si>
  <si>
    <t>0                      PQ 4809000A  679                A  6           2007</t>
  </si>
  <si>
    <t>Racconti e romanzi / Carlo Cassola ; a cura e con un saggio introduttivo di Alba Andreini.</t>
  </si>
  <si>
    <t>Cassola, Carlo, 1917-1987.</t>
  </si>
  <si>
    <t>Milano : A. Mondadori, 2007.</t>
  </si>
  <si>
    <t>2017-09-03</t>
  </si>
  <si>
    <t>67916480:ita</t>
  </si>
  <si>
    <t>83595429</t>
  </si>
  <si>
    <t>ocm83595429</t>
  </si>
  <si>
    <t>31026909615</t>
  </si>
  <si>
    <t>9788804549178</t>
  </si>
  <si>
    <t>794208775</t>
  </si>
  <si>
    <t>PQ4809 A679 Z885 2012</t>
  </si>
  <si>
    <t>0                      PQ 4809000A  679                Z  885         2012</t>
  </si>
  <si>
    <t>Carlo Cassola : la letteratura dell'infinito e il suo sbocco antimilitarista / Silvano Tartarini.</t>
  </si>
  <si>
    <t>Tartarini, Silvano.</t>
  </si>
  <si>
    <t>Pisa : Edizioni PLUS-Pisa University Press, [2012]</t>
  </si>
  <si>
    <t>Scienze per la pace ; 33</t>
  </si>
  <si>
    <t>1124056209:ita</t>
  </si>
  <si>
    <t>798609624</t>
  </si>
  <si>
    <t>ocn798609624</t>
  </si>
  <si>
    <t>3103125934C</t>
  </si>
  <si>
    <t>9788884928450</t>
  </si>
  <si>
    <t>794923792</t>
  </si>
  <si>
    <t>PQ4809 E3 S3</t>
  </si>
  <si>
    <t>0                      PQ 4809000E  3                  S  3</t>
  </si>
  <si>
    <t>Saggi e vagabondaggi.</t>
  </si>
  <si>
    <t>Milano] A. Mondadori [1962]</t>
  </si>
  <si>
    <t>2017-12-09</t>
  </si>
  <si>
    <t>1409685:ita</t>
  </si>
  <si>
    <t>359656</t>
  </si>
  <si>
    <t>ocm00359656</t>
  </si>
  <si>
    <t>3000631296$</t>
  </si>
  <si>
    <t>791350599</t>
  </si>
  <si>
    <t>PQ4809 E3 S35 1997</t>
  </si>
  <si>
    <t>0                      PQ 4809000E  3                  S  35          1997</t>
  </si>
  <si>
    <t>Saggi e viaggi / Emilio Cecchi ; a cura di Margherita Ghilardi.</t>
  </si>
  <si>
    <t>Milano : A. Mondadori, 1997.</t>
  </si>
  <si>
    <t>2018-12-15</t>
  </si>
  <si>
    <t>41911872:ita</t>
  </si>
  <si>
    <t>39170790</t>
  </si>
  <si>
    <t>ocm39170790</t>
  </si>
  <si>
    <t>31019193784</t>
  </si>
  <si>
    <t>9788804379508</t>
  </si>
  <si>
    <t>793539747</t>
  </si>
  <si>
    <t>PQ4809 E3 T3 1976</t>
  </si>
  <si>
    <t>0                      PQ 4809000E  3                  T  3           1976</t>
  </si>
  <si>
    <t>Taccuini / Emilio Cecchi ; a cura di Niccolò Gallo e Pietro Citati.</t>
  </si>
  <si>
    <t>Milano : A. Mondadori, 1976.</t>
  </si>
  <si>
    <t>Diari, memorie e lettere</t>
  </si>
  <si>
    <t>6147746:ita</t>
  </si>
  <si>
    <t>2856666</t>
  </si>
  <si>
    <t>ocm02856666</t>
  </si>
  <si>
    <t>3000462389K</t>
  </si>
  <si>
    <t>792185566</t>
  </si>
  <si>
    <t>PQ4809 E3 Z484 1985</t>
  </si>
  <si>
    <t>0                      PQ 4809000E  3                  Z  484         1985</t>
  </si>
  <si>
    <t>Carteggio Cecchi-Praz / a cura di Francesca Bianca Crucitti Ullrich ; prefazione di Giovanni Macchia.</t>
  </si>
  <si>
    <t>Milano : Adelphi, ©1985.</t>
  </si>
  <si>
    <t>La Collana dei casi ; 15</t>
  </si>
  <si>
    <t>2015-02-07</t>
  </si>
  <si>
    <t>8474159:ita</t>
  </si>
  <si>
    <t>14716160</t>
  </si>
  <si>
    <t>ocm14716160</t>
  </si>
  <si>
    <t>3000531723D</t>
  </si>
  <si>
    <t>792899897</t>
  </si>
  <si>
    <t>PQ4809 E3 Z77 1983</t>
  </si>
  <si>
    <t>0                      PQ 4809000E  3                  Z  77          1983</t>
  </si>
  <si>
    <t>Emilio Cecchi / Rodolfo Macchioni Jodi.</t>
  </si>
  <si>
    <t>Macchioni Jodi, Rodolfo.</t>
  </si>
  <si>
    <t>Civiltà letteraria del Novecento. Profili ; n. 41</t>
  </si>
  <si>
    <t>2015-06-06</t>
  </si>
  <si>
    <t>3467076:ita</t>
  </si>
  <si>
    <t>10925829</t>
  </si>
  <si>
    <t>ocm10925829</t>
  </si>
  <si>
    <t>3000359354H</t>
  </si>
  <si>
    <t>792750016</t>
  </si>
  <si>
    <t>PQ4809 E75 B33</t>
  </si>
  <si>
    <t>0                      PQ 4809000E  75                 B  33</t>
  </si>
  <si>
    <t>La bambolona. Translated from the Italian by Isabel Quigley.</t>
  </si>
  <si>
    <t>De Céspedes, Alba, 1911-1997.</t>
  </si>
  <si>
    <t>New York, Simon and Schuster [1970]</t>
  </si>
  <si>
    <t>1245854:eng</t>
  </si>
  <si>
    <t>74094</t>
  </si>
  <si>
    <t>ocm00074094</t>
  </si>
  <si>
    <t>3000629317K</t>
  </si>
  <si>
    <t>9780671203771</t>
  </si>
  <si>
    <t>791246767</t>
  </si>
  <si>
    <t>PQ4809 E75 N3814 1973</t>
  </si>
  <si>
    <t>0                      PQ 4809000E  75                 N  3814        1973</t>
  </si>
  <si>
    <t>Sans autre lieu que la nuit; roman.</t>
  </si>
  <si>
    <t>Paris, Éditions du Seuil [1973]</t>
  </si>
  <si>
    <t>307759045:fre</t>
  </si>
  <si>
    <t>763903</t>
  </si>
  <si>
    <t>ocm00763903</t>
  </si>
  <si>
    <t>30006183116</t>
  </si>
  <si>
    <t>791465012</t>
  </si>
  <si>
    <t>PQ4809 E75 R53</t>
  </si>
  <si>
    <t>0                      PQ 4809000E  75                 R  53</t>
  </si>
  <si>
    <t>Remorse. Translated from the Italian by William Weaver.</t>
  </si>
  <si>
    <t>Garden City, N.Y., Doubleday, 1967.</t>
  </si>
  <si>
    <t>[1st ed.].</t>
  </si>
  <si>
    <t>677123:eng</t>
  </si>
  <si>
    <t>1129667</t>
  </si>
  <si>
    <t>ocm01129667</t>
  </si>
  <si>
    <t>3000456208$</t>
  </si>
  <si>
    <t>791553486</t>
  </si>
  <si>
    <t>PQ4809 E75 2011</t>
  </si>
  <si>
    <t>0                      PQ 4809000E  75          2011</t>
  </si>
  <si>
    <t>Romanzi / Alba De Céspedes ; a cura e con un saggio introduttivo di Marina Zancan.</t>
  </si>
  <si>
    <t>De Céspedes, Alba, 1911-1997, author.</t>
  </si>
  <si>
    <t>Milano : A. Mondadori, 2011.</t>
  </si>
  <si>
    <t>2909351473:ita</t>
  </si>
  <si>
    <t>712777557</t>
  </si>
  <si>
    <t>ocn712777557</t>
  </si>
  <si>
    <t>3103125514S</t>
  </si>
  <si>
    <t>9788804604785</t>
  </si>
  <si>
    <t>794872208</t>
  </si>
  <si>
    <t>PQ4809 H33 U9</t>
  </si>
  <si>
    <t>0                      PQ 4809000H  33                 U  9</t>
  </si>
  <si>
    <t>L'uovo al cianuro e altre storie.</t>
  </si>
  <si>
    <t>Chiara, Piero.</t>
  </si>
  <si>
    <t>[Milano], A. Mondadori, 1969.</t>
  </si>
  <si>
    <t>Scrittori Haliani e stranieri</t>
  </si>
  <si>
    <t>359869280:ita</t>
  </si>
  <si>
    <t>1337680</t>
  </si>
  <si>
    <t>ocm01337680</t>
  </si>
  <si>
    <t>3000202360K</t>
  </si>
  <si>
    <t>791603847</t>
  </si>
  <si>
    <t>PQ4809 H45 H4 1974</t>
  </si>
  <si>
    <t>0                      PQ 4809000H  45                 H  4           1974</t>
  </si>
  <si>
    <t>Hermaphrodito / Alberto Savinio [i.e. A. De Chirico] ; con una nota di Giancarlo Roscioni.</t>
  </si>
  <si>
    <t>Savinio, Alberto, 1891-1952.</t>
  </si>
  <si>
    <t>Torino : G. Einaudi, [1974]</t>
  </si>
  <si>
    <t>Einaudi letteratura ; 36</t>
  </si>
  <si>
    <t>4238102:ita</t>
  </si>
  <si>
    <t>2411115</t>
  </si>
  <si>
    <t>ocm02411115</t>
  </si>
  <si>
    <t>3100214437M</t>
  </si>
  <si>
    <t>792118396</t>
  </si>
  <si>
    <t>PQ4809 H45 N8 1977</t>
  </si>
  <si>
    <t>0                      PQ 4809000H  45                 N  8           1977</t>
  </si>
  <si>
    <t>Nuova enciclopedia / Alberto Savinio.</t>
  </si>
  <si>
    <t>Milano : Adelphi, 1977.</t>
  </si>
  <si>
    <t>Biblioteca Adelphi ; 70</t>
  </si>
  <si>
    <t>2016-03-13</t>
  </si>
  <si>
    <t>9649603:ita</t>
  </si>
  <si>
    <t>3293357</t>
  </si>
  <si>
    <t>ocm03293357</t>
  </si>
  <si>
    <t>30004361386</t>
  </si>
  <si>
    <t>792239591</t>
  </si>
  <si>
    <t>PQ4809 H45 T8 2011</t>
  </si>
  <si>
    <t>0                      PQ 4809000H  45                 T  8           2011</t>
  </si>
  <si>
    <t>Tutta la vita / Alberto Savinio ; a cura di Paola Italia.</t>
  </si>
  <si>
    <t>Milano : Adelphi, ©2011.</t>
  </si>
  <si>
    <t>Piccola biblioteca Adelphi ; 613</t>
  </si>
  <si>
    <t>10356759:ita</t>
  </si>
  <si>
    <t>730397657</t>
  </si>
  <si>
    <t>ocn730397657</t>
  </si>
  <si>
    <t>31035568329</t>
  </si>
  <si>
    <t>9788845925849</t>
  </si>
  <si>
    <t>794879987</t>
  </si>
  <si>
    <t>PQ4809 H45 Z79 2011</t>
  </si>
  <si>
    <t>0                      PQ 4809000H  45                 Z  79          2011</t>
  </si>
  <si>
    <t>Alberto Savinio : scrittore ipocrita e privo di scopo / Walter Pedullà ; due testimonianze di Ruggero Savinio.</t>
  </si>
  <si>
    <t>Pedullà, Walter.</t>
  </si>
  <si>
    <t>Villorba (Treviso) : Anordest, 2011.</t>
  </si>
  <si>
    <t>22317035:ita</t>
  </si>
  <si>
    <t>758438883</t>
  </si>
  <si>
    <t>ocn758438883</t>
  </si>
  <si>
    <t>3103125547M</t>
  </si>
  <si>
    <t>9788896742457</t>
  </si>
  <si>
    <t>794896418</t>
  </si>
  <si>
    <t>PQ4811 E6 A15 1971</t>
  </si>
  <si>
    <t>0                      PQ 4811000E  6                  A  15          1971</t>
  </si>
  <si>
    <t>Romanzi e novelle / Grazia Deledda ; a cura di Natalino Sapegno.</t>
  </si>
  <si>
    <t>Deledda, Grazia, 1871-1936.</t>
  </si>
  <si>
    <t>Milano : Arnoldo Mondadori, 1971.</t>
  </si>
  <si>
    <t>I Meridiani.</t>
  </si>
  <si>
    <t>7805373:ita</t>
  </si>
  <si>
    <t>3288344</t>
  </si>
  <si>
    <t>ocm03288344</t>
  </si>
  <si>
    <t>3000629355C</t>
  </si>
  <si>
    <t>9788804096740</t>
  </si>
  <si>
    <t>792239115</t>
  </si>
  <si>
    <t>PQ4811 E6 A6 1996</t>
  </si>
  <si>
    <t>0                      PQ 4811000E  6                  A  6           1996</t>
  </si>
  <si>
    <t>Novelle / Grazia Deledda ; a cura di Giovanna Cerina.</t>
  </si>
  <si>
    <t>Nuoro : Ilisso, ©1996.</t>
  </si>
  <si>
    <t>Bibliotheca sarda ; n. 7-12</t>
  </si>
  <si>
    <t>2863805053:ita</t>
  </si>
  <si>
    <t>37568891</t>
  </si>
  <si>
    <t>ocm37568891</t>
  </si>
  <si>
    <t>3101830524M</t>
  </si>
  <si>
    <t>9788885098503</t>
  </si>
  <si>
    <t>793501761</t>
  </si>
  <si>
    <t>3101830521S</t>
  </si>
  <si>
    <t>793501762</t>
  </si>
  <si>
    <t>3101830520U</t>
  </si>
  <si>
    <t>793501764</t>
  </si>
  <si>
    <t>3101830528E</t>
  </si>
  <si>
    <t>793501760</t>
  </si>
  <si>
    <t>3101830532N</t>
  </si>
  <si>
    <t>793501759</t>
  </si>
  <si>
    <t>3101830525K</t>
  </si>
  <si>
    <t>793501763</t>
  </si>
  <si>
    <t>PQ4811 E6 C213 1999</t>
  </si>
  <si>
    <t>0                      PQ 4811000E  6                  C  213         1999</t>
  </si>
  <si>
    <t>Reeds in the wind / Grazia Deledda ; translated by Martha King ; introduction by Dolores Turchi.</t>
  </si>
  <si>
    <t>New York : Italica Press, ©1999.</t>
  </si>
  <si>
    <t>2018-03-05</t>
  </si>
  <si>
    <t>657281:eng</t>
  </si>
  <si>
    <t>37819965</t>
  </si>
  <si>
    <t>ocm37819965</t>
  </si>
  <si>
    <t>3102168600F</t>
  </si>
  <si>
    <t>9780934977630</t>
  </si>
  <si>
    <t>793507779</t>
  </si>
  <si>
    <t>PQ4811 E6 C4 1921</t>
  </si>
  <si>
    <t>0                      PQ 4811000E  6                  C  4           1921</t>
  </si>
  <si>
    <t>Chiaroscuro; novelle di Grazia Deledda.</t>
  </si>
  <si>
    <t>Milano, Fratelli Treves [1921]</t>
  </si>
  <si>
    <t>3537915:ita</t>
  </si>
  <si>
    <t>10838141</t>
  </si>
  <si>
    <t>ocm10838141</t>
  </si>
  <si>
    <t>31037738126</t>
  </si>
  <si>
    <t>792745947</t>
  </si>
  <si>
    <t>PQ4811 E6 C45 1978</t>
  </si>
  <si>
    <t>0                      PQ 4811000E  6                  C  45          1978</t>
  </si>
  <si>
    <t>La chiesa della solitudine / Grazia Deledda ; introduzione di Vittorio Spinazzola.</t>
  </si>
  <si>
    <t>1. ed. Oscar.</t>
  </si>
  <si>
    <t>Gli Oscar ; 839</t>
  </si>
  <si>
    <t>954245:ita</t>
  </si>
  <si>
    <t>4464781</t>
  </si>
  <si>
    <t>ocm04464781</t>
  </si>
  <si>
    <t>3000468720A</t>
  </si>
  <si>
    <t>9788804148418</t>
  </si>
  <si>
    <t>792352148</t>
  </si>
  <si>
    <t>PQ4811 E6 C64 1937</t>
  </si>
  <si>
    <t>0                      PQ 4811000E  6                  C  64          1937</t>
  </si>
  <si>
    <t>Cosima. Con 17 illustrazioni.</t>
  </si>
  <si>
    <t>Milano, Fratelli Treves [1937]</t>
  </si>
  <si>
    <t>1937</t>
  </si>
  <si>
    <t>1329380:ita</t>
  </si>
  <si>
    <t>3502401</t>
  </si>
  <si>
    <t>ocm03502401</t>
  </si>
  <si>
    <t>3000382003Q</t>
  </si>
  <si>
    <t>792261859</t>
  </si>
  <si>
    <t>PQ4811 E6 C6413 1988</t>
  </si>
  <si>
    <t>0                      PQ 4811000E  6                  C  6413        1988</t>
  </si>
  <si>
    <t>Cosima / Grazia Deledda ; translated from the Italian by Martha King.</t>
  </si>
  <si>
    <t>New York : Italica Press, 1988.</t>
  </si>
  <si>
    <t>1329380:eng</t>
  </si>
  <si>
    <t>16527836</t>
  </si>
  <si>
    <t>ocm16527836</t>
  </si>
  <si>
    <t>30005370354</t>
  </si>
  <si>
    <t>9780934977067</t>
  </si>
  <si>
    <t>792965063</t>
  </si>
  <si>
    <t>PQ4811 E6 D19 1982</t>
  </si>
  <si>
    <t>0                      PQ 4811000E  6                  D  19          1982</t>
  </si>
  <si>
    <t>La danza della collana / Grazia Deledda ; introduzione di Anna Dolfi.</t>
  </si>
  <si>
    <t>Milano : Arnoldo Mondadori, 1982.</t>
  </si>
  <si>
    <t>Oscar ; 1549</t>
  </si>
  <si>
    <t>504311383:ita</t>
  </si>
  <si>
    <t>10454424</t>
  </si>
  <si>
    <t>ocm10454424</t>
  </si>
  <si>
    <t>30003616275</t>
  </si>
  <si>
    <t>792727009</t>
  </si>
  <si>
    <t>PQ4811 E6 D5 1922</t>
  </si>
  <si>
    <t>0                      PQ 4811000E  6                  D  5           1922</t>
  </si>
  <si>
    <t>Il Dio dei viventi : romanzo / Grazia Deledda.</t>
  </si>
  <si>
    <t>Milano : Fratelli Treves, 1922.</t>
  </si>
  <si>
    <t>6190193:ita</t>
  </si>
  <si>
    <t>2739001</t>
  </si>
  <si>
    <t>ocm02739001</t>
  </si>
  <si>
    <t>31030475704</t>
  </si>
  <si>
    <t>792170267</t>
  </si>
  <si>
    <t>PQ4811 E6 F5 1923</t>
  </si>
  <si>
    <t>0                      PQ 4811000E  6                  F  5           1923</t>
  </si>
  <si>
    <t>Fior di Sardegna : romanzo / Grazia Deledda.</t>
  </si>
  <si>
    <t>Milano : Modernissima, 1923.</t>
  </si>
  <si>
    <t>1923</t>
  </si>
  <si>
    <t>3538526:ita</t>
  </si>
  <si>
    <t>9348495</t>
  </si>
  <si>
    <t>ocm09348495</t>
  </si>
  <si>
    <t>31030475616</t>
  </si>
  <si>
    <t>792671312</t>
  </si>
  <si>
    <t>PQ4811 E6 M3 1964</t>
  </si>
  <si>
    <t>0                      PQ 4811000E  6                  M  3           1964</t>
  </si>
  <si>
    <t>Marianna Sirca / Grazia Deledda.</t>
  </si>
  <si>
    <t>[Verona] : A. Mondadori, 1964.</t>
  </si>
  <si>
    <t>Biblioteca moderna Mondadori ; v. 126</t>
  </si>
  <si>
    <t>4922525847:ita</t>
  </si>
  <si>
    <t>10601384</t>
  </si>
  <si>
    <t>ocm10601384</t>
  </si>
  <si>
    <t>3000796701M</t>
  </si>
  <si>
    <t>792733743</t>
  </si>
  <si>
    <t>PQ4811 E6 M313 2006</t>
  </si>
  <si>
    <t>0                      PQ 4811000E  6                  M  313         2006</t>
  </si>
  <si>
    <t>Marianna Sirca / Grazia Deledda ; translated and with an introduction by Jan Kozma.</t>
  </si>
  <si>
    <t>Madison, NJ : Fairleigh Dickinson University Press, 2006.</t>
  </si>
  <si>
    <t>4922525847:eng</t>
  </si>
  <si>
    <t>62290586</t>
  </si>
  <si>
    <t>ocm62290586</t>
  </si>
  <si>
    <t>3102584808F</t>
  </si>
  <si>
    <t>9780838640685</t>
  </si>
  <si>
    <t>794103878</t>
  </si>
  <si>
    <t>PQ4811 E6 M3313 1987</t>
  </si>
  <si>
    <t>0                      PQ 4811000E  6                  M  3313        1987</t>
  </si>
  <si>
    <t>La Madre : (The woman and the priest), or, The mother / Grazia Deledda ; translated by M.G. Steegman ; foreword by D.H. Lawrence ; with an introduction and chronology by Eric Lane.</t>
  </si>
  <si>
    <t>London : Dedalus, 1987.</t>
  </si>
  <si>
    <t>Dedalus European classics.</t>
  </si>
  <si>
    <t>2016-05-12</t>
  </si>
  <si>
    <t>553893:eng</t>
  </si>
  <si>
    <t>14967097</t>
  </si>
  <si>
    <t>ocm14967097</t>
  </si>
  <si>
    <t>3000536577A</t>
  </si>
  <si>
    <t>9780946626205</t>
  </si>
  <si>
    <t>792915337</t>
  </si>
  <si>
    <t>PQ4811 E6 N5 1900z</t>
  </si>
  <si>
    <t>0                      PQ 4811000E  6                  N  5           1900z</t>
  </si>
  <si>
    <t>Il nonno, novelle.</t>
  </si>
  <si>
    <t>Roma, Nuova antologia [1908]</t>
  </si>
  <si>
    <t>1908</t>
  </si>
  <si>
    <t>Biblioteca della Nuova antologia, 18</t>
  </si>
  <si>
    <t>385067268:ita</t>
  </si>
  <si>
    <t>8411778</t>
  </si>
  <si>
    <t>ocm08411778</t>
  </si>
  <si>
    <t>31030475734</t>
  </si>
  <si>
    <t>792618079</t>
  </si>
  <si>
    <t>PQ4811 E6 N7 1928</t>
  </si>
  <si>
    <t>0                      PQ 4811000E  6                  N  7           1928</t>
  </si>
  <si>
    <t>Il nostro padrone / romanzo di Grazia Deledda.</t>
  </si>
  <si>
    <t>Milano : Fratelli Treves, [1928]</t>
  </si>
  <si>
    <t>423099235:ita</t>
  </si>
  <si>
    <t>427226243</t>
  </si>
  <si>
    <t>ocn427226243</t>
  </si>
  <si>
    <t>3100950287$</t>
  </si>
  <si>
    <t>794547291</t>
  </si>
  <si>
    <t>PQ4811 E6 R64 1981</t>
  </si>
  <si>
    <t>0                      PQ 4811000E  6                  R  64          1981</t>
  </si>
  <si>
    <t>Romanzi sardi / [di] Grazia Deledda ; a cura di Vittorio Spinazzola.</t>
  </si>
  <si>
    <t>30195177:ita</t>
  </si>
  <si>
    <t>8016533</t>
  </si>
  <si>
    <t>ocm08016533</t>
  </si>
  <si>
    <t>3000328905T</t>
  </si>
  <si>
    <t>9788804186359</t>
  </si>
  <si>
    <t>792593351</t>
  </si>
  <si>
    <t>PQ4811 E6 S5 1980</t>
  </si>
  <si>
    <t>0                      PQ 4811000E  6                  S  5           1980</t>
  </si>
  <si>
    <t>Sino al confine / Grazia Deledda ; introduzione di Anna Dolfi.</t>
  </si>
  <si>
    <t>Milano : A. Mondadori, 1980, ©1955.</t>
  </si>
  <si>
    <t>Gli Oscar ; 1291. Oscar narrativa ; 352</t>
  </si>
  <si>
    <t>9621708402:ita</t>
  </si>
  <si>
    <t>8606854</t>
  </si>
  <si>
    <t>ocm08606854</t>
  </si>
  <si>
    <t>30003316022</t>
  </si>
  <si>
    <t>792629958</t>
  </si>
  <si>
    <t>PQ4811 E6 T4</t>
  </si>
  <si>
    <t>0                      PQ 4811000E  6                  T  4</t>
  </si>
  <si>
    <t>Il tesoro degli zingari e altre novelle.</t>
  </si>
  <si>
    <t>Milano] Mondadori 1965.</t>
  </si>
  <si>
    <t>[2 ed.</t>
  </si>
  <si>
    <t>Collana "Narrativa Moderna", no. 4</t>
  </si>
  <si>
    <t>373873221:ita</t>
  </si>
  <si>
    <t>12284978</t>
  </si>
  <si>
    <t>ocm12284978</t>
  </si>
  <si>
    <t>3000323835C</t>
  </si>
  <si>
    <t>792808835</t>
  </si>
  <si>
    <t>PQ4811 E6 Z66 2007</t>
  </si>
  <si>
    <t>0                      PQ 4811000E  6                  Z  66          2007</t>
  </si>
  <si>
    <t>Chi ha paura di Grazia Deledda? : traduzione, ricezione, comparazione / a cura di Monica Farnetti ; con la collaborazione di Marta Galiñanes ; [Cristina Bracchi and others].</t>
  </si>
  <si>
    <t>Pavona di Albano Laziale (Roma) : Iacobelli, 2010.</t>
  </si>
  <si>
    <t>Workshop ; 6</t>
  </si>
  <si>
    <t>903306846:ita</t>
  </si>
  <si>
    <t>668179275</t>
  </si>
  <si>
    <t>ocn668179275</t>
  </si>
  <si>
    <t>3103125166U</t>
  </si>
  <si>
    <t>9788862520690</t>
  </si>
  <si>
    <t>794845907</t>
  </si>
  <si>
    <t>PQ4811 E6 Z6715 2010</t>
  </si>
  <si>
    <t>0                      PQ 4811000E  6                  Z  6715        2010</t>
  </si>
  <si>
    <t>Dalla quercia del monte al cedro del Libano : le novelle di Grazia Deledda / a cura di Giovanni Pirodda.</t>
  </si>
  <si>
    <t>Nuoro : ISRE Edizioni ; Cagliari : AIPSA Edizioni, 2010.</t>
  </si>
  <si>
    <t>1075145641:ita</t>
  </si>
  <si>
    <t>773668495</t>
  </si>
  <si>
    <t>ocn773668495</t>
  </si>
  <si>
    <t>3103125709O</t>
  </si>
  <si>
    <t>9788896094167</t>
  </si>
  <si>
    <t>794905860</t>
  </si>
  <si>
    <t>PQ4811 E6 Z7338 2011</t>
  </si>
  <si>
    <t>0                      PQ 4811000E  6                  Z  7338        2011</t>
  </si>
  <si>
    <t>Grazia Deledda e la "piccola avanguardia romana" / Dubravka Dubravec Labas.</t>
  </si>
  <si>
    <t>Dubravec Labaš, Dubravka.</t>
  </si>
  <si>
    <t>Lingue e letterature Carocci ; 123</t>
  </si>
  <si>
    <t>916976707:ita</t>
  </si>
  <si>
    <t>732280459</t>
  </si>
  <si>
    <t>ocn732280459</t>
  </si>
  <si>
    <t>3103125430R</t>
  </si>
  <si>
    <t>9788843060665</t>
  </si>
  <si>
    <t>794881226</t>
  </si>
  <si>
    <t>PQ4811 E6 Z737 2010</t>
  </si>
  <si>
    <t>0                      PQ 4811000E  6                  Z  737         2010</t>
  </si>
  <si>
    <t>Il fantasma di Grazia : i narratori parlano di Grazia Deledda / a cura di Duilio Caocci.</t>
  </si>
  <si>
    <t>Nuoro : ISRE ; Cagliari : Aipsa, 2010.</t>
  </si>
  <si>
    <t>1075145644:ita</t>
  </si>
  <si>
    <t>773668497</t>
  </si>
  <si>
    <t>ocn773668497</t>
  </si>
  <si>
    <t>3103125708O</t>
  </si>
  <si>
    <t>9788896094143</t>
  </si>
  <si>
    <t>794905861</t>
  </si>
  <si>
    <t>PQ4811 E6 Z738 2010</t>
  </si>
  <si>
    <t>0                      PQ 4811000E  6                  Z  738         2010</t>
  </si>
  <si>
    <t>I romanzi cervesi di Grazia Deledda / Elena Gagliardi.</t>
  </si>
  <si>
    <t>Gagliardi, Elena, 1972-</t>
  </si>
  <si>
    <t>Ravenna : Longo, ©2010.</t>
  </si>
  <si>
    <t>L'interprete ; 100</t>
  </si>
  <si>
    <t>510260191:ita</t>
  </si>
  <si>
    <t>646832774</t>
  </si>
  <si>
    <t>ocn646832774</t>
  </si>
  <si>
    <t>3103125135$</t>
  </si>
  <si>
    <t>9788880636533</t>
  </si>
  <si>
    <t>794830663</t>
  </si>
  <si>
    <t>PQ4811 E6 Z745 2012</t>
  </si>
  <si>
    <t>0                      PQ 4811000E  6                  Z  745         2012</t>
  </si>
  <si>
    <t>Il doppio segno della scrittura : Deledda e oltre / Angela Guiso ; prefazione di Sandro Maxia.</t>
  </si>
  <si>
    <t>Guiso, Angela.</t>
  </si>
  <si>
    <t>Sassari : C. Delfino, ©2012.</t>
  </si>
  <si>
    <t>La voce delle muse</t>
  </si>
  <si>
    <t>1180969528:ita</t>
  </si>
  <si>
    <t>817538809</t>
  </si>
  <si>
    <t>ocn817538809</t>
  </si>
  <si>
    <t>31031259990</t>
  </si>
  <si>
    <t>9788871386768</t>
  </si>
  <si>
    <t>794933491</t>
  </si>
  <si>
    <t>PQ4811 E6 Z7453 2010</t>
  </si>
  <si>
    <t>0                      PQ 4811000E  6                  Z  7453        2010</t>
  </si>
  <si>
    <t>Grazia Deledda e la solitudine del segreto : atti del convegno nazionale di studi, Sassari, 10-12 ottobre 2007 / a cura di Marco Manotta e Aldo Maria Morace.</t>
  </si>
  <si>
    <t>Nuoro : ISRE, ©2010.</t>
  </si>
  <si>
    <t>916975261:ita</t>
  </si>
  <si>
    <t>732279842</t>
  </si>
  <si>
    <t>ocn732279842</t>
  </si>
  <si>
    <t>3103125622N</t>
  </si>
  <si>
    <t>9788896094129</t>
  </si>
  <si>
    <t>794881214</t>
  </si>
  <si>
    <t>PQ4811 E6 Z779 2010</t>
  </si>
  <si>
    <t>0                      PQ 4811000E  6                  Z  779         2010</t>
  </si>
  <si>
    <t>Le tradizioni popolari in Grazia Deledda / Benvenuta Piredda.</t>
  </si>
  <si>
    <t>Piredda, Benvenuta, 1920-</t>
  </si>
  <si>
    <t>Sassari : EDES, 2010.</t>
  </si>
  <si>
    <t>694997327:ita</t>
  </si>
  <si>
    <t>679933769</t>
  </si>
  <si>
    <t>ocn679933769</t>
  </si>
  <si>
    <t>3103125229Z</t>
  </si>
  <si>
    <t>9788860251565</t>
  </si>
  <si>
    <t>794850845</t>
  </si>
  <si>
    <t>PQ4811 E67 M5 2011</t>
  </si>
  <si>
    <t>0                      PQ 4811000E  67                 M  5           2011</t>
  </si>
  <si>
    <t>Le carte di Michele Boschino / Giuseppe Dessì ; edizione critica a cura di Dino Manca.</t>
  </si>
  <si>
    <t>Dessì, Giuseppe, 1909-1977.</t>
  </si>
  <si>
    <t>Sassari : Centro di studi filologici sardi ; Cagliari : CUEC, 2011.</t>
  </si>
  <si>
    <t>Scrittori sardi</t>
  </si>
  <si>
    <t>3861655193:ita</t>
  </si>
  <si>
    <t>798053184</t>
  </si>
  <si>
    <t>ocn798053184</t>
  </si>
  <si>
    <t>3103125838F</t>
  </si>
  <si>
    <t>9788884677082</t>
  </si>
  <si>
    <t>794923009</t>
  </si>
  <si>
    <t>PQ4811 E67 N45 2011</t>
  </si>
  <si>
    <t>0                      PQ 4811000E  67                 N  45          2011</t>
  </si>
  <si>
    <t>Nell'ombra che la lucerna proiettava sul muro : soggetti, trattamenti e sceneggiature cinematografiche e televisive, 1948-1972 / Giuseppe Dessì ; a cura di Gianni Olla.</t>
  </si>
  <si>
    <t>Cagliari : CUEC, 2011.</t>
  </si>
  <si>
    <t>1042838185:ita</t>
  </si>
  <si>
    <t>760053749</t>
  </si>
  <si>
    <t>ocn760053749</t>
  </si>
  <si>
    <t>3103125575G</t>
  </si>
  <si>
    <t>9788884676702</t>
  </si>
  <si>
    <t>794898164</t>
  </si>
  <si>
    <t>PQ4811 E67 Z46 2012</t>
  </si>
  <si>
    <t>0                      PQ 4811000E  67                 Z  46          2012</t>
  </si>
  <si>
    <t>A Giuseppe Dessì : lettere editoriali e altra corrispondenza / a cura di Francesca Nencioni ; con un'appendice di lettere inedite a cura di Monica Graceffa.</t>
  </si>
  <si>
    <t>Firenze, Italy : Firenze University Press, ©2012.</t>
  </si>
  <si>
    <t>Fonti storiche e letterarie. Edizioni cartacee e digitali ; 34</t>
  </si>
  <si>
    <t>1183335956:ita</t>
  </si>
  <si>
    <t>819378217</t>
  </si>
  <si>
    <t>ocn819378217</t>
  </si>
  <si>
    <t>31031259842</t>
  </si>
  <si>
    <t>9788866551515</t>
  </si>
  <si>
    <t>794934472</t>
  </si>
  <si>
    <t>PQ4811 E67 Z48 2015</t>
  </si>
  <si>
    <t>0                      PQ 4811000E  67                 Z  48          2015</t>
  </si>
  <si>
    <t>Lettere, 1935-1972 : con una raccolta di racconti dispersi / Giuseppe Dessí - Enrico Falqui ; a cura di Alberto Baldi.</t>
  </si>
  <si>
    <t>Moderna/comparata ; 9</t>
  </si>
  <si>
    <t>2620169753:ita</t>
  </si>
  <si>
    <t>921144369</t>
  </si>
  <si>
    <t>ocn921144369</t>
  </si>
  <si>
    <t>31036227264</t>
  </si>
  <si>
    <t>9788866557708</t>
  </si>
  <si>
    <t>795002914</t>
  </si>
  <si>
    <t>PQ4811 E67 Z76 2010</t>
  </si>
  <si>
    <t>0                      PQ 4811000E  67                 Z  76          2010</t>
  </si>
  <si>
    <t>Narrativa breve, cinema e tv : Giuseppe Dessì e altri protagonisti del Novecento : atti del Seminario di studi Giuseppe Dessì e la forma breve (Cagliari, 27-28 maggio 2010), Rassegna di film e approfondimenti Giuseppe Dessì tra cinema e tv (Cagliari, 18 maggio-8 giugno 2010) / a cura di Valeria Pala e Antonello Zanda.</t>
  </si>
  <si>
    <t>Seminario di studi Giuseppe Dessì e la forma breve (2010 : Cagliari, Italy)</t>
  </si>
  <si>
    <t>Euro-Ispanica ; 22</t>
  </si>
  <si>
    <t>1043220533:ita</t>
  </si>
  <si>
    <t>759991482</t>
  </si>
  <si>
    <t>ocn759991482</t>
  </si>
  <si>
    <t>3103125551K</t>
  </si>
  <si>
    <t>9788878705906</t>
  </si>
  <si>
    <t>794898130</t>
  </si>
  <si>
    <t>PQ4815 A3 A8 1982</t>
  </si>
  <si>
    <t>0                      PQ 4815000A  3                  A  8           1982</t>
  </si>
  <si>
    <t>Amo, dunque sono / Sibilla Aleramo ; introduzione di Gilberto Finzi.</t>
  </si>
  <si>
    <t>Aleramo, Sibilla, 1876-1960.</t>
  </si>
  <si>
    <t>Milano : A. Mondadori, 1982.</t>
  </si>
  <si>
    <t>Oscar narrativa ; 1526</t>
  </si>
  <si>
    <t>2015-04-25</t>
  </si>
  <si>
    <t>2904671:ita</t>
  </si>
  <si>
    <t>10506724</t>
  </si>
  <si>
    <t>ocm10506724</t>
  </si>
  <si>
    <t>3000362109M</t>
  </si>
  <si>
    <t>792729505</t>
  </si>
  <si>
    <t>PQ4815 A3 D6 2009</t>
  </si>
  <si>
    <t>0                      PQ 4815000A  3                  D  6           2009</t>
  </si>
  <si>
    <t>Una donna : romanzo / Sibilla Aleramo ; prefazione di Anna Folli ; postfazione di Emilio Cecchi.</t>
  </si>
  <si>
    <t>Aleramo, Sibilla, 1876-1960, author.</t>
  </si>
  <si>
    <t>Milano : Feltrinelli, 2009.</t>
  </si>
  <si>
    <t>Nuova ed. (52. ed.).</t>
  </si>
  <si>
    <t>Universale economica Feltrinelli ; 1036</t>
  </si>
  <si>
    <t>502179:ita</t>
  </si>
  <si>
    <t>567549116</t>
  </si>
  <si>
    <t>ocn567549116</t>
  </si>
  <si>
    <t>3103294548M</t>
  </si>
  <si>
    <t>9788807810367</t>
  </si>
  <si>
    <t>794813354</t>
  </si>
  <si>
    <t>PQ4815 A3 D613</t>
  </si>
  <si>
    <t>0                      PQ 4815000A  3                  D  613</t>
  </si>
  <si>
    <t>A woman / Sibilla Aleramo ; translated by Rosalind Delmar ; with an introduction by Richard Drake.</t>
  </si>
  <si>
    <t>Berkeley : University of California Press, [1980]</t>
  </si>
  <si>
    <t>2018-11-05</t>
  </si>
  <si>
    <t>502179:eng</t>
  </si>
  <si>
    <t>6421514</t>
  </si>
  <si>
    <t>ocm06421514</t>
  </si>
  <si>
    <t>30001544951</t>
  </si>
  <si>
    <t>9780520041080</t>
  </si>
  <si>
    <t>792497916</t>
  </si>
  <si>
    <t>2000-12-05</t>
  </si>
  <si>
    <t>3000329100T</t>
  </si>
  <si>
    <t>792497915</t>
  </si>
  <si>
    <t>PQ4815 A38 Z48 2015</t>
  </si>
  <si>
    <t>0                      PQ 4815000A  38                 Z  48          2015</t>
  </si>
  <si>
    <t>Leonardo Sciascia/Mario Dell'Arco : il "regnicolo" e il "quarto grande" : carteggio 1949-1974 / a cura di Franco Onorati ; prefazione di Marcello Teodonio ; postilla di Marcello Fagiolo dell'Arco ; cura redazionale di Carolina Marconi.</t>
  </si>
  <si>
    <t>Roma : Gangemi editore SpA international Publishing, [2015]</t>
  </si>
  <si>
    <t>Fondo dell'Arco ; 4</t>
  </si>
  <si>
    <t>2936159144:ita</t>
  </si>
  <si>
    <t>933228913</t>
  </si>
  <si>
    <t>ocn933228913</t>
  </si>
  <si>
    <t>3103624260E</t>
  </si>
  <si>
    <t>9788849231342</t>
  </si>
  <si>
    <t>795008922</t>
  </si>
  <si>
    <t>PQ4815 E63 P3 1968</t>
  </si>
  <si>
    <t>0                      PQ 4815000E  63                 P  3           1968</t>
  </si>
  <si>
    <t>Il partigiano Johnny.</t>
  </si>
  <si>
    <t>Fenoglio, Beppe, 1922-1963.</t>
  </si>
  <si>
    <t>Torino, Einaudi, 1968.</t>
  </si>
  <si>
    <t>[Ristampa].</t>
  </si>
  <si>
    <t>Gli struzzi ; 4</t>
  </si>
  <si>
    <t>2019-11-22</t>
  </si>
  <si>
    <t>9093973083:ita</t>
  </si>
  <si>
    <t>556319</t>
  </si>
  <si>
    <t>ocm00556319</t>
  </si>
  <si>
    <t>3000202365A</t>
  </si>
  <si>
    <t>791413377</t>
  </si>
  <si>
    <t>PQ4815 E63 P313 1995</t>
  </si>
  <si>
    <t>0                      PQ 4815000E  63                 P  313         1995</t>
  </si>
  <si>
    <t>Johnny the partisan / Beppe Fenoglio.</t>
  </si>
  <si>
    <t>London : Quartet, 1995.</t>
  </si>
  <si>
    <t>4919164371:eng</t>
  </si>
  <si>
    <t>32349659</t>
  </si>
  <si>
    <t>ocm32349659</t>
  </si>
  <si>
    <t>3101484738I</t>
  </si>
  <si>
    <t>9780704370784</t>
  </si>
  <si>
    <t>793381713</t>
  </si>
  <si>
    <t>PQ4815 E63 P334 1985</t>
  </si>
  <si>
    <t>0                      PQ 4815000E  63                 P  334         1985</t>
  </si>
  <si>
    <t>Come leggere Il partigiano Johnny di Beppe Fenoglio / Francesco De Nicola.</t>
  </si>
  <si>
    <t>De Nicola, Francesco.</t>
  </si>
  <si>
    <t>Milano : Mursia, ©1985.</t>
  </si>
  <si>
    <t>Come leggere ; 19</t>
  </si>
  <si>
    <t>7492030:ita</t>
  </si>
  <si>
    <t>13879639</t>
  </si>
  <si>
    <t>ocm13879639</t>
  </si>
  <si>
    <t>30005299254</t>
  </si>
  <si>
    <t>792870431</t>
  </si>
  <si>
    <t>PQ4815 E63 P7 2015</t>
  </si>
  <si>
    <t>0                      PQ 4815000E  63                 P  7           2015</t>
  </si>
  <si>
    <t>Il libro di Johnny / Beppe Fenoglio ; a cura di Gabriele Pedullà.</t>
  </si>
  <si>
    <t>Fenoglio, Beppe, 1922-1963, author.</t>
  </si>
  <si>
    <t>Torino : Einaudi, [2015]</t>
  </si>
  <si>
    <t>Letture Einaudi ; 62</t>
  </si>
  <si>
    <t>2588665135:ita</t>
  </si>
  <si>
    <t>922332117</t>
  </si>
  <si>
    <t>ocn922332117</t>
  </si>
  <si>
    <t>3103624728R</t>
  </si>
  <si>
    <t>9788806225438</t>
  </si>
  <si>
    <t>795003783</t>
  </si>
  <si>
    <t>PQ4815 E63 Q4 2006</t>
  </si>
  <si>
    <t>0                      PQ 4815000E  63                 Q  4           2006</t>
  </si>
  <si>
    <t>Una questione privata / Beppe Fenoglio ; introduzione de Gabriele Pedullà.</t>
  </si>
  <si>
    <t>Torino [Italy] : Einaudi, 2006.</t>
  </si>
  <si>
    <t>Super ET</t>
  </si>
  <si>
    <t>870463:ita</t>
  </si>
  <si>
    <t>123419164</t>
  </si>
  <si>
    <t>ocn123419164</t>
  </si>
  <si>
    <t>3103213006F</t>
  </si>
  <si>
    <t>9788806180751</t>
  </si>
  <si>
    <t>794227151</t>
  </si>
  <si>
    <t>PQ4815 E63 Q413 2006</t>
  </si>
  <si>
    <t>0                      PQ 4815000E  63                 Q  413         2006</t>
  </si>
  <si>
    <t>A private affair / Beppe Fenoglio ; translated by Howard Curtis.</t>
  </si>
  <si>
    <t>London : Hesperus, 2006.</t>
  </si>
  <si>
    <t>Modern voices</t>
  </si>
  <si>
    <t>2013-11-02</t>
  </si>
  <si>
    <t>2018-10-25</t>
  </si>
  <si>
    <t>870463:eng</t>
  </si>
  <si>
    <t>67375293</t>
  </si>
  <si>
    <t>ocm67375293</t>
  </si>
  <si>
    <t>3103285059$</t>
  </si>
  <si>
    <t>9781843914266</t>
  </si>
  <si>
    <t>794140491</t>
  </si>
  <si>
    <t>3102569213L</t>
  </si>
  <si>
    <t>794140490</t>
  </si>
  <si>
    <t>PQ4815 E63 V413 2002</t>
  </si>
  <si>
    <t>0                      PQ 4815000E  63                 V  413         2002</t>
  </si>
  <si>
    <t>The twenty-three days of the city of Alba : stories / Beppe Fenoglio ; translated by John Shepley.</t>
  </si>
  <si>
    <t>South Royalton, Vt. : Steerforth Italia, ©2002.</t>
  </si>
  <si>
    <t>2019-08-07</t>
  </si>
  <si>
    <t>3861517695:eng</t>
  </si>
  <si>
    <t>48619327</t>
  </si>
  <si>
    <t>ocm48619327</t>
  </si>
  <si>
    <t>3102200610J</t>
  </si>
  <si>
    <t>9781586420406</t>
  </si>
  <si>
    <t>793725037</t>
  </si>
  <si>
    <t>PQ4815 E63 Z5685 2011</t>
  </si>
  <si>
    <t>0                      PQ 4815000E  63                 Z  5685        2011</t>
  </si>
  <si>
    <t>Beppe Fenoglio : l'epica e il mito : atti delle giornate di studio e del corso di formazione organizzati dall'I.I.S. "Ciampini-Boccardo" di Novi Ligure (AL) / A.A.V.V.</t>
  </si>
  <si>
    <t>Novi Ligure [Alessandria] : Puntoacapo, [2011]</t>
  </si>
  <si>
    <t>Il cantiere ; 9</t>
  </si>
  <si>
    <t>5619701222:ita</t>
  </si>
  <si>
    <t>768397359</t>
  </si>
  <si>
    <t>ocn768397359</t>
  </si>
  <si>
    <t>3103125642J</t>
  </si>
  <si>
    <t>9788896020999</t>
  </si>
  <si>
    <t>794902289</t>
  </si>
  <si>
    <t>PQ4815 E63 Z58 2011</t>
  </si>
  <si>
    <t>0                      PQ 4815000E  63                 Z  58          2011</t>
  </si>
  <si>
    <t>Fenoglio / Roberto Bigazzi.</t>
  </si>
  <si>
    <t>Bigazzi, Roberto, 1939-</t>
  </si>
  <si>
    <t>Sestante ; 20</t>
  </si>
  <si>
    <t>2012-08-28</t>
  </si>
  <si>
    <t>5218306649:ita</t>
  </si>
  <si>
    <t>707459561</t>
  </si>
  <si>
    <t>ocn707459561</t>
  </si>
  <si>
    <t>3103125331U</t>
  </si>
  <si>
    <t>9788884027092</t>
  </si>
  <si>
    <t>794867745</t>
  </si>
  <si>
    <t>PQ4815 E63 Z586 2011</t>
  </si>
  <si>
    <t>0                      PQ 4815000E  63                 Z  586         2011</t>
  </si>
  <si>
    <t>La sfortuna in favore : saggi su Fenoglio / Valter Boggione.</t>
  </si>
  <si>
    <t>Boggione, Valter.</t>
  </si>
  <si>
    <t>Venezia : Marsilio ; Alba (Cuneo) : Fondazione Ferrero di Alba, 2011.</t>
  </si>
  <si>
    <t>774069983:ita</t>
  </si>
  <si>
    <t>699719765</t>
  </si>
  <si>
    <t>ocn699719765</t>
  </si>
  <si>
    <t>3103125365O</t>
  </si>
  <si>
    <t>9788831708029</t>
  </si>
  <si>
    <t>794861449</t>
  </si>
  <si>
    <t>PQ4815 E63 Z5935 2015</t>
  </si>
  <si>
    <t>0                      PQ 4815000E  63                 Z  5935        2015</t>
  </si>
  <si>
    <t>Ritratto di Fenoglio da scrittore / Alberto Casadei.</t>
  </si>
  <si>
    <t>Casadei, Alberto, author.</t>
  </si>
  <si>
    <t>Obliqui, 2420-840X ; 42</t>
  </si>
  <si>
    <t>2534202806:ita</t>
  </si>
  <si>
    <t>910505683</t>
  </si>
  <si>
    <t>ocn910505683</t>
  </si>
  <si>
    <t>31036360193</t>
  </si>
  <si>
    <t>9788846741691</t>
  </si>
  <si>
    <t>794996216</t>
  </si>
  <si>
    <t>PQ4815 E63 Z726 2017</t>
  </si>
  <si>
    <t>0                      PQ 4815000E  63                 Z  726         2017</t>
  </si>
  <si>
    <t>Fenoglio : il "libro grosso" in frantumi / Elio Gioanola.</t>
  </si>
  <si>
    <t>Milano : Jaca Book, gennaio 2017.</t>
  </si>
  <si>
    <t>4218899548:ita</t>
  </si>
  <si>
    <t>1003358108</t>
  </si>
  <si>
    <t>on1003358108</t>
  </si>
  <si>
    <t>3103721129K</t>
  </si>
  <si>
    <t>9788816413887</t>
  </si>
  <si>
    <t>795041580</t>
  </si>
  <si>
    <t>PQ4815 E63 Z81 2012</t>
  </si>
  <si>
    <t>0                      PQ 4815000E  63                 Z  81          2012</t>
  </si>
  <si>
    <t>Beppe Fenoglio : la scrittura e il corpo / Nunzia Palmieri.</t>
  </si>
  <si>
    <t>Palmieri, Nunzia.</t>
  </si>
  <si>
    <t>La nuova meridiana ; 75</t>
  </si>
  <si>
    <t>1121686843:ita</t>
  </si>
  <si>
    <t>796780749</t>
  </si>
  <si>
    <t>ocn796780749</t>
  </si>
  <si>
    <t>3103125822H</t>
  </si>
  <si>
    <t>9788860875594</t>
  </si>
  <si>
    <t>794922371</t>
  </si>
  <si>
    <t>PQ4815 E63 Z877 2015</t>
  </si>
  <si>
    <t>0                      PQ 4815000E  63                 Z  877         2015</t>
  </si>
  <si>
    <t>"Nel ghiaccio e nella tenebra" : paesaggio, corpo e identità nella narrativa di Beppe Fenoglio / Veronica Pesce.</t>
  </si>
  <si>
    <t>Pesce, Veronica, author.</t>
  </si>
  <si>
    <t>Studi e testi di cultura letteraria ; 9</t>
  </si>
  <si>
    <t>2505551479:ita</t>
  </si>
  <si>
    <t>908024517</t>
  </si>
  <si>
    <t>ocn908024517</t>
  </si>
  <si>
    <t>3103628088H</t>
  </si>
  <si>
    <t>9788896117507</t>
  </si>
  <si>
    <t>794994094</t>
  </si>
  <si>
    <t>PQ4815 E63 Z882 2011</t>
  </si>
  <si>
    <t>0                      PQ 4815000E  63                 Z  882         2011</t>
  </si>
  <si>
    <t>Beppe Fenoglio e la Bibbia : il culto rigoroso della libertà / Marialuigia Sipione.</t>
  </si>
  <si>
    <t>Sipione, Marialuigia.</t>
  </si>
  <si>
    <t>Firenze : F. Cesati editore, 2011.</t>
  </si>
  <si>
    <t>Studi e testi di letteratura italiana e comparata ; 1</t>
  </si>
  <si>
    <t>982019043:ita</t>
  </si>
  <si>
    <t>745971012</t>
  </si>
  <si>
    <t>ocn745971012</t>
  </si>
  <si>
    <t>3103125515S</t>
  </si>
  <si>
    <t>9788876674150</t>
  </si>
  <si>
    <t>794886771</t>
  </si>
  <si>
    <t>PQ4815 E63 Z925 2010</t>
  </si>
  <si>
    <t>0                      PQ 4815000E  63                 Z  925         2010</t>
  </si>
  <si>
    <t>Beppe Fenoglio : il paese / Lanfranco Ugona.</t>
  </si>
  <si>
    <t>Ugona, Lanfranco.</t>
  </si>
  <si>
    <t>Torino : Edizioni Angolo Manzoni, 2010.</t>
  </si>
  <si>
    <t>1. ed. EAM Saggi.</t>
  </si>
  <si>
    <t>Saggi. Le radici</t>
  </si>
  <si>
    <t>818458938:ita</t>
  </si>
  <si>
    <t>707459577</t>
  </si>
  <si>
    <t>ocn707459577</t>
  </si>
  <si>
    <t>3103125345S</t>
  </si>
  <si>
    <t>9788862040785</t>
  </si>
  <si>
    <t>794867746</t>
  </si>
  <si>
    <t>PQ4815 E63 2012</t>
  </si>
  <si>
    <t>0                      PQ 4815000E  63          2012</t>
  </si>
  <si>
    <t>Tutti i romanzi / Beppe Fenoglio ; a cura di Gabriele Pedullà.</t>
  </si>
  <si>
    <t>Fenoglio, Beppe.</t>
  </si>
  <si>
    <t>Torino : G. Einaudi, 2012.</t>
  </si>
  <si>
    <t>ET biblioteca ; 62</t>
  </si>
  <si>
    <t>1159278399:ita</t>
  </si>
  <si>
    <t>806163028</t>
  </si>
  <si>
    <t>ocn806163028</t>
  </si>
  <si>
    <t>3103125920E</t>
  </si>
  <si>
    <t>9788806210588</t>
  </si>
  <si>
    <t>794926751</t>
  </si>
  <si>
    <t>PQ4815 I48 A24 1992</t>
  </si>
  <si>
    <t>0                      PQ 4815000I  48                 A  24          1992</t>
  </si>
  <si>
    <t>Four plays / Eduardo de Filippo ; with an introduction by Carlo Ardito.</t>
  </si>
  <si>
    <t>De Filippo, Eduardo, 1900-1984, author.</t>
  </si>
  <si>
    <t>London : Methuen Drama ; New Hampshire : Distributed in the United States of America by HEB, Inc., 1992.</t>
  </si>
  <si>
    <t>Methuen world dramatists</t>
  </si>
  <si>
    <t>4471867658:eng</t>
  </si>
  <si>
    <t>26546285</t>
  </si>
  <si>
    <t>ocm26546285</t>
  </si>
  <si>
    <t>3101215980P</t>
  </si>
  <si>
    <t>9780413666208</t>
  </si>
  <si>
    <t>793246672</t>
  </si>
  <si>
    <t>PQ4815 I48 Z527 2014</t>
  </si>
  <si>
    <t>0                      PQ 4815000I  48                 Z  527         2014</t>
  </si>
  <si>
    <t>L'arte di Eduardo : le forme e i linguaggi / a cura di Roberto De Gaetano e Bruno Roberti.</t>
  </si>
  <si>
    <t>Cosenza - Italy : Luigi Pellegrini editore, [2014]</t>
  </si>
  <si>
    <t>Frontiere. Oltre il cinema</t>
  </si>
  <si>
    <t>2506965523:ita</t>
  </si>
  <si>
    <t>903208039</t>
  </si>
  <si>
    <t>ocn903208039</t>
  </si>
  <si>
    <t>3103621356G</t>
  </si>
  <si>
    <t>9788868222215</t>
  </si>
  <si>
    <t>794988863</t>
  </si>
  <si>
    <t>PQ4815 I48 Z593 2016</t>
  </si>
  <si>
    <t>0                      PQ 4815000I  48                 Z  593         2016</t>
  </si>
  <si>
    <t>Eduardo / Nicola De Blasi.</t>
  </si>
  <si>
    <t>De Blasi, Nicola, author.</t>
  </si>
  <si>
    <t>Sestante ; 39</t>
  </si>
  <si>
    <t>4075621091:ita</t>
  </si>
  <si>
    <t>966237587</t>
  </si>
  <si>
    <t>ocn966237587</t>
  </si>
  <si>
    <t>31037161550</t>
  </si>
  <si>
    <t>9788869731532</t>
  </si>
  <si>
    <t>795026046</t>
  </si>
  <si>
    <t>PQ4815 I48 Z68 2010</t>
  </si>
  <si>
    <t>0                      PQ 4815000I  48                 Z  68          2010</t>
  </si>
  <si>
    <t>La risorsa del sogno nel teatro di Eduardo / Alberico Guarnieri.</t>
  </si>
  <si>
    <t>Cosenza : L. Pellegrini, [2010]</t>
  </si>
  <si>
    <t>La selva dell'immaginario ; n. 7</t>
  </si>
  <si>
    <t>2011-01-16</t>
  </si>
  <si>
    <t>549861988:ita</t>
  </si>
  <si>
    <t>650437898</t>
  </si>
  <si>
    <t>ocn650437898</t>
  </si>
  <si>
    <t>31031251271</t>
  </si>
  <si>
    <t>9788881016723</t>
  </si>
  <si>
    <t>794832482</t>
  </si>
  <si>
    <t>PQ4815 L23 T4 1963</t>
  </si>
  <si>
    <t>0                      PQ 4815000L  23                 T  4           1963</t>
  </si>
  <si>
    <t>Tempo di uccidere : romanzo / di Ennio Flaiano.</t>
  </si>
  <si>
    <t>Flaiano, Ennio, 1910-1972.</t>
  </si>
  <si>
    <t>Milano : Longanesi, 1963.</t>
  </si>
  <si>
    <t>La gaja scienza ; v. 21</t>
  </si>
  <si>
    <t>2015-03-21</t>
  </si>
  <si>
    <t>4919438441:ita</t>
  </si>
  <si>
    <t>4206877</t>
  </si>
  <si>
    <t>ocm04206877</t>
  </si>
  <si>
    <t>3000628788N</t>
  </si>
  <si>
    <t>792330846</t>
  </si>
  <si>
    <t>PQ4815 L23 T413 1950</t>
  </si>
  <si>
    <t>0                      PQ 4815000L  23                 T  413         1950</t>
  </si>
  <si>
    <t>The short cut. Translated from the Italian by Stuart Hood.</t>
  </si>
  <si>
    <t>New York, Pellegrini &amp; Cudahy [1950]</t>
  </si>
  <si>
    <t>2016-11-22</t>
  </si>
  <si>
    <t>4919438441:eng</t>
  </si>
  <si>
    <t>1014473</t>
  </si>
  <si>
    <t>ocm01014473</t>
  </si>
  <si>
    <t>3000778596W</t>
  </si>
  <si>
    <t>791525023</t>
  </si>
  <si>
    <t>PQ4815 L23 Z547 2010</t>
  </si>
  <si>
    <t>0                      PQ 4815000L  23                 Z  547         2010</t>
  </si>
  <si>
    <t>Flaiano e D'Annunzio : l'antitaliano e l'arcitaliano / Giacomo D'Angelo.</t>
  </si>
  <si>
    <t>D'Angelo, Giacomo, 1939-</t>
  </si>
  <si>
    <t>Micromegas ; 20</t>
  </si>
  <si>
    <t>865033046:ita</t>
  </si>
  <si>
    <t>692270082</t>
  </si>
  <si>
    <t>ocn692270082</t>
  </si>
  <si>
    <t>3103125261R</t>
  </si>
  <si>
    <t>9788874977048</t>
  </si>
  <si>
    <t>794856012</t>
  </si>
  <si>
    <t>PQ4815 L23 Z88 2010</t>
  </si>
  <si>
    <t>0                      PQ 4815000L  23                 Z  88          2010</t>
  </si>
  <si>
    <t>Ennio Flaiano and his Italy : postcards from a changing world / Marisa S. Trubiano.</t>
  </si>
  <si>
    <t>Trubiano, Marisa S.</t>
  </si>
  <si>
    <t>Madison [N.J.] : Fairleigh Dickinson University Press, ©2010.</t>
  </si>
  <si>
    <t>796207221:eng</t>
  </si>
  <si>
    <t>320813233</t>
  </si>
  <si>
    <t>ocn320813233</t>
  </si>
  <si>
    <t>3103241932C</t>
  </si>
  <si>
    <t>9780838642139</t>
  </si>
  <si>
    <t>794487188</t>
  </si>
  <si>
    <t>PQ4815 O74 Z636 2017</t>
  </si>
  <si>
    <t>0                      PQ 4815000O  74                 Z  636         2017</t>
  </si>
  <si>
    <t>Dialettica e speranza : sulla poesia di Franco Fortini / Francesco Diaco.</t>
  </si>
  <si>
    <t>Diaco, Francesco, 1988- author.</t>
  </si>
  <si>
    <t>Macerata : Quodlibet, aprile 2017.</t>
  </si>
  <si>
    <t>4477526041:ita</t>
  </si>
  <si>
    <t>989146899</t>
  </si>
  <si>
    <t>ocn989146899</t>
  </si>
  <si>
    <t>31037208409</t>
  </si>
  <si>
    <t>9788822900623</t>
  </si>
  <si>
    <t>795037130</t>
  </si>
  <si>
    <t>PQ4815 O74 Z748 2013</t>
  </si>
  <si>
    <t>0                      PQ 4815000O  74                 Z  748         2013</t>
  </si>
  <si>
    <t>Un'antica promessa : studi su Fortini / Luca Lenzini.</t>
  </si>
  <si>
    <t>Lenzini, Luca, 1954-</t>
  </si>
  <si>
    <t>1746024917:ita</t>
  </si>
  <si>
    <t>846460196</t>
  </si>
  <si>
    <t>ocn846460196</t>
  </si>
  <si>
    <t>3103126240R</t>
  </si>
  <si>
    <t>9788874624775</t>
  </si>
  <si>
    <t>794949080</t>
  </si>
  <si>
    <t>PQ4815 O74 Z84 1997</t>
  </si>
  <si>
    <t>0                      PQ 4815000O  74                 Z  84          1997</t>
  </si>
  <si>
    <t>The ethical muse of Franco Fortini / Thomas E. Peterson.</t>
  </si>
  <si>
    <t>Gainesville : University Press of Florida, ©1997.</t>
  </si>
  <si>
    <t>2016-05-14</t>
  </si>
  <si>
    <t>1011932:eng</t>
  </si>
  <si>
    <t>35885995</t>
  </si>
  <si>
    <t>ocm35885995</t>
  </si>
  <si>
    <t>3101728069U</t>
  </si>
  <si>
    <t>9780813014791</t>
  </si>
  <si>
    <t>793460071</t>
  </si>
  <si>
    <t>PQ4815 O74 Z893 2011</t>
  </si>
  <si>
    <t>0                      PQ 4815000O  74                 Z  893         2011</t>
  </si>
  <si>
    <t>Inverni di guarnigione : Franco Fortini professore in Fieravecchia / Valentina Tinacci.</t>
  </si>
  <si>
    <t>Tinacci, Valentina, author.</t>
  </si>
  <si>
    <t>Siena : Protagon, 2011.</t>
  </si>
  <si>
    <t>Protagonisti e momenti ; 6</t>
  </si>
  <si>
    <t>1121685242:ita</t>
  </si>
  <si>
    <t>796779853</t>
  </si>
  <si>
    <t>ocn796779853</t>
  </si>
  <si>
    <t>3103125851B</t>
  </si>
  <si>
    <t>9788880243175</t>
  </si>
  <si>
    <t>794922358</t>
  </si>
  <si>
    <t>PQ4815 O74 Z93 1996</t>
  </si>
  <si>
    <t>0                      PQ 4815000O  74                 Z  93          1996</t>
  </si>
  <si>
    <t>Uomini usciti di pianto in ragione : saggi su Franco Fortini / [Saggi di] V. Abati [and others].</t>
  </si>
  <si>
    <t>Roma : Manifestolibri, ©1996.</t>
  </si>
  <si>
    <t>L.U.M. Hi. ; 1</t>
  </si>
  <si>
    <t>2018-08-13</t>
  </si>
  <si>
    <t>910182907:ita</t>
  </si>
  <si>
    <t>38106730</t>
  </si>
  <si>
    <t>ocm38106730</t>
  </si>
  <si>
    <t>3101826933I</t>
  </si>
  <si>
    <t>9788872851289</t>
  </si>
  <si>
    <t>793515820</t>
  </si>
  <si>
    <t>PQ4815 O74 2014</t>
  </si>
  <si>
    <t>0                      PQ 4815000O  74          2014</t>
  </si>
  <si>
    <t>Tutte le poesie / Franco Fortini ; a cura di Luca Lenzini.</t>
  </si>
  <si>
    <t>Milano : Oscar Mondadori, novembre 2014.</t>
  </si>
  <si>
    <t>I edizione Oscar poesia.</t>
  </si>
  <si>
    <t>Oscar poesia ; 94</t>
  </si>
  <si>
    <t>2239667879:ita</t>
  </si>
  <si>
    <t>905087842</t>
  </si>
  <si>
    <t>ocn905087842</t>
  </si>
  <si>
    <t>3103621538A</t>
  </si>
  <si>
    <t>9788804644125</t>
  </si>
  <si>
    <t>794991103</t>
  </si>
  <si>
    <t>PQ4815 O75 Z68 2000</t>
  </si>
  <si>
    <t>0                      PQ 4815000O  75                 Z  68          2000</t>
  </si>
  <si>
    <t>The theatrical works of Giovacchino Forzano : drama for Mussolini's Italy / C.E.J. Griffiths ; and in an appendix Racconti d'autunno, d'inverno e di primavera by Giovacchino Forzano.</t>
  </si>
  <si>
    <t>Griffiths, C. E. J. (Clive Edward John), 1945-</t>
  </si>
  <si>
    <t>Lewiston : Edwin Mellen Press, ©2000.</t>
  </si>
  <si>
    <t>Studies in Italian literature ; v. 9</t>
  </si>
  <si>
    <t>2017-11-29</t>
  </si>
  <si>
    <t>836993381:eng</t>
  </si>
  <si>
    <t>43971392</t>
  </si>
  <si>
    <t>ocm43971392</t>
  </si>
  <si>
    <t>31036313675</t>
  </si>
  <si>
    <t>9780773477261</t>
  </si>
  <si>
    <t>793639861</t>
  </si>
  <si>
    <t>PQ4817 A33 A17 1993</t>
  </si>
  <si>
    <t>0                      PQ 4817000A  33                 A  17          1993</t>
  </si>
  <si>
    <t>Poesie / Carlo Emilio Gadda ; edizione critica e commento di Maria Antonietta Terzoli.</t>
  </si>
  <si>
    <t>Gadda, Carlo Emilio, 1893-1973.</t>
  </si>
  <si>
    <t>Collezione di poesia ; 240</t>
  </si>
  <si>
    <t>32684270:ita</t>
  </si>
  <si>
    <t>31056031</t>
  </si>
  <si>
    <t>ocm31056031</t>
  </si>
  <si>
    <t>3101445616E</t>
  </si>
  <si>
    <t>9788806133849</t>
  </si>
  <si>
    <t>793352522</t>
  </si>
  <si>
    <t>PQ4817 A33 C3 1989</t>
  </si>
  <si>
    <t>0                      PQ 4817000A  33                 C  3           1989</t>
  </si>
  <si>
    <t>Il castello di Udine / Carlo Emilio Gadda ; presentazione di Guido Lucchini.</t>
  </si>
  <si>
    <t>Milano : Garzanti, 1989.</t>
  </si>
  <si>
    <t>Gli Elefanti</t>
  </si>
  <si>
    <t>4928905175:ita</t>
  </si>
  <si>
    <t>221099647</t>
  </si>
  <si>
    <t>ocn221099647</t>
  </si>
  <si>
    <t>31029984931</t>
  </si>
  <si>
    <t>9788811667032</t>
  </si>
  <si>
    <t>794324076</t>
  </si>
  <si>
    <t>PQ4817 A33 C6 1984</t>
  </si>
  <si>
    <t>0                      PQ 4817000A  33                 C  6           1984</t>
  </si>
  <si>
    <t>La cognizione del dolore / Carlo Emilio Gadda ; con un saggio di Gianfranco Contini.</t>
  </si>
  <si>
    <t>Torino : Einaudi, 1984, ©1970.</t>
  </si>
  <si>
    <t>8a ed.</t>
  </si>
  <si>
    <t>Gli struzzi ; 20</t>
  </si>
  <si>
    <t>2016-03-15</t>
  </si>
  <si>
    <t>870466:ita</t>
  </si>
  <si>
    <t>12167706</t>
  </si>
  <si>
    <t>ocm12167706</t>
  </si>
  <si>
    <t>3000167642U</t>
  </si>
  <si>
    <t>9788806031640</t>
  </si>
  <si>
    <t>792804651</t>
  </si>
  <si>
    <t>PQ4817 A33 C613 2017</t>
  </si>
  <si>
    <t>0                      PQ 4817000A  33                 C  613         2017</t>
  </si>
  <si>
    <t>The experience of pain / Carlo Emilio Gadda ; translated from the Italian by Richard Dixon.</t>
  </si>
  <si>
    <t>Gadda, Carlo Emilio, 1893-1973, author.</t>
  </si>
  <si>
    <t>London : Penguin Books, 2017.</t>
  </si>
  <si>
    <t>870466:eng</t>
  </si>
  <si>
    <t>991419730</t>
  </si>
  <si>
    <t>ocn991419730</t>
  </si>
  <si>
    <t>3103669436S</t>
  </si>
  <si>
    <t>9780141395395</t>
  </si>
  <si>
    <t>795037965</t>
  </si>
  <si>
    <t>PQ4817 A33 E7</t>
  </si>
  <si>
    <t>0                      PQ 4817000A  33                 E  7</t>
  </si>
  <si>
    <t>Eros e Priapo. (Da furore a cenere).</t>
  </si>
  <si>
    <t>Milano, A. Garzanti, 1967.</t>
  </si>
  <si>
    <t>2675146:ita</t>
  </si>
  <si>
    <t>1965800</t>
  </si>
  <si>
    <t>ocm01965800</t>
  </si>
  <si>
    <t>30006159677</t>
  </si>
  <si>
    <t>792019851</t>
  </si>
  <si>
    <t>PQ4817 A33 M3 1931</t>
  </si>
  <si>
    <t>0                      PQ 4817000A  33                 M  3           1931</t>
  </si>
  <si>
    <t>La madonna dei filosofi.</t>
  </si>
  <si>
    <t>Firenze : Solaria, 1931.</t>
  </si>
  <si>
    <t>Solaria ; v.20</t>
  </si>
  <si>
    <t>34498857:ita</t>
  </si>
  <si>
    <t>427183907</t>
  </si>
  <si>
    <t>ocn427183907</t>
  </si>
  <si>
    <t>3000779516E</t>
  </si>
  <si>
    <t>794528780</t>
  </si>
  <si>
    <t>PQ4817 A33 Q413 2006</t>
  </si>
  <si>
    <t>0                      PQ 4817000A  33                 Q  413         2006</t>
  </si>
  <si>
    <t>That awful mess on the Via Merulana / Carlo Emilio Gadda ; translated from the Italian by William Weaver ; i ntroduction by Italo Calvino.</t>
  </si>
  <si>
    <t>New York : New York Review Books, 2007.</t>
  </si>
  <si>
    <t>New York Review Books classics</t>
  </si>
  <si>
    <t>1490754:eng</t>
  </si>
  <si>
    <t>75088015</t>
  </si>
  <si>
    <t>ocm75088015</t>
  </si>
  <si>
    <t>3102595582$</t>
  </si>
  <si>
    <t>9781590172223</t>
  </si>
  <si>
    <t>794174402</t>
  </si>
  <si>
    <t>PQ4817 A33 Q43185 2012</t>
  </si>
  <si>
    <t>0                      PQ 4817000A  33                 Q  43185       2012</t>
  </si>
  <si>
    <t>Mettere in ordine il mondo? : cinque studi sul Pasticciaccio / Mauro Bignamini.</t>
  </si>
  <si>
    <t>Bignamini, Mauro.</t>
  </si>
  <si>
    <t>Bologna : CLUEB, ©2012.</t>
  </si>
  <si>
    <t>Testi e studi di filologia e letteratura ; 18 [i.e. 19]</t>
  </si>
  <si>
    <t>1185863161:ita</t>
  </si>
  <si>
    <t>820785409</t>
  </si>
  <si>
    <t>ocn820785409</t>
  </si>
  <si>
    <t>31031260210</t>
  </si>
  <si>
    <t>9788849137200</t>
  </si>
  <si>
    <t>794935786</t>
  </si>
  <si>
    <t>PQ4817 A33 Q433 2011</t>
  </si>
  <si>
    <t>0                      PQ 4817000A  33                 Q  433         2011</t>
  </si>
  <si>
    <t>Un quanto di erotia : Gadda con Freud e Schrödinger / Gabriele Frasca.</t>
  </si>
  <si>
    <t>Frasca, Gabriele, 1957-</t>
  </si>
  <si>
    <t>Napoli : D'if, ©2011.</t>
  </si>
  <si>
    <t>I miosotìs. I saggi del cuore ; 1</t>
  </si>
  <si>
    <t>1064721006:ita</t>
  </si>
  <si>
    <t>768810231</t>
  </si>
  <si>
    <t>ocn768810231</t>
  </si>
  <si>
    <t>3103125716M</t>
  </si>
  <si>
    <t>9788888413983</t>
  </si>
  <si>
    <t>794902856</t>
  </si>
  <si>
    <t>PQ4817 A33 Q4374 2016</t>
  </si>
  <si>
    <t>0                      PQ 4817000A  33                 Q  4374        2016</t>
  </si>
  <si>
    <t>Gadda : guida al Pasticciaccio / Maria Antonietta Terzoli.</t>
  </si>
  <si>
    <t>Terzoli, Maria Antonietta, author.</t>
  </si>
  <si>
    <t>Roma : Carocci editore, ottobre 2016.</t>
  </si>
  <si>
    <t>Bussole ; 534</t>
  </si>
  <si>
    <t>3966828851:ita</t>
  </si>
  <si>
    <t>964458408</t>
  </si>
  <si>
    <t>ocn964458408</t>
  </si>
  <si>
    <t>31037161712</t>
  </si>
  <si>
    <t>9788843084685</t>
  </si>
  <si>
    <t>795025250</t>
  </si>
  <si>
    <t>PQ4817 A33 Q438 2015</t>
  </si>
  <si>
    <t>0                      PQ 4817000A  33                 Q  438         2015</t>
  </si>
  <si>
    <t>All'ombra del lauro : allegorie di scrittura nel Pasticciaccio di Gadda / Vincenzo Vitale ; premessa di Maria Antonietta Terzoli.</t>
  </si>
  <si>
    <t>Vitale, Vincenzo, 1986- author.</t>
  </si>
  <si>
    <t>Roma : Carocci editore, gennaio 2015.</t>
  </si>
  <si>
    <t>Lingue e letterature Carocci ; 181</t>
  </si>
  <si>
    <t>2459141999:ita</t>
  </si>
  <si>
    <t>906793310</t>
  </si>
  <si>
    <t>ocn906793310</t>
  </si>
  <si>
    <t>3103628103A</t>
  </si>
  <si>
    <t>9788843074495</t>
  </si>
  <si>
    <t>794992454</t>
  </si>
  <si>
    <t>Commento a Quer pasticciaccio brutto de via Merulana di Carlo Emilio Gadda / Maria Antonietta Terzoli ; con la collaborazione di Vincenzo Vitale.</t>
  </si>
  <si>
    <t>Roma : Carocci editore, 2015.</t>
  </si>
  <si>
    <t>2806194101:ita</t>
  </si>
  <si>
    <t>930607955</t>
  </si>
  <si>
    <t>ocn930607955</t>
  </si>
  <si>
    <t>3103661148$</t>
  </si>
  <si>
    <t>9788843076253</t>
  </si>
  <si>
    <t>795007162</t>
  </si>
  <si>
    <t>3103661142B</t>
  </si>
  <si>
    <t>795007163</t>
  </si>
  <si>
    <t>PQ4817 A33 R29</t>
  </si>
  <si>
    <t>0                      PQ 4817000A  33                 R  29</t>
  </si>
  <si>
    <t>I racconti.</t>
  </si>
  <si>
    <t>Milano, Garzanti, 1972.</t>
  </si>
  <si>
    <t>Collezione I Bianchi</t>
  </si>
  <si>
    <t>3855337241:ita</t>
  </si>
  <si>
    <t>985449</t>
  </si>
  <si>
    <t>ocm00985449</t>
  </si>
  <si>
    <t>3000615970I</t>
  </si>
  <si>
    <t>791518692</t>
  </si>
  <si>
    <t>PQ4817 A33 R33 1982</t>
  </si>
  <si>
    <t>0                      PQ 4817000A  33                 R  33          1982</t>
  </si>
  <si>
    <t>Un radiodramma per modo di dire e scritti sullo spettacolo / Carol Emilio Gadda ; a cura di Claudio Vela.</t>
  </si>
  <si>
    <t>Milano : Il Saggiatore, 1982.</t>
  </si>
  <si>
    <t>2018-04-17</t>
  </si>
  <si>
    <t>427798397:ita</t>
  </si>
  <si>
    <t>9612012</t>
  </si>
  <si>
    <t>ocm09612012</t>
  </si>
  <si>
    <t>3000346298M</t>
  </si>
  <si>
    <t>792684775</t>
  </si>
  <si>
    <t>PQ4817 A33 T44 1982</t>
  </si>
  <si>
    <t>0                      PQ 4817000A  33                 T  44          1982</t>
  </si>
  <si>
    <t>Il tempo e le opere : saggi, note e divagazioni / Carlo Emilio Gadda ; a cura di Dante Isella.</t>
  </si>
  <si>
    <t>Milano : Adelphi edizioni, ©1982.</t>
  </si>
  <si>
    <t>Piccola biblioteca Adelphi ; 136</t>
  </si>
  <si>
    <t>365157265:ita</t>
  </si>
  <si>
    <t>9698117</t>
  </si>
  <si>
    <t>ocm09698117</t>
  </si>
  <si>
    <t>3000343436E</t>
  </si>
  <si>
    <t>792689433</t>
  </si>
  <si>
    <t>PQ4817 A33 Z463 2012</t>
  </si>
  <si>
    <t>0                      PQ 4817000A  33                 Z  463         2012</t>
  </si>
  <si>
    <t>Gadda / Mauro Bersani.</t>
  </si>
  <si>
    <t>Bersani, Mauro.</t>
  </si>
  <si>
    <t>Torino : Einaudi, 2012.</t>
  </si>
  <si>
    <t>Piccola Biblioteca Einaudi / Nuova serie ; 559 : Saggistica letteraria e linguistica</t>
  </si>
  <si>
    <t>10177750787:ita</t>
  </si>
  <si>
    <t>774188757</t>
  </si>
  <si>
    <t>ocn774188757</t>
  </si>
  <si>
    <t>3103125726K</t>
  </si>
  <si>
    <t>9788806211530</t>
  </si>
  <si>
    <t>794906354</t>
  </si>
  <si>
    <t>PQ4817 A33 Z48 2015</t>
  </si>
  <si>
    <t>0                      PQ 4817000A  33                 Z  48          2015</t>
  </si>
  <si>
    <t>"Se mi vede Cecchi, sono fritto" : corrispondenza e scritti 1962-1973 / Carlo Emilio Gadda, Goffredo Parise ; a cura di Domenico Scarpa.</t>
  </si>
  <si>
    <t>Milano : Adelphi edizioni, [2015]</t>
  </si>
  <si>
    <t>Piccola biblioteca Adelphi ; 675</t>
  </si>
  <si>
    <t>2600975547:ita</t>
  </si>
  <si>
    <t>918819604</t>
  </si>
  <si>
    <t>ocn918819604</t>
  </si>
  <si>
    <t>3103624233H</t>
  </si>
  <si>
    <t>9788845929908</t>
  </si>
  <si>
    <t>795001170</t>
  </si>
  <si>
    <t>PQ4817 A33 Z6333 2010</t>
  </si>
  <si>
    <t>0                      PQ 4817000A  33                 Z  6333        2010</t>
  </si>
  <si>
    <t>Disegni, bizze e fulmini : i racconti di Carlo Emilio Gadda / Giuliano Cenati.</t>
  </si>
  <si>
    <t>Cenati, Giuliano, 1972-</t>
  </si>
  <si>
    <t>Pisa : ETS, ©2010.</t>
  </si>
  <si>
    <t>Biblioteca della modernità letteraria ; 17</t>
  </si>
  <si>
    <t>796536032:ita</t>
  </si>
  <si>
    <t>658004046</t>
  </si>
  <si>
    <t>ocn658004046</t>
  </si>
  <si>
    <t>3103125196O</t>
  </si>
  <si>
    <t>9788846726520</t>
  </si>
  <si>
    <t>794835794</t>
  </si>
  <si>
    <t>PQ4817 A33 Z6334 2010</t>
  </si>
  <si>
    <t>0                      PQ 4817000A  33                 Z  6334        2010</t>
  </si>
  <si>
    <t>Frammenti e meraviglie : Gadda e i generi della prosa breve / Giuliano Cenati.</t>
  </si>
  <si>
    <t>Milano : UNICOPLI, ©2010.</t>
  </si>
  <si>
    <t>Modernistica ; 9</t>
  </si>
  <si>
    <t>760617933:ita</t>
  </si>
  <si>
    <t>682881750</t>
  </si>
  <si>
    <t>ocn682881750</t>
  </si>
  <si>
    <t>3103125292L</t>
  </si>
  <si>
    <t>9788840014258</t>
  </si>
  <si>
    <t>794852947</t>
  </si>
  <si>
    <t>PQ4817 A33 Z635758 2012</t>
  </si>
  <si>
    <t>0                      PQ 4817000A  33                 Z  635758      2012</t>
  </si>
  <si>
    <t>La lingua riflessa : metalinguaggio e discontinuità come forma narrativa in Carlo Emilio Gadda / Floriana Di Ruzza.</t>
  </si>
  <si>
    <t>Roma : Nuova cultura, ©2012.</t>
  </si>
  <si>
    <t>Esercizi di lettura, 2039-8484 ; 16</t>
  </si>
  <si>
    <t>1213561040:ita</t>
  </si>
  <si>
    <t>830363098</t>
  </si>
  <si>
    <t>ocn830363098</t>
  </si>
  <si>
    <t>31031261051</t>
  </si>
  <si>
    <t>9788861349728</t>
  </si>
  <si>
    <t>794943338</t>
  </si>
  <si>
    <t>PQ4817 A33 Z695 2017</t>
  </si>
  <si>
    <t>0                      PQ 4817000A  33                 Z  695         2017</t>
  </si>
  <si>
    <t>Come lavorava Gadda / Paola Italia.</t>
  </si>
  <si>
    <t>Italia, Paola, author.</t>
  </si>
  <si>
    <t>Bussole ; 544</t>
  </si>
  <si>
    <t>8914085805:ita</t>
  </si>
  <si>
    <t>994728968</t>
  </si>
  <si>
    <t>ocn994728968</t>
  </si>
  <si>
    <t>3103721124U</t>
  </si>
  <si>
    <t>9788843086344</t>
  </si>
  <si>
    <t>795039268</t>
  </si>
  <si>
    <t>PQ4817 A33 Z7574 2011</t>
  </si>
  <si>
    <t>0                      PQ 4817000A  33                 Z  7574        2011</t>
  </si>
  <si>
    <t>Gadda / Francesca Pilato, Barbara Mariatti ; progetto di Marziano Guglielminetti.</t>
  </si>
  <si>
    <t>2517454342:ita</t>
  </si>
  <si>
    <t>760053799</t>
  </si>
  <si>
    <t>ocn760053799</t>
  </si>
  <si>
    <t>3103125593C</t>
  </si>
  <si>
    <t>9788843060979</t>
  </si>
  <si>
    <t>794898169</t>
  </si>
  <si>
    <t>PQ4817 A33 Z7825 2010</t>
  </si>
  <si>
    <t>0                      PQ 4817000A  33                 Z  7825        2010</t>
  </si>
  <si>
    <t>Maratona Gadda / a cura di Rinaldo Rinaldi.</t>
  </si>
  <si>
    <t>Quaderno / Scuola di dottorato del Dipartimento di italianistica, Università degli studi di Parma ; n. 2</t>
  </si>
  <si>
    <t>5615694619:ita</t>
  </si>
  <si>
    <t>607965483</t>
  </si>
  <si>
    <t>ocn607965483</t>
  </si>
  <si>
    <t>3103125065X</t>
  </si>
  <si>
    <t>9788840013893</t>
  </si>
  <si>
    <t>794818450</t>
  </si>
  <si>
    <t>PQ4817 A33 Z7834 2014</t>
  </si>
  <si>
    <t>0                      PQ 4817000A  33                 Z  7834        2014</t>
  </si>
  <si>
    <t>Meraviglie di Gadda : Seminario di studi sulle carte dello scrittore / a cura di Monica Marchi e Claudio Vela.</t>
  </si>
  <si>
    <t>Meraviglie di Gadda, Seminario di studi sulle carte dello scrittore (Conference) (2013 : Biblioteca trivulziana)</t>
  </si>
  <si>
    <t>Ospedaletto (Pisa) : Pacini editore, [2014]</t>
  </si>
  <si>
    <t>Strumenti di filologia e critica ; 19</t>
  </si>
  <si>
    <t>2295430263:ita</t>
  </si>
  <si>
    <t>905852633</t>
  </si>
  <si>
    <t>ocn905852633</t>
  </si>
  <si>
    <t>31036285667</t>
  </si>
  <si>
    <t>9788863157857</t>
  </si>
  <si>
    <t>794991942</t>
  </si>
  <si>
    <t>PQ4817 A33 Z8155 2012</t>
  </si>
  <si>
    <t>0                      PQ 4817000A  33                 Z  8155        2012</t>
  </si>
  <si>
    <t>Carlo Emilio Gadda : l'imbecille di famiglia / Walter Pedullà.</t>
  </si>
  <si>
    <t>Pedullà, Walter, 1930-</t>
  </si>
  <si>
    <t>Roma : Editori riuniti, 2012.</t>
  </si>
  <si>
    <t>1118127914:ita</t>
  </si>
  <si>
    <t>794703729</t>
  </si>
  <si>
    <t>ocn794703729</t>
  </si>
  <si>
    <t>3103125852B</t>
  </si>
  <si>
    <t>9788835991403</t>
  </si>
  <si>
    <t>794920319</t>
  </si>
  <si>
    <t>PQ4817 A33 Z985 2012</t>
  </si>
  <si>
    <t>0                      PQ 4817000A  33                 Z  985         2012</t>
  </si>
  <si>
    <t>Carlo Emilio Gadda e il bel sole d'Italia / Silvia Zoppi Garampi.</t>
  </si>
  <si>
    <t>Zoppi Garampi, Silvia.</t>
  </si>
  <si>
    <t>Napoli : Editoriale scientifica, ©2012.</t>
  </si>
  <si>
    <t>La memoria storica ; 20</t>
  </si>
  <si>
    <t>1391842985:ita</t>
  </si>
  <si>
    <t>829690610</t>
  </si>
  <si>
    <t>ocn829690610</t>
  </si>
  <si>
    <t>3103126129Y</t>
  </si>
  <si>
    <t>9788863424133</t>
  </si>
  <si>
    <t>794942638</t>
  </si>
  <si>
    <t>PQ4817 A33 1988 v. 1-2</t>
  </si>
  <si>
    <t>0                      PQ 4817000A  33          1988                                        v. 1-2</t>
  </si>
  <si>
    <t>Romanzi e racconti / Carlo Emilio Gadda ; a cura di Raffaella Rodondi [and others].</t>
  </si>
  <si>
    <t>Milano : Garzanti, 1988-1989.</t>
  </si>
  <si>
    <t>Opere / di Carlo Emilio Gadda ; 1-2</t>
  </si>
  <si>
    <t>2018-10-13</t>
  </si>
  <si>
    <t>10032503694:ita</t>
  </si>
  <si>
    <t>20855072</t>
  </si>
  <si>
    <t>ocm20855072</t>
  </si>
  <si>
    <t>3103644451W</t>
  </si>
  <si>
    <t>9788811586401</t>
  </si>
  <si>
    <t>793101644</t>
  </si>
  <si>
    <t>2009-07-09</t>
  </si>
  <si>
    <t>31030896888</t>
  </si>
  <si>
    <t>793101643</t>
  </si>
  <si>
    <t>PQ4817 A427 Z63 2012</t>
  </si>
  <si>
    <t>0                      PQ 4817000A  427                Z  63          2012</t>
  </si>
  <si>
    <t>Pensare lo spettacolo : Michele Galdieri tra Eduardo e Totò / Guido Di Palma.</t>
  </si>
  <si>
    <t>Di Palma, Guido.</t>
  </si>
  <si>
    <t>Biblioteca teatrale. Studi e testi ; 182</t>
  </si>
  <si>
    <t>2014-03-14</t>
  </si>
  <si>
    <t>1332168291:ita</t>
  </si>
  <si>
    <t>843755153</t>
  </si>
  <si>
    <t>ocn843755153</t>
  </si>
  <si>
    <t>31035269919</t>
  </si>
  <si>
    <t>9788878707719</t>
  </si>
  <si>
    <t>794948135</t>
  </si>
  <si>
    <t>PQ4817 A47 Z55 2012</t>
  </si>
  <si>
    <t>0                      PQ 4817000A  47                 Z  55          2012</t>
  </si>
  <si>
    <t>L'avanguardia radicale di Marcello Gallian / a cura di Renzo Cremante.</t>
  </si>
  <si>
    <t>Testi e studi di filologia e letteratura ; 18</t>
  </si>
  <si>
    <t>1127009244:ita</t>
  </si>
  <si>
    <t>801440130</t>
  </si>
  <si>
    <t>ocn801440130</t>
  </si>
  <si>
    <t>31031258659</t>
  </si>
  <si>
    <t>9788849136241</t>
  </si>
  <si>
    <t>794925005</t>
  </si>
  <si>
    <t>PQ4817 I5 A15 1964</t>
  </si>
  <si>
    <t>0                      PQ 4817000I  5                  A  15          1964</t>
  </si>
  <si>
    <t>Cinque romanzi brevi: La strada che va in citta%1, É stato cosi%1, Valentino, Sagittario, Le voci della sera.</t>
  </si>
  <si>
    <t>Ginzburg, Natalia.</t>
  </si>
  <si>
    <t>10177399809:ita</t>
  </si>
  <si>
    <t>427509249</t>
  </si>
  <si>
    <t>ocn427509249</t>
  </si>
  <si>
    <t>3102998435D</t>
  </si>
  <si>
    <t>794671406</t>
  </si>
  <si>
    <t>PQ4817 I5 A2 2008</t>
  </si>
  <si>
    <t>0                      PQ 4817000I  5                  A  2           2008</t>
  </si>
  <si>
    <t>The wrong door : the complete plays of Natalia Ginzburg / translated by Wendell Ricketts.</t>
  </si>
  <si>
    <t>1059145319:eng</t>
  </si>
  <si>
    <t>219938924</t>
  </si>
  <si>
    <t>ocn219938924</t>
  </si>
  <si>
    <t>3103050200D</t>
  </si>
  <si>
    <t>9780802098481</t>
  </si>
  <si>
    <t>794319195</t>
  </si>
  <si>
    <t>PQ4817 I5 A2 2011</t>
  </si>
  <si>
    <t>0                      PQ 4817000I  5                  A  2           2011</t>
  </si>
  <si>
    <t>The complete short stories of Natalia Ginzburg / translated by Paul Lewis.</t>
  </si>
  <si>
    <t>1059132933:eng</t>
  </si>
  <si>
    <t>669242358</t>
  </si>
  <si>
    <t>ocn669242358</t>
  </si>
  <si>
    <t>31032678828</t>
  </si>
  <si>
    <t>9780802099204</t>
  </si>
  <si>
    <t>794846860</t>
  </si>
  <si>
    <t>PQ4817 I5 A27 2002</t>
  </si>
  <si>
    <t>0                      PQ 4817000I  5                  A  27          2002</t>
  </si>
  <si>
    <t>A place to live : and other selected essays of Natalia Ginzburg / Natalia Ginzburg ; chosen and translated by Lynne Sharon Schwartz.</t>
  </si>
  <si>
    <t>New York : Seven Stories Press, ©2002.</t>
  </si>
  <si>
    <t>A Seven Stories Press 1st ed.</t>
  </si>
  <si>
    <t>1059127514:eng</t>
  </si>
  <si>
    <t>48940354</t>
  </si>
  <si>
    <t>ocm48940354</t>
  </si>
  <si>
    <t>3102210074K</t>
  </si>
  <si>
    <t>9781583224748</t>
  </si>
  <si>
    <t>793730866</t>
  </si>
  <si>
    <t>PQ4817 I5 C313 2019</t>
  </si>
  <si>
    <t>0                      PQ 4817000I  5                  C  313         2019</t>
  </si>
  <si>
    <t>Happiness, as such / Natalia Ginzburg ; translated from the Italian by Minna Zallman Proctor.</t>
  </si>
  <si>
    <t>Ginzburg, Natalia, author.</t>
  </si>
  <si>
    <t>New York : New Directions Publishing Corporation, [2019]</t>
  </si>
  <si>
    <t>New Directions paperbook ; 1449</t>
  </si>
  <si>
    <t>881990:eng</t>
  </si>
  <si>
    <t>1057376702</t>
  </si>
  <si>
    <t>on1057376702</t>
  </si>
  <si>
    <t>31038084782</t>
  </si>
  <si>
    <t>9780811227995</t>
  </si>
  <si>
    <t>795063926</t>
  </si>
  <si>
    <t>PQ4817 I5 C33</t>
  </si>
  <si>
    <t>0                      PQ 4817000I  5                  C  33</t>
  </si>
  <si>
    <t>No way / Natalia Ginzburg ; translated by Sheila Cudahy.</t>
  </si>
  <si>
    <t>New York : Harcourt Brace Jovanovich, [1974]</t>
  </si>
  <si>
    <t>874281</t>
  </si>
  <si>
    <t>ocm00874281</t>
  </si>
  <si>
    <t>3103678647E</t>
  </si>
  <si>
    <t>9780151676743</t>
  </si>
  <si>
    <t>791492296</t>
  </si>
  <si>
    <t>PQ4817 I5 E2</t>
  </si>
  <si>
    <t>0                      PQ 4817000I  5                  E  2</t>
  </si>
  <si>
    <t>E stato cosi / Natalia Ginzburg.</t>
  </si>
  <si>
    <t>Torino : Einaudi, 1947.</t>
  </si>
  <si>
    <t>I Coralli ; 1</t>
  </si>
  <si>
    <t>2663718:ita</t>
  </si>
  <si>
    <t>14096457</t>
  </si>
  <si>
    <t>ocm14096457</t>
  </si>
  <si>
    <t>3000779599L</t>
  </si>
  <si>
    <t>792877658</t>
  </si>
  <si>
    <t>PQ4817 I5 E2 1974</t>
  </si>
  <si>
    <t>0                      PQ 4817000I  5                  E  2           1974</t>
  </si>
  <si>
    <t>E' stato così / Natalia Ginzburg.</t>
  </si>
  <si>
    <t>1. ed. nei Nuovi Coralli.</t>
  </si>
  <si>
    <t>Nuovi coralli ; 86</t>
  </si>
  <si>
    <t>2019-09-16</t>
  </si>
  <si>
    <t>1726579</t>
  </si>
  <si>
    <t>ocm01726579</t>
  </si>
  <si>
    <t>3103874257X</t>
  </si>
  <si>
    <t>791855412</t>
  </si>
  <si>
    <t>PQ4817 I5 F3</t>
  </si>
  <si>
    <t>0                      PQ 4817000I  5                  F  3</t>
  </si>
  <si>
    <t>Famiglia / Natalia Ginzburg.</t>
  </si>
  <si>
    <t>2017-09-01</t>
  </si>
  <si>
    <t>13520683:ita</t>
  </si>
  <si>
    <t>4001137</t>
  </si>
  <si>
    <t>ocm04001137</t>
  </si>
  <si>
    <t>3000433495Y</t>
  </si>
  <si>
    <t>9788806584610</t>
  </si>
  <si>
    <t>792312453</t>
  </si>
  <si>
    <t>PQ4817.I5 F3 1977</t>
  </si>
  <si>
    <t>0                      PQ 4817000I  5                  F  3           1977</t>
  </si>
  <si>
    <t>2010-07-23</t>
  </si>
  <si>
    <t>3000180785V</t>
  </si>
  <si>
    <t>792312454</t>
  </si>
  <si>
    <t>PQ4817 I5 F313 1988</t>
  </si>
  <si>
    <t>0                      PQ 4817000I  5                  F  313         1988</t>
  </si>
  <si>
    <t>Family / [Natalia Ginzburg] ; translated from the Italian by Beryl Stockman.</t>
  </si>
  <si>
    <t>Manchester : Carcanet, 1988.</t>
  </si>
  <si>
    <t>2017-10-03</t>
  </si>
  <si>
    <t>4535618910:eng</t>
  </si>
  <si>
    <t>17441106</t>
  </si>
  <si>
    <t>ocm17441106</t>
  </si>
  <si>
    <t>3000538421V</t>
  </si>
  <si>
    <t>9780856357442</t>
  </si>
  <si>
    <t>792991355</t>
  </si>
  <si>
    <t>PQ4817 I5 L4 1963</t>
  </si>
  <si>
    <t>0                      PQ 4817000I  5                  L  4           1963</t>
  </si>
  <si>
    <t>Lessico famigliare.</t>
  </si>
  <si>
    <t>[Torino] Einaudi [1963]</t>
  </si>
  <si>
    <t>2018-08-07</t>
  </si>
  <si>
    <t>1619782:ita</t>
  </si>
  <si>
    <t>556775</t>
  </si>
  <si>
    <t>ocm00556775</t>
  </si>
  <si>
    <t>3103049679U</t>
  </si>
  <si>
    <t>791413534</t>
  </si>
  <si>
    <t>PQ4817 I5 L413 2017</t>
  </si>
  <si>
    <t>0                      PQ 4817000I  5                  L  413         2017</t>
  </si>
  <si>
    <t>Family lexicon / Natalia Ginzburg ; translated from the Italian by Jenny McPhee ; afterword by Peg Boyers.</t>
  </si>
  <si>
    <t>New York : New York Review Books, [2017]</t>
  </si>
  <si>
    <t>2019-04-20</t>
  </si>
  <si>
    <t>1619782:eng</t>
  </si>
  <si>
    <t>886483821</t>
  </si>
  <si>
    <t>ocn886483821</t>
  </si>
  <si>
    <t>31036710801</t>
  </si>
  <si>
    <t>9781590178386</t>
  </si>
  <si>
    <t>794977448</t>
  </si>
  <si>
    <t>PQ4817 I5 L43</t>
  </si>
  <si>
    <t>0                      PQ 4817000I  5                  L  43</t>
  </si>
  <si>
    <t>Family sayings. Translated from the Italian and with an introd. by D.M. Low.</t>
  </si>
  <si>
    <t>New York, Dutton, 1967.</t>
  </si>
  <si>
    <t>2019-07-23</t>
  </si>
  <si>
    <t>1169656</t>
  </si>
  <si>
    <t>ocm01169656</t>
  </si>
  <si>
    <t>30006155058</t>
  </si>
  <si>
    <t>791563889</t>
  </si>
  <si>
    <t>PQ4817 I5 L43 1984</t>
  </si>
  <si>
    <t>0                      PQ 4817000I  5                  L  43          1984</t>
  </si>
  <si>
    <t>Family sayings / Natalia Ginzburg ; revised from the original translation by D.M. Low.</t>
  </si>
  <si>
    <t>Manchester : Carcanet, 1984, ©1967.</t>
  </si>
  <si>
    <t>2018-04-27</t>
  </si>
  <si>
    <t>11183194</t>
  </si>
  <si>
    <t>ocm11183194</t>
  </si>
  <si>
    <t>3000361281F</t>
  </si>
  <si>
    <t>9780856355042</t>
  </si>
  <si>
    <t>792761896</t>
  </si>
  <si>
    <t>PQ4817 I5 M3</t>
  </si>
  <si>
    <t>0                      PQ 4817000I  5                  M  3</t>
  </si>
  <si>
    <t>Mai devi domandarmi.</t>
  </si>
  <si>
    <t>Milano] Garzanti [1970]</t>
  </si>
  <si>
    <t>Collezione Romanzi moderni</t>
  </si>
  <si>
    <t>2016-12-22</t>
  </si>
  <si>
    <t>1788217:ita</t>
  </si>
  <si>
    <t>691864</t>
  </si>
  <si>
    <t>ocm00691864</t>
  </si>
  <si>
    <t>3000615981D</t>
  </si>
  <si>
    <t>791447343</t>
  </si>
  <si>
    <t>PQ4817 I5 P5 1984</t>
  </si>
  <si>
    <t>0                      PQ 4817000I  5                  P  5           1984</t>
  </si>
  <si>
    <t>Le piccole virtú.</t>
  </si>
  <si>
    <t>Torino : Einaudi, 1984.</t>
  </si>
  <si>
    <t>Nuovi coralli ; 21</t>
  </si>
  <si>
    <t>2019-04-19</t>
  </si>
  <si>
    <t>7065627:ita</t>
  </si>
  <si>
    <t>19346446</t>
  </si>
  <si>
    <t>ocm19346446</t>
  </si>
  <si>
    <t>3000192423C</t>
  </si>
  <si>
    <t>793054838</t>
  </si>
  <si>
    <t>PQ4817 I5 P513 1985</t>
  </si>
  <si>
    <t>0                      PQ 4817000I  5                  P  513         1985</t>
  </si>
  <si>
    <t>The little virtues / Natalia Ginzburg ; translated from the Italian by Dick Davis.</t>
  </si>
  <si>
    <t>Manchester : Carcanet, 1985.</t>
  </si>
  <si>
    <t>5195021760:eng</t>
  </si>
  <si>
    <t>15628386</t>
  </si>
  <si>
    <t>ocm15628386</t>
  </si>
  <si>
    <t>31031464627</t>
  </si>
  <si>
    <t>9780856355530</t>
  </si>
  <si>
    <t>792937286</t>
  </si>
  <si>
    <t>PQ4817 I5 V313 1987</t>
  </si>
  <si>
    <t>0                      PQ 4817000I  5                  V  313         1987</t>
  </si>
  <si>
    <t>Valentino &amp; Sagittarius : two novellas / Natalia Ginzburg ; translated from the Italian by Avril Bardoni.</t>
  </si>
  <si>
    <t>Manchester : Carcanet, 1987.</t>
  </si>
  <si>
    <t>2564795429:eng</t>
  </si>
  <si>
    <t>16465838</t>
  </si>
  <si>
    <t>ocm16465838</t>
  </si>
  <si>
    <t>3000526822T</t>
  </si>
  <si>
    <t>9780856356353</t>
  </si>
  <si>
    <t>792963384</t>
  </si>
  <si>
    <t>PQ4817 I5 V6 1982</t>
  </si>
  <si>
    <t>0                      PQ 4817000I  5                  V  6           1982</t>
  </si>
  <si>
    <t>Le voci della sera / Natalia Ginzburg ; edited with introduction, notes and vocabulary by Alan Bullock.</t>
  </si>
  <si>
    <t>Manchester : University Press, ©1982.</t>
  </si>
  <si>
    <t>2192674:ita</t>
  </si>
  <si>
    <t>8942807</t>
  </si>
  <si>
    <t>ocm08942807</t>
  </si>
  <si>
    <t>3000336849H</t>
  </si>
  <si>
    <t>9780719008573</t>
  </si>
  <si>
    <t>792649439</t>
  </si>
  <si>
    <t>PQ4817 I5 V63x</t>
  </si>
  <si>
    <t>0                      PQ 4817000I  5                  V  63x</t>
  </si>
  <si>
    <t>Voices in the evening. Translated by D.M. Low.</t>
  </si>
  <si>
    <t>New York, Dutton, 1963.</t>
  </si>
  <si>
    <t>4494888210:eng</t>
  </si>
  <si>
    <t>1317057</t>
  </si>
  <si>
    <t>ocm01317057</t>
  </si>
  <si>
    <t>3000627902J</t>
  </si>
  <si>
    <t>791598310</t>
  </si>
  <si>
    <t>PQ4817 I5 Z463 1999</t>
  </si>
  <si>
    <t>0                      PQ 4817000I  5                  Z  463         1999</t>
  </si>
  <si>
    <t>È difficile parlare di sé / Natalia Ginzburg ; conversazione a più voci condotta da Marino Sinibaldi ; a cura di Cesare Garboli, Lisa Ginzburg.</t>
  </si>
  <si>
    <t>Torino : Einaudi, 1999.</t>
  </si>
  <si>
    <t>Struzzi ; 508</t>
  </si>
  <si>
    <t>666574:ita</t>
  </si>
  <si>
    <t>428074893</t>
  </si>
  <si>
    <t>ocn428074893</t>
  </si>
  <si>
    <t>3102051946R</t>
  </si>
  <si>
    <t>9788806152123</t>
  </si>
  <si>
    <t>794765498</t>
  </si>
  <si>
    <t>PQ4817 I5 Z54 2015</t>
  </si>
  <si>
    <t>0                      PQ 4817000I  5                  Z  54          2015</t>
  </si>
  <si>
    <t>Lessico per Natalia : brevi "voci" per leggere l'opera di Natalia Ginzburg / Giorgio Bertone.</t>
  </si>
  <si>
    <t>Bertone, Giorgio, author.</t>
  </si>
  <si>
    <t>Genova : Il melangolo, [2015]</t>
  </si>
  <si>
    <t>Opuscula ; 230</t>
  </si>
  <si>
    <t>2783805683:ita</t>
  </si>
  <si>
    <t>927413989</t>
  </si>
  <si>
    <t>ocn927413989</t>
  </si>
  <si>
    <t>3103623057G</t>
  </si>
  <si>
    <t>9788869830099</t>
  </si>
  <si>
    <t>795005911</t>
  </si>
  <si>
    <t>PQ4817 I5 Z574 2010</t>
  </si>
  <si>
    <t>0                      PQ 4817000I  5                  Z  574         2010</t>
  </si>
  <si>
    <t>Natalia Ginzburg : Jewishness as moral identity / Nadia Castronuovo.</t>
  </si>
  <si>
    <t>Castronuovo, Nadia, 1955-</t>
  </si>
  <si>
    <t>Leicester, UK : Troubador Pub., ©2010.</t>
  </si>
  <si>
    <t>1077989396:eng</t>
  </si>
  <si>
    <t>657205775</t>
  </si>
  <si>
    <t>ocn657205775</t>
  </si>
  <si>
    <t>31032345799</t>
  </si>
  <si>
    <t>9781848763968</t>
  </si>
  <si>
    <t>794835333</t>
  </si>
  <si>
    <t>PQ4817 I5 Z825 2018</t>
  </si>
  <si>
    <t>0                      PQ 4817000I  5                  Z  825         2018</t>
  </si>
  <si>
    <t>La corsara : ritratto di Natalia Ginzburg / Sandra Petrignani.</t>
  </si>
  <si>
    <t>Petrignani, Sandra, 1952- author.</t>
  </si>
  <si>
    <t>Vicenza : Neri Pozza editore, 2018.</t>
  </si>
  <si>
    <t>Decima edizione.</t>
  </si>
  <si>
    <t>I narratori delle tavole</t>
  </si>
  <si>
    <t>4772009512:ita</t>
  </si>
  <si>
    <t>1027636597</t>
  </si>
  <si>
    <t>on1027636597</t>
  </si>
  <si>
    <t>3103721130Z</t>
  </si>
  <si>
    <t>9788854511187</t>
  </si>
  <si>
    <t>795052752</t>
  </si>
  <si>
    <t>PQ4817 O9 A113 1953</t>
  </si>
  <si>
    <t>0                      PQ 4817000O  9                  A  113         1953</t>
  </si>
  <si>
    <t>Gozzano, Guido, 1883-1916.</t>
  </si>
  <si>
    <t>[Milano] : [publisher not identified], [1953]</t>
  </si>
  <si>
    <t>2015-02-28</t>
  </si>
  <si>
    <t>502973659:ita</t>
  </si>
  <si>
    <t>427212630</t>
  </si>
  <si>
    <t>ocn427212630</t>
  </si>
  <si>
    <t>30007884824</t>
  </si>
  <si>
    <t>794544342</t>
  </si>
  <si>
    <t>PQ4817 O9 P34 2011</t>
  </si>
  <si>
    <t>0                      PQ 4817000O  9                  P  34          2011</t>
  </si>
  <si>
    <t>Il paese fuori del mondo : prose per l'Esposizione di Torino del 1911 / Guido Gozzano ; a cura di Eliana A. Pollone.</t>
  </si>
  <si>
    <t>Gozzano, Guido, 1883-1916, author.</t>
  </si>
  <si>
    <t>Savigliano : Nino Aragno editore, [2011]</t>
  </si>
  <si>
    <t>1090057768:ita</t>
  </si>
  <si>
    <t>780944696</t>
  </si>
  <si>
    <t>ocn780944696</t>
  </si>
  <si>
    <t>3103125757E</t>
  </si>
  <si>
    <t>9788884195302</t>
  </si>
  <si>
    <t>794912401</t>
  </si>
  <si>
    <t>PQ4817 O9 S35 1983</t>
  </si>
  <si>
    <t>0                      PQ 4817000O  9                  S  35          1983</t>
  </si>
  <si>
    <t>I sandali della diva : tutte le novelle / Guido Gozzano ; introduzione di Marziano Guglielminetti ; edizione e commento di Giuliana Nuvoli.</t>
  </si>
  <si>
    <t>Milano : Serra e Riva Editori, ©1983.</t>
  </si>
  <si>
    <t>Biblioteca del minotauro ; 45</t>
  </si>
  <si>
    <t>2018-05-12</t>
  </si>
  <si>
    <t>365342468:ita</t>
  </si>
  <si>
    <t>10416235</t>
  </si>
  <si>
    <t>ocm10416235</t>
  </si>
  <si>
    <t>3000360724C</t>
  </si>
  <si>
    <t>792725385</t>
  </si>
  <si>
    <t>PQ4817 O9 S56 1983</t>
  </si>
  <si>
    <t>0                      PQ 4817000O  9                  S  56          1983</t>
  </si>
  <si>
    <t>La signorina Felicita, ovvero, La felicità / Guido Gozzano ; a cura di Edoardo Esposito.</t>
  </si>
  <si>
    <t>Milano : Saggiatore, 1983.</t>
  </si>
  <si>
    <t>I Paralleli ; 10</t>
  </si>
  <si>
    <t>355748159:ita</t>
  </si>
  <si>
    <t>11370692</t>
  </si>
  <si>
    <t>ocm11370692</t>
  </si>
  <si>
    <t>3000363378R</t>
  </si>
  <si>
    <t>792770479</t>
  </si>
  <si>
    <t>PQ4817 O9 Z598 2011</t>
  </si>
  <si>
    <t>0                      PQ 4817000O  9                  Z  598         2011</t>
  </si>
  <si>
    <t>Il vasto singhiozzar del mare : Guido Gozzano : intertestualità e sottolineature / Sara Calì.</t>
  </si>
  <si>
    <t>Calì, Sara.</t>
  </si>
  <si>
    <t>982017744:ita</t>
  </si>
  <si>
    <t>745970599</t>
  </si>
  <si>
    <t>ocn745970599</t>
  </si>
  <si>
    <t>3103125510S</t>
  </si>
  <si>
    <t>9788854841031</t>
  </si>
  <si>
    <t>794886763</t>
  </si>
  <si>
    <t>PQ4817 O9 Z6115 2013</t>
  </si>
  <si>
    <t>0                      PQ 4817000O  9                  Z  6115        2013</t>
  </si>
  <si>
    <t>Una linea poetica piemontese-ligure : Gozzano, Vallini, Sbarbaro, Montale / Eleonora Cardinale.</t>
  </si>
  <si>
    <t>Cardinale, Eleonora.</t>
  </si>
  <si>
    <t>Roma : Salerno, ©2013.</t>
  </si>
  <si>
    <t>Studi e saggi ; 53</t>
  </si>
  <si>
    <t>1364611613:ita</t>
  </si>
  <si>
    <t>851371914</t>
  </si>
  <si>
    <t>ocn851371914</t>
  </si>
  <si>
    <t>3103555218Z</t>
  </si>
  <si>
    <t>9788884028242</t>
  </si>
  <si>
    <t>794950819</t>
  </si>
  <si>
    <t>PQ4817 O9 Z74 2012</t>
  </si>
  <si>
    <t>0                      PQ 4817000O  9                  Z  74          2012</t>
  </si>
  <si>
    <t>Nei luoghi di Guido Gozzano : saggio di geografia letteraria / Paolo Mauri.</t>
  </si>
  <si>
    <t>Mauri, Paolo.</t>
  </si>
  <si>
    <t>Savigliano : N. Aragno, ©2012.</t>
  </si>
  <si>
    <t>1171191628:ita</t>
  </si>
  <si>
    <t>812250618</t>
  </si>
  <si>
    <t>ocn812250618</t>
  </si>
  <si>
    <t>31031260074</t>
  </si>
  <si>
    <t>9788884195708</t>
  </si>
  <si>
    <t>794930769</t>
  </si>
  <si>
    <t>PQ4817 O9 Z824 2012</t>
  </si>
  <si>
    <t>0                      PQ 4817000O  9                  Z  824         2012</t>
  </si>
  <si>
    <t>Signore e signorine di Guido Gozzano / Marina Paino.</t>
  </si>
  <si>
    <t>Paino, Marina, author.</t>
  </si>
  <si>
    <t>Biblioteca della modernità letteraria ; 33</t>
  </si>
  <si>
    <t>5219018751:ita</t>
  </si>
  <si>
    <t>824351748</t>
  </si>
  <si>
    <t>ocn824351748</t>
  </si>
  <si>
    <t>3103126066T</t>
  </si>
  <si>
    <t>9788846733597</t>
  </si>
  <si>
    <t>794937716</t>
  </si>
  <si>
    <t>PQ4817 U193 B34 2004</t>
  </si>
  <si>
    <t>0                      PQ 4817000U  193                B  34          2004</t>
  </si>
  <si>
    <t>Baffo racconta / Guareschi ; con un'introduzione di Alessandro Gnocchi.</t>
  </si>
  <si>
    <t>Guareschi, Giovanni, 1908-1968.</t>
  </si>
  <si>
    <t>Milano : Rizzoli, 2004.</t>
  </si>
  <si>
    <t>1. ed. Opere di Giovannino Guareschi.</t>
  </si>
  <si>
    <t>Opere di Guareschi</t>
  </si>
  <si>
    <t>18006712:ita</t>
  </si>
  <si>
    <t>57231141</t>
  </si>
  <si>
    <t>ocm57231141</t>
  </si>
  <si>
    <t>3102510515$</t>
  </si>
  <si>
    <t>9788817003599</t>
  </si>
  <si>
    <t>793909421</t>
  </si>
  <si>
    <t>PQ4817 U193 D63x</t>
  </si>
  <si>
    <t>0                      PQ 4817000U  193                D  63x</t>
  </si>
  <si>
    <t>Don Camillo meets the flower children / Giovanni Guareschi ; translated by L.K. Conrad.</t>
  </si>
  <si>
    <t>New York : Farrar, Straus &amp; Giroux, 1969.</t>
  </si>
  <si>
    <t>2945977334:eng</t>
  </si>
  <si>
    <t>269884</t>
  </si>
  <si>
    <t>ocm00269884</t>
  </si>
  <si>
    <t>31035352510</t>
  </si>
  <si>
    <t>791318104</t>
  </si>
  <si>
    <t>PQ4817 U193 D64 2001</t>
  </si>
  <si>
    <t>0                      PQ 4817000U  193                D  64          2001</t>
  </si>
  <si>
    <t>Don Camillo : mondo piccolo / Guareschi ; con 38 disegni e 9 tavole a colori dell'autore.</t>
  </si>
  <si>
    <t>56. ed.</t>
  </si>
  <si>
    <t>4535625698:ita</t>
  </si>
  <si>
    <t>428009698</t>
  </si>
  <si>
    <t>ocn428009698</t>
  </si>
  <si>
    <t>3102126827L</t>
  </si>
  <si>
    <t>9788817867719</t>
  </si>
  <si>
    <t>794747333</t>
  </si>
  <si>
    <t>PQ4817 U193 D6413 1957</t>
  </si>
  <si>
    <t>0                      PQ 4817000U  193                D  6413        1957</t>
  </si>
  <si>
    <t>Don Camillo takes the Devil by the tail. Translated by Frances Frenaye.</t>
  </si>
  <si>
    <t>New York, Farrar, Straus &amp; Cudahy, 1957.</t>
  </si>
  <si>
    <t>10141674281:eng</t>
  </si>
  <si>
    <t>178940</t>
  </si>
  <si>
    <t>ocm00178940</t>
  </si>
  <si>
    <t>3102739343F</t>
  </si>
  <si>
    <t>791283392</t>
  </si>
  <si>
    <t>PQ4817 U193 M63 1950</t>
  </si>
  <si>
    <t>0                      PQ 4817000U  193                M  63          1950</t>
  </si>
  <si>
    <t>The little world of Don Camillo / by Giovanni Guareschi ; translated from the Italian by Una Vincenzo Troubridge.</t>
  </si>
  <si>
    <t>New York : Grosset and Dunlap, ©1950.</t>
  </si>
  <si>
    <t>1861168295:eng</t>
  </si>
  <si>
    <t>2198820</t>
  </si>
  <si>
    <t>ocm02198820</t>
  </si>
  <si>
    <t>3102739348F</t>
  </si>
  <si>
    <t>792065753</t>
  </si>
  <si>
    <t>PQ4817 U193 Z68 2009</t>
  </si>
  <si>
    <t>0                      PQ 4817000U  193                Z  68          2009</t>
  </si>
  <si>
    <t>Giovannino nostro babbo / Alberto e Carlotta Guareschi.</t>
  </si>
  <si>
    <t>Guareschi, Alberto.</t>
  </si>
  <si>
    <t>Milano : Rizzoli, 2009.</t>
  </si>
  <si>
    <t>2015-02-10</t>
  </si>
  <si>
    <t>485807283:ita</t>
  </si>
  <si>
    <t>620103530</t>
  </si>
  <si>
    <t>ocn620103530</t>
  </si>
  <si>
    <t>3103125086T</t>
  </si>
  <si>
    <t>9788817036627</t>
  </si>
  <si>
    <t>794823466</t>
  </si>
  <si>
    <t>PQ4817 U193 Z69 2010</t>
  </si>
  <si>
    <t>0                      PQ 4817000U  193                Z  69          2010</t>
  </si>
  <si>
    <t>Guareschi : fede e libertà / Giovanni Lugaresi.</t>
  </si>
  <si>
    <t>Lugaresi, Giovanni, 1941-</t>
  </si>
  <si>
    <t>Parma : MUP, ©2010.</t>
  </si>
  <si>
    <t>Belle storie. Saggi ; 10</t>
  </si>
  <si>
    <t>796540912:ita</t>
  </si>
  <si>
    <t>652361503</t>
  </si>
  <si>
    <t>ocn652361503</t>
  </si>
  <si>
    <t>3103125172S</t>
  </si>
  <si>
    <t>9788878473140</t>
  </si>
  <si>
    <t>794833406</t>
  </si>
  <si>
    <t>PQ4817 U193 Z77 2012</t>
  </si>
  <si>
    <t>0                      PQ 4817000U  193                Z  77          2012</t>
  </si>
  <si>
    <t>Guareschi, l'umorismo e la speranza : piccola antologia commentata dall'opera di Giovannino Guareschi / Walter Muto ; prefazione di Paolo Gulisano.</t>
  </si>
  <si>
    <t>Muto, Walter.</t>
  </si>
  <si>
    <t>Genova : Marietti, 2012.</t>
  </si>
  <si>
    <t>L'eco ; 60</t>
  </si>
  <si>
    <t>1098193061:ita</t>
  </si>
  <si>
    <t>783119674</t>
  </si>
  <si>
    <t>ocn783119674</t>
  </si>
  <si>
    <t>3103125751E</t>
  </si>
  <si>
    <t>9788821125065</t>
  </si>
  <si>
    <t>794913805</t>
  </si>
  <si>
    <t>PQ4823 O75 I5</t>
  </si>
  <si>
    <t>0                      PQ 4823000O  75                 I  5</t>
  </si>
  <si>
    <t>L'impero in provincia : cronache italiane dei tempi moderni / Francesco Jovine.</t>
  </si>
  <si>
    <t>Jovine, Francesco, 1902-1950.</t>
  </si>
  <si>
    <t>Roma : Einaudi, 1945.</t>
  </si>
  <si>
    <t>362928629:ita</t>
  </si>
  <si>
    <t>427509271</t>
  </si>
  <si>
    <t>ocn427509271</t>
  </si>
  <si>
    <t>30006155309</t>
  </si>
  <si>
    <t>794671410</t>
  </si>
  <si>
    <t>PQ4823 O75 T8 1974</t>
  </si>
  <si>
    <t>0                      PQ 4823000O  75                 T  8           1974</t>
  </si>
  <si>
    <t>Tutti i miei peccati / Francesco Jovine.</t>
  </si>
  <si>
    <t>1. ed. nei Nuovi coralli.</t>
  </si>
  <si>
    <t>Nuovi coralli ; 98</t>
  </si>
  <si>
    <t>2574600:ita</t>
  </si>
  <si>
    <t>1951485</t>
  </si>
  <si>
    <t>ocm01951485</t>
  </si>
  <si>
    <t>30003960859</t>
  </si>
  <si>
    <t>792017178</t>
  </si>
  <si>
    <t>PQ4823 O75 U65 1934</t>
  </si>
  <si>
    <t>0                      PQ 4823000O  75                 U  65          1934</t>
  </si>
  <si>
    <t>Un uomo provvisorio : romanzo.</t>
  </si>
  <si>
    <t>[Modena] : Guanda, 1934.</t>
  </si>
  <si>
    <t>1934</t>
  </si>
  <si>
    <t>47478748:ita</t>
  </si>
  <si>
    <t>61613313</t>
  </si>
  <si>
    <t>ocm61613313</t>
  </si>
  <si>
    <t>31030215359</t>
  </si>
  <si>
    <t>794051556</t>
  </si>
  <si>
    <t>PQ4823 O75 Z61 2013</t>
  </si>
  <si>
    <t>0                      PQ 4823000O  75                 Z  61          2013</t>
  </si>
  <si>
    <t>Francesco Jovine : il percorso narrativo / Luigi Cattanei.</t>
  </si>
  <si>
    <t>Cattanei, Luigi.</t>
  </si>
  <si>
    <t>Acqui Termi (AL) : Impressioni grafiche, [2013]</t>
  </si>
  <si>
    <t>1391859727:ita</t>
  </si>
  <si>
    <t>842837401</t>
  </si>
  <si>
    <t>ocn842837401</t>
  </si>
  <si>
    <t>3103126206Z</t>
  </si>
  <si>
    <t>9788861951099</t>
  </si>
  <si>
    <t>794947580</t>
  </si>
  <si>
    <t>PQ4823 O9 P37 1945</t>
  </si>
  <si>
    <t>0                      PQ 4823000O  9                  P  37          1945</t>
  </si>
  <si>
    <t>Il pastore sepolto.</t>
  </si>
  <si>
    <t>[Roma] Tumminelli [1945]</t>
  </si>
  <si>
    <t>[1. ed.].</t>
  </si>
  <si>
    <t>Nuova biblioteca Italiana, 26.</t>
  </si>
  <si>
    <t>4915386021:ita</t>
  </si>
  <si>
    <t>10832165</t>
  </si>
  <si>
    <t>ocm10832165</t>
  </si>
  <si>
    <t>3000788759O</t>
  </si>
  <si>
    <t>792745776</t>
  </si>
  <si>
    <t>PQ4827 A57 C33x</t>
  </si>
  <si>
    <t>0                      PQ 4827000A  57                 C  33x</t>
  </si>
  <si>
    <t>Cancerqueen, and other stories / Tommaso Landolfi ; translated by Raymond Rosenthal.</t>
  </si>
  <si>
    <t>Landolfi, Tommaso, 1908-1979, author.</t>
  </si>
  <si>
    <t>New York : Dial Press, 1971.</t>
  </si>
  <si>
    <t>2016-06-18</t>
  </si>
  <si>
    <t>1173230:eng</t>
  </si>
  <si>
    <t>151775</t>
  </si>
  <si>
    <t>ocm00151775</t>
  </si>
  <si>
    <t>3103223836H</t>
  </si>
  <si>
    <t>791273486</t>
  </si>
  <si>
    <t>PQ4827 A57 D53 2012</t>
  </si>
  <si>
    <t>0                      PQ 4827000A  57                 D  53          2012</t>
  </si>
  <si>
    <t>Diario perpetuo : Elzeviri 1967-1978 / Tommaso Landolfi ; a cura di Giovanni Maccari.</t>
  </si>
  <si>
    <t>Milano : Adelphi edizioni, [2012]</t>
  </si>
  <si>
    <t>Biblioteca Adelphi ; 593</t>
  </si>
  <si>
    <t>1352704925:ita</t>
  </si>
  <si>
    <t>794362139</t>
  </si>
  <si>
    <t>ocn794362139</t>
  </si>
  <si>
    <t>3103125943A</t>
  </si>
  <si>
    <t>9788845927171</t>
  </si>
  <si>
    <t>794919738</t>
  </si>
  <si>
    <t>PQ4827 A57 R3513</t>
  </si>
  <si>
    <t>0                      PQ 4827000A  57                 R  3513</t>
  </si>
  <si>
    <t>An autumn story / Tommaso Landolfi ; translated by Joachim Neugroschel.</t>
  </si>
  <si>
    <t>Landolfi, Tommaso, 1908-1979.</t>
  </si>
  <si>
    <t>Hygiene, Colo. : Eridanos Press ; New York, N.Y. : Distributed in the U.S.A. by Rizzoli International, ©1989.</t>
  </si>
  <si>
    <t>The Eridanos library ; 14</t>
  </si>
  <si>
    <t>43913434:eng</t>
  </si>
  <si>
    <t>19917368</t>
  </si>
  <si>
    <t>ocm19917368</t>
  </si>
  <si>
    <t>3102529551O</t>
  </si>
  <si>
    <t>9780941419277</t>
  </si>
  <si>
    <t>793072039</t>
  </si>
  <si>
    <t>PQ4827 A57 Z647 2008</t>
  </si>
  <si>
    <t>0                      PQ 4827000A  57                 Z  647         2008</t>
  </si>
  <si>
    <t>La "filosofia spontanea" di Tommaso Landolfi / a cura di Cristina Terrile.</t>
  </si>
  <si>
    <t>Convegno internazionale Tommaso Landolfi ou la "philosophie spontanée" de l'écrivain (2008 : Tours, France)</t>
  </si>
  <si>
    <t>Saggi ; 90</t>
  </si>
  <si>
    <t>892707489:ita</t>
  </si>
  <si>
    <t>642806376</t>
  </si>
  <si>
    <t>ocn642806376</t>
  </si>
  <si>
    <t>31031251123</t>
  </si>
  <si>
    <t>9788860873521</t>
  </si>
  <si>
    <t>794828397</t>
  </si>
  <si>
    <t>PQ4827 A57 Z77 2015</t>
  </si>
  <si>
    <t>0                      PQ 4827000A  57                 Z  77          2015</t>
  </si>
  <si>
    <t>"Il piccolo vascello solca i mari" : Tommaso Landolfi e i suoi editori : bibliografia degli scritti di e su Landolfi (1929-2006) / Idolina Landolfi.</t>
  </si>
  <si>
    <t>Landolfi, Idolina, author.</t>
  </si>
  <si>
    <t>Fiesole (Firenze) : Edizioni Cadmo, [2015]</t>
  </si>
  <si>
    <t>2298453946:ita</t>
  </si>
  <si>
    <t>903598994</t>
  </si>
  <si>
    <t>ocn903598994</t>
  </si>
  <si>
    <t>3103621360P</t>
  </si>
  <si>
    <t>9788879233255</t>
  </si>
  <si>
    <t>794989461</t>
  </si>
  <si>
    <t>3103621364H</t>
  </si>
  <si>
    <t>794989460</t>
  </si>
  <si>
    <t>PQ4827 A57 Z795 2012</t>
  </si>
  <si>
    <t>0                      PQ 4827000A  57                 Z  795         2012</t>
  </si>
  <si>
    <t>Eros, logos e "divina inconcludenza" nella poesia di Tommaso Landolfi / Dario Momigliano.</t>
  </si>
  <si>
    <t>text + 1 CD Rom</t>
  </si>
  <si>
    <t>Momigliano, Dario.</t>
  </si>
  <si>
    <t>Impronte. Letteratura ; 11</t>
  </si>
  <si>
    <t>1208528264:ita</t>
  </si>
  <si>
    <t>827934497</t>
  </si>
  <si>
    <t>ocn827934497</t>
  </si>
  <si>
    <t>3103126132W</t>
  </si>
  <si>
    <t>9788878706651</t>
  </si>
  <si>
    <t>794940404</t>
  </si>
  <si>
    <t>PQ4827 A57 Z873 2010</t>
  </si>
  <si>
    <t>0                      PQ 4827000A  57                 Z  873         2010</t>
  </si>
  <si>
    <t>Tommaso Landolfi e il caleidoscopio delle forme : 23 ottobre 2008 / a cura di Marcello Verdenelli, Eleonora Ercolani.</t>
  </si>
  <si>
    <t>Impronte. Atti</t>
  </si>
  <si>
    <t>2289411841:ita</t>
  </si>
  <si>
    <t>609530462</t>
  </si>
  <si>
    <t>ocn609530462</t>
  </si>
  <si>
    <t>31031250410</t>
  </si>
  <si>
    <t>9788878704671</t>
  </si>
  <si>
    <t>794820022</t>
  </si>
  <si>
    <t>PQ4827 A57 Z884 2010</t>
  </si>
  <si>
    <t>0                      PQ 4827000A  57                 Z  884         2010</t>
  </si>
  <si>
    <t>Il teatro di Landolfi / a cura di Anna Dolfi, Maria Carla Papini.</t>
  </si>
  <si>
    <t>510845514:ita</t>
  </si>
  <si>
    <t>631125813</t>
  </si>
  <si>
    <t>ocn631125813</t>
  </si>
  <si>
    <t>3103125094R</t>
  </si>
  <si>
    <t>9788878704688</t>
  </si>
  <si>
    <t>794824781</t>
  </si>
  <si>
    <t>PQ4827 A57 Z98 2013</t>
  </si>
  <si>
    <t>0                      PQ 4827000A  57                 Z  98          2013</t>
  </si>
  <si>
    <t>L'oscura foresta : simboli del fantastico in Landolfi / Franco Zangrilli.</t>
  </si>
  <si>
    <t>Caltanissetta : S. Sciascia, ©2013.</t>
  </si>
  <si>
    <t>1371517104:ita</t>
  </si>
  <si>
    <t>848752201</t>
  </si>
  <si>
    <t>ocn848752201</t>
  </si>
  <si>
    <t>3103126253P</t>
  </si>
  <si>
    <t>9788882414160</t>
  </si>
  <si>
    <t>794949973</t>
  </si>
  <si>
    <t>PQ4827 A57 1991</t>
  </si>
  <si>
    <t>0                      PQ 4827000A  57          1991</t>
  </si>
  <si>
    <t>Opere / Tommaso Landolfi ; a cura di Idolina Landolfi ; prefazione di Carlo Bo.</t>
  </si>
  <si>
    <t>Milano : Rizzoli, 1991-&lt;1992&gt;</t>
  </si>
  <si>
    <t>Classici contemporanei Rizzoli</t>
  </si>
  <si>
    <t>2017-07-15</t>
  </si>
  <si>
    <t>3375696471:ita</t>
  </si>
  <si>
    <t>24416568</t>
  </si>
  <si>
    <t>ocm24416568</t>
  </si>
  <si>
    <t>3101222831E</t>
  </si>
  <si>
    <t>9788817663946</t>
  </si>
  <si>
    <t>793197792</t>
  </si>
  <si>
    <t>PQ4827 E93 A6 2004</t>
  </si>
  <si>
    <t>0                      PQ 4827000E  93                 A  6           2004</t>
  </si>
  <si>
    <t>Il dovere dei tempi : prose politiche e civili / Carlo Levi ; a cura di Luisa Montevecchi ; introduzione di Nicola Tranfaglia ; con un ritratto biografico di Carlo Levi a cura di Gigliola De Donato.</t>
  </si>
  <si>
    <t>Levi, Carlo, 1902-1975.</t>
  </si>
  <si>
    <t>Roma : Donzelli, 2004.</t>
  </si>
  <si>
    <t>366804813:ita</t>
  </si>
  <si>
    <t>60390745</t>
  </si>
  <si>
    <t>ocm60390745</t>
  </si>
  <si>
    <t>3102530246T</t>
  </si>
  <si>
    <t>9788879899390</t>
  </si>
  <si>
    <t>793936854</t>
  </si>
  <si>
    <t>PQ4827 E93 C6 1975</t>
  </si>
  <si>
    <t>0                      PQ 4827000E  93                 C  6           1975</t>
  </si>
  <si>
    <t>Coraggio dei miti : scritti contemporanei, 1922-1974 / Carlo Levi ; a cura di Gigliola De Donato.</t>
  </si>
  <si>
    <t>Bari : De Donato, [©1975]</t>
  </si>
  <si>
    <t>Rapporti</t>
  </si>
  <si>
    <t>2015-12-19</t>
  </si>
  <si>
    <t>360394349:ita</t>
  </si>
  <si>
    <t>2495620</t>
  </si>
  <si>
    <t>ocm02495620</t>
  </si>
  <si>
    <t>30004045875</t>
  </si>
  <si>
    <t>792135293</t>
  </si>
  <si>
    <t>PQ4827 E93 C737 2015</t>
  </si>
  <si>
    <t>0                      PQ 4827000E  93                 C  737         2015</t>
  </si>
  <si>
    <t>Cristo si è fermato a Eboli di Carlo Levi / a cura di Antonio Lucio Giannone.</t>
  </si>
  <si>
    <t>Società italiana per lo studio della modernità letteraria. Seminario (2013 : Lecce, Italy)</t>
  </si>
  <si>
    <t>La modernità letteraria, 2421-1001 ; 51</t>
  </si>
  <si>
    <t>2564248882:ita</t>
  </si>
  <si>
    <t>913218071</t>
  </si>
  <si>
    <t>ocn913218071</t>
  </si>
  <si>
    <t>3103627823I</t>
  </si>
  <si>
    <t>9788846741851</t>
  </si>
  <si>
    <t>794999248</t>
  </si>
  <si>
    <t>PQ4827 E93 R35 2004</t>
  </si>
  <si>
    <t>0                      PQ 4827000E  93                 R  35          2004</t>
  </si>
  <si>
    <t>Le ragioni dei topi : storie di animali / Carlo Levi ; a cura di Gigliola De Donato ; introduzione di Franco Cassano ; postfazione e bestiario leviano di Guido Sacerdoti.</t>
  </si>
  <si>
    <t>Roma : Donzelli editore, ©2004.</t>
  </si>
  <si>
    <t>2018-11-07</t>
  </si>
  <si>
    <t>366754492:ita</t>
  </si>
  <si>
    <t>56122035</t>
  </si>
  <si>
    <t>ocm56122035</t>
  </si>
  <si>
    <t>31024452862</t>
  </si>
  <si>
    <t>9788879898836</t>
  </si>
  <si>
    <t>793888306</t>
  </si>
  <si>
    <t>PQ4827 E93 Z465 2003</t>
  </si>
  <si>
    <t>0                      PQ 4827000E  93                 Z  465         2003</t>
  </si>
  <si>
    <t>Un dolente amore per la vita : conversazioni radiofoniche e interviste / Carlo Levi ; a cura di Luigi M. Lombardi Satriani e Letizia Bindi.</t>
  </si>
  <si>
    <t>Roma : Donzelli, ©2003.</t>
  </si>
  <si>
    <t>Opere in prosa di Carlo Levi</t>
  </si>
  <si>
    <t>350947916:ita</t>
  </si>
  <si>
    <t>52442564</t>
  </si>
  <si>
    <t>ocm52442564</t>
  </si>
  <si>
    <t>3102300700C</t>
  </si>
  <si>
    <t>9788879897853</t>
  </si>
  <si>
    <t>793806672</t>
  </si>
  <si>
    <t>PQ4827 E93 Z582 2001</t>
  </si>
  <si>
    <t>0                      PQ 4827000E  93                 Z  582         2001</t>
  </si>
  <si>
    <t>Un torinese del Sud : Carlo Levi : una biografia / Gigliola De Donato, Sergio D'Amaro.</t>
  </si>
  <si>
    <t>De Donato, Gigliola, 1931-</t>
  </si>
  <si>
    <t>Milano : Baldini &amp; Castoldi, ©2001.</t>
  </si>
  <si>
    <t>Storie della storia d'Italia ; 57</t>
  </si>
  <si>
    <t>350758781:ita</t>
  </si>
  <si>
    <t>46682687</t>
  </si>
  <si>
    <t>ocm46682687</t>
  </si>
  <si>
    <t>3102133216M</t>
  </si>
  <si>
    <t>9788880899891</t>
  </si>
  <si>
    <t>793689409</t>
  </si>
  <si>
    <t>PQ4827 E93 Z59 2010</t>
  </si>
  <si>
    <t>0                      PQ 4827000E  93                 Z  59          2010</t>
  </si>
  <si>
    <t>Carlo Levi e la Francia / Giovanni Dotoli.</t>
  </si>
  <si>
    <t>Dotoli, Giovanni.</t>
  </si>
  <si>
    <t>Fasano (Brindisi) : Schena, ©2010.</t>
  </si>
  <si>
    <t>Poesia e racconto ; 66</t>
  </si>
  <si>
    <t>908570783:ita</t>
  </si>
  <si>
    <t>709663839</t>
  </si>
  <si>
    <t>ocn709663839</t>
  </si>
  <si>
    <t>3103125347S</t>
  </si>
  <si>
    <t>9788882298869</t>
  </si>
  <si>
    <t>794869547</t>
  </si>
  <si>
    <t>PQ4827 E93 Z69 2012</t>
  </si>
  <si>
    <t>0                      PQ 4827000E  93                 Z  69          2012</t>
  </si>
  <si>
    <t>Carlo Levi's visual poetics : the painter as writer / Giovanna Faleschini Lerner.</t>
  </si>
  <si>
    <t>Lerner, Giovanna Faleschini, 1972-</t>
  </si>
  <si>
    <t>1360736621:eng</t>
  </si>
  <si>
    <t>785068358</t>
  </si>
  <si>
    <t>ocn785068358</t>
  </si>
  <si>
    <t>31035523039</t>
  </si>
  <si>
    <t>9780230390645</t>
  </si>
  <si>
    <t>794914644</t>
  </si>
  <si>
    <t>PQ4827 E93 Z77 2012</t>
  </si>
  <si>
    <t>0                      PQ 4827000E  93                 Z  77          2012</t>
  </si>
  <si>
    <t>Da "Paura della libertà" a "Quaderno a cancelli" : miti e ideologie nell'opera letteraria di Carlo Levi : l'infinito desiderio di libertà e di verità e la sua inconciliabilità con la realtà sociale / Roberto Mongardini.</t>
  </si>
  <si>
    <t>Mongardini, Roberto.</t>
  </si>
  <si>
    <t>Roma : Edicusano : Nuova cultura, 2012.</t>
  </si>
  <si>
    <t>Edutec ; 4</t>
  </si>
  <si>
    <t>1380023473:ita</t>
  </si>
  <si>
    <t>834494772</t>
  </si>
  <si>
    <t>ocn834494772</t>
  </si>
  <si>
    <t>3103126189M</t>
  </si>
  <si>
    <t>9788861349308</t>
  </si>
  <si>
    <t>794944366</t>
  </si>
  <si>
    <t>PQ4827 E93 Z8183 2011</t>
  </si>
  <si>
    <t>0                      PQ 4827000E  93                 Z  8183        2011</t>
  </si>
  <si>
    <t>Carlo Levi segreto / Giovanni Russo.</t>
  </si>
  <si>
    <t>Russo, Giovanni, 1925-</t>
  </si>
  <si>
    <t>Milano : Dalai, 2011.</t>
  </si>
  <si>
    <t>I saggi ; 432</t>
  </si>
  <si>
    <t>982018969:ita</t>
  </si>
  <si>
    <t>745970924</t>
  </si>
  <si>
    <t>ocn745970924</t>
  </si>
  <si>
    <t>3103125533O</t>
  </si>
  <si>
    <t>9788860738400</t>
  </si>
  <si>
    <t>794886767</t>
  </si>
  <si>
    <t>PQ4827 E93 Z943 2002</t>
  </si>
  <si>
    <t>0                      PQ 4827000E  93                 Z  943         2002</t>
  </si>
  <si>
    <t>Carlo Levi : gli italiani e la paura ... / David Ward ; con un saggio di Giovanni Luna.</t>
  </si>
  <si>
    <t>Ward, David, 1953-</t>
  </si>
  <si>
    <t>Milano : La nuova Italia, 2002.</t>
  </si>
  <si>
    <t>Dall'azionismo agli azionisti ; 9</t>
  </si>
  <si>
    <t>3902103621:ita</t>
  </si>
  <si>
    <t>52086658</t>
  </si>
  <si>
    <t>ocm52086658</t>
  </si>
  <si>
    <t>3102318448D</t>
  </si>
  <si>
    <t>9788822139634</t>
  </si>
  <si>
    <t>793798201</t>
  </si>
  <si>
    <t>PQ4827 O635 A9 1947</t>
  </si>
  <si>
    <t>0                      PQ 4827000O  635                A  9           1947</t>
  </si>
  <si>
    <t>Artemisia; romanzo.</t>
  </si>
  <si>
    <t>Longhi Lopresti, Lucia.</t>
  </si>
  <si>
    <t>Firenze, G.C. Sansoni [1947]</t>
  </si>
  <si>
    <t>782521:ita</t>
  </si>
  <si>
    <t>77607440</t>
  </si>
  <si>
    <t>ocm77607440</t>
  </si>
  <si>
    <t>3000790027P</t>
  </si>
  <si>
    <t>794192701</t>
  </si>
  <si>
    <t>PQ4827 O635 A9 1953</t>
  </si>
  <si>
    <t>0                      PQ 4827000O  635                A  9           1953</t>
  </si>
  <si>
    <t>Artemisia : romanzo di Anna Banti [pseud.</t>
  </si>
  <si>
    <t>Banti, Anna.</t>
  </si>
  <si>
    <t>Milano] : Mondadori, 1953.</t>
  </si>
  <si>
    <t>Grandi narratori italiani, v. 8</t>
  </si>
  <si>
    <t>2019-08-19</t>
  </si>
  <si>
    <t>5615708457:ita</t>
  </si>
  <si>
    <t>61577524</t>
  </si>
  <si>
    <t>ocm61577524</t>
  </si>
  <si>
    <t>30002023781</t>
  </si>
  <si>
    <t>794013188</t>
  </si>
  <si>
    <t>PQ4827 O635 A913 1988</t>
  </si>
  <si>
    <t>0                      PQ 4827000O  635                A  913         1988</t>
  </si>
  <si>
    <t>Artemisia / by Anna Banti ; translated and with an afterword by Shirley D'Ardia Caracciolo.</t>
  </si>
  <si>
    <t>Banti, Anna, author.</t>
  </si>
  <si>
    <t>Lincoln and London : University of Nebraska Press, [1988]</t>
  </si>
  <si>
    <t>European women writers series</t>
  </si>
  <si>
    <t>782521:eng</t>
  </si>
  <si>
    <t>17733255</t>
  </si>
  <si>
    <t>ocm17733255</t>
  </si>
  <si>
    <t>3102800119Z</t>
  </si>
  <si>
    <t>9780803212039</t>
  </si>
  <si>
    <t>793001706</t>
  </si>
  <si>
    <t>PQ4827 O635 Z69 2010</t>
  </si>
  <si>
    <t>0                      PQ 4827000O  635                Z  69          2010</t>
  </si>
  <si>
    <t>Anna Banti and the (im)possibility of love / by Wissia Fiorucci.</t>
  </si>
  <si>
    <t>Fiorucci, Wissia.</t>
  </si>
  <si>
    <t>Newcastle : Cambridge Scholars, 2010.</t>
  </si>
  <si>
    <t>2016-07-15</t>
  </si>
  <si>
    <t>551848568:eng</t>
  </si>
  <si>
    <t>651075136</t>
  </si>
  <si>
    <t>ocn651075136</t>
  </si>
  <si>
    <t>3103230693I</t>
  </si>
  <si>
    <t>9781443823364</t>
  </si>
  <si>
    <t>794832785</t>
  </si>
  <si>
    <t>PQ4827 U9 A17 1999</t>
  </si>
  <si>
    <t>0                      PQ 4827000U  9                  A  17          1999</t>
  </si>
  <si>
    <t>L'opera poetica / Mario Luzi ; a cura e con un saggio introduttivo di Stefano Verdino.</t>
  </si>
  <si>
    <t>Luzi, Mario.</t>
  </si>
  <si>
    <t>Milano : A. Mondadori, 1999.</t>
  </si>
  <si>
    <t>2. ed. I meridiani.</t>
  </si>
  <si>
    <t>2018-01-03</t>
  </si>
  <si>
    <t>10141734618:ita</t>
  </si>
  <si>
    <t>41179380</t>
  </si>
  <si>
    <t>ocm41179380</t>
  </si>
  <si>
    <t>3102014789Q</t>
  </si>
  <si>
    <t>9788804452881</t>
  </si>
  <si>
    <t>793586236</t>
  </si>
  <si>
    <t>PQ4827 U9 G5x</t>
  </si>
  <si>
    <t>0                      PQ 4827000U  9                  G  5x</t>
  </si>
  <si>
    <t>Tutte le poesie / Mario Luzi.</t>
  </si>
  <si>
    <t>Milano : Garzanti, 1960.</t>
  </si>
  <si>
    <t>2015-12-12</t>
  </si>
  <si>
    <t>5090588920:ita</t>
  </si>
  <si>
    <t>61591614</t>
  </si>
  <si>
    <t>ocm61591614</t>
  </si>
  <si>
    <t>3000629019S</t>
  </si>
  <si>
    <t>794030614</t>
  </si>
  <si>
    <t>PQ4827 U9 Z48 2011</t>
  </si>
  <si>
    <t>0                      PQ 4827000U  9                  Z  48          2011</t>
  </si>
  <si>
    <t>"Pensando a te nelle voluttuose spire, le sigarette della tua gentilezza ..." : lettere inedite (1941-1993) / Mario Luzi - Giacinto Spagnoletti ; a cura di Paola Benigni ; prefazione di Stefano Verdino.</t>
  </si>
  <si>
    <t>Viterbo : Edizioni Sette città, [2011]</t>
  </si>
  <si>
    <t>2534206202:ita</t>
  </si>
  <si>
    <t>903942283</t>
  </si>
  <si>
    <t>ocn903942283</t>
  </si>
  <si>
    <t>31036213875</t>
  </si>
  <si>
    <t>9788878532571</t>
  </si>
  <si>
    <t>794989840</t>
  </si>
  <si>
    <t>PQ4827 U9 Z52 2015</t>
  </si>
  <si>
    <t>0                      PQ 4827000U  9                  Z  52          2015</t>
  </si>
  <si>
    <t>Mario Luzi : il "sistema" della natura / Irene Baccarini.</t>
  </si>
  <si>
    <t>Baccarini, Irene, author.</t>
  </si>
  <si>
    <t>Roma : Edizioni Studium, [2015]</t>
  </si>
  <si>
    <t>Cultura studium ; 51. Nuova serie</t>
  </si>
  <si>
    <t>2613260758:ita</t>
  </si>
  <si>
    <t>921144864</t>
  </si>
  <si>
    <t>ocn921144864</t>
  </si>
  <si>
    <t>3103624724Z</t>
  </si>
  <si>
    <t>9788838242816</t>
  </si>
  <si>
    <t>795002915</t>
  </si>
  <si>
    <t>PQ4827 U9 Z646 2016</t>
  </si>
  <si>
    <t>0                      PQ 4827000U  9                  Z  646         2016</t>
  </si>
  <si>
    <t>La parola ritrovata : cammini di ricerca poetica nell'opera di Mario Luzi e di Vittorio Sereni / Annamaria Cecchetto.</t>
  </si>
  <si>
    <t>Roma : Fondazione Mario Luzi Editore, 2016.</t>
  </si>
  <si>
    <t>Critica letteraria</t>
  </si>
  <si>
    <t>3890095006:ita</t>
  </si>
  <si>
    <t>954436239</t>
  </si>
  <si>
    <t>ocn954436239</t>
  </si>
  <si>
    <t>31037161534</t>
  </si>
  <si>
    <t>9788867480821</t>
  </si>
  <si>
    <t>795019768</t>
  </si>
  <si>
    <t>PQ4827 U9 Z66 2010</t>
  </si>
  <si>
    <t>0                      PQ 4827000U  9                  Z  66          2010</t>
  </si>
  <si>
    <t>Mario Luzi : le stagioni del giusto (1935-1960) / Cosimo Cucinotta.</t>
  </si>
  <si>
    <t>Cucinotta, Cosimo.</t>
  </si>
  <si>
    <t>Firenze : Le lettere, 2010.</t>
  </si>
  <si>
    <t>Saggi ; 89</t>
  </si>
  <si>
    <t>796385127:ita</t>
  </si>
  <si>
    <t>642806045</t>
  </si>
  <si>
    <t>ocn642806045</t>
  </si>
  <si>
    <t>31031251133</t>
  </si>
  <si>
    <t>9788860873163</t>
  </si>
  <si>
    <t>794828386</t>
  </si>
  <si>
    <t>PQ4827 U9 Z814 1998</t>
  </si>
  <si>
    <t>0                      PQ 4827000U  9                  Z  814         1998</t>
  </si>
  <si>
    <t>Invito alla lettura di Mario Luzi / Marco Marchi.</t>
  </si>
  <si>
    <t>Marchi, Marco, 1951-</t>
  </si>
  <si>
    <t>Milano : Mursia, ©1998.</t>
  </si>
  <si>
    <t>Invito alla lettura. Sezione italiana ; 110</t>
  </si>
  <si>
    <t>42670328:ita</t>
  </si>
  <si>
    <t>39797592</t>
  </si>
  <si>
    <t>ocm39797592</t>
  </si>
  <si>
    <t>3101911511V</t>
  </si>
  <si>
    <t>9788842523437</t>
  </si>
  <si>
    <t>793553608</t>
  </si>
  <si>
    <t>PQ4827 U9 Z8153 2012</t>
  </si>
  <si>
    <t>0                      PQ 4827000U  9                  Z  8153        2012</t>
  </si>
  <si>
    <t>Per Luzi / Marco Marchi.</t>
  </si>
  <si>
    <t>Firenze : Le Lettere, [2012]</t>
  </si>
  <si>
    <t>La nuova meridiana ; 74</t>
  </si>
  <si>
    <t>1083654544:ita</t>
  </si>
  <si>
    <t>779253179</t>
  </si>
  <si>
    <t>ocn779253179</t>
  </si>
  <si>
    <t>31031257808</t>
  </si>
  <si>
    <t>9788860875280</t>
  </si>
  <si>
    <t>794910669</t>
  </si>
  <si>
    <t>PQ4827 U9 Z82155 2015</t>
  </si>
  <si>
    <t>0                      PQ 4827000U  9                  Z  82155       2015</t>
  </si>
  <si>
    <t>Mario Luzi (1914-2014) : mostra bio-biliografica : Genova - Biblioteca Berio, 10-31 marzo 2015.</t>
  </si>
  <si>
    <t>Genova : Fondazione Giorgio e Lilli Devoto, [2015]</t>
  </si>
  <si>
    <t>2505550875:ita</t>
  </si>
  <si>
    <t>908024647</t>
  </si>
  <si>
    <t>ocn908024647</t>
  </si>
  <si>
    <t>3103628089F</t>
  </si>
  <si>
    <t>9788874942541</t>
  </si>
  <si>
    <t>794994100</t>
  </si>
  <si>
    <t>PQ4827 U9 Z8277 2011</t>
  </si>
  <si>
    <t>0                      PQ 4827000U  9                  Z  8277        2011</t>
  </si>
  <si>
    <t>Oltre il varco : occasioni luziane / Marco Merlin.</t>
  </si>
  <si>
    <t>Merlin, Marco.</t>
  </si>
  <si>
    <t>Novi Ligure (Alessandria) : Puntoacapo, 2011.</t>
  </si>
  <si>
    <t>Crinali ; n. 5</t>
  </si>
  <si>
    <t>904320769:ita</t>
  </si>
  <si>
    <t>727359917</t>
  </si>
  <si>
    <t>ocn727359917</t>
  </si>
  <si>
    <t>3103125572G</t>
  </si>
  <si>
    <t>9788896020838</t>
  </si>
  <si>
    <t>794877982</t>
  </si>
  <si>
    <t>PQ4827 U9 Z888 2014</t>
  </si>
  <si>
    <t>0                      PQ 4827000U  9                  Z  888         2014</t>
  </si>
  <si>
    <t>"Sia grazia essere qui" : intorno a Mario Luzi / Silvio Ramat.</t>
  </si>
  <si>
    <t>Ramat, Silvio, 1939- author.</t>
  </si>
  <si>
    <t>Firenze : Le Cáriti editore, novembre 2014.</t>
  </si>
  <si>
    <t>"Talia" ; n. 12</t>
  </si>
  <si>
    <t>4435454118:ita</t>
  </si>
  <si>
    <t>902638958</t>
  </si>
  <si>
    <t>ocn902638958</t>
  </si>
  <si>
    <t>3103621370M</t>
  </si>
  <si>
    <t>9788887657906</t>
  </si>
  <si>
    <t>794988308</t>
  </si>
  <si>
    <t>PQ4827 U9 Z938 2010</t>
  </si>
  <si>
    <t>0                      PQ 4827000U  9                  Z  938         2010</t>
  </si>
  <si>
    <t>Mario Luzi : la poesia in teatro / saggio critico di Emiliano Ventura.</t>
  </si>
  <si>
    <t>Ventura, Emiliano, 1973-</t>
  </si>
  <si>
    <t>Roma : Scienze e lettere, ©2010.</t>
  </si>
  <si>
    <t>476773456:ita</t>
  </si>
  <si>
    <t>607970989</t>
  </si>
  <si>
    <t>ocn607970989</t>
  </si>
  <si>
    <t>3103125052Z</t>
  </si>
  <si>
    <t>9788888620756</t>
  </si>
  <si>
    <t>794818453</t>
  </si>
  <si>
    <t>PQ4827 U9 Z947 2015</t>
  </si>
  <si>
    <t>0                      PQ 4827000U  9                  Z  947         2015</t>
  </si>
  <si>
    <t>Mario Luzi : il tessuto dei legami poetici / Rosario Vitale.</t>
  </si>
  <si>
    <t>Vitale, Rosario, author.</t>
  </si>
  <si>
    <t>Studi, 2035-4363 ; 16</t>
  </si>
  <si>
    <t>2301770127:ita</t>
  </si>
  <si>
    <t>908335868</t>
  </si>
  <si>
    <t>ocn908335868</t>
  </si>
  <si>
    <t>3103628600X</t>
  </si>
  <si>
    <t>9788860323262</t>
  </si>
  <si>
    <t>794994537</t>
  </si>
  <si>
    <t>PQ4829 A515 A2 2013</t>
  </si>
  <si>
    <t>0                      PQ 4829000A  515                A  2           2013</t>
  </si>
  <si>
    <t>The bird that swallowed its cage : the selected writings of Curzio Malaparte / adapted and translated by Walter Murch ; with an afterword by Lawrence Weschler.</t>
  </si>
  <si>
    <t>Malaparte, Curzio, 1898-1957.</t>
  </si>
  <si>
    <t>Berkeley : Counterpoint, [2013]</t>
  </si>
  <si>
    <t>1366442448:eng</t>
  </si>
  <si>
    <t>788236109</t>
  </si>
  <si>
    <t>ocn788236109</t>
  </si>
  <si>
    <t>3103472361U</t>
  </si>
  <si>
    <t>9781619020610</t>
  </si>
  <si>
    <t>794916209</t>
  </si>
  <si>
    <t>PQ4829 A515 A6 1997</t>
  </si>
  <si>
    <t>0                      PQ 4829000A  515                A  6           1997</t>
  </si>
  <si>
    <t>Opere scelte / Curzio Malaparte ; a cura di Luigi Martellini ; con una testimonianza di Giancarlo Vigorelli.</t>
  </si>
  <si>
    <t>143708512:ita</t>
  </si>
  <si>
    <t>37935963</t>
  </si>
  <si>
    <t>ocm37935963</t>
  </si>
  <si>
    <t>3101915526Z</t>
  </si>
  <si>
    <t>9788804434368</t>
  </si>
  <si>
    <t>793510819</t>
  </si>
  <si>
    <t>PQ4829 A515 B3513 2018</t>
  </si>
  <si>
    <t>0                      PQ 4829000A  515                B  3513        2018</t>
  </si>
  <si>
    <t>The Kremlin ball : material for a novel / Curzio Malaparte ; translated from the Italian by Jenny McPhee.</t>
  </si>
  <si>
    <t>Malaparte, Curzio, 1898-1957, author.</t>
  </si>
  <si>
    <t>New York : New York Review Books, [2018]</t>
  </si>
  <si>
    <t>2019-01-23</t>
  </si>
  <si>
    <t>5105507606:eng</t>
  </si>
  <si>
    <t>991367928</t>
  </si>
  <si>
    <t>ocn991367928</t>
  </si>
  <si>
    <t>3103810035X</t>
  </si>
  <si>
    <t>9781681372099</t>
  </si>
  <si>
    <t>795037959</t>
  </si>
  <si>
    <t>PQ4829 A515 D65 1985</t>
  </si>
  <si>
    <t>0                      PQ 4829000A  515                D  65          1985</t>
  </si>
  <si>
    <t>Il dorato sole dell'inferno etrusco e altre prose / Curzio Malaparte ; introduzione di Luigi Testaferrata.</t>
  </si>
  <si>
    <t>Firenze : F. Cesati, [1985]</t>
  </si>
  <si>
    <t>Biblioteca dell'orsa minore ; 2</t>
  </si>
  <si>
    <t>366315758:ita</t>
  </si>
  <si>
    <t>13870483</t>
  </si>
  <si>
    <t>ocm13870483</t>
  </si>
  <si>
    <t>3000533030Y</t>
  </si>
  <si>
    <t>9788876670244</t>
  </si>
  <si>
    <t>792870107</t>
  </si>
  <si>
    <t>PQ4829 A515 P4 1950</t>
  </si>
  <si>
    <t>0                      PQ 4829000A  515                P  4           1950</t>
  </si>
  <si>
    <t>La pelle : storia e racconto / Curzio Malaparte.</t>
  </si>
  <si>
    <t>Roma : Aria d'Italia, 1950, ©1949.</t>
  </si>
  <si>
    <t>Opere di Curzio Malaparte</t>
  </si>
  <si>
    <t>617344:ita</t>
  </si>
  <si>
    <t>2234731</t>
  </si>
  <si>
    <t>ocm02234731</t>
  </si>
  <si>
    <t>3000338398E</t>
  </si>
  <si>
    <t>792071369</t>
  </si>
  <si>
    <t>PQ4829 A515 P413 1988</t>
  </si>
  <si>
    <t>0                      PQ 4829000A  515                P  413         1988</t>
  </si>
  <si>
    <t>The skin / Curzio Malaparte ; translated from Italian by David Moore.</t>
  </si>
  <si>
    <t>Marlboro, Vt. : Marlboro Press, 1988.</t>
  </si>
  <si>
    <t>2017-12-19</t>
  </si>
  <si>
    <t>4471898806:eng</t>
  </si>
  <si>
    <t>17980531</t>
  </si>
  <si>
    <t>ocm17980531</t>
  </si>
  <si>
    <t>3000586704$</t>
  </si>
  <si>
    <t>9780910395373</t>
  </si>
  <si>
    <t>793009307</t>
  </si>
  <si>
    <t>PQ4829 A515 Z55 2018</t>
  </si>
  <si>
    <t>0                      PQ 4829000A  515                Z  55          2018</t>
  </si>
  <si>
    <t>Curzio Malaparte / ce cahier a été dirigé par Maria Pia De Paulis.</t>
  </si>
  <si>
    <t>Paris : Éditions de l'Herne, [2018]</t>
  </si>
  <si>
    <t>L'Herne, 0440-7237 ; 123</t>
  </si>
  <si>
    <t>5490391952:fre</t>
  </si>
  <si>
    <t>1052116138</t>
  </si>
  <si>
    <t>on1052116138</t>
  </si>
  <si>
    <t>31037682309</t>
  </si>
  <si>
    <t>9782851971913</t>
  </si>
  <si>
    <t>795062254</t>
  </si>
  <si>
    <t>PQ4829 A515 Z67</t>
  </si>
  <si>
    <t>0                      PQ 4829000A  515                Z  67</t>
  </si>
  <si>
    <t>Malaparte.</t>
  </si>
  <si>
    <t>Grana, Gianni.</t>
  </si>
  <si>
    <t>[Firenze] La nuova Italia, 1968.</t>
  </si>
  <si>
    <t>Il Castoro, 13</t>
  </si>
  <si>
    <t>3855304418:ita</t>
  </si>
  <si>
    <t>1312806</t>
  </si>
  <si>
    <t>ocm01312806</t>
  </si>
  <si>
    <t>31002463425</t>
  </si>
  <si>
    <t>791597516</t>
  </si>
  <si>
    <t>PQ4829 A515 Z69</t>
  </si>
  <si>
    <t>0                      PQ 4829000A  515                Z  69</t>
  </si>
  <si>
    <t>L'arcitaliano : vita di Curzio Malaparte / Giordano Bruno Guerri.</t>
  </si>
  <si>
    <t>Milano : Bompiani, 1980.</t>
  </si>
  <si>
    <t>Saggi Bompiani</t>
  </si>
  <si>
    <t>1808419645:ita</t>
  </si>
  <si>
    <t>7352045</t>
  </si>
  <si>
    <t>ocm07352045</t>
  </si>
  <si>
    <t>30003321360</t>
  </si>
  <si>
    <t>792555000</t>
  </si>
  <si>
    <t>PQ4829 A515 Z72 2000</t>
  </si>
  <si>
    <t>0                      PQ 4829000A  515                Z  72          2000</t>
  </si>
  <si>
    <t>Curzio Malaparte : the narrative contract strained / William Hope.</t>
  </si>
  <si>
    <t>Hope, William.</t>
  </si>
  <si>
    <t>Market Harborough : Troubador, 2000.</t>
  </si>
  <si>
    <t>Hull Italian texts</t>
  </si>
  <si>
    <t>437250259:eng</t>
  </si>
  <si>
    <t>45741470</t>
  </si>
  <si>
    <t>ocm45741470</t>
  </si>
  <si>
    <t>3102121100K</t>
  </si>
  <si>
    <t>9781899293223</t>
  </si>
  <si>
    <t>793677310</t>
  </si>
  <si>
    <t>PQ4829 A515 Z76 1982</t>
  </si>
  <si>
    <t>0                      PQ 4829000A  515                Z  76          1982</t>
  </si>
  <si>
    <t>Malaparte, una proposta / testo e ricerca iconografica di Michele Bonuomo ; con una intervista ad Alberto Moravia.</t>
  </si>
  <si>
    <t>Roma : De Luca ; Capri : Amici di Capri, ©1982.</t>
  </si>
  <si>
    <t>Ologramma ; 1</t>
  </si>
  <si>
    <t>3769104682:ita</t>
  </si>
  <si>
    <t>9325847</t>
  </si>
  <si>
    <t>ocm09325847</t>
  </si>
  <si>
    <t>3000361866O</t>
  </si>
  <si>
    <t>792670455</t>
  </si>
  <si>
    <t>PQ4829 A515 Z78</t>
  </si>
  <si>
    <t>0                      PQ 4829000A  515                Z  78</t>
  </si>
  <si>
    <t>Invito alla lettura di Curzio Malaparte / Luigi Martellini.</t>
  </si>
  <si>
    <t>Martellini, Luigi.</t>
  </si>
  <si>
    <t>Milano : Mursia, [1977]</t>
  </si>
  <si>
    <t>Invito alla lettura. Sezione italiana ; 54</t>
  </si>
  <si>
    <t>13225618:ita</t>
  </si>
  <si>
    <t>3840790</t>
  </si>
  <si>
    <t>ocm03840790</t>
  </si>
  <si>
    <t>3000448413V</t>
  </si>
  <si>
    <t>792297189</t>
  </si>
  <si>
    <t>PQ4829 A515 Z85</t>
  </si>
  <si>
    <t>0                      PQ 4829000A  515                Z  85</t>
  </si>
  <si>
    <t>L'uccellaccio di Prato. Curzio Malaparte, 1898-1957.</t>
  </si>
  <si>
    <t>Righi, Lorenzo.</t>
  </si>
  <si>
    <t>Fiesole, Tip. A. Sbolci, 1973.</t>
  </si>
  <si>
    <t>Collana Gli inediti, ser. II, 1</t>
  </si>
  <si>
    <t>3758925128:ita</t>
  </si>
  <si>
    <t>4918840</t>
  </si>
  <si>
    <t>ocm04918840</t>
  </si>
  <si>
    <t>3000396592T</t>
  </si>
  <si>
    <t>792393566</t>
  </si>
  <si>
    <t>PQ4829 A515 Z886</t>
  </si>
  <si>
    <t>0                      PQ 4829000A  515                Z  886</t>
  </si>
  <si>
    <t>Malaparte come me : seguito da Malaparte scritto e Malaparte lettere / Orfeo Tamburi ; introduzione di Indro Montanelli.</t>
  </si>
  <si>
    <t>Tamburi, Orfeo, 1910-1994.</t>
  </si>
  <si>
    <t>Milano : Editoriale Nuova, ©1980.</t>
  </si>
  <si>
    <t>4915162053:ita</t>
  </si>
  <si>
    <t>13319348</t>
  </si>
  <si>
    <t>ocm13319348</t>
  </si>
  <si>
    <t>3000326916Y</t>
  </si>
  <si>
    <t>792848124</t>
  </si>
  <si>
    <t>PQ4829 A56 R4713 2011</t>
  </si>
  <si>
    <t>0                      PQ 4829000A  56                 R  4713        2011</t>
  </si>
  <si>
    <t>Full-length portrait / by Gianna Manzini ; translated by Martha King.</t>
  </si>
  <si>
    <t>Manzini, Gianna, 1896-1974.</t>
  </si>
  <si>
    <t>14721243:eng</t>
  </si>
  <si>
    <t>727610611</t>
  </si>
  <si>
    <t>ocn727610611</t>
  </si>
  <si>
    <t>3103472006E</t>
  </si>
  <si>
    <t>9781599102368</t>
  </si>
  <si>
    <t>794878242</t>
  </si>
  <si>
    <t>PQ4829 A76 I86 2003</t>
  </si>
  <si>
    <t>0                      PQ 4829000A  76                 I  86          2003</t>
  </si>
  <si>
    <t>L'isola dei baci : romanzo erotico-sociale / Filippo Tommaso Marinetti, Bruno Corrà ; prefazione di Sergio Lambiase.</t>
  </si>
  <si>
    <t>Capri (Napoli) : La conchiglia, 2003.</t>
  </si>
  <si>
    <t>Atyidae ; 41</t>
  </si>
  <si>
    <t>9489935814:ita</t>
  </si>
  <si>
    <t>54089048</t>
  </si>
  <si>
    <t>ocm54089048</t>
  </si>
  <si>
    <t>3102509127F</t>
  </si>
  <si>
    <t>9788886443692</t>
  </si>
  <si>
    <t>793857285</t>
  </si>
  <si>
    <t>PQ4829 A76 V46 2013</t>
  </si>
  <si>
    <t>0                      PQ 4829000A  76                 V  46          2013</t>
  </si>
  <si>
    <t>Venezianella e Studentaccio / Filippo Tommaso Marinetti ; a cura di Patrizio Ceccagnoli e Paolo Valesio.</t>
  </si>
  <si>
    <t>Milano : Oscar Mondadori, 2013.</t>
  </si>
  <si>
    <t>1. ed. in Oscar scrittori moderni.</t>
  </si>
  <si>
    <t>Oscar scrittori moderni ; 2022</t>
  </si>
  <si>
    <t>1211451888:ita</t>
  </si>
  <si>
    <t>843753578</t>
  </si>
  <si>
    <t>ocn843753578</t>
  </si>
  <si>
    <t>3103126220V</t>
  </si>
  <si>
    <t>9788804612025</t>
  </si>
  <si>
    <t>794948132</t>
  </si>
  <si>
    <t>PQ4829 A76 Z63 2009</t>
  </si>
  <si>
    <t>0                      PQ 4829000A  76                 Z  63          2009</t>
  </si>
  <si>
    <t>Beyond Futurism : Filippo Tommaso Marinetti, writer : for the centennial aniversary of the Italian avant-garde = Al di là del Futurismo : Filippo Tommaso Marinetti, scrittore : per il centenario dell'avanguardia italiana : atti del Convegno Internazionale di Studi : Colombia University, New York, 12-13 novembre 2009 / a cura di Gino Tellini, Paolo Valesio.</t>
  </si>
  <si>
    <t>Firenze : Società editrice fiorentina, 2011.</t>
  </si>
  <si>
    <t>Biblioteca Palazzeschi ; 9</t>
  </si>
  <si>
    <t>1173571271:ita</t>
  </si>
  <si>
    <t>773015606</t>
  </si>
  <si>
    <t>ocn773015606</t>
  </si>
  <si>
    <t>3103125665F</t>
  </si>
  <si>
    <t>9788860321923</t>
  </si>
  <si>
    <t>794905133</t>
  </si>
  <si>
    <t>PQ4829 A76 Z683 2010</t>
  </si>
  <si>
    <t>0                      PQ 4829000A  76                 Z  683         2010</t>
  </si>
  <si>
    <t>Marinetti e il Lario / Alberto Longatti.</t>
  </si>
  <si>
    <t>Longatti, Alberto.</t>
  </si>
  <si>
    <t>[Como, Italy] : Edizioni Famiglia comasca, ©2010.</t>
  </si>
  <si>
    <t>786799052:ita</t>
  </si>
  <si>
    <t>701795800</t>
  </si>
  <si>
    <t>ocn701795800</t>
  </si>
  <si>
    <t>3103125285N</t>
  </si>
  <si>
    <t>794863418</t>
  </si>
  <si>
    <t>PQ4829 A76 Z7135 2014</t>
  </si>
  <si>
    <t>0                      PQ 4829000A  76                 Z  7135        2014</t>
  </si>
  <si>
    <t>Marinetti 70 : sintesi della critica futurista / Antonio Saccoccio - Roberto Guerra (a cura di).</t>
  </si>
  <si>
    <t>Roma : Armando editore, [2014]</t>
  </si>
  <si>
    <t>Avanguardia 21</t>
  </si>
  <si>
    <t>2894387745:ita</t>
  </si>
  <si>
    <t>904251443</t>
  </si>
  <si>
    <t>ocn904251443</t>
  </si>
  <si>
    <t>31036217544</t>
  </si>
  <si>
    <t>9788866778820</t>
  </si>
  <si>
    <t>794990234</t>
  </si>
  <si>
    <t>PQ4829 A776 O7 1974</t>
  </si>
  <si>
    <t>0                      PQ 4829000A  776                O  7           1974</t>
  </si>
  <si>
    <t>L'oro di Napoli : racconti / Giuseppe Marotta.</t>
  </si>
  <si>
    <t>Marotta, Giuseppe, 1902-1963.</t>
  </si>
  <si>
    <t>Milano : Bompiani, 1974.</t>
  </si>
  <si>
    <t>41. ed.</t>
  </si>
  <si>
    <t>I Delfini ; nuova ser. ; 7</t>
  </si>
  <si>
    <t>38470981:ita</t>
  </si>
  <si>
    <t>2518667</t>
  </si>
  <si>
    <t>ocm02518667</t>
  </si>
  <si>
    <t>3000395213V</t>
  </si>
  <si>
    <t>792138323</t>
  </si>
  <si>
    <t>PQ4829 E57 B75 2005</t>
  </si>
  <si>
    <t>0                      PQ 4829000E  57                 B  75          2005</t>
  </si>
  <si>
    <t>Le briglie d'oro : poesie per Marina, 1984-2004 / Alda Merini ; a cura di Marina Bignotti.</t>
  </si>
  <si>
    <t>Merini, Alda, 1931-2009.</t>
  </si>
  <si>
    <t>Milano : Libri Scheiwiller, ©2005.</t>
  </si>
  <si>
    <t>Poesia ; n. 82</t>
  </si>
  <si>
    <t>476311097:ita</t>
  </si>
  <si>
    <t>61107875</t>
  </si>
  <si>
    <t>ocm61107875</t>
  </si>
  <si>
    <t>3102628655J</t>
  </si>
  <si>
    <t>9788876444562</t>
  </si>
  <si>
    <t>793946326</t>
  </si>
  <si>
    <t>PQ4829 E57 C37 2003</t>
  </si>
  <si>
    <t>0                      PQ 4829000E  57                 C  37          2003</t>
  </si>
  <si>
    <t>La carne degli angeli / Alda Merini ; con venti opere inedite di Mimmo Paladino.</t>
  </si>
  <si>
    <t>[Milano] : Frassinelli, 2003.</t>
  </si>
  <si>
    <t>I libri di Arnoldo Mosca Mondadori</t>
  </si>
  <si>
    <t>1779531561:ita</t>
  </si>
  <si>
    <t>52442617</t>
  </si>
  <si>
    <t>ocm52442617</t>
  </si>
  <si>
    <t>3102306257U</t>
  </si>
  <si>
    <t>9788876847387</t>
  </si>
  <si>
    <t>793806674</t>
  </si>
  <si>
    <t>PQ4829 E57 C67 2001</t>
  </si>
  <si>
    <t>0                      PQ 4829000E  57                 C  67          2001</t>
  </si>
  <si>
    <t>Corpo d'amore : un incontro con Gesù / Alda Merini ; prefazione di Gianfranco Ravasi ; cura iconografica di Luca Pignatelli.</t>
  </si>
  <si>
    <t>Milano : Frassinelli, ©2001.</t>
  </si>
  <si>
    <t>347189136:ita</t>
  </si>
  <si>
    <t>48192219</t>
  </si>
  <si>
    <t>ocm48192219</t>
  </si>
  <si>
    <t>3102216949C</t>
  </si>
  <si>
    <t>9788876846649</t>
  </si>
  <si>
    <t>793717763</t>
  </si>
  <si>
    <t>PQ4829 E57 F86 2012</t>
  </si>
  <si>
    <t>0                      PQ 4829000E  57                 F  86          2012</t>
  </si>
  <si>
    <t>Fuori da quelle mura : poesie e prose inedite / Alda Merini ; a cura di Pino Bertelli.</t>
  </si>
  <si>
    <t>Bolsena (VT) : Massari Editore, 2012.</t>
  </si>
  <si>
    <t>Versi di/versi ; 1</t>
  </si>
  <si>
    <t>1175679627:ita</t>
  </si>
  <si>
    <t>815378574</t>
  </si>
  <si>
    <t>ocn815378574</t>
  </si>
  <si>
    <t>31031260064</t>
  </si>
  <si>
    <t>9788845702778</t>
  </si>
  <si>
    <t>794932448</t>
  </si>
  <si>
    <t>PQ4829 E57 M33 2002</t>
  </si>
  <si>
    <t>0                      PQ 4829000E  57                 M  33          2002</t>
  </si>
  <si>
    <t>Il maglio del poeta / Alda Merini ; prefazione di Giorgio Patrizi.</t>
  </si>
  <si>
    <t>Merini, Alda, 1931-</t>
  </si>
  <si>
    <t>Lecce : Manni, 2002.</t>
  </si>
  <si>
    <t>Pretesti ; 147</t>
  </si>
  <si>
    <t>2015-01-13</t>
  </si>
  <si>
    <t>369294361:ita</t>
  </si>
  <si>
    <t>427516949</t>
  </si>
  <si>
    <t>ocn427516949</t>
  </si>
  <si>
    <t>3102306342T</t>
  </si>
  <si>
    <t>9788881763313</t>
  </si>
  <si>
    <t>794673482</t>
  </si>
  <si>
    <t>PQ4829 E57 M34 2002</t>
  </si>
  <si>
    <t>0                      PQ 4829000E  57                 M  34          2002</t>
  </si>
  <si>
    <t>Magnificat : un incontro con Maria / Alda Merini ; con dieci opere inedite di Ugo Nespolo.</t>
  </si>
  <si>
    <t>Milano : Frassinelli, 2002.</t>
  </si>
  <si>
    <t>Libri di Arnoldo Mosca Mondadori</t>
  </si>
  <si>
    <t>347189189:ita</t>
  </si>
  <si>
    <t>428092900</t>
  </si>
  <si>
    <t>ocn428092900</t>
  </si>
  <si>
    <t>3102252220X</t>
  </si>
  <si>
    <t>9788876846939</t>
  </si>
  <si>
    <t>794771411</t>
  </si>
  <si>
    <t>PQ4829 E57 M57 2012</t>
  </si>
  <si>
    <t>0                      PQ 4829000E  57                 M  57          2012</t>
  </si>
  <si>
    <t>Mistica d'amore / Alda Merini.</t>
  </si>
  <si>
    <t>Merini, Alda, 1931-2009, author.</t>
  </si>
  <si>
    <t>Milano : Sperling &amp; Kupfer, [2012]</t>
  </si>
  <si>
    <t>Sperling Paperback</t>
  </si>
  <si>
    <t>9323624075:ita</t>
  </si>
  <si>
    <t>805053691</t>
  </si>
  <si>
    <t>ocn805053691</t>
  </si>
  <si>
    <t>3103506117M</t>
  </si>
  <si>
    <t>9788860618412</t>
  </si>
  <si>
    <t>794926167</t>
  </si>
  <si>
    <t>PQ4829 E57 P63 2004</t>
  </si>
  <si>
    <t>0                      PQ 4829000E  57                 P  63          2004</t>
  </si>
  <si>
    <t>Poema della croce / Alda Merini ; con cinque acqueforti di Sandro Chia ; prefazione di Gianfranco Ravasi.</t>
  </si>
  <si>
    <t>Milano : Frassinelli, ©2004.</t>
  </si>
  <si>
    <t>347189602:ita</t>
  </si>
  <si>
    <t>57184413</t>
  </si>
  <si>
    <t>ocm57184413</t>
  </si>
  <si>
    <t>3103452144D</t>
  </si>
  <si>
    <t>9788876848209</t>
  </si>
  <si>
    <t>793908359</t>
  </si>
  <si>
    <t>PQ4829 E7 A2 2007</t>
  </si>
  <si>
    <t>0                      PQ 4829000E  7                  A  2           2007</t>
  </si>
  <si>
    <t>Behind closed doors : Her father's house and other stories of Sicily / by Maria Messina ; translated from the Italian and with an introduction and afterword by Elise Magistro ; preface by Fred Gardaphé.</t>
  </si>
  <si>
    <t>Messina, Maria, 1887-1944.</t>
  </si>
  <si>
    <t>New York : Feminist Press at the City University of New York, 2007.</t>
  </si>
  <si>
    <t>1059194803:eng</t>
  </si>
  <si>
    <t>81150542</t>
  </si>
  <si>
    <t>ocm81150542</t>
  </si>
  <si>
    <t>3102638267O</t>
  </si>
  <si>
    <t>9781558615526</t>
  </si>
  <si>
    <t>794202614</t>
  </si>
  <si>
    <t>PQ4829 E7 C3713 1989</t>
  </si>
  <si>
    <t>0                      PQ 4829000E  7                  C  3713        1989</t>
  </si>
  <si>
    <t>A house in the shadows / Maria Messina ; afterword by Annie Messina ; translated by John Shepley.</t>
  </si>
  <si>
    <t>Marlboro, Vt. : Marlboro Press, ©1989.</t>
  </si>
  <si>
    <t>1st English language ed.</t>
  </si>
  <si>
    <t>22249044:eng</t>
  </si>
  <si>
    <t>21114340</t>
  </si>
  <si>
    <t>ocm21114340</t>
  </si>
  <si>
    <t>3100573421M</t>
  </si>
  <si>
    <t>9780910395502</t>
  </si>
  <si>
    <t>793109460</t>
  </si>
  <si>
    <t>PQ4829 E7 C38 1992</t>
  </si>
  <si>
    <t>0                      PQ 4829000E  7                  C  38          1992</t>
  </si>
  <si>
    <t>Casa paterna / Maria Messina ; con una nota di Leonardo Sciascia.</t>
  </si>
  <si>
    <t>Palermo : Sellerio editore, 1992.</t>
  </si>
  <si>
    <t>La memoria ; 30</t>
  </si>
  <si>
    <t>2017-08-24</t>
  </si>
  <si>
    <t>155332119:ita</t>
  </si>
  <si>
    <t>29286302</t>
  </si>
  <si>
    <t>ocm29286302</t>
  </si>
  <si>
    <t>3101226821Y</t>
  </si>
  <si>
    <t>793306997</t>
  </si>
  <si>
    <t>PQ4829 E7 P5 1988</t>
  </si>
  <si>
    <t>0                      PQ 4829000E  7                  P  5           1988</t>
  </si>
  <si>
    <t>Piccoli gorghi / Maria Messina ; introduzione di Annie Messina.</t>
  </si>
  <si>
    <t>Palermo : Sellerio, ©1988.</t>
  </si>
  <si>
    <t>Il Castello ; 1</t>
  </si>
  <si>
    <t>21556499:ita</t>
  </si>
  <si>
    <t>20126953</t>
  </si>
  <si>
    <t>ocm20126953</t>
  </si>
  <si>
    <t>3101225325E</t>
  </si>
  <si>
    <t>793078205</t>
  </si>
  <si>
    <t>PQ4829 I38 A17 1974</t>
  </si>
  <si>
    <t>0                      PQ 4829000I  38                 A  17          1974</t>
  </si>
  <si>
    <t>Poesie / Carlo Michelstaedter ; introduzione, testo critico e note a cura di Sergio Campailla ; con disegni inediti.</t>
  </si>
  <si>
    <t>Michelstaedter, Carlo, 1887-1910.</t>
  </si>
  <si>
    <t>Bologna : Pàtron, [1974]</t>
  </si>
  <si>
    <t>Letteratura italiana e comparata ; 2</t>
  </si>
  <si>
    <t>9989068996:spa</t>
  </si>
  <si>
    <t>1930990</t>
  </si>
  <si>
    <t>ocm01930990</t>
  </si>
  <si>
    <t>30004040349</t>
  </si>
  <si>
    <t>792013451</t>
  </si>
  <si>
    <t>PQ4829 I38 D6 1988</t>
  </si>
  <si>
    <t>0                      PQ 4829000I  38                 D  6           1988</t>
  </si>
  <si>
    <t>Il dialogo della salute e altri dialoghi / Carlo Michelstaedter.</t>
  </si>
  <si>
    <t>Milano : Adelphi, 1988.</t>
  </si>
  <si>
    <t>Piccola biblioteca Adelphi ; 222</t>
  </si>
  <si>
    <t>355887764:ita</t>
  </si>
  <si>
    <t>20769111</t>
  </si>
  <si>
    <t>ocm20769111</t>
  </si>
  <si>
    <t>3103009498F</t>
  </si>
  <si>
    <t>793098194</t>
  </si>
  <si>
    <t>PQ4829 I38 Z591 2017</t>
  </si>
  <si>
    <t>0                      PQ 4829000I  38                 Z  591         2017</t>
  </si>
  <si>
    <t>Per una vita che sia vita : studi su Carlo Michelstaedter / Ilvano Caliaro.</t>
  </si>
  <si>
    <t>Caliaro, Ilvano, author.</t>
  </si>
  <si>
    <t>Firenze : Leo S. Olschki editore, MMXVII [2017]</t>
  </si>
  <si>
    <t>Saggi di "Lettere i taliane" ; LXX</t>
  </si>
  <si>
    <t>4573111798:ita</t>
  </si>
  <si>
    <t>1001500662</t>
  </si>
  <si>
    <t>on1001500662</t>
  </si>
  <si>
    <t>3103759969T</t>
  </si>
  <si>
    <t>9788822265210</t>
  </si>
  <si>
    <t>795040645</t>
  </si>
  <si>
    <t>PQ4829 I38 Z62 2012</t>
  </si>
  <si>
    <t>0                      PQ 4829000I  38                 Z  62          2012</t>
  </si>
  <si>
    <t>La furia del mare : ultime pagine su Michelstaedter e altre varie sul Novecento / Marco Cerruti.</t>
  </si>
  <si>
    <t>Alessandria : Edizioni dell'Orso, ©2012.</t>
  </si>
  <si>
    <t>Mnemosyne ; 5</t>
  </si>
  <si>
    <t>1118127736:ita</t>
  </si>
  <si>
    <t>794703525</t>
  </si>
  <si>
    <t>ocn794703525</t>
  </si>
  <si>
    <t>3103125859B</t>
  </si>
  <si>
    <t>9788862743372</t>
  </si>
  <si>
    <t>794920315</t>
  </si>
  <si>
    <t>PQ4829 O565 A14 1996</t>
  </si>
  <si>
    <t>0                      PQ 4829000O  565                A  14          1996</t>
  </si>
  <si>
    <t>Il secondo mestiere. Prose, 1920-1979 / Eugenio Montale ; a cura di Giorgio Zampa.</t>
  </si>
  <si>
    <t>Montale, Eugenio, 1896-1981.</t>
  </si>
  <si>
    <t>889986283:ita</t>
  </si>
  <si>
    <t>36438954</t>
  </si>
  <si>
    <t>ocm36438954</t>
  </si>
  <si>
    <t>3101839838S</t>
  </si>
  <si>
    <t>9788804410263</t>
  </si>
  <si>
    <t>793475382</t>
  </si>
  <si>
    <t>3101839792Q</t>
  </si>
  <si>
    <t>793475383</t>
  </si>
  <si>
    <t>PQ4829 O565 A17 1991</t>
  </si>
  <si>
    <t>0                      PQ 4829000O  565                A  17          1991</t>
  </si>
  <si>
    <t>Tutte le poesie / Eugenio Montale ; a cura di Giorgio Zampa.</t>
  </si>
  <si>
    <t>Milano : A. Mondadori, 1991, ©1984.</t>
  </si>
  <si>
    <t>5. ed.</t>
  </si>
  <si>
    <t>2421328:ita</t>
  </si>
  <si>
    <t>24597435</t>
  </si>
  <si>
    <t>ocm24597435</t>
  </si>
  <si>
    <t>31013165404</t>
  </si>
  <si>
    <t>9788804240723</t>
  </si>
  <si>
    <t>793201914</t>
  </si>
  <si>
    <t>PQ4829 O565 A17 2005</t>
  </si>
  <si>
    <t>0                      PQ 4829000O  565                A  17          2005</t>
  </si>
  <si>
    <t>Milano : A. Mondadori, ©2005.</t>
  </si>
  <si>
    <t>I meridiani collezione ; 10</t>
  </si>
  <si>
    <t>2015-10-17</t>
  </si>
  <si>
    <t>144642613</t>
  </si>
  <si>
    <t>ocn144642613</t>
  </si>
  <si>
    <t>31028033579</t>
  </si>
  <si>
    <t>9788804551355</t>
  </si>
  <si>
    <t>794236714</t>
  </si>
  <si>
    <t>PQ4829 O565 A2 2012</t>
  </si>
  <si>
    <t>0                      PQ 4829000O  565                A  2           2012</t>
  </si>
  <si>
    <t>The collected poems of Eugenio Montale, 1925-1977 / translated by William Arrowsmith ; edited by Rosanna Warren.</t>
  </si>
  <si>
    <t>New York : W.W. Norton &amp; Co., ©2012.</t>
  </si>
  <si>
    <t>919331489:eng</t>
  </si>
  <si>
    <t>738350061</t>
  </si>
  <si>
    <t>ocn738350061</t>
  </si>
  <si>
    <t>3103412519R</t>
  </si>
  <si>
    <t>9780393080636</t>
  </si>
  <si>
    <t>794882519</t>
  </si>
  <si>
    <t>PQ4829 O565 B8363 2011</t>
  </si>
  <si>
    <t>0                      PQ 4829000O  565                B  8363        2011</t>
  </si>
  <si>
    <t>I Madrigali privati di Eugenio Montale : saggio di un commento / [a cura di] Antonella Smarrelli.</t>
  </si>
  <si>
    <t>Scandicci (Firenze) : Firenze Atheneum, 2011.</t>
  </si>
  <si>
    <t>Oxenford, Universale Atheneum ; 232</t>
  </si>
  <si>
    <t>5618652882:ita</t>
  </si>
  <si>
    <t>744284120</t>
  </si>
  <si>
    <t>ocn744284120</t>
  </si>
  <si>
    <t>3103125532O</t>
  </si>
  <si>
    <t>9788872553787</t>
  </si>
  <si>
    <t>794885892</t>
  </si>
  <si>
    <t>PQ4829 O565 I7533 2011</t>
  </si>
  <si>
    <t>0                      PQ 4829000O  565                I  7533        2011</t>
  </si>
  <si>
    <t>Iride : l'Alcesti di Montale / Alberto Comparini.</t>
  </si>
  <si>
    <t>Comparini, Alberto, 1988- author.</t>
  </si>
  <si>
    <t>Borgomanero, No [Italy] : Giuliano Ladolfi editore, maggio 2011.</t>
  </si>
  <si>
    <t>Smeraldo. Sez. Critica letteraria ; 3</t>
  </si>
  <si>
    <t>1042848494:ita</t>
  </si>
  <si>
    <t>760054026</t>
  </si>
  <si>
    <t>ocn760054026</t>
  </si>
  <si>
    <t>3103125610P</t>
  </si>
  <si>
    <t>9788866440208</t>
  </si>
  <si>
    <t>794898178</t>
  </si>
  <si>
    <t>PQ4829 O565 O333 2012</t>
  </si>
  <si>
    <t>0                      PQ 4829000O  565                O  333         2012</t>
  </si>
  <si>
    <t>Mappe del tempo : Eugenio Montale e T.S. Eliot / Tiziana de Rogatis.</t>
  </si>
  <si>
    <t>De Rogatis, Tiziana.</t>
  </si>
  <si>
    <t>Ospedaletto, Pisa : Pacini, ©2012.</t>
  </si>
  <si>
    <t>Testi e culture in Europa ; 11</t>
  </si>
  <si>
    <t>1175679808:ita</t>
  </si>
  <si>
    <t>815378828</t>
  </si>
  <si>
    <t>ocn815378828</t>
  </si>
  <si>
    <t>3103126071R</t>
  </si>
  <si>
    <t>9788863154481</t>
  </si>
  <si>
    <t>794932453</t>
  </si>
  <si>
    <t>PQ4829 O565 O813 1993</t>
  </si>
  <si>
    <t>0                      PQ 4829000O  565                O  813         1993</t>
  </si>
  <si>
    <t>Cuttlefish bones : 1920-1927 / Eugenio Montale ; translated, with preface and commentary, by William Arrowsmith.</t>
  </si>
  <si>
    <t>New York : W.W. Norton, ©1992.</t>
  </si>
  <si>
    <t>8908333961:eng</t>
  </si>
  <si>
    <t>27069497</t>
  </si>
  <si>
    <t>ocm27069497</t>
  </si>
  <si>
    <t>3101277489I</t>
  </si>
  <si>
    <t>9780393028034</t>
  </si>
  <si>
    <t>793258407</t>
  </si>
  <si>
    <t>PQ4829 O565 O8333 2012</t>
  </si>
  <si>
    <t>0                      PQ 4829000O  565                O  8333        2012</t>
  </si>
  <si>
    <t>Mediterraneo di Eugenio Montale : i veri significati, analisi metrico-stilistica, commento / Claudio Cencetti.</t>
  </si>
  <si>
    <t>Cencetti, Claudio, 1957- author.</t>
  </si>
  <si>
    <t>Ospedaletto (Pisa) : Pacini, ©2012.</t>
  </si>
  <si>
    <t>1121685789:ita</t>
  </si>
  <si>
    <t>796779878</t>
  </si>
  <si>
    <t>ocn796779878</t>
  </si>
  <si>
    <t>31031258727</t>
  </si>
  <si>
    <t>9788863153927</t>
  </si>
  <si>
    <t>794922359</t>
  </si>
  <si>
    <t>PQ4829 O565 S3334 2012</t>
  </si>
  <si>
    <t>0                      PQ 4829000O  565                S  3334        2012</t>
  </si>
  <si>
    <t>Taccuino per Satura : elaborazione e tematiche del quarto libro di Montale / Filippo Grazzini.</t>
  </si>
  <si>
    <t>Grazzini, Filippo, 1956- author.</t>
  </si>
  <si>
    <t>Viterbo : Sette città, [2012]</t>
  </si>
  <si>
    <t>Biblioteca. Serie letteratura ; 23</t>
  </si>
  <si>
    <t>1269175105:ita</t>
  </si>
  <si>
    <t>841181363</t>
  </si>
  <si>
    <t>ocn841181363</t>
  </si>
  <si>
    <t>3103126256P</t>
  </si>
  <si>
    <t>9788878533172</t>
  </si>
  <si>
    <t>794946559</t>
  </si>
  <si>
    <t>PQ4829 O565 Z45 2011</t>
  </si>
  <si>
    <t>0                      PQ 4829000O  565                Z  45          2011</t>
  </si>
  <si>
    <t>Controcanto : dialogo con Montale / Ferruccio Martinetto.</t>
  </si>
  <si>
    <t>Martinetto, Ferruccio, 1968-</t>
  </si>
  <si>
    <t>La biblioteca d'Astolfo ; 15</t>
  </si>
  <si>
    <t>3758577008:ita</t>
  </si>
  <si>
    <t>721864080</t>
  </si>
  <si>
    <t>ocn721864080</t>
  </si>
  <si>
    <t>3103125398I</t>
  </si>
  <si>
    <t>9788884101679</t>
  </si>
  <si>
    <t>794875374</t>
  </si>
  <si>
    <t>PQ4829 O565 Z56853 2014</t>
  </si>
  <si>
    <t>0                      PQ 4829000O  565                Z  56853       2014</t>
  </si>
  <si>
    <t>Montale, in conclusione : insegnare un modello di poesia / Alberto Bertoni.</t>
  </si>
  <si>
    <t>Bertoni, Alberto, 1955- author.</t>
  </si>
  <si>
    <t>Ro Ferrarese (FE) : Book editore, dicembre 2014.</t>
  </si>
  <si>
    <t>Minute ; 10</t>
  </si>
  <si>
    <t>2990451415:ita</t>
  </si>
  <si>
    <t>902638943</t>
  </si>
  <si>
    <t>ocn902638943</t>
  </si>
  <si>
    <t>3103621361N</t>
  </si>
  <si>
    <t>9788872327265</t>
  </si>
  <si>
    <t>794988307</t>
  </si>
  <si>
    <t>PQ4829 O565 Z5736 2013</t>
  </si>
  <si>
    <t>0                      PQ 4829000O  565                Z  5736        2013</t>
  </si>
  <si>
    <t>Saggi montaliani, 1960-1984 / Glauco Cambon ; a cura di Riccardo Scrivano.</t>
  </si>
  <si>
    <t>Roma : Studium, ©2013.</t>
  </si>
  <si>
    <t>Cultura Studium ; 14</t>
  </si>
  <si>
    <t>1233200851:ita</t>
  </si>
  <si>
    <t>839273825</t>
  </si>
  <si>
    <t>ocn839273825</t>
  </si>
  <si>
    <t>3103126169Q</t>
  </si>
  <si>
    <t>9788838241857</t>
  </si>
  <si>
    <t>794945481</t>
  </si>
  <si>
    <t>PQ4829 O565 Z61 2012</t>
  </si>
  <si>
    <t>0                      PQ 4829000O  565                Z  61          2012</t>
  </si>
  <si>
    <t>Le occasioni del Diario postumo : tredici anni di amicizia con Eugenio Montale / Annalisa Cima ; prefazione di Cesare Cavalleri.</t>
  </si>
  <si>
    <t>Cima, Annalisa.</t>
  </si>
  <si>
    <t>Milano : Ares, ©2012.</t>
  </si>
  <si>
    <t>1119146803:ita</t>
  </si>
  <si>
    <t>795156439</t>
  </si>
  <si>
    <t>ocn795156439</t>
  </si>
  <si>
    <t>31031257956</t>
  </si>
  <si>
    <t>9788881555451</t>
  </si>
  <si>
    <t>794920891</t>
  </si>
  <si>
    <t>PQ4829 O565 Z638 2009</t>
  </si>
  <si>
    <t>0                      PQ 4829000O  565                Z  638         2009</t>
  </si>
  <si>
    <t>Paesaggio ligure e paesaggi interiori nella poesia di Eugenio Montale : atti del Convegno internazionale "Credo non esista nulla di simile al mondo", Parco nazionale delle Cinque Terre, Riomaggiore- Monterosso (La Spezia), 11-13 dicembre 2009 / a cura di Paola Polito e Antonio Zollino.</t>
  </si>
  <si>
    <t>Firenze : Leo S. Olschki editore, 2011.</t>
  </si>
  <si>
    <t>Biblioteca dell'Archivum Romanicum. Ser. 1.: Storia, letteratura, paleografia ; 390</t>
  </si>
  <si>
    <t>1123798702:ita</t>
  </si>
  <si>
    <t>773016805</t>
  </si>
  <si>
    <t>ocn773016805</t>
  </si>
  <si>
    <t>31031257828</t>
  </si>
  <si>
    <t>9788822261090</t>
  </si>
  <si>
    <t>794905150</t>
  </si>
  <si>
    <t>PQ4829 O565 Z648 2012</t>
  </si>
  <si>
    <t>0                      PQ 4829000O  565                Z  648         2012</t>
  </si>
  <si>
    <t>Montale sentimentale / Giorgio Ficara.</t>
  </si>
  <si>
    <t>Ficara, Giorgio.</t>
  </si>
  <si>
    <t>Biblioteca Marsilio</t>
  </si>
  <si>
    <t>1119146642:ita</t>
  </si>
  <si>
    <t>795156269</t>
  </si>
  <si>
    <t>ocn795156269</t>
  </si>
  <si>
    <t>3103125809L</t>
  </si>
  <si>
    <t>9788831712514</t>
  </si>
  <si>
    <t>794920888</t>
  </si>
  <si>
    <t>PQ4829 O565 Z65 2013</t>
  </si>
  <si>
    <t>0                      PQ 4829000O  565                Z  65          2013</t>
  </si>
  <si>
    <t>Eugenio Montale, the fascist storm and the Jewish sunflower / David Michael Hertz.</t>
  </si>
  <si>
    <t>Hertz, David Michael, 1954- author.</t>
  </si>
  <si>
    <t>1300745121:eng</t>
  </si>
  <si>
    <t>842208917</t>
  </si>
  <si>
    <t>ocn842208917</t>
  </si>
  <si>
    <t>31034936981</t>
  </si>
  <si>
    <t>9781442645387</t>
  </si>
  <si>
    <t>794947334</t>
  </si>
  <si>
    <t>PQ4829 O565 Z667 2011</t>
  </si>
  <si>
    <t>0                      PQ 4829000O  565                Z  667         2011</t>
  </si>
  <si>
    <t>Montale : l'arte è la forma di vita di chi propriamente non vive / Elio Gioanola.</t>
  </si>
  <si>
    <t>Gioanola, Elio.</t>
  </si>
  <si>
    <t>Milano : Jaca Book, 2011.</t>
  </si>
  <si>
    <t>Di fronte e attraverso ; 1004</t>
  </si>
  <si>
    <t>1019343679:ita</t>
  </si>
  <si>
    <t>755700468</t>
  </si>
  <si>
    <t>ocn755700468</t>
  </si>
  <si>
    <t>3103125554K</t>
  </si>
  <si>
    <t>9788816411043</t>
  </si>
  <si>
    <t>794893907</t>
  </si>
  <si>
    <t>PQ4829 O565 Z7573 2011</t>
  </si>
  <si>
    <t>0                      PQ 4829000O  565                Z  7573        2011</t>
  </si>
  <si>
    <t>Winston Churchill e il bulldog : la Ballata e altri saggi montaliani / Gilberto Lonardi.</t>
  </si>
  <si>
    <t>Lonardi, Gilberto.</t>
  </si>
  <si>
    <t>907374677:ita</t>
  </si>
  <si>
    <t>729344684</t>
  </si>
  <si>
    <t>ocn729344684</t>
  </si>
  <si>
    <t>3103125450N</t>
  </si>
  <si>
    <t>9788831706995</t>
  </si>
  <si>
    <t>794879311</t>
  </si>
  <si>
    <t>PQ4829 O565 Z783894 2011</t>
  </si>
  <si>
    <t>0                      PQ 4829000O  565                Z  783894      2011</t>
  </si>
  <si>
    <t>Montale, la Liguria : atti del convegno, Genova, 12-13 settembre 2011 / a cura di Franco Contorbia.</t>
  </si>
  <si>
    <t>Montale, la Liguria (Conference) (2011 : Genoa, Italy), author.</t>
  </si>
  <si>
    <t>Firenze : Società editrice fiorentina, [2012]</t>
  </si>
  <si>
    <t>1417354231:ita</t>
  </si>
  <si>
    <t>911267404</t>
  </si>
  <si>
    <t>ocn911267404</t>
  </si>
  <si>
    <t>3103624749J</t>
  </si>
  <si>
    <t>9788860321046</t>
  </si>
  <si>
    <t>794998286</t>
  </si>
  <si>
    <t>PQ4829 O565 Z8175 2011</t>
  </si>
  <si>
    <t>0                      PQ 4829000O  565                Z  8175        2011</t>
  </si>
  <si>
    <t>Montale / Francesca Pilato, Luisella Mesiano ; progetto di Marziano Guglielminetti.</t>
  </si>
  <si>
    <t>1042848303:ita</t>
  </si>
  <si>
    <t>760053796</t>
  </si>
  <si>
    <t>ocn760053796</t>
  </si>
  <si>
    <t>3103125592C</t>
  </si>
  <si>
    <t>9788843060986</t>
  </si>
  <si>
    <t>794898168</t>
  </si>
  <si>
    <t>PQ4829 O565 Z8177 2010</t>
  </si>
  <si>
    <t>0                      PQ 4829000O  565                Z  8177        2010</t>
  </si>
  <si>
    <t>Quell'ombra io sono : io, tu, noi nella poesia di Eugenio Montale / Andrea Malagamba.</t>
  </si>
  <si>
    <t>Malagamba, Andrea, author.</t>
  </si>
  <si>
    <t>Roma : Giulio Perrone Editore, 2011.</t>
  </si>
  <si>
    <t>894524115:ita</t>
  </si>
  <si>
    <t>719413235</t>
  </si>
  <si>
    <t>ocn719413235</t>
  </si>
  <si>
    <t>3103125420T</t>
  </si>
  <si>
    <t>9788860041555</t>
  </si>
  <si>
    <t>794874398</t>
  </si>
  <si>
    <t>PQ4829 O565 Z8178 2011</t>
  </si>
  <si>
    <t>0                      PQ 4829000O  565                Z  8178        2011</t>
  </si>
  <si>
    <t>Seminario Montale / Fabrizio Patriarca.</t>
  </si>
  <si>
    <t>Patriarca, Fabrizio.</t>
  </si>
  <si>
    <t>Roma : Gaffi, ©2011.</t>
  </si>
  <si>
    <t>1019341612:ita</t>
  </si>
  <si>
    <t>755700321</t>
  </si>
  <si>
    <t>ocn755700321</t>
  </si>
  <si>
    <t>3103125587E</t>
  </si>
  <si>
    <t>9788861650473</t>
  </si>
  <si>
    <t>794893905</t>
  </si>
  <si>
    <t>PQ4829 O565 Z8689 2015</t>
  </si>
  <si>
    <t>0                      PQ 4829000O  565                Z  8689        2015</t>
  </si>
  <si>
    <t>Il lavoro del poeta : Montale, Sereni, Caproni / Niccolò Scaffai.</t>
  </si>
  <si>
    <t>Scaffai, Niccolò, 1975- author.</t>
  </si>
  <si>
    <t>Lingue e letterature Carocci ; 187</t>
  </si>
  <si>
    <t>2564097477:ita</t>
  </si>
  <si>
    <t>908024588</t>
  </si>
  <si>
    <t>ocn908024588</t>
  </si>
  <si>
    <t>3103628083R</t>
  </si>
  <si>
    <t>9788843074327</t>
  </si>
  <si>
    <t>794994099</t>
  </si>
  <si>
    <t>PQ4829 O565 Z9138 2015</t>
  </si>
  <si>
    <t>0                      PQ 4829000O  565                Z  9138        2015</t>
  </si>
  <si>
    <t>Di ombre e cose salde : studio su Montale / Enrico Tatasciore.</t>
  </si>
  <si>
    <t>Tatasciore, Enrico, 1982- author.</t>
  </si>
  <si>
    <t>I sensi del testo ; N. 6</t>
  </si>
  <si>
    <t>2557765046:ita</t>
  </si>
  <si>
    <t>908335757</t>
  </si>
  <si>
    <t>ocn908335757</t>
  </si>
  <si>
    <t>3103628601V</t>
  </si>
  <si>
    <t>9788857528403</t>
  </si>
  <si>
    <t>794994535</t>
  </si>
  <si>
    <t>PQ4829 O615 H613 1951</t>
  </si>
  <si>
    <t>0                      PQ 4829000O  615                H  613         1951</t>
  </si>
  <si>
    <t>House of liars. [Translated from the Italian, Menzogna e sortilegio, by Adrienne Foulke with the editorial assistance of Andrew Chiappe.</t>
  </si>
  <si>
    <t>Morante, Elsa, approximately 1912-1985.</t>
  </si>
  <si>
    <t>New York, Harcourt, Brace [1951]</t>
  </si>
  <si>
    <t>1st ed.].</t>
  </si>
  <si>
    <t>5609358669:eng</t>
  </si>
  <si>
    <t>1739533</t>
  </si>
  <si>
    <t>ocm01739533</t>
  </si>
  <si>
    <t>3000769939T</t>
  </si>
  <si>
    <t>791857473</t>
  </si>
  <si>
    <t>PQ4829 O615 I8 1957</t>
  </si>
  <si>
    <t>0                      PQ 4829000O  615                I  8           1957</t>
  </si>
  <si>
    <t>L'isola di Arturo; romanzo.</t>
  </si>
  <si>
    <t>[Torino] Einaudi [1957]</t>
  </si>
  <si>
    <t>2018-12-18</t>
  </si>
  <si>
    <t>4916896374:ita</t>
  </si>
  <si>
    <t>543573</t>
  </si>
  <si>
    <t>ocm00543573</t>
  </si>
  <si>
    <t>3000769938V</t>
  </si>
  <si>
    <t>9788806237516</t>
  </si>
  <si>
    <t>791409244</t>
  </si>
  <si>
    <t>PQ4829 O615 I8 1959</t>
  </si>
  <si>
    <t>0                      PQ 4829000O  615                I  8           1959</t>
  </si>
  <si>
    <t>Arturo's island / by Elisa Morante ; translated from the Italian by Isabel Quigly.</t>
  </si>
  <si>
    <t>Morante, Elsa, approximately 1912-1985, author.</t>
  </si>
  <si>
    <t>New York : Alfred A. Knopf, 1959.</t>
  </si>
  <si>
    <t>Borzoi books</t>
  </si>
  <si>
    <t>2019-05-09</t>
  </si>
  <si>
    <t>1489215:eng</t>
  </si>
  <si>
    <t>344442</t>
  </si>
  <si>
    <t>ocm00344442</t>
  </si>
  <si>
    <t>31037733744</t>
  </si>
  <si>
    <t>791344504</t>
  </si>
  <si>
    <t>PQ4829 O615 I8 1969</t>
  </si>
  <si>
    <t>0                      PQ 4829000O  615                I  8           1969</t>
  </si>
  <si>
    <t>[Torino] Einaudi [1969, ©1957]</t>
  </si>
  <si>
    <t>13. ed.</t>
  </si>
  <si>
    <t>2019-06-03</t>
  </si>
  <si>
    <t>185845</t>
  </si>
  <si>
    <t>ocm00185845</t>
  </si>
  <si>
    <t>3000202396$</t>
  </si>
  <si>
    <t>791286318</t>
  </si>
  <si>
    <t>PQ4829 O615 M437 2010</t>
  </si>
  <si>
    <t>0                      PQ 4829000O  615                M  437         2010</t>
  </si>
  <si>
    <t>Menzogna e sortilegio di Elsa Morante : una scrittura delle origini / Ilaria Splendorini.</t>
  </si>
  <si>
    <t>Splendorini, Ilaria.</t>
  </si>
  <si>
    <t>Saggi ; 94</t>
  </si>
  <si>
    <t>796531332:ita</t>
  </si>
  <si>
    <t>650438505</t>
  </si>
  <si>
    <t>ocn650438505</t>
  </si>
  <si>
    <t>3103125147Y</t>
  </si>
  <si>
    <t>9788860873491</t>
  </si>
  <si>
    <t>794832485</t>
  </si>
  <si>
    <t>PQ4829 O615 M4x 1962</t>
  </si>
  <si>
    <t>0                      PQ 4829000O  615                M  4x          1962</t>
  </si>
  <si>
    <t>Menzogna e sortilegio : romanzo / Elsa Morante.</t>
  </si>
  <si>
    <t>Torino : Einaudi, [1962]</t>
  </si>
  <si>
    <t>Quinta edizione.</t>
  </si>
  <si>
    <t>4820562203:ita</t>
  </si>
  <si>
    <t>4673737</t>
  </si>
  <si>
    <t>ocm04673737</t>
  </si>
  <si>
    <t>3000500585M</t>
  </si>
  <si>
    <t>792373818</t>
  </si>
  <si>
    <t>PQ4829 O615 M6</t>
  </si>
  <si>
    <t>0                      PQ 4829000O  615                M  6</t>
  </si>
  <si>
    <t>Il mondo salvato dai ragazzini e altri poemi.</t>
  </si>
  <si>
    <t>348901028:ita</t>
  </si>
  <si>
    <t>1985871</t>
  </si>
  <si>
    <t>ocm01985871</t>
  </si>
  <si>
    <t>3000614036M</t>
  </si>
  <si>
    <t>792023345</t>
  </si>
  <si>
    <t>PQ4829 O615 S7x</t>
  </si>
  <si>
    <t>0                      PQ 4829000O  615                S  7x</t>
  </si>
  <si>
    <t>La storia : romanzo / Elsa Morante.</t>
  </si>
  <si>
    <t>Torino : Einaudi, [1974]</t>
  </si>
  <si>
    <t>Gli Struzzi ; 58</t>
  </si>
  <si>
    <t>2019-11-27</t>
  </si>
  <si>
    <t>57323:ita</t>
  </si>
  <si>
    <t>3356145</t>
  </si>
  <si>
    <t>ocm03356145</t>
  </si>
  <si>
    <t>3000612640H</t>
  </si>
  <si>
    <t>792246170</t>
  </si>
  <si>
    <t>PQ4829 O615 S813 2007</t>
  </si>
  <si>
    <t>0                      PQ 4829000O  615                S  813         2007</t>
  </si>
  <si>
    <t>History : a novel / Elsa Morante ; translated from the Italian by William Weaver.</t>
  </si>
  <si>
    <t>Hanover, NH : Zoland Books, ©2007.</t>
  </si>
  <si>
    <t>2018-08-22</t>
  </si>
  <si>
    <t>57323:eng</t>
  </si>
  <si>
    <t>436840467</t>
  </si>
  <si>
    <t>ocn436840467</t>
  </si>
  <si>
    <t>3103142555M</t>
  </si>
  <si>
    <t>9781586420048</t>
  </si>
  <si>
    <t>794784970</t>
  </si>
  <si>
    <t>PQ4829 O615 S838 2011</t>
  </si>
  <si>
    <t>0                      PQ 4829000O  615                S  838         2011</t>
  </si>
  <si>
    <t>La storia di Elsa Morante / a cura di Siriana Sgavicchia.</t>
  </si>
  <si>
    <t>Società italiana per lo studio della modernità letteraria. Seminario (2011 : Salerno, Italy)</t>
  </si>
  <si>
    <t>La modernità letteraria ; 34</t>
  </si>
  <si>
    <t>1192253151:ita</t>
  </si>
  <si>
    <t>823206890</t>
  </si>
  <si>
    <t>ocn823206890</t>
  </si>
  <si>
    <t>3103126044X</t>
  </si>
  <si>
    <t>9788846733733</t>
  </si>
  <si>
    <t>794936983</t>
  </si>
  <si>
    <t>PQ4829 O615 Z48 2012</t>
  </si>
  <si>
    <t>0                      PQ 4829000O  615                Z  48          2012</t>
  </si>
  <si>
    <t>L'amata : lettere di e a Elsa Morante / a cura di Daniele Morante ; con la collaborazione di Giuliana Zagra.</t>
  </si>
  <si>
    <t>Torino : Einaudi, [2012]</t>
  </si>
  <si>
    <t>1212483078:ita</t>
  </si>
  <si>
    <t>827227901</t>
  </si>
  <si>
    <t>ocn827227901</t>
  </si>
  <si>
    <t>3103628514Q</t>
  </si>
  <si>
    <t>9788806210946</t>
  </si>
  <si>
    <t>794939823</t>
  </si>
  <si>
    <t>PQ4829 O615 Z614 2015</t>
  </si>
  <si>
    <t>0                      PQ 4829000O  615                Z  614         2015</t>
  </si>
  <si>
    <t>Elsa Morante's politics of writing : rethinking subjectivity, history, and the power of art / edited by Stefania Lucamante.</t>
  </si>
  <si>
    <t>Madison, New Jersey : Fairleigh Dickinson University Press, [2015]</t>
  </si>
  <si>
    <t>2088826437:eng</t>
  </si>
  <si>
    <t>892304587</t>
  </si>
  <si>
    <t>ocn892304587</t>
  </si>
  <si>
    <t>3103702779P</t>
  </si>
  <si>
    <t>9781611477962</t>
  </si>
  <si>
    <t>794980728</t>
  </si>
  <si>
    <t>PQ4829 O615 Z64 2011</t>
  </si>
  <si>
    <t>0                      PQ 4829000O  615                Z  64          2011</t>
  </si>
  <si>
    <t>Festa per Elsa / a cura di Goffredo Fofi, Adriano Sofri.</t>
  </si>
  <si>
    <t>Palermo : Sellerio, 2011.</t>
  </si>
  <si>
    <t>La memoria ; 841</t>
  </si>
  <si>
    <t>2011-09-29</t>
  </si>
  <si>
    <t>797258756:ita</t>
  </si>
  <si>
    <t>706409985</t>
  </si>
  <si>
    <t>ocn706409985</t>
  </si>
  <si>
    <t>3103125327W</t>
  </si>
  <si>
    <t>9788838925481</t>
  </si>
  <si>
    <t>794866826</t>
  </si>
  <si>
    <t>PQ4829 O615 Z656 2012</t>
  </si>
  <si>
    <t>0                      PQ 4829000O  615                Z  656         2012</t>
  </si>
  <si>
    <t>La fiaba estrema : Elsa Morante tra vita e scrittura / Graziella Bernabò.</t>
  </si>
  <si>
    <t>Bernabò, Graziella.</t>
  </si>
  <si>
    <t>Sfere ; 64</t>
  </si>
  <si>
    <t>1118103986:ita</t>
  </si>
  <si>
    <t>794639684</t>
  </si>
  <si>
    <t>ocn794639684</t>
  </si>
  <si>
    <t>31031257936</t>
  </si>
  <si>
    <t>9788843065172</t>
  </si>
  <si>
    <t>794920245</t>
  </si>
  <si>
    <t>PQ4829 O615 Z77 2015</t>
  </si>
  <si>
    <t>0                      PQ 4829000O  615                Z  77          2015</t>
  </si>
  <si>
    <t>Morante la luminosa / a cura di Laura Fortini, Giuliana Misserville e Nadia Setti.</t>
  </si>
  <si>
    <t>[Pavona, Italy] : Iacobelli, marzo 2015.</t>
  </si>
  <si>
    <t>Workshop ; 21</t>
  </si>
  <si>
    <t>2501571878:ita</t>
  </si>
  <si>
    <t>907638824</t>
  </si>
  <si>
    <t>ocn907638824</t>
  </si>
  <si>
    <t>3103628109Z</t>
  </si>
  <si>
    <t>9788862522496</t>
  </si>
  <si>
    <t>794993644</t>
  </si>
  <si>
    <t>PQ4829 O615 Z844 2012</t>
  </si>
  <si>
    <t>0                      PQ 4829000O  615                Z  844         2012</t>
  </si>
  <si>
    <t>Elsa Morante / Giovanna Rosa.</t>
  </si>
  <si>
    <t>Rosa, Giovanna, 1950-</t>
  </si>
  <si>
    <t>Bologna : Il mulino, [2013]</t>
  </si>
  <si>
    <t>Itinerari. Filologia e critica letteraria</t>
  </si>
  <si>
    <t>1182626382:ita</t>
  </si>
  <si>
    <t>818724638</t>
  </si>
  <si>
    <t>ocn818724638</t>
  </si>
  <si>
    <t>3103126121Y</t>
  </si>
  <si>
    <t>9788815241726</t>
  </si>
  <si>
    <t>794934096</t>
  </si>
  <si>
    <t>PQ4829 O615 1988</t>
  </si>
  <si>
    <t>0                      PQ 4829000O  615         1988</t>
  </si>
  <si>
    <t>Opere / Elsa Morante ; a cura di Carlo Cecchi, Cesare Garboli.</t>
  </si>
  <si>
    <t>Milano : Arnoldo Mondadori, 1988-1990.</t>
  </si>
  <si>
    <t>4820546350:ita</t>
  </si>
  <si>
    <t>20431179</t>
  </si>
  <si>
    <t>ocm20431179</t>
  </si>
  <si>
    <t>3101447057E</t>
  </si>
  <si>
    <t>9788804301431</t>
  </si>
  <si>
    <t>793087757</t>
  </si>
  <si>
    <t>2014-12-06</t>
  </si>
  <si>
    <t>3101447055I</t>
  </si>
  <si>
    <t>793087758</t>
  </si>
  <si>
    <t>PQ4829 O62 C6 2008</t>
  </si>
  <si>
    <t>0                      PQ 4829000O  62                 C  6           2008</t>
  </si>
  <si>
    <t>Il conformista : con un episodio inedito / Alberto Moravio ; a cura di Tonino Tornitore ; bibliografia di Tonino Tornitore ; cronologia di Eileen Romano.</t>
  </si>
  <si>
    <t>Moravia, Alberto, 1907-1990.</t>
  </si>
  <si>
    <t>Milano : Bompiani, ©2008.</t>
  </si>
  <si>
    <t>10th ed.</t>
  </si>
  <si>
    <t>I grandi tascabili ; 259. Opere di Moravia.</t>
  </si>
  <si>
    <t>2017-01-04</t>
  </si>
  <si>
    <t>5090445721:ita</t>
  </si>
  <si>
    <t>498126932</t>
  </si>
  <si>
    <t>ocn498126932</t>
  </si>
  <si>
    <t>3103215147X</t>
  </si>
  <si>
    <t>9788845251115</t>
  </si>
  <si>
    <t>794803106</t>
  </si>
  <si>
    <t>PQ4829 O62 D8413 2011</t>
  </si>
  <si>
    <t>0                      PQ 4829000O  62                 D  8413        2011</t>
  </si>
  <si>
    <t>Two friends = I due amici / Alberto Moravia ; edited by Simone Casini ; translated from the Italian by Marina Harss ; with an introduction by Thomas Erling Peterson.</t>
  </si>
  <si>
    <t>New York : Other Press, ©2011.</t>
  </si>
  <si>
    <t>2867161519:eng</t>
  </si>
  <si>
    <t>692288183</t>
  </si>
  <si>
    <t>ocn692288183</t>
  </si>
  <si>
    <t>3103396118Q</t>
  </si>
  <si>
    <t>9781590513361</t>
  </si>
  <si>
    <t>794856085</t>
  </si>
  <si>
    <t>PQ4829 O62 I5513 2000</t>
  </si>
  <si>
    <t>0                      PQ 4829000O  62                 I  5513        2000</t>
  </si>
  <si>
    <t>The time of indifference / Alberto Moravia ; translated from the Italian by Tami Calliope.</t>
  </si>
  <si>
    <t>South Royalton, Vt. : Steerforth Press, ©2000.</t>
  </si>
  <si>
    <t>2017-03-21</t>
  </si>
  <si>
    <t>49523700:eng</t>
  </si>
  <si>
    <t>44270501</t>
  </si>
  <si>
    <t>ocm44270501</t>
  </si>
  <si>
    <t>3102465605X</t>
  </si>
  <si>
    <t>9781586420055</t>
  </si>
  <si>
    <t>793644841</t>
  </si>
  <si>
    <t>PQ4829 O62 Z48 2010</t>
  </si>
  <si>
    <t>0                      PQ 4829000O  62                 Z  48          2010</t>
  </si>
  <si>
    <t>Lettere ad Amelia Rosselli con altre lettere familiari e prime poesie : (1915-1951) / Alberto Moravia ; a cura di Simone Casini.</t>
  </si>
  <si>
    <t>Milano : Bompiani, ©2010.</t>
  </si>
  <si>
    <t>1. ed. Bompiani.</t>
  </si>
  <si>
    <t>Grandi pasSaggi</t>
  </si>
  <si>
    <t>796618988:ita</t>
  </si>
  <si>
    <t>669909238</t>
  </si>
  <si>
    <t>ocn669909238</t>
  </si>
  <si>
    <t>3103125224Z</t>
  </si>
  <si>
    <t>9788845265440</t>
  </si>
  <si>
    <t>794847198</t>
  </si>
  <si>
    <t>PQ4829 O62 Z48 2015</t>
  </si>
  <si>
    <t>0                      PQ 4829000O  62                 Z  48          2015</t>
  </si>
  <si>
    <t>Se è questa la giovinezza vorrei che passasse presto : lettere, 1926-1940, con un racconto inedito / Alberto Moravia ; a cura di Alessandra Grandelis ; ricerca iconografica a cura di Nour Melehi.</t>
  </si>
  <si>
    <t>Moravia, Alberto, 1907-1990, author.</t>
  </si>
  <si>
    <t>Milano : Bompiani, ottobre 2015.</t>
  </si>
  <si>
    <t>Prima edizione Bompiani.</t>
  </si>
  <si>
    <t>Bompiani Overlook</t>
  </si>
  <si>
    <t>2944512263:ita</t>
  </si>
  <si>
    <t>932174972</t>
  </si>
  <si>
    <t>ocn932174972</t>
  </si>
  <si>
    <t>3103624270B</t>
  </si>
  <si>
    <t>9788845280757</t>
  </si>
  <si>
    <t>795008465</t>
  </si>
  <si>
    <t>PQ4829 O62 Z5953 2010</t>
  </si>
  <si>
    <t>0                      PQ 4829000O  62                 Z  5953        2010</t>
  </si>
  <si>
    <t>Alberto Moravia / René de Ceccatty.</t>
  </si>
  <si>
    <t>Ceccatty, René de.</t>
  </si>
  <si>
    <t>[Paris] : Flammarion, ©2010.</t>
  </si>
  <si>
    <t>Grandes biographies</t>
  </si>
  <si>
    <t>3944305691:fre</t>
  </si>
  <si>
    <t>503242733</t>
  </si>
  <si>
    <t>ocn503242733</t>
  </si>
  <si>
    <t>3103248599L</t>
  </si>
  <si>
    <t>9782081209664</t>
  </si>
  <si>
    <t>794806271</t>
  </si>
  <si>
    <t>PQ4829 O62 Z89 2014</t>
  </si>
  <si>
    <t>0                      PQ 4829000O  62                 Z  89          2014</t>
  </si>
  <si>
    <t>Alberto Moravia e il cinema : una rilettura storica / Silvia Serini.</t>
  </si>
  <si>
    <t>Serini, Silvia, author.</t>
  </si>
  <si>
    <t>Fano (PU) : Aras edizioni, [2014]</t>
  </si>
  <si>
    <t>I volti di Clio ; III</t>
  </si>
  <si>
    <t>1907226110:ita</t>
  </si>
  <si>
    <t>881381612</t>
  </si>
  <si>
    <t>ocn881381612</t>
  </si>
  <si>
    <t>3103126469H</t>
  </si>
  <si>
    <t>9788898615292</t>
  </si>
  <si>
    <t>794974165</t>
  </si>
  <si>
    <t>PQ4829 O65 A15 1959</t>
  </si>
  <si>
    <t>0                      PQ 4829000O  65                 A  15          1959</t>
  </si>
  <si>
    <t>Tutte le novelle.</t>
  </si>
  <si>
    <t>Moretti, Marino, 1885-1979.</t>
  </si>
  <si>
    <t>[Verona] A. Mondadori [©1959]</t>
  </si>
  <si>
    <t>2017-05-27</t>
  </si>
  <si>
    <t>10076334820:ita</t>
  </si>
  <si>
    <t>7854567</t>
  </si>
  <si>
    <t>ocm07854567</t>
  </si>
  <si>
    <t>3000202433J</t>
  </si>
  <si>
    <t>792583655</t>
  </si>
  <si>
    <t>PQ4829 O65 Z9</t>
  </si>
  <si>
    <t>0                      PQ 4829000O  65                 Z  9</t>
  </si>
  <si>
    <t>Moretti / di Claudio Toscani.</t>
  </si>
  <si>
    <t>Toscani, Claudio, 1934-</t>
  </si>
  <si>
    <t>Firenze : La nuova Italia, 1975.</t>
  </si>
  <si>
    <t>Il Castoro ; 103/104</t>
  </si>
  <si>
    <t>3856340255:ita</t>
  </si>
  <si>
    <t>2096286</t>
  </si>
  <si>
    <t>ocm02096286</t>
  </si>
  <si>
    <t>3000393153X</t>
  </si>
  <si>
    <t>792045178</t>
  </si>
  <si>
    <t>PQ4829 O714 C6</t>
  </si>
  <si>
    <t>0                      PQ 4829000O  714                C  6</t>
  </si>
  <si>
    <t>Contro-passato prossimo : un'ipotesi retrospettiva / Guido Morselli.</t>
  </si>
  <si>
    <t>Morselli, Guido.</t>
  </si>
  <si>
    <t>Milano : Adelphi, [1975]</t>
  </si>
  <si>
    <t>Narrativa contemporanea.</t>
  </si>
  <si>
    <t>2015-05-23</t>
  </si>
  <si>
    <t>19734473:ita</t>
  </si>
  <si>
    <t>10441072</t>
  </si>
  <si>
    <t>ocm10441072</t>
  </si>
  <si>
    <t>31036021352</t>
  </si>
  <si>
    <t>792726630</t>
  </si>
  <si>
    <t>PQ4829 O714 Z68 2011</t>
  </si>
  <si>
    <t>0                      PQ 4829000O  714                Z  68          2011</t>
  </si>
  <si>
    <t>Morselli antimoderno / Alessandro Gaudio.</t>
  </si>
  <si>
    <t>Gaudio, Alessandro.</t>
  </si>
  <si>
    <t>Sentieri saggistici ; 6</t>
  </si>
  <si>
    <t>943034312:ita</t>
  </si>
  <si>
    <t>741557569</t>
  </si>
  <si>
    <t>ocn741557569</t>
  </si>
  <si>
    <t>3103125476J</t>
  </si>
  <si>
    <t>9788882413576</t>
  </si>
  <si>
    <t>794884319</t>
  </si>
  <si>
    <t>PQ4829 O714 Z77 2011</t>
  </si>
  <si>
    <t>0                      PQ 4829000O  714                Z  77          2011</t>
  </si>
  <si>
    <t>Le ragioni del fobantropo : studio sull'opera di Guido Morselli / Domenico Mezzina.</t>
  </si>
  <si>
    <t>Mezzina, Domenico, 1979-</t>
  </si>
  <si>
    <t>[Bari] : Stilo, ©2011.</t>
  </si>
  <si>
    <t>Officina ; 13</t>
  </si>
  <si>
    <t>1042848427:ita</t>
  </si>
  <si>
    <t>760053940</t>
  </si>
  <si>
    <t>ocn760053940</t>
  </si>
  <si>
    <t>3103125588E</t>
  </si>
  <si>
    <t>9788864790398</t>
  </si>
  <si>
    <t>794898175</t>
  </si>
  <si>
    <t>PQ4831 E4 L513 2011</t>
  </si>
  <si>
    <t>0                      PQ 4831000E  4                  L  513         2011</t>
  </si>
  <si>
    <t>The book of Mara / by Ada Negri ; translated by Maria A. Costantini.</t>
  </si>
  <si>
    <t>Negri, Ada, 1870-1945.</t>
  </si>
  <si>
    <t>4131763249:eng</t>
  </si>
  <si>
    <t>668990487</t>
  </si>
  <si>
    <t>ocn668990487</t>
  </si>
  <si>
    <t>3103362863Q</t>
  </si>
  <si>
    <t>9781599102061</t>
  </si>
  <si>
    <t>794846638</t>
  </si>
  <si>
    <t>PQ4833 R8 A17 1979</t>
  </si>
  <si>
    <t>0                      PQ 4833000R  8                  A  17          1979</t>
  </si>
  <si>
    <t>Poesie scelte / di Angiolo Orvieto.</t>
  </si>
  <si>
    <t>Orvieto, Angiolo, 1869-1967.</t>
  </si>
  <si>
    <t>Firenze : L.S. Olschki, 1979.</t>
  </si>
  <si>
    <t>2017-11-30</t>
  </si>
  <si>
    <t>3857113671:ita</t>
  </si>
  <si>
    <t>5960824</t>
  </si>
  <si>
    <t>ocm05960824</t>
  </si>
  <si>
    <t>30003172687</t>
  </si>
  <si>
    <t>9788822228444</t>
  </si>
  <si>
    <t>792466674</t>
  </si>
  <si>
    <t>PQ4833 R8 Z49 1990</t>
  </si>
  <si>
    <t>0                      PQ 4833000R  8                  Z  49          1990</t>
  </si>
  <si>
    <t>Il sogno aristocratico : corrispondenza, 1889-1917 / Angiolo Orvieto e Neera ; [a cura di] Antonia Arslan, Patrizia Zambon.</t>
  </si>
  <si>
    <t>Milano : Guerini studio, 1990.</t>
  </si>
  <si>
    <t>190845816:ita</t>
  </si>
  <si>
    <t>29575419</t>
  </si>
  <si>
    <t>ocm29575419</t>
  </si>
  <si>
    <t>31013464596</t>
  </si>
  <si>
    <t>9788878021938</t>
  </si>
  <si>
    <t>793314910</t>
  </si>
  <si>
    <t>PQ4835 A18 I5 1988</t>
  </si>
  <si>
    <t>0                      PQ 4835000A  18                 I  5           1988</t>
  </si>
  <si>
    <t>Interrogatorio della contessa Maria / Aldo Palazzeschi ; a cura di Fabrizio Bagatti.</t>
  </si>
  <si>
    <t>Palazzeschi, Aldo, 1885-1974.</t>
  </si>
  <si>
    <t>L'ottagono ; 1</t>
  </si>
  <si>
    <t>2015-10-10</t>
  </si>
  <si>
    <t>10177332280:ita</t>
  </si>
  <si>
    <t>18567702</t>
  </si>
  <si>
    <t>ocm18567702</t>
  </si>
  <si>
    <t>31008785502</t>
  </si>
  <si>
    <t>9788804305538</t>
  </si>
  <si>
    <t>793029507</t>
  </si>
  <si>
    <t>PQ4835 A18 Z46 2014</t>
  </si>
  <si>
    <t>0                      PQ 4835000A  18                 Z  46          2014</t>
  </si>
  <si>
    <t>Ritratti nel tempo : interviste, 1934-1974 / Aldo Palazzeschi ; a cura di Giorgina Colli.</t>
  </si>
  <si>
    <t>Palazzeschi, Aldo, 1885-1974, interviewee.</t>
  </si>
  <si>
    <t>Roma : Edizioni di storia e letteratura ; Firenze : Università degli studi di Firenze, 2014.</t>
  </si>
  <si>
    <t>Carte Palazzeschi</t>
  </si>
  <si>
    <t>2028287766:ita</t>
  </si>
  <si>
    <t>889717147</t>
  </si>
  <si>
    <t>ocn889717147</t>
  </si>
  <si>
    <t>3103664722F</t>
  </si>
  <si>
    <t>9788863725940</t>
  </si>
  <si>
    <t>794978555</t>
  </si>
  <si>
    <t>PQ4835 A18 Z48 2011</t>
  </si>
  <si>
    <t>0                      PQ 4835000A  18                 Z  48          2011</t>
  </si>
  <si>
    <t>Carteggio con il "Corriere della sera" : 1926-1971 / Aldo Palazzeschi ; a cura di Barbara Silvia Anglani ; presentazione di Piergaetano Marchetti.</t>
  </si>
  <si>
    <t>Roma : Edizioni di storia e letteratura ; Firenze : Università degli studi di Firenze, 2011.</t>
  </si>
  <si>
    <t>943034196:ita</t>
  </si>
  <si>
    <t>741557448</t>
  </si>
  <si>
    <t>ocn741557448</t>
  </si>
  <si>
    <t>3103125480H</t>
  </si>
  <si>
    <t>9788863723083</t>
  </si>
  <si>
    <t>794884288</t>
  </si>
  <si>
    <t>PQ4835 A18 Z48 2011b</t>
  </si>
  <si>
    <t>0                      PQ 4835000A  18                 Z  48          2011b</t>
  </si>
  <si>
    <t>Carteggio, 1912-1960 / Aldo Palazzeschi, Ardengo Soffici ; a cura di Simone Magherini.</t>
  </si>
  <si>
    <t>Roma : Edizioni di storia e letteratura ; [Florence] : Università degli studi di Firenze, 2011.</t>
  </si>
  <si>
    <t>3902594084:ita</t>
  </si>
  <si>
    <t>748343934</t>
  </si>
  <si>
    <t>ocn748343934</t>
  </si>
  <si>
    <t>3103125507U</t>
  </si>
  <si>
    <t>9788863723236</t>
  </si>
  <si>
    <t>794889278</t>
  </si>
  <si>
    <t>PQ4835 A18 Z585 2011</t>
  </si>
  <si>
    <t>0                      PQ 4835000A  18                 Z  585         2011</t>
  </si>
  <si>
    <t>L'uno e il molteplice nel giovane Palazzeschi, 1905-1915 / Mimmo Cangiano.</t>
  </si>
  <si>
    <t>Cangiano, Mimmo.</t>
  </si>
  <si>
    <t>Firenze : Società editrice fiorentina, 2010.</t>
  </si>
  <si>
    <t>Quaderni Aldo Palazzeschi. Nuova serie / Centro di studi Aldo Palazzeschi ; 25</t>
  </si>
  <si>
    <t>818458991:ita</t>
  </si>
  <si>
    <t>707459640</t>
  </si>
  <si>
    <t>ocn707459640</t>
  </si>
  <si>
    <t>3103125336U</t>
  </si>
  <si>
    <t>9788860321411</t>
  </si>
  <si>
    <t>794867747</t>
  </si>
  <si>
    <t>PQ4835 A18 Z594 2004</t>
  </si>
  <si>
    <t>0                      PQ 4835000A  18                 Z  594         2004</t>
  </si>
  <si>
    <t>Palazzeschi e i territori del comico : atti del convegno di studi, Bergamo 9-11 dicembre 2004 / a cura di Matilde Dillon Wanke e Gino Tellini.</t>
  </si>
  <si>
    <t>Convegno di studi Palazzeschi e i territori del comico (2004 : Bergamo, Italy)</t>
  </si>
  <si>
    <t>Firenze : Società editrice fiorentina, ©2006.</t>
  </si>
  <si>
    <t>Biblioteca Palazzeschi ; 04</t>
  </si>
  <si>
    <t>891889248:ita</t>
  </si>
  <si>
    <t>70799185</t>
  </si>
  <si>
    <t>ocm70799185</t>
  </si>
  <si>
    <t>3102693858Z</t>
  </si>
  <si>
    <t>9788860320056</t>
  </si>
  <si>
    <t>794159344</t>
  </si>
  <si>
    <t>PQ4835 A18 Z66 2009</t>
  </si>
  <si>
    <t>0                      PQ 4835000A  18                 Z  66          2009</t>
  </si>
  <si>
    <t>Aldo Palazzeschi a Roma : atti della giornata di studi : Casa di Goethe, Roma, 20 aprile 2009 / a cura di Gino Tellini.</t>
  </si>
  <si>
    <t>Biblioteca Palazzeschi ; 08</t>
  </si>
  <si>
    <t>864638465:ita</t>
  </si>
  <si>
    <t>711513821</t>
  </si>
  <si>
    <t>ocn711513821</t>
  </si>
  <si>
    <t>3103125342S</t>
  </si>
  <si>
    <t>9788860321473</t>
  </si>
  <si>
    <t>794870992</t>
  </si>
  <si>
    <t>PQ4835 A18 Z66 2013</t>
  </si>
  <si>
    <t>0                      PQ 4835000A  18                 Z  66          2013</t>
  </si>
  <si>
    <t>Aldo Palazzeschi : der Dichter, der Gaukler und die Ernsthaftigkeit des Spiels = Aldo Palazzeschi : il poeta saltimbanco e la serietà del gioco : Universität Hamburg, Istituto Italiano di Cultura : Amburgo, 25 ottobre 2013 / a cura di Gino Tellini.</t>
  </si>
  <si>
    <t>Giornata di studi Aldo Palazzeschi, der Dichter, der Gaukler und die Ernsthaftigkeit des Spiels (2013 : Hamburg, Germany)</t>
  </si>
  <si>
    <t>Biblioteca Palazzeschi, 2036-3516 ; 13</t>
  </si>
  <si>
    <t>3484362109:ita</t>
  </si>
  <si>
    <t>910505704</t>
  </si>
  <si>
    <t>ocn910505704</t>
  </si>
  <si>
    <t>31036360096</t>
  </si>
  <si>
    <t>9788860323255</t>
  </si>
  <si>
    <t>794996218</t>
  </si>
  <si>
    <t>PQ4835 A18 Z662 2013</t>
  </si>
  <si>
    <t>0                      PQ 4835000A  18                 Z  662         2013</t>
  </si>
  <si>
    <t>Aldo Palazzeschi e Venezia : atti della Giornata di studi : Fondazione Querini Stampalia, Venezia, 14 maggio 2013 / a cura di Simone Magherini.</t>
  </si>
  <si>
    <t>Giornata di studi Aldo Palazzeschi e Venezia (2013 : Fondazione Querini Stampalia)</t>
  </si>
  <si>
    <t>Biblioteca Palazzeschi, 2036-3516 ; 12</t>
  </si>
  <si>
    <t>2525659118:ita</t>
  </si>
  <si>
    <t>911267326</t>
  </si>
  <si>
    <t>ocn911267326</t>
  </si>
  <si>
    <t>3103627844A</t>
  </si>
  <si>
    <t>9788860323002</t>
  </si>
  <si>
    <t>794998280</t>
  </si>
  <si>
    <t>PQ4835 A18 Z758 2013</t>
  </si>
  <si>
    <t>0                      PQ 4835000A  18                 Z  758         2013</t>
  </si>
  <si>
    <t>Per Palazzeschi / Marco Marchi.</t>
  </si>
  <si>
    <t>Firenze : Le lettere, ©2013.</t>
  </si>
  <si>
    <t>La nuova meridiana ; 79</t>
  </si>
  <si>
    <t>1371519143:ita</t>
  </si>
  <si>
    <t>843755337</t>
  </si>
  <si>
    <t>ocn843755337</t>
  </si>
  <si>
    <t>3103126221V</t>
  </si>
  <si>
    <t>9788860876775</t>
  </si>
  <si>
    <t>794948141</t>
  </si>
  <si>
    <t>PQ4835 A18 Z787 2010</t>
  </si>
  <si>
    <t>0                      PQ 4835000A  18                 Z  787         2010</t>
  </si>
  <si>
    <t>Palazzeschi l'imprevedibile / [a cura di] Annalisa Cima.</t>
  </si>
  <si>
    <t>Milano : Fondazione Schlesinger, 2010.</t>
  </si>
  <si>
    <t>572473897:ita</t>
  </si>
  <si>
    <t>656501980</t>
  </si>
  <si>
    <t>ocn656501980</t>
  </si>
  <si>
    <t>3103125564I</t>
  </si>
  <si>
    <t>9788896962008</t>
  </si>
  <si>
    <t>794834862</t>
  </si>
  <si>
    <t>PQ4835 A18 Z92 2010</t>
  </si>
  <si>
    <t>0                      PQ 4835000A  18                 Z  92          2010</t>
  </si>
  <si>
    <t>Il poeta si diverte : scherzi e sperimentazioni del giovane Aldo Palazzeschi / Marco Speroni.</t>
  </si>
  <si>
    <t>Speroni, Marco.</t>
  </si>
  <si>
    <t>Firenze : Phasar, ©2010.</t>
  </si>
  <si>
    <t>900366756:ita</t>
  </si>
  <si>
    <t>724303798</t>
  </si>
  <si>
    <t>ocn724303798</t>
  </si>
  <si>
    <t>3103125375M</t>
  </si>
  <si>
    <t>9788863580853</t>
  </si>
  <si>
    <t>794876303</t>
  </si>
  <si>
    <t>PQ4835 A27 G6 1995</t>
  </si>
  <si>
    <t>0                      PQ 4835000A  27                 G  6           1995</t>
  </si>
  <si>
    <t>Gog / Giovanni Papini ; prefazione di Enzo Siciliano.</t>
  </si>
  <si>
    <t>Papini, Giovanni, 1881-1956.</t>
  </si>
  <si>
    <t>Firenze : Giunti, 1995.</t>
  </si>
  <si>
    <t>900 italiano</t>
  </si>
  <si>
    <t>1481030:ita</t>
  </si>
  <si>
    <t>34040854</t>
  </si>
  <si>
    <t>ocm34040854</t>
  </si>
  <si>
    <t>3102951706L</t>
  </si>
  <si>
    <t>9788809205413</t>
  </si>
  <si>
    <t>793416997</t>
  </si>
  <si>
    <t>PQ4835 A27 S6 1975</t>
  </si>
  <si>
    <t>0                      PQ 4835000A  27                 S  6           1975</t>
  </si>
  <si>
    <t>Lo specchio che fugge / di Giovanni Papini ; a cura di Jorge Luis Borges.</t>
  </si>
  <si>
    <t>Parma ; Milano : F.M. Ricci, ©1975.</t>
  </si>
  <si>
    <t>La Biblioteca di Babele ; 2</t>
  </si>
  <si>
    <t>2018-02-11</t>
  </si>
  <si>
    <t>366044432:ita</t>
  </si>
  <si>
    <t>2453772</t>
  </si>
  <si>
    <t>ocm02453772</t>
  </si>
  <si>
    <t>3000448597W</t>
  </si>
  <si>
    <t>792129717</t>
  </si>
  <si>
    <t>PQ4835 A27 U6 2011</t>
  </si>
  <si>
    <t>0                      PQ 4835000A  27                 U  6           2011</t>
  </si>
  <si>
    <t>Un uomo finito : e altri scritti inediti / Giovanni Papini ; annotazioni all'opera edita, pubblicazione dei capitoli inediti e di un nuovo manoscritto recentemente ritrovato a cura di Anna Casini Paszkowski ; introduzione critica di François Livi.</t>
  </si>
  <si>
    <t>Roma : Casa Editrice Leonardo da Vinci, [2011]</t>
  </si>
  <si>
    <t>La filosofia nella letteratura moderna ; 1</t>
  </si>
  <si>
    <t>3375319831:ita</t>
  </si>
  <si>
    <t>747531528</t>
  </si>
  <si>
    <t>ocn747531528</t>
  </si>
  <si>
    <t>3103125573G</t>
  </si>
  <si>
    <t>9788888926384</t>
  </si>
  <si>
    <t>794888217</t>
  </si>
  <si>
    <t>PQ4835 A27 1958</t>
  </si>
  <si>
    <t>0                      PQ 4835000A  27          1958</t>
  </si>
  <si>
    <t>Tutte le opere di Giovanni Papini.</t>
  </si>
  <si>
    <t>Milano : Arnoldo Mondadori, 1958-1966.</t>
  </si>
  <si>
    <t>I Classici contemporanes italiani</t>
  </si>
  <si>
    <t>3372307206:ita</t>
  </si>
  <si>
    <t>2140853</t>
  </si>
  <si>
    <t>ocm02140853</t>
  </si>
  <si>
    <t>31008410161</t>
  </si>
  <si>
    <t>792054393</t>
  </si>
  <si>
    <t>3103535284V</t>
  </si>
  <si>
    <t>792054392</t>
  </si>
  <si>
    <t>31008410153</t>
  </si>
  <si>
    <t>792054394</t>
  </si>
  <si>
    <t>2005-08-29</t>
  </si>
  <si>
    <t>3102456677K</t>
  </si>
  <si>
    <t>792054395</t>
  </si>
  <si>
    <t>3100841018Y</t>
  </si>
  <si>
    <t>792054391</t>
  </si>
  <si>
    <t>31008410129</t>
  </si>
  <si>
    <t>792054397</t>
  </si>
  <si>
    <t>3103679329N</t>
  </si>
  <si>
    <t>792054398</t>
  </si>
  <si>
    <t>3100841019W</t>
  </si>
  <si>
    <t>792054390</t>
  </si>
  <si>
    <t>31008410137</t>
  </si>
  <si>
    <t>792054396</t>
  </si>
  <si>
    <t>PQ4835 A274 A117 1987</t>
  </si>
  <si>
    <t>0                      PQ 4835000A  274                A  117         1987</t>
  </si>
  <si>
    <t>Opere / Goffredo Parise ; a cura di Bruno Callegher e Mauro Portello ; introduzione di Andrea Zanzotto.</t>
  </si>
  <si>
    <t>Parise, Goffredo.</t>
  </si>
  <si>
    <t>Milano : A. Mondadori, 1987-1989.</t>
  </si>
  <si>
    <t>2016-09-28</t>
  </si>
  <si>
    <t>327952252:ita</t>
  </si>
  <si>
    <t>18424854</t>
  </si>
  <si>
    <t>ocm18424854</t>
  </si>
  <si>
    <t>31013165412</t>
  </si>
  <si>
    <t>9788804301073</t>
  </si>
  <si>
    <t>793025167</t>
  </si>
  <si>
    <t>3101316538S</t>
  </si>
  <si>
    <t>793025166</t>
  </si>
  <si>
    <t>PQ4835 A274 L6 2002</t>
  </si>
  <si>
    <t>0                      PQ 4835000A  274                L  6           2002</t>
  </si>
  <si>
    <t>Lontano / Goffredo Parise ; a cura di Silvio Perrella.</t>
  </si>
  <si>
    <t>Cava de' Tirreni, Italy : Avagliano, 2002.</t>
  </si>
  <si>
    <t>Il Melograno ; 30</t>
  </si>
  <si>
    <t>2018-10-06</t>
  </si>
  <si>
    <t>3769498355:ita</t>
  </si>
  <si>
    <t>427516950</t>
  </si>
  <si>
    <t>ocn427516950</t>
  </si>
  <si>
    <t>3102284208E</t>
  </si>
  <si>
    <t>9788883090875</t>
  </si>
  <si>
    <t>794673483</t>
  </si>
  <si>
    <t>PQ4835 A274 L6 2009</t>
  </si>
  <si>
    <t>0                      PQ 4835000A  274                L  6           2009</t>
  </si>
  <si>
    <t>Milano : Adelphi, ©2009.</t>
  </si>
  <si>
    <t>Piccola biblioteca Adelphi ; 583</t>
  </si>
  <si>
    <t>318871436</t>
  </si>
  <si>
    <t>ocn318871436</t>
  </si>
  <si>
    <t>3103106255Z</t>
  </si>
  <si>
    <t>9788845923623</t>
  </si>
  <si>
    <t>794482634</t>
  </si>
  <si>
    <t>PQ4835 A274 Z48 1990</t>
  </si>
  <si>
    <t>0                      PQ 4835000A  274                Z  48          1990</t>
  </si>
  <si>
    <t>Odore d'America / Goffredo Parise.</t>
  </si>
  <si>
    <t>Milano : A. Mondadori, 1990.</t>
  </si>
  <si>
    <t>Originals</t>
  </si>
  <si>
    <t>24965001:ita</t>
  </si>
  <si>
    <t>23614632</t>
  </si>
  <si>
    <t>ocm23614632</t>
  </si>
  <si>
    <t>31011067197</t>
  </si>
  <si>
    <t>9788804340645</t>
  </si>
  <si>
    <t>793177768</t>
  </si>
  <si>
    <t>PQ4835 A274 Z63 2011</t>
  </si>
  <si>
    <t>0                      PQ 4835000A  274                Z  63          2011</t>
  </si>
  <si>
    <t>Nessuno crede al merlo d'acqua : le ultime poesie di Goffredo Parise / Dalila Colucci.</t>
  </si>
  <si>
    <t>Colucci, Dalila, 1987-</t>
  </si>
  <si>
    <t>Isernia : Cosmo Iannone Editore, 2011.</t>
  </si>
  <si>
    <t>Reti</t>
  </si>
  <si>
    <t>1248373241:ita</t>
  </si>
  <si>
    <t>840403815</t>
  </si>
  <si>
    <t>ocn840403815</t>
  </si>
  <si>
    <t>3103126225V</t>
  </si>
  <si>
    <t>9788851601232</t>
  </si>
  <si>
    <t>794945925</t>
  </si>
  <si>
    <t>PQ4835 A276 Z73 2011</t>
  </si>
  <si>
    <t>0                      PQ 4835000A  276                Z  73          2011</t>
  </si>
  <si>
    <t>Una lingua viva oltre la morte : la poesia inattuale di Alessandro Parronchi / Leonardo Manigrasso.</t>
  </si>
  <si>
    <t>Manigrasso, Leonardo.</t>
  </si>
  <si>
    <t>Quaderni Aldo Palazzeschi, 1721-8543 ; nouva serie., 27</t>
  </si>
  <si>
    <t>1044135347:ita</t>
  </si>
  <si>
    <t>760988804</t>
  </si>
  <si>
    <t>ocn760988804</t>
  </si>
  <si>
    <t>3103125606R</t>
  </si>
  <si>
    <t>9788860321855</t>
  </si>
  <si>
    <t>794898913</t>
  </si>
  <si>
    <t>PQ4835 A3 A17 2002</t>
  </si>
  <si>
    <t>0                      PQ 4835000A  3                  A  17          2002</t>
  </si>
  <si>
    <t>Poesie / di Giovanni Pascoli ; a cura di Ivanos Ciani e Francesca Latini ; introduzione di Giorgio Bárberi Squarotti.</t>
  </si>
  <si>
    <t>Torino : Unione tipografico-editrice torinese, ©2002-</t>
  </si>
  <si>
    <t>5615332252:ita</t>
  </si>
  <si>
    <t>50535743</t>
  </si>
  <si>
    <t>ocm50535743</t>
  </si>
  <si>
    <t>3102259680I</t>
  </si>
  <si>
    <t>9788802059365</t>
  </si>
  <si>
    <t>793767122</t>
  </si>
  <si>
    <t>PQ4835 A3 A6 1970</t>
  </si>
  <si>
    <t>0                      PQ 4835000A  3                  A  6           1970</t>
  </si>
  <si>
    <t>Opere / Giovanni Pascoli ; a cura di Cesare Federico Goffis.</t>
  </si>
  <si>
    <t>Pascoli, Giovanni, 1855-1912, author.</t>
  </si>
  <si>
    <t>Milano : Rizzoli Editore, 1970-1978.</t>
  </si>
  <si>
    <t>I classici Rizzoli</t>
  </si>
  <si>
    <t>1126004</t>
  </si>
  <si>
    <t>ocm01126004</t>
  </si>
  <si>
    <t>3000614075C</t>
  </si>
  <si>
    <t>791552742</t>
  </si>
  <si>
    <t>31008410331</t>
  </si>
  <si>
    <t>791552741</t>
  </si>
  <si>
    <t>PQ4835 A3 A6 2011</t>
  </si>
  <si>
    <t>0                      PQ 4835000A  3                  A  6           2011</t>
  </si>
  <si>
    <t>Pensieri e cose varie / Giovanni Pascoli ; a cura di Renato Aymone, Aida Apostolico.</t>
  </si>
  <si>
    <t>Salerno : Edisud Salerno ; Stony Brook, N.Y. : Forum Italicum Publishing, ©2011.</t>
  </si>
  <si>
    <t>Nuovi paradigmi ; 3</t>
  </si>
  <si>
    <t>943034124:ita</t>
  </si>
  <si>
    <t>741557374</t>
  </si>
  <si>
    <t>ocn741557374</t>
  </si>
  <si>
    <t>3103125477J</t>
  </si>
  <si>
    <t>9788895154602</t>
  </si>
  <si>
    <t>794884283</t>
  </si>
  <si>
    <t>PQ4835 A3 B44 1999</t>
  </si>
  <si>
    <t>0                      PQ 4835000A  3                  B  44          1999</t>
  </si>
  <si>
    <t>La befana e altri racconti / Giovanni Pascoli ; a cura di Giovanni Capecchi.</t>
  </si>
  <si>
    <t>Roma : Salerno, 1999.</t>
  </si>
  <si>
    <t>Faville ; 3</t>
  </si>
  <si>
    <t>2016-01-06</t>
  </si>
  <si>
    <t>350354238:ita</t>
  </si>
  <si>
    <t>428101768</t>
  </si>
  <si>
    <t>ocn428101768</t>
  </si>
  <si>
    <t>31022404203</t>
  </si>
  <si>
    <t>9788884022813</t>
  </si>
  <si>
    <t>794773167</t>
  </si>
  <si>
    <t>PQ4835 A3 P533 2012</t>
  </si>
  <si>
    <t>0                      PQ 4835000A  3                  P  533         2012</t>
  </si>
  <si>
    <t>Tra le Barbare e i Conviviali : evocazione del passato e sprezzo del presente / Domenico Chiodo.</t>
  </si>
  <si>
    <t>Il vaglio, 1721-8705 ; 67</t>
  </si>
  <si>
    <t>1142525690:ita</t>
  </si>
  <si>
    <t>802322629</t>
  </si>
  <si>
    <t>ocn802322629</t>
  </si>
  <si>
    <t>3103125853B</t>
  </si>
  <si>
    <t>9788870005721</t>
  </si>
  <si>
    <t>794925581</t>
  </si>
  <si>
    <t>PQ4835 A3 P537 2010</t>
  </si>
  <si>
    <t>0                      PQ 4835000A  3                  P  537         2010</t>
  </si>
  <si>
    <t>Dall'antichità classica alla poesia simbolista : i Poemi conviviali / Francesca Irene Sensini.</t>
  </si>
  <si>
    <t>Sensini, Francesca.</t>
  </si>
  <si>
    <t>Bologna : Pàtron, 2010.</t>
  </si>
  <si>
    <t>Collana della Rivista pascoliana ; 5</t>
  </si>
  <si>
    <t>525767276:ita</t>
  </si>
  <si>
    <t>649311424</t>
  </si>
  <si>
    <t>ocn649311424</t>
  </si>
  <si>
    <t>3103125141Y</t>
  </si>
  <si>
    <t>9788855530606</t>
  </si>
  <si>
    <t>794831666</t>
  </si>
  <si>
    <t>PQ4835 A3 Z48 2010</t>
  </si>
  <si>
    <t>0                      PQ 4835000A  3                  Z  48          2010</t>
  </si>
  <si>
    <t>Carteggio Giovanni Pascoli-Alfredo Caselli, 1898-1912 / a cura di Francesca Florimbii.</t>
  </si>
  <si>
    <t>Edizione nazionale delle opere di Giovanni Pascoli. Carteggi ; 3</t>
  </si>
  <si>
    <t>772526644:ita</t>
  </si>
  <si>
    <t>698164887</t>
  </si>
  <si>
    <t>ocn698164887</t>
  </si>
  <si>
    <t>3103125287N</t>
  </si>
  <si>
    <t>9788855530996</t>
  </si>
  <si>
    <t>794860657</t>
  </si>
  <si>
    <t>PQ4835 A3 Z48 2011</t>
  </si>
  <si>
    <t>0                      PQ 4835000A  3                  Z  48          2011</t>
  </si>
  <si>
    <t>Carteggio Giovanni Pascoli-Luigi d'Isengard / con un'appendice di testi correlati ; a cura di Antonio Zollino.</t>
  </si>
  <si>
    <t>Cuneo : Nerosubianco, ©2011.</t>
  </si>
  <si>
    <t>Le drizze ; 11</t>
  </si>
  <si>
    <t>1348510060:ita</t>
  </si>
  <si>
    <t>732280750</t>
  </si>
  <si>
    <t>ocn732280750</t>
  </si>
  <si>
    <t>3103125475J</t>
  </si>
  <si>
    <t>9788889056677</t>
  </si>
  <si>
    <t>794881233</t>
  </si>
  <si>
    <t>PQ4835 A3 Z5156 2011</t>
  </si>
  <si>
    <t>0                      PQ 4835000A  3                  Z  5156        2011</t>
  </si>
  <si>
    <t>La musica delle parole : Giovanni Pascoli / Alessandro Cazzato.</t>
  </si>
  <si>
    <t>943034177:ita</t>
  </si>
  <si>
    <t>741557427</t>
  </si>
  <si>
    <t>ocn741557427</t>
  </si>
  <si>
    <t>3103125463L</t>
  </si>
  <si>
    <t>9788895840611</t>
  </si>
  <si>
    <t>794884286</t>
  </si>
  <si>
    <t>PQ4835 A3 Z5639 2012</t>
  </si>
  <si>
    <t>0                      PQ 4835000A  3                  Z  5639        2012</t>
  </si>
  <si>
    <t>Pascoli : la bicicletta e il libro / Giorgio Bàrberi Squarotti.</t>
  </si>
  <si>
    <t>Roma : Edilet, 2012.</t>
  </si>
  <si>
    <t>Le opere e i giorni ; 4</t>
  </si>
  <si>
    <t>1184785851:ita</t>
  </si>
  <si>
    <t>820120798</t>
  </si>
  <si>
    <t>ocn820120798</t>
  </si>
  <si>
    <t>3103126055V</t>
  </si>
  <si>
    <t>9788898135011</t>
  </si>
  <si>
    <t>794935066</t>
  </si>
  <si>
    <t>PQ4835 A3 Z5646 2012</t>
  </si>
  <si>
    <t>0                      PQ 4835000A  3                  Z  5646        2012</t>
  </si>
  <si>
    <t>Pascoli simbolista : il poeta dell'avanguardia debole / Renato Barilli.</t>
  </si>
  <si>
    <t>Barilli, Renato.</t>
  </si>
  <si>
    <t>Bologna : Bononia University Press, 2012.</t>
  </si>
  <si>
    <t>1008488790:ita</t>
  </si>
  <si>
    <t>781672431</t>
  </si>
  <si>
    <t>ocn781672431</t>
  </si>
  <si>
    <t>31035344116</t>
  </si>
  <si>
    <t>9788873956778</t>
  </si>
  <si>
    <t>794912980</t>
  </si>
  <si>
    <t>PQ4835 A3 Z574 2012</t>
  </si>
  <si>
    <t>0                      PQ 4835000A  3                  Z  574         2012</t>
  </si>
  <si>
    <t>Micropascoliana : i dubbi interventi del maieutico fanciullino / Giancarlo Buzzi.</t>
  </si>
  <si>
    <t>Buzzi, Giancarlo.</t>
  </si>
  <si>
    <t>[Ro Ferrarese, Italy] : Book, 2012.</t>
  </si>
  <si>
    <t>Logosinopie ; 46</t>
  </si>
  <si>
    <t>1103121991:ita</t>
  </si>
  <si>
    <t>788213341</t>
  </si>
  <si>
    <t>ocn788213341</t>
  </si>
  <si>
    <t>3103125742G</t>
  </si>
  <si>
    <t>9788872326800</t>
  </si>
  <si>
    <t>794916178</t>
  </si>
  <si>
    <t>PQ4835 A3 Z5786 2012</t>
  </si>
  <si>
    <t>0                      PQ 4835000A  3                  Z  5786        2012</t>
  </si>
  <si>
    <t>Nel mare di Calipso : la dissolvenza omerica e l'alchimia mediterranea in Giovanni Pascoli / Marilena Cavallo, Pierfranco Bruni ; prefazione di Maurizio Fallace.</t>
  </si>
  <si>
    <t>Cavallo, Marilena.</t>
  </si>
  <si>
    <t>Cosenza : L. Pellegrini, [2012]</t>
  </si>
  <si>
    <t>1083654613:ita</t>
  </si>
  <si>
    <t>779253259</t>
  </si>
  <si>
    <t>ocn779253259</t>
  </si>
  <si>
    <t>3103125706O</t>
  </si>
  <si>
    <t>9788881018154</t>
  </si>
  <si>
    <t>794910670</t>
  </si>
  <si>
    <t>PQ4835 A3 Z6266 2016</t>
  </si>
  <si>
    <t>0                      PQ 4835000A  3                  Z  6266        2016</t>
  </si>
  <si>
    <t>L'era nuova : Pascoli e i poeti d'oggi / a cura di Andrea Gareffi e Claudio Damiani.</t>
  </si>
  <si>
    <t>Bari : LiberAria editrice, [2016]</t>
  </si>
  <si>
    <t>Metronomi XL ; 1</t>
  </si>
  <si>
    <t>4092852854:ita</t>
  </si>
  <si>
    <t>974707881</t>
  </si>
  <si>
    <t>ocn974707881</t>
  </si>
  <si>
    <t>3103716181$</t>
  </si>
  <si>
    <t>9788897089889</t>
  </si>
  <si>
    <t>795029800</t>
  </si>
  <si>
    <t>PQ4835 A3 Z684 2010</t>
  </si>
  <si>
    <t>0                      PQ 4835000A  3                  Z  684         2010</t>
  </si>
  <si>
    <t>Pascoli, 1903-1904 : tra rima e sciolto / Mario Martelli ; prefazione di Francesco Bausi.</t>
  </si>
  <si>
    <t>Biblioteca di letteratura ; 18</t>
  </si>
  <si>
    <t>476025929:ita</t>
  </si>
  <si>
    <t>606735619</t>
  </si>
  <si>
    <t>ocn606735619</t>
  </si>
  <si>
    <t>3103125066X</t>
  </si>
  <si>
    <t>9788860320988</t>
  </si>
  <si>
    <t>794817093</t>
  </si>
  <si>
    <t>PQ4835 A3 Z687 2015</t>
  </si>
  <si>
    <t>0                      PQ 4835000A  3                  Z  687         2015</t>
  </si>
  <si>
    <t>Saggi pascoliani / Pier Vincenzo Mengaldo.</t>
  </si>
  <si>
    <t>Mengaldo, Pier Vincenzo, author.</t>
  </si>
  <si>
    <t>Collana della "Rivista pascoliana" ; n. 10</t>
  </si>
  <si>
    <t>2760463897:ita</t>
  </si>
  <si>
    <t>924159597</t>
  </si>
  <si>
    <t>ocn924159597</t>
  </si>
  <si>
    <t>31036231012</t>
  </si>
  <si>
    <t>9788855533119</t>
  </si>
  <si>
    <t>795004719</t>
  </si>
  <si>
    <t>PQ4835 A3 Z6956 2015</t>
  </si>
  <si>
    <t>0                      PQ 4835000A  3                  Z  6956        2015</t>
  </si>
  <si>
    <t>Pascoli : la mimesi della dissolvenza / Gianni Oliva.</t>
  </si>
  <si>
    <t>Oliva, Gianni, author.</t>
  </si>
  <si>
    <t>Lanciano : Casa editrice Rocco Carabba, 2015.</t>
  </si>
  <si>
    <t>Seconda edizione ampliata.</t>
  </si>
  <si>
    <t>Piccola biblioteca Carabba ; 12</t>
  </si>
  <si>
    <t>2272825269:ita</t>
  </si>
  <si>
    <t>907295606</t>
  </si>
  <si>
    <t>ocn907295606</t>
  </si>
  <si>
    <t>31036281048</t>
  </si>
  <si>
    <t>9788863443691</t>
  </si>
  <si>
    <t>794993224</t>
  </si>
  <si>
    <t>PQ4835 A3 Z696 2012</t>
  </si>
  <si>
    <t>0                      PQ 4835000A  3                  Z  696         2012</t>
  </si>
  <si>
    <t>Giovanni Pascoli : il poeta delle cose : la vita, le opere, l'universo lirico / Luigi Oliveto.</t>
  </si>
  <si>
    <t>[Arcidosso] (Grosseto) : Effigi ; [Siena] : Primamedia, 2012.</t>
  </si>
  <si>
    <t>5619330142:ita</t>
  </si>
  <si>
    <t>820785744</t>
  </si>
  <si>
    <t>ocn820785744</t>
  </si>
  <si>
    <t>3103126078R</t>
  </si>
  <si>
    <t>9788864332666</t>
  </si>
  <si>
    <t>794935789</t>
  </si>
  <si>
    <t>PQ4835 A3 Z6983 2011</t>
  </si>
  <si>
    <t>0                      PQ 4835000A  3                  Z  6983        2011</t>
  </si>
  <si>
    <t>Pascoli : poesia e biografia / a cura di Elisabetta Graziosi.</t>
  </si>
  <si>
    <t>Il vaglio ; 66</t>
  </si>
  <si>
    <t>1107198810:ita</t>
  </si>
  <si>
    <t>793216544</t>
  </si>
  <si>
    <t>ocn793216544</t>
  </si>
  <si>
    <t>3103125776A</t>
  </si>
  <si>
    <t>9788870005547</t>
  </si>
  <si>
    <t>794917753</t>
  </si>
  <si>
    <t>PQ4835 A3 Z755 2010</t>
  </si>
  <si>
    <t>0                      PQ 4835000A  3                  Z  755         2010</t>
  </si>
  <si>
    <t>Filologia e poesia tra Pascoli e D'Annunzio / Carla Pisani.</t>
  </si>
  <si>
    <t>Pisani, Carla.</t>
  </si>
  <si>
    <t>Saggi Marsilio</t>
  </si>
  <si>
    <t>663735910:ita</t>
  </si>
  <si>
    <t>666218533</t>
  </si>
  <si>
    <t>ocn666218533</t>
  </si>
  <si>
    <t>3103125199O</t>
  </si>
  <si>
    <t>9788831706988</t>
  </si>
  <si>
    <t>794844834</t>
  </si>
  <si>
    <t>PQ4835 A3 Z8452 2012</t>
  </si>
  <si>
    <t>0                      PQ 4835000A  3                  Z  8452        2012</t>
  </si>
  <si>
    <t>Pascoli e gli editori / Maria Gioia Tavoni, Paolo Tinti ; introduzione di Andrea Battistini.</t>
  </si>
  <si>
    <t>Tavoni, Maria Gioia.</t>
  </si>
  <si>
    <t>Bologna : Pàtron, 2012.</t>
  </si>
  <si>
    <t>Collana della rivista pascoliana ; 7</t>
  </si>
  <si>
    <t>1142469672:ita</t>
  </si>
  <si>
    <t>794703738</t>
  </si>
  <si>
    <t>ocn794703738</t>
  </si>
  <si>
    <t>3103125837F</t>
  </si>
  <si>
    <t>9788855531641</t>
  </si>
  <si>
    <t>794920320</t>
  </si>
  <si>
    <t>PQ4835 A3 Z855 2012</t>
  </si>
  <si>
    <t>0                      PQ 4835000A  3                  Z  855         2012</t>
  </si>
  <si>
    <t>Giovanni Pascoli : tra simbolismo e problemi dell'Italia post-unitaria / Mario Tropea.</t>
  </si>
  <si>
    <t>Tropea, Mario.</t>
  </si>
  <si>
    <t>Scaffale del nuovo millennio ; 131</t>
  </si>
  <si>
    <t>1192252227:ita</t>
  </si>
  <si>
    <t>823205942</t>
  </si>
  <si>
    <t>ocn823205942</t>
  </si>
  <si>
    <t>3103126058V</t>
  </si>
  <si>
    <t>9788877966278</t>
  </si>
  <si>
    <t>794936980</t>
  </si>
  <si>
    <t>PQ4835 A3 Z865 2007</t>
  </si>
  <si>
    <t>0                      PQ 4835000A  3                  Z  865         2007</t>
  </si>
  <si>
    <t>Beyond the family romance : the legend of Pascoli / Maria Truglio.</t>
  </si>
  <si>
    <t>Truglio, Maria.</t>
  </si>
  <si>
    <t>315133630:eng</t>
  </si>
  <si>
    <t>70777753</t>
  </si>
  <si>
    <t>ocm70777753</t>
  </si>
  <si>
    <t>3102553121E</t>
  </si>
  <si>
    <t>9780802091918</t>
  </si>
  <si>
    <t>794158966</t>
  </si>
  <si>
    <t>PQ4835 A35 Z97 2013</t>
  </si>
  <si>
    <t>0                      PQ 4835000A  35                 Z  97          2013</t>
  </si>
  <si>
    <t>Melodramma senza musica : Giovanni Pascoli, gli abbozzi teatrali e le Canzoni di Re Enzio / Annarita Zazzaroni.</t>
  </si>
  <si>
    <t>Zazzaroni, Annarita, author.</t>
  </si>
  <si>
    <t>Bologna : Pàtron editore, 2013.</t>
  </si>
  <si>
    <t>Collana della "Rivista pascoliana" ; n. 8</t>
  </si>
  <si>
    <t>2063527865:ita</t>
  </si>
  <si>
    <t>903942292</t>
  </si>
  <si>
    <t>ocn903942292</t>
  </si>
  <si>
    <t>3103621366D</t>
  </si>
  <si>
    <t>9788855532389</t>
  </si>
  <si>
    <t>794989842</t>
  </si>
  <si>
    <t>PQ4835 A3894 C3513 2012</t>
  </si>
  <si>
    <t>0                      PQ 4835000A  3894               C  3513        2012</t>
  </si>
  <si>
    <t>Potter's field.</t>
  </si>
  <si>
    <t>Camilleri, Andrea.</t>
  </si>
  <si>
    <t>[Place of publication not identified] : Picador, 2015.</t>
  </si>
  <si>
    <t>New edition.</t>
  </si>
  <si>
    <t>351942678:eng</t>
  </si>
  <si>
    <t>921979331</t>
  </si>
  <si>
    <t>ocn921979331</t>
  </si>
  <si>
    <t>3103611364N</t>
  </si>
  <si>
    <t>9781509803699</t>
  </si>
  <si>
    <t>795003573</t>
  </si>
  <si>
    <t>Potter's field / Andrea Camilleri.</t>
  </si>
  <si>
    <t>London : Mantle, 2012.</t>
  </si>
  <si>
    <t>An Inspector Montalbano mystery.</t>
  </si>
  <si>
    <t>772972143</t>
  </si>
  <si>
    <t>ocn772972143</t>
  </si>
  <si>
    <t>31035511775</t>
  </si>
  <si>
    <t>9781447203292</t>
  </si>
  <si>
    <t>794905064</t>
  </si>
  <si>
    <t>PQ4835 A46 Z88553 2015</t>
  </si>
  <si>
    <t>0                      PQ 4835000A  46                 Z  88553       2015</t>
  </si>
  <si>
    <t>Pier Paolo Pasolini, "scolaro dello scandalo" / Antonella Tredicine ; prefazione di Ian Chambers.</t>
  </si>
  <si>
    <t>Tredicine, Antonella, author.</t>
  </si>
  <si>
    <t>Verona : Ombre corte, 2015.</t>
  </si>
  <si>
    <t>Culture ; 134</t>
  </si>
  <si>
    <t>2505552246:ita</t>
  </si>
  <si>
    <t>908024542</t>
  </si>
  <si>
    <t>ocn908024542</t>
  </si>
  <si>
    <t>3103628177I</t>
  </si>
  <si>
    <t>9788869480010</t>
  </si>
  <si>
    <t>794994095</t>
  </si>
  <si>
    <t>PQ4835 A48 A2 2010</t>
  </si>
  <si>
    <t>0                      PQ 4835000A  48                 A  2           2010</t>
  </si>
  <si>
    <t>In danger : a Pasolini anthology / edited, with an introduction by Jack Hirschman.</t>
  </si>
  <si>
    <t>San Francisco, Calif. : City Lights Books, [2010]</t>
  </si>
  <si>
    <t>2013-03-22</t>
  </si>
  <si>
    <t>30599963:eng</t>
  </si>
  <si>
    <t>456178311</t>
  </si>
  <si>
    <t>ocn456178311</t>
  </si>
  <si>
    <t>31032293632</t>
  </si>
  <si>
    <t>9780872865075</t>
  </si>
  <si>
    <t>794788541</t>
  </si>
  <si>
    <t>PQ4835 A48 A2 2014</t>
  </si>
  <si>
    <t>0                      PQ 4835000A  48                 A  2           2014</t>
  </si>
  <si>
    <t>The selected poetry of Pier Paolo Pasolini / edited and translated by Stephen Sartarelli ; with a foreword by James Ivory.</t>
  </si>
  <si>
    <t>Pasolini, Pier Paolo, 1922-1975, author.</t>
  </si>
  <si>
    <t>Chicago ; London : The University of Chicago Press, 2014.</t>
  </si>
  <si>
    <t>A Bilingual edition.</t>
  </si>
  <si>
    <t>2019-10-03</t>
  </si>
  <si>
    <t>2075460046:eng</t>
  </si>
  <si>
    <t>871187068</t>
  </si>
  <si>
    <t>ocn871187068</t>
  </si>
  <si>
    <t>3103567010S</t>
  </si>
  <si>
    <t>9780226648446</t>
  </si>
  <si>
    <t>794967314</t>
  </si>
  <si>
    <t>PQ4835 A48 A7 1977</t>
  </si>
  <si>
    <t>0                      PQ 4835000A  48                 A  7           1977</t>
  </si>
  <si>
    <t>Affabulazione ; Pilade / Pier Paolo Pasolini.</t>
  </si>
  <si>
    <t>3943394008:ita</t>
  </si>
  <si>
    <t>3915087</t>
  </si>
  <si>
    <t>ocm03915087</t>
  </si>
  <si>
    <t>3000467837V</t>
  </si>
  <si>
    <t>792304677</t>
  </si>
  <si>
    <t>PQ4835 A48 A713 2008</t>
  </si>
  <si>
    <t>0                      PQ 4835000A  48                 A  713         2008</t>
  </si>
  <si>
    <t>Manifesto for a new theatre : followed by Infabulation / Pier Paolo Pasolini, Thomas Simpson, translator.</t>
  </si>
  <si>
    <t>Toronto ; Buffalo : Guernica, 2008.</t>
  </si>
  <si>
    <t>Drama series ; 28</t>
  </si>
  <si>
    <t>2017-11-18</t>
  </si>
  <si>
    <t>116676369:eng</t>
  </si>
  <si>
    <t>181492373</t>
  </si>
  <si>
    <t>ocn181492373</t>
  </si>
  <si>
    <t>3102706823V</t>
  </si>
  <si>
    <t>9781550712827</t>
  </si>
  <si>
    <t>794282523</t>
  </si>
  <si>
    <t>PQ4835 A48 A7813 1986</t>
  </si>
  <si>
    <t>0                      PQ 4835000A  48                 A  7813        1986</t>
  </si>
  <si>
    <t>Roman nights and other stories / Pier Paolo Pasolini ; translated from the Italian by John Shepley.</t>
  </si>
  <si>
    <t>Marlboro, Vt. : Marlboro Press, 1986.</t>
  </si>
  <si>
    <t>2018-10-10</t>
  </si>
  <si>
    <t>2508370:eng</t>
  </si>
  <si>
    <t>14944978</t>
  </si>
  <si>
    <t>ocm14944978</t>
  </si>
  <si>
    <t>30005299432</t>
  </si>
  <si>
    <t>9780910395199</t>
  </si>
  <si>
    <t>792914470</t>
  </si>
  <si>
    <t>PQ4835 A48 D5 1975</t>
  </si>
  <si>
    <t>0                      PQ 4835000A  48                 D  5           1975</t>
  </si>
  <si>
    <t>La divina mimesis / Pier Paolo Pasolini.</t>
  </si>
  <si>
    <t>2849590:ita</t>
  </si>
  <si>
    <t>2585745</t>
  </si>
  <si>
    <t>ocm02585745</t>
  </si>
  <si>
    <t>3000400752$</t>
  </si>
  <si>
    <t>792147366</t>
  </si>
  <si>
    <t>PQ4835 A48 D513 2014</t>
  </si>
  <si>
    <t>0                      PQ 4835000A  48                 D  513         2014</t>
  </si>
  <si>
    <t>The divine mimesis / Pier Paolo Pasolini ; translated and with an introduction by Thomas E. Peterson.</t>
  </si>
  <si>
    <t>New York : Contra Mundum Press, 2014.</t>
  </si>
  <si>
    <t>1st Contra Mundan Press edition.</t>
  </si>
  <si>
    <t>2849590:eng</t>
  </si>
  <si>
    <t>900929934</t>
  </si>
  <si>
    <t>ocn900929934</t>
  </si>
  <si>
    <t>31036416067</t>
  </si>
  <si>
    <t>9781940625072</t>
  </si>
  <si>
    <t>794988036</t>
  </si>
  <si>
    <t>PQ4835 A48 E5 1972</t>
  </si>
  <si>
    <t>0                      PQ 4835000A  48                 E  5           1972</t>
  </si>
  <si>
    <t>Empirismo eretico / Pier Paolo Pasolini.</t>
  </si>
  <si>
    <t>Milano : Garzanti, 1972.</t>
  </si>
  <si>
    <t>Seconda edizione: ottobre 1972</t>
  </si>
  <si>
    <t>Collezione Saggi.</t>
  </si>
  <si>
    <t>1667564:ita</t>
  </si>
  <si>
    <t>712814</t>
  </si>
  <si>
    <t>ocm00712814</t>
  </si>
  <si>
    <t>3000609534O</t>
  </si>
  <si>
    <t>791453181</t>
  </si>
  <si>
    <t>PQ4835 A48 E513 1988</t>
  </si>
  <si>
    <t>0                      PQ 4835000A  48                 E  513         1988</t>
  </si>
  <si>
    <t>Heretical empiricism / Pier Paolo Pasolini ; edited by Louise K. Barnett ; translated by Ben Lawton and Louise K. Barnett.</t>
  </si>
  <si>
    <t>Bloomington : Indiana University Press, ©1988.</t>
  </si>
  <si>
    <t>1667564:eng</t>
  </si>
  <si>
    <t>16523547</t>
  </si>
  <si>
    <t>ocm16523547</t>
  </si>
  <si>
    <t>3103404629J</t>
  </si>
  <si>
    <t>9780253327178</t>
  </si>
  <si>
    <t>792964624</t>
  </si>
  <si>
    <t>PQ4835 A48 O68 1988</t>
  </si>
  <si>
    <t>0                      PQ 4835000A  48                 O  68          1988</t>
  </si>
  <si>
    <t>Orgie / Pier Paolo Pasolini ; traduction de Danièle Sallenave.</t>
  </si>
  <si>
    <t>Paris : Actes Sud-Papiers : Diffusion PUF, ©1988.</t>
  </si>
  <si>
    <t>Didascalies</t>
  </si>
  <si>
    <t>1151365682:fre</t>
  </si>
  <si>
    <t>21079479</t>
  </si>
  <si>
    <t>ocm21079479</t>
  </si>
  <si>
    <t>3100419283L</t>
  </si>
  <si>
    <t>9782869431300</t>
  </si>
  <si>
    <t>793108667</t>
  </si>
  <si>
    <t>PQ4835 A48 P37 2011</t>
  </si>
  <si>
    <t>0                      PQ 4835000A  48                 P  37          2011</t>
  </si>
  <si>
    <t>Pasolini e la televisione / a cura di Angela Felice.</t>
  </si>
  <si>
    <t>Venezia : Marsilio ; Casarsa della Delizia : Centro studi Pier Paolo Pasolini, 2011.</t>
  </si>
  <si>
    <t>Pasolini. Ricerche ; n. 1</t>
  </si>
  <si>
    <t>8960918279:ita</t>
  </si>
  <si>
    <t>742505192</t>
  </si>
  <si>
    <t>ocn742505192</t>
  </si>
  <si>
    <t>3103125464L</t>
  </si>
  <si>
    <t>9788831709705</t>
  </si>
  <si>
    <t>794884987</t>
  </si>
  <si>
    <t>PQ4835 A48 P47 2001</t>
  </si>
  <si>
    <t>0                      PQ 4835000A  48                 P  47          2001</t>
  </si>
  <si>
    <t>Per il cinema / Pier Paolo Pasolini ; a cura di Walter Siti e Franco Zabagli ; con due scritti di Bernardo Bertolucci e Mario Martone e un saggio introduttivo di Vincenzo Cerami ; cronologia a cura di Nico Naldini.</t>
  </si>
  <si>
    <t>Milano : A. Mondadori, 2001.</t>
  </si>
  <si>
    <t>Pier Paolo Pasolini tutte le opere</t>
  </si>
  <si>
    <t>2019-01-17</t>
  </si>
  <si>
    <t>37196587:ita</t>
  </si>
  <si>
    <t>47973479</t>
  </si>
  <si>
    <t>ocm47973479</t>
  </si>
  <si>
    <t>3102337825$</t>
  </si>
  <si>
    <t>9788804489412</t>
  </si>
  <si>
    <t>793712615</t>
  </si>
  <si>
    <t>3102337820$</t>
  </si>
  <si>
    <t>793712614</t>
  </si>
  <si>
    <t>PQ4835 A48 P54 1991</t>
  </si>
  <si>
    <t>0                      PQ 4835000A  48                 P  54          1991</t>
  </si>
  <si>
    <t>Pier Paolo Pasolini : poetry / selected and translated, with an afterword, by Antonino Mazza.</t>
  </si>
  <si>
    <t>Toronto : Exile Editions, 1991.</t>
  </si>
  <si>
    <t>2287507311:eng</t>
  </si>
  <si>
    <t>25202319</t>
  </si>
  <si>
    <t>ocm25202319</t>
  </si>
  <si>
    <t>31012181643</t>
  </si>
  <si>
    <t>9780920428733</t>
  </si>
  <si>
    <t>793214263</t>
  </si>
  <si>
    <t>PQ4835 A48 P58 1992</t>
  </si>
  <si>
    <t>0                      PQ 4835000A  48                 P  58          1992</t>
  </si>
  <si>
    <t>Petrolio / Pier Paolo Pasolini.</t>
  </si>
  <si>
    <t>Torino : Einaudi, ©1992.</t>
  </si>
  <si>
    <t>Einaudi tascabili ; 156 Letteratura</t>
  </si>
  <si>
    <t>27517474:ita</t>
  </si>
  <si>
    <t>27357334</t>
  </si>
  <si>
    <t>ocm27357334</t>
  </si>
  <si>
    <t>31012309801</t>
  </si>
  <si>
    <t>9788806127213</t>
  </si>
  <si>
    <t>793264828</t>
  </si>
  <si>
    <t>PQ4835 A48 P5813 1997</t>
  </si>
  <si>
    <t>0                      PQ 4835000A  48                 P  5813        1997</t>
  </si>
  <si>
    <t>Petrolio / Pier Paolo Pasolini ; translated from the Italian by Ann Goldstein.</t>
  </si>
  <si>
    <t>New York : Pantheon Books, ©1997.</t>
  </si>
  <si>
    <t>2016-06-20</t>
  </si>
  <si>
    <t>27517474:eng</t>
  </si>
  <si>
    <t>35095830</t>
  </si>
  <si>
    <t>ocm35095830</t>
  </si>
  <si>
    <t>3102052990J</t>
  </si>
  <si>
    <t>9780679429906</t>
  </si>
  <si>
    <t>793443848</t>
  </si>
  <si>
    <t>2000-10-04</t>
  </si>
  <si>
    <t>3101805521L</t>
  </si>
  <si>
    <t>793443850</t>
  </si>
  <si>
    <t>31020529797</t>
  </si>
  <si>
    <t>793443849</t>
  </si>
  <si>
    <t>PQ4835 A48 P5837 1995</t>
  </si>
  <si>
    <t>0                      PQ 4835000A  48                 P  5837        1995</t>
  </si>
  <si>
    <t>A partire da Petrolio : Pasolini interroga la letteratura / a cura di Carla Benedetti, Maria Antonietta Grignani.</t>
  </si>
  <si>
    <t>Ravenna : Longo editore, ©1995.</t>
  </si>
  <si>
    <t>Il portico ; 102. Sezione Materiali letterari</t>
  </si>
  <si>
    <t>866252506:ita</t>
  </si>
  <si>
    <t>32723170</t>
  </si>
  <si>
    <t>ocm32723170</t>
  </si>
  <si>
    <t>31017427504</t>
  </si>
  <si>
    <t>9788880630296</t>
  </si>
  <si>
    <t>793392684</t>
  </si>
  <si>
    <t>PQ4835 A48 P58373 2008</t>
  </si>
  <si>
    <t>0                      PQ 4835000A  48                 P  58373       2008</t>
  </si>
  <si>
    <t>Sul "Petrolio" di Pier Paolo Pasolini : saggio di critica letteraria / Simona Consoni.</t>
  </si>
  <si>
    <t>Consoni, Simona.</t>
  </si>
  <si>
    <t>Civitavecchia, Roma : Prospettiva, 2008.</t>
  </si>
  <si>
    <t>Territori--storia, politica, sociologia, 1970-2671 ; 39</t>
  </si>
  <si>
    <t>906911245:ita</t>
  </si>
  <si>
    <t>298178933</t>
  </si>
  <si>
    <t>ocn298178933</t>
  </si>
  <si>
    <t>3103094472V</t>
  </si>
  <si>
    <t>9788874185337</t>
  </si>
  <si>
    <t>794427483</t>
  </si>
  <si>
    <t>PQ4835 A48 P583733 2011</t>
  </si>
  <si>
    <t>0                      PQ 4835000A  48                 P  583733      2011</t>
  </si>
  <si>
    <t>Corpus XXX : Pasolini, Petrolio, Salò / a cura di Davide Messina.</t>
  </si>
  <si>
    <t>Convegno "Corpus XXX, Pasolini, Petrolio, Salò" (2011 : Edinburgh, Scotland)</t>
  </si>
  <si>
    <t>Hi-storytelling</t>
  </si>
  <si>
    <t>2018-02-13</t>
  </si>
  <si>
    <t>1162401243:ita</t>
  </si>
  <si>
    <t>807031745</t>
  </si>
  <si>
    <t>ocn807031745</t>
  </si>
  <si>
    <t>31031258757</t>
  </si>
  <si>
    <t>9788849135572</t>
  </si>
  <si>
    <t>794927180</t>
  </si>
  <si>
    <t>PQ4835 A48 R313 1986</t>
  </si>
  <si>
    <t>0                      PQ 4835000A  48                 R  313         1986</t>
  </si>
  <si>
    <t>The ragazzi / by Pier Paolo Pasolini ; translated from the Italian by Emile Capouya.</t>
  </si>
  <si>
    <t>Manchester, UK ; New York, NY, USA : Carcanet, 1986.</t>
  </si>
  <si>
    <t>5675454:eng</t>
  </si>
  <si>
    <t>19269739</t>
  </si>
  <si>
    <t>ocm19269739</t>
  </si>
  <si>
    <t>3102539629M</t>
  </si>
  <si>
    <t>9780856356056</t>
  </si>
  <si>
    <t>793051716</t>
  </si>
  <si>
    <t>PQ4835 A48 R313 2016</t>
  </si>
  <si>
    <t>0                      PQ 4835000A  48                 R  313         2016</t>
  </si>
  <si>
    <t>The street kids / Pier Paolo Pasolini ; translated from the Italian by Ann Goldstein.</t>
  </si>
  <si>
    <t>New York, NY : Europa Editions, 2016.</t>
  </si>
  <si>
    <t>3783789459:eng</t>
  </si>
  <si>
    <t>911171821</t>
  </si>
  <si>
    <t>ocn911171821</t>
  </si>
  <si>
    <t>31037019614</t>
  </si>
  <si>
    <t>9781609453084</t>
  </si>
  <si>
    <t>794998127</t>
  </si>
  <si>
    <t>PQ4835 A48 S35</t>
  </si>
  <si>
    <t>0                      PQ 4835000A  48                 S  35</t>
  </si>
  <si>
    <t>Scritti corsari / di Pier Paolo Pasolini.</t>
  </si>
  <si>
    <t>Milano : Garzanti, 1975.</t>
  </si>
  <si>
    <t>1. edizione.</t>
  </si>
  <si>
    <t>Memorie documenti</t>
  </si>
  <si>
    <t>4921389416:ita</t>
  </si>
  <si>
    <t>1857187</t>
  </si>
  <si>
    <t>ocm01857187</t>
  </si>
  <si>
    <t>31026893122</t>
  </si>
  <si>
    <t>792000429</t>
  </si>
  <si>
    <t>PQ4835 A48 S48 1985</t>
  </si>
  <si>
    <t>0                      PQ 4835000A  48                 S  48          1985</t>
  </si>
  <si>
    <t>Sette poesie e due lettere / Pier Paolo Pasolini ; [a cura di Rienzo Colla].</t>
  </si>
  <si>
    <t>Vicenza : La Locusta, 1985.</t>
  </si>
  <si>
    <t>8574320:ita</t>
  </si>
  <si>
    <t>14371248</t>
  </si>
  <si>
    <t>ocm14371248</t>
  </si>
  <si>
    <t>3000526623Z</t>
  </si>
  <si>
    <t>792887627</t>
  </si>
  <si>
    <t>PQ4835 A48 S613 1988</t>
  </si>
  <si>
    <t>0                      PQ 4835000A  48                 S  613         1988</t>
  </si>
  <si>
    <t>A dream of something / Pier Paolo Pasolini ; translated from the Italian and with an introduction by Stuart Hood.</t>
  </si>
  <si>
    <t>London : Quartet Books, 1988.</t>
  </si>
  <si>
    <t>Quartet encounters</t>
  </si>
  <si>
    <t>2909142301:eng</t>
  </si>
  <si>
    <t>59251228</t>
  </si>
  <si>
    <t>ocm59251228</t>
  </si>
  <si>
    <t>30008069195</t>
  </si>
  <si>
    <t>9780704300484</t>
  </si>
  <si>
    <t>793928872</t>
  </si>
  <si>
    <t>PQ4835 A48 T4</t>
  </si>
  <si>
    <t>0                      PQ 4835000A  48                 T  4</t>
  </si>
  <si>
    <t>Teorema / Pier Paolo Pasolini.</t>
  </si>
  <si>
    <t>Milano : Garzanti, ©1968.</t>
  </si>
  <si>
    <t>4920244549:ita</t>
  </si>
  <si>
    <t>6464074</t>
  </si>
  <si>
    <t>ocm06464074</t>
  </si>
  <si>
    <t>3000610031F</t>
  </si>
  <si>
    <t>792501040</t>
  </si>
  <si>
    <t>PQ4835 A48 T4353 1992</t>
  </si>
  <si>
    <t>0                      PQ 4835000A  48                 T  4353        1992</t>
  </si>
  <si>
    <t>Pasolini, invettiva e azzurro : due letture di Teorema / Raffaele Manica, Fabio Pierangeli.</t>
  </si>
  <si>
    <t>Manica, Raffaele, 1958-</t>
  </si>
  <si>
    <t>Roma : Nuova cultura, 1992.</t>
  </si>
  <si>
    <t>Umanistica Tor Vergata ; 1</t>
  </si>
  <si>
    <t>365401499:ita</t>
  </si>
  <si>
    <t>30059139</t>
  </si>
  <si>
    <t>ocm30059139</t>
  </si>
  <si>
    <t>3101443641P</t>
  </si>
  <si>
    <t>793328096</t>
  </si>
  <si>
    <t>PQ4835 A48 T833 2011</t>
  </si>
  <si>
    <t>0                      PQ 4835000A  48                 T  833         2011</t>
  </si>
  <si>
    <t>I turchi in Friuli di Pier Paolo Pasolini / Isadora Cordazzo ; [prefazione di Romolo Rossi].</t>
  </si>
  <si>
    <t>Cordazzo, Isadora, 1985-</t>
  </si>
  <si>
    <t>Recco (Genova) : Le mani, 2011.</t>
  </si>
  <si>
    <t>905315058:ita</t>
  </si>
  <si>
    <t>727704493</t>
  </si>
  <si>
    <t>ocn727704493</t>
  </si>
  <si>
    <t>3103125449P</t>
  </si>
  <si>
    <t>9788880125877</t>
  </si>
  <si>
    <t>794878522</t>
  </si>
  <si>
    <t>PQ4835 A48 V53</t>
  </si>
  <si>
    <t>0                      PQ 4835000A  48                 V  53</t>
  </si>
  <si>
    <t>A violent life; translated from the Italian by William Weaver.</t>
  </si>
  <si>
    <t>London, Cape, 1968.</t>
  </si>
  <si>
    <t>2016-03-10</t>
  </si>
  <si>
    <t>1480606:eng</t>
  </si>
  <si>
    <t>458660</t>
  </si>
  <si>
    <t>ocm00458660</t>
  </si>
  <si>
    <t>3103385823C</t>
  </si>
  <si>
    <t>791383917</t>
  </si>
  <si>
    <t>PQ4835 A48 Z46 2015</t>
  </si>
  <si>
    <t>0                      PQ 4835000A  48                 Z  46          2015</t>
  </si>
  <si>
    <t>L'odore dell'India ; con Passeggiatina ad Ajanta ; e Lettera da Benares / Pier Paolo Pasolini ; prefazione di Giorgio Pressburger.</t>
  </si>
  <si>
    <t>Milano : Garzanti, 2015, ©2009.</t>
  </si>
  <si>
    <t>Nuova ed.</t>
  </si>
  <si>
    <t>3944863368:ita</t>
  </si>
  <si>
    <t>905550962</t>
  </si>
  <si>
    <t>ocn905550962</t>
  </si>
  <si>
    <t>31036242654</t>
  </si>
  <si>
    <t>9788811688389</t>
  </si>
  <si>
    <t>794991546</t>
  </si>
  <si>
    <t>PQ4835 A48 Z47 1990</t>
  </si>
  <si>
    <t>0                      PQ 4835000A  48                 Z  47          1990</t>
  </si>
  <si>
    <t>L'odore dell'India / Pier Paolo Pasolini ; con un intervista di Renzo Paris ad Alberto Moravia.</t>
  </si>
  <si>
    <t>Parma : Guanda, ©1990.</t>
  </si>
  <si>
    <t>Testi e documenti della fenice</t>
  </si>
  <si>
    <t>3768370962:ita</t>
  </si>
  <si>
    <t>22534895</t>
  </si>
  <si>
    <t>ocm22534895</t>
  </si>
  <si>
    <t>3103089551H</t>
  </si>
  <si>
    <t>9788877464453</t>
  </si>
  <si>
    <t>793147334</t>
  </si>
  <si>
    <t>PQ4835 A48 Z4813 1992</t>
  </si>
  <si>
    <t>0                      PQ 4835000A  48                 Z  4813        1992</t>
  </si>
  <si>
    <t>The letters of Pier Paolo Pasolini / edited by Nico Naldini ; translated by Stuart Hood.</t>
  </si>
  <si>
    <t>London : Quartet Books, 1992-</t>
  </si>
  <si>
    <t>287547820:eng</t>
  </si>
  <si>
    <t>29255173</t>
  </si>
  <si>
    <t>ocm29255173</t>
  </si>
  <si>
    <t>3101209852K</t>
  </si>
  <si>
    <t>9780704327481</t>
  </si>
  <si>
    <t>793306333</t>
  </si>
  <si>
    <t>PQ4835 A48 Z55 2017</t>
  </si>
  <si>
    <t>0                      PQ 4835000A  48                 Z  55          2017</t>
  </si>
  <si>
    <t>Esposizioni : Pasolini, Foucault e l'esercizio della verità / Marco A. Bazzocchi.</t>
  </si>
  <si>
    <t>Saggi ; 862</t>
  </si>
  <si>
    <t>4619629247:ita</t>
  </si>
  <si>
    <t>1012412387</t>
  </si>
  <si>
    <t>on1012412387</t>
  </si>
  <si>
    <t>3103721207Q</t>
  </si>
  <si>
    <t>9788815273888</t>
  </si>
  <si>
    <t>795046412</t>
  </si>
  <si>
    <t>PQ4835 A48 Z57 2015</t>
  </si>
  <si>
    <t>0                      PQ 4835000A  48                 Z  57          2015</t>
  </si>
  <si>
    <t>La camminata malandrina : i ragazzi di strada nella Roma di Pasolini / Fulvio Pezzarossa, Michele Righini.</t>
  </si>
  <si>
    <t>Modena : Mucchi editore, settembre 2015.</t>
  </si>
  <si>
    <t>Lettere persiane, 2282-6866 ; 7</t>
  </si>
  <si>
    <t>2785155222:ita</t>
  </si>
  <si>
    <t>927413290</t>
  </si>
  <si>
    <t>ocn927413290</t>
  </si>
  <si>
    <t>3103623369Y</t>
  </si>
  <si>
    <t>9788870006797</t>
  </si>
  <si>
    <t>795005905</t>
  </si>
  <si>
    <t>PQ4835 A48 Z622 2012</t>
  </si>
  <si>
    <t>0                      PQ 4835000A  48                 Z  622         2012</t>
  </si>
  <si>
    <t>Frocio e basta / Carla Benedetti, Giovanni Giovannetti.</t>
  </si>
  <si>
    <t>Benedetti, Carla, 1952-</t>
  </si>
  <si>
    <t>Milano : Effigie, 2012.</t>
  </si>
  <si>
    <t>I fiammiferi ; 9</t>
  </si>
  <si>
    <t>2014-11-19</t>
  </si>
  <si>
    <t>1122979090:ita</t>
  </si>
  <si>
    <t>823577005</t>
  </si>
  <si>
    <t>ocn823577005</t>
  </si>
  <si>
    <t>31031259784</t>
  </si>
  <si>
    <t>9788897648123</t>
  </si>
  <si>
    <t>794937251</t>
  </si>
  <si>
    <t>PQ4835 A48 Z625 2010</t>
  </si>
  <si>
    <t>0                      PQ 4835000A  48                 Z  625         2010</t>
  </si>
  <si>
    <t>Pasolini in salsa piccante / Marco Belpoliti ; con otto fotografie di Ugo Mulas.</t>
  </si>
  <si>
    <t>Parma : U. Guanda, 2010.</t>
  </si>
  <si>
    <t>Le fenici rosse</t>
  </si>
  <si>
    <t>761996622:ita</t>
  </si>
  <si>
    <t>688495042</t>
  </si>
  <si>
    <t>ocn688495042</t>
  </si>
  <si>
    <t>3103125268R</t>
  </si>
  <si>
    <t>9788860884299</t>
  </si>
  <si>
    <t>794854335</t>
  </si>
  <si>
    <t>PQ4835 A48 Z63 2015</t>
  </si>
  <si>
    <t>0                      PQ 4835000A  48                 Z  63          2015</t>
  </si>
  <si>
    <t>Fictions of youth : Pier Paolo Pasolini, adolescence, fascisms / Simona Bondavalli.</t>
  </si>
  <si>
    <t>Bondavalli, Simona, 1969- author.</t>
  </si>
  <si>
    <t>2247029370:eng</t>
  </si>
  <si>
    <t>898087035</t>
  </si>
  <si>
    <t>ocn898087035</t>
  </si>
  <si>
    <t>31034963654</t>
  </si>
  <si>
    <t>9781442649743</t>
  </si>
  <si>
    <t>794985751</t>
  </si>
  <si>
    <t>PQ4835 A48 Z637 2010</t>
  </si>
  <si>
    <t>0                      PQ 4835000A  48                 Z  637         2010</t>
  </si>
  <si>
    <t>Morire per le idee : vita letteraria di Pier Paolo Pasolini / Roberto Carnero.</t>
  </si>
  <si>
    <t>Carnero, Roberto, 1970-</t>
  </si>
  <si>
    <t>Milano : Bompiani, 2010.</t>
  </si>
  <si>
    <t>1. ed. Tascabili Bompiani.</t>
  </si>
  <si>
    <t>Tascabili Bompiani. Saggi ; 423</t>
  </si>
  <si>
    <t>796551966:ita</t>
  </si>
  <si>
    <t>668178157</t>
  </si>
  <si>
    <t>ocn668178157</t>
  </si>
  <si>
    <t>31031252062</t>
  </si>
  <si>
    <t>9788845266027</t>
  </si>
  <si>
    <t>794845904</t>
  </si>
  <si>
    <t>PQ4835 A48 Z6458 2010</t>
  </si>
  <si>
    <t>0                      PQ 4835000A  48                 Z  6458        2010</t>
  </si>
  <si>
    <t>Pasolini e il teatro / a cura di Stefano Casi, Angela Felice e Gerardo Guccini.</t>
  </si>
  <si>
    <t>Convegno Pasolini e il teatro (2010 : Bologna, Italy)</t>
  </si>
  <si>
    <t>Venezia : Marsilio ; Casarsa della Delizia : Centro studi Pier Paolo Pasolini, 2012.</t>
  </si>
  <si>
    <t>Pasolini. Ricerche ; 2</t>
  </si>
  <si>
    <t>1187006333:ita</t>
  </si>
  <si>
    <t>818724688</t>
  </si>
  <si>
    <t>ocn818724688</t>
  </si>
  <si>
    <t>31031259950</t>
  </si>
  <si>
    <t>9788831714143</t>
  </si>
  <si>
    <t>794934097</t>
  </si>
  <si>
    <t>PQ4835 A48 Z649 2012</t>
  </si>
  <si>
    <t>0                      PQ 4835000A  48                 Z  649         2012</t>
  </si>
  <si>
    <t>La lingua scritta della realtà : studi sull'estetica di Pier Paolo Pasolini / Luca D'Ascia.</t>
  </si>
  <si>
    <t>D'Ascia, Luca.</t>
  </si>
  <si>
    <t>Bologna : Pendragon, [2012]</t>
  </si>
  <si>
    <t>1366444074:ita</t>
  </si>
  <si>
    <t>834494668</t>
  </si>
  <si>
    <t>ocn834494668</t>
  </si>
  <si>
    <t>3103126168Q</t>
  </si>
  <si>
    <t>9788865982525</t>
  </si>
  <si>
    <t>794944364</t>
  </si>
  <si>
    <t>PQ4835 A48 Z656 2006</t>
  </si>
  <si>
    <t>0                      PQ 4835000A  48                 Z  656         2006</t>
  </si>
  <si>
    <t>Il Petrolio delle stragi : postille a L'eresia di Pasolini / Gianni D'Elia.</t>
  </si>
  <si>
    <t>D'Elia, Gianni, 1953-</t>
  </si>
  <si>
    <t>Milano : Effigie, ©2006.</t>
  </si>
  <si>
    <t>Stellefilanti ; 16</t>
  </si>
  <si>
    <t>351581632:ita</t>
  </si>
  <si>
    <t>69646309</t>
  </si>
  <si>
    <t>ocm69646309</t>
  </si>
  <si>
    <t>3102658772Y</t>
  </si>
  <si>
    <t>9788889416228</t>
  </si>
  <si>
    <t>794146398</t>
  </si>
  <si>
    <t>PQ4835 A48 Z686 1982</t>
  </si>
  <si>
    <t>0                      PQ 4835000A  48                 Z  686         1982</t>
  </si>
  <si>
    <t>Pier Paolo Pasolini / by Pia Friedrich.</t>
  </si>
  <si>
    <t>Friedrich, Pia.</t>
  </si>
  <si>
    <t>Twayne's world authors series ; TWAS 657</t>
  </si>
  <si>
    <t>2016-04-14</t>
  </si>
  <si>
    <t>2908704992:eng</t>
  </si>
  <si>
    <t>8170100</t>
  </si>
  <si>
    <t>ocm08170100</t>
  </si>
  <si>
    <t>3000340429Q</t>
  </si>
  <si>
    <t>9780805765007</t>
  </si>
  <si>
    <t>792603230</t>
  </si>
  <si>
    <t>30001585054</t>
  </si>
  <si>
    <t>792603231</t>
  </si>
  <si>
    <t>PQ4835 A48 Z6865 1994</t>
  </si>
  <si>
    <t>0                      PQ 4835000A  48                 Z  6865        1994</t>
  </si>
  <si>
    <t>Pasolini e la pittura / Francesco Galluzzi.</t>
  </si>
  <si>
    <t>Galluzzi, Francesco, 1962-</t>
  </si>
  <si>
    <t>Roma : Bulzoni, 1994.</t>
  </si>
  <si>
    <t>Studi e testi. Serie di filologia e letteratura ; 7</t>
  </si>
  <si>
    <t>36695233:ita</t>
  </si>
  <si>
    <t>32721300</t>
  </si>
  <si>
    <t>ocm32721300</t>
  </si>
  <si>
    <t>3101468461R</t>
  </si>
  <si>
    <t>9788871197258</t>
  </si>
  <si>
    <t>793392592</t>
  </si>
  <si>
    <t>PQ4835 A48 Z6876 2012</t>
  </si>
  <si>
    <t>0                      PQ 4835000A  48                 Z  6876        2012</t>
  </si>
  <si>
    <t>Fratello selvaggio : Pier Paolo Pasolini tra gioventù e nuova gioventù / a cura di Gian Maria Annovi ; contributi di Gian Maria Annovi [and others].</t>
  </si>
  <si>
    <t>Massa : Transeuropa, 2013.</t>
  </si>
  <si>
    <t>Pronto intervento</t>
  </si>
  <si>
    <t>1204469086:ita</t>
  </si>
  <si>
    <t>825554693</t>
  </si>
  <si>
    <t>ocn825554693</t>
  </si>
  <si>
    <t>3103126208Z</t>
  </si>
  <si>
    <t>9788875802127</t>
  </si>
  <si>
    <t>794938606</t>
  </si>
  <si>
    <t>PQ4835 A48 Z6885 1996</t>
  </si>
  <si>
    <t>0                      PQ 4835000A  48                 Z  6885        1996</t>
  </si>
  <si>
    <t>Pasolini : forms of subjectivity / Robert S.C. Gordon.</t>
  </si>
  <si>
    <t>Gordon, Robert S. C. (Robert Samuel Clive), 1966-</t>
  </si>
  <si>
    <t>Oxford : Clarendon Press ; New York : Oxford University Press, 1996.</t>
  </si>
  <si>
    <t>795050539:eng</t>
  </si>
  <si>
    <t>35262224</t>
  </si>
  <si>
    <t>ocm35262224</t>
  </si>
  <si>
    <t>3101805514I</t>
  </si>
  <si>
    <t>9780198159056</t>
  </si>
  <si>
    <t>793448034</t>
  </si>
  <si>
    <t>PQ4835 A48 Z6888 2004</t>
  </si>
  <si>
    <t>0                      PQ 4835000A  48                 Z  6888        2004</t>
  </si>
  <si>
    <t>Pasolini e il Sud : poesia, cinema, società / Mirko Grasso.</t>
  </si>
  <si>
    <t>Grasso, Mirko.</t>
  </si>
  <si>
    <t>Modugno : Edizioni dal Sud, ©2004.</t>
  </si>
  <si>
    <t>Quaderni ; 32</t>
  </si>
  <si>
    <t>366637129:ita</t>
  </si>
  <si>
    <t>57547696</t>
  </si>
  <si>
    <t>ocm57547696</t>
  </si>
  <si>
    <t>31025091863</t>
  </si>
  <si>
    <t>9788875530921</t>
  </si>
  <si>
    <t>793915169</t>
  </si>
  <si>
    <t>PQ4835 A48 Z69 2015</t>
  </si>
  <si>
    <t>0                      PQ 4835000A  48                 Z  69          2015</t>
  </si>
  <si>
    <t>La macchinazione : Pasolini, la verità sulla morte / David Grieco ; postfazione di Stefano Maccioni.</t>
  </si>
  <si>
    <t>Grieco, David, 1951- author.</t>
  </si>
  <si>
    <t>[Milan] : Rizzoli, agosto 2015.</t>
  </si>
  <si>
    <t>2892531815:ita</t>
  </si>
  <si>
    <t>925734411</t>
  </si>
  <si>
    <t>ocn925734411</t>
  </si>
  <si>
    <t>3103623106T</t>
  </si>
  <si>
    <t>9788817082990</t>
  </si>
  <si>
    <t>795005168</t>
  </si>
  <si>
    <t>PQ4835 A48 Z7155 2011</t>
  </si>
  <si>
    <t>0                      PQ 4835000A  48                 Z  7155        2011</t>
  </si>
  <si>
    <t>La diversità a teatro : i drammi giovanili di Pasolini / Jole Silvia Imbornone.</t>
  </si>
  <si>
    <t>Imbornone, Jole Silvia, 1980-</t>
  </si>
  <si>
    <t>Bari : Stilo, 2011.</t>
  </si>
  <si>
    <t>Officina ; 11</t>
  </si>
  <si>
    <t>793927670:ita</t>
  </si>
  <si>
    <t>704509699</t>
  </si>
  <si>
    <t>ocn704509699</t>
  </si>
  <si>
    <t>3103125310Y</t>
  </si>
  <si>
    <t>9788864790305</t>
  </si>
  <si>
    <t>794865733</t>
  </si>
  <si>
    <t>PQ4835 A48 Z745 2012</t>
  </si>
  <si>
    <t>0                      PQ 4835000A  48                 Z  745         2012</t>
  </si>
  <si>
    <t>Pasolini / Filippo La Porta.</t>
  </si>
  <si>
    <t>56879399:ita</t>
  </si>
  <si>
    <t>812249766</t>
  </si>
  <si>
    <t>ocn812249766</t>
  </si>
  <si>
    <t>3103125938C</t>
  </si>
  <si>
    <t>9788815238481</t>
  </si>
  <si>
    <t>794930752</t>
  </si>
  <si>
    <t>PQ4835 A48 Z746 2002</t>
  </si>
  <si>
    <t>0                      PQ 4835000A  48                 Z  746         2002</t>
  </si>
  <si>
    <t>Pasolini : uno gnostico innamorato della realtà / Filippo La Porta.</t>
  </si>
  <si>
    <t>Firenze : Le lettere, ©2002.</t>
  </si>
  <si>
    <t>Contrappunto ; 17</t>
  </si>
  <si>
    <t>5090795874:ita</t>
  </si>
  <si>
    <t>52031311</t>
  </si>
  <si>
    <t>ocm52031311</t>
  </si>
  <si>
    <t>3102286158$</t>
  </si>
  <si>
    <t>9788871666631</t>
  </si>
  <si>
    <t>793796768</t>
  </si>
  <si>
    <t>PQ4835 A48 Z755 2009</t>
  </si>
  <si>
    <t>0                      PQ 4835000A  48                 Z  755         2009</t>
  </si>
  <si>
    <t>Pier Paolo Pasolini : in living memory / edited by Ben Lawton and Maura Bergonzoni.</t>
  </si>
  <si>
    <t>Washington, DC : New Academia Pub., 2009.</t>
  </si>
  <si>
    <t>154509805:eng</t>
  </si>
  <si>
    <t>262509369</t>
  </si>
  <si>
    <t>ocn262509369</t>
  </si>
  <si>
    <t>31030836267</t>
  </si>
  <si>
    <t>9780981865416</t>
  </si>
  <si>
    <t>794401999</t>
  </si>
  <si>
    <t>PQ4835 A48 Z78 2015</t>
  </si>
  <si>
    <t>0                      PQ 4835000A  48                 Z  78          2015</t>
  </si>
  <si>
    <t>PPP : Pasolini, un segreto italiano / Carlo Lucarelli.</t>
  </si>
  <si>
    <t>Lucarelli, Carlo, 1960- author.</t>
  </si>
  <si>
    <t>[Milan] : Rizzoli, ottobre 2015.</t>
  </si>
  <si>
    <t>La scala</t>
  </si>
  <si>
    <t>2873544782:ita</t>
  </si>
  <si>
    <t>928638595</t>
  </si>
  <si>
    <t>ocn928638595</t>
  </si>
  <si>
    <t>3103623352E</t>
  </si>
  <si>
    <t>9788817083812</t>
  </si>
  <si>
    <t>795006297</t>
  </si>
  <si>
    <t>PQ4835 A48 Z78155 2011</t>
  </si>
  <si>
    <t>0                      PQ 4835000A  48                 Z  78155       2011</t>
  </si>
  <si>
    <t>Nessuna pietà per Pasolini : [il racconto e le rivelazioni inedite di chi ha fatto riaprire l'inchiesta sull'omicidio del poeta] / Stefano Maccioni, Domenico Valter Rizzo, Simona Ruffini.</t>
  </si>
  <si>
    <t>Maccioni, Stefano.</t>
  </si>
  <si>
    <t>[Roma] : Editori internazionali riuniti, 2011.</t>
  </si>
  <si>
    <t>Report</t>
  </si>
  <si>
    <t>1075145082:ita</t>
  </si>
  <si>
    <t>773667898</t>
  </si>
  <si>
    <t>ocn773667898</t>
  </si>
  <si>
    <t>3103126222V</t>
  </si>
  <si>
    <t>9788835990963</t>
  </si>
  <si>
    <t>794905852</t>
  </si>
  <si>
    <t>PQ4835 A48 Z798 2017</t>
  </si>
  <si>
    <t>0                      PQ 4835000A  48                 Z  798         2017</t>
  </si>
  <si>
    <t>"Pietà per la creatura!" : la durata umanistica e sacrale della poesia di Pier Paolo Pasolini / Michela Mastrodonato.</t>
  </si>
  <si>
    <t>Mastrodonato, Michela, author.</t>
  </si>
  <si>
    <t>Firenze : Franco Cesati Editore, [2017]</t>
  </si>
  <si>
    <t>Strumenti di letteratura italiana ; 62</t>
  </si>
  <si>
    <t>4403919424:ita</t>
  </si>
  <si>
    <t>987024452</t>
  </si>
  <si>
    <t>ocn987024452</t>
  </si>
  <si>
    <t>3103718247M</t>
  </si>
  <si>
    <t>9788876676307</t>
  </si>
  <si>
    <t>795035851</t>
  </si>
  <si>
    <t>PQ4835 A48 Z8147 2012</t>
  </si>
  <si>
    <t>0                      PQ 4835000A  48                 Z  8147        2012</t>
  </si>
  <si>
    <t>PPP : il mondo non mi vuole più e non lo sa / Guido Mazzon e Guido Bosticco.</t>
  </si>
  <si>
    <t>Mazzon, Guido.</t>
  </si>
  <si>
    <t>Como : Ibis, 2012.</t>
  </si>
  <si>
    <t>Minimalia</t>
  </si>
  <si>
    <t>1192252077:ita</t>
  </si>
  <si>
    <t>823205790</t>
  </si>
  <si>
    <t>ocn823205790</t>
  </si>
  <si>
    <t>3103126041X</t>
  </si>
  <si>
    <t>9788871643793</t>
  </si>
  <si>
    <t>794936977</t>
  </si>
  <si>
    <t>PQ4835 A48 Z826 1999</t>
  </si>
  <si>
    <t>0                      PQ 4835000A  48                 Z  826         1999</t>
  </si>
  <si>
    <t>Pasolini old and new : surveys and studies / edited by Zygmunt G. Barański.</t>
  </si>
  <si>
    <t>Dublin, Ireland : Four Courts Press, 1999.</t>
  </si>
  <si>
    <t>837047728:eng</t>
  </si>
  <si>
    <t>40645931</t>
  </si>
  <si>
    <t>ocm40645931</t>
  </si>
  <si>
    <t>3101969728A</t>
  </si>
  <si>
    <t>9781851824366</t>
  </si>
  <si>
    <t>793571980</t>
  </si>
  <si>
    <t>PQ4835 A48 Z82816 1983</t>
  </si>
  <si>
    <t>0                      PQ 4835000A  48                 Z  82816       1983</t>
  </si>
  <si>
    <t>Il sogno del centauro / Pier Paolo Pasolini ; a cura di Jean Duflot ; prefazione di Gian Carlo Ferretti.</t>
  </si>
  <si>
    <t>Roma : Editori Riuniti, 1983, ©1981.</t>
  </si>
  <si>
    <t>Universale scienze sociali ; 85</t>
  </si>
  <si>
    <t>4945544:ita</t>
  </si>
  <si>
    <t>12412381</t>
  </si>
  <si>
    <t>ocm12412381</t>
  </si>
  <si>
    <t>3000360766X</t>
  </si>
  <si>
    <t>9788835900696</t>
  </si>
  <si>
    <t>792814487</t>
  </si>
  <si>
    <t>PQ4835 A48 Z83</t>
  </si>
  <si>
    <t>0                      PQ 4835000A  48                 Z  83</t>
  </si>
  <si>
    <t>Pasolini : cronaca giudiziaria, persecuzione, morte / Comitato promotore, Fernando Bandini [and others] ; a cura di Laura Betti.</t>
  </si>
  <si>
    <t>141786526:ita</t>
  </si>
  <si>
    <t>4002093</t>
  </si>
  <si>
    <t>ocm04002093</t>
  </si>
  <si>
    <t>3000319618X</t>
  </si>
  <si>
    <t>792312528</t>
  </si>
  <si>
    <t>PQ4835 A48 Z83155 2010</t>
  </si>
  <si>
    <t>0                      PQ 4835000A  48                 Z  83155       2010</t>
  </si>
  <si>
    <t>Pasolini : dal laboratorio / mostra documentaria a cura di Antonella Giordano e Franco Zabagli ; premessa di Gloria Manghetti.</t>
  </si>
  <si>
    <t>903076018:ita</t>
  </si>
  <si>
    <t>697263605</t>
  </si>
  <si>
    <t>ocn697263605</t>
  </si>
  <si>
    <t>3103125270P</t>
  </si>
  <si>
    <t>9788859608486</t>
  </si>
  <si>
    <t>794859763</t>
  </si>
  <si>
    <t>PQ4835 A48 Z8319 2011</t>
  </si>
  <si>
    <t>0                      PQ 4835000A  48                 Z  8319        2011</t>
  </si>
  <si>
    <t>Pasolini dopo Pasolini / a cura di Antonio Pietropaoli e Giorgio Patrizi.</t>
  </si>
  <si>
    <t>Soveria Mannelli (Catanzaro) : Rubbettino, ©2011.</t>
  </si>
  <si>
    <t>Collana scientifica dell'Universitá di Salerno. Atti di convegni ; 25</t>
  </si>
  <si>
    <t>1039373547:ita</t>
  </si>
  <si>
    <t>759152168</t>
  </si>
  <si>
    <t>ocn759152168</t>
  </si>
  <si>
    <t>3103125570G</t>
  </si>
  <si>
    <t>9788849830699</t>
  </si>
  <si>
    <t>794897024</t>
  </si>
  <si>
    <t>PQ4835 A48 Z83225 2014</t>
  </si>
  <si>
    <t>0                      PQ 4835000A  48                 Z  83225       2014</t>
  </si>
  <si>
    <t>Pasolini e la poesia dialettale / a cura di Giampaolo Borghello e Angela Felice.</t>
  </si>
  <si>
    <t>Venezia : Marsilio ; Casarsa della Delizia : Centro studi Pier Paolo Pasolini, dicembre 2014.</t>
  </si>
  <si>
    <t>Pasolini. Ricerche ; n. 4</t>
  </si>
  <si>
    <t>2411727583:ita</t>
  </si>
  <si>
    <t>904251396</t>
  </si>
  <si>
    <t>ocn904251396</t>
  </si>
  <si>
    <t>31036213794</t>
  </si>
  <si>
    <t>9788831720496</t>
  </si>
  <si>
    <t>794990230</t>
  </si>
  <si>
    <t>PQ4835 A48 Z835</t>
  </si>
  <si>
    <t>0                      PQ 4835000A  48                 Z  835</t>
  </si>
  <si>
    <t>Pasolini : séminaire / dirigé par Maria Antonietta Macciocchi.</t>
  </si>
  <si>
    <t>Paris : Grasset, [1980]</t>
  </si>
  <si>
    <t>Figures</t>
  </si>
  <si>
    <t>2019-08-02</t>
  </si>
  <si>
    <t>806800651:fre</t>
  </si>
  <si>
    <t>7162742</t>
  </si>
  <si>
    <t>ocm07162742</t>
  </si>
  <si>
    <t>3000324701S</t>
  </si>
  <si>
    <t>9782246250715</t>
  </si>
  <si>
    <t>792542934</t>
  </si>
  <si>
    <t>PQ4835 A48 Z86253 2012</t>
  </si>
  <si>
    <t>0                      PQ 4835000A  48                 Z  86253       2012</t>
  </si>
  <si>
    <t>Pasolini : civic poet of modernity / Thomas Erling Peterson.</t>
  </si>
  <si>
    <t>Novi Ligure (AL) [i.e. Alessandria, Italy] : Joker, 2012.</t>
  </si>
  <si>
    <t>1338772275:eng</t>
  </si>
  <si>
    <t>828410026</t>
  </si>
  <si>
    <t>ocn828410026</t>
  </si>
  <si>
    <t>3103126124Y</t>
  </si>
  <si>
    <t>9788875363048</t>
  </si>
  <si>
    <t>794941101</t>
  </si>
  <si>
    <t>PQ4835 A48 Z8626 1994</t>
  </si>
  <si>
    <t>0                      PQ 4835000A  48                 Z  8626        1994</t>
  </si>
  <si>
    <t>Pier Paolo Pasolini : contemporary perspectives / edited by Patrick Rumble and Bart Testa.</t>
  </si>
  <si>
    <t>Toronto ; Buffalo : University of Toronto Press, ©1994.</t>
  </si>
  <si>
    <t>864059597:eng</t>
  </si>
  <si>
    <t>29473873</t>
  </si>
  <si>
    <t>ocm29473873</t>
  </si>
  <si>
    <t>3102234340S</t>
  </si>
  <si>
    <t>9780802029669</t>
  </si>
  <si>
    <t>793312046</t>
  </si>
  <si>
    <t>PQ4835 A48 Z864 1990</t>
  </si>
  <si>
    <t>0                      PQ 4835000A  48                 Z  864         1990</t>
  </si>
  <si>
    <t>L'irriconoscibile Pasolini / Rinaldo Rinaldi.</t>
  </si>
  <si>
    <t>Rinaldi, Rinaldo, 1951-</t>
  </si>
  <si>
    <t>Rovito [Italy] : Marra, 1990.</t>
  </si>
  <si>
    <t>Iride ; 3</t>
  </si>
  <si>
    <t>366198446:ita</t>
  </si>
  <si>
    <t>23151741</t>
  </si>
  <si>
    <t>ocm23151741</t>
  </si>
  <si>
    <t>3101406904S</t>
  </si>
  <si>
    <t>9788876870101</t>
  </si>
  <si>
    <t>793162976</t>
  </si>
  <si>
    <t>PQ4835 A48 Z865 1982</t>
  </si>
  <si>
    <t>0                      PQ 4835000A  48                 Z  865         1982</t>
  </si>
  <si>
    <t>Pier Paolo Pasolini / Rinaldo Rinaldi.</t>
  </si>
  <si>
    <t>Milano : Mursia, ©1982.</t>
  </si>
  <si>
    <t>Civiltà letteraria del Novecento. Profili ; n. 40</t>
  </si>
  <si>
    <t>9093787123:ita</t>
  </si>
  <si>
    <t>9198176</t>
  </si>
  <si>
    <t>ocm09198176</t>
  </si>
  <si>
    <t>30003593929</t>
  </si>
  <si>
    <t>792663593</t>
  </si>
  <si>
    <t>PQ4835 A48 Z8695 2012</t>
  </si>
  <si>
    <t>0                      PQ 4835000A  48                 Z  8695        2012</t>
  </si>
  <si>
    <t>Pier Paolo Pasolini : l'opera poetica, narrativa, cinematografica, teatrale e saggistica : ricostruzione critica / Guido Santato.</t>
  </si>
  <si>
    <t>Santato, Guido, 1946- author.</t>
  </si>
  <si>
    <t>Lingue e letterature Carocci ; 149</t>
  </si>
  <si>
    <t>3861868650:ita</t>
  </si>
  <si>
    <t>827933871</t>
  </si>
  <si>
    <t>ocn827933871</t>
  </si>
  <si>
    <t>3103126086P</t>
  </si>
  <si>
    <t>9788843065387</t>
  </si>
  <si>
    <t>794940401</t>
  </si>
  <si>
    <t>PQ4835 A48 Z8775 2009</t>
  </si>
  <si>
    <t>0                      PQ 4835000A  48                 Z  8775        2009</t>
  </si>
  <si>
    <t>"Scrittori inconvenienti " : essays on and by Pier Paolo Pasolini and Gianni Celati / edited by Armando Maggi and Rebecca West.</t>
  </si>
  <si>
    <t>Ravenna : Longo, ©2009.</t>
  </si>
  <si>
    <t>Il portico. Biblioteca di lettere e arti ; 150</t>
  </si>
  <si>
    <t>793221761:ita</t>
  </si>
  <si>
    <t>500783853</t>
  </si>
  <si>
    <t>ocn500783853</t>
  </si>
  <si>
    <t>3103124956C</t>
  </si>
  <si>
    <t>9788880636335</t>
  </si>
  <si>
    <t>794804130</t>
  </si>
  <si>
    <t>PQ4835 A48 Z88</t>
  </si>
  <si>
    <t>0                      PQ 4835000A  48                 Z  88</t>
  </si>
  <si>
    <t>Vita di Pasolini / Enzo Siciliano.</t>
  </si>
  <si>
    <t>Siciliano, Enzo, 1934-2006.</t>
  </si>
  <si>
    <t>Milano : Rizzoli, 1978.</t>
  </si>
  <si>
    <t>53892304:ita</t>
  </si>
  <si>
    <t>5354765</t>
  </si>
  <si>
    <t>ocm05354765</t>
  </si>
  <si>
    <t>3000441226S</t>
  </si>
  <si>
    <t>792427687</t>
  </si>
  <si>
    <t>PQ4835 A48 Z88545 2014</t>
  </si>
  <si>
    <t>0                      PQ 4835000A  48                 Z  88545       2014</t>
  </si>
  <si>
    <t>Le tradizioni popolari nelle opere di Pier Paolo Pasolini e Dario Fo : Université Stendhal, Grenoble 3, 1-2 dicembre 2011 / a cura di Lisa El Ghaoui e Federica Tummillo.</t>
  </si>
  <si>
    <t>Pisa : Fabrizio Serra Editore, 2014.</t>
  </si>
  <si>
    <t>Biblioteca di studi pasoliniani ; 3</t>
  </si>
  <si>
    <t>1843253459:ita</t>
  </si>
  <si>
    <t>873582730</t>
  </si>
  <si>
    <t>ocn873582730</t>
  </si>
  <si>
    <t>3103126417R</t>
  </si>
  <si>
    <t>9788862276320</t>
  </si>
  <si>
    <t>794968473</t>
  </si>
  <si>
    <t>PQ4835 A48 Z88558 2013</t>
  </si>
  <si>
    <t>0                      PQ 4835000A  48                 Z  88558       2013</t>
  </si>
  <si>
    <t>Mistero contadino : tracce pasoliniane nelle ricerche di don Gilberto Pressacco / Giacomo Trevisan ; prefazione di Angela Felice.</t>
  </si>
  <si>
    <t>Trevisan, Giacomo.</t>
  </si>
  <si>
    <t>Udine : Forum, 2013.</t>
  </si>
  <si>
    <t>1391861444:ita</t>
  </si>
  <si>
    <t>843755280</t>
  </si>
  <si>
    <t>ocn843755280</t>
  </si>
  <si>
    <t>3103126205Z</t>
  </si>
  <si>
    <t>9788884207913</t>
  </si>
  <si>
    <t>794948139</t>
  </si>
  <si>
    <t>PQ4835 A48 Z88559 2011</t>
  </si>
  <si>
    <t>0                      PQ 4835000A  48                 Z  88559       2011</t>
  </si>
  <si>
    <t>In corso d'opera : scritti su Pasolini / Antonio Tricomi.</t>
  </si>
  <si>
    <t>Tricomi, Antonio.</t>
  </si>
  <si>
    <t>Studi e ricerche ; [2]</t>
  </si>
  <si>
    <t>894524251:ita</t>
  </si>
  <si>
    <t>719413400</t>
  </si>
  <si>
    <t>ocn719413400</t>
  </si>
  <si>
    <t>3103125382K</t>
  </si>
  <si>
    <t>9788875801281</t>
  </si>
  <si>
    <t>794874403</t>
  </si>
  <si>
    <t>PQ4835 A48 Z893 2010</t>
  </si>
  <si>
    <t>0                      PQ 4835000A  48                 Z  893         2010</t>
  </si>
  <si>
    <t>La Russia nella poesia di Pier Paolo Pasolini / Francesca Tuscano.</t>
  </si>
  <si>
    <t>Tuscano, Francesca.</t>
  </si>
  <si>
    <t>Milano : BookTime, 2010.</t>
  </si>
  <si>
    <t>As/ Saggi ; 3</t>
  </si>
  <si>
    <t>505345220:ita</t>
  </si>
  <si>
    <t>644523319</t>
  </si>
  <si>
    <t>ocn644523319</t>
  </si>
  <si>
    <t>3103125130$</t>
  </si>
  <si>
    <t>9788862181587</t>
  </si>
  <si>
    <t>794829206</t>
  </si>
  <si>
    <t>PQ4835 A48 Z95 2011</t>
  </si>
  <si>
    <t>0                      PQ 4835000A  48                 Z  95          2011</t>
  </si>
  <si>
    <t>La meta-scrittura dell'ultimo Pasolini : tra "crisi cosmica" e bio-potere / Pasquale Voza.</t>
  </si>
  <si>
    <t>Voza, Pasquale, 1942-</t>
  </si>
  <si>
    <t>1. ed italiana.</t>
  </si>
  <si>
    <t>Teorie &amp; oggetti della letteratura ; 38</t>
  </si>
  <si>
    <t>1001164408:ita</t>
  </si>
  <si>
    <t>747530708</t>
  </si>
  <si>
    <t>ocn747530708</t>
  </si>
  <si>
    <t>3103125506U</t>
  </si>
  <si>
    <t>9788820754099</t>
  </si>
  <si>
    <t>794888204</t>
  </si>
  <si>
    <t>PQ4835 A48 Z985 1989</t>
  </si>
  <si>
    <t>0                      PQ 4835000A  48                 Z  985         1989</t>
  </si>
  <si>
    <t>Pasolini tra enigma e profezia / Giuseppe Zigaina ; introduzione di Stefano Agosti.</t>
  </si>
  <si>
    <t>Zigaina, Giuseppe, 1924-2015.</t>
  </si>
  <si>
    <t>Venezia : Marsilio, 1989.</t>
  </si>
  <si>
    <t>23240843:ita</t>
  </si>
  <si>
    <t>21375493</t>
  </si>
  <si>
    <t>ocm21375493</t>
  </si>
  <si>
    <t>31010160327</t>
  </si>
  <si>
    <t>9788831752466</t>
  </si>
  <si>
    <t>793117155</t>
  </si>
  <si>
    <t>PQ4835 A48 Z987 1999</t>
  </si>
  <si>
    <t>0                      PQ 4835000A  48                 Z  987         1999</t>
  </si>
  <si>
    <t>Pasolini : un'idea di stile, uno stilo! / Giuseppe Zigaina.</t>
  </si>
  <si>
    <t>I grilli</t>
  </si>
  <si>
    <t>140909877:ita</t>
  </si>
  <si>
    <t>42798779</t>
  </si>
  <si>
    <t>ocm42798779</t>
  </si>
  <si>
    <t>3102306226$</t>
  </si>
  <si>
    <t>9788831773126</t>
  </si>
  <si>
    <t>793614698</t>
  </si>
  <si>
    <t>PQ4835 A846 A17 1998</t>
  </si>
  <si>
    <t>0                      PQ 4835000A  846                A  17          1998</t>
  </si>
  <si>
    <t>Le poesie / Cesare Pavese ; a cura di Mariarosa Masoero ; introduzione di Marziano Guglielminetti.</t>
  </si>
  <si>
    <t>Pavese, Cesare.</t>
  </si>
  <si>
    <t>Torino : Einaudi, ©1998.</t>
  </si>
  <si>
    <t>Einaudi tascabili ; 500. Poesia</t>
  </si>
  <si>
    <t>2018-05-26</t>
  </si>
  <si>
    <t>10032551538:ita</t>
  </si>
  <si>
    <t>39170484</t>
  </si>
  <si>
    <t>ocm39170484</t>
  </si>
  <si>
    <t>3101899705B</t>
  </si>
  <si>
    <t>9788806147815</t>
  </si>
  <si>
    <t>793539715</t>
  </si>
  <si>
    <t>PQ4835 A846 A238 2001</t>
  </si>
  <si>
    <t>0                      PQ 4835000A  846                A  238         2001</t>
  </si>
  <si>
    <t>The selected works of Cesare Pavese / translated and with an introduction by R.W. Flint.</t>
  </si>
  <si>
    <t>New York : New York Review of Books, 2001.</t>
  </si>
  <si>
    <t>2019-06-28</t>
  </si>
  <si>
    <t>2287329187:eng</t>
  </si>
  <si>
    <t>47844723</t>
  </si>
  <si>
    <t>ocm47844723</t>
  </si>
  <si>
    <t>31023105269</t>
  </si>
  <si>
    <t>9780940322851</t>
  </si>
  <si>
    <t>793709223</t>
  </si>
  <si>
    <t>PQ4835 A846 B4 1962</t>
  </si>
  <si>
    <t>0                      PQ 4835000A  846                B  4           1962</t>
  </si>
  <si>
    <t>La bella estate / Cesare Pavese.</t>
  </si>
  <si>
    <t>[Torino] : Einaudi, 1962.</t>
  </si>
  <si>
    <t>I coralli ; 157</t>
  </si>
  <si>
    <t>2288028980:ita</t>
  </si>
  <si>
    <t>3145019</t>
  </si>
  <si>
    <t>ocm03145019</t>
  </si>
  <si>
    <t>3000364563R</t>
  </si>
  <si>
    <t>792222707</t>
  </si>
  <si>
    <t>PQ4835 A846 D5 1975</t>
  </si>
  <si>
    <t>0                      PQ 4835000A  846                D  5           1975</t>
  </si>
  <si>
    <t>Dialoghi con Leucò / Cesare Pavese ; con una cronologia della vito dell'autore e dei suoi tempi a cura di Antonio Pitamitz e una nota introduttiva all'opera di Roberto Cantini.</t>
  </si>
  <si>
    <t>Milano : A. Mondadori, 1975.</t>
  </si>
  <si>
    <t>2017-08-03</t>
  </si>
  <si>
    <t>1483117:ita</t>
  </si>
  <si>
    <t>61553255</t>
  </si>
  <si>
    <t>ocm61553255</t>
  </si>
  <si>
    <t>30001924169</t>
  </si>
  <si>
    <t>793985102</t>
  </si>
  <si>
    <t>PQ4835 A846 D533 2017</t>
  </si>
  <si>
    <t>0                      PQ 4835000A  846                D  533         2017</t>
  </si>
  <si>
    <t>La poetica dei Dialoghi con Leucò di Cesare Pavese / Alberto Comparini.</t>
  </si>
  <si>
    <t>Sesto San Giovanni (MI) : Mimesis, [2017]</t>
  </si>
  <si>
    <t>Sensi del testo ; n. 10</t>
  </si>
  <si>
    <t>4245948419:ita</t>
  </si>
  <si>
    <t>982171780</t>
  </si>
  <si>
    <t>ocn982171780</t>
  </si>
  <si>
    <t>31037211949</t>
  </si>
  <si>
    <t>9788857533377</t>
  </si>
  <si>
    <t>795034342</t>
  </si>
  <si>
    <t>PQ4835 A846 D534 2012</t>
  </si>
  <si>
    <t>0                      PQ 4835000A  846                D  534         2012</t>
  </si>
  <si>
    <t>La musa nascosta : Cesare Pavese e il personaggio di Leucò / Maria Cristina Di Cioccio.</t>
  </si>
  <si>
    <t>Di Cioccio, Maria Cristina.</t>
  </si>
  <si>
    <t>Ravenna : G. Pozzi, 2012.</t>
  </si>
  <si>
    <t>Studi e testi di cultura letteraria ; 4</t>
  </si>
  <si>
    <t>1184786126:ita</t>
  </si>
  <si>
    <t>820121198</t>
  </si>
  <si>
    <t>ocn820121198</t>
  </si>
  <si>
    <t>31031260172</t>
  </si>
  <si>
    <t>9788896117231</t>
  </si>
  <si>
    <t>794935079</t>
  </si>
  <si>
    <t>PQ4835 A846 L8 1954</t>
  </si>
  <si>
    <t>0                      PQ 4835000A  846                L  8           1954</t>
  </si>
  <si>
    <t>La luna e i falò.</t>
  </si>
  <si>
    <t>Torino : [publisher not identified], 1954.</t>
  </si>
  <si>
    <t>I coralli ; 48</t>
  </si>
  <si>
    <t>968216:ita</t>
  </si>
  <si>
    <t>427111888</t>
  </si>
  <si>
    <t>ocn427111888</t>
  </si>
  <si>
    <t>30007704776</t>
  </si>
  <si>
    <t>794520598</t>
  </si>
  <si>
    <t>PQ4835 A846 L8 1979</t>
  </si>
  <si>
    <t>0                      PQ 4835000A  846                L  8           1979</t>
  </si>
  <si>
    <t>La luna e i falò / Cesare Pavese ; edited with introduction, notes and vocabulary by A.D. Thompson.</t>
  </si>
  <si>
    <t>Manchester : Manchester University Press, ©1979.</t>
  </si>
  <si>
    <t>6546161</t>
  </si>
  <si>
    <t>ocm06546161</t>
  </si>
  <si>
    <t>3000302263B</t>
  </si>
  <si>
    <t>9780719007712</t>
  </si>
  <si>
    <t>792507661</t>
  </si>
  <si>
    <t>PQ4835 A846 L813 2002</t>
  </si>
  <si>
    <t>0                      PQ 4835000A  846                L  813         2002</t>
  </si>
  <si>
    <t>The moon and the bonfires / Cesare Pavese ; translated by R.W. Flint ; introduction by Mark Rudman.</t>
  </si>
  <si>
    <t>New York : New York Review Books, 2002.</t>
  </si>
  <si>
    <t>2017-07-03</t>
  </si>
  <si>
    <t>968216:eng</t>
  </si>
  <si>
    <t>50155672</t>
  </si>
  <si>
    <t>ocm50155672</t>
  </si>
  <si>
    <t>3102225608S</t>
  </si>
  <si>
    <t>9781590170212</t>
  </si>
  <si>
    <t>793756901</t>
  </si>
  <si>
    <t>PQ4835 A846 L813 2002b</t>
  </si>
  <si>
    <t>0                      PQ 4835000A  846                L  813         2002b</t>
  </si>
  <si>
    <t>The moon and the bonfire / Cesare Pavese ; translated from the Italian by Louise Sinclair.</t>
  </si>
  <si>
    <t>London : P. Owen ; Chester Springs, PA : Distributed in the USA by Dufour Editions, 2002.</t>
  </si>
  <si>
    <t>Peter Owen modern classics</t>
  </si>
  <si>
    <t>54279947</t>
  </si>
  <si>
    <t>ocm54279947</t>
  </si>
  <si>
    <t>3102328752Y</t>
  </si>
  <si>
    <t>9780720611199</t>
  </si>
  <si>
    <t>793859267</t>
  </si>
  <si>
    <t>PQ4835 A846 P3 2001</t>
  </si>
  <si>
    <t>0                      PQ 4835000A  846                P  3           2001</t>
  </si>
  <si>
    <t>Paesi tuoi / Cesare Pavese ; con uno scritto di Alberto Asor Rosa.</t>
  </si>
  <si>
    <t>Einaudi tascabili ; 828. Letteratura</t>
  </si>
  <si>
    <t>1439868:ita</t>
  </si>
  <si>
    <t>53058811</t>
  </si>
  <si>
    <t>ocm53058811</t>
  </si>
  <si>
    <t>31033023393</t>
  </si>
  <si>
    <t>9788806158378</t>
  </si>
  <si>
    <t>793820404</t>
  </si>
  <si>
    <t>PQ4835 A846 P68 1953</t>
  </si>
  <si>
    <t>0                      PQ 4835000A  846                P  68          1953</t>
  </si>
  <si>
    <t>Brima che il gallo canti.</t>
  </si>
  <si>
    <t>[Place of publication not identified] : [publisher not identified], [19--?]</t>
  </si>
  <si>
    <t>Il Bosco ; v. 115</t>
  </si>
  <si>
    <t>8910338573:ita</t>
  </si>
  <si>
    <t>63037379</t>
  </si>
  <si>
    <t>ocm63037379</t>
  </si>
  <si>
    <t>3000770491C</t>
  </si>
  <si>
    <t>794117478</t>
  </si>
  <si>
    <t>PQ4835 A846 P7 1964</t>
  </si>
  <si>
    <t>0                      PQ 4835000A  846                P  7           1964</t>
  </si>
  <si>
    <t>3000552771M</t>
  </si>
  <si>
    <t>794117479</t>
  </si>
  <si>
    <t>PQ4835 A846 S6 1961</t>
  </si>
  <si>
    <t>0                      PQ 4835000A  846                S  6           1961</t>
  </si>
  <si>
    <t>La spiaggia.</t>
  </si>
  <si>
    <t>[Torino] : [publisher not identified], 1961.</t>
  </si>
  <si>
    <t>[4. ed.].</t>
  </si>
  <si>
    <t>I coralli ; 73</t>
  </si>
  <si>
    <t>29592450:ita</t>
  </si>
  <si>
    <t>427112079</t>
  </si>
  <si>
    <t>ocn427112079</t>
  </si>
  <si>
    <t>3000770492A</t>
  </si>
  <si>
    <t>794520614</t>
  </si>
  <si>
    <t>PQ4835 A846 Z48 2010</t>
  </si>
  <si>
    <t>0                      PQ 4835000A  846                Z  48          2010</t>
  </si>
  <si>
    <t>"A meeting of minds" : carteggio 1947-1950 / Cesare Pavese, Renato Poggioli ; a cura di Silvia Savioli ; introduzione di Roberto Ludovico.</t>
  </si>
  <si>
    <t>Alessandria : Dell'Orso, ©2010.</t>
  </si>
  <si>
    <t>I libri di "Levia gravia"</t>
  </si>
  <si>
    <t>796551111:ita</t>
  </si>
  <si>
    <t>664799352</t>
  </si>
  <si>
    <t>ocn664799352</t>
  </si>
  <si>
    <t>3103125165U</t>
  </si>
  <si>
    <t>9788862742191</t>
  </si>
  <si>
    <t>794844333</t>
  </si>
  <si>
    <t>PQ4835 A846 Z48 2011</t>
  </si>
  <si>
    <t>0                      PQ 4835000A  846                Z  48          2011</t>
  </si>
  <si>
    <t>Una bellissima coppia discorde : il carteggio tra Cesare Pavese e Bianca Garufi, 1945-1950 / a cura di Mariarosa Masoero.</t>
  </si>
  <si>
    <t>Centro di studi di letteratura italiana in Piemonte "Guido Gozzano-Cesare Pavese" ; v. 20. Testi</t>
  </si>
  <si>
    <t>1098485428:ita</t>
  </si>
  <si>
    <t>775025375</t>
  </si>
  <si>
    <t>ocn775025375</t>
  </si>
  <si>
    <t>3103125647J</t>
  </si>
  <si>
    <t>9788822260741</t>
  </si>
  <si>
    <t>794907129</t>
  </si>
  <si>
    <t>PQ4835 A846 Z53 1990</t>
  </si>
  <si>
    <t>0                      PQ 4835000A  846                Z  53          1990</t>
  </si>
  <si>
    <t>Il mestiere di vivere : 1935-1950 / Cesare Pavese ; nuova edizione condotta sull'autografo a cura di Marziano Guglielminetti e Laura Nay.</t>
  </si>
  <si>
    <t>Torino : Einaudi, ©1990.</t>
  </si>
  <si>
    <t>1. ed "Superc."</t>
  </si>
  <si>
    <t>2017-06-17</t>
  </si>
  <si>
    <t>10177354185:ita</t>
  </si>
  <si>
    <t>32395487</t>
  </si>
  <si>
    <t>ocm32395487</t>
  </si>
  <si>
    <t>3101144008Q</t>
  </si>
  <si>
    <t>9788806118631</t>
  </si>
  <si>
    <t>793382983</t>
  </si>
  <si>
    <t>PQ4835 A846 Z533</t>
  </si>
  <si>
    <t>0                      PQ 4835000A  846                Z  533</t>
  </si>
  <si>
    <t>The burning brand : diaries 1935-1950 / by Cesare Pavese ; translated by A.E. Murch, with Jeanne Molli ; introduction by Frances Keene.</t>
  </si>
  <si>
    <t>New York, Walker [1961]</t>
  </si>
  <si>
    <t>2017-06-29</t>
  </si>
  <si>
    <t>3901574820:eng</t>
  </si>
  <si>
    <t>347530</t>
  </si>
  <si>
    <t>ocm00347530</t>
  </si>
  <si>
    <t>30006101272</t>
  </si>
  <si>
    <t>791345636</t>
  </si>
  <si>
    <t>PQ4835 A846 Z543</t>
  </si>
  <si>
    <t>0                      PQ 4835000A  846                Z  543</t>
  </si>
  <si>
    <t>Selected letters, 1924-1950; edited, translated from the Italian and with an introduction by A.E. Murch.</t>
  </si>
  <si>
    <t>London, Owen, 1969.</t>
  </si>
  <si>
    <t>3374514636:eng</t>
  </si>
  <si>
    <t>54492</t>
  </si>
  <si>
    <t>ocm00054492</t>
  </si>
  <si>
    <t>3000617895X</t>
  </si>
  <si>
    <t>9780720615203</t>
  </si>
  <si>
    <t>791240884</t>
  </si>
  <si>
    <t>PQ4835 A846 Z544x</t>
  </si>
  <si>
    <t>0                      PQ 4835000A  846                Z  544x</t>
  </si>
  <si>
    <t>Vita attraverso le lettere. A cura di Lorenzo Mondo.</t>
  </si>
  <si>
    <t>Torino, Einaudi, 1973.</t>
  </si>
  <si>
    <t>Gli Struzzi, 44</t>
  </si>
  <si>
    <t>1842812:ita</t>
  </si>
  <si>
    <t>906276</t>
  </si>
  <si>
    <t>ocm00906276</t>
  </si>
  <si>
    <t>30006101256</t>
  </si>
  <si>
    <t>791499106</t>
  </si>
  <si>
    <t>PQ4835 A846 Z5664 2016</t>
  </si>
  <si>
    <t>0                      PQ 4835000A  846                Z  5664        2016</t>
  </si>
  <si>
    <t>Di quei giorni mi ricorderò sempre : desideri e lontananze in Cesare Pavese / Fiorella Baldinotti.</t>
  </si>
  <si>
    <t>Baldinotti, Fiorella, author.</t>
  </si>
  <si>
    <t>Firenze : Mauro Pagliai editore, [2016]</t>
  </si>
  <si>
    <t>Italianistica nel mondo ; II serie, 10</t>
  </si>
  <si>
    <t>3748214497:ita</t>
  </si>
  <si>
    <t>954436238</t>
  </si>
  <si>
    <t>ocn954436238</t>
  </si>
  <si>
    <t>31037161461</t>
  </si>
  <si>
    <t>9788856403329</t>
  </si>
  <si>
    <t>795019767</t>
  </si>
  <si>
    <t>PQ4835 A846 Z57 2015</t>
  </si>
  <si>
    <t>0                      PQ 4835000A  846                Z  57          2015</t>
  </si>
  <si>
    <t>Cesare Pavese : testimonianze, testi e contesti : quindicesima rassegna di saggi internazionali di critica pavesiana / a cura di Antonio Catalfamo.</t>
  </si>
  <si>
    <t>Cesare Pavese (testimonianze, testi e contesti)</t>
  </si>
  <si>
    <t>Catania : A &amp; G s.a.s., [2015]</t>
  </si>
  <si>
    <t>I quaderni del CE. PA. M</t>
  </si>
  <si>
    <t>3829465380:ita</t>
  </si>
  <si>
    <t>922884670</t>
  </si>
  <si>
    <t>ocn922884670</t>
  </si>
  <si>
    <t>3103624759G</t>
  </si>
  <si>
    <t>9788894095807</t>
  </si>
  <si>
    <t>795004180</t>
  </si>
  <si>
    <t>PQ4835 A846 Z57 2016</t>
  </si>
  <si>
    <t>0                      PQ 4835000A  846                Z  57          2016</t>
  </si>
  <si>
    <t>Cesare Pavese e le strade del mondo : sedicesima rassegna di saggi internazionali di critica pavesiana / a cura di Antonio Catalfamo.</t>
  </si>
  <si>
    <t>Cuneo : Centro Pavesiano Museo casa natale ; Catania : Editi da A&amp;G, [2016]</t>
  </si>
  <si>
    <t>I Quaderni del CE.PA.M</t>
  </si>
  <si>
    <t>3559753843:ita</t>
  </si>
  <si>
    <t>953720473</t>
  </si>
  <si>
    <t>ocn953720473</t>
  </si>
  <si>
    <t>3103716195P</t>
  </si>
  <si>
    <t>9788899775049</t>
  </si>
  <si>
    <t>795019166</t>
  </si>
  <si>
    <t>PQ4835 A846 Z57954 2012</t>
  </si>
  <si>
    <t>0                      PQ 4835000A  846                Z  57954       2012</t>
  </si>
  <si>
    <t>Cesare Pavese : mito, ragione e realtà / Antonio Catalfamo.</t>
  </si>
  <si>
    <t>Catalfamo, Antonio, 1962-</t>
  </si>
  <si>
    <t>[Chieti, Italy] : Solfanelli, ©2012.</t>
  </si>
  <si>
    <t>Athenaeum ; 9</t>
  </si>
  <si>
    <t>1185863600:ita</t>
  </si>
  <si>
    <t>820786015</t>
  </si>
  <si>
    <t>ocn820786015</t>
  </si>
  <si>
    <t>3103126073R</t>
  </si>
  <si>
    <t>9788874977765</t>
  </si>
  <si>
    <t>794935794</t>
  </si>
  <si>
    <t>PQ4835 A846 Z57957 2011</t>
  </si>
  <si>
    <t>0                      PQ 4835000A  846                Z  57957       2011</t>
  </si>
  <si>
    <t>Cesare Pavese a San Francisco: incontro per la celebrazione del centenario della nascita : atti del congresso, 24-25 ottobre 2008 / a cura di Christopher Concolino.</t>
  </si>
  <si>
    <t>Quaderni della Rassegna ; 66</t>
  </si>
  <si>
    <t>919333043:ita</t>
  </si>
  <si>
    <t>738360169</t>
  </si>
  <si>
    <t>ocn738360169</t>
  </si>
  <si>
    <t>3103125467L</t>
  </si>
  <si>
    <t>9788876674051</t>
  </si>
  <si>
    <t>794882652</t>
  </si>
  <si>
    <t>PQ4835 A846 Z57965 2011</t>
  </si>
  <si>
    <t>0                      PQ 4835000A  846                Z  57965       2011</t>
  </si>
  <si>
    <t>Cesare Pavese tra cinema e letteratura / a cura di Monica Lanzillotta.</t>
  </si>
  <si>
    <t>Studi di filologia antica e moderna ; 24</t>
  </si>
  <si>
    <t>1201884294:ita</t>
  </si>
  <si>
    <t>824351827</t>
  </si>
  <si>
    <t>ocn824351827</t>
  </si>
  <si>
    <t>3103126089P</t>
  </si>
  <si>
    <t>9788849832433</t>
  </si>
  <si>
    <t>794937723</t>
  </si>
  <si>
    <t>PQ4835 A846 Z614 2017</t>
  </si>
  <si>
    <t>0                      PQ 4835000A  846                Z  614         2017</t>
  </si>
  <si>
    <t>L'editore Cesare Pavese / Gian Carlo Ferretti.</t>
  </si>
  <si>
    <t>Ferretti, Gian Carlo, 1930- author.</t>
  </si>
  <si>
    <t>Torino : Giulio Einaudi editore s.p.a., [2017]</t>
  </si>
  <si>
    <t>Piccola biblioteca Einaudi ; nuova serie 667</t>
  </si>
  <si>
    <t>4152567973:ita</t>
  </si>
  <si>
    <t>981248487</t>
  </si>
  <si>
    <t>ocn981248487</t>
  </si>
  <si>
    <t>3103719623F</t>
  </si>
  <si>
    <t>9788806221072</t>
  </si>
  <si>
    <t>795033961</t>
  </si>
  <si>
    <t>PQ4835 A846 Z7644 2010</t>
  </si>
  <si>
    <t>0                      PQ 4835000A  846                Z  7644        2010</t>
  </si>
  <si>
    <t>Leucò va in America : Cesare Pavese nel centenario della nascita : an international conference, Stony Brook, NY, 13 -14 marzo 2009 / a cura di Mario B. Mignone.</t>
  </si>
  <si>
    <t>Salerno : Edisud ; Stony Brook, NY : Forum Italicum Pub., 2010.</t>
  </si>
  <si>
    <t>Nuovi paradigmi ; 2</t>
  </si>
  <si>
    <t>481221363:ita</t>
  </si>
  <si>
    <t>615420215</t>
  </si>
  <si>
    <t>ocn615420215</t>
  </si>
  <si>
    <t>31033374294</t>
  </si>
  <si>
    <t>9788895154794</t>
  </si>
  <si>
    <t>794822732</t>
  </si>
  <si>
    <t>PQ4835 A846 Z766445 2012</t>
  </si>
  <si>
    <t>0                      PQ 4835000A  846                Z  766445      2012</t>
  </si>
  <si>
    <t>"Officina" Pavese : carte, libri, nuovi studi : atti della giornata di studio, Torino, Archivio di Stato, 14 aprile 2010 / a cura di Mariarosa Masoero e Silvia Savioli.</t>
  </si>
  <si>
    <t>I libri di "Levia gravia" ; [9]</t>
  </si>
  <si>
    <t>1126988225:ita</t>
  </si>
  <si>
    <t>794362321</t>
  </si>
  <si>
    <t>ocn794362321</t>
  </si>
  <si>
    <t>31031259812</t>
  </si>
  <si>
    <t>9788862743488</t>
  </si>
  <si>
    <t>794919742</t>
  </si>
  <si>
    <t>PQ4835 A846 Z77155 2011</t>
  </si>
  <si>
    <t>0                      PQ 4835000A  846                Z  77155       2011</t>
  </si>
  <si>
    <t>Pavese e il cinema : primo e ultimo amore / Franco Prono.</t>
  </si>
  <si>
    <t>Prono, Franco.</t>
  </si>
  <si>
    <t>Xanadu ; 3</t>
  </si>
  <si>
    <t>1078087842:ita</t>
  </si>
  <si>
    <t>775411192</t>
  </si>
  <si>
    <t>ocn775411192</t>
  </si>
  <si>
    <t>31031256909</t>
  </si>
  <si>
    <t>9788877968449</t>
  </si>
  <si>
    <t>794907429</t>
  </si>
  <si>
    <t>PQ4835 A846 Z77185 2012</t>
  </si>
  <si>
    <t>0                      PQ 4835000A  846                Z  77185       2012</t>
  </si>
  <si>
    <t>Cesare Pavese e la letteratura americana : una splendida monotonia / Gabriella Remigi.</t>
  </si>
  <si>
    <t>Remigi, Gabriella.</t>
  </si>
  <si>
    <t>Biblioteca dell'"Archivum Romanicum." Serie 1, Storia, letteratura, paleografia, 0066-6807 ; 387</t>
  </si>
  <si>
    <t>1090957333:ita</t>
  </si>
  <si>
    <t>781673293</t>
  </si>
  <si>
    <t>ocn781673293</t>
  </si>
  <si>
    <t>3103125762C</t>
  </si>
  <si>
    <t>9788822261021</t>
  </si>
  <si>
    <t>794912986</t>
  </si>
  <si>
    <t>PQ4835 A846 Z7745 2015</t>
  </si>
  <si>
    <t>0                      PQ 4835000A  846                Z  7745        2015</t>
  </si>
  <si>
    <t>Pavese : libri sacri, misteri, riscritture / Antonio Sichera.</t>
  </si>
  <si>
    <t>Sichera, Antonio, author.</t>
  </si>
  <si>
    <t>Polinnia ; XXIX</t>
  </si>
  <si>
    <t>2530888008:ita</t>
  </si>
  <si>
    <t>907638692</t>
  </si>
  <si>
    <t>ocn907638692</t>
  </si>
  <si>
    <t>3103628078K</t>
  </si>
  <si>
    <t>9788822263735</t>
  </si>
  <si>
    <t>794993640</t>
  </si>
  <si>
    <t>PQ4835 A846 Z7748 2010</t>
  </si>
  <si>
    <t>0                      PQ 4835000A  846                Z  7748        2010</t>
  </si>
  <si>
    <t>Aveva il viso di pietra scolpita : cinque saggi su Cesare Pavese / Jacqueline Spaccini.</t>
  </si>
  <si>
    <t>Spaccini, Jacqueline, 1958-</t>
  </si>
  <si>
    <t>AIO ; 611</t>
  </si>
  <si>
    <t>624077918:ita</t>
  </si>
  <si>
    <t>642806426</t>
  </si>
  <si>
    <t>ocn642806426</t>
  </si>
  <si>
    <t>31031251113</t>
  </si>
  <si>
    <t>9788854832268</t>
  </si>
  <si>
    <t>794828398</t>
  </si>
  <si>
    <t>PQ4835 A846 Z98 2017</t>
  </si>
  <si>
    <t>0                      PQ 4835000A  846                Z  98          2017</t>
  </si>
  <si>
    <t>Il piacere di raccontare : Pavese dentro il fantastico postmoderno / Franco Zangrilli.</t>
  </si>
  <si>
    <t>Palermo : Dario Flaccovio editore, febbraio 2017.</t>
  </si>
  <si>
    <t>4092853853:ita</t>
  </si>
  <si>
    <t>974707838</t>
  </si>
  <si>
    <t>ocn974707838</t>
  </si>
  <si>
    <t>3103716168S</t>
  </si>
  <si>
    <t>9788857906546</t>
  </si>
  <si>
    <t>795029799</t>
  </si>
  <si>
    <t>PQ4835 A846 1968</t>
  </si>
  <si>
    <t>0                      PQ 4835000A  846         1968</t>
  </si>
  <si>
    <t>Opere ...</t>
  </si>
  <si>
    <t>2002-10-23</t>
  </si>
  <si>
    <t>2018-05-18</t>
  </si>
  <si>
    <t>3372831182:ita</t>
  </si>
  <si>
    <t>397402</t>
  </si>
  <si>
    <t>ocm00397402</t>
  </si>
  <si>
    <t>3100841073Q</t>
  </si>
  <si>
    <t>791364978</t>
  </si>
  <si>
    <t>3100841020A</t>
  </si>
  <si>
    <t>791364984</t>
  </si>
  <si>
    <t>31001461917</t>
  </si>
  <si>
    <t>791364981</t>
  </si>
  <si>
    <t>v.12</t>
  </si>
  <si>
    <t>3100144404Q</t>
  </si>
  <si>
    <t>791364975</t>
  </si>
  <si>
    <t>2017-07-08</t>
  </si>
  <si>
    <t>3000338727L</t>
  </si>
  <si>
    <t>791364986</t>
  </si>
  <si>
    <t>3100841070W</t>
  </si>
  <si>
    <t>791364982</t>
  </si>
  <si>
    <t>2007-05-04</t>
  </si>
  <si>
    <t>3102741147B</t>
  </si>
  <si>
    <t>791364980</t>
  </si>
  <si>
    <t>CVB138868-70</t>
  </si>
  <si>
    <t>791364987</t>
  </si>
  <si>
    <t>31008410307</t>
  </si>
  <si>
    <t>791364983</t>
  </si>
  <si>
    <t>V. 13 Pt. 1</t>
  </si>
  <si>
    <t>2017-03-07</t>
  </si>
  <si>
    <t>3102741148B</t>
  </si>
  <si>
    <t>791364974</t>
  </si>
  <si>
    <t>v.14 (pt.2)</t>
  </si>
  <si>
    <t>3100144408I</t>
  </si>
  <si>
    <t>791364971</t>
  </si>
  <si>
    <t>2007-06-16</t>
  </si>
  <si>
    <t>3100146195$</t>
  </si>
  <si>
    <t>791364985</t>
  </si>
  <si>
    <t>v.14 (pt.1)</t>
  </si>
  <si>
    <t>3100144407K</t>
  </si>
  <si>
    <t>791364972</t>
  </si>
  <si>
    <t>3100144402U</t>
  </si>
  <si>
    <t>791364977</t>
  </si>
  <si>
    <t>3100144400Y</t>
  </si>
  <si>
    <t>791364979</t>
  </si>
  <si>
    <t>v.11</t>
  </si>
  <si>
    <t>3100144403S</t>
  </si>
  <si>
    <t>791364976</t>
  </si>
  <si>
    <t>V. 13 Pt. 2</t>
  </si>
  <si>
    <t>3100841078G</t>
  </si>
  <si>
    <t>791364973</t>
  </si>
  <si>
    <t>PQ4835 E22 G5834 2010</t>
  </si>
  <si>
    <t>0                      PQ 4835000E  22                 G  5834        2010</t>
  </si>
  <si>
    <t>Il Giuda di Enrico Pea : storia di una tragedia di un personaggio e di una lunga riflessione / Angela Guidotti.</t>
  </si>
  <si>
    <t>Guidotti, Angela.</t>
  </si>
  <si>
    <t>Lucca : M. Pacini Fazzi, ©2010.</t>
  </si>
  <si>
    <t>Voci di repertorio. Quaderni</t>
  </si>
  <si>
    <t>812105256:ita</t>
  </si>
  <si>
    <t>677917479</t>
  </si>
  <si>
    <t>ocn677917479</t>
  </si>
  <si>
    <t>31031252190</t>
  </si>
  <si>
    <t>9788872469842</t>
  </si>
  <si>
    <t>794850305</t>
  </si>
  <si>
    <t>PQ4835 E22 Z62 2012</t>
  </si>
  <si>
    <t>0                      PQ 4835000E  22                 Z  62          2012</t>
  </si>
  <si>
    <t>Enrico Pea : bibliografia completa (1910-2010) e nuovi saggi critici / A cura di Giona Tuccini ; saggi di Danilo Capasso [and eleven others].</t>
  </si>
  <si>
    <t>Pontedera (Pisa) : Bibliografia e Informazione, [2012]</t>
  </si>
  <si>
    <t>Notiziario bibliografico toscano. Quaderni ; 6</t>
  </si>
  <si>
    <t>1357796849:ita</t>
  </si>
  <si>
    <t>811003868</t>
  </si>
  <si>
    <t>ocn811003868</t>
  </si>
  <si>
    <t>3103125908I</t>
  </si>
  <si>
    <t>9788890725005</t>
  </si>
  <si>
    <t>794929684</t>
  </si>
  <si>
    <t>PQ4835 E47 A17 1997</t>
  </si>
  <si>
    <t>0                      PQ 4835000E  47                 A  17          1997</t>
  </si>
  <si>
    <t>Poesie / Sandro Penna ; prefazione di Cesare Garboli.</t>
  </si>
  <si>
    <t>Penna, Sandro.</t>
  </si>
  <si>
    <t>Milano : Garzanti, 1997.</t>
  </si>
  <si>
    <t>6. ed.</t>
  </si>
  <si>
    <t>Gli elefanti. Poesia</t>
  </si>
  <si>
    <t>2019-06-29</t>
  </si>
  <si>
    <t>16148258:ita</t>
  </si>
  <si>
    <t>39797587</t>
  </si>
  <si>
    <t>ocm39797587</t>
  </si>
  <si>
    <t>3102014370Q</t>
  </si>
  <si>
    <t>9788811669371</t>
  </si>
  <si>
    <t>793553607</t>
  </si>
  <si>
    <t>PQ4835 E47 Z56 2010</t>
  </si>
  <si>
    <t>0                      PQ 4835000E  47                 Z  56          2010</t>
  </si>
  <si>
    <t>La vita è ricordarsi : note su una poesia di Sandro Penna / Andrea Barbetti, Giuseppe Grasso, Silvia Peronaci ; con due scritti del poeta.</t>
  </si>
  <si>
    <t>Barbetti, Andrea.</t>
  </si>
  <si>
    <t>Micromegas ; 18</t>
  </si>
  <si>
    <t>796343579:ita</t>
  </si>
  <si>
    <t>642809369</t>
  </si>
  <si>
    <t>ocn642809369</t>
  </si>
  <si>
    <t>3103125184Q</t>
  </si>
  <si>
    <t>9788889756836</t>
  </si>
  <si>
    <t>794828399</t>
  </si>
  <si>
    <t>PQ4835 E47 Z62 2010</t>
  </si>
  <si>
    <t>0                      PQ 4835000E  47                 Z  62          2010</t>
  </si>
  <si>
    <t>Tra prosa e poesia : modernità di Sandro Penna / Daniele Comberiati.</t>
  </si>
  <si>
    <t>Voltaire ; 7</t>
  </si>
  <si>
    <t>2013-04-11</t>
  </si>
  <si>
    <t>782746812:ita</t>
  </si>
  <si>
    <t>701208622</t>
  </si>
  <si>
    <t>ocn701208622</t>
  </si>
  <si>
    <t>3103125325W</t>
  </si>
  <si>
    <t>9788896517505</t>
  </si>
  <si>
    <t>794862634</t>
  </si>
  <si>
    <t>PQ4835 E47 Z695 2010</t>
  </si>
  <si>
    <t>0                      PQ 4835000E  47                 Z  695         2010</t>
  </si>
  <si>
    <t>Quel che resta del sogno : Sandro Penna, dieci studi, 1989-2009 / Elena Gurrieri.</t>
  </si>
  <si>
    <t>Gurrieri, Elena.</t>
  </si>
  <si>
    <t>Biblioteca del caffè. Studi e testi di letteratura italiana e straniera ; 4</t>
  </si>
  <si>
    <t>8883865991:ita</t>
  </si>
  <si>
    <t>639152086</t>
  </si>
  <si>
    <t>ocn639152086</t>
  </si>
  <si>
    <t>31031251055</t>
  </si>
  <si>
    <t>9788856401035</t>
  </si>
  <si>
    <t>794826512</t>
  </si>
  <si>
    <t>PQ4835 E47 Z766 2012</t>
  </si>
  <si>
    <t>0                      PQ 4835000E  47                 Z  766         2012</t>
  </si>
  <si>
    <t>Una lingua che combatte : tempo e utopia nell'opere di Penna, Caproni, Fortini e Sereni / Andrea Masetti.</t>
  </si>
  <si>
    <t>Masetti, Andrea, 1978- author.</t>
  </si>
  <si>
    <t>Milano : Edizioni Unicopli, maggio 2012.</t>
  </si>
  <si>
    <t>Parole allo specchio / Università degli studi di Parma, Dipartimento di italianistica ; 27</t>
  </si>
  <si>
    <t>5619501400:ita</t>
  </si>
  <si>
    <t>820786181</t>
  </si>
  <si>
    <t>ocn820786181</t>
  </si>
  <si>
    <t>3103126250P</t>
  </si>
  <si>
    <t>9788840015507</t>
  </si>
  <si>
    <t>794935797</t>
  </si>
  <si>
    <t>PQ4835 E47 Z768 2010</t>
  </si>
  <si>
    <t>0                      PQ 4835000E  47                 Z  768         2010</t>
  </si>
  <si>
    <t>Sandro Penna e Vittorio Bodini : tracce di una compresenza poetica / Giuseppe Moscati ; prefazione di Andrea Cernicchi ; introduzione di Andrea Roselletti.</t>
  </si>
  <si>
    <t>Moscati, Giuseppe.</t>
  </si>
  <si>
    <t>Perugia : Morlacchi, 2010.</t>
  </si>
  <si>
    <t>897461199:ita</t>
  </si>
  <si>
    <t>721863181</t>
  </si>
  <si>
    <t>ocn721863181</t>
  </si>
  <si>
    <t>3103125397I</t>
  </si>
  <si>
    <t>9788860743770</t>
  </si>
  <si>
    <t>794875370</t>
  </si>
  <si>
    <t>PQ4835 E76 D6 1930</t>
  </si>
  <si>
    <t>0                      PQ 4835000E  76                 D  6           1930</t>
  </si>
  <si>
    <t>Donne e non bambole : novelle / Augusta Perricone Violà.</t>
  </si>
  <si>
    <t>Perricone Violà, Augusta.</t>
  </si>
  <si>
    <t>Bologna : Cappelli, 1930.</t>
  </si>
  <si>
    <t>2017-05-15</t>
  </si>
  <si>
    <t>46116843:ita</t>
  </si>
  <si>
    <t>61540467</t>
  </si>
  <si>
    <t>ocm61540467</t>
  </si>
  <si>
    <t>30003499345</t>
  </si>
  <si>
    <t>793971781</t>
  </si>
  <si>
    <t>PQ4835 I48 2012</t>
  </si>
  <si>
    <t>0                      PQ 4835000I  48          2012</t>
  </si>
  <si>
    <t>Tutte le poesie / Albino Pierro ; a cura di Pasquale Stoppelli.</t>
  </si>
  <si>
    <t>Pierro, Albino, author.</t>
  </si>
  <si>
    <t>Testi e documenti di letteratura e di lingua ; xxxiii</t>
  </si>
  <si>
    <t>9148414541:ita</t>
  </si>
  <si>
    <t>844692532</t>
  </si>
  <si>
    <t>ocn844692532</t>
  </si>
  <si>
    <t>3103126263N</t>
  </si>
  <si>
    <t>9788884027719</t>
  </si>
  <si>
    <t>794948642</t>
  </si>
  <si>
    <t>3103126262N</t>
  </si>
  <si>
    <t>794948643</t>
  </si>
  <si>
    <t>PQ4835 I58 C613 1951</t>
  </si>
  <si>
    <t>0                      PQ 4835000I  58                 C  613         1951</t>
  </si>
  <si>
    <t>The conformist / Alberto Moravia ; Translated by Angus Davisdon [i.e. Davidson].</t>
  </si>
  <si>
    <t>New York : Farrar, Straus and Young, [1951]</t>
  </si>
  <si>
    <t>49524746:eng</t>
  </si>
  <si>
    <t>361499</t>
  </si>
  <si>
    <t>ocm00361499</t>
  </si>
  <si>
    <t>31023798336</t>
  </si>
  <si>
    <t>791351311</t>
  </si>
  <si>
    <t>PQ4835 I58 C67813 1999</t>
  </si>
  <si>
    <t>0                      PQ 4835000I  58                 C  67813       1999</t>
  </si>
  <si>
    <t>The conformist : a novel / Alberto Moravia ; translated from the Italian by Tami Calliope.</t>
  </si>
  <si>
    <t>South Royalton, Vt. : Steerforth Italia : Distributed by Publishers Group West, ©1999.</t>
  </si>
  <si>
    <t>42393586</t>
  </si>
  <si>
    <t>ocm42393586</t>
  </si>
  <si>
    <t>3103088750F</t>
  </si>
  <si>
    <t>9781883642655</t>
  </si>
  <si>
    <t>793606511</t>
  </si>
  <si>
    <t>PQ4835 I58 D413 1950</t>
  </si>
  <si>
    <t>0                      PQ 4835000I  58                 D  413         1950</t>
  </si>
  <si>
    <t>Disobedience / by Alberto Moravia ; Translated by Angus Davidson.</t>
  </si>
  <si>
    <t>London : Secker &amp; Warburg, 1950.</t>
  </si>
  <si>
    <t>2018-02-28</t>
  </si>
  <si>
    <t>432972652:eng</t>
  </si>
  <si>
    <t>1423178</t>
  </si>
  <si>
    <t>ocm01423178</t>
  </si>
  <si>
    <t>3102953009Y</t>
  </si>
  <si>
    <t>791622738</t>
  </si>
  <si>
    <t>PQ4835 I58 D513 1999</t>
  </si>
  <si>
    <t>0                      PQ 4835000I  58                 D  513         1999</t>
  </si>
  <si>
    <t>Contempt / Alberto Moravia ; introduction by Tim Parks ; translated by Angus Davidson.</t>
  </si>
  <si>
    <t>New York : New York Review Books, 1999.</t>
  </si>
  <si>
    <t>NYRB classics</t>
  </si>
  <si>
    <t>348588443:eng</t>
  </si>
  <si>
    <t>41361541</t>
  </si>
  <si>
    <t>ocm41361541</t>
  </si>
  <si>
    <t>31032151210</t>
  </si>
  <si>
    <t>9780940322271</t>
  </si>
  <si>
    <t>793589928</t>
  </si>
  <si>
    <t>PQ4835 I58 D514</t>
  </si>
  <si>
    <t>0                      PQ 4835000I  58                 D  514</t>
  </si>
  <si>
    <t>Le mépris : roman / Alberto Moravia ; traduit de l'Italien par Claude Poncet.</t>
  </si>
  <si>
    <t>[Place of publication not identified] : Flammarion, ©1955</t>
  </si>
  <si>
    <t>Livre de poche ; 2105</t>
  </si>
  <si>
    <t>348588443:fre</t>
  </si>
  <si>
    <t>17955733</t>
  </si>
  <si>
    <t>ocm17955733</t>
  </si>
  <si>
    <t>3000466501W</t>
  </si>
  <si>
    <t>793008666</t>
  </si>
  <si>
    <t>PQ4835 I58 I55 1986</t>
  </si>
  <si>
    <t>0                      PQ 4835000I  58                 I  55          1986</t>
  </si>
  <si>
    <t>Gli indifferenti / Alberto Moravia.</t>
  </si>
  <si>
    <t>[Milano] : Tascabili Bompiani, 1986, ©1949.</t>
  </si>
  <si>
    <t>13a ed. Tascabili Bompiani.</t>
  </si>
  <si>
    <t>Tascabili Bompiani ; 8</t>
  </si>
  <si>
    <t>49523700:ita</t>
  </si>
  <si>
    <t>19285790</t>
  </si>
  <si>
    <t>ocm19285790</t>
  </si>
  <si>
    <t>3000192403I</t>
  </si>
  <si>
    <t>793052116</t>
  </si>
  <si>
    <t>PQ4835 I58 I5513 1932</t>
  </si>
  <si>
    <t>0                      PQ 4835000I  58                 I  5513        1932</t>
  </si>
  <si>
    <t>The indifferent ones, by Alberto Moravia; translated from the Italian by Aida Mastrangelo.</t>
  </si>
  <si>
    <t>New York, E.P. Dutton &amp; Co. [©1932]</t>
  </si>
  <si>
    <t>1932</t>
  </si>
  <si>
    <t>2018-11-15</t>
  </si>
  <si>
    <t>359466</t>
  </si>
  <si>
    <t>ocm00359466</t>
  </si>
  <si>
    <t>31018395448</t>
  </si>
  <si>
    <t>791350470</t>
  </si>
  <si>
    <t>PQ4835 I58 I553 1992</t>
  </si>
  <si>
    <t>0                      PQ 4835000I  58                 I  553         1992</t>
  </si>
  <si>
    <t>Alberto Moravia e gli indifferenti / Rocco Carbone.</t>
  </si>
  <si>
    <t>Carbone, Rocco, 1962-2008.</t>
  </si>
  <si>
    <t>[Torino] : Loescher editore, ©1992.</t>
  </si>
  <si>
    <t>Il passo del cavallo</t>
  </si>
  <si>
    <t>365307972:ita</t>
  </si>
  <si>
    <t>29921029</t>
  </si>
  <si>
    <t>ocm29921029</t>
  </si>
  <si>
    <t>3101270111S</t>
  </si>
  <si>
    <t>9788820100179</t>
  </si>
  <si>
    <t>793324143</t>
  </si>
  <si>
    <t>PQ4835 I58 I5535x</t>
  </si>
  <si>
    <t>0                      PQ 4835000I  58                 I  5535x</t>
  </si>
  <si>
    <t>Come leggere Gli indifferenti di Alberto Moravia / Marinella Mascia Galateria.</t>
  </si>
  <si>
    <t>Mascia Galateria, Marinella.</t>
  </si>
  <si>
    <t>Milano : Mursia, ©1975.</t>
  </si>
  <si>
    <t>Come leggere ; 4</t>
  </si>
  <si>
    <t>4087475:ita</t>
  </si>
  <si>
    <t>2124054</t>
  </si>
  <si>
    <t>ocm02124054</t>
  </si>
  <si>
    <t>3000183579J</t>
  </si>
  <si>
    <t>792051588</t>
  </si>
  <si>
    <t>PQ4835 I58 M48 1975</t>
  </si>
  <si>
    <t>0                      PQ 4835000I  58                 M  48          1975</t>
  </si>
  <si>
    <t>Un mese in U.R.S.S. ; La rivoluzione culturale in Cina ; Un'idea dell'India / Alberto Moravia.</t>
  </si>
  <si>
    <t>Milano : Bompiani, 1976.</t>
  </si>
  <si>
    <t>His Opere complete ; 14</t>
  </si>
  <si>
    <t>2908481269:ita</t>
  </si>
  <si>
    <t>3185484</t>
  </si>
  <si>
    <t>ocm03185484</t>
  </si>
  <si>
    <t>30004557861</t>
  </si>
  <si>
    <t>792226930</t>
  </si>
  <si>
    <t>PQ4835 I58 N6 1962</t>
  </si>
  <si>
    <t>0                      PQ 4835000I  58                 N  6           1962</t>
  </si>
  <si>
    <t>La noia : romanzo di Moravia [pseud.].</t>
  </si>
  <si>
    <t>[Milano] : [publisher not identified], 1962.</t>
  </si>
  <si>
    <t>Opere complete di Alberto Moravia ; 12</t>
  </si>
  <si>
    <t>8910374988:ita</t>
  </si>
  <si>
    <t>61608997</t>
  </si>
  <si>
    <t>ocm61608997</t>
  </si>
  <si>
    <t>3000770734C</t>
  </si>
  <si>
    <t>794047344</t>
  </si>
  <si>
    <t>PQ4835 I58 N6 1970</t>
  </si>
  <si>
    <t>0                      PQ 4835000I  58                 N  6           1970</t>
  </si>
  <si>
    <t>La noia / Alberto Moravia.</t>
  </si>
  <si>
    <t>Milano : Bompiani, [1970, ©1960]</t>
  </si>
  <si>
    <t>[32d ed.].</t>
  </si>
  <si>
    <t>I delfini : i più famosi libri moderni ; 150</t>
  </si>
  <si>
    <t>33962613:ita</t>
  </si>
  <si>
    <t>427159449</t>
  </si>
  <si>
    <t>ocn427159449</t>
  </si>
  <si>
    <t>30002024737</t>
  </si>
  <si>
    <t>794523268</t>
  </si>
  <si>
    <t>PQ4835 I58 R613 1952</t>
  </si>
  <si>
    <t>0                      PQ 4835000I  58                 R  613         1952</t>
  </si>
  <si>
    <t>The woman of Rome / by Alberto Moravia ; translated from the Italian by Lydia Holland.</t>
  </si>
  <si>
    <t>New York : New American Library, 1952, ©1949.</t>
  </si>
  <si>
    <t>49524632:eng</t>
  </si>
  <si>
    <t>427974752</t>
  </si>
  <si>
    <t>ocn427974752</t>
  </si>
  <si>
    <t>3101165999I</t>
  </si>
  <si>
    <t>794730993</t>
  </si>
  <si>
    <t>PQ4835 I58 S5 1978</t>
  </si>
  <si>
    <t>0                      PQ 4835000I  58                 S  5           1978</t>
  </si>
  <si>
    <t>Il sistema dell'in/differenza : Moravia e il fascismo / Roberto Esposito.</t>
  </si>
  <si>
    <t>Esposito, Roberto, 1950-</t>
  </si>
  <si>
    <t>Bari : Dedalo libri, 1978.</t>
  </si>
  <si>
    <t>Biblioteca Dedalo ; 13</t>
  </si>
  <si>
    <t>891347537:ita</t>
  </si>
  <si>
    <t>4666116</t>
  </si>
  <si>
    <t>ocm04666116</t>
  </si>
  <si>
    <t>3000439686Y</t>
  </si>
  <si>
    <t>792373052</t>
  </si>
  <si>
    <t>PQ4835 I58 V5213 1988</t>
  </si>
  <si>
    <t>0                      PQ 4835000I  58                 V  5213        1988</t>
  </si>
  <si>
    <t>Journey to Rome : a novel / Alberto Moravia ; translated from the Italian by Tim Parks.</t>
  </si>
  <si>
    <t>London : Secker &amp; Warburg, ©1988.</t>
  </si>
  <si>
    <t>62614649:eng</t>
  </si>
  <si>
    <t>427361533</t>
  </si>
  <si>
    <t>ocn427361533</t>
  </si>
  <si>
    <t>3100484718W</t>
  </si>
  <si>
    <t>9780436287220</t>
  </si>
  <si>
    <t>794631404</t>
  </si>
  <si>
    <t>PQ4835 I58 V54</t>
  </si>
  <si>
    <t>0                      PQ 4835000I  58                 V  54</t>
  </si>
  <si>
    <t>La vita interiore / Alberto Moravia.</t>
  </si>
  <si>
    <t>Milano : Bompiani, 1978.</t>
  </si>
  <si>
    <t>Opere complete di Alberto Moravia ; 17</t>
  </si>
  <si>
    <t>2017-03-04</t>
  </si>
  <si>
    <t>49528550:ita</t>
  </si>
  <si>
    <t>4461921</t>
  </si>
  <si>
    <t>ocm04461921</t>
  </si>
  <si>
    <t>3000441872Y</t>
  </si>
  <si>
    <t>792351852</t>
  </si>
  <si>
    <t>PQ4835 I58 Z54 2014</t>
  </si>
  <si>
    <t>0                      PQ 4835000I  58                 Z  54          2014</t>
  </si>
  <si>
    <t>Alberto Moravia tra Italia ed Europa : atti del Convegno internazionale di studi, Perugia, 3 aprile 2014 / a cura di Simone Casini e Nour Melehi ; introduzione di Dacia Maraini.</t>
  </si>
  <si>
    <t>Alberto Moravia tra Italia ed Europa (Conference) (2014 : Perugia, Italy)</t>
  </si>
  <si>
    <t>Quaderni della Rassegna ; 94</t>
  </si>
  <si>
    <t>2598632637:ita</t>
  </si>
  <si>
    <t>913218085</t>
  </si>
  <si>
    <t>ocn913218085</t>
  </si>
  <si>
    <t>3103627824G</t>
  </si>
  <si>
    <t>9788876675294</t>
  </si>
  <si>
    <t>794999249</t>
  </si>
  <si>
    <t>PQ4835 I58 Z59 2017</t>
  </si>
  <si>
    <t>0                      PQ 4835000I  58                 Z  59          2017</t>
  </si>
  <si>
    <t>L'universo immaginario di Alberto Moravia : un paradigma / Nicola D'Antuono.</t>
  </si>
  <si>
    <t>D'Antuono, Nicola, author.</t>
  </si>
  <si>
    <t>Lanciano : Carabba editore, [2017]</t>
  </si>
  <si>
    <t>Civiltà letteraria d'Europa</t>
  </si>
  <si>
    <t>5027134043:ita</t>
  </si>
  <si>
    <t>1032290535</t>
  </si>
  <si>
    <t>on1032290535</t>
  </si>
  <si>
    <t>3103721204W</t>
  </si>
  <si>
    <t>9788863445305</t>
  </si>
  <si>
    <t>795055974</t>
  </si>
  <si>
    <t>PQ4835 I58 Z92x 1977</t>
  </si>
  <si>
    <t>0                      PQ 4835000I  58                 Z  92x         1977</t>
  </si>
  <si>
    <t>Alberto Moravia : introduzione e guida allo studio dell'opera moraviana : storia e antologia della critica / Roberto Tessari.</t>
  </si>
  <si>
    <t>Firenze : Le Monnier, 1977.</t>
  </si>
  <si>
    <t>Profili letterari</t>
  </si>
  <si>
    <t>5526624:ita</t>
  </si>
  <si>
    <t>5047083</t>
  </si>
  <si>
    <t>ocm05047083</t>
  </si>
  <si>
    <t>3000445368P</t>
  </si>
  <si>
    <t>792403906</t>
  </si>
  <si>
    <t>PQ4835 I58 2000</t>
  </si>
  <si>
    <t>0                      PQ 4835000I  58          2000</t>
  </si>
  <si>
    <t>Opere : romanzi e racconti / Alberto Moravia ; edizione diretta da Enzo Siciliano.</t>
  </si>
  <si>
    <t>v.3:t.1</t>
  </si>
  <si>
    <t>Milano : Bompiani, 2000-&lt;2007&gt;</t>
  </si>
  <si>
    <t>1. ed. Classici in brosura.</t>
  </si>
  <si>
    <t>Classici Bompiani</t>
  </si>
  <si>
    <t>3770423279:ita</t>
  </si>
  <si>
    <t>53398251</t>
  </si>
  <si>
    <t>ocm53398251</t>
  </si>
  <si>
    <t>31025077393</t>
  </si>
  <si>
    <t>9788845244148</t>
  </si>
  <si>
    <t>793828040</t>
  </si>
  <si>
    <t>2009-06-01</t>
  </si>
  <si>
    <t>3102894680J</t>
  </si>
  <si>
    <t>793828042</t>
  </si>
  <si>
    <t>v.3:t.2</t>
  </si>
  <si>
    <t>2009-09-23</t>
  </si>
  <si>
    <t>31025077343</t>
  </si>
  <si>
    <t>793828039</t>
  </si>
  <si>
    <t>2011-07-30</t>
  </si>
  <si>
    <t>3102200456H</t>
  </si>
  <si>
    <t>793828041</t>
  </si>
  <si>
    <t>3102861820F</t>
  </si>
  <si>
    <t>793828038</t>
  </si>
  <si>
    <t>PQ4835 I59 A15 1976</t>
  </si>
  <si>
    <t>0                      PQ 4835000I  59                 A  15          1976</t>
  </si>
  <si>
    <t>Opere narrative / Guido Piovene ; a cura di Clelia Martignoni.</t>
  </si>
  <si>
    <t>Piovene, Guido, 1907-1974.</t>
  </si>
  <si>
    <t>47855781:ita</t>
  </si>
  <si>
    <t>3002597</t>
  </si>
  <si>
    <t>ocm03002597</t>
  </si>
  <si>
    <t>3100841064R</t>
  </si>
  <si>
    <t>9788804131786</t>
  </si>
  <si>
    <t>792205067</t>
  </si>
  <si>
    <t>3000463856A</t>
  </si>
  <si>
    <t>792205068</t>
  </si>
  <si>
    <t>PQ4835 I59 B54 2010</t>
  </si>
  <si>
    <t>0                      PQ 4835000I  59                 B  54          2010</t>
  </si>
  <si>
    <t>Biglietti del mattino / Guido Piovene ; a cura di Sandro Gerbi ; prefazione di Enzo Bettiza.</t>
  </si>
  <si>
    <t>891812183:ita</t>
  </si>
  <si>
    <t>649311839</t>
  </si>
  <si>
    <t>ocn649311839</t>
  </si>
  <si>
    <t>3103125177S</t>
  </si>
  <si>
    <t>9788884194398</t>
  </si>
  <si>
    <t>794831667</t>
  </si>
  <si>
    <t>PQ4835 I59 Z619 2011</t>
  </si>
  <si>
    <t>0                      PQ 4835000I  59                 Z  619         2011</t>
  </si>
  <si>
    <t>L'ombra di Piovene / Franco Cordelli.</t>
  </si>
  <si>
    <t>Cordelli, Franco, 1943-</t>
  </si>
  <si>
    <t>La nuova meridiana ; 71</t>
  </si>
  <si>
    <t>1039373969:ita</t>
  </si>
  <si>
    <t>759152662</t>
  </si>
  <si>
    <t>ocn759152662</t>
  </si>
  <si>
    <t>3103125611P</t>
  </si>
  <si>
    <t>9788860874924</t>
  </si>
  <si>
    <t>794897030</t>
  </si>
  <si>
    <t>PQ4835 I59 Z64 2012</t>
  </si>
  <si>
    <t>0                      PQ 4835000I  59                 Z  64          2012</t>
  </si>
  <si>
    <t>L'ultimo Piovene, o, L'utopia della felicità / Francesca Fistetti.</t>
  </si>
  <si>
    <t>Fistetti, Francesca.</t>
  </si>
  <si>
    <t>Imola (Bo) [i.e. Bologna, Italy] : La mandragora, ©2012.</t>
  </si>
  <si>
    <t>Autografi ; 12</t>
  </si>
  <si>
    <t>1356212002:ita</t>
  </si>
  <si>
    <t>846459279</t>
  </si>
  <si>
    <t>ocn846459279</t>
  </si>
  <si>
    <t>3103126278L</t>
  </si>
  <si>
    <t>9788875863401</t>
  </si>
  <si>
    <t>794949067</t>
  </si>
  <si>
    <t>PQ4835 I7 A15 1971</t>
  </si>
  <si>
    <t>0                      PQ 4835000I  7                  A  15          1971</t>
  </si>
  <si>
    <t>Novelle. (Sunti-commento, analisi dei personaggi, curiosità pirandelliane). A cura di Paola Poletto.</t>
  </si>
  <si>
    <t>Pirandello, Luigi, 1867-1936.</t>
  </si>
  <si>
    <t>Roma, Le muse, 1971.</t>
  </si>
  <si>
    <t>Collana Piccole muse, 19</t>
  </si>
  <si>
    <t>5616016991:ita</t>
  </si>
  <si>
    <t>6156443</t>
  </si>
  <si>
    <t>ocm06156443</t>
  </si>
  <si>
    <t>3000622288$</t>
  </si>
  <si>
    <t>792479312</t>
  </si>
  <si>
    <t>PQ4835 I7 A15 1973</t>
  </si>
  <si>
    <t>0                      PQ 4835000I  7                  A  15          1973</t>
  </si>
  <si>
    <t>Tutti i romanzi / Luigi Pirandello ; a cura di Giovanni Macchia ; con la collaborazione di Mario Costanzo ; introduzione di Giovanni Macchia.</t>
  </si>
  <si>
    <t>Milano : A. Mondadori, 1973.</t>
  </si>
  <si>
    <t>Opere di Luigi Pirandello</t>
  </si>
  <si>
    <t>292150700:ita</t>
  </si>
  <si>
    <t>1034787</t>
  </si>
  <si>
    <t>ocm01034787</t>
  </si>
  <si>
    <t>3000246023V</t>
  </si>
  <si>
    <t>9788804102311</t>
  </si>
  <si>
    <t>791530057</t>
  </si>
  <si>
    <t>2015-04-11</t>
  </si>
  <si>
    <t>3100255624V</t>
  </si>
  <si>
    <t>791530058</t>
  </si>
  <si>
    <t>2009-04-16</t>
  </si>
  <si>
    <t>3100144410V</t>
  </si>
  <si>
    <t>791530056</t>
  </si>
  <si>
    <t>3000522146Q</t>
  </si>
  <si>
    <t>791530059</t>
  </si>
  <si>
    <t>PQ4835 I7 A15 1985</t>
  </si>
  <si>
    <t>0                      PQ 4835000I  7                  A  15          1985</t>
  </si>
  <si>
    <t>Novelle per un anno / Luigi Pirandello ; a cura di Mario Costanzo ; premessa di Giovanni Macchia.</t>
  </si>
  <si>
    <t>v.2;t.2</t>
  </si>
  <si>
    <t>Milano : A. Mondadori, 1985-</t>
  </si>
  <si>
    <t>1a. ed.</t>
  </si>
  <si>
    <t>2013-11-13</t>
  </si>
  <si>
    <t>4820391086:ita</t>
  </si>
  <si>
    <t>14447386</t>
  </si>
  <si>
    <t>ocm14447386</t>
  </si>
  <si>
    <t>3101315909O</t>
  </si>
  <si>
    <t>792890933</t>
  </si>
  <si>
    <t>3101315908Q</t>
  </si>
  <si>
    <t>792890935</t>
  </si>
  <si>
    <t>v.3;t.1</t>
  </si>
  <si>
    <t>31012147089</t>
  </si>
  <si>
    <t>792890932</t>
  </si>
  <si>
    <t>v.2;t.1</t>
  </si>
  <si>
    <t>3101315893D</t>
  </si>
  <si>
    <t>792890934</t>
  </si>
  <si>
    <t>v.3;t.2</t>
  </si>
  <si>
    <t>3101214707B</t>
  </si>
  <si>
    <t>792890931</t>
  </si>
  <si>
    <t>3101315913X</t>
  </si>
  <si>
    <t>792890936</t>
  </si>
  <si>
    <t>PQ4835 I7 A15 1994</t>
  </si>
  <si>
    <t>0                      PQ 4835000I  7                  A  15          1994</t>
  </si>
  <si>
    <t>Novelle per un anno / Luigi Pirandello ; a cura e con un saggio di Pietro Gibellini.</t>
  </si>
  <si>
    <t>Firenze : Giunti, ©1994.</t>
  </si>
  <si>
    <t>Classici Giunti</t>
  </si>
  <si>
    <t>32153972</t>
  </si>
  <si>
    <t>ocm32153972</t>
  </si>
  <si>
    <t>31014874100</t>
  </si>
  <si>
    <t>9788809203785</t>
  </si>
  <si>
    <t>793376908</t>
  </si>
  <si>
    <t>3101487413V</t>
  </si>
  <si>
    <t>793376910</t>
  </si>
  <si>
    <t>3101487417N</t>
  </si>
  <si>
    <t>793376909</t>
  </si>
  <si>
    <t>PQ4835 I7 A19 1987</t>
  </si>
  <si>
    <t>0                      PQ 4835000I  7                  A  19          1987</t>
  </si>
  <si>
    <t>Collected plays / Luigi Pirandello ; general editor, Robert Rietty.</t>
  </si>
  <si>
    <t>London : J. Calder ; New York : Riverrun Press, 1987-</t>
  </si>
  <si>
    <t>A Calderbook ; CB432</t>
  </si>
  <si>
    <t>2011-03-04</t>
  </si>
  <si>
    <t>2017-07-14</t>
  </si>
  <si>
    <t>3132449836:eng</t>
  </si>
  <si>
    <t>16511730</t>
  </si>
  <si>
    <t>ocm16511730</t>
  </si>
  <si>
    <t>31004851841</t>
  </si>
  <si>
    <t>9780714541105</t>
  </si>
  <si>
    <t>792964305</t>
  </si>
  <si>
    <t>2011-03-07</t>
  </si>
  <si>
    <t>31004851566</t>
  </si>
  <si>
    <t>792964302</t>
  </si>
  <si>
    <t>30005252653</t>
  </si>
  <si>
    <t>792964306</t>
  </si>
  <si>
    <t>3101381028Y</t>
  </si>
  <si>
    <t>792964304</t>
  </si>
  <si>
    <t>2001-12-13</t>
  </si>
  <si>
    <t>3101706008Z</t>
  </si>
  <si>
    <t>792964303</t>
  </si>
  <si>
    <t>PQ4835 I7 A19 1994</t>
  </si>
  <si>
    <t>0                      PQ 4835000I  7                  A  19          1994</t>
  </si>
  <si>
    <t>Maschere nude / Luigi Pirandello ; a cura di Alessandro d'Amico ; premessa di Giovanni Macchia.</t>
  </si>
  <si>
    <t>Milano : A. Mondadori, 1989, ©1986-</t>
  </si>
  <si>
    <t>2. ed. I Meridiani.</t>
  </si>
  <si>
    <t>529160:ita</t>
  </si>
  <si>
    <t>21378742</t>
  </si>
  <si>
    <t>ocm21378742</t>
  </si>
  <si>
    <t>31013165501</t>
  </si>
  <si>
    <t>9788804244813</t>
  </si>
  <si>
    <t>793117348</t>
  </si>
  <si>
    <t>3101316549N</t>
  </si>
  <si>
    <t>793117349</t>
  </si>
  <si>
    <t>PQ4835 I7 A2 1934</t>
  </si>
  <si>
    <t>0                      PQ 4835000I  7                  A  2           1934</t>
  </si>
  <si>
    <t>The naked truth and eleven other stories / by Luigi Pirandello ; translated by Arthur and Henrie Mayne.</t>
  </si>
  <si>
    <t>New York : E.P. Dutton &amp; Co., Inc., ©1934.</t>
  </si>
  <si>
    <t>2017-02-07</t>
  </si>
  <si>
    <t>4820391086:eng</t>
  </si>
  <si>
    <t>534716</t>
  </si>
  <si>
    <t>ocm00534716</t>
  </si>
  <si>
    <t>31031176848</t>
  </si>
  <si>
    <t>791406495</t>
  </si>
  <si>
    <t>PQ4835 I7 A277 2011</t>
  </si>
  <si>
    <t>0                      PQ 4835000I  7                  A  277         2011</t>
  </si>
  <si>
    <t>Pirandello's theatre of living masks : new translations of six major plays / by Umberto Mariani and Alice Gladstone Mariani.</t>
  </si>
  <si>
    <t>2013-07-03</t>
  </si>
  <si>
    <t>830571153:eng</t>
  </si>
  <si>
    <t>707818123</t>
  </si>
  <si>
    <t>ocn707818123</t>
  </si>
  <si>
    <t>3103325706C</t>
  </si>
  <si>
    <t>9781442642119</t>
  </si>
  <si>
    <t>794868113</t>
  </si>
  <si>
    <t>PQ4835 I7 A6 1964</t>
  </si>
  <si>
    <t>0                      PQ 4835000I  7                  A  6           1964</t>
  </si>
  <si>
    <t>Novelle; scelta, introd. e commento di Giuseppe Morpurgo.</t>
  </si>
  <si>
    <t>[Milano?] [A. Mondadori], [1964]</t>
  </si>
  <si>
    <t>Edizioni scholastiche Mondadori</t>
  </si>
  <si>
    <t>4927217160:ita</t>
  </si>
  <si>
    <t>12142886</t>
  </si>
  <si>
    <t>ocm12142886</t>
  </si>
  <si>
    <t>3000770769U</t>
  </si>
  <si>
    <t>792803506</t>
  </si>
  <si>
    <t>PQ4835 I7 A6 1965</t>
  </si>
  <si>
    <t>0                      PQ 4835000I  7                  A  6           1965</t>
  </si>
  <si>
    <t>Saggi, poesie, scritti varii. Acura di Manlio Lo Vecchio-Musti.</t>
  </si>
  <si>
    <t>[Milano] A. Mondadori [1965]</t>
  </si>
  <si>
    <t>His opere, 6</t>
  </si>
  <si>
    <t>9565681939:ita</t>
  </si>
  <si>
    <t>666367</t>
  </si>
  <si>
    <t>ocm00666367</t>
  </si>
  <si>
    <t>3103772899A</t>
  </si>
  <si>
    <t>791441306</t>
  </si>
  <si>
    <t>PQ4835 I7 A6 1975</t>
  </si>
  <si>
    <t>0                      PQ 4835000I  7                  A  6           1975</t>
  </si>
  <si>
    <t>Lontano e altre novelle / [di] L. Pirandello.</t>
  </si>
  <si>
    <t>Milano : Emme, 1975.</t>
  </si>
  <si>
    <t>I Pomeriggi ; 9</t>
  </si>
  <si>
    <t>2564938371:ita</t>
  </si>
  <si>
    <t>3274193</t>
  </si>
  <si>
    <t>ocm03274193</t>
  </si>
  <si>
    <t>30004226748</t>
  </si>
  <si>
    <t>792237737</t>
  </si>
  <si>
    <t>PQ4835 I7 A6 2014</t>
  </si>
  <si>
    <t>0                      PQ 4835000I  7                  A  6           2014</t>
  </si>
  <si>
    <t>Three plays / Luigi Pirandello ; translated with an introduction and notes by Anthony Mortimer.</t>
  </si>
  <si>
    <t>Pirandello, Luigi, 1867-1936, author.</t>
  </si>
  <si>
    <t>Oxford : Oxford University Press, 2014.</t>
  </si>
  <si>
    <t>1141373:eng</t>
  </si>
  <si>
    <t>869791755</t>
  </si>
  <si>
    <t>ocn869791755</t>
  </si>
  <si>
    <t>3103612277D</t>
  </si>
  <si>
    <t>9780199641192</t>
  </si>
  <si>
    <t>794965844</t>
  </si>
  <si>
    <t>PQ4835 I7 A75 1999</t>
  </si>
  <si>
    <t>0                      PQ 4835000I  7                  A  75          1999</t>
  </si>
  <si>
    <t>Pirandello / Romano Luperini.</t>
  </si>
  <si>
    <t>Roma : Laterza, ©1999.</t>
  </si>
  <si>
    <t>Scrittori italiani</t>
  </si>
  <si>
    <t>27590208:ita</t>
  </si>
  <si>
    <t>42755520</t>
  </si>
  <si>
    <t>ocm42755520</t>
  </si>
  <si>
    <t>3102019903T</t>
  </si>
  <si>
    <t>9788842058939</t>
  </si>
  <si>
    <t>793613602</t>
  </si>
  <si>
    <t>PQ4835 I7 B4713 2000</t>
  </si>
  <si>
    <t>0                      PQ 4835000I  7                  B  4713        2000</t>
  </si>
  <si>
    <t>Berecche and the war / Luigi Pirandello ; introduced and translated by Julie Dashwood.</t>
  </si>
  <si>
    <t>Market Harborough : Troubador Pub., ©2000.</t>
  </si>
  <si>
    <t>2019-02-26</t>
  </si>
  <si>
    <t>2909053023:eng</t>
  </si>
  <si>
    <t>47874124</t>
  </si>
  <si>
    <t>ocm47874124</t>
  </si>
  <si>
    <t>31021296397</t>
  </si>
  <si>
    <t>9781899293025</t>
  </si>
  <si>
    <t>793709957</t>
  </si>
  <si>
    <t>PQ4835 I7 C43 1938</t>
  </si>
  <si>
    <t>0                      PQ 4835000I  7                  C  43          1938</t>
  </si>
  <si>
    <t>A character in distress, by Luigi Pirandello.</t>
  </si>
  <si>
    <t>London, Duckworth [1938]</t>
  </si>
  <si>
    <t>2015-01-26</t>
  </si>
  <si>
    <t>376787481:eng</t>
  </si>
  <si>
    <t>11209680</t>
  </si>
  <si>
    <t>ocm11209680</t>
  </si>
  <si>
    <t>3103577686S</t>
  </si>
  <si>
    <t>792763028</t>
  </si>
  <si>
    <t>PQ4835 I7 C663</t>
  </si>
  <si>
    <t>0                      PQ 4835000I  7                  C  663</t>
  </si>
  <si>
    <t>Chacun sa vérité, Pirandello: analyse critique.</t>
  </si>
  <si>
    <t>Bosetti, Gilbert.</t>
  </si>
  <si>
    <t>Paris, Hatier [1970]</t>
  </si>
  <si>
    <t>Profil d'une œuvre ; 14</t>
  </si>
  <si>
    <t>2018-02-05</t>
  </si>
  <si>
    <t>9566132583:eng</t>
  </si>
  <si>
    <t>1610586</t>
  </si>
  <si>
    <t>ocm01610586</t>
  </si>
  <si>
    <t>3103636159O</t>
  </si>
  <si>
    <t>791791573</t>
  </si>
  <si>
    <t>PQ4835 I7 E7 1992</t>
  </si>
  <si>
    <t>0                      PQ 4835000I  7                  E  7           1992</t>
  </si>
  <si>
    <t>L'esclusa / Luigi Pirandello ; introduzione e bibliografia de Marziano Guglielminetti ; cronologia di Simona Costa ; note e appendice di Laura Nay.</t>
  </si>
  <si>
    <t>Milano : Mondadori, 1992.</t>
  </si>
  <si>
    <t>1. ed. Oscar Tutte le opere di Pirandello.</t>
  </si>
  <si>
    <t>Tutte le opere di Luigi Pirandello</t>
  </si>
  <si>
    <t>2016-07-02</t>
  </si>
  <si>
    <t>2156722:ita</t>
  </si>
  <si>
    <t>28456813</t>
  </si>
  <si>
    <t>ocm28456813</t>
  </si>
  <si>
    <t>3101546917P</t>
  </si>
  <si>
    <t>9788804365495</t>
  </si>
  <si>
    <t>793288652</t>
  </si>
  <si>
    <t>PQ4835 I7 F8 1971</t>
  </si>
  <si>
    <t>0                      PQ 4835000I  7                  F  8           1971</t>
  </si>
  <si>
    <t>Il fu Mattia Pascal. (Sunti-commento, analisi dei personaggi curiosità pirandelliane) / A cura di Paola Poletto.</t>
  </si>
  <si>
    <t>Roma : Casa Editrice "Le Muse", [1971]</t>
  </si>
  <si>
    <t>Collana "Piccole muse", 20</t>
  </si>
  <si>
    <t>5576995672:ita</t>
  </si>
  <si>
    <t>61591368</t>
  </si>
  <si>
    <t>ocm61591368</t>
  </si>
  <si>
    <t>3000622280F</t>
  </si>
  <si>
    <t>794030376</t>
  </si>
  <si>
    <t>PQ4835 I7 F8 1993</t>
  </si>
  <si>
    <t>0                      PQ 4835000I  7                  F  8           1993</t>
  </si>
  <si>
    <t>Luigi Pirandello e Il fu Mattia Pascal / Romano Luperini.</t>
  </si>
  <si>
    <t>[Turin, Italy] : Loescher editore, ©1990</t>
  </si>
  <si>
    <t>2019-04-04</t>
  </si>
  <si>
    <t>34102231:ita</t>
  </si>
  <si>
    <t>31776438</t>
  </si>
  <si>
    <t>ocm31776438</t>
  </si>
  <si>
    <t>31014418020</t>
  </si>
  <si>
    <t>9788820117610</t>
  </si>
  <si>
    <t>793367774</t>
  </si>
  <si>
    <t>PQ4835 I7 F814 1963</t>
  </si>
  <si>
    <t>0                      PQ 4835000I  7                  F  814         1963</t>
  </si>
  <si>
    <t>Feu Mathias Pascal / Luigi Pirandello ; illustrations originales de Lila de Nobili ; [traduction de Henry Bigot].</t>
  </si>
  <si>
    <t>[Paris] : Rombaldi, 1963 printing.</t>
  </si>
  <si>
    <t>Collection des Prix Nobel de littérature ; 1934</t>
  </si>
  <si>
    <t>2016-11-24</t>
  </si>
  <si>
    <t>4820351582:fre</t>
  </si>
  <si>
    <t>61580246</t>
  </si>
  <si>
    <t>ocm61580246</t>
  </si>
  <si>
    <t>30005295585</t>
  </si>
  <si>
    <t>794016187</t>
  </si>
  <si>
    <t>PQ4835 I7 F83 1987</t>
  </si>
  <si>
    <t>0                      PQ 4835000I  7                  F  83          1987</t>
  </si>
  <si>
    <t>The late Mattia Pascal / Luigi Pirandello ; translated from the Italian with an introduction and chronology by Nicoletta Simborowski.</t>
  </si>
  <si>
    <t>Dedalus European classics</t>
  </si>
  <si>
    <t>4820351582:eng</t>
  </si>
  <si>
    <t>60063246</t>
  </si>
  <si>
    <t>ocm60063246</t>
  </si>
  <si>
    <t>3000525636V</t>
  </si>
  <si>
    <t>9780946626175</t>
  </si>
  <si>
    <t>793933516</t>
  </si>
  <si>
    <t>PQ4835 I7 F833</t>
  </si>
  <si>
    <t>0                      PQ 4835000I  7                  F  833</t>
  </si>
  <si>
    <t>L'occhio di Mattia Pascal : poetica e estetica in Pirandello / Edoardo Ferrario.</t>
  </si>
  <si>
    <t>Ferrario, Edoardo, 1946-</t>
  </si>
  <si>
    <t>Roma : Bulzoni, [1978]</t>
  </si>
  <si>
    <t>Strumenti di ricerca ; 21</t>
  </si>
  <si>
    <t>364307907:ita</t>
  </si>
  <si>
    <t>4569067</t>
  </si>
  <si>
    <t>ocm04569067</t>
  </si>
  <si>
    <t>3000466184I</t>
  </si>
  <si>
    <t>792363443</t>
  </si>
  <si>
    <t>PQ4835 I7 F83337 2007</t>
  </si>
  <si>
    <t>0                      PQ 4835000I  7                  F  83337       2007</t>
  </si>
  <si>
    <t>Pirandello e il suo Cristo : segni e indizi del "Fu Mattia Pascal" / Paolo Jachia ; prefazione di Gian Paolo Caprettini ; postfazione di Graziella Corsinovi.</t>
  </si>
  <si>
    <t>Jachia, Paolo.</t>
  </si>
  <si>
    <t>Milano : Àncora, ©2007.</t>
  </si>
  <si>
    <t>Maestri di frontiera</t>
  </si>
  <si>
    <t>464340922:ita</t>
  </si>
  <si>
    <t>156956954</t>
  </si>
  <si>
    <t>ocn156956954</t>
  </si>
  <si>
    <t>31026710289</t>
  </si>
  <si>
    <t>9788851404628</t>
  </si>
  <si>
    <t>794256127</t>
  </si>
  <si>
    <t>PQ4835 I7 F834</t>
  </si>
  <si>
    <t>0                      PQ 4835000I  7                  F  834</t>
  </si>
  <si>
    <t>Come leggere Il fu Mattia Pascal di Luigi Pirandello / Enzo Lauretta.</t>
  </si>
  <si>
    <t>Lauretta, Enzo.</t>
  </si>
  <si>
    <t>Milano : Mursia, 1976.</t>
  </si>
  <si>
    <t>Come leggere ; 8</t>
  </si>
  <si>
    <t>13183582:ita</t>
  </si>
  <si>
    <t>3913777</t>
  </si>
  <si>
    <t>ocm03913777</t>
  </si>
  <si>
    <t>3000433036T</t>
  </si>
  <si>
    <t>792304557</t>
  </si>
  <si>
    <t>PQ4835 I7 F8355 2005</t>
  </si>
  <si>
    <t>0                      PQ 4835000I  7                  F  8355        2005</t>
  </si>
  <si>
    <t>Magia di un romanzo : Il fu Mattia Pascal prima e dopo : atti del convegno internazionale, Princeton, 5-6 novembre 2004 / a cura di Pietro Frassica.</t>
  </si>
  <si>
    <t>Novara : Interlinea, ©2005.</t>
  </si>
  <si>
    <t>Biblioteca del Centro novarese di studi letterari ; 37</t>
  </si>
  <si>
    <t>892253287:ita</t>
  </si>
  <si>
    <t>64219934</t>
  </si>
  <si>
    <t>ocm64219934</t>
  </si>
  <si>
    <t>31026748544</t>
  </si>
  <si>
    <t>9788882125189</t>
  </si>
  <si>
    <t>794126515</t>
  </si>
  <si>
    <t>PQ4835 I7 F837 1991</t>
  </si>
  <si>
    <t>0                      PQ 4835000I  7                  F  837         1991</t>
  </si>
  <si>
    <t>Pirandello and the vagaries of knowledge : a reading of Il fu Mattia Pascal / Donatella Stocchi-Perucchio.</t>
  </si>
  <si>
    <t>Stocchi-Perucchio, Donatella.</t>
  </si>
  <si>
    <t>Saratoga, Calif. : ANMA Libri, 1991.</t>
  </si>
  <si>
    <t>Stanford French and Italian studies ; v. 64</t>
  </si>
  <si>
    <t>27678949:eng</t>
  </si>
  <si>
    <t>25454635</t>
  </si>
  <si>
    <t>ocm25454635</t>
  </si>
  <si>
    <t>31009628923</t>
  </si>
  <si>
    <t>9780915838820</t>
  </si>
  <si>
    <t>793222518</t>
  </si>
  <si>
    <t>PQ4835 I7 F913</t>
  </si>
  <si>
    <t>0                      PQ 4835000I  7                  F  913</t>
  </si>
  <si>
    <t>The late Mattia Pascal : (Il Fu Mattia Pascal) / by Luigi Pirandello ; translated from the Italian by Arthur Livingston.</t>
  </si>
  <si>
    <t>New York, E.P. Dutton &amp; Company, [1923]</t>
  </si>
  <si>
    <t>2016-01-10</t>
  </si>
  <si>
    <t>1823941</t>
  </si>
  <si>
    <t>ocm01823941</t>
  </si>
  <si>
    <t>3100997608K</t>
  </si>
  <si>
    <t>791994614</t>
  </si>
  <si>
    <t>PQ4835 I7 I35 1988</t>
  </si>
  <si>
    <t>0                      PQ 4835000I  7                  I  35          1988</t>
  </si>
  <si>
    <t>Il fu Mattia Pascal / Luigi Pirandello.</t>
  </si>
  <si>
    <t>Milano : Arnoldo Mondadori Editore, 1988.</t>
  </si>
  <si>
    <t>I edizione Oscar classici moderni.</t>
  </si>
  <si>
    <t>Oscar classici moderni ; 1</t>
  </si>
  <si>
    <t>4820351582:ita</t>
  </si>
  <si>
    <t>22431566</t>
  </si>
  <si>
    <t>ocm22431566</t>
  </si>
  <si>
    <t>3103032222B</t>
  </si>
  <si>
    <t>9788804307662</t>
  </si>
  <si>
    <t>793143887</t>
  </si>
  <si>
    <t>PQ4835 I7 L8 1968</t>
  </si>
  <si>
    <t>0                      PQ 4835000I  7                  L  8           1968</t>
  </si>
  <si>
    <t>Lumie di Sicilia e altre novelle.</t>
  </si>
  <si>
    <t>Verona : Mondadori, 1968.</t>
  </si>
  <si>
    <t>2.</t>
  </si>
  <si>
    <t>Collana narrativa moderna ; 28</t>
  </si>
  <si>
    <t>2564897084:und</t>
  </si>
  <si>
    <t>614107961</t>
  </si>
  <si>
    <t>ocn614107961</t>
  </si>
  <si>
    <t>30006222774</t>
  </si>
  <si>
    <t>794822456</t>
  </si>
  <si>
    <t>PQ4835 I7 N623 1984</t>
  </si>
  <si>
    <t>0                      PQ 4835000I  7                  N  623         1984</t>
  </si>
  <si>
    <t>Tales of madness : a selection from Luigi Pirandello's Short stories for a year / translated from the Italian and with an introduction by Giovanni R. Bussino.</t>
  </si>
  <si>
    <t>Brookline Village, MA : Dante University of America Press, ©1984.</t>
  </si>
  <si>
    <t>10430509</t>
  </si>
  <si>
    <t>ocm10430509</t>
  </si>
  <si>
    <t>3000469933P</t>
  </si>
  <si>
    <t>9780937832264</t>
  </si>
  <si>
    <t>792726007</t>
  </si>
  <si>
    <t>PQ4835 I7 S4 1954</t>
  </si>
  <si>
    <t>0                      PQ 4835000I  7                  S  4           1954</t>
  </si>
  <si>
    <t>Sei personaggi in cerca d'autore.</t>
  </si>
  <si>
    <t>[Milano] : [publisher not identified], 1954.</t>
  </si>
  <si>
    <t>528732:ita</t>
  </si>
  <si>
    <t>427310526</t>
  </si>
  <si>
    <t>ocn427310526</t>
  </si>
  <si>
    <t>30005245096</t>
  </si>
  <si>
    <t>794580869</t>
  </si>
  <si>
    <t>PQ4835 I7 S4 2007</t>
  </si>
  <si>
    <t>0                      PQ 4835000I  7                  S  4           2007</t>
  </si>
  <si>
    <t>Sei personaggi in cerca d'autore / Luigi Pirandello ; a cura di/ edited by Annamaria Cascetta.</t>
  </si>
  <si>
    <t>Pisa : ETS, 2007.</t>
  </si>
  <si>
    <t>Canone teatrale europeo = Canon of Europeandrama ; 1</t>
  </si>
  <si>
    <t>180014322</t>
  </si>
  <si>
    <t>ocn180014322</t>
  </si>
  <si>
    <t>3102861553I</t>
  </si>
  <si>
    <t>9788846718181</t>
  </si>
  <si>
    <t>794279434</t>
  </si>
  <si>
    <t>PQ4835 I7 S413 1954</t>
  </si>
  <si>
    <t>0                      PQ 4835000I  7                  S  413         1954</t>
  </si>
  <si>
    <t>Six characters in search of an author / by Luigi Pirandello ; translated by Frederick May.</t>
  </si>
  <si>
    <t>London : Heinemann, 1954.</t>
  </si>
  <si>
    <t>The Drama library</t>
  </si>
  <si>
    <t>528732:eng</t>
  </si>
  <si>
    <t>4380105</t>
  </si>
  <si>
    <t>ocm04380105</t>
  </si>
  <si>
    <t>3103286501R</t>
  </si>
  <si>
    <t>792345254</t>
  </si>
  <si>
    <t>PQ4835 I7 S413 1995</t>
  </si>
  <si>
    <t>0                      PQ 4835000I  7                  S  413         1995</t>
  </si>
  <si>
    <t>Six characters in search of an author and other plays / Luigi Pirandello ; [translated by Mark Musa].</t>
  </si>
  <si>
    <t>London ; New York : Penguin Books, 1995.</t>
  </si>
  <si>
    <t>Penguin twentieth-century classics</t>
  </si>
  <si>
    <t>4458767645:eng</t>
  </si>
  <si>
    <t>35001981</t>
  </si>
  <si>
    <t>ocm35001981</t>
  </si>
  <si>
    <t>31023867974</t>
  </si>
  <si>
    <t>9780140189223</t>
  </si>
  <si>
    <t>793440956</t>
  </si>
  <si>
    <t>PQ4835 I7 S413 2003</t>
  </si>
  <si>
    <t>0                      PQ 4835000I  7                  S  413         2003</t>
  </si>
  <si>
    <t>Six characters in search of an author / by Luigi Pirandello ; translated and introduced by Stephen Mulrine.</t>
  </si>
  <si>
    <t>London : Nick Hern Books, 2003.</t>
  </si>
  <si>
    <t>52916678</t>
  </si>
  <si>
    <t>ocm52916678</t>
  </si>
  <si>
    <t>3102445229E</t>
  </si>
  <si>
    <t>9781854590893</t>
  </si>
  <si>
    <t>793817174</t>
  </si>
  <si>
    <t>PQ4835 I7 S413 2004</t>
  </si>
  <si>
    <t>0                      PQ 4835000I  7                  S  413         2004</t>
  </si>
  <si>
    <t>Six characters in search of an author / Luigi Pirandello ; translated by John Linstrum ; with commentary and notes by Joseph Farrell.</t>
  </si>
  <si>
    <t>London : Methuen Drama, 2004.</t>
  </si>
  <si>
    <t>Methuen student edition</t>
  </si>
  <si>
    <t>53871073</t>
  </si>
  <si>
    <t>ocm53871073</t>
  </si>
  <si>
    <t>3102433141Q</t>
  </si>
  <si>
    <t>9780413772688</t>
  </si>
  <si>
    <t>793851953</t>
  </si>
  <si>
    <t>PQ4835.I7 S4348 2005</t>
  </si>
  <si>
    <t>0                      PQ 4835000I  7                  S  4348        2005</t>
  </si>
  <si>
    <t>Pirandello : Six characters in search of an author / Jennifer Lorch.</t>
  </si>
  <si>
    <t>Lorch, Jennifer.</t>
  </si>
  <si>
    <t>Cambridge, U.K. ; New York : Cambridge University Press, 2005.</t>
  </si>
  <si>
    <t>Plays in production</t>
  </si>
  <si>
    <t>3858017141:eng</t>
  </si>
  <si>
    <t>54852903</t>
  </si>
  <si>
    <t>ocm54852903</t>
  </si>
  <si>
    <t>3102463564W</t>
  </si>
  <si>
    <t>9780521641517</t>
  </si>
  <si>
    <t>793869264</t>
  </si>
  <si>
    <t>PQ4835 I7 S4813 2005</t>
  </si>
  <si>
    <t>0                      PQ 4835000I  7                  S  4813        2005</t>
  </si>
  <si>
    <t>Shoot! : the notebooks of Serafino Gubbio, cinematograph operator / Luigi Pirandello ; translated by C.K. Scott Moncrieff.</t>
  </si>
  <si>
    <t>Cinema and modernity</t>
  </si>
  <si>
    <t>2019-03-22</t>
  </si>
  <si>
    <t>3858592316:eng</t>
  </si>
  <si>
    <t>58843056</t>
  </si>
  <si>
    <t>ocm58843056</t>
  </si>
  <si>
    <t>31036532431</t>
  </si>
  <si>
    <t>9780226669816</t>
  </si>
  <si>
    <t>793925247</t>
  </si>
  <si>
    <t>PQ4835 I7 S48337 2012</t>
  </si>
  <si>
    <t>0                      PQ 4835000I  7                  S  48337       2012</t>
  </si>
  <si>
    <t>Veniamo al fatto, signori miei : trame pirandelliane dai Quaderni di Serafino Gubbio operatore a Ciascuno a suo modo / Beatrice Stasi.</t>
  </si>
  <si>
    <t>Stasi, Beatrice.</t>
  </si>
  <si>
    <t>Bari : Progedit, 2012.</t>
  </si>
  <si>
    <t>1121686448:ita</t>
  </si>
  <si>
    <t>796780474</t>
  </si>
  <si>
    <t>ocn796780474</t>
  </si>
  <si>
    <t>3103125841D</t>
  </si>
  <si>
    <t>9788861941212</t>
  </si>
  <si>
    <t>794922366</t>
  </si>
  <si>
    <t>PQ4835 I7 S5</t>
  </si>
  <si>
    <t>0                      PQ 4835000I  7                  S  5</t>
  </si>
  <si>
    <t>Shoot! = (Si gira) : the notebooks of Serafino Gubbio, cinematograph operator / by Luigi Pirandello ; authorised translation from the Italian by C.K. Scott Moncrieff.</t>
  </si>
  <si>
    <t>New York : E.P. Dutton &amp; Co., ©1926.</t>
  </si>
  <si>
    <t>2556999816:eng</t>
  </si>
  <si>
    <t>1193399</t>
  </si>
  <si>
    <t>ocm01193399</t>
  </si>
  <si>
    <t>3000772861W</t>
  </si>
  <si>
    <t>791569436</t>
  </si>
  <si>
    <t>PQ4835 I7 S5 1994</t>
  </si>
  <si>
    <t>0                      PQ 4835000I  7                  S  5           1994</t>
  </si>
  <si>
    <t>Quaderni di Serafino Gubbio operatore / Luigi Pirandello ; introduzione di Giovanna Querci Favini.</t>
  </si>
  <si>
    <t>Firenze : Loggia de' Lanzi, ©1994.</t>
  </si>
  <si>
    <t>Palazzo al bosco</t>
  </si>
  <si>
    <t>3375058277:ita</t>
  </si>
  <si>
    <t>34194324</t>
  </si>
  <si>
    <t>ocm34194324</t>
  </si>
  <si>
    <t>31015705906</t>
  </si>
  <si>
    <t>9788881050048</t>
  </si>
  <si>
    <t>793421385</t>
  </si>
  <si>
    <t>PQ4835 I7 S7733 2010</t>
  </si>
  <si>
    <t>0                      PQ 4835000I  7                  S  7733        2010</t>
  </si>
  <si>
    <t>Il giogo delle parti : narrazioni letterarie matrimoniali nel primo Novecento italiano / Fabio Danelon.</t>
  </si>
  <si>
    <t>Danelon, Fabio, 1959-</t>
  </si>
  <si>
    <t>796902547:ita</t>
  </si>
  <si>
    <t>609530065</t>
  </si>
  <si>
    <t>ocn609530065</t>
  </si>
  <si>
    <t>3103125056Z</t>
  </si>
  <si>
    <t>9788831705912</t>
  </si>
  <si>
    <t>794820014</t>
  </si>
  <si>
    <t>PQ4835 I7 U533 2002</t>
  </si>
  <si>
    <t>0                      PQ 4835000I  7                  U  533         2002</t>
  </si>
  <si>
    <t>L'umorismo di Pirandello : ragioni intra e intertestuali / Paola Casella ; appendice con le varianti tra la prima e la seconda edizione dell'opera.</t>
  </si>
  <si>
    <t>Casella, Paola.</t>
  </si>
  <si>
    <t>Fiesole (Firenze) : Cadmo, 2002.</t>
  </si>
  <si>
    <t>476149077:ita</t>
  </si>
  <si>
    <t>51567158</t>
  </si>
  <si>
    <t>ocm51567158</t>
  </si>
  <si>
    <t>31022798606</t>
  </si>
  <si>
    <t>9788879233408</t>
  </si>
  <si>
    <t>793787029</t>
  </si>
  <si>
    <t>PQ4835 I7 U6 1993</t>
  </si>
  <si>
    <t>0                      PQ 4835000I  7                  U  6           1993</t>
  </si>
  <si>
    <t>Uno, nessuno e centomila / Luigi Pirandello ; introduzione di Remo Bodei ; cura di Ugo M. Olivieri.</t>
  </si>
  <si>
    <t>Milano : Feltrinelli, 1993.</t>
  </si>
  <si>
    <t>1. ed. nell'Universale economica - I classici.</t>
  </si>
  <si>
    <t>Universale economica Feltrinelli ; 2079. I classici</t>
  </si>
  <si>
    <t>1740836:ita</t>
  </si>
  <si>
    <t>30139292</t>
  </si>
  <si>
    <t>ocm30139292</t>
  </si>
  <si>
    <t>3101398973Q</t>
  </si>
  <si>
    <t>9788807820793</t>
  </si>
  <si>
    <t>793330529</t>
  </si>
  <si>
    <t>PQ4835 I7 U613 1990</t>
  </si>
  <si>
    <t>0                      PQ 4835000I  7                  U  613         1990</t>
  </si>
  <si>
    <t>One, no one, and one hundred thousand / Luigi Pirandello ; translated and introduced by William Weaver.</t>
  </si>
  <si>
    <t>Boston, Mass. : Eridanos Press : Distributed by D.R. Godine, ©1990.</t>
  </si>
  <si>
    <t>The Eridanos library ; 18</t>
  </si>
  <si>
    <t>2019-05-01</t>
  </si>
  <si>
    <t>1740836:eng</t>
  </si>
  <si>
    <t>22289237</t>
  </si>
  <si>
    <t>ocm22289237</t>
  </si>
  <si>
    <t>3103679280R</t>
  </si>
  <si>
    <t>9780941419352</t>
  </si>
  <si>
    <t>793139660</t>
  </si>
  <si>
    <t>PQ4835 I7 U63</t>
  </si>
  <si>
    <t>0                      PQ 4835000I  7                  U  63</t>
  </si>
  <si>
    <t>One, none and a hundred-thousand, a novel, by Luigi Pirandello ... translated from the Italian by Samuel Putnam.</t>
  </si>
  <si>
    <t>New York, E.P. Dutton &amp; Co., Inc. [©1933]</t>
  </si>
  <si>
    <t>2019-03-11</t>
  </si>
  <si>
    <t>1843016</t>
  </si>
  <si>
    <t>ocm01843016</t>
  </si>
  <si>
    <t>30006100632</t>
  </si>
  <si>
    <t>791997805</t>
  </si>
  <si>
    <t>PQ4835 I7 V35 1966</t>
  </si>
  <si>
    <t>0                      PQ 4835000I  7                  V  35          1966</t>
  </si>
  <si>
    <t>I vecchi e i giovani.</t>
  </si>
  <si>
    <t>Milano] A. Mondadori [1966]</t>
  </si>
  <si>
    <t>[2. ed.</t>
  </si>
  <si>
    <t>His Tutti i romanzi</t>
  </si>
  <si>
    <t>3958673065:ita</t>
  </si>
  <si>
    <t>5399367</t>
  </si>
  <si>
    <t>ocm05399367</t>
  </si>
  <si>
    <t>3000622273C</t>
  </si>
  <si>
    <t>792430432</t>
  </si>
  <si>
    <t>PQ4835 I7 Z46 2006</t>
  </si>
  <si>
    <t>0                      PQ 4835000I  7                  Z  46          2006</t>
  </si>
  <si>
    <t>Con un sogno nel bagaglio : un viaggio di Pirandello in Portogallo / Maria José de Lancastre.</t>
  </si>
  <si>
    <t>Lancastre, Maria José de.</t>
  </si>
  <si>
    <t>Palermo : Sellerio editore, ©2006.</t>
  </si>
  <si>
    <t>La nuova diagonale ; 60</t>
  </si>
  <si>
    <t>2015-02-17</t>
  </si>
  <si>
    <t>193725634:ita</t>
  </si>
  <si>
    <t>742050654</t>
  </si>
  <si>
    <t>ocn742050654</t>
  </si>
  <si>
    <t>3103340280L</t>
  </si>
  <si>
    <t>9788838920967</t>
  </si>
  <si>
    <t>794884728</t>
  </si>
  <si>
    <t>PQ4835 I7 Z4815 2010</t>
  </si>
  <si>
    <t>0                      PQ 4835000I  7                  Z  4815        2010</t>
  </si>
  <si>
    <t>Her maestro's echo : Pirandello and the actress who conquered Broadway in one evening / Pietro Frassica.</t>
  </si>
  <si>
    <t>Frassica, Pietro.</t>
  </si>
  <si>
    <t>Leicester : Troubador Pub., ©2010.</t>
  </si>
  <si>
    <t>569076158:eng</t>
  </si>
  <si>
    <t>654771844</t>
  </si>
  <si>
    <t>ocn654771844</t>
  </si>
  <si>
    <t>3103133921H</t>
  </si>
  <si>
    <t>9781848763524</t>
  </si>
  <si>
    <t>794834140</t>
  </si>
  <si>
    <t>PQ4835 I7 Z5146 2003</t>
  </si>
  <si>
    <t>0                      PQ 4835000I  7                  Z  5146        2003</t>
  </si>
  <si>
    <t>Pirandello: la soglia del nulla / Raffaele Cavalluzzi.</t>
  </si>
  <si>
    <t>Cavalluzzi, Raffaele.</t>
  </si>
  <si>
    <t>Bari : Dedalo, ©2003.</t>
  </si>
  <si>
    <t>Nuova biblioteca Dedalo. Serie "Nuovi saggi" ; 264</t>
  </si>
  <si>
    <t>9906768287:ita</t>
  </si>
  <si>
    <t>54392850</t>
  </si>
  <si>
    <t>ocm54392850</t>
  </si>
  <si>
    <t>3102336877U</t>
  </si>
  <si>
    <t>9788822062642</t>
  </si>
  <si>
    <t>793860844</t>
  </si>
  <si>
    <t>PQ4835 I7 Z525 2017</t>
  </si>
  <si>
    <t>0                      PQ 4835000I  7                  Z  525         2017</t>
  </si>
  <si>
    <t>Pirandello : l'impossibile finale / Beatrice Alfonzetti.</t>
  </si>
  <si>
    <t>Alfonzetti, Beatrice, author.</t>
  </si>
  <si>
    <t>Venezia : Marsilio, 2017.</t>
  </si>
  <si>
    <t>4246323063:ita</t>
  </si>
  <si>
    <t>989906291</t>
  </si>
  <si>
    <t>ocn989906291</t>
  </si>
  <si>
    <t>3103721052T</t>
  </si>
  <si>
    <t>9788831727518</t>
  </si>
  <si>
    <t>795037321</t>
  </si>
  <si>
    <t>PQ4835 I7 Z53284 1992</t>
  </si>
  <si>
    <t>0                      PQ 4835000I  7                  Z  53284       1992</t>
  </si>
  <si>
    <t>Album Pirandello / con un saggio biografico e il commento alle immagini di Maria Luisa Aguirre D'Amico ; ricerca iconografica di Maria Luisa Aguirre D'Amico, Eileen Romano e Virginia Semproni ; introduzione di Vincenzo Consolo.</t>
  </si>
  <si>
    <t>Milano : A. Mondadori, 1992.</t>
  </si>
  <si>
    <t>53072453:ita</t>
  </si>
  <si>
    <t>27856398</t>
  </si>
  <si>
    <t>ocm27856398</t>
  </si>
  <si>
    <t>3101355146Q</t>
  </si>
  <si>
    <t>9788804369004</t>
  </si>
  <si>
    <t>793273838</t>
  </si>
  <si>
    <t>PQ4835 I7 Z53467 2010</t>
  </si>
  <si>
    <t>0                      PQ 4835000I  7                  Z  53467       2010</t>
  </si>
  <si>
    <t>Reale invisibile : mimesi e interiorità nella narrativa di Pirandello e Gadda / Valentino Baldi.</t>
  </si>
  <si>
    <t>Baldi, Valentino.</t>
  </si>
  <si>
    <t>503733187:ita</t>
  </si>
  <si>
    <t>642806321</t>
  </si>
  <si>
    <t>ocn642806321</t>
  </si>
  <si>
    <t>31031251025</t>
  </si>
  <si>
    <t>9788831706032</t>
  </si>
  <si>
    <t>794828395</t>
  </si>
  <si>
    <t>PQ4835 I7 Z54154 2010</t>
  </si>
  <si>
    <t>0                      PQ 4835000I  7                  Z  54154       2010</t>
  </si>
  <si>
    <t>Le caverne dell'istinto : il teatro di Luigi Pirandello / Ettore Catalano.</t>
  </si>
  <si>
    <t>Catalano, Ettore, 1946-</t>
  </si>
  <si>
    <t>Bari : Progedit, 2010.</t>
  </si>
  <si>
    <t>762683399:ita</t>
  </si>
  <si>
    <t>690103294</t>
  </si>
  <si>
    <t>ocn690103294</t>
  </si>
  <si>
    <t>3103125243V</t>
  </si>
  <si>
    <t>9788861940871</t>
  </si>
  <si>
    <t>794855357</t>
  </si>
  <si>
    <t>PQ4835 I7 Z542 1999</t>
  </si>
  <si>
    <t>0                      PQ 4835000I  7                  Z  542         1999</t>
  </si>
  <si>
    <t>Quasi niente, una pietra : per una nuova interpretazione della filosofia pirandelliana / Enrico Cerasi ; presentazione di Emanuele Severino.</t>
  </si>
  <si>
    <t>Cerasi, Enrico.</t>
  </si>
  <si>
    <t>Padova : Il poligrafo, ©1999.</t>
  </si>
  <si>
    <t>Ricerche / Facoltà di lettere e filosofia dell'Università di Venezia ; 4</t>
  </si>
  <si>
    <t>366128994:ita</t>
  </si>
  <si>
    <t>222794069</t>
  </si>
  <si>
    <t>ocn222794069</t>
  </si>
  <si>
    <t>3102018727S</t>
  </si>
  <si>
    <t>9788871150956</t>
  </si>
  <si>
    <t>794332778</t>
  </si>
  <si>
    <t>PQ4835 I7 Z5458 2010</t>
  </si>
  <si>
    <t>0                      PQ 4835000I  7                  Z  5458        2010</t>
  </si>
  <si>
    <t>Il gioco delle parti : vita straordinaria di Luigi Pirandello / di Matteo Collura.</t>
  </si>
  <si>
    <t>Collura, Matteo, 1945-</t>
  </si>
  <si>
    <t>Milano : Longanesi, ©2010.</t>
  </si>
  <si>
    <t>Il cammeo ; 525</t>
  </si>
  <si>
    <t>891752749:ita</t>
  </si>
  <si>
    <t>664797608</t>
  </si>
  <si>
    <t>ocn664797608</t>
  </si>
  <si>
    <t>3103482862A</t>
  </si>
  <si>
    <t>9788830426856</t>
  </si>
  <si>
    <t>794844328</t>
  </si>
  <si>
    <t>PQ4835 I7 Z547 1993</t>
  </si>
  <si>
    <t>0                      PQ 4835000I  7                  Z  547         1993</t>
  </si>
  <si>
    <t>Pirandello e la lingua : atti del XXX convegno internazionale, Agrigento, 1-4 dicembre 1993 / autori vari ; [a cura di Enzo Lauretta].</t>
  </si>
  <si>
    <t>Milano : Mursia, ©1994.</t>
  </si>
  <si>
    <t>Collana di saggi e documentazioni del Centro nazionale di studi pirandelliani ; 39</t>
  </si>
  <si>
    <t>806516609:ita</t>
  </si>
  <si>
    <t>32464718</t>
  </si>
  <si>
    <t>ocm32464718</t>
  </si>
  <si>
    <t>3101456760X</t>
  </si>
  <si>
    <t>9788842517665</t>
  </si>
  <si>
    <t>793384790</t>
  </si>
  <si>
    <t>PQ4835 I7 Z547 2008</t>
  </si>
  <si>
    <t>0                      PQ 4835000I  7                  Z  547         2008</t>
  </si>
  <si>
    <t>Attualità di Pirandello / Puppa [and others] ; a cura di Enzo Lauretta.</t>
  </si>
  <si>
    <t>Convegno internazionale di studi pirandelliani (45th : 2008 : Agrigento, Italy)</t>
  </si>
  <si>
    <t>Pesaro : Metauro, ©2008.</t>
  </si>
  <si>
    <t>Collana di saggi e documentazioni del Centro nazionale di studi pirandelliani ; n. 58</t>
  </si>
  <si>
    <t>351990327:ita</t>
  </si>
  <si>
    <t>228365735</t>
  </si>
  <si>
    <t>ocn228365735</t>
  </si>
  <si>
    <t>3102872523F</t>
  </si>
  <si>
    <t>9788861560376</t>
  </si>
  <si>
    <t>794349215</t>
  </si>
  <si>
    <t>PQ4835 I7 Z547 2011</t>
  </si>
  <si>
    <t>0                      PQ 4835000I  7                  Z  547         2011</t>
  </si>
  <si>
    <t>Quel che il cinema deve a Pirandello / Milioto [and others] ; a cura di Enzo Lauretta.</t>
  </si>
  <si>
    <t>Convegno internazionale di studi pirandelliani (48th : 2011 : Agrigento, Italy)</t>
  </si>
  <si>
    <t>Pesaro : Metauro, ©2011.</t>
  </si>
  <si>
    <t>Collana di saggi e documentazioni del Centro nazionale studi pirandelliani ; 61</t>
  </si>
  <si>
    <t>5617457168:ita</t>
  </si>
  <si>
    <t>715912386</t>
  </si>
  <si>
    <t>ocn715912386</t>
  </si>
  <si>
    <t>31035681719</t>
  </si>
  <si>
    <t>9788861560680</t>
  </si>
  <si>
    <t>794873958</t>
  </si>
  <si>
    <t>PQ4835 I7 Z5472 1976</t>
  </si>
  <si>
    <t>0                      PQ 4835000I  7                  Z  5472        1976</t>
  </si>
  <si>
    <t>La trilogia di Pirandello : atti del Convegno internazionale su Teatro nel teatro pirandelliano : (Agrigento 6-10 dicembre 1976) / raccolti da Enzo Lauretta.</t>
  </si>
  <si>
    <t>Convegno internazionale su teatro nel teatro pirandelliano (1976 : Agrigento)</t>
  </si>
  <si>
    <t>Agrigento : A cura del Centro nazionale di studi pirandelliani, 1977.</t>
  </si>
  <si>
    <t>14235607:ita</t>
  </si>
  <si>
    <t>4033867</t>
  </si>
  <si>
    <t>ocm04033867</t>
  </si>
  <si>
    <t>3000444413E</t>
  </si>
  <si>
    <t>792315453</t>
  </si>
  <si>
    <t>PQ4835 I7 Z5563 2011</t>
  </si>
  <si>
    <t>0                      PQ 4835000I  7                  Z  5563        2011</t>
  </si>
  <si>
    <t>Il doppio nella narrativa di Pirandello / Eny V. Di Iorio.</t>
  </si>
  <si>
    <t>Di Iorio, Eny V.</t>
  </si>
  <si>
    <t>894524247:ita</t>
  </si>
  <si>
    <t>719413395</t>
  </si>
  <si>
    <t>ocn719413395</t>
  </si>
  <si>
    <t>3103125408X</t>
  </si>
  <si>
    <t>9788882413422</t>
  </si>
  <si>
    <t>794874402</t>
  </si>
  <si>
    <t>PQ4835 I7 Z5564 2007</t>
  </si>
  <si>
    <t>0                      PQ 4835000I  7                  Z  5564        2007</t>
  </si>
  <si>
    <t>L'identità perduta : Pirandello e la psicoanalisi / Carlo Di Lieto.</t>
  </si>
  <si>
    <t>Di Lieto, Carlo.</t>
  </si>
  <si>
    <t>Torino : Genesi, [2007]</t>
  </si>
  <si>
    <t>Letteratura ; 17</t>
  </si>
  <si>
    <t>368612289:ita</t>
  </si>
  <si>
    <t>143593390</t>
  </si>
  <si>
    <t>ocn143593390</t>
  </si>
  <si>
    <t>3102782021V</t>
  </si>
  <si>
    <t>794235257</t>
  </si>
  <si>
    <t>PQ4835 I7 Z5572 2010</t>
  </si>
  <si>
    <t>0                      PQ 4835000I  7                  Z  5572        2010</t>
  </si>
  <si>
    <t>I confini della scena : la fortuna di Pirandello attraverso "Comœdia" e altri saggi / Antonella Di Nallo.</t>
  </si>
  <si>
    <t>Di Nallo, Antonella, 1968-</t>
  </si>
  <si>
    <t>La fenice dei teatri ; 26</t>
  </si>
  <si>
    <t>766686566:ita</t>
  </si>
  <si>
    <t>694058362</t>
  </si>
  <si>
    <t>ocn694058362</t>
  </si>
  <si>
    <t>3103125259T</t>
  </si>
  <si>
    <t>9788878704947</t>
  </si>
  <si>
    <t>794857106</t>
  </si>
  <si>
    <t>PQ4835 I7 Z5594</t>
  </si>
  <si>
    <t>0                      PQ 4835000I  7                  Z  5594</t>
  </si>
  <si>
    <t>La solitudine allo specchio : Luigi Pirandello / [di] Corrado Donati.</t>
  </si>
  <si>
    <t>Donati, Corrado.</t>
  </si>
  <si>
    <t>Roma : L. Lucarini, 1980.</t>
  </si>
  <si>
    <t>La Giara</t>
  </si>
  <si>
    <t>286572193:ita</t>
  </si>
  <si>
    <t>7652852</t>
  </si>
  <si>
    <t>ocm07652852</t>
  </si>
  <si>
    <t>30003257259</t>
  </si>
  <si>
    <t>792572522</t>
  </si>
  <si>
    <t>PQ4835 I7 Z57 2015</t>
  </si>
  <si>
    <t>0                      PQ 4835000I  7                  Z  57          2015</t>
  </si>
  <si>
    <t>Maschere della modernità : Joyce e Pirandello / Karl Chircop.</t>
  </si>
  <si>
    <t>Chircop, Karl, author.</t>
  </si>
  <si>
    <t>Italianisti nel mondo ; 5</t>
  </si>
  <si>
    <t>2564248878:ita</t>
  </si>
  <si>
    <t>913217990</t>
  </si>
  <si>
    <t>ocn913217990</t>
  </si>
  <si>
    <t>3103627822K</t>
  </si>
  <si>
    <t>9788876675287</t>
  </si>
  <si>
    <t>794999244</t>
  </si>
  <si>
    <t>PQ4835 I7 Z574 2012</t>
  </si>
  <si>
    <t>0                      PQ 4835000I  7                  Z  574         2012</t>
  </si>
  <si>
    <t>La poetica degli oggetti nel teatro di Luigi Pirandello / Eleonora Ercolani.</t>
  </si>
  <si>
    <t>Ercolani, Eleonora.</t>
  </si>
  <si>
    <t>Eum x. Teatro e letteratura</t>
  </si>
  <si>
    <t>1122978908:ita</t>
  </si>
  <si>
    <t>798053389</t>
  </si>
  <si>
    <t>ocn798053389</t>
  </si>
  <si>
    <t>3103125827H</t>
  </si>
  <si>
    <t>9788860562807</t>
  </si>
  <si>
    <t>794923017</t>
  </si>
  <si>
    <t>PQ4835 I7 Z58 2014</t>
  </si>
  <si>
    <t>0                      PQ 4835000I  7                  Z  58          2014</t>
  </si>
  <si>
    <t>Novella e dramma / Andrea Bisicchia [and fourteen others] ; a cura di Enzo Lauretta.</t>
  </si>
  <si>
    <t>Convegno internazionale di studi pirandelliani (51st : 2014 : Agrigento, Italy)</t>
  </si>
  <si>
    <t>Caltanissetta : Edizioni Lussografica, [2014]</t>
  </si>
  <si>
    <t>Collana di saggi e documentazioni del Centro nazionale di studi pirandelliani ; n. 66</t>
  </si>
  <si>
    <t>2747536192:ita</t>
  </si>
  <si>
    <t>922332029</t>
  </si>
  <si>
    <t>ocn922332029</t>
  </si>
  <si>
    <t>3103624992A</t>
  </si>
  <si>
    <t>9788882433130</t>
  </si>
  <si>
    <t>795003782</t>
  </si>
  <si>
    <t>PQ4835 I7 Z58325 2010</t>
  </si>
  <si>
    <t>0                      PQ 4835000I  7                  Z  58325       2010</t>
  </si>
  <si>
    <t>La musa ritrosa : Pirandello e Marta Abba / Carlo Ferrucci.</t>
  </si>
  <si>
    <t>Ferrucci, Carlo.</t>
  </si>
  <si>
    <t>Lexis. 2: Biblioteca delle lettere ; 33</t>
  </si>
  <si>
    <t>796539372:ita</t>
  </si>
  <si>
    <t>658003728</t>
  </si>
  <si>
    <t>ocn658003728</t>
  </si>
  <si>
    <t>3103125187Q</t>
  </si>
  <si>
    <t>9788849133660</t>
  </si>
  <si>
    <t>794835790</t>
  </si>
  <si>
    <t>PQ4835 I7 Z5918 1993</t>
  </si>
  <si>
    <t>0                      PQ 4835000I  7                  Z  5918        1993</t>
  </si>
  <si>
    <t>Pirandello : la morte della persona e la nascita del personaggio / Giuseppe Genco.</t>
  </si>
  <si>
    <t>Genco, Giuseppe.</t>
  </si>
  <si>
    <t>[Manduria] : P. Lacaita, 1993.</t>
  </si>
  <si>
    <t>Biblioteca di studi moderni ; 47</t>
  </si>
  <si>
    <t>367401906:ita</t>
  </si>
  <si>
    <t>30348479</t>
  </si>
  <si>
    <t>ocm30348479</t>
  </si>
  <si>
    <t>3101445909$</t>
  </si>
  <si>
    <t>793333014</t>
  </si>
  <si>
    <t>PQ4835 I7 Z598 1975</t>
  </si>
  <si>
    <t>0                      PQ 4835000I  7                  Z  598         1975</t>
  </si>
  <si>
    <t>Pirandello : a biography / Gaspare Giudice ; translated by Alastair Hamilton.</t>
  </si>
  <si>
    <t>Giudice, Gaspare.</t>
  </si>
  <si>
    <t>London ; New York : Oxford University Press, 1975.</t>
  </si>
  <si>
    <t>9621688618:eng</t>
  </si>
  <si>
    <t>1188188</t>
  </si>
  <si>
    <t>ocm01188188</t>
  </si>
  <si>
    <t>3000444298P</t>
  </si>
  <si>
    <t>9780192125828</t>
  </si>
  <si>
    <t>791568070</t>
  </si>
  <si>
    <t>2005-02-17</t>
  </si>
  <si>
    <t>3000184097W</t>
  </si>
  <si>
    <t>791568071</t>
  </si>
  <si>
    <t>PQ4835 I7 Z5996 2010</t>
  </si>
  <si>
    <t>0                      PQ 4835000I  7                  Z  5996        2010</t>
  </si>
  <si>
    <t>Filosofia del lontano : la natura filosofica dell'umorismo in Pirandello / Mario Guarna.</t>
  </si>
  <si>
    <t>Guarna, Mario.</t>
  </si>
  <si>
    <t>Cultura e formazione. Filosofia ; 16</t>
  </si>
  <si>
    <t>796551935:ita</t>
  </si>
  <si>
    <t>666218588</t>
  </si>
  <si>
    <t>ocn666218588</t>
  </si>
  <si>
    <t>3103125293L</t>
  </si>
  <si>
    <t>9788877967107</t>
  </si>
  <si>
    <t>794844835</t>
  </si>
  <si>
    <t>PQ4835 I7 Z6188 1997</t>
  </si>
  <si>
    <t>0                      PQ 4835000I  7                  Z  6188        1997</t>
  </si>
  <si>
    <t>L'isola che ride : teoria, poetica e retoriche dell'umorismo pirandelliano / a cura di Marinella Cantelmo.</t>
  </si>
  <si>
    <t>Roma : Bulzoni, ©1997.</t>
  </si>
  <si>
    <t>Culture regionali d'Italia. Saggi e testi ; 22</t>
  </si>
  <si>
    <t>808449151:ita</t>
  </si>
  <si>
    <t>38113649</t>
  </si>
  <si>
    <t>ocm38113649</t>
  </si>
  <si>
    <t>3101874535A</t>
  </si>
  <si>
    <t>9788883191312</t>
  </si>
  <si>
    <t>793516057</t>
  </si>
  <si>
    <t>PQ4835 I7 Z64 2017</t>
  </si>
  <si>
    <t>0                      PQ 4835000I  7                  Z  64          2017</t>
  </si>
  <si>
    <t>Pirandello e i moralisti classici : Erasmo, Montaigne, Pascal / Daria Farafonova ; premessa di Valeria Giannetti.</t>
  </si>
  <si>
    <t>Farafonova, Daria, author.</t>
  </si>
  <si>
    <t>Officina / Istituto di studi italiani, Università della Svizzera italiana ; 1</t>
  </si>
  <si>
    <t>4626730300:ita</t>
  </si>
  <si>
    <t>1011552427</t>
  </si>
  <si>
    <t>on1011552427</t>
  </si>
  <si>
    <t>3103721227K</t>
  </si>
  <si>
    <t>9788822265234</t>
  </si>
  <si>
    <t>795045604</t>
  </si>
  <si>
    <t>PQ4835 I7 Z652x 1971</t>
  </si>
  <si>
    <t>0                      PQ 4835000I  7                  Z  652x        1971</t>
  </si>
  <si>
    <t>Storia di Pirandello.</t>
  </si>
  <si>
    <t>Leone De Castris, Arcangelo.</t>
  </si>
  <si>
    <t>Bari, Laterza, 1971.</t>
  </si>
  <si>
    <t>Universale Laterza, 174</t>
  </si>
  <si>
    <t>2354436:ita</t>
  </si>
  <si>
    <t>2850669</t>
  </si>
  <si>
    <t>ocm02850669</t>
  </si>
  <si>
    <t>3000609598Z</t>
  </si>
  <si>
    <t>792184933</t>
  </si>
  <si>
    <t>PQ4835 I7 Z66 2015</t>
  </si>
  <si>
    <t>0                      PQ 4835000I  7                  Z  66          2015</t>
  </si>
  <si>
    <t>Pirandello / Antonio Gramsci, Adriano Tilgher ; introduzione di Michele Ciliberto.</t>
  </si>
  <si>
    <t>Gramsci, Antonio, 1891-1937.</t>
  </si>
  <si>
    <t>Pisa : Edizioni della Normale, 2015.</t>
  </si>
  <si>
    <t>Variazioni ; 23</t>
  </si>
  <si>
    <t>2825044248:ita</t>
  </si>
  <si>
    <t>913745292</t>
  </si>
  <si>
    <t>ocn913745292</t>
  </si>
  <si>
    <t>3103630282I</t>
  </si>
  <si>
    <t>9788876425479</t>
  </si>
  <si>
    <t>794999565</t>
  </si>
  <si>
    <t>PQ4835 I7 Z663 1986</t>
  </si>
  <si>
    <t>0                      PQ 4835000I  7                  Z  663         1986</t>
  </si>
  <si>
    <t>L'infanzia felice e altri saggi su Pirandello / Lucio Lugnani.</t>
  </si>
  <si>
    <t>Lugnani, Lucio.</t>
  </si>
  <si>
    <t>Napoli : Liguori, 1986.</t>
  </si>
  <si>
    <t>Letterature ; 14</t>
  </si>
  <si>
    <t>431850519:ita</t>
  </si>
  <si>
    <t>17398114</t>
  </si>
  <si>
    <t>ocm17398114</t>
  </si>
  <si>
    <t>3000807363L</t>
  </si>
  <si>
    <t>9788820714772</t>
  </si>
  <si>
    <t>792990196</t>
  </si>
  <si>
    <t>PQ4835 I7 Z6759 1996</t>
  </si>
  <si>
    <t>0                      PQ 4835000I  7                  Z  6759        1996</t>
  </si>
  <si>
    <t>Il segreto di Pirandello / Pietro Mignosi ; introduzione di Giovanna Finocchiaro Chimirri.</t>
  </si>
  <si>
    <t>Mignosi, Pietro, 1895-1937.</t>
  </si>
  <si>
    <t>Catania : CUECM, 1996.</t>
  </si>
  <si>
    <t>Opere di Pietro Mignosi ; 3</t>
  </si>
  <si>
    <t>349940590:ita</t>
  </si>
  <si>
    <t>36079077</t>
  </si>
  <si>
    <t>ocm36079077</t>
  </si>
  <si>
    <t>31018972143</t>
  </si>
  <si>
    <t>793465754</t>
  </si>
  <si>
    <t>PQ4835 I7 Z67595 2002</t>
  </si>
  <si>
    <t>0                      PQ 4835000I  7                  Z  67595       2002</t>
  </si>
  <si>
    <t>L'udienza : Sciascia scrittore e critico pirandelliano / Pietro Milone.</t>
  </si>
  <si>
    <t>Milone, Pietro.</t>
  </si>
  <si>
    <t>Negotia litteraria. Studi ; 4</t>
  </si>
  <si>
    <t>2018-07-03</t>
  </si>
  <si>
    <t>367783866:ita</t>
  </si>
  <si>
    <t>51567184</t>
  </si>
  <si>
    <t>ocm51567184</t>
  </si>
  <si>
    <t>31022804838</t>
  </si>
  <si>
    <t>9788882470999</t>
  </si>
  <si>
    <t>793787031</t>
  </si>
  <si>
    <t>PQ4835 I7 Z6847 2014</t>
  </si>
  <si>
    <t>0                      PQ 4835000I  7                  Z  6847        2014</t>
  </si>
  <si>
    <t>Ipogei pirandelliani / Aldo Maria Morace.</t>
  </si>
  <si>
    <t>Morace, Aldo Maria, author.</t>
  </si>
  <si>
    <t>Roma : Inschibboleth, [2014]</t>
  </si>
  <si>
    <t>Vela latina, 2420-8604 ; 1</t>
  </si>
  <si>
    <t>2560788103:ita</t>
  </si>
  <si>
    <t>909285132</t>
  </si>
  <si>
    <t>ocn909285132</t>
  </si>
  <si>
    <t>3103628571E</t>
  </si>
  <si>
    <t>9788898694099</t>
  </si>
  <si>
    <t>794995382</t>
  </si>
  <si>
    <t>PQ4835 I7 Z7232 2009</t>
  </si>
  <si>
    <t>0                      PQ 4835000I  7                  Z  7232        2009</t>
  </si>
  <si>
    <t>The plays and fiction of Luigi Pirandello : selected essays / by Anne Paolucci.</t>
  </si>
  <si>
    <t>Middle Village, NY. : Griffon House Pub., ©2009.</t>
  </si>
  <si>
    <t>2019-02-13</t>
  </si>
  <si>
    <t>763037386:eng</t>
  </si>
  <si>
    <t>317588176</t>
  </si>
  <si>
    <t>ocn317588176</t>
  </si>
  <si>
    <t>31033398957</t>
  </si>
  <si>
    <t>9781932107272</t>
  </si>
  <si>
    <t>794454701</t>
  </si>
  <si>
    <t>PQ4835 I7 Z724 2010</t>
  </si>
  <si>
    <t>0                      PQ 4835000I  7                  Z  724         2010</t>
  </si>
  <si>
    <t>Le passioni di Pirandello : atti del convegno internazionale, Lovanio-Anversa, 11-12 maggio 2007 / a cura di Bart Van den Bossche, Monica Jansen.</t>
  </si>
  <si>
    <t>Firenze : F. Cesati ; Helmond (NL) : Stichting Luigi Pirandello, ©2010.</t>
  </si>
  <si>
    <t>Il corvo di Mizzaro ; 2</t>
  </si>
  <si>
    <t>813820995:ita</t>
  </si>
  <si>
    <t>668177866</t>
  </si>
  <si>
    <t>ocn668177866</t>
  </si>
  <si>
    <t>31031252082</t>
  </si>
  <si>
    <t>9788876673900</t>
  </si>
  <si>
    <t>794845896</t>
  </si>
  <si>
    <t>PQ4835 I7 Z72915 1985</t>
  </si>
  <si>
    <t>0                      PQ 4835000I  7                  Z  72915       1985</t>
  </si>
  <si>
    <t>Pirandello e il teatro / [scritti di Alonge [and others] ; introdotti da Enzo Lauretta].</t>
  </si>
  <si>
    <t>Palermo : Palumbo, ©1985.</t>
  </si>
  <si>
    <t>Collana di saggi e documentazioni del Centro nazionale di studi pirandelliani ; 12</t>
  </si>
  <si>
    <t>365217670:ita</t>
  </si>
  <si>
    <t>13298850</t>
  </si>
  <si>
    <t>ocm13298850</t>
  </si>
  <si>
    <t>3000477719V</t>
  </si>
  <si>
    <t>792847568</t>
  </si>
  <si>
    <t>PQ4835 I7 Z72922 1984</t>
  </si>
  <si>
    <t>0                      PQ 4835000I  7                  Z  72922       1984</t>
  </si>
  <si>
    <t>Pirandello e la cultura del suo tempo / a cura di Stefano Milioto e Enzo Scrivano.</t>
  </si>
  <si>
    <t>Milano : Mursia, ©1984.</t>
  </si>
  <si>
    <t>Collana di saggi e documentazioni del Centro nazionale di studi pirandelliani ; 9</t>
  </si>
  <si>
    <t>441868149:ita</t>
  </si>
  <si>
    <t>13870706</t>
  </si>
  <si>
    <t>ocm13870706</t>
  </si>
  <si>
    <t>3000474386A</t>
  </si>
  <si>
    <t>792870122</t>
  </si>
  <si>
    <t>PQ4835 I7 Z729235 1992</t>
  </si>
  <si>
    <t>0                      PQ 4835000I  7                  Z  729235      1992</t>
  </si>
  <si>
    <t>Pirandello e la politica : atti del XXVIII Convegno internazionale, Agrigento, 7-10 dicembre 1991 / autori vari.</t>
  </si>
  <si>
    <t>Collana di saggi e documentazioni del Centro nazionale di studi pirandelliani ; 33</t>
  </si>
  <si>
    <t>5218371221:ita</t>
  </si>
  <si>
    <t>28441309</t>
  </si>
  <si>
    <t>ocm28441309</t>
  </si>
  <si>
    <t>3101341202V</t>
  </si>
  <si>
    <t>9788842513599</t>
  </si>
  <si>
    <t>793288393</t>
  </si>
  <si>
    <t>PQ4835 I7 Z72929 2017</t>
  </si>
  <si>
    <t>0                      PQ 4835000I  7                  Z  72929       2017</t>
  </si>
  <si>
    <t>Pirandello oggi : intertestualità, riscrittura, ricezione / a cura di Anna Fabretti e Stefania Cubeddu-Proux.</t>
  </si>
  <si>
    <t>Fano (Italy) : Metauro, [2017]</t>
  </si>
  <si>
    <t>Studi ; 34</t>
  </si>
  <si>
    <t>4544823099:ita</t>
  </si>
  <si>
    <t>1009716877</t>
  </si>
  <si>
    <t>on1009716877</t>
  </si>
  <si>
    <t>3103721239D</t>
  </si>
  <si>
    <t>9788861561380</t>
  </si>
  <si>
    <t>795045135</t>
  </si>
  <si>
    <t>PQ4835 I7 Z7375 2000</t>
  </si>
  <si>
    <t>0                      PQ 4835000I  7                  Z  7375        2000</t>
  </si>
  <si>
    <t>Pirandello impolitico : dal radicalismo al fascismo / Elio Providenti.</t>
  </si>
  <si>
    <t>Providenti, Elio.</t>
  </si>
  <si>
    <t>Piccoli saggi ; 8</t>
  </si>
  <si>
    <t>365887662:ita</t>
  </si>
  <si>
    <t>44745908</t>
  </si>
  <si>
    <t>ocm44745908</t>
  </si>
  <si>
    <t>31023004757</t>
  </si>
  <si>
    <t>9788884023049</t>
  </si>
  <si>
    <t>793657103</t>
  </si>
  <si>
    <t>PQ4835 I7 Z754</t>
  </si>
  <si>
    <t>0                      PQ 4835000I  7                  Z  754</t>
  </si>
  <si>
    <t>The mirror of our anguish : a study of Luigi Pirandello's narrative writings / Douglas Radcliff-Umstead.</t>
  </si>
  <si>
    <t>Rutherford [N.J.] : Fairleigh Dickinson University Press, ©1977.</t>
  </si>
  <si>
    <t>503225:eng</t>
  </si>
  <si>
    <t>427359371</t>
  </si>
  <si>
    <t>ocn427359371</t>
  </si>
  <si>
    <t>30004616082</t>
  </si>
  <si>
    <t>9780838619308</t>
  </si>
  <si>
    <t>794628808</t>
  </si>
  <si>
    <t>PQ4835 I7 Z7624</t>
  </si>
  <si>
    <t>0                      PQ 4835000I  7                  Z  7624</t>
  </si>
  <si>
    <t>Il Romanzo di Pirandello / scritti di A. Leone de Castris [and others] ; raccolti e ordinati da Enzo Lauretta.</t>
  </si>
  <si>
    <t>Palermo : Palumbo, 1976.</t>
  </si>
  <si>
    <t>347376504:ita</t>
  </si>
  <si>
    <t>3893239</t>
  </si>
  <si>
    <t>ocm03893239</t>
  </si>
  <si>
    <t>3100256271X</t>
  </si>
  <si>
    <t>792302524</t>
  </si>
  <si>
    <t>PQ4835 I7 Z767257 2013</t>
  </si>
  <si>
    <t>0                      PQ 4835000I  7                  Z  767257      2013</t>
  </si>
  <si>
    <t>Il carnevale dei morti : sconciature e danze macabre nella narrativa di Luigi Pirandello / Davide Savio.</t>
  </si>
  <si>
    <t>Savio, Davide, 1985-</t>
  </si>
  <si>
    <t>Biblioteca letteraria dell'Italia unita ; 21</t>
  </si>
  <si>
    <t>1756894021:ita</t>
  </si>
  <si>
    <t>830363102</t>
  </si>
  <si>
    <t>ocn830363102</t>
  </si>
  <si>
    <t>3103126135W</t>
  </si>
  <si>
    <t>9788882128876</t>
  </si>
  <si>
    <t>794943339</t>
  </si>
  <si>
    <t>PQ4835 I7 Z7673 1989</t>
  </si>
  <si>
    <t>0                      PQ 4835000I  7                  Z  7673        1989</t>
  </si>
  <si>
    <t>Alfabeto pirandelliano / Leonardo Sciascia.</t>
  </si>
  <si>
    <t>Sciascia, Leonardo.</t>
  </si>
  <si>
    <t>Milano : Adelphi edizioni, ©1989.</t>
  </si>
  <si>
    <t>Piccola biblioteca ; 235</t>
  </si>
  <si>
    <t>22881471:ita</t>
  </si>
  <si>
    <t>21305530</t>
  </si>
  <si>
    <t>ocm21305530</t>
  </si>
  <si>
    <t>31006828022</t>
  </si>
  <si>
    <t>9788845907098</t>
  </si>
  <si>
    <t>793115085</t>
  </si>
  <si>
    <t>PQ4835 I7 Z78</t>
  </si>
  <si>
    <t>0                      PQ 4835000I  7                  Z  78</t>
  </si>
  <si>
    <t>Pirandello e la Sicilia.</t>
  </si>
  <si>
    <t>[Roma] : [publisher not identified], [©1961]</t>
  </si>
  <si>
    <t>Aretusa ; 13</t>
  </si>
  <si>
    <t>2038948:ita</t>
  </si>
  <si>
    <t>427115110</t>
  </si>
  <si>
    <t>ocn427115110</t>
  </si>
  <si>
    <t>3000770758Z</t>
  </si>
  <si>
    <t>794520756</t>
  </si>
  <si>
    <t>PQ4835 I7 Z845 2012</t>
  </si>
  <si>
    <t>0                      PQ 4835000I  7                  Z  845         2012</t>
  </si>
  <si>
    <t>Come un angelo di fuoco : Verità, immaginario e scenotecnica in Pirandello / Roberto Tessari.</t>
  </si>
  <si>
    <t>Acireale : Bonanno Editore, [2012]</t>
  </si>
  <si>
    <t>Studio DAMS ; 8</t>
  </si>
  <si>
    <t>1100398392:ita</t>
  </si>
  <si>
    <t>785335852</t>
  </si>
  <si>
    <t>ocn785335852</t>
  </si>
  <si>
    <t>31031259920</t>
  </si>
  <si>
    <t>9788877967381</t>
  </si>
  <si>
    <t>794914798</t>
  </si>
  <si>
    <t>PQ4835 I7 Z848 1989</t>
  </si>
  <si>
    <t>0                      PQ 4835000I  7                  Z  848         1989</t>
  </si>
  <si>
    <t>L'identità impossibile : l'opera di Luigi Pirandello / Pasquale Tuscano.</t>
  </si>
  <si>
    <t>Tuscano, Pasquale.</t>
  </si>
  <si>
    <t>Napoli : Loffredo, [1989]</t>
  </si>
  <si>
    <t>Valutazioni ; 20</t>
  </si>
  <si>
    <t>23956367:ita</t>
  </si>
  <si>
    <t>21949767</t>
  </si>
  <si>
    <t>ocm21949767</t>
  </si>
  <si>
    <t>3101209347X</t>
  </si>
  <si>
    <t>793131065</t>
  </si>
  <si>
    <t>PQ4835 I7 Z858 2010</t>
  </si>
  <si>
    <t>0                      PQ 4835000I  7                  Z  858         2010</t>
  </si>
  <si>
    <t>Pirandello : saggi sul teatro / Salvatore Vecchio.</t>
  </si>
  <si>
    <t>Vecchio, Salvatore.</t>
  </si>
  <si>
    <t>Roma : Edizioni internazionali di letteratura e scienze, [2010]</t>
  </si>
  <si>
    <t>Scritti italiani e stranieri ; 4</t>
  </si>
  <si>
    <t>2013-02-02</t>
  </si>
  <si>
    <t>790264285:ita</t>
  </si>
  <si>
    <t>703207254</t>
  </si>
  <si>
    <t>ocn703207254</t>
  </si>
  <si>
    <t>3103125321W</t>
  </si>
  <si>
    <t>9788871300733</t>
  </si>
  <si>
    <t>794864520</t>
  </si>
  <si>
    <t>PQ4835 I7 Z874 1993</t>
  </si>
  <si>
    <t>0                      PQ 4835000I  7                  Z  874         1993</t>
  </si>
  <si>
    <t>Pirandello : il disagio del teatro / Claudio Vicentini.</t>
  </si>
  <si>
    <t>Vicentini, Claudio, 1944-</t>
  </si>
  <si>
    <t>Venezia : Marsilio, 1993.</t>
  </si>
  <si>
    <t>292369286:ita</t>
  </si>
  <si>
    <t>32133830</t>
  </si>
  <si>
    <t>ocm32133830</t>
  </si>
  <si>
    <t>31013476810</t>
  </si>
  <si>
    <t>9788831757522</t>
  </si>
  <si>
    <t>793376606</t>
  </si>
  <si>
    <t>PQ4835 I7 Z98136 2014</t>
  </si>
  <si>
    <t>0                      PQ 4835000I  7                  Z  98136       2014</t>
  </si>
  <si>
    <t>Un mondo fuori chiave : il fantastico in Pirandello / Franco Zangrilli.</t>
  </si>
  <si>
    <t>Italianisti nel mondo ; 4</t>
  </si>
  <si>
    <t>1888317624:ita</t>
  </si>
  <si>
    <t>879868157</t>
  </si>
  <si>
    <t>ocn879868157</t>
  </si>
  <si>
    <t>3103126427P</t>
  </si>
  <si>
    <t>9788876674891</t>
  </si>
  <si>
    <t>794972618</t>
  </si>
  <si>
    <t>PQ4835 I7 Z98165 2011</t>
  </si>
  <si>
    <t>0                      PQ 4835000I  7                  Z  98165       2011</t>
  </si>
  <si>
    <t>La tavola mascherata : immagini conviviali in Pirandello / Franco Zangrilli.</t>
  </si>
  <si>
    <t>1001173253:ita</t>
  </si>
  <si>
    <t>747531458</t>
  </si>
  <si>
    <t>ocn747531458</t>
  </si>
  <si>
    <t>3103125536O</t>
  </si>
  <si>
    <t>9788882413262</t>
  </si>
  <si>
    <t>794888214</t>
  </si>
  <si>
    <t>PQ4835 I7 Z9818 2002</t>
  </si>
  <si>
    <t>0                      PQ 4835000I  7                  Z  9818        2002</t>
  </si>
  <si>
    <t>Pirandello : le maschere del "vecchio dio" / Franco Zangrilli.</t>
  </si>
  <si>
    <t>Padova : Messaggero, ©2002.</t>
  </si>
  <si>
    <t>Tracce del sacro nella cultura contemporanea ; 19</t>
  </si>
  <si>
    <t>234044339:ita</t>
  </si>
  <si>
    <t>49791097</t>
  </si>
  <si>
    <t>ocm49791097</t>
  </si>
  <si>
    <t>3102216087V</t>
  </si>
  <si>
    <t>9788825010152</t>
  </si>
  <si>
    <t>793747931</t>
  </si>
  <si>
    <t>PQ4835 I98 P34 2010</t>
  </si>
  <si>
    <t>0                      PQ 4835000I  98                 P  34          2010</t>
  </si>
  <si>
    <t>Pagelle / Antonio Pizzuto.</t>
  </si>
  <si>
    <t>Pizzuto, Antonio, 1893-1976.</t>
  </si>
  <si>
    <t>Ed. critica / commentata di Gualberto Alvino.</t>
  </si>
  <si>
    <t>2866894758:ita</t>
  </si>
  <si>
    <t>666218502</t>
  </si>
  <si>
    <t>ocn666218502</t>
  </si>
  <si>
    <t>3103125170S</t>
  </si>
  <si>
    <t>9788859607748</t>
  </si>
  <si>
    <t>794844833</t>
  </si>
  <si>
    <t>PQ4835 I98 S55 2012</t>
  </si>
  <si>
    <t>0                      PQ 4835000I  98                 S  55          2012</t>
  </si>
  <si>
    <t>Sinfonia / Antonio Pizzuto ; commento di Antonio Pane.</t>
  </si>
  <si>
    <t>Firenze : Edizioni Polistampa, [2012]</t>
  </si>
  <si>
    <t>5091381292:ita</t>
  </si>
  <si>
    <t>783121054</t>
  </si>
  <si>
    <t>ocn783121054</t>
  </si>
  <si>
    <t>3103125802L</t>
  </si>
  <si>
    <t>9788859610359</t>
  </si>
  <si>
    <t>794913840</t>
  </si>
  <si>
    <t>PQ4835 I98 T714 1987</t>
  </si>
  <si>
    <t>0                      PQ 4835000I  98                 T  714         1987</t>
  </si>
  <si>
    <t>Le triporteur [texte imprimé] : et autres proses / Antonio Pizzuto ; présentation, traduction et notes de Madeleine Santschi ; postface de Gianfranco Contini.</t>
  </si>
  <si>
    <t>Pizzuto, Antonio, (1893-1976), Auteur.</t>
  </si>
  <si>
    <t>Lausanne : L'Age d'homme, cop. 1987.</t>
  </si>
  <si>
    <t>Ed. bilingue.</t>
  </si>
  <si>
    <t>Contemporains. Domaine italien</t>
  </si>
  <si>
    <t>2019-01-05</t>
  </si>
  <si>
    <t>366484771:fre</t>
  </si>
  <si>
    <t>489906015</t>
  </si>
  <si>
    <t>ocn489906015</t>
  </si>
  <si>
    <t>3000807357G</t>
  </si>
  <si>
    <t>794800456</t>
  </si>
  <si>
    <t>PQ4835 I98 Z533 2012</t>
  </si>
  <si>
    <t>0                      PQ 4835000I  98                 Z  533         2012</t>
  </si>
  <si>
    <t>La parola verticale : Pizzuto, Consolo, Bufalino / Gualberto Alvino ; prefazione di Pietro Trifone.</t>
  </si>
  <si>
    <t>Alvino, Gualberto, 1953-</t>
  </si>
  <si>
    <t>Napoli : Loffredo University Press, [2012]</t>
  </si>
  <si>
    <t>Studi di italianistica ; 6</t>
  </si>
  <si>
    <t>1149506896:ita</t>
  </si>
  <si>
    <t>805054685</t>
  </si>
  <si>
    <t>ocn805054685</t>
  </si>
  <si>
    <t>3103125921E</t>
  </si>
  <si>
    <t>9788875645632</t>
  </si>
  <si>
    <t>794926176</t>
  </si>
  <si>
    <t>PQ4835 O78 A2 2011</t>
  </si>
  <si>
    <t>0                      PQ 4835000O  78                 A  2           2011</t>
  </si>
  <si>
    <t>Poems / Antonia Pozzi ; translated by Peter Robinson.</t>
  </si>
  <si>
    <t>Pozzi, Antonia, 1912-1938.</t>
  </si>
  <si>
    <t>Richmond : Oneworld Classics, 2011.</t>
  </si>
  <si>
    <t>2013-06-22</t>
  </si>
  <si>
    <t>373888280:eng</t>
  </si>
  <si>
    <t>720549215</t>
  </si>
  <si>
    <t>ocn720549215</t>
  </si>
  <si>
    <t>31034552340</t>
  </si>
  <si>
    <t>9781847491855</t>
  </si>
  <si>
    <t>794875044</t>
  </si>
  <si>
    <t>PQ4835 O78 Z76 2011</t>
  </si>
  <si>
    <t>0                      PQ 4835000O  78                 Z  76          2011</t>
  </si>
  <si>
    <t>Sister souls : the power of personal narrative in the poetic works of Antonia Pozzi and Vittorio Sereni / Amber Godey.</t>
  </si>
  <si>
    <t>Godey, Amber R., 1977-</t>
  </si>
  <si>
    <t>Madison [N.J.] : Fairleigh Dickinson University Press ; Lanham, Md. : Rowman &amp; Littlefield, ©2011.</t>
  </si>
  <si>
    <t>900769208:eng</t>
  </si>
  <si>
    <t>724674350</t>
  </si>
  <si>
    <t>ocn724674350</t>
  </si>
  <si>
    <t>3103384277O</t>
  </si>
  <si>
    <t>9781611470321</t>
  </si>
  <si>
    <t>794876702</t>
  </si>
  <si>
    <t>PQ4835 R37 A86 2017</t>
  </si>
  <si>
    <t>0                      PQ 4835000R  37                 A  86          2017</t>
  </si>
  <si>
    <t>L'ammuina / Vasco Pratolini ; a cura e con introduzione di Maria Carla Papini.</t>
  </si>
  <si>
    <t>Pratolini, Vasco, author.</t>
  </si>
  <si>
    <t>Firenze, Italy : Firenze University Press, 2017.</t>
  </si>
  <si>
    <t>Moderna/comparata ; 23</t>
  </si>
  <si>
    <t>4552752441:ita</t>
  </si>
  <si>
    <t>1004296092</t>
  </si>
  <si>
    <t>on1004296092</t>
  </si>
  <si>
    <t>3103721229G</t>
  </si>
  <si>
    <t>9788864535289</t>
  </si>
  <si>
    <t>795041854</t>
  </si>
  <si>
    <t>PQ4835 R37 Z72 2010</t>
  </si>
  <si>
    <t>0                      PQ 4835000R  37                 Z  72          2010</t>
  </si>
  <si>
    <t>Vasco Pratolini : fascismo/antifascismo e minimalismo narrativo degli esordi / Vasco Ferretti.</t>
  </si>
  <si>
    <t>Ferretti, Vasco.</t>
  </si>
  <si>
    <t>Pistoia : Petite plaisance, ©2010.</t>
  </si>
  <si>
    <t>836163902:ita</t>
  </si>
  <si>
    <t>707959986</t>
  </si>
  <si>
    <t>ocn707959986</t>
  </si>
  <si>
    <t>3103125343S</t>
  </si>
  <si>
    <t>9788875880392</t>
  </si>
  <si>
    <t>794868319</t>
  </si>
  <si>
    <t>PQ4835 R37 Z922 2015</t>
  </si>
  <si>
    <t>0                      PQ 4835000R  37                 Z  922         2015</t>
  </si>
  <si>
    <t>Vasco Pratolini (1913-2013) : atti del convegno internazionale di studi, Firenze, 17-19 ottobre 2013 / a cura di Maria Carla Papini, Gloria Manghetti, Teresa Spignoli.</t>
  </si>
  <si>
    <t>Firenze : Leo S. Olschki, 2015.</t>
  </si>
  <si>
    <t>Studi / Gabinetto Scientifico Letterario G.P. Vieusseux ; 25</t>
  </si>
  <si>
    <t>2478892975:ita</t>
  </si>
  <si>
    <t>905624564</t>
  </si>
  <si>
    <t>ocn905624564</t>
  </si>
  <si>
    <t>31036281080</t>
  </si>
  <si>
    <t>9788822263414</t>
  </si>
  <si>
    <t>794991643</t>
  </si>
  <si>
    <t>PQ4835 R44 A6 1971</t>
  </si>
  <si>
    <t>0                      PQ 4835000R  44                 A  6           1971</t>
  </si>
  <si>
    <t>Il meglio di Giuseppe Prezzolini. Prefazione di Giovanni Spadolini. Settantatré illustrazioni fuori testo.</t>
  </si>
  <si>
    <t>Milano, Longanesi [1971]</t>
  </si>
  <si>
    <t>Il Meglio, v. 13</t>
  </si>
  <si>
    <t>2871664218:ita</t>
  </si>
  <si>
    <t>742231</t>
  </si>
  <si>
    <t>ocm00742231</t>
  </si>
  <si>
    <t>3000608798W</t>
  </si>
  <si>
    <t>791459455</t>
  </si>
  <si>
    <t>PQ4835 R44 M3</t>
  </si>
  <si>
    <t>0                      PQ 4835000R  44                 M  3</t>
  </si>
  <si>
    <t>Manifesto dei conservatori.</t>
  </si>
  <si>
    <t>Milano, Rusconi, 1972.</t>
  </si>
  <si>
    <t>Problemi attuali</t>
  </si>
  <si>
    <t>2015-12-23</t>
  </si>
  <si>
    <t>131739953:ita</t>
  </si>
  <si>
    <t>5717097</t>
  </si>
  <si>
    <t>ocm05717097</t>
  </si>
  <si>
    <t>3000617246X</t>
  </si>
  <si>
    <t>792448700</t>
  </si>
  <si>
    <t>PQ4835 R44 Z47 1985</t>
  </si>
  <si>
    <t>0                      PQ 4835000R  44                 Z  47          1985</t>
  </si>
  <si>
    <t>Incontriamo Prezzolini / a cura di Giuliano Prezzolini e Margherita Marchione.</t>
  </si>
  <si>
    <t>Brescia : La Scuola, ©1985.</t>
  </si>
  <si>
    <t>Scrittori italiani moderni</t>
  </si>
  <si>
    <t>8579350:ita</t>
  </si>
  <si>
    <t>14371443</t>
  </si>
  <si>
    <t>ocm14371443</t>
  </si>
  <si>
    <t>3000485408F</t>
  </si>
  <si>
    <t>9788835076049</t>
  </si>
  <si>
    <t>792887650</t>
  </si>
  <si>
    <t>PQ4835 R44 Z515</t>
  </si>
  <si>
    <t>0                      PQ 4835000R  44                 Z  515</t>
  </si>
  <si>
    <t>Diario / Giuseppe Prezzolini.</t>
  </si>
  <si>
    <t>Milano : Rusconi, 1978-1999.</t>
  </si>
  <si>
    <t>2016-05-28</t>
  </si>
  <si>
    <t>3943666244:ita</t>
  </si>
  <si>
    <t>4775891</t>
  </si>
  <si>
    <t>ocm04775891</t>
  </si>
  <si>
    <t>3100245495M</t>
  </si>
  <si>
    <t>792382308</t>
  </si>
  <si>
    <t>3000301107U</t>
  </si>
  <si>
    <t>792382309</t>
  </si>
  <si>
    <t>PQ4835 R55 Z785 2012</t>
  </si>
  <si>
    <t>0                      PQ 4835000R  55                 Z  785         2012</t>
  </si>
  <si>
    <t>Michele Prisco : aspetti inediti della vita e delle opere : atti del seminario di arte visiva, scrittura e comunicazione / a cura di Maria Elefante.</t>
  </si>
  <si>
    <t>Castellammare di Stabia (Na) : Nicola Longobardi, [2012]</t>
  </si>
  <si>
    <t>Studia oplontina. Nuova serie ; 2</t>
  </si>
  <si>
    <t>1428982870:ita</t>
  </si>
  <si>
    <t>828889583</t>
  </si>
  <si>
    <t>ocn828889583</t>
  </si>
  <si>
    <t>3103126144U</t>
  </si>
  <si>
    <t>9788880904052</t>
  </si>
  <si>
    <t>794941883</t>
  </si>
  <si>
    <t>PQ4835 Z48 Z8835 2015</t>
  </si>
  <si>
    <t>0                      PQ 4835000Z  48                 Z  8835        2015</t>
  </si>
  <si>
    <t>Ho eretto questa statua per ridere : l'antropologia e Pier Paolo Pasolini / Alberto M. Sobrero.</t>
  </si>
  <si>
    <t>Sobrero, Alberto M., 1949- author.</t>
  </si>
  <si>
    <t>Roma : CISU, [2015]</t>
  </si>
  <si>
    <t>Il mestiere dell'antropologo</t>
  </si>
  <si>
    <t>3530689442:ita</t>
  </si>
  <si>
    <t>925734393</t>
  </si>
  <si>
    <t>ocn925734393</t>
  </si>
  <si>
    <t>31036249881</t>
  </si>
  <si>
    <t>9788879756044</t>
  </si>
  <si>
    <t>795005166</t>
  </si>
  <si>
    <t>PQ4837 U27 Z837 2010</t>
  </si>
  <si>
    <t>0                      PQ 4837000U  27                 Z  837         2010</t>
  </si>
  <si>
    <t>Quarantotti Gambini : l'onda del narratore / a cura di Marta Angela Agostina Moretto, Daniela Picamus.</t>
  </si>
  <si>
    <t>[Trieste] : Comune di Trieste, 2010.</t>
  </si>
  <si>
    <t>1011477764:ita</t>
  </si>
  <si>
    <t>753624702</t>
  </si>
  <si>
    <t>ocn753624702</t>
  </si>
  <si>
    <t>3103125630L</t>
  </si>
  <si>
    <t>9788887377408</t>
  </si>
  <si>
    <t>794892200</t>
  </si>
  <si>
    <t>PQ4837 U27 Z93 2011</t>
  </si>
  <si>
    <t>0                      PQ 4837000U  27                 Z  93          2011</t>
  </si>
  <si>
    <t>Il tempo fa crescere tutto ciò che non distrugge : l'opera di Pier Antonio Quarantotti Gambini nei suoi aspetti letterari ed editoriali : atti delle giornate di studio, Trieste, 15-16 aprile 2010 / a cura di Daniela Picamus.</t>
  </si>
  <si>
    <t>Biblioteca della "Rivista di letteratura italiana", 1828-8731 ; 20</t>
  </si>
  <si>
    <t>1077478781:ita</t>
  </si>
  <si>
    <t>775024981</t>
  </si>
  <si>
    <t>ocn775024981</t>
  </si>
  <si>
    <t>3103125644J</t>
  </si>
  <si>
    <t>9788862274302</t>
  </si>
  <si>
    <t>794907124</t>
  </si>
  <si>
    <t>PQ4837 U3 A25</t>
  </si>
  <si>
    <t>0                      PQ 4837000U  3                  A  25</t>
  </si>
  <si>
    <t>Selected writings. Edited and translated from the Italian by Allen Mandelbaum.</t>
  </si>
  <si>
    <t>Quasimodo, Salvatore, 1901-1968.</t>
  </si>
  <si>
    <t>New York, Farrar, Straus &amp; Cudahy [1960]</t>
  </si>
  <si>
    <t>4451775319:eng</t>
  </si>
  <si>
    <t>345390</t>
  </si>
  <si>
    <t>ocm00345390</t>
  </si>
  <si>
    <t>31034876342</t>
  </si>
  <si>
    <t>791344832</t>
  </si>
  <si>
    <t>PQ4837 U3 A6 1989</t>
  </si>
  <si>
    <t>0                      PQ 4837000U  3                  A  6           1989</t>
  </si>
  <si>
    <t>Poesie e discorsi sulla poesia / Salvatore Quasimodo ; a cura e con introduzione di Gilberto Finzi ; prefazione di Carlo Bo.</t>
  </si>
  <si>
    <t>Milano : Arnoldo Mondadori, 1983.</t>
  </si>
  <si>
    <t>2016-07-09</t>
  </si>
  <si>
    <t>47460618:ita</t>
  </si>
  <si>
    <t>16141230</t>
  </si>
  <si>
    <t>ocm16141230</t>
  </si>
  <si>
    <t>3101316776C</t>
  </si>
  <si>
    <t>792956398</t>
  </si>
  <si>
    <t>PQ4837 U3 Z596 2012</t>
  </si>
  <si>
    <t>0                      PQ 4837000U  3                  Z  596         2012</t>
  </si>
  <si>
    <t>Quasimodo e la poesia antica / Andrea Cozzolino.</t>
  </si>
  <si>
    <t>Cozzolino, Andrea, 1948-</t>
  </si>
  <si>
    <t>Napoli : Loffredo editore, [2012]</t>
  </si>
  <si>
    <t>Studi latini ; 82</t>
  </si>
  <si>
    <t>2018-12-14</t>
  </si>
  <si>
    <t>1201882853:ita</t>
  </si>
  <si>
    <t>824351102</t>
  </si>
  <si>
    <t>ocn824351102</t>
  </si>
  <si>
    <t>3103126039Z</t>
  </si>
  <si>
    <t>9788875645854</t>
  </si>
  <si>
    <t>794937708</t>
  </si>
  <si>
    <t>PQ4839 E2 Z58 2010</t>
  </si>
  <si>
    <t>0                      PQ 4839000E  2                  Z  58          2010</t>
  </si>
  <si>
    <t>L'indomabile furore : sondaggi su Domenico Rea / Annalisa Carbone.</t>
  </si>
  <si>
    <t>Carbone, Annalisa, 1978-</t>
  </si>
  <si>
    <t>Biblioteca. Letterature ; 78</t>
  </si>
  <si>
    <t>768854308:ita</t>
  </si>
  <si>
    <t>620110573</t>
  </si>
  <si>
    <t>ocn620110573</t>
  </si>
  <si>
    <t>3103125076V</t>
  </si>
  <si>
    <t>9788820748791</t>
  </si>
  <si>
    <t>794823512</t>
  </si>
  <si>
    <t>PQ4839 I53 R37 1996</t>
  </si>
  <si>
    <t>0                      PQ 4839000I  53                 R  37          1996</t>
  </si>
  <si>
    <t>I rascenı̀je (1965-1995) / Giose Rimanelli ; prefazione di Achille Serrao ; postfazione di Giovanni Tesio.</t>
  </si>
  <si>
    <t>Rimanelli, Giose, 1925-</t>
  </si>
  <si>
    <t>Faenza : Mobydick, ©1996.</t>
  </si>
  <si>
    <t>Lenuvole ; 19</t>
  </si>
  <si>
    <t>41907012:ita</t>
  </si>
  <si>
    <t>39170647</t>
  </si>
  <si>
    <t>ocm39170647</t>
  </si>
  <si>
    <t>3101939665Q</t>
  </si>
  <si>
    <t>9788885122932</t>
  </si>
  <si>
    <t>793539730</t>
  </si>
  <si>
    <t>PQ4839 I53 Z65 2018</t>
  </si>
  <si>
    <t>0                      PQ 4839000I  53                 Z  65          2018</t>
  </si>
  <si>
    <t>Due esiliati : Giuseppe De Santis e Giose Rimanelli / a cura di Antonio Carlo Vitti.</t>
  </si>
  <si>
    <t>Fano (Italy) : Metauro, [2018]</t>
  </si>
  <si>
    <t>4801791170:ita</t>
  </si>
  <si>
    <t>1027773400</t>
  </si>
  <si>
    <t>on1027773400</t>
  </si>
  <si>
    <t>3103718252T</t>
  </si>
  <si>
    <t>9788861561441</t>
  </si>
  <si>
    <t>795052881</t>
  </si>
  <si>
    <t>PQ4839 O3 A6 1993</t>
  </si>
  <si>
    <t>0                      PQ 4839000O  3                  A  6           1993</t>
  </si>
  <si>
    <t>Romanzi, novelle e saggi / Federico De Roberto ; a cura di Carlo A. Madrignani.</t>
  </si>
  <si>
    <t>De Roberto, Federico, 1861-1927.</t>
  </si>
  <si>
    <t>Milano : A. Mondadori, 1984.</t>
  </si>
  <si>
    <t>285648907:ita</t>
  </si>
  <si>
    <t>11449523</t>
  </si>
  <si>
    <t>ocm11449523</t>
  </si>
  <si>
    <t>3101316545V</t>
  </si>
  <si>
    <t>792773760</t>
  </si>
  <si>
    <t>PQ4839 O3 V5 1920</t>
  </si>
  <si>
    <t>0                      PQ 4839000O  3                  V  5           1920</t>
  </si>
  <si>
    <t>I vicerè : romanzo / Federico de Roberto.</t>
  </si>
  <si>
    <t>Milano : S.A. Fratelli Treves, 1920.</t>
  </si>
  <si>
    <t>3377108453:ita</t>
  </si>
  <si>
    <t>15806221</t>
  </si>
  <si>
    <t>ocm15806221</t>
  </si>
  <si>
    <t>3103021779W</t>
  </si>
  <si>
    <t>792943705</t>
  </si>
  <si>
    <t>3103021784U</t>
  </si>
  <si>
    <t>792943706</t>
  </si>
  <si>
    <t>PQ4839 O3 V5 1984</t>
  </si>
  <si>
    <t>0                      PQ 4839000O  3                  V  5           1984</t>
  </si>
  <si>
    <t>I viceré / Federico De Roberto ; a cura di Mario Lunetta.</t>
  </si>
  <si>
    <t>Roma : Newton Compton Editori, 1984.</t>
  </si>
  <si>
    <t>Universale tascabile ; 46</t>
  </si>
  <si>
    <t>27884717</t>
  </si>
  <si>
    <t>ocm27884717</t>
  </si>
  <si>
    <t>30005290512</t>
  </si>
  <si>
    <t>793274388</t>
  </si>
  <si>
    <t>PQ4839 O3 V513 1962</t>
  </si>
  <si>
    <t>0                      PQ 4839000O  3                  V  513         1962</t>
  </si>
  <si>
    <t>The viceroys. Translated from the Italian by Archibald Colquhoun, with an introd. by the translator.</t>
  </si>
  <si>
    <t>New York, Harcourt, Brace &amp; World [1962]</t>
  </si>
  <si>
    <t>3377108453:eng</t>
  </si>
  <si>
    <t>1337852</t>
  </si>
  <si>
    <t>ocm01337852</t>
  </si>
  <si>
    <t>30003463169</t>
  </si>
  <si>
    <t>791603896</t>
  </si>
  <si>
    <t>PQ4839 O3 V533 1995</t>
  </si>
  <si>
    <t>0                      PQ 4839000O  3                  V  533         1995</t>
  </si>
  <si>
    <t>Come leggere I Viceré di Federico De Roberto / Giancarlo Borri.</t>
  </si>
  <si>
    <t>Borri, Giancarlo, 1928-</t>
  </si>
  <si>
    <t>Come leggere ; 31</t>
  </si>
  <si>
    <t>37845329:ita</t>
  </si>
  <si>
    <t>33418510</t>
  </si>
  <si>
    <t>ocm33418510</t>
  </si>
  <si>
    <t>3101543724E</t>
  </si>
  <si>
    <t>9788842518679</t>
  </si>
  <si>
    <t>793409024</t>
  </si>
  <si>
    <t>PQ4839 O3 V534 1982</t>
  </si>
  <si>
    <t>0                      PQ 4839000O  3                  V  534         1982</t>
  </si>
  <si>
    <t>"I viceré" e la patologia del reale : discussione e analisi storica delle strutture del romanzo / Gianni Grana.</t>
  </si>
  <si>
    <t>Milano : Marzorati, ©1982.</t>
  </si>
  <si>
    <t>Sintesi (Marzorati (Firm))</t>
  </si>
  <si>
    <t>44355207:ita</t>
  </si>
  <si>
    <t>10606892</t>
  </si>
  <si>
    <t>ocm10606892</t>
  </si>
  <si>
    <t>31029471834</t>
  </si>
  <si>
    <t>9788828000037</t>
  </si>
  <si>
    <t>792734251</t>
  </si>
  <si>
    <t>PQ4839 O3 Z486 1978</t>
  </si>
  <si>
    <t>0                      PQ 4839000O  3                  Z  486         1978</t>
  </si>
  <si>
    <t>Lettere a donna Marianna degli Asmundo / Federico De Roberto ; a cura di Sarah Zappulla Muscarà.</t>
  </si>
  <si>
    <t>[Catania] : C. Tringale, 1978.</t>
  </si>
  <si>
    <t>Inediti e rari ; 1</t>
  </si>
  <si>
    <t>14569051:ita</t>
  </si>
  <si>
    <t>4229341</t>
  </si>
  <si>
    <t>ocm04229341</t>
  </si>
  <si>
    <t>3000450240X</t>
  </si>
  <si>
    <t>792332893</t>
  </si>
  <si>
    <t>PQ4839 O3 Z544 1988</t>
  </si>
  <si>
    <t>0                      PQ 4839000O  3                  Z  544         1988</t>
  </si>
  <si>
    <t>De Roberto e dintorni / Vitaliano Brancati ; a cura di Rita Verdirame.</t>
  </si>
  <si>
    <t>[Catania] : Tringale, [1988]</t>
  </si>
  <si>
    <t>Testimoni del tempo ; 1</t>
  </si>
  <si>
    <t>355615190:ita</t>
  </si>
  <si>
    <t>19722062</t>
  </si>
  <si>
    <t>ocm19722062</t>
  </si>
  <si>
    <t>31001769508</t>
  </si>
  <si>
    <t>793066796</t>
  </si>
  <si>
    <t>PQ4839 O3 Z838 2011</t>
  </si>
  <si>
    <t>0                      PQ 4839000O  3                  Z  838         2011</t>
  </si>
  <si>
    <t>Novels of Federico de Roberto : from naturalism to modernism / Annamaria Pagliaro.</t>
  </si>
  <si>
    <t>Pagliaro, Annamaria.</t>
  </si>
  <si>
    <t>Kibworth Beauchamp, U.K. : Toubador Publishing, ©2011.</t>
  </si>
  <si>
    <t>Troubadour Italian studies</t>
  </si>
  <si>
    <t>1016695968:eng</t>
  </si>
  <si>
    <t>754993953</t>
  </si>
  <si>
    <t>ocn754993953</t>
  </si>
  <si>
    <t>3103381900T</t>
  </si>
  <si>
    <t>9781848766082</t>
  </si>
  <si>
    <t>794893360</t>
  </si>
  <si>
    <t>PQ4839 O516 Z78 2007</t>
  </si>
  <si>
    <t>0                      PQ 4839000O  516                Z  78          2007</t>
  </si>
  <si>
    <t>Lalla Romano a Milano : atti del convegno 1 e 8 giugno 2007, Università degli studi di Milano / a cura di Giuliana Nuvoli.</t>
  </si>
  <si>
    <t>Quaderni della Rassegna ; 74</t>
  </si>
  <si>
    <t>1203412312:ita</t>
  </si>
  <si>
    <t>824728055</t>
  </si>
  <si>
    <t>ocn824728055</t>
  </si>
  <si>
    <t>3103126067T</t>
  </si>
  <si>
    <t>9788876674327</t>
  </si>
  <si>
    <t>794938224</t>
  </si>
  <si>
    <t>PQ4839 O8 Z54 2012</t>
  </si>
  <si>
    <t>0                      PQ 4839000O  8                  Z  54          2012</t>
  </si>
  <si>
    <t>Una donna nella storia : vita e letteratura di Amelia Pincherle Rosselli : tragico tempo, chiaro il dovere / di Giovanna Amato ; con scritti di Marina Callonti, Biancamaria Frabotta.</t>
  </si>
  <si>
    <t>Amato, Giovanna.</t>
  </si>
  <si>
    <t>Firenze : Alinea, 2012.</t>
  </si>
  <si>
    <t>Quaderni del Circolo Rosselli, 1123-9700 ; fasc. 112</t>
  </si>
  <si>
    <t>1108630158:ita</t>
  </si>
  <si>
    <t>793723473</t>
  </si>
  <si>
    <t>ocn793723473</t>
  </si>
  <si>
    <t>3103514679Z</t>
  </si>
  <si>
    <t>794918630</t>
  </si>
  <si>
    <t>PQ4841 A18 A14 2001</t>
  </si>
  <si>
    <t>0                      PQ 4841000A  18                 A  14          2001</t>
  </si>
  <si>
    <t>Tutte le prose / Umberto Saba ; a cura di Arrigo Stara ; con un saggio introduttivo di Mario Lavagetto.</t>
  </si>
  <si>
    <t>2017-07-22</t>
  </si>
  <si>
    <t>478962665:ita</t>
  </si>
  <si>
    <t>49375812</t>
  </si>
  <si>
    <t>ocm49375812</t>
  </si>
  <si>
    <t>3102337998J</t>
  </si>
  <si>
    <t>9788804489368</t>
  </si>
  <si>
    <t>793738837</t>
  </si>
  <si>
    <t>PQ4841 A18 A17 1994</t>
  </si>
  <si>
    <t>0                      PQ 4841000A  18                 A  17          1994</t>
  </si>
  <si>
    <t>Tutte le poesie / Umberto Saba ; a cura di Arrigo Stara ; introduzione di Mario Lavagetto.</t>
  </si>
  <si>
    <t>2. ed. Meridiani.</t>
  </si>
  <si>
    <t>Meridiani</t>
  </si>
  <si>
    <t>221810314:ita</t>
  </si>
  <si>
    <t>427978451</t>
  </si>
  <si>
    <t>ocn427978451</t>
  </si>
  <si>
    <t>3101449001V</t>
  </si>
  <si>
    <t>9788804301066</t>
  </si>
  <si>
    <t>794732263</t>
  </si>
  <si>
    <t>PQ4841 A18 A6 1981</t>
  </si>
  <si>
    <t>0                      PQ 4841000A  18                 A  6           1981</t>
  </si>
  <si>
    <t>Per conoscere Saba / a cura di Mario Lavagetto.</t>
  </si>
  <si>
    <t>1a ed. Oscar Mondadori.</t>
  </si>
  <si>
    <t>Gli Oscar</t>
  </si>
  <si>
    <t>198969355:ita</t>
  </si>
  <si>
    <t>8491638</t>
  </si>
  <si>
    <t>ocm08491638</t>
  </si>
  <si>
    <t>3000335406J</t>
  </si>
  <si>
    <t>792622506</t>
  </si>
  <si>
    <t>PQ4841 A18 C3 1948</t>
  </si>
  <si>
    <t>0                      PQ 4841000A  18                 C  3           1948</t>
  </si>
  <si>
    <t>Il canzoniere (1900-1947) / Umberto Saba.</t>
  </si>
  <si>
    <t>[Torino] : Einaudi, 1948.</t>
  </si>
  <si>
    <t>I millenni ; 4</t>
  </si>
  <si>
    <t>3901095901:ita</t>
  </si>
  <si>
    <t>427555513</t>
  </si>
  <si>
    <t>ocn427555513</t>
  </si>
  <si>
    <t>3102664420R</t>
  </si>
  <si>
    <t>794684512</t>
  </si>
  <si>
    <t>PQ4841 A18 E713 1987</t>
  </si>
  <si>
    <t>0                      PQ 4841000A  18                 E  713         1987</t>
  </si>
  <si>
    <t>Ernesto / Umberto Saba ; translated from the Italian by Mark Thompson.</t>
  </si>
  <si>
    <t>Manchester ; New York, N.Y. : Carcanet, 1987.</t>
  </si>
  <si>
    <t>2016-09-17</t>
  </si>
  <si>
    <t>6287408:eng</t>
  </si>
  <si>
    <t>18908917</t>
  </si>
  <si>
    <t>ocm18908917</t>
  </si>
  <si>
    <t>3000195112E</t>
  </si>
  <si>
    <t>9780856355592</t>
  </si>
  <si>
    <t>793041072</t>
  </si>
  <si>
    <t>PQ4841 A18 S3 1963</t>
  </si>
  <si>
    <t>0                      PQ 4841000A  18                 S  3           1963</t>
  </si>
  <si>
    <t>Scorciatoie e raccontini.</t>
  </si>
  <si>
    <t>Milano] Mondadori [1963, ©1946]</t>
  </si>
  <si>
    <t>Specchio, i poeti del nostro tempo</t>
  </si>
  <si>
    <t>1570783:ita</t>
  </si>
  <si>
    <t>53287239</t>
  </si>
  <si>
    <t>ocm53287239</t>
  </si>
  <si>
    <t>3000772963O</t>
  </si>
  <si>
    <t>793825523</t>
  </si>
  <si>
    <t>PQ4841 A18 S435 2011</t>
  </si>
  <si>
    <t>0                      PQ 4841000A  18                 S  435         2011</t>
  </si>
  <si>
    <t>Il poeta, il cane e la gallina : Scorciatoie e raccontini di Umberto Saba tra umorismo ebraico e Shoah / Paola Frandini.</t>
  </si>
  <si>
    <t>Frandini, Paola.</t>
  </si>
  <si>
    <t>La nuova meridiana ; 70</t>
  </si>
  <si>
    <t>818459011:ita</t>
  </si>
  <si>
    <t>707459662</t>
  </si>
  <si>
    <t>ocn707459662</t>
  </si>
  <si>
    <t>3103125323W</t>
  </si>
  <si>
    <t>9788860873712</t>
  </si>
  <si>
    <t>794867748</t>
  </si>
  <si>
    <t>PQ4841 A18 Z48 2010</t>
  </si>
  <si>
    <t>0                      PQ 4841000A  18                 Z  48          2010</t>
  </si>
  <si>
    <t>Il cerchio imperfetto : lettere, 1946-1954 / Umberto Saba, Vittorio Sereni ; a cura di Cecilia Gibellini.</t>
  </si>
  <si>
    <t>Milano : Archinto, 2010.</t>
  </si>
  <si>
    <t>796330679:ita</t>
  </si>
  <si>
    <t>642806299</t>
  </si>
  <si>
    <t>ocn642806299</t>
  </si>
  <si>
    <t>31031251143</t>
  </si>
  <si>
    <t>9788877685483</t>
  </si>
  <si>
    <t>794828393</t>
  </si>
  <si>
    <t>PQ4841 A18 Z48 2013</t>
  </si>
  <si>
    <t>0                      PQ 4841000A  18                 Z  48          2013</t>
  </si>
  <si>
    <t>Gli angeli di Cocteau : lettere 1946-1954 / Umberto Saba, Sergio Ferrero ; a cura di Basilio Luoni, Andrea Rossetti ; introduzione di Sergio Ferrero ; postfazione di Basilio Luoni.</t>
  </si>
  <si>
    <t>Milano : Archinto, [2013]</t>
  </si>
  <si>
    <t>1332172034:ita</t>
  </si>
  <si>
    <t>843755368</t>
  </si>
  <si>
    <t>ocn843755368</t>
  </si>
  <si>
    <t>3103126233T</t>
  </si>
  <si>
    <t>9788877686343</t>
  </si>
  <si>
    <t>794948144</t>
  </si>
  <si>
    <t>PQ4841 A18 Z645 2011</t>
  </si>
  <si>
    <t>0                      PQ 4841000A  18                 Z  645         2011</t>
  </si>
  <si>
    <t>Della visione e dell'enigma : Umberto Saba da Petrarca all'Europa / Bartolo Calderone.</t>
  </si>
  <si>
    <t>Calderone, Bartolo.</t>
  </si>
  <si>
    <t>Intersezioni ; 2</t>
  </si>
  <si>
    <t>1122978370:ita</t>
  </si>
  <si>
    <t>798053322</t>
  </si>
  <si>
    <t>ocn798053322</t>
  </si>
  <si>
    <t>3103126054V</t>
  </si>
  <si>
    <t>9788877968517</t>
  </si>
  <si>
    <t>794923015</t>
  </si>
  <si>
    <t>PQ4841 A18 Z647 2017</t>
  </si>
  <si>
    <t>0                      PQ 4841000A  18                 Z  647         2017</t>
  </si>
  <si>
    <t>Saba / Stefano Carrai.</t>
  </si>
  <si>
    <t>Roma : Salerno editrice, 2017.</t>
  </si>
  <si>
    <t>Sestante ; 40</t>
  </si>
  <si>
    <t>4154348762:ita</t>
  </si>
  <si>
    <t>981221489</t>
  </si>
  <si>
    <t>ocn981221489</t>
  </si>
  <si>
    <t>3103721236J</t>
  </si>
  <si>
    <t>9788869731976</t>
  </si>
  <si>
    <t>795033953</t>
  </si>
  <si>
    <t>PQ4841 A18 Z873 2012</t>
  </si>
  <si>
    <t>0                      PQ 4841000A  18                 Z  873         2012</t>
  </si>
  <si>
    <t>Saba / Fulvio Senardi.</t>
  </si>
  <si>
    <t>Senardi, Fulvio.</t>
  </si>
  <si>
    <t>1120177693:ita</t>
  </si>
  <si>
    <t>795755272</t>
  </si>
  <si>
    <t>ocn795755272</t>
  </si>
  <si>
    <t>3103125941A</t>
  </si>
  <si>
    <t>9788815239174</t>
  </si>
  <si>
    <t>794921554</t>
  </si>
  <si>
    <t>PQ4841 A4 Z575 2017</t>
  </si>
  <si>
    <t>0                      PQ 4841000A  4                  Z  575         2017</t>
  </si>
  <si>
    <t>Emilio Salgari : una mitologia moderna tra letteratura, politica, società / Ann Lawson Lucas.</t>
  </si>
  <si>
    <t>Lawson Lucas, Ann, author.</t>
  </si>
  <si>
    <t>Firenze : Leo S. Olschki editore, 2017-&lt;2019&gt;</t>
  </si>
  <si>
    <t>Biblioteca dell'"Archivum Romanicum." Serie I, Storia, letteratura, paleografia, 0066-6807 ; 456-458</t>
  </si>
  <si>
    <t>2019-06-06</t>
  </si>
  <si>
    <t>10075828741:ita</t>
  </si>
  <si>
    <t>1002084166</t>
  </si>
  <si>
    <t>on1002084166</t>
  </si>
  <si>
    <t>3103641933T</t>
  </si>
  <si>
    <t>9788822264695</t>
  </si>
  <si>
    <t>795040895</t>
  </si>
  <si>
    <t>3103892547M</t>
  </si>
  <si>
    <t>795040894</t>
  </si>
  <si>
    <t>PQ4841 A4 Z646 2011</t>
  </si>
  <si>
    <t>0                      PQ 4841000A  4                  Z  646         2011</t>
  </si>
  <si>
    <t>Emilio Salgari : la macchina dei sogni / Claudio Gallo, Giuseppe Bonomi ; presentazione di Mino Milani.</t>
  </si>
  <si>
    <t>Gallo, Claudio, 1950- author.</t>
  </si>
  <si>
    <t>[Milan, Italy] : BUR Rizzoli, 2011, ©2011.</t>
  </si>
  <si>
    <t>Prima edizione BUR Biografie.</t>
  </si>
  <si>
    <t>Biografie</t>
  </si>
  <si>
    <t>894524450:ita</t>
  </si>
  <si>
    <t>719414105</t>
  </si>
  <si>
    <t>ocn719414105</t>
  </si>
  <si>
    <t>3103125414V</t>
  </si>
  <si>
    <t>9788817050067</t>
  </si>
  <si>
    <t>794874411</t>
  </si>
  <si>
    <t>PQ4841 A67 N53 2011</t>
  </si>
  <si>
    <t>0                      PQ 4841000A  67                 N  53          2011</t>
  </si>
  <si>
    <t>I nidi delle cicogne e altri scritti inediti / Luigi Santucci ; a cura di Marco Beck ; premessa di Gianfranco Ravasi ; introduzione di Ermanno Paccagnini.</t>
  </si>
  <si>
    <t>Santucci, Luigi.</t>
  </si>
  <si>
    <t>Torino : N. Aragno, ©2011.</t>
  </si>
  <si>
    <t>1044135340:ita</t>
  </si>
  <si>
    <t>760988795</t>
  </si>
  <si>
    <t>ocn760988795</t>
  </si>
  <si>
    <t>3103125627N</t>
  </si>
  <si>
    <t>9788884195258</t>
  </si>
  <si>
    <t>794898912</t>
  </si>
  <si>
    <t>PQ4841 B3 A63 1985</t>
  </si>
  <si>
    <t>0                      PQ 4841000B  3                  A  63          1985</t>
  </si>
  <si>
    <t>The poetry and selected prose of Camillo Sbarbaro / edited and translated by Vittorio Felaco ; preface by Franco Fido.</t>
  </si>
  <si>
    <t>Sbarbaro, Camillo, 1888-1967.</t>
  </si>
  <si>
    <t>Potomac, Md., U.S.A. : Scripta Humanistica, [1985], ©1984.</t>
  </si>
  <si>
    <t>Scripta Humanistica ; 12</t>
  </si>
  <si>
    <t>197705727:eng</t>
  </si>
  <si>
    <t>12161379</t>
  </si>
  <si>
    <t>ocm12161379</t>
  </si>
  <si>
    <t>3000377122$</t>
  </si>
  <si>
    <t>9780916379193</t>
  </si>
  <si>
    <t>792804196</t>
  </si>
  <si>
    <t>PQ4841 B3 T7 1963</t>
  </si>
  <si>
    <t>0                      PQ 4841000B  3                  T  7           1963</t>
  </si>
  <si>
    <t>Trucioli.</t>
  </si>
  <si>
    <t>Milano] Mondadori [1963]</t>
  </si>
  <si>
    <t>Lo specchio. I poeti del nostro tempo</t>
  </si>
  <si>
    <t>2072389:ita</t>
  </si>
  <si>
    <t>1146908</t>
  </si>
  <si>
    <t>ocm01146908</t>
  </si>
  <si>
    <t>3000202639$</t>
  </si>
  <si>
    <t>791556856</t>
  </si>
  <si>
    <t>PQ4841 B3 Z593 2008</t>
  </si>
  <si>
    <t>0                      PQ 4841000B  3                  Z  593         2008</t>
  </si>
  <si>
    <t>La dorata parmelia : licheni, poesia e cultura in Camillo Sbarbaro (1888-1967) / a cura di Giuseppe Magurno.</t>
  </si>
  <si>
    <t>Lingue e letterature Carocci ; 124</t>
  </si>
  <si>
    <t>1004784516:ita</t>
  </si>
  <si>
    <t>748343932</t>
  </si>
  <si>
    <t>ocn748343932</t>
  </si>
  <si>
    <t>3103125523Q</t>
  </si>
  <si>
    <t>9788843060696</t>
  </si>
  <si>
    <t>794889277</t>
  </si>
  <si>
    <t>PQ4841 B3 Z94 2011</t>
  </si>
  <si>
    <t>0                      PQ 4841000B  3                  Z  94          2011</t>
  </si>
  <si>
    <t>La sirena dipinta : Sbarbaro e l'universo femminile / Lavinia Spalanca ; prefazione di Stefano Verdino.</t>
  </si>
  <si>
    <t>Spalanca, Lavinia.</t>
  </si>
  <si>
    <t>[Genoa, Italy] : Fondazione Giorgio e Lilli Devoto : San Marco dei Giustiniani, ©2011.</t>
  </si>
  <si>
    <t>Quaderni sbarbariani ; n. 7</t>
  </si>
  <si>
    <t>1076206143:ita</t>
  </si>
  <si>
    <t>774489566</t>
  </si>
  <si>
    <t>ocn774489566</t>
  </si>
  <si>
    <t>3103125657H</t>
  </si>
  <si>
    <t>9788874942367</t>
  </si>
  <si>
    <t>794906451</t>
  </si>
  <si>
    <t>PQ4841 C24 Z7 1991</t>
  </si>
  <si>
    <t>0                      PQ 4841000C  24                 Z  7           1991</t>
  </si>
  <si>
    <t>Piero Scanziani : a man for Europe : an introduction to the work of Piero Scanziani / [Vittorio Vettori [and others] ; translated by Nicoletta Simborowski-Gill.</t>
  </si>
  <si>
    <t>Windsor : Eureka, 1991.</t>
  </si>
  <si>
    <t>5613193697:eng</t>
  </si>
  <si>
    <t>427518576</t>
  </si>
  <si>
    <t>ocn427518576</t>
  </si>
  <si>
    <t>3101146613$</t>
  </si>
  <si>
    <t>9781873414040</t>
  </si>
  <si>
    <t>794673866</t>
  </si>
  <si>
    <t>PQ4841 C4 S34 2011</t>
  </si>
  <si>
    <t>0                      PQ 4841000C  4                  S  34          2011</t>
  </si>
  <si>
    <t>Lo scandalo dell'osservatorio astronomico / Giorgio Scerbanenco ; a cura di Cecilia Scerbanenco.</t>
  </si>
  <si>
    <t>Scerbanenco, Giorgio, 1911-1969.</t>
  </si>
  <si>
    <t>La memoria ; 859</t>
  </si>
  <si>
    <t>943778656:ita</t>
  </si>
  <si>
    <t>741694195</t>
  </si>
  <si>
    <t>ocn741694195</t>
  </si>
  <si>
    <t>3103125541M</t>
  </si>
  <si>
    <t>9788838925689</t>
  </si>
  <si>
    <t>794884391</t>
  </si>
  <si>
    <t>PQ4841 C4 V413 2012</t>
  </si>
  <si>
    <t>0                      PQ 4841000C  4                  V  413         2012</t>
  </si>
  <si>
    <t>A private Venus / Giorgio Scerbanenco ; translated from the Italian by Howard Curtis [with an introduction by Giuliana Pieri].</t>
  </si>
  <si>
    <t>Oxfordshire : Hersilia Press, 2012.</t>
  </si>
  <si>
    <t>4495250459:eng</t>
  </si>
  <si>
    <t>776774328</t>
  </si>
  <si>
    <t>ocn776774328</t>
  </si>
  <si>
    <t>3103454800T</t>
  </si>
  <si>
    <t>9780956379641</t>
  </si>
  <si>
    <t>794908295</t>
  </si>
  <si>
    <t>PQ4841 C482 A12 1985 v. 2</t>
  </si>
  <si>
    <t>0                      PQ 4841000C  482                A  12          1985                  v. 2</t>
  </si>
  <si>
    <t>Senilità / Italo Svevo.</t>
  </si>
  <si>
    <t>v. 2*</t>
  </si>
  <si>
    <t>Svevo, Italo, 1861-1928.</t>
  </si>
  <si>
    <t>Pordenone : Edizioni Studio Tesi, 1986.</t>
  </si>
  <si>
    <t>Edizione critica delle opere di Italo Svevo ; v. 2</t>
  </si>
  <si>
    <t>2213316:ita</t>
  </si>
  <si>
    <t>14955136</t>
  </si>
  <si>
    <t>ocm14955136</t>
  </si>
  <si>
    <t>3000537859W</t>
  </si>
  <si>
    <t>9788876920271</t>
  </si>
  <si>
    <t>792914887</t>
  </si>
  <si>
    <t>PQ4841 C482 A15 1994</t>
  </si>
  <si>
    <t>0                      PQ 4841000C  482                A  15          1994</t>
  </si>
  <si>
    <t>Romanzi / Italo Svevo ; a cura di Pietro Sarzana ; introduzione di Franco Gavazzeni.</t>
  </si>
  <si>
    <t>Milano : A. Mondadori, 1994, ©1985.</t>
  </si>
  <si>
    <t>5549393:ita</t>
  </si>
  <si>
    <t>31672697</t>
  </si>
  <si>
    <t>ocm31672697</t>
  </si>
  <si>
    <t>31014462961</t>
  </si>
  <si>
    <t>9788804246084</t>
  </si>
  <si>
    <t>793365464</t>
  </si>
  <si>
    <t>PQ4841 C482 A24 1969a</t>
  </si>
  <si>
    <t>0                      PQ 4841000C  482                A  24          1969a</t>
  </si>
  <si>
    <t>Further confessions of Zeno [by] Italo Svevo.</t>
  </si>
  <si>
    <t>Berkeley, University of California Press [1969]</t>
  </si>
  <si>
    <t>The Uniform edition of Svevo's works, v. 5</t>
  </si>
  <si>
    <t>3901260883:eng</t>
  </si>
  <si>
    <t>23577</t>
  </si>
  <si>
    <t>ocm00023577</t>
  </si>
  <si>
    <t>3100659351T</t>
  </si>
  <si>
    <t>9780520017535</t>
  </si>
  <si>
    <t>791231875</t>
  </si>
  <si>
    <t>PQ4841 C482 B87 2014</t>
  </si>
  <si>
    <t>0                      PQ 4841000C  482                B  87          2014</t>
  </si>
  <si>
    <t>Una burla riuscita : edizione critica sulla base di un nuovo testimone / Italo Svevo ; a cura di Beatrice Stasi.</t>
  </si>
  <si>
    <t>Filigrane, 2284-4481 ; 28</t>
  </si>
  <si>
    <t>814770:ita</t>
  </si>
  <si>
    <t>905087769</t>
  </si>
  <si>
    <t>ocn905087769</t>
  </si>
  <si>
    <t>3103201040K</t>
  </si>
  <si>
    <t>9788867602186</t>
  </si>
  <si>
    <t>794991099</t>
  </si>
  <si>
    <t>PQ4841 C482 C6 2008</t>
  </si>
  <si>
    <t>0                      PQ 4841000C  482                C  6           2008</t>
  </si>
  <si>
    <t>La coscienza di Zeno / Italo Svevo ; a cura di Beatrice Stasi.</t>
  </si>
  <si>
    <t>Roma : Edizioni di storia e letteratura, 2008.</t>
  </si>
  <si>
    <t>Edizione nazionale dell'opera omnia di Italo Svevo ; 3</t>
  </si>
  <si>
    <t>500222:ita</t>
  </si>
  <si>
    <t>298179871</t>
  </si>
  <si>
    <t>ocn298179871</t>
  </si>
  <si>
    <t>3103142299N</t>
  </si>
  <si>
    <t>9788884984838</t>
  </si>
  <si>
    <t>794427493</t>
  </si>
  <si>
    <t>PQ4841 C482 C613 1958</t>
  </si>
  <si>
    <t>0                      PQ 4841000C  482                C  613         1958</t>
  </si>
  <si>
    <t>Confessions of Zeno / Italo Svevo ; translated from the Italian by Beryl De Zoete.</t>
  </si>
  <si>
    <t>New York : Vintage Books, [1958]</t>
  </si>
  <si>
    <t>Vintage Book, K-63</t>
  </si>
  <si>
    <t>500222:eng</t>
  </si>
  <si>
    <t>424610</t>
  </si>
  <si>
    <t>ocm00424610</t>
  </si>
  <si>
    <t>3103628483B</t>
  </si>
  <si>
    <t>791375131</t>
  </si>
  <si>
    <t>PQ4841 C482 C613 2001</t>
  </si>
  <si>
    <t>0                      PQ 4841000C  482                C  613         2001</t>
  </si>
  <si>
    <t>Zeno's conscience / Italo Svevo ; translated from the Italian by William Weaver with an introduction by the translator and a preface by Elizabeth Hardwick.</t>
  </si>
  <si>
    <t>New York : Alfred A. Knopf, ©2001.</t>
  </si>
  <si>
    <t>Everyman's library (Alfred A. Knopf, Inc.) ; 249</t>
  </si>
  <si>
    <t>47785597</t>
  </si>
  <si>
    <t>ocm47785597</t>
  </si>
  <si>
    <t>3102198641K</t>
  </si>
  <si>
    <t>9780375413308</t>
  </si>
  <si>
    <t>793707920</t>
  </si>
  <si>
    <t>3102198640M</t>
  </si>
  <si>
    <t>793707919</t>
  </si>
  <si>
    <t>PQ4841 C482 C633 2003</t>
  </si>
  <si>
    <t>0                      PQ 4841000C  482                C  633         2003</t>
  </si>
  <si>
    <t>Lo sguardo su di sé : Zeno e l'umorismo della coscienza / Patrizia Biaggini.</t>
  </si>
  <si>
    <t>Biaggini, Patrizia, 1960-</t>
  </si>
  <si>
    <t>Pisa : ETS, ©2003.</t>
  </si>
  <si>
    <t>Filosofia ; nuova ser. 61</t>
  </si>
  <si>
    <t>2018-12-06</t>
  </si>
  <si>
    <t>351266092:ita</t>
  </si>
  <si>
    <t>52329603</t>
  </si>
  <si>
    <t>ocm52329603</t>
  </si>
  <si>
    <t>31022903806</t>
  </si>
  <si>
    <t>9788846706799</t>
  </si>
  <si>
    <t>793803628</t>
  </si>
  <si>
    <t>PQ4841 C482 C6349 2012</t>
  </si>
  <si>
    <t>0                      PQ 4841000C  482                C  6349        2012</t>
  </si>
  <si>
    <t>Svevo romanziere : ottimismo, pseudo-Weininger, inettitudine / Luca Curti.</t>
  </si>
  <si>
    <t>Curti, Luca.</t>
  </si>
  <si>
    <t>Letteratura italiana ; 21</t>
  </si>
  <si>
    <t>1169193440:ita</t>
  </si>
  <si>
    <t>811003774</t>
  </si>
  <si>
    <t>ocn811003774</t>
  </si>
  <si>
    <t>3103125949A</t>
  </si>
  <si>
    <t>9788846733658</t>
  </si>
  <si>
    <t>794929683</t>
  </si>
  <si>
    <t>PQ4841 C482 C635</t>
  </si>
  <si>
    <t>0                      PQ 4841000C  482                C  635</t>
  </si>
  <si>
    <t>Svevo e Freud : proposta di interpretazione della Coscienza di Zeno / Carlo Fonda.</t>
  </si>
  <si>
    <t>Fonda, Carlo.</t>
  </si>
  <si>
    <t>Ravenna : Longo, 1978.</t>
  </si>
  <si>
    <t>Interprete ; 12</t>
  </si>
  <si>
    <t>5091310324:ita</t>
  </si>
  <si>
    <t>4937440</t>
  </si>
  <si>
    <t>ocm04937440</t>
  </si>
  <si>
    <t>3000417392$</t>
  </si>
  <si>
    <t>792395385</t>
  </si>
  <si>
    <t>PQ4841 C482 C637 1990</t>
  </si>
  <si>
    <t>0                      PQ 4841000C  482                C  637         1990</t>
  </si>
  <si>
    <t>La coscienza di Zeno / [Vincenzo Guercio].</t>
  </si>
  <si>
    <t>Guercio, Vincenzo.</t>
  </si>
  <si>
    <t>Milano : Mursia, 1990.</t>
  </si>
  <si>
    <t>Tre in uno tascabili per la scuola</t>
  </si>
  <si>
    <t>4663647987:ita</t>
  </si>
  <si>
    <t>61638111</t>
  </si>
  <si>
    <t>ocm61638111</t>
  </si>
  <si>
    <t>3101210251B</t>
  </si>
  <si>
    <t>9788842506447</t>
  </si>
  <si>
    <t>794073209</t>
  </si>
  <si>
    <t>PQ4841 C482 C6385 1998</t>
  </si>
  <si>
    <t>0                      PQ 4841000C  482                C  6385        1998</t>
  </si>
  <si>
    <t>L'ambiguità necessaria : Zeno e il suo lettore / Giulio Savelli.</t>
  </si>
  <si>
    <t>Savelli, Giulio, 1959-</t>
  </si>
  <si>
    <t>Milano, Italy : FrancoAngeli, ©1998.</t>
  </si>
  <si>
    <t>Critica letteraria e linguistica ; 12</t>
  </si>
  <si>
    <t>476196784:ita</t>
  </si>
  <si>
    <t>38918475</t>
  </si>
  <si>
    <t>ocm38918475</t>
  </si>
  <si>
    <t>3101990324O</t>
  </si>
  <si>
    <t>9788846405630</t>
  </si>
  <si>
    <t>793533210</t>
  </si>
  <si>
    <t>PQ4841 C482 C639 1985</t>
  </si>
  <si>
    <t>0                      PQ 4841000C  482                C  639         1985</t>
  </si>
  <si>
    <t>La coscienza di Zeno / Italo Svevo.</t>
  </si>
  <si>
    <t>Pordenone : Studio Tesi, 1985.</t>
  </si>
  <si>
    <t>Collezione Biblioteca. ; 28</t>
  </si>
  <si>
    <t>12992911</t>
  </si>
  <si>
    <t>ocm12992911</t>
  </si>
  <si>
    <t>3000383630V</t>
  </si>
  <si>
    <t>9788876920080</t>
  </si>
  <si>
    <t>792836178</t>
  </si>
  <si>
    <t>PQ4841 C482 C63925 2008</t>
  </si>
  <si>
    <t>0                      PQ 4841000C  482                C  63925       2008</t>
  </si>
  <si>
    <t>Il segreto di Zeno : interpretazione de La coscienza di Zeno di Italo Svevo / Aldo Spranzi, Augusto Fabiano Buzzi.</t>
  </si>
  <si>
    <t>Milano : UNICOPLI, 2008.</t>
  </si>
  <si>
    <t>890525202:ita</t>
  </si>
  <si>
    <t>232123923</t>
  </si>
  <si>
    <t>ocn232123923</t>
  </si>
  <si>
    <t>3102940843J</t>
  </si>
  <si>
    <t>9788840012551</t>
  </si>
  <si>
    <t>794359092</t>
  </si>
  <si>
    <t>PQ4841 C482 C63927 2012</t>
  </si>
  <si>
    <t>0                      PQ 4841000C  482                C  63927       2012</t>
  </si>
  <si>
    <t>Svevo e Zéno : tagli e varianti d'autore per l'edizione francese della Coscienza / Beatrice Stasi.</t>
  </si>
  <si>
    <t>Temi e testi ; 107</t>
  </si>
  <si>
    <t>1209547275:ita</t>
  </si>
  <si>
    <t>828409863</t>
  </si>
  <si>
    <t>ocn828409863</t>
  </si>
  <si>
    <t>3103126128Y</t>
  </si>
  <si>
    <t>9788863724653</t>
  </si>
  <si>
    <t>794941092</t>
  </si>
  <si>
    <t>PQ4841 C482 C63x 1976</t>
  </si>
  <si>
    <t>0                      PQ 4841000C  482                C  63x         1976</t>
  </si>
  <si>
    <t>La coscienza di Zeno : romanzo / di Italo Svevo ; prefazione di Eugenio Montale.</t>
  </si>
  <si>
    <t>Milano : Dall'Oglio, [1976], ©1938.</t>
  </si>
  <si>
    <t>I Corvi ; n. 191</t>
  </si>
  <si>
    <t>2816346</t>
  </si>
  <si>
    <t>ocm02816346</t>
  </si>
  <si>
    <t>3102809650D</t>
  </si>
  <si>
    <t>792180332</t>
  </si>
  <si>
    <t>PQ4841 C482 S4 2015</t>
  </si>
  <si>
    <t>0                      PQ 4841000C  482                S  4           2015</t>
  </si>
  <si>
    <t>Senilità / Italo Svevo ; a cura di Flavio Catenazzi.</t>
  </si>
  <si>
    <t>Svevo, Italo, 1861-1928, author.</t>
  </si>
  <si>
    <t>Milano : Mimesis, MMXV.</t>
  </si>
  <si>
    <t>Testi italiani commentati ; III</t>
  </si>
  <si>
    <t>928638683</t>
  </si>
  <si>
    <t>ocn928638683</t>
  </si>
  <si>
    <t>31036233647</t>
  </si>
  <si>
    <t>9788857528441</t>
  </si>
  <si>
    <t>795006298</t>
  </si>
  <si>
    <t>PQ4841 C482 S43x</t>
  </si>
  <si>
    <t>0                      PQ 4841000C  482                S  43x</t>
  </si>
  <si>
    <t>As a man grows older / Italo Svevo ; translated by Beryl de Zoete, with an introduction by Stanislaus Joyce, and an essay on Svevo by Edouard Roditi.</t>
  </si>
  <si>
    <t>[New York] : New Directions, [1949?]</t>
  </si>
  <si>
    <t>The Modern readers series</t>
  </si>
  <si>
    <t>2017-10-25</t>
  </si>
  <si>
    <t>2213316:eng</t>
  </si>
  <si>
    <t>1281771</t>
  </si>
  <si>
    <t>ocm01281771</t>
  </si>
  <si>
    <t>31027684285</t>
  </si>
  <si>
    <t>791590753</t>
  </si>
  <si>
    <t>PQ4841 C482 V5 2012</t>
  </si>
  <si>
    <t>0                      PQ 4841000C  482                V  5           2012</t>
  </si>
  <si>
    <t>Una vita / Italo Svevo ; a cura di Simone Ticciati.</t>
  </si>
  <si>
    <t>Edizione nazionale dell'opera omnia di Italo Svevo ; 1</t>
  </si>
  <si>
    <t>4820506447:ita</t>
  </si>
  <si>
    <t>814301564</t>
  </si>
  <si>
    <t>ocn814301564</t>
  </si>
  <si>
    <t>3103125944A</t>
  </si>
  <si>
    <t>9788863724134</t>
  </si>
  <si>
    <t>794932098</t>
  </si>
  <si>
    <t>PQ4841 C482 Z595 2010</t>
  </si>
  <si>
    <t>0                      PQ 4841000C  482                Z  595         2010</t>
  </si>
  <si>
    <t>Menzogna e verità nella narrativa di Svevo / Guido Baldi.</t>
  </si>
  <si>
    <t>Baldi, Guido, 1942-</t>
  </si>
  <si>
    <t>Critica e letteratura ; 96</t>
  </si>
  <si>
    <t>2012-03-27</t>
  </si>
  <si>
    <t>770559441:ita</t>
  </si>
  <si>
    <t>697263770</t>
  </si>
  <si>
    <t>ocn697263770</t>
  </si>
  <si>
    <t>3103125280N</t>
  </si>
  <si>
    <t>9788820752101</t>
  </si>
  <si>
    <t>794859764</t>
  </si>
  <si>
    <t>PQ4841 C482 Z6234 2010</t>
  </si>
  <si>
    <t>0                      PQ 4841000C  482                Z  6234        2010</t>
  </si>
  <si>
    <t>Il caso clinico di Zeno e altri studi di filologia e critica sveviana / Stefano Carrai.</t>
  </si>
  <si>
    <t>Strumenti di filologia e critica / Dipartimento di filologia e critica della letteratura, Università di Siena ; 7</t>
  </si>
  <si>
    <t>5615232216:ita</t>
  </si>
  <si>
    <t>609529780</t>
  </si>
  <si>
    <t>ocn609529780</t>
  </si>
  <si>
    <t>3103125082T</t>
  </si>
  <si>
    <t>9788863151572</t>
  </si>
  <si>
    <t>794820008</t>
  </si>
  <si>
    <t>PQ4841 C482 Z632 1984</t>
  </si>
  <si>
    <t>0                      PQ 4841000C  482                Z  632         1984</t>
  </si>
  <si>
    <t>Il Caso Svevo : guida storica e critica / a cura di Enrico Ghidetti.</t>
  </si>
  <si>
    <t>Roma : Laterza, 1984.</t>
  </si>
  <si>
    <t>Universale Laterza ; 645</t>
  </si>
  <si>
    <t>795400242:ita</t>
  </si>
  <si>
    <t>13622488</t>
  </si>
  <si>
    <t>ocm13622488</t>
  </si>
  <si>
    <t>3000533067B</t>
  </si>
  <si>
    <t>9788842023838</t>
  </si>
  <si>
    <t>792860309</t>
  </si>
  <si>
    <t>PQ4841 C482 Z648 2013</t>
  </si>
  <si>
    <t>0                      PQ 4841000C  482                Z  648         2013</t>
  </si>
  <si>
    <t>Prove d'autore : genetica e tematiche strutturanti nell'officina di Italo Svevo / Graziana Francone ; prefazione di Mario Sechi.</t>
  </si>
  <si>
    <t>Francone, Graziana.</t>
  </si>
  <si>
    <t>Modena : Mucchi Editore, 2013.</t>
  </si>
  <si>
    <t>Lettere persiane ; 3</t>
  </si>
  <si>
    <t>1391857972:ita</t>
  </si>
  <si>
    <t>843755286</t>
  </si>
  <si>
    <t>ocn843755286</t>
  </si>
  <si>
    <t>3103126203Z</t>
  </si>
  <si>
    <t>9788870005776</t>
  </si>
  <si>
    <t>794948140</t>
  </si>
  <si>
    <t>PQ4841 C482 Z666</t>
  </si>
  <si>
    <t>0                      PQ 4841000C  482                Z  666</t>
  </si>
  <si>
    <t>Un killer dolcissimo : indagine psicanalitica sull'opera di Italo Svevo / Elio Gioanola.</t>
  </si>
  <si>
    <t>[Genova] : Il melangolo, [©1979]</t>
  </si>
  <si>
    <t>Il Melangolo/università ; 1</t>
  </si>
  <si>
    <t>794987089:ita</t>
  </si>
  <si>
    <t>6648919</t>
  </si>
  <si>
    <t>ocm06648919</t>
  </si>
  <si>
    <t>3000306800S</t>
  </si>
  <si>
    <t>9788870180053</t>
  </si>
  <si>
    <t>792514299</t>
  </si>
  <si>
    <t>PQ4841 C482 Z66655 2012</t>
  </si>
  <si>
    <t>0                      PQ 4841000C  482                Z  66655       2012</t>
  </si>
  <si>
    <t>Le traduzioni tedesche della [sic] La coscienza di Zeno / Patrizia Guida ; con un'appendice di documenti inediti.</t>
  </si>
  <si>
    <t>Lecce : Pensa multimedia, ©2012.</t>
  </si>
  <si>
    <t>Filigrane ; 23</t>
  </si>
  <si>
    <t>1149506739:ita</t>
  </si>
  <si>
    <t>805054450</t>
  </si>
  <si>
    <t>ocn805054450</t>
  </si>
  <si>
    <t>31031258777</t>
  </si>
  <si>
    <t>9788882329488</t>
  </si>
  <si>
    <t>794926174</t>
  </si>
  <si>
    <t>PQ4841 C482 Z6675 2014</t>
  </si>
  <si>
    <t>0                      PQ 4841000C  482                Z  6675        2014</t>
  </si>
  <si>
    <t>Italo Svevo and his legacy for the third millennium / edited by Giuseppe Stellardi &amp; Emanuela Tandello Cooper.</t>
  </si>
  <si>
    <t>Kibworth, Beauchamp, Leicestershire, UK : Troubador, [2014]</t>
  </si>
  <si>
    <t>3771953468:ita</t>
  </si>
  <si>
    <t>883848482</t>
  </si>
  <si>
    <t>ocn883848482</t>
  </si>
  <si>
    <t>3103533598S</t>
  </si>
  <si>
    <t>9781783064229</t>
  </si>
  <si>
    <t>794975965</t>
  </si>
  <si>
    <t>3103533597S</t>
  </si>
  <si>
    <t>794975966</t>
  </si>
  <si>
    <t>PQ4841 C482 Z716</t>
  </si>
  <si>
    <t>0                      PQ 4841000C  482                Z  716</t>
  </si>
  <si>
    <t>L'impiegato Schmitz e altri saggi su Svevo / Mario Lavagetto.</t>
  </si>
  <si>
    <t>Lavagetto, Mario.</t>
  </si>
  <si>
    <t>Torino : G. Einaudi, ©1975.</t>
  </si>
  <si>
    <t>Ricerca critica ; 34</t>
  </si>
  <si>
    <t>354852863:ita</t>
  </si>
  <si>
    <t>2885529</t>
  </si>
  <si>
    <t>ocm02885529</t>
  </si>
  <si>
    <t>3000184214H</t>
  </si>
  <si>
    <t>792189199</t>
  </si>
  <si>
    <t>PQ4841 C482 Z723 1995</t>
  </si>
  <si>
    <t>0                      PQ 4841000C  482                Z  723         1995</t>
  </si>
  <si>
    <t>Il tempo cristallizzato : introduzione al testamento letterario di Svevo / Giuseppe Langella.</t>
  </si>
  <si>
    <t>Langella, Giuseppe.</t>
  </si>
  <si>
    <t>Napoli : Edizioni scientifiche italiane, ©1995.</t>
  </si>
  <si>
    <t>Saggi ; 9</t>
  </si>
  <si>
    <t>891229119:ita</t>
  </si>
  <si>
    <t>34741766</t>
  </si>
  <si>
    <t>ocm34741766</t>
  </si>
  <si>
    <t>3101575966$</t>
  </si>
  <si>
    <t>9788881140572</t>
  </si>
  <si>
    <t>793434560</t>
  </si>
  <si>
    <t>PQ4841 C482 Z778 2011</t>
  </si>
  <si>
    <t>0                      PQ 4841000C  482                Z  778         2011</t>
  </si>
  <si>
    <t>In una città atta agli eroi e ai suicidi : Trieste e il caso Svevo / Giampiero Mughini.</t>
  </si>
  <si>
    <t>Mughini, Giampiero.</t>
  </si>
  <si>
    <t>Milano : Bompiani, 2011.</t>
  </si>
  <si>
    <t>Overlook</t>
  </si>
  <si>
    <t>889994538:ita</t>
  </si>
  <si>
    <t>715908273</t>
  </si>
  <si>
    <t>ocn715908273</t>
  </si>
  <si>
    <t>3103125368O</t>
  </si>
  <si>
    <t>9788845266843</t>
  </si>
  <si>
    <t>794873956</t>
  </si>
  <si>
    <t>PQ4841 C482 Z82 1986</t>
  </si>
  <si>
    <t>0                      PQ 4841000C  482                Z  82          1986</t>
  </si>
  <si>
    <t>Guida alla lettura di Svevo / Micaela Pretolani Claar.</t>
  </si>
  <si>
    <t>Pretolani Claar, Micaela.</t>
  </si>
  <si>
    <t>Milano : A. Mondadori, 1986.</t>
  </si>
  <si>
    <t>La ed.</t>
  </si>
  <si>
    <t>Oscar manuali</t>
  </si>
  <si>
    <t>9419674:ita</t>
  </si>
  <si>
    <t>15145701</t>
  </si>
  <si>
    <t>ocm15145701</t>
  </si>
  <si>
    <t>3100215391F</t>
  </si>
  <si>
    <t>792921774</t>
  </si>
  <si>
    <t>PQ4841 C482 Z87 2000</t>
  </si>
  <si>
    <t>0                      PQ 4841000C  482                Z  87          2000</t>
  </si>
  <si>
    <t>Origin and identity : essays on Svevo and Trieste / Elizabeth Schächter.</t>
  </si>
  <si>
    <t>Schächter, Elizabeth.</t>
  </si>
  <si>
    <t>Leeds : Northern Universities Press, 2000.</t>
  </si>
  <si>
    <t>Italian perspectives, 1464-1879</t>
  </si>
  <si>
    <t>2015-12-09</t>
  </si>
  <si>
    <t>11651449:eng</t>
  </si>
  <si>
    <t>45581135</t>
  </si>
  <si>
    <t>ocm45581135</t>
  </si>
  <si>
    <t>3102170809N</t>
  </si>
  <si>
    <t>9781902653129</t>
  </si>
  <si>
    <t>793674152</t>
  </si>
  <si>
    <t>PQ4841 C482 2011</t>
  </si>
  <si>
    <t>0                      PQ 4841000C  482         2011</t>
  </si>
  <si>
    <t>Commedie / Italo Svevo ; a cura di Guido Lucchini.</t>
  </si>
  <si>
    <t>Edizione nazionale dell'opera omnia di Italo Svevo ; 6</t>
  </si>
  <si>
    <t>2061173787:ita</t>
  </si>
  <si>
    <t>773016684</t>
  </si>
  <si>
    <t>ocn773016684</t>
  </si>
  <si>
    <t>3103125674D</t>
  </si>
  <si>
    <t>9788863723151</t>
  </si>
  <si>
    <t>794905148</t>
  </si>
  <si>
    <t>3103125673D</t>
  </si>
  <si>
    <t>794905149</t>
  </si>
  <si>
    <t>PQ4841 C65 Z595 1987</t>
  </si>
  <si>
    <t>0                      PQ 4841000C  65                 Z  595         1987</t>
  </si>
  <si>
    <t>L'universo contadino e l'immaginario poetico di Rocco Scotellaro : con inediti scotellariani / Giovanni Battista Bronzini.</t>
  </si>
  <si>
    <t>Bronzini, Giovanni Battista.</t>
  </si>
  <si>
    <t>Bari : Dedalo, ©1987.</t>
  </si>
  <si>
    <t>Nuova biblioteca Dedalo ; 69. Serie "Mezzogiorno, società, cultura"</t>
  </si>
  <si>
    <t>365676716:ita</t>
  </si>
  <si>
    <t>17984033</t>
  </si>
  <si>
    <t>ocm17984033</t>
  </si>
  <si>
    <t>3000586497F</t>
  </si>
  <si>
    <t>9788822060693</t>
  </si>
  <si>
    <t>793009664</t>
  </si>
  <si>
    <t>PQ4841 E7 A2 2007</t>
  </si>
  <si>
    <t>0                      PQ 4841000E  7                  A  2           2007</t>
  </si>
  <si>
    <t>Unmarried women : stories / Matilde Serao ; translated from the Italian by Paula Spurlin Paige ; foreword by Mary Ann McDonald Carolan.</t>
  </si>
  <si>
    <t>Serao, Matilde, 1856-1927.</t>
  </si>
  <si>
    <t>Evanston, Ill. : Northwestern University Press, 2007.</t>
  </si>
  <si>
    <t>292358986:eng</t>
  </si>
  <si>
    <t>122261813</t>
  </si>
  <si>
    <t>ocn122261813</t>
  </si>
  <si>
    <t>31028817542</t>
  </si>
  <si>
    <t>9780810124042</t>
  </si>
  <si>
    <t>794219784</t>
  </si>
  <si>
    <t>PQ4841 E7 A6 1944</t>
  </si>
  <si>
    <t>0                      PQ 4841000E  7                  A  6           1944</t>
  </si>
  <si>
    <t>Serao, a cura di P. Pancrazi.</t>
  </si>
  <si>
    <t>[Milano] Garzanti [1944-46]</t>
  </si>
  <si>
    <t>Romanzi e racconti italiani dell'ottocento</t>
  </si>
  <si>
    <t>2017-06-12</t>
  </si>
  <si>
    <t>3373377811:ita</t>
  </si>
  <si>
    <t>3457213</t>
  </si>
  <si>
    <t>ocm03457213</t>
  </si>
  <si>
    <t>3103593141T</t>
  </si>
  <si>
    <t>792257678</t>
  </si>
  <si>
    <t>PQ4841 E7 C2 1977b</t>
  </si>
  <si>
    <t>0                      PQ 4841000E  7                  C  2           1977b</t>
  </si>
  <si>
    <t>Castigo / Matilde Serao.</t>
  </si>
  <si>
    <t>[Roma] : A. Curcio, 1977.</t>
  </si>
  <si>
    <t>I Classici della narrativa ; 9</t>
  </si>
  <si>
    <t>5453854137:ita</t>
  </si>
  <si>
    <t>4513727</t>
  </si>
  <si>
    <t>ocm04513727</t>
  </si>
  <si>
    <t>3000440645D</t>
  </si>
  <si>
    <t>792357796</t>
  </si>
  <si>
    <t>PQ4841 E7 F36 2010</t>
  </si>
  <si>
    <t>0                      PQ 4841000E  7                  F  36          2010</t>
  </si>
  <si>
    <t>Fantasia / Matilde Serao ; introduzione di Riccardo Reim.</t>
  </si>
  <si>
    <t>Milano : Otto/ Novecento, 2010.</t>
  </si>
  <si>
    <t>Adularia minima ; 22</t>
  </si>
  <si>
    <t>12631114:ita</t>
  </si>
  <si>
    <t>697264541</t>
  </si>
  <si>
    <t>ocn697264541</t>
  </si>
  <si>
    <t>3103662985U</t>
  </si>
  <si>
    <t>9788887734348</t>
  </si>
  <si>
    <t>794859788</t>
  </si>
  <si>
    <t>PQ4841 E7 I54 2013</t>
  </si>
  <si>
    <t>0                      PQ 4841000E  7                  I  54          2013</t>
  </si>
  <si>
    <t>L'infedele / Matilde Serao ; introduzione di Patricia Bianchi ; prefazione di Armando Rotondi.</t>
  </si>
  <si>
    <t>Serao, Matilde, 1856-1927, author.</t>
  </si>
  <si>
    <t>[Rome, Italy] : Bel-Ami Edizioni, [2013]</t>
  </si>
  <si>
    <t>Classici sommersi ; 2</t>
  </si>
  <si>
    <t>5091299877:ita</t>
  </si>
  <si>
    <t>960910976</t>
  </si>
  <si>
    <t>ocn960910976</t>
  </si>
  <si>
    <t>31036630263</t>
  </si>
  <si>
    <t>795023405</t>
  </si>
  <si>
    <t>PQ4841 E7 M6 1926</t>
  </si>
  <si>
    <t>0                      PQ 4841000E  7                  M  6           1926</t>
  </si>
  <si>
    <t>Mors tua ... romanzo in tre giornate.</t>
  </si>
  <si>
    <t>Milano : [publisher not identified], 1926.</t>
  </si>
  <si>
    <t>314744896:ita</t>
  </si>
  <si>
    <t>427144169</t>
  </si>
  <si>
    <t>ocn427144169</t>
  </si>
  <si>
    <t>3103117717J</t>
  </si>
  <si>
    <t>794522201</t>
  </si>
  <si>
    <t>PQ4841 E7 O25x</t>
  </si>
  <si>
    <t>0                      PQ 4841000E  7                  O  25x</t>
  </si>
  <si>
    <t>L'occhio di Napoli. Prefazione di Anna Banti.</t>
  </si>
  <si>
    <t>Milano, Garzanti, 1962.</t>
  </si>
  <si>
    <t>Racconti moderni Garzanti</t>
  </si>
  <si>
    <t>350759406:ita</t>
  </si>
  <si>
    <t>8666232</t>
  </si>
  <si>
    <t>ocm08666232</t>
  </si>
  <si>
    <t>3103592692Y</t>
  </si>
  <si>
    <t>792633638</t>
  </si>
  <si>
    <t>PQ4841 E7 R7 1985</t>
  </si>
  <si>
    <t>0                      PQ 4841000E  7                  R  7           1985</t>
  </si>
  <si>
    <t>Il romanzo della fanciulla ; La virtù di Checchina / Matilde Serao ; a cura di Francesco Bruni.</t>
  </si>
  <si>
    <t>Napoli : Liguori, 1985.</t>
  </si>
  <si>
    <t>Otto-Novecento ritrovato ; 2</t>
  </si>
  <si>
    <t>3943388556:ita</t>
  </si>
  <si>
    <t>15258016</t>
  </si>
  <si>
    <t>ocm15258016</t>
  </si>
  <si>
    <t>3000533791N</t>
  </si>
  <si>
    <t>9788820713935</t>
  </si>
  <si>
    <t>792925874</t>
  </si>
  <si>
    <t>PQ4841 E76 1958</t>
  </si>
  <si>
    <t>0                      PQ 4841000E  76          1958</t>
  </si>
  <si>
    <t>Scritti / a cura di G. de Robertis e A. Grilli.</t>
  </si>
  <si>
    <t>Serra, Renato, 1884-1915.</t>
  </si>
  <si>
    <t>Firenze : Le Monnier, 1958.</t>
  </si>
  <si>
    <t>7671651:ita</t>
  </si>
  <si>
    <t>221622955</t>
  </si>
  <si>
    <t>ocn221622955</t>
  </si>
  <si>
    <t>30002503058</t>
  </si>
  <si>
    <t>794326997</t>
  </si>
  <si>
    <t>3100144417H</t>
  </si>
  <si>
    <t>794326996</t>
  </si>
  <si>
    <t>PQ4841 I4 A14 1998</t>
  </si>
  <si>
    <t>0                      PQ 4841000I  4                  A  14          1998</t>
  </si>
  <si>
    <t>Romanzi e saggi / Ignazio Silone ; a cura e con un saggio introduttivo di Bruno Falcetto, e una testimonianza di Gustaw Herling.</t>
  </si>
  <si>
    <t>Silone, Ignazio, 1900-1978.</t>
  </si>
  <si>
    <t>Milano : A. Mondadori, 1998-1999.</t>
  </si>
  <si>
    <t>3372222717:ita</t>
  </si>
  <si>
    <t>39988974</t>
  </si>
  <si>
    <t>ocm39988974</t>
  </si>
  <si>
    <t>31020146398</t>
  </si>
  <si>
    <t>9788804435853</t>
  </si>
  <si>
    <t>793558505</t>
  </si>
  <si>
    <t>PQ4841 I4 E313 1946</t>
  </si>
  <si>
    <t>0                      PQ 4841000I  4                  E  313         1946</t>
  </si>
  <si>
    <t>And he hid himself, a play in four acts, by Ignazio Silone, translated by Darina Tranquilli.</t>
  </si>
  <si>
    <t>New York, London, Harper &amp; Brothers [1946]</t>
  </si>
  <si>
    <t>4494890072:eng</t>
  </si>
  <si>
    <t>1136801</t>
  </si>
  <si>
    <t>ocm01136801</t>
  </si>
  <si>
    <t>3000170464K</t>
  </si>
  <si>
    <t>791554651</t>
  </si>
  <si>
    <t>PQ4841 I4 F6 1977</t>
  </si>
  <si>
    <t>0                      PQ 4841000I  4                  F  6           1977</t>
  </si>
  <si>
    <t>Fontamara / Ignazio Silone ; edited, with introduction, notes and vocabulary, by Judy Rawson.</t>
  </si>
  <si>
    <t>Manchester : Manchester University Press, 1977.</t>
  </si>
  <si>
    <t>486593:ita</t>
  </si>
  <si>
    <t>3552306</t>
  </si>
  <si>
    <t>ocm03552306</t>
  </si>
  <si>
    <t>3103439434P</t>
  </si>
  <si>
    <t>9780719006623</t>
  </si>
  <si>
    <t>792267521</t>
  </si>
  <si>
    <t>PQ4841 I4 F6 1988</t>
  </si>
  <si>
    <t>0                      PQ 4841000I  4                  F  6           1988</t>
  </si>
  <si>
    <t>Fontamara / Ignazio Silone.</t>
  </si>
  <si>
    <t>Silone, Ignazio, 1900-1978, author.</t>
  </si>
  <si>
    <t>Milano : A. Mondadori, 1988, ©1949.</t>
  </si>
  <si>
    <t>Oscar classici moderni ; 13</t>
  </si>
  <si>
    <t>2017-10-05</t>
  </si>
  <si>
    <t>22289883</t>
  </si>
  <si>
    <t>ocm22289883</t>
  </si>
  <si>
    <t>3102507966S</t>
  </si>
  <si>
    <t>9788804319634</t>
  </si>
  <si>
    <t>793139673</t>
  </si>
  <si>
    <t>PQ4841 I4 F613</t>
  </si>
  <si>
    <t>0                      PQ 4841000I  4                  F  613</t>
  </si>
  <si>
    <t>Fontamara / Translated from the Italian by Harvey Fergusson II ; Foreword by Malcolm Cowley.</t>
  </si>
  <si>
    <t>New York : Atheneum Publishers, 1960.</t>
  </si>
  <si>
    <t>[First edition].</t>
  </si>
  <si>
    <t>2018-09-06</t>
  </si>
  <si>
    <t>486593:eng</t>
  </si>
  <si>
    <t>6561598</t>
  </si>
  <si>
    <t>ocm06561598</t>
  </si>
  <si>
    <t>31029445618</t>
  </si>
  <si>
    <t>792508911</t>
  </si>
  <si>
    <t>PQ4841 I4 F63</t>
  </si>
  <si>
    <t>0                      PQ 4841000I  4                  F  63</t>
  </si>
  <si>
    <t>Fontamara / Ignazio Silone ; translated by Michael Wharf.</t>
  </si>
  <si>
    <t>New York : Harrison Smith &amp; Robert Haas, 1934.</t>
  </si>
  <si>
    <t>2017-05-25</t>
  </si>
  <si>
    <t>1747049</t>
  </si>
  <si>
    <t>ocm01747049</t>
  </si>
  <si>
    <t>31034881981</t>
  </si>
  <si>
    <t>791858544</t>
  </si>
  <si>
    <t>PQ4841 I4 P33 1962</t>
  </si>
  <si>
    <t>0                      PQ 4841000I  4                  P  33          1962</t>
  </si>
  <si>
    <t>Bread and wine. A new version translated from the Italian by Harvey Fergusson II, with a new pref. by the author.</t>
  </si>
  <si>
    <t>New York, Atheneum, 1962.</t>
  </si>
  <si>
    <t>1600033:eng</t>
  </si>
  <si>
    <t>345007</t>
  </si>
  <si>
    <t>ocm00345007</t>
  </si>
  <si>
    <t>3102690307Z</t>
  </si>
  <si>
    <t>791344711</t>
  </si>
  <si>
    <t>PQ4841 I4 Z4713 2006</t>
  </si>
  <si>
    <t>0                      PQ 4841000I  4                  Z  4713        2006</t>
  </si>
  <si>
    <t>Memoir from a Swiss prison / Ignazio Silone ; translated and edited by Stanislao G. Pugliese ; art by Antonio Pugliese.</t>
  </si>
  <si>
    <t>Merrick, N.Y. : Cross-Cultural Communications, 2006.</t>
  </si>
  <si>
    <t>A Cross-Cultural Communications ed.</t>
  </si>
  <si>
    <t>2016-02-08</t>
  </si>
  <si>
    <t>29466928:eng</t>
  </si>
  <si>
    <t>77083100</t>
  </si>
  <si>
    <t>ocm77083100</t>
  </si>
  <si>
    <t>31025943859</t>
  </si>
  <si>
    <t>9780893040888</t>
  </si>
  <si>
    <t>794180863</t>
  </si>
  <si>
    <t>PQ4841 I4 Z48 2016</t>
  </si>
  <si>
    <t>0                      PQ 4841000I  4                  Z  48          2016</t>
  </si>
  <si>
    <t>On friendship and freedom : the correspondence of Ignazio Silone and Marcel Fleischmann / Maria Nicolai Paynter.</t>
  </si>
  <si>
    <t>Paynter, Maria Nicolai, author, translator, editor.</t>
  </si>
  <si>
    <t>2951136666:eng</t>
  </si>
  <si>
    <t>944379938</t>
  </si>
  <si>
    <t>ocn944379938</t>
  </si>
  <si>
    <t>3103645762A</t>
  </si>
  <si>
    <t>9781442649965</t>
  </si>
  <si>
    <t>795012930</t>
  </si>
  <si>
    <t>PQ4841 I4 Z6</t>
  </si>
  <si>
    <t>0                      PQ 4841000I  4                  Z  6</t>
  </si>
  <si>
    <t>L'opera di Ignazio Silone. Saggio critico e guida bibliografica.</t>
  </si>
  <si>
    <t>D'Eramo, Luce, 1925-2001.</t>
  </si>
  <si>
    <t>365693931:ita</t>
  </si>
  <si>
    <t>12515020</t>
  </si>
  <si>
    <t>ocm12515020</t>
  </si>
  <si>
    <t>3000617738C</t>
  </si>
  <si>
    <t>792817244</t>
  </si>
  <si>
    <t>PQ4841 I4 Z64</t>
  </si>
  <si>
    <t>0                      PQ 4841000I  4                  Z  64</t>
  </si>
  <si>
    <t>L'inquietudine e l'utopia : il racconto umano e cristiano di Ignazio Silone / Elio Guerriero.</t>
  </si>
  <si>
    <t>Guerriero, Elio.</t>
  </si>
  <si>
    <t>Milano : Jaca Book, 1979.</t>
  </si>
  <si>
    <t>Già e non ancora. Pocket ; 43</t>
  </si>
  <si>
    <t>2017-12-05</t>
  </si>
  <si>
    <t>365494774:ita</t>
  </si>
  <si>
    <t>6331578</t>
  </si>
  <si>
    <t>ocm06331578</t>
  </si>
  <si>
    <t>30003023904</t>
  </si>
  <si>
    <t>792491602</t>
  </si>
  <si>
    <t>PQ4841 I4 Z646 1998</t>
  </si>
  <si>
    <t>0                      PQ 4841000I  4                  Z  646         1998</t>
  </si>
  <si>
    <t>Silone : l'avventura di un uomo libero / Ottorino Gurgo, Francesco De Core.</t>
  </si>
  <si>
    <t>Gurgo, Ottorino.</t>
  </si>
  <si>
    <t>Venezia : Marsilio, ©1998.</t>
  </si>
  <si>
    <t>Tascabili Marsilio ; 98</t>
  </si>
  <si>
    <t>866255066:ita</t>
  </si>
  <si>
    <t>40144192</t>
  </si>
  <si>
    <t>ocm40144192</t>
  </si>
  <si>
    <t>3101984366V</t>
  </si>
  <si>
    <t>9788831769907</t>
  </si>
  <si>
    <t>793560624</t>
  </si>
  <si>
    <t>PQ4841 I4 Z649 2003</t>
  </si>
  <si>
    <t>0                      PQ 4841000I  4                  Z  649         2003</t>
  </si>
  <si>
    <t>The reinvention of Ignazio Silone / Elizabeth Leake.</t>
  </si>
  <si>
    <t>781373:eng</t>
  </si>
  <si>
    <t>51801042</t>
  </si>
  <si>
    <t>ocm51801042</t>
  </si>
  <si>
    <t>3102309537D</t>
  </si>
  <si>
    <t>9780802087676</t>
  </si>
  <si>
    <t>793791312</t>
  </si>
  <si>
    <t>PQ4841 I4 Z82 1979</t>
  </si>
  <si>
    <t>0                      PQ 4841000I  4                  Z  82          1979</t>
  </si>
  <si>
    <t>Ignazio Silone : introduzione e guida allo studio dell'opera siloniana : storia e antologia della critica / Giuliana Rigobello.</t>
  </si>
  <si>
    <t>Rigobello, Giuliana.</t>
  </si>
  <si>
    <t>Firenze : Le Monnier, 1979, 1977.</t>
  </si>
  <si>
    <t>2018-01-12</t>
  </si>
  <si>
    <t>5535150:ita</t>
  </si>
  <si>
    <t>6529145</t>
  </si>
  <si>
    <t>ocm06529145</t>
  </si>
  <si>
    <t>3000150557P</t>
  </si>
  <si>
    <t>792506767</t>
  </si>
  <si>
    <t>PQ4841 I4 Z88 2015</t>
  </si>
  <si>
    <t>0                      PQ 4841000I  4                  Z  88          2015</t>
  </si>
  <si>
    <t>Le false accuse contro Silone / Alberto Vacca ; prefazione di Aldo Forbice.</t>
  </si>
  <si>
    <t>Vacca, Alberto, author.</t>
  </si>
  <si>
    <t>Milano : Guerini e associati, gennaio 2015.</t>
  </si>
  <si>
    <t>2471766541:ita</t>
  </si>
  <si>
    <t>905087773</t>
  </si>
  <si>
    <t>ocn905087773</t>
  </si>
  <si>
    <t>3103201064G</t>
  </si>
  <si>
    <t>9788862505222</t>
  </si>
  <si>
    <t>794991100</t>
  </si>
  <si>
    <t>PQ4841 I4 2000</t>
  </si>
  <si>
    <t>0                      PQ 4841000I  4           2000</t>
  </si>
  <si>
    <t>Milano : A. Mondadori, 2000-2011.</t>
  </si>
  <si>
    <t>3. edizione I Meridiani.</t>
  </si>
  <si>
    <t>910884293</t>
  </si>
  <si>
    <t>ocn910884293</t>
  </si>
  <si>
    <t>3103758887$</t>
  </si>
  <si>
    <t>794996640</t>
  </si>
  <si>
    <t>PQ4841 L4 Z55 2011</t>
  </si>
  <si>
    <t>0                      PQ 4841000L  4                  Z  55          2011</t>
  </si>
  <si>
    <t>Tra vita e scrittura : capitoli slataperiani / Ilvano Caliaro.</t>
  </si>
  <si>
    <t>Caliaro, Ilvano.</t>
  </si>
  <si>
    <t>Firenze : Leo S. Olschki, 2011.</t>
  </si>
  <si>
    <t>Saggi di "Lettere italiane" ; 67</t>
  </si>
  <si>
    <t>985391149:ita</t>
  </si>
  <si>
    <t>747255472</t>
  </si>
  <si>
    <t>ocn747255472</t>
  </si>
  <si>
    <t>31034335389</t>
  </si>
  <si>
    <t>9788822260635</t>
  </si>
  <si>
    <t>794887956</t>
  </si>
  <si>
    <t>PQ4841 O3 Z77</t>
  </si>
  <si>
    <t>0                      PQ 4841000O  3                  Z  77</t>
  </si>
  <si>
    <t>Ardengo Soffici / di Giuseppe Marchetti.</t>
  </si>
  <si>
    <t>Marchetti, Giuseppe, 1934-</t>
  </si>
  <si>
    <t>Firenze : La nuova Iyalia, 1979.</t>
  </si>
  <si>
    <t>Il Castoro ; 151-152</t>
  </si>
  <si>
    <t>143536639:ita</t>
  </si>
  <si>
    <t>5944724</t>
  </si>
  <si>
    <t>ocm05944724</t>
  </si>
  <si>
    <t>3000426649O</t>
  </si>
  <si>
    <t>792465487</t>
  </si>
  <si>
    <t>PQ4841 O3 1959</t>
  </si>
  <si>
    <t>0                      PQ 4841000O  3           1959</t>
  </si>
  <si>
    <t>Opere. Pref. di Guiseppe Prezzolini.</t>
  </si>
  <si>
    <t>Soffici, Ardengo, 1879-1964.</t>
  </si>
  <si>
    <t>[Firenze] Vallecchi, 1959-68.</t>
  </si>
  <si>
    <t>3770090213:ita</t>
  </si>
  <si>
    <t>1709542</t>
  </si>
  <si>
    <t>ocm01709542</t>
  </si>
  <si>
    <t>3100841086H</t>
  </si>
  <si>
    <t>791841469</t>
  </si>
  <si>
    <t>3100841084L</t>
  </si>
  <si>
    <t>791841467</t>
  </si>
  <si>
    <t>3000616355X</t>
  </si>
  <si>
    <t>791841471</t>
  </si>
  <si>
    <t>V. 7 Pt. 1</t>
  </si>
  <si>
    <t>3100841082P</t>
  </si>
  <si>
    <t>791841465</t>
  </si>
  <si>
    <t>3100841085J</t>
  </si>
  <si>
    <t>791841468</t>
  </si>
  <si>
    <t>3100841083N</t>
  </si>
  <si>
    <t>791841466</t>
  </si>
  <si>
    <t>V. 7 Pt. 2</t>
  </si>
  <si>
    <t>3100245511D</t>
  </si>
  <si>
    <t>791841464</t>
  </si>
  <si>
    <t>3100841087F</t>
  </si>
  <si>
    <t>791841470</t>
  </si>
  <si>
    <t>PQ4841 O38 A7 1977</t>
  </si>
  <si>
    <t>0                      PQ 4841000O  38                 A  7           1977</t>
  </si>
  <si>
    <t>A cena col commendatore / Mario Soldati ; introduzione di Enzo Siciliano.</t>
  </si>
  <si>
    <t>Soldati, Mario, 1906-1999.</t>
  </si>
  <si>
    <t>Milano : A. Mondadori, 1977, ©1961.</t>
  </si>
  <si>
    <t>Gli Oscar ; L 251</t>
  </si>
  <si>
    <t>197140435:ita</t>
  </si>
  <si>
    <t>9590564</t>
  </si>
  <si>
    <t>ocm09590564</t>
  </si>
  <si>
    <t>3000167035E</t>
  </si>
  <si>
    <t>792683765</t>
  </si>
  <si>
    <t>PQ4841 O38 L4 1969</t>
  </si>
  <si>
    <t>0                      PQ 4841000O  38                 L  4           1969</t>
  </si>
  <si>
    <t>Le lettere da Capri.</t>
  </si>
  <si>
    <t>Milano, Club degli editori, 1969.</t>
  </si>
  <si>
    <t>I Grandi premi letterari italiani : i premi Strega</t>
  </si>
  <si>
    <t>102196480:ita</t>
  </si>
  <si>
    <t>4500713</t>
  </si>
  <si>
    <t>ocm04500713</t>
  </si>
  <si>
    <t>3000202676U</t>
  </si>
  <si>
    <t>792356667</t>
  </si>
  <si>
    <t>PQ4841 O38 Z46 2011</t>
  </si>
  <si>
    <t>0                      PQ 4841000O  38                 Z  46          2011</t>
  </si>
  <si>
    <t>America e altri amori : diari e scritti di viaggio / Mario Soldati ; a cura e con un saggio introduttivo di Bruno Falcetto.</t>
  </si>
  <si>
    <t>897461398:ita</t>
  </si>
  <si>
    <t>721863426</t>
  </si>
  <si>
    <t>ocn721863426</t>
  </si>
  <si>
    <t>3103125416V</t>
  </si>
  <si>
    <t>9788804604792</t>
  </si>
  <si>
    <t>794875373</t>
  </si>
  <si>
    <t>PQ4841 O38 Z68 2007</t>
  </si>
  <si>
    <t>0                      PQ 4841000O  38                 Z  68          2007</t>
  </si>
  <si>
    <t>Mario Soldati a Milano : narrativa, editoria, giornalismo, teatro, cinema / a cura di Bruno Falcetto.</t>
  </si>
  <si>
    <t>Roma : Edizioni di storia e letteratura, 2010.</t>
  </si>
  <si>
    <t>Sussidi eruditi ; 83</t>
  </si>
  <si>
    <t>867061837:ita</t>
  </si>
  <si>
    <t>713177977</t>
  </si>
  <si>
    <t>ocn713177977</t>
  </si>
  <si>
    <t>3103125421T</t>
  </si>
  <si>
    <t>9788863721775</t>
  </si>
  <si>
    <t>794872545</t>
  </si>
  <si>
    <t>PQ4841 O49 1983 v.6</t>
  </si>
  <si>
    <t>0                      PQ 4841000O  49          1983                                        v.6</t>
  </si>
  <si>
    <t>Scritti sull'arte : discorso sulla pittura contemporanea ; saggi e note su artisti italiani e starnieri e altre pagine sparse / Sergio Solmi ; a cura di Giovanni Pacchiano con una nota di Antonello Negri.</t>
  </si>
  <si>
    <t>v.6*</t>
  </si>
  <si>
    <t>Solmi, Sergio, 1899-1981.</t>
  </si>
  <si>
    <t>Opere di Sergio Solmi ; v. 6</t>
  </si>
  <si>
    <t>908555017:ita</t>
  </si>
  <si>
    <t>712555902</t>
  </si>
  <si>
    <t>ocn712555902</t>
  </si>
  <si>
    <t>3103355701Y</t>
  </si>
  <si>
    <t>9788845925726</t>
  </si>
  <si>
    <t>794871951</t>
  </si>
  <si>
    <t>PQ4841 T7 E2</t>
  </si>
  <si>
    <t>0                      PQ 4841000T  7                  E  2</t>
  </si>
  <si>
    <t>È il nostro turno : romanzo / Saverio Strati.</t>
  </si>
  <si>
    <t>Strati, Saverio, 1924-</t>
  </si>
  <si>
    <t>Scrittori italiani e stranieri</t>
  </si>
  <si>
    <t>246345223:ita</t>
  </si>
  <si>
    <t>2200109</t>
  </si>
  <si>
    <t>ocm02200109</t>
  </si>
  <si>
    <t>3000396253E</t>
  </si>
  <si>
    <t>792065894</t>
  </si>
  <si>
    <t>PQ4841 T7 G4</t>
  </si>
  <si>
    <t>0                      PQ 4841000T  7                  G  4</t>
  </si>
  <si>
    <t>Gente in viaggio.</t>
  </si>
  <si>
    <t>[1st ed. Milano].</t>
  </si>
  <si>
    <t>Narratori Italiano, v. 148</t>
  </si>
  <si>
    <t>2358754:eng</t>
  </si>
  <si>
    <t>1445039</t>
  </si>
  <si>
    <t>ocm01445039</t>
  </si>
  <si>
    <t>3000617720V</t>
  </si>
  <si>
    <t>791627438</t>
  </si>
  <si>
    <t>PQ4841 T8 A6 2015</t>
  </si>
  <si>
    <t>0                      PQ 4841000T  8                  A  6           2015</t>
  </si>
  <si>
    <t>Racconti / Giani Stuparich ; a cura di Cinzia Gallo ; prefazione di Felice Rappazzo.</t>
  </si>
  <si>
    <t>Stuparich, Giani, 1891-1961, author.</t>
  </si>
  <si>
    <t>Ariccia (RM) : Aracne editrice int.le S.r.l., aprile 2015.</t>
  </si>
  <si>
    <t>Oggetti e soggetti. Testi ; 8</t>
  </si>
  <si>
    <t>5092437594:ita</t>
  </si>
  <si>
    <t>910085356</t>
  </si>
  <si>
    <t>ocn910085356</t>
  </si>
  <si>
    <t>3103637620Q</t>
  </si>
  <si>
    <t>9788854879416</t>
  </si>
  <si>
    <t>794995812</t>
  </si>
  <si>
    <t>PQ4841 T8 Z62 2011</t>
  </si>
  <si>
    <t>0                      PQ 4841000T  8                  Z  62          2011</t>
  </si>
  <si>
    <t>Giani Stuparich : tra ritorno e ricordo : atti del Convegno internazionale, Trieste, 20-21 ottobre 2011 / a cura di Giorgio Baroni e Cristina Benussi.</t>
  </si>
  <si>
    <t>Convegno internazionale su Giani Stuparich (2011 : Trieste, Italy)</t>
  </si>
  <si>
    <t>Pisa : F. Serra, 2012.</t>
  </si>
  <si>
    <t>Biblioteca della "Rivista di letteratura italiana" ; 21</t>
  </si>
  <si>
    <t>1185668399:ita</t>
  </si>
  <si>
    <t>796781989</t>
  </si>
  <si>
    <t>ocn796781989</t>
  </si>
  <si>
    <t>3103125835F</t>
  </si>
  <si>
    <t>9788862274685</t>
  </si>
  <si>
    <t>794922396</t>
  </si>
  <si>
    <t>PQ4843 O53 A2 2014</t>
  </si>
  <si>
    <t>0                      PQ 4843000O  53                 A  2           2014</t>
  </si>
  <si>
    <t>The Professor and the Siren / Giuseppe Tomasi Di Lampedusa ; translated from the Italian by Stephen Twilley ; introduction by Marina Warner.</t>
  </si>
  <si>
    <t>Tomasi di Lampedusa, Giuseppe, 1896-1957, author.</t>
  </si>
  <si>
    <t>New York : New York Review Books, [2014]</t>
  </si>
  <si>
    <t>New York Review Books Classics</t>
  </si>
  <si>
    <t>1410488529:eng</t>
  </si>
  <si>
    <t>861322904</t>
  </si>
  <si>
    <t>ocn861322904</t>
  </si>
  <si>
    <t>3103566353F</t>
  </si>
  <si>
    <t>9781590177198</t>
  </si>
  <si>
    <t>794959083</t>
  </si>
  <si>
    <t>PQ4843 O53 G3 2002</t>
  </si>
  <si>
    <t>0                      PQ 4843000O  53                 G  3           2002</t>
  </si>
  <si>
    <t>Il gattopardo / Giuseppe Tomasi di Lampedusa.</t>
  </si>
  <si>
    <t>Tomasi di Lampedusa, Giuseppe, 1896-1957.</t>
  </si>
  <si>
    <t>Milano : Feltrinelli, 2002.</t>
  </si>
  <si>
    <t>1. ed. in "Le comete."</t>
  </si>
  <si>
    <t>Le comete/Feltrinelli</t>
  </si>
  <si>
    <t>3768379146:ita</t>
  </si>
  <si>
    <t>50182337</t>
  </si>
  <si>
    <t>ocm50182337</t>
  </si>
  <si>
    <t>3103074099C</t>
  </si>
  <si>
    <t>9788807530043</t>
  </si>
  <si>
    <t>793757376</t>
  </si>
  <si>
    <t>3103074105R</t>
  </si>
  <si>
    <t>793757378</t>
  </si>
  <si>
    <t>2017-02-22</t>
  </si>
  <si>
    <t>3103074100R</t>
  </si>
  <si>
    <t>793757377</t>
  </si>
  <si>
    <t>PQ4843 O53 G33</t>
  </si>
  <si>
    <t>0                      PQ 4843000O  53                 G  33</t>
  </si>
  <si>
    <t>The leopard / Giuseppe di Lampedusa ; translated from the Italian by Archibald Colquhoun.</t>
  </si>
  <si>
    <t>New York, N.Y. : Pantheon, [1960]</t>
  </si>
  <si>
    <t>2018-11-06</t>
  </si>
  <si>
    <t>3768379146:eng</t>
  </si>
  <si>
    <t>312310</t>
  </si>
  <si>
    <t>ocm00312310</t>
  </si>
  <si>
    <t>3103291296X</t>
  </si>
  <si>
    <t>9780679731214</t>
  </si>
  <si>
    <t>791333199</t>
  </si>
  <si>
    <t>3103592678S</t>
  </si>
  <si>
    <t>791333198</t>
  </si>
  <si>
    <t>3102721104T</t>
  </si>
  <si>
    <t>791333196</t>
  </si>
  <si>
    <t>3103523950T</t>
  </si>
  <si>
    <t>791333197</t>
  </si>
  <si>
    <t>PQ4843 O53 G33 1960</t>
  </si>
  <si>
    <t>0                      PQ 4843000O  53                 G  33          1960</t>
  </si>
  <si>
    <t>London : Collins and Harvill Press, [1960]</t>
  </si>
  <si>
    <t>2018-11-01</t>
  </si>
  <si>
    <t>10499713</t>
  </si>
  <si>
    <t>ocm10499713</t>
  </si>
  <si>
    <t>31032247778</t>
  </si>
  <si>
    <t>9780099512158</t>
  </si>
  <si>
    <t>792729171</t>
  </si>
  <si>
    <t>2008-01-16</t>
  </si>
  <si>
    <t>3000164025W</t>
  </si>
  <si>
    <t>792729170</t>
  </si>
  <si>
    <t>PQ4843 O53 G33 2007</t>
  </si>
  <si>
    <t>0                      PQ 4843000O  53                 G  33          2007</t>
  </si>
  <si>
    <t>The leopard / Giuseppe di Lampedusa.</t>
  </si>
  <si>
    <t>London : Vintage Classic, 2007.</t>
  </si>
  <si>
    <t>2019-10-01</t>
  </si>
  <si>
    <t>457809014</t>
  </si>
  <si>
    <t>ocn457809014</t>
  </si>
  <si>
    <t>31033039946</t>
  </si>
  <si>
    <t>794790169</t>
  </si>
  <si>
    <t>PQ4843 O53 G334 1988</t>
  </si>
  <si>
    <t>0                      PQ 4843000O  53                 G  334         1988</t>
  </si>
  <si>
    <t>Il gattopardo : dal romanzo al film : [Tomasi di Lampedusa e Luchino Visconti a confronto] / Paola Fumagalli.</t>
  </si>
  <si>
    <t>Fumagalli, Paola.</t>
  </si>
  <si>
    <t>Firenze : Firenze libri, [1988]</t>
  </si>
  <si>
    <t>Collezione Ulma</t>
  </si>
  <si>
    <t>22524719:ita</t>
  </si>
  <si>
    <t>21080160</t>
  </si>
  <si>
    <t>ocm21080160</t>
  </si>
  <si>
    <t>3102930108G</t>
  </si>
  <si>
    <t>793108719</t>
  </si>
  <si>
    <t>PQ4843 O53 G33517 2010</t>
  </si>
  <si>
    <t>0                      PQ 4843000O  53                 G  33517       2010</t>
  </si>
  <si>
    <t>Il Gattopardo nel flusso del tempo : il romanzo di Tomasi e il film di Visconti / a cura di Barnaba Maj.</t>
  </si>
  <si>
    <t>770566383:ita</t>
  </si>
  <si>
    <t>703626049</t>
  </si>
  <si>
    <t>ocn703626049</t>
  </si>
  <si>
    <t>3103125238X</t>
  </si>
  <si>
    <t>9788849133875</t>
  </si>
  <si>
    <t>794865051</t>
  </si>
  <si>
    <t>PQ4843 O53 G3352 1996</t>
  </si>
  <si>
    <t>0                      PQ 4843000O  53                 G  3352        1996</t>
  </si>
  <si>
    <t>Tomasi di Lampedusa's Il Gattopardo : an introductory essay / by Ernest Hampson.</t>
  </si>
  <si>
    <t>Hampson, Ernest.</t>
  </si>
  <si>
    <t>Market Harborough : University Texts, ©1996.</t>
  </si>
  <si>
    <t>202149953:eng</t>
  </si>
  <si>
    <t>35556056</t>
  </si>
  <si>
    <t>ocm35556056</t>
  </si>
  <si>
    <t>3102127221F</t>
  </si>
  <si>
    <t>9781899293902</t>
  </si>
  <si>
    <t>793452019</t>
  </si>
  <si>
    <t>PQ4843.O53 G3353 2010</t>
  </si>
  <si>
    <t>0                      PQ 4843000O  53                 G  3353        2010</t>
  </si>
  <si>
    <t>Il Gattopardo at fifty / edited by Davide Messina ; introduction by Gioacchino Lanza Tomasi.</t>
  </si>
  <si>
    <t>L'interprete ; 99</t>
  </si>
  <si>
    <t>2012-02-06</t>
  </si>
  <si>
    <t>786706560:eng</t>
  </si>
  <si>
    <t>610841903</t>
  </si>
  <si>
    <t>ocn610841903</t>
  </si>
  <si>
    <t>3103125077V</t>
  </si>
  <si>
    <t>9788880636489</t>
  </si>
  <si>
    <t>794820820</t>
  </si>
  <si>
    <t>PQ4843 O53 G33535 2014</t>
  </si>
  <si>
    <t>0                      PQ 4843000O  53                 G  33535       2014</t>
  </si>
  <si>
    <t>Il mondo decadente del Gattopardo : Sicilia, sicilianità e storia d'Italia nel romanzo e nel film / Edvige Gioia.</t>
  </si>
  <si>
    <t>Gioia, Edvige, author.</t>
  </si>
  <si>
    <t>Roma : Aracne editrice S.r.l., 2014.</t>
  </si>
  <si>
    <t>I nuovi critici ; 10</t>
  </si>
  <si>
    <t>1916815268:ita</t>
  </si>
  <si>
    <t>879868232</t>
  </si>
  <si>
    <t>ocn879868232</t>
  </si>
  <si>
    <t>3103126430N</t>
  </si>
  <si>
    <t>9788854870260</t>
  </si>
  <si>
    <t>794972619</t>
  </si>
  <si>
    <t>PQ4843 O53 G3356 2010</t>
  </si>
  <si>
    <t>0                      PQ 4843000O  53                 G  3356        2010</t>
  </si>
  <si>
    <t>Mezzo secolo dal Gattopardo : studi e interpretazioni / interventi di Daniela Bini [and others] ; a cura di Giovanni Capecchi.</t>
  </si>
  <si>
    <t>Firenze : Le Cáriti, 2010.</t>
  </si>
  <si>
    <t>Logos ; n. 15</t>
  </si>
  <si>
    <t>480251454:ita</t>
  </si>
  <si>
    <t>613308489</t>
  </si>
  <si>
    <t>ocn613308489</t>
  </si>
  <si>
    <t>3103125087T</t>
  </si>
  <si>
    <t>9788887657555</t>
  </si>
  <si>
    <t>794821823</t>
  </si>
  <si>
    <t>PQ4843 O53 R3313 2013</t>
  </si>
  <si>
    <t>0                      PQ 4843000O  53                 R  3313        2013</t>
  </si>
  <si>
    <t>Childhood memories and other stories / Giuseppe Tomasi Di Lampedusa ; translated by Stephen Parkin ; foreword by Ian Thomson ; edited by Gioacchino Lanza Tomasi and Alessandro Gallenzi.</t>
  </si>
  <si>
    <t>Richmond, Surrey, United Kingdom : Alma Classics, 2013.</t>
  </si>
  <si>
    <t>2867944918:eng</t>
  </si>
  <si>
    <t>812570934</t>
  </si>
  <si>
    <t>ocn812570934</t>
  </si>
  <si>
    <t>3103504086J</t>
  </si>
  <si>
    <t>9781847493057</t>
  </si>
  <si>
    <t>794931095</t>
  </si>
  <si>
    <t>PQ4843 O53 Z48 2010</t>
  </si>
  <si>
    <t>0                      PQ 4843000O  53                 Z  48          2010</t>
  </si>
  <si>
    <t>Letters from London and Europe, 1925-30 / Giuseppe Tomasi di Lampedusa ; edited and with an introduction by Gioacchino Lanza Tomasi ; translated by J.G. Nichols ; foreword by Francesco da Mosto.</t>
  </si>
  <si>
    <t>Richmond, Surrey : Alma Books, 2010.</t>
  </si>
  <si>
    <t>66087016:eng</t>
  </si>
  <si>
    <t>640084131</t>
  </si>
  <si>
    <t>ocn640084131</t>
  </si>
  <si>
    <t>3103233807I</t>
  </si>
  <si>
    <t>9781846881114</t>
  </si>
  <si>
    <t>794827250</t>
  </si>
  <si>
    <t>PQ4843 O53 Z67 1988</t>
  </si>
  <si>
    <t>0                      PQ 4843000O  53                 Z  67          1988</t>
  </si>
  <si>
    <t>The last leopard : a life of Giuseppe di Lampedusa / David Gilmour.</t>
  </si>
  <si>
    <t>Gilmour, David, 1952-</t>
  </si>
  <si>
    <t>London ; New York : Quartet Books, 1988.</t>
  </si>
  <si>
    <t>21204296:eng</t>
  </si>
  <si>
    <t>19556223</t>
  </si>
  <si>
    <t>ocm19556223</t>
  </si>
  <si>
    <t>3103070678E</t>
  </si>
  <si>
    <t>9780704325647</t>
  </si>
  <si>
    <t>793062219</t>
  </si>
  <si>
    <t>PQ4843 O53 Z74 2013</t>
  </si>
  <si>
    <t>0                      PQ 4843000O  53                 Z  74          2013</t>
  </si>
  <si>
    <t>Giuseppe Tomasi di Lampedusa : a biography through images / Gioacchino Lanza Tomasi ; picture research by Nicoletta Polo ; with a foreword by David Gilmour ; translations by Alessandro Gallenzi and J.G. Nichols.</t>
  </si>
  <si>
    <t>Lanza Tomasi, Gioacchino, author.</t>
  </si>
  <si>
    <t>Richmond : Alma Books, 2013.</t>
  </si>
  <si>
    <t>1149478232:eng</t>
  </si>
  <si>
    <t>805019849</t>
  </si>
  <si>
    <t>ocn805019849</t>
  </si>
  <si>
    <t>3103552692J</t>
  </si>
  <si>
    <t>9781846882128</t>
  </si>
  <si>
    <t>794926106</t>
  </si>
  <si>
    <t>PQ4843 O53 Z765 2012</t>
  </si>
  <si>
    <t>0                      PQ 4843000O  53                 Z  765         2012</t>
  </si>
  <si>
    <t>Il principe fulvo / Salvatore Silvano Nigro.</t>
  </si>
  <si>
    <t>Nigro, Salvatore S.</t>
  </si>
  <si>
    <t>Palermo : Sellerio, ©2012.</t>
  </si>
  <si>
    <t>La memoria ; 878</t>
  </si>
  <si>
    <t>1044135089:ita</t>
  </si>
  <si>
    <t>760988461</t>
  </si>
  <si>
    <t>ocn760988461</t>
  </si>
  <si>
    <t>3103125723K</t>
  </si>
  <si>
    <t>9788838926105</t>
  </si>
  <si>
    <t>794898907</t>
  </si>
  <si>
    <t>PQ4843 O53 Z914 2010</t>
  </si>
  <si>
    <t>0                      PQ 4843000O  53                 Z  914         2010</t>
  </si>
  <si>
    <t>Giuseppe Tomasi di Lampedusa / Salvatore Savoia.</t>
  </si>
  <si>
    <t>Savoia, Salvatore.</t>
  </si>
  <si>
    <t>Palermo : Flaccovio, ©2010.</t>
  </si>
  <si>
    <t>Siciliani ; 1</t>
  </si>
  <si>
    <t>485810262:ita</t>
  </si>
  <si>
    <t>620108548</t>
  </si>
  <si>
    <t>ocn620108548</t>
  </si>
  <si>
    <t>31031251153</t>
  </si>
  <si>
    <t>9788878044715</t>
  </si>
  <si>
    <t>794823500</t>
  </si>
  <si>
    <t>PQ4843 O53 Z98 2011</t>
  </si>
  <si>
    <t>0                      PQ 4843000O  53                 Z  98          2011</t>
  </si>
  <si>
    <t>Tomasi di Lampedusa / Nunzio Zago.</t>
  </si>
  <si>
    <t>Zago, Nunzio.</t>
  </si>
  <si>
    <t>Scrittori d'Italia ; 2</t>
  </si>
  <si>
    <t>1142525622:ita</t>
  </si>
  <si>
    <t>802322557</t>
  </si>
  <si>
    <t>ocn802322557</t>
  </si>
  <si>
    <t>31031258689</t>
  </si>
  <si>
    <t>9788877967763</t>
  </si>
  <si>
    <t>794925579</t>
  </si>
  <si>
    <t>PQ4843 O8 G653 2012</t>
  </si>
  <si>
    <t>0                      PQ 4843000O  8                  G  653         2012</t>
  </si>
  <si>
    <t>Tozzi e Dostoevskij : la fuggitiva realtà / Elena Gori.</t>
  </si>
  <si>
    <t>Gori, Elena.</t>
  </si>
  <si>
    <t>Opera prima ; 4</t>
  </si>
  <si>
    <t>1124056971:ita</t>
  </si>
  <si>
    <t>798610411</t>
  </si>
  <si>
    <t>ocn798610411</t>
  </si>
  <si>
    <t>3103125846D</t>
  </si>
  <si>
    <t>9788876674273</t>
  </si>
  <si>
    <t>794923803</t>
  </si>
  <si>
    <t>PQ4843 O8 R28 1989</t>
  </si>
  <si>
    <t>0                      PQ 4843000O  8                  R  28          1989</t>
  </si>
  <si>
    <t>Realtà di ieri e di oggi / Federico Tozzi ; prefazione di Giuseppe Fanciulli.</t>
  </si>
  <si>
    <t>Tozzi, Federigo, 1883-1920.</t>
  </si>
  <si>
    <t>Montebelluna [Italy] : Amadeus, 1989.</t>
  </si>
  <si>
    <t>La biblioteca di Amadeus</t>
  </si>
  <si>
    <t>20600733:ita</t>
  </si>
  <si>
    <t>153640144</t>
  </si>
  <si>
    <t>ocn153640144</t>
  </si>
  <si>
    <t>3100708038O</t>
  </si>
  <si>
    <t>794250202</t>
  </si>
  <si>
    <t>PQ4843 O8 T7 1979</t>
  </si>
  <si>
    <t>0                      PQ 4843000O  8                  T  7           1979</t>
  </si>
  <si>
    <t>Tre croci / Federigo Tozzi ; introduzione di Carlo Cassola.</t>
  </si>
  <si>
    <t>Milano : Rizzoli, 1979.</t>
  </si>
  <si>
    <t>[I Tascabili della BUR] ; 229</t>
  </si>
  <si>
    <t>2580978:ita</t>
  </si>
  <si>
    <t>17062242</t>
  </si>
  <si>
    <t>ocm17062242</t>
  </si>
  <si>
    <t>30003048870</t>
  </si>
  <si>
    <t>792981505</t>
  </si>
  <si>
    <t>PQ4843 O8 T7 1985</t>
  </si>
  <si>
    <t>0                      PQ 4843000O  8                  T  7           1985</t>
  </si>
  <si>
    <t>2013-09-04</t>
  </si>
  <si>
    <t>30001941527</t>
  </si>
  <si>
    <t>792981506</t>
  </si>
  <si>
    <t>PQ4843 O8 Z576 1997</t>
  </si>
  <si>
    <t>0                      PQ 4843000O  8                  Z  576         1997</t>
  </si>
  <si>
    <t>Studi tozziani / Giancarlo Bertoncini.</t>
  </si>
  <si>
    <t>Bertoncini, Giancarlo.</t>
  </si>
  <si>
    <t>Manziana, Roma : Vecchiarelli, 1997, ©1996.</t>
  </si>
  <si>
    <t>Memoria bibliografica ; 28</t>
  </si>
  <si>
    <t>33540500:ita</t>
  </si>
  <si>
    <t>38370382</t>
  </si>
  <si>
    <t>ocm38370382</t>
  </si>
  <si>
    <t>3102929909Z</t>
  </si>
  <si>
    <t>793522469</t>
  </si>
  <si>
    <t>PQ4843 O8 Z6454 2012</t>
  </si>
  <si>
    <t>0                      PQ 4843000O  8                  Z  6454        2012</t>
  </si>
  <si>
    <t>Tozzi e le facce di Paolo : dal poema in prosa al romanzo / Giuseppe Fontanelli.</t>
  </si>
  <si>
    <t>Fontanelli, Giuseppe.</t>
  </si>
  <si>
    <t>Polinnia ; 25</t>
  </si>
  <si>
    <t>1177845634:ita</t>
  </si>
  <si>
    <t>816040709</t>
  </si>
  <si>
    <t>ocn816040709</t>
  </si>
  <si>
    <t>31031259822</t>
  </si>
  <si>
    <t>9788822261731</t>
  </si>
  <si>
    <t>794932926</t>
  </si>
  <si>
    <t>PQ4843 O8 Z655 2002</t>
  </si>
  <si>
    <t>0                      PQ 4843000O  8                  Z  655         2002</t>
  </si>
  <si>
    <t>Paysages : essai sur la description de Federigo Tozzi / Marina Fratnik.</t>
  </si>
  <si>
    <t>Fratnik, Marina.</t>
  </si>
  <si>
    <t>Firenze : L.S. Olschki, 2002.</t>
  </si>
  <si>
    <t>Biblioteca dell'"Archivum Romanicum." Serie I, Storia, letteratura, paleografia ; 307</t>
  </si>
  <si>
    <t>331530496:fre</t>
  </si>
  <si>
    <t>51567375</t>
  </si>
  <si>
    <t>ocm51567375</t>
  </si>
  <si>
    <t>3102285450V</t>
  </si>
  <si>
    <t>9788822251640</t>
  </si>
  <si>
    <t>793787038</t>
  </si>
  <si>
    <t>PQ4843 O8 Z6558 2007</t>
  </si>
  <si>
    <t>0                      PQ 4843000O  8                  Z  6558        2007</t>
  </si>
  <si>
    <t>Tozzi : il figlio in croce / Cristina Gucciarelli.</t>
  </si>
  <si>
    <t>Gucciarelli, Cristina, 1974-</t>
  </si>
  <si>
    <t>Firenze : F. Cesati, ©2007.</t>
  </si>
  <si>
    <t>OperaPrima ; 2</t>
  </si>
  <si>
    <t>140784508:ita</t>
  </si>
  <si>
    <t>133430996</t>
  </si>
  <si>
    <t>ocn133430996</t>
  </si>
  <si>
    <t>3102798812H</t>
  </si>
  <si>
    <t>9788876673306</t>
  </si>
  <si>
    <t>794232308</t>
  </si>
  <si>
    <t>PQ4843 O8 Z6x</t>
  </si>
  <si>
    <t>0                      PQ 4843000O  8                  Z  6x</t>
  </si>
  <si>
    <t>Il mondo e l'arte di Federigo Tozzi [di] N.F. Cimmino.</t>
  </si>
  <si>
    <t>Cimmino, N. F. (Nicola Francesco)</t>
  </si>
  <si>
    <t>Roma, G. Volpe, 1966.</t>
  </si>
  <si>
    <t>354263686:ita</t>
  </si>
  <si>
    <t>375129</t>
  </si>
  <si>
    <t>ocm00375129</t>
  </si>
  <si>
    <t>3000617311B</t>
  </si>
  <si>
    <t>791356739</t>
  </si>
  <si>
    <t>PQ4843 O8 Z777 1999</t>
  </si>
  <si>
    <t>0                      PQ 4843000O  8                  Z  777         1999</t>
  </si>
  <si>
    <t>Tozzi e James : letteratura e psicologia / Martina Martini ; presentazione di Giorgio Luti ; introduzione di Marco Marchi.</t>
  </si>
  <si>
    <t>Martini, Martina.</t>
  </si>
  <si>
    <t>Firenze : Leo S. Olschki, 1999.</t>
  </si>
  <si>
    <t>Quaderni / Fondazione Carlo Marchi ; 5</t>
  </si>
  <si>
    <t>365877451:ita</t>
  </si>
  <si>
    <t>42009982</t>
  </si>
  <si>
    <t>ocm42009982</t>
  </si>
  <si>
    <t>3102929924V</t>
  </si>
  <si>
    <t>9788822247643</t>
  </si>
  <si>
    <t>793601159</t>
  </si>
  <si>
    <t>PQ4843 O8 Z86x</t>
  </si>
  <si>
    <t>0                      PQ 4843000O  8                  Z  86x</t>
  </si>
  <si>
    <t>Invito alla lettura di Federigo Tozzi / Luigi Reina.</t>
  </si>
  <si>
    <t>Reina, Luigi.</t>
  </si>
  <si>
    <t>Invito alla lettura. Sezione italiana. ; 33</t>
  </si>
  <si>
    <t>5054947:ita</t>
  </si>
  <si>
    <t>2396058</t>
  </si>
  <si>
    <t>ocm02396058</t>
  </si>
  <si>
    <t>30004483120</t>
  </si>
  <si>
    <t>792116176</t>
  </si>
  <si>
    <t>PQ4843 U3 B4 1991</t>
  </si>
  <si>
    <t>0                      PQ 4843000U  3                  B  4           1991</t>
  </si>
  <si>
    <t>Before my time / Niccolò Tucci ; introduction by Doris Lessing.</t>
  </si>
  <si>
    <t>Tucci, Niccolò, 1908-</t>
  </si>
  <si>
    <t>Mount Kisco, N.Y. : Moyer Bell, ©1991.</t>
  </si>
  <si>
    <t>2454640:eng</t>
  </si>
  <si>
    <t>23655203</t>
  </si>
  <si>
    <t>ocm23655203</t>
  </si>
  <si>
    <t>31012198728</t>
  </si>
  <si>
    <t>9781559210553</t>
  </si>
  <si>
    <t>793178964</t>
  </si>
  <si>
    <t>PQ4843 U3 U6 1992</t>
  </si>
  <si>
    <t>0                      PQ 4843000U  3                  U  6           1992</t>
  </si>
  <si>
    <t>Unfinished funeral / Niccolò Tucci.</t>
  </si>
  <si>
    <t>Mount Kisco, N.Y. : Moyer Bell Ltd., ©1992.</t>
  </si>
  <si>
    <t>2018-09-08</t>
  </si>
  <si>
    <t>2327554:eng</t>
  </si>
  <si>
    <t>26132606</t>
  </si>
  <si>
    <t>ocm26132606</t>
  </si>
  <si>
    <t>31013464499</t>
  </si>
  <si>
    <t>9781559210638</t>
  </si>
  <si>
    <t>793238326</t>
  </si>
  <si>
    <t>PQ4845 N4 A24 1975</t>
  </si>
  <si>
    <t>0                      PQ 4845000N  4                  A  24          1975</t>
  </si>
  <si>
    <t>Selected poems of Giuseppe Ungaretti / translated and edited by Allen Mandelbaum.</t>
  </si>
  <si>
    <t>Ungaretti, Giuseppe, 1888-1970, author.</t>
  </si>
  <si>
    <t>Ithaca : Cornell University Press, [1975]</t>
  </si>
  <si>
    <t>2242248339:eng</t>
  </si>
  <si>
    <t>1637741</t>
  </si>
  <si>
    <t>ocm01637741</t>
  </si>
  <si>
    <t>3102689846I</t>
  </si>
  <si>
    <t>9780801408502</t>
  </si>
  <si>
    <t>791798160</t>
  </si>
  <si>
    <t>PQ4845 N4 S4 1988</t>
  </si>
  <si>
    <t>0                      PQ 4845000N  4                  S  4           1988</t>
  </si>
  <si>
    <t>Sentimento del tempo / Giuseppe Ungaretti ; edizione critica a cura di Rosanna Angelica e Cristiana Maggi Romano.</t>
  </si>
  <si>
    <t>Ungaretti, Giuseppe, 1888-1970.</t>
  </si>
  <si>
    <t>Milano : Fondazione Arnoldo e Alberto Mondadori, 1988.</t>
  </si>
  <si>
    <t>Testi e strumenti di filologia italiana. Testi ; 9</t>
  </si>
  <si>
    <t>2017-04-26</t>
  </si>
  <si>
    <t>8909196318:ita</t>
  </si>
  <si>
    <t>20431097</t>
  </si>
  <si>
    <t>ocm20431097</t>
  </si>
  <si>
    <t>3100658130D</t>
  </si>
  <si>
    <t>9788804317494</t>
  </si>
  <si>
    <t>793087747</t>
  </si>
  <si>
    <t>PQ4845 N4 V5 1993</t>
  </si>
  <si>
    <t>0                      PQ 4845000N  4                  V  5           1993</t>
  </si>
  <si>
    <t>Vita d'un uomo. Saggi e interventi / Giuseppe Ungaretti ; a cura di Mario Diacono e Luciano Rebay.</t>
  </si>
  <si>
    <t>Milano : A. Mondadori, 1982, ©1974.</t>
  </si>
  <si>
    <t>9021300999:ita</t>
  </si>
  <si>
    <t>29554827</t>
  </si>
  <si>
    <t>ocm29554827</t>
  </si>
  <si>
    <t>3101315271A</t>
  </si>
  <si>
    <t>793314238</t>
  </si>
  <si>
    <t>PQ4845 N4 V54 2010</t>
  </si>
  <si>
    <t>0                      PQ 4845000N  4                  V  54          2010</t>
  </si>
  <si>
    <t>Vita d'un uomo : traduzioni poetiche / Giuseppe Ungaretti ; a cura di Carlo Ossola, Giulia Radin ; saggio introduttivo di Carlo Ossola.</t>
  </si>
  <si>
    <t>Milano : A. Mondadori, 2010.</t>
  </si>
  <si>
    <t>3860678959:ita</t>
  </si>
  <si>
    <t>694828894</t>
  </si>
  <si>
    <t>ocn694828894</t>
  </si>
  <si>
    <t>3103125303$</t>
  </si>
  <si>
    <t>9788804594260</t>
  </si>
  <si>
    <t>794857939</t>
  </si>
  <si>
    <t>PQ4845 N4 Z48 2010</t>
  </si>
  <si>
    <t>0                      PQ 4845000N  4                  Z  48          2010</t>
  </si>
  <si>
    <t>Carteggio (1951-1966) / Giuseppe Ungaretti, Jean Lescure ; a cura di Rosario Gennaro.</t>
  </si>
  <si>
    <t>Biblioteca dell'Archivum romanicum. Serie 1, Storia, letteratura, pelografia ; 367</t>
  </si>
  <si>
    <t>5092876639:ita</t>
  </si>
  <si>
    <t>603042309</t>
  </si>
  <si>
    <t>ocn603042309</t>
  </si>
  <si>
    <t>3103125080T</t>
  </si>
  <si>
    <t>9788822259585</t>
  </si>
  <si>
    <t>794815605</t>
  </si>
  <si>
    <t>PQ4845 N4 Z48 2015</t>
  </si>
  <si>
    <t>0                      PQ 4845000N  4                  Z  48          2015</t>
  </si>
  <si>
    <t>Lettere dal fronte a Mario Puccini / Giuseppe Ungaretti ; a cura di Francesco De Nicola.</t>
  </si>
  <si>
    <t>Milano : Archinto, ©2015.</t>
  </si>
  <si>
    <t>2501569808:ita</t>
  </si>
  <si>
    <t>907638888</t>
  </si>
  <si>
    <t>ocn907638888</t>
  </si>
  <si>
    <t>3103628098E</t>
  </si>
  <si>
    <t>9788877686718</t>
  </si>
  <si>
    <t>794993647</t>
  </si>
  <si>
    <t>PQ4845 N4 Z5483 2012</t>
  </si>
  <si>
    <t>0                      PQ 4845000N  4                  Z  5483        2012</t>
  </si>
  <si>
    <t>Cammina cammina ho ritrovato il pozzo d'amore : la Bibbia nella poesia di Giuseppe Ungaretti / Paola Baioni ; prefazione di Giorgio Baroni.</t>
  </si>
  <si>
    <t>Baioni, Paola.</t>
  </si>
  <si>
    <t>1201883073:ita</t>
  </si>
  <si>
    <t>824351488</t>
  </si>
  <si>
    <t>ocn824351488</t>
  </si>
  <si>
    <t>3103126098N</t>
  </si>
  <si>
    <t>9788854850125</t>
  </si>
  <si>
    <t>794937711</t>
  </si>
  <si>
    <t>PQ4845 N4 Z6375 2010</t>
  </si>
  <si>
    <t>0                      PQ 4845000N  4                  Z  6375        2010</t>
  </si>
  <si>
    <t>Il sorriso di Palinuro : il visibile parlare nell'invisibile viaggiare di Ungaretti / Giuseppe De Marco.</t>
  </si>
  <si>
    <t>De Marco, Giuseppe.</t>
  </si>
  <si>
    <t>Roma : Studium, ©2010.</t>
  </si>
  <si>
    <t>La cultura ; 125</t>
  </si>
  <si>
    <t>796331343:ita</t>
  </si>
  <si>
    <t>620110175</t>
  </si>
  <si>
    <t>ocn620110175</t>
  </si>
  <si>
    <t>3103125090R</t>
  </si>
  <si>
    <t>9788838241079</t>
  </si>
  <si>
    <t>794823504</t>
  </si>
  <si>
    <t>PQ4845 N4 Z665 1984</t>
  </si>
  <si>
    <t>0                      PQ 4845000N  4                  Z  665         1984</t>
  </si>
  <si>
    <t>Giuseppe Ungaretti, il sentimento del tempo / A. Frattini ... (et al.] ; a cura di Rosa Brambilla.</t>
  </si>
  <si>
    <t>Assisi : Cittadella, ©1984.</t>
  </si>
  <si>
    <t>Collana Cittadella incontri</t>
  </si>
  <si>
    <t>146937683:ita</t>
  </si>
  <si>
    <t>12311861</t>
  </si>
  <si>
    <t>ocm12311861</t>
  </si>
  <si>
    <t>3000375652H</t>
  </si>
  <si>
    <t>792809916</t>
  </si>
  <si>
    <t>PQ4845 N4 Z765 2011</t>
  </si>
  <si>
    <t>0                      PQ 4845000N  4                  Z  765         2011</t>
  </si>
  <si>
    <t>Le ragioni dell'ovvio : rileggendo Svevo, Pascoli, Ungaretti, Montale / Noemi Paolini Giachery.</t>
  </si>
  <si>
    <t>Paolini Giachery, Noemi.</t>
  </si>
  <si>
    <t>Voltaire ; 9</t>
  </si>
  <si>
    <t>2012-02-09</t>
  </si>
  <si>
    <t>982015521:ita</t>
  </si>
  <si>
    <t>745969688</t>
  </si>
  <si>
    <t>ocn745969688</t>
  </si>
  <si>
    <t>3103125540M</t>
  </si>
  <si>
    <t>9788896517697</t>
  </si>
  <si>
    <t>794886743</t>
  </si>
  <si>
    <t>PQ4845 N4 Z83 2012</t>
  </si>
  <si>
    <t>0                      PQ 4845000N  4                  Z  83          2012</t>
  </si>
  <si>
    <t>Ungaretti / Antonio Saccone.</t>
  </si>
  <si>
    <t>Saccone, Antonio.</t>
  </si>
  <si>
    <t>Sestante ; 22</t>
  </si>
  <si>
    <t>1101289283:ita</t>
  </si>
  <si>
    <t>785809702</t>
  </si>
  <si>
    <t>ocn785809702</t>
  </si>
  <si>
    <t>3103125931C</t>
  </si>
  <si>
    <t>9788884027559</t>
  </si>
  <si>
    <t>794915288</t>
  </si>
  <si>
    <t>PQ4845 N4 1974</t>
  </si>
  <si>
    <t>0                      PQ 4845000N  4           1974</t>
  </si>
  <si>
    <t>Vita d'un uomo : tutte le poesie / Giuseppe Ungaretti ; a a cura di Leone Piccioni.</t>
  </si>
  <si>
    <t>[Milano] : A. Mondadori, 1974, ©1969.</t>
  </si>
  <si>
    <t>7. ed. I Meridiani.</t>
  </si>
  <si>
    <t>2017-05-06</t>
  </si>
  <si>
    <t>3901004191:ita</t>
  </si>
  <si>
    <t>1935592</t>
  </si>
  <si>
    <t>ocm01935592</t>
  </si>
  <si>
    <t>3000409040Q</t>
  </si>
  <si>
    <t>792014289</t>
  </si>
  <si>
    <t>PQ4847 I77 C5 1969</t>
  </si>
  <si>
    <t>0                      PQ 4847000I  77                 C  5           1969</t>
  </si>
  <si>
    <t>Le città del mondo / Elio Vittorini.</t>
  </si>
  <si>
    <t>Vittorini, Elio, 1908-1966.</t>
  </si>
  <si>
    <t>Torino : Einaudi, 1969.</t>
  </si>
  <si>
    <t>350481958:ita</t>
  </si>
  <si>
    <t>747607</t>
  </si>
  <si>
    <t>ocm00747607</t>
  </si>
  <si>
    <t>3000202687P</t>
  </si>
  <si>
    <t>791460560</t>
  </si>
  <si>
    <t>PQ4847 I77 C6 1978</t>
  </si>
  <si>
    <t>0                      PQ 4847000I  77                 C  6           1978</t>
  </si>
  <si>
    <t>Conversazione in Sicilia (nome e lacrime) / Elio Vittorini ; edited with introd., notes, and vocabulary by Robert C. Powell.</t>
  </si>
  <si>
    <t>Manchester : Manchester University Press, ©1978.</t>
  </si>
  <si>
    <t>4915199270:eng</t>
  </si>
  <si>
    <t>5099668</t>
  </si>
  <si>
    <t>ocm05099668</t>
  </si>
  <si>
    <t>30004297681</t>
  </si>
  <si>
    <t>9780719006876</t>
  </si>
  <si>
    <t>792407287</t>
  </si>
  <si>
    <t>PQ4847 I77 U6 1986</t>
  </si>
  <si>
    <t>0                      PQ 4847000I  77                 U  6           1986</t>
  </si>
  <si>
    <t>Uomini e no / Elio Vittorini ; introduzione di Giansiro Ferrata.</t>
  </si>
  <si>
    <t>Milano : A. Mondardori, 1986, ©1965.</t>
  </si>
  <si>
    <t>Narrativa ; 83</t>
  </si>
  <si>
    <t>1889943:ita</t>
  </si>
  <si>
    <t>427107692</t>
  </si>
  <si>
    <t>ocn427107692</t>
  </si>
  <si>
    <t>30001924096</t>
  </si>
  <si>
    <t>794520374</t>
  </si>
  <si>
    <t>PQ4847 I77 U633 2016</t>
  </si>
  <si>
    <t>0                      PQ 4847000I  77                 U  633         2016</t>
  </si>
  <si>
    <t>Diacronia di un romanzo : Uomini e no di Elio Vittorini (1944-1966) / Virna Brigatti.</t>
  </si>
  <si>
    <t>Brigatti, Virna, author.</t>
  </si>
  <si>
    <t>Milano, Italy : Ledizioni, novembre 2016.</t>
  </si>
  <si>
    <t>Testi e testimonianze di critica letteraria ; 2</t>
  </si>
  <si>
    <t>4075628260:ita</t>
  </si>
  <si>
    <t>973264697</t>
  </si>
  <si>
    <t>ocn973264697</t>
  </si>
  <si>
    <t>3103716166W</t>
  </si>
  <si>
    <t>9788867055050</t>
  </si>
  <si>
    <t>795029014</t>
  </si>
  <si>
    <t>PQ4847 I77 U6413 1985</t>
  </si>
  <si>
    <t>0                      PQ 4847000I  77                 U  6413        1985</t>
  </si>
  <si>
    <t>Men and not men / Elio Vittorini ; translated from the Italian by Sarah Henry.</t>
  </si>
  <si>
    <t>Marlboro, Vermont : Marlboro Press, 1985.</t>
  </si>
  <si>
    <t>1st English language edition.</t>
  </si>
  <si>
    <t>1889943:eng</t>
  </si>
  <si>
    <t>12959492</t>
  </si>
  <si>
    <t>ocm12959492</t>
  </si>
  <si>
    <t>3000382852I</t>
  </si>
  <si>
    <t>9780910395137</t>
  </si>
  <si>
    <t>792834683</t>
  </si>
  <si>
    <t>PQ4847 I77 Z5576 2000</t>
  </si>
  <si>
    <t>0                      PQ 4847000I  77                 Z  5576        2000</t>
  </si>
  <si>
    <t>Elio Vittorini : the writer and the written / Guido Bonsaver.</t>
  </si>
  <si>
    <t>Bonsaver, Guido.</t>
  </si>
  <si>
    <t>368755795:eng</t>
  </si>
  <si>
    <t>45485002</t>
  </si>
  <si>
    <t>ocm45485002</t>
  </si>
  <si>
    <t>3102167038J</t>
  </si>
  <si>
    <t>9781902653143</t>
  </si>
  <si>
    <t>793672446</t>
  </si>
  <si>
    <t>PQ4847 I77 Z6</t>
  </si>
  <si>
    <t>0                      PQ 4847000I  77                 Z  6</t>
  </si>
  <si>
    <t>Vittorini. Progettazione e letteratura. Fotografie di Carla Cerati, copertina di Eugenio Montale.</t>
  </si>
  <si>
    <t>Milano, All'insegna del pesce d'oro, 1968.</t>
  </si>
  <si>
    <t>Narratori, n. 29</t>
  </si>
  <si>
    <t>365400246:ita</t>
  </si>
  <si>
    <t>1332036</t>
  </si>
  <si>
    <t>ocm01332036</t>
  </si>
  <si>
    <t>3000616288M</t>
  </si>
  <si>
    <t>791602153</t>
  </si>
  <si>
    <t>PQ4847 I77 Z6248 2008</t>
  </si>
  <si>
    <t>0                      PQ 4847000I  77                 Z  6248        2008</t>
  </si>
  <si>
    <t>Elio Vittorini : il sogno di una nuova letteratura / a cura di Lisa Gasparotto.</t>
  </si>
  <si>
    <t>Saggi ; 104</t>
  </si>
  <si>
    <t>982015519:ita</t>
  </si>
  <si>
    <t>745969685</t>
  </si>
  <si>
    <t>ocn745969685</t>
  </si>
  <si>
    <t>3103125519S</t>
  </si>
  <si>
    <t>9788860874320</t>
  </si>
  <si>
    <t>794886742</t>
  </si>
  <si>
    <t>PQ4847 I77 Z626 2012</t>
  </si>
  <si>
    <t>0                      PQ 4847000I  77                 Z  626         2012</t>
  </si>
  <si>
    <t>Elio Vittorini editore, 1926-1943 / Flavio Cogo.</t>
  </si>
  <si>
    <t>Cogo, Flavio.</t>
  </si>
  <si>
    <t>Bologna : Archetipo libri, ©2012.</t>
  </si>
  <si>
    <t>Coriandoli</t>
  </si>
  <si>
    <t>1185863188:ita</t>
  </si>
  <si>
    <t>820785448</t>
  </si>
  <si>
    <t>ocn820785448</t>
  </si>
  <si>
    <t>31031260182</t>
  </si>
  <si>
    <t>9788866331148</t>
  </si>
  <si>
    <t>794935787</t>
  </si>
  <si>
    <t>PQ4847 I77 Z628 2011</t>
  </si>
  <si>
    <t>0                      PQ 4847000I  77                 Z  628         2011</t>
  </si>
  <si>
    <t>La comunità inconfessabile : risorse e tensioni nell'opera e nella vita di Elio Vittorini / a cura di Toni Iermano, Pasquale Sabbatino.</t>
  </si>
  <si>
    <t>967646445:ita</t>
  </si>
  <si>
    <t>744283220</t>
  </si>
  <si>
    <t>ocn744283220</t>
  </si>
  <si>
    <t>3103125496F</t>
  </si>
  <si>
    <t>9788820752408</t>
  </si>
  <si>
    <t>794885881</t>
  </si>
  <si>
    <t>PQ4847 I77 Z664 2011</t>
  </si>
  <si>
    <t>0                      PQ 4847000I  77                 Z  664         2011</t>
  </si>
  <si>
    <t>Elio Vittorini, scrittura e utopia / Edoardo Esposito.</t>
  </si>
  <si>
    <t>Esposito, Edoardo.</t>
  </si>
  <si>
    <t>Roma : Donzelli, ©2011.</t>
  </si>
  <si>
    <t>903078765:ita</t>
  </si>
  <si>
    <t>726827572</t>
  </si>
  <si>
    <t>ocn726827572</t>
  </si>
  <si>
    <t>3103125377M</t>
  </si>
  <si>
    <t>9788860365620</t>
  </si>
  <si>
    <t>794877517</t>
  </si>
  <si>
    <t>PQ4847 I77 Z735 2011</t>
  </si>
  <si>
    <t>0                      PQ 4847000I  77                 Z  735         2011</t>
  </si>
  <si>
    <t>Vittorini politecnico / Giuseppe Lupo.</t>
  </si>
  <si>
    <t>Lupo, Giuseppe, 1963-</t>
  </si>
  <si>
    <t>Letteratura italiana ; 5</t>
  </si>
  <si>
    <t>1009829642:ita</t>
  </si>
  <si>
    <t>752061818</t>
  </si>
  <si>
    <t>ocn752061818</t>
  </si>
  <si>
    <t>3103125531O</t>
  </si>
  <si>
    <t>9788856838404</t>
  </si>
  <si>
    <t>794891421</t>
  </si>
  <si>
    <t>PQ4847 I77 Z95 2015</t>
  </si>
  <si>
    <t>0                      PQ 4847000I  77                 Z  95          2015</t>
  </si>
  <si>
    <t>I sensi e la ragione : l'ideologia della letteratura dell'ultimo Vittorini / Giuseppe Varone.</t>
  </si>
  <si>
    <t>Varone, Giuseppe, author.</t>
  </si>
  <si>
    <t>Firenze : Franco Cesati Editore, [2015]</t>
  </si>
  <si>
    <t>Strumenti di letteratura italiana ; 51</t>
  </si>
  <si>
    <t>2608812046:ita</t>
  </si>
  <si>
    <t>919440391</t>
  </si>
  <si>
    <t>ocn919440391</t>
  </si>
  <si>
    <t>3103630283G</t>
  </si>
  <si>
    <t>9788876675232</t>
  </si>
  <si>
    <t>795001819</t>
  </si>
  <si>
    <t>PQ4847 I77 Z99 1980</t>
  </si>
  <si>
    <t>0                      PQ 4847000I  77                 Z  99          1980</t>
  </si>
  <si>
    <t>Elio Vittorini : introduzione e guida allo studio dell'opera vittoriniana : storia e antologia della critica / Folco Zanobini.</t>
  </si>
  <si>
    <t>Zanobini, Folco.</t>
  </si>
  <si>
    <t>Firenze : Le Monnier, 1980.</t>
  </si>
  <si>
    <t>Profile letterari</t>
  </si>
  <si>
    <t>229014764:ita</t>
  </si>
  <si>
    <t>427253093</t>
  </si>
  <si>
    <t>ocn427253093</t>
  </si>
  <si>
    <t>30001454499</t>
  </si>
  <si>
    <t>9788800647007</t>
  </si>
  <si>
    <t>794553714</t>
  </si>
  <si>
    <t>PQ4847 I93 A17 1975</t>
  </si>
  <si>
    <t>0                      PQ 4847000I  93                 A  17          1975</t>
  </si>
  <si>
    <t>Poesie / Raffaele Viviani.</t>
  </si>
  <si>
    <t>Viviani, Raffaele, 1888-1950.</t>
  </si>
  <si>
    <t>Napoli : Guida, [1975], ©1974.</t>
  </si>
  <si>
    <t>nap</t>
  </si>
  <si>
    <t>3188021:nap</t>
  </si>
  <si>
    <t>2652207</t>
  </si>
  <si>
    <t>ocm02652207</t>
  </si>
  <si>
    <t>3000423171T</t>
  </si>
  <si>
    <t>792158232</t>
  </si>
  <si>
    <t>PQ4851 A74 A17 1975</t>
  </si>
  <si>
    <t>0                      PQ 4851000A  74                 A  17          1975</t>
  </si>
  <si>
    <t>Selected poetry of Andrea Zanzotto / edited and translated by Ruth Feldman and Brian Swann.</t>
  </si>
  <si>
    <t>Zanzotto, Andrea, 1921-2011.</t>
  </si>
  <si>
    <t>Princeton, N.J. : Princeton University Press, ©1975.</t>
  </si>
  <si>
    <t>Lockert library of poetry in translation</t>
  </si>
  <si>
    <t>359323324:eng</t>
  </si>
  <si>
    <t>1735285</t>
  </si>
  <si>
    <t>ocm01735285</t>
  </si>
  <si>
    <t>3103773833Z</t>
  </si>
  <si>
    <t>9780691062907</t>
  </si>
  <si>
    <t>791856876</t>
  </si>
  <si>
    <t>PQ4851 A74 A6 1999</t>
  </si>
  <si>
    <t>0                      PQ 4851000A  74                 A  6           1999</t>
  </si>
  <si>
    <t>Le poesie e prose scelte / Andrea Zanzotto ; a cura di Stefano Dal Bianco e Gian Mario Villalta ; con due saggi di Stefano Agosti e Fernando Bandini.</t>
  </si>
  <si>
    <t>14241175:ita</t>
  </si>
  <si>
    <t>42668135</t>
  </si>
  <si>
    <t>ocm42668135</t>
  </si>
  <si>
    <t>3102337993J</t>
  </si>
  <si>
    <t>9788804469384</t>
  </si>
  <si>
    <t>793611118</t>
  </si>
  <si>
    <t>PQ4851 A74 B437 2011</t>
  </si>
  <si>
    <t>0                      PQ 4851000A  74                 B  437         2011</t>
  </si>
  <si>
    <t>Attraverso la Beltà di Andrea Zanzotto : macrotesto, intertestualità, ragioni genetiche / Luca Stefanelli.</t>
  </si>
  <si>
    <t>Stefanelli, Luca.</t>
  </si>
  <si>
    <t>Studi di critica e filologia ; nuova ser., 2</t>
  </si>
  <si>
    <t>1011477673:ita</t>
  </si>
  <si>
    <t>753624575</t>
  </si>
  <si>
    <t>ocn753624575</t>
  </si>
  <si>
    <t>3103125513S</t>
  </si>
  <si>
    <t>9788846730008</t>
  </si>
  <si>
    <t>794892196</t>
  </si>
  <si>
    <t>PQ4851 A74 C6637 2012</t>
  </si>
  <si>
    <t>0                      PQ 4851000A  74                 C  6637        2012</t>
  </si>
  <si>
    <t>Un "giardino di crode disperse" : uno studio di Addio a Ligonàs di Andrea Zanzotto / Paolo Steffan.</t>
  </si>
  <si>
    <t>Steffan, Paolo, 1988-</t>
  </si>
  <si>
    <t>Oggetti e soggetti ; 5</t>
  </si>
  <si>
    <t>1201883079:ita</t>
  </si>
  <si>
    <t>824351497</t>
  </si>
  <si>
    <t>ocn824351497</t>
  </si>
  <si>
    <t>3103126097N</t>
  </si>
  <si>
    <t>9788854850385</t>
  </si>
  <si>
    <t>794937712</t>
  </si>
  <si>
    <t>PQ4851 A74 F5 2012</t>
  </si>
  <si>
    <t>0                      PQ 4851000A  74                 F  5           2012</t>
  </si>
  <si>
    <t>Filò : per il Casanova di Fellini ; con una lettera e cinque disegni di Federico Fellini / Andrea Zanzotto ; prefazione di Giuliano Scabia ; [traduzioni in italiano a cura di Tiziano Rizzo].</t>
  </si>
  <si>
    <t>Torino : G. Einaudi, [2012]</t>
  </si>
  <si>
    <t>Collezione di poesia ; 407</t>
  </si>
  <si>
    <t>3856814791:ita</t>
  </si>
  <si>
    <t>805053632</t>
  </si>
  <si>
    <t>ocn805053632</t>
  </si>
  <si>
    <t>3103126050V</t>
  </si>
  <si>
    <t>9788806209636</t>
  </si>
  <si>
    <t>794926165</t>
  </si>
  <si>
    <t>PQ4851 A74 G337 2011</t>
  </si>
  <si>
    <t>0                      PQ 4851000A  74                 G  337         2011</t>
  </si>
  <si>
    <t>Tra bosco e non bosco : ragioni poetiche e gesti stilistici ne Il galateo in bosco di Andrea Zanzotto / Enio Sartori.</t>
  </si>
  <si>
    <t>Sartori, Enio.</t>
  </si>
  <si>
    <t>909079827:ita</t>
  </si>
  <si>
    <t>730397550</t>
  </si>
  <si>
    <t>ocn730397550</t>
  </si>
  <si>
    <t>3103125429T</t>
  </si>
  <si>
    <t>9788874623624</t>
  </si>
  <si>
    <t>794879978</t>
  </si>
  <si>
    <t>PQ4851 A74 Z46 2011</t>
  </si>
  <si>
    <t>0                      PQ 4851000A  74                 Z  46          2011</t>
  </si>
  <si>
    <t>Ascoltando dal prato : divagazioni e ricordi / Andrea Zanzotto ; a cura di Giovanna Ioli.</t>
  </si>
  <si>
    <t>Alia ; 38</t>
  </si>
  <si>
    <t>1039373536:ita</t>
  </si>
  <si>
    <t>759152158</t>
  </si>
  <si>
    <t>ocn759152158</t>
  </si>
  <si>
    <t>3103125643J</t>
  </si>
  <si>
    <t>9788882128012</t>
  </si>
  <si>
    <t>794897023</t>
  </si>
  <si>
    <t>PQ4851 A74 Z53 2015</t>
  </si>
  <si>
    <t>0                      PQ 4851000A  74                 Z  53          2015</t>
  </si>
  <si>
    <t>Una lunga complicità : scritti su Andrea Zanzotto / Stefano Agosti.</t>
  </si>
  <si>
    <t>Agosti, Stefano, author.</t>
  </si>
  <si>
    <t>Milano : Il saggiatore, [2015]</t>
  </si>
  <si>
    <t>La cultura ; 946</t>
  </si>
  <si>
    <t>2747534580:ita</t>
  </si>
  <si>
    <t>922331999</t>
  </si>
  <si>
    <t>ocn922331999</t>
  </si>
  <si>
    <t>3103624733Y</t>
  </si>
  <si>
    <t>9788842821427</t>
  </si>
  <si>
    <t>795003781</t>
  </si>
  <si>
    <t>PQ4851 A74 Z54 1988</t>
  </si>
  <si>
    <t>0                      PQ 4851000A  74                 Z  54          1988</t>
  </si>
  <si>
    <t>Andrea Zanzotto : the language of beauty's apprentice / Beverly Allen.</t>
  </si>
  <si>
    <t>Allen, Beverly.</t>
  </si>
  <si>
    <t>Berkeley : University of California Press, ©1988.</t>
  </si>
  <si>
    <t>2017-05-13</t>
  </si>
  <si>
    <t>12315660:eng</t>
  </si>
  <si>
    <t>16228244</t>
  </si>
  <si>
    <t>ocm16228244</t>
  </si>
  <si>
    <t>3000643729F</t>
  </si>
  <si>
    <t>9780520058606</t>
  </si>
  <si>
    <t>792958813</t>
  </si>
  <si>
    <t>PQ4851 A74 Z564 2010</t>
  </si>
  <si>
    <t>0                      PQ 4851000A  74                 Z  564         2010</t>
  </si>
  <si>
    <t>Andrea Zanzotto : la passione della poesia / Alessandro Baldacci.</t>
  </si>
  <si>
    <t>Baldacci, Alessandro.</t>
  </si>
  <si>
    <t>Script</t>
  </si>
  <si>
    <t>796531338:ita</t>
  </si>
  <si>
    <t>650437762</t>
  </si>
  <si>
    <t>ocn650437762</t>
  </si>
  <si>
    <t>3103125139$</t>
  </si>
  <si>
    <t>9788820749255</t>
  </si>
  <si>
    <t>794832481</t>
  </si>
  <si>
    <t>PQ4851 A74 Z627 2012</t>
  </si>
  <si>
    <t>0                      PQ 4851000A  74                 Z  627         2012</t>
  </si>
  <si>
    <t>Con dolce curiosità : tributo ad Andrea Zanzotto / a cura di Matteo Chiavarone.</t>
  </si>
  <si>
    <t>Roma : Edizioni della sera, 2012.</t>
  </si>
  <si>
    <t>InVersi</t>
  </si>
  <si>
    <t>1122978284:ita</t>
  </si>
  <si>
    <t>798053223</t>
  </si>
  <si>
    <t>ocn798053223</t>
  </si>
  <si>
    <t>3103125840D</t>
  </si>
  <si>
    <t>9788897139133</t>
  </si>
  <si>
    <t>794923011</t>
  </si>
  <si>
    <t>PQ4851 A74 Z656 2010</t>
  </si>
  <si>
    <t>0                      PQ 4851000A  74                 Z  656         2010</t>
  </si>
  <si>
    <t>Su Zanzotto / Guglielma Giuliodori.</t>
  </si>
  <si>
    <t>Giuliodori, Guglielma.</t>
  </si>
  <si>
    <t>Scienze dell'antichità, filologico-letterarie e storico-artistiche ; 634</t>
  </si>
  <si>
    <t>757221076:ita</t>
  </si>
  <si>
    <t>681707490</t>
  </si>
  <si>
    <t>ocn681707490</t>
  </si>
  <si>
    <t>3103125262R</t>
  </si>
  <si>
    <t>9788854833791</t>
  </si>
  <si>
    <t>794852337</t>
  </si>
  <si>
    <t>PQ4851 A74 Z863 2017</t>
  </si>
  <si>
    <t>0                      PQ 4851000A  74                 Z  863         2017</t>
  </si>
  <si>
    <t>Vocativo, Andrea Zanzotto sul margine : introduzione e commento alle poesie / Silvia Sferruzza.</t>
  </si>
  <si>
    <t>Sferruzza, Silvia, author.</t>
  </si>
  <si>
    <t>Ospedaletto-Pisa : Pacini editore, [2017]</t>
  </si>
  <si>
    <t>4246345269:ita</t>
  </si>
  <si>
    <t>989925645</t>
  </si>
  <si>
    <t>ocn989925645</t>
  </si>
  <si>
    <t>31037211876</t>
  </si>
  <si>
    <t>9788869951671</t>
  </si>
  <si>
    <t>795037325</t>
  </si>
  <si>
    <t>PQ4851 A74 2011</t>
  </si>
  <si>
    <t>0                      PQ 4851000A  74          2011</t>
  </si>
  <si>
    <t>Tutte le poesie / Andrea Zanzotto ; a cura di Stefano Dal Bianco.</t>
  </si>
  <si>
    <t>Milano : Oscar Mondadori, 2011.</t>
  </si>
  <si>
    <t>1. ed. Oscar poesia del Novecento.</t>
  </si>
  <si>
    <t>Oscar poesia del '900 ; 83</t>
  </si>
  <si>
    <t>3945002742:ita</t>
  </si>
  <si>
    <t>773318122</t>
  </si>
  <si>
    <t>ocn773318122</t>
  </si>
  <si>
    <t>3103125715M</t>
  </si>
  <si>
    <t>9788804611974</t>
  </si>
  <si>
    <t>794905514</t>
  </si>
  <si>
    <t>PQ4861 B316 C65 2012</t>
  </si>
  <si>
    <t>0                      PQ 4861000B  316                C  65          2012</t>
  </si>
  <si>
    <t>La collina del vento : romanzo / Carmine Abate.</t>
  </si>
  <si>
    <t>Abate, Carmine.</t>
  </si>
  <si>
    <t>1107540272:ita</t>
  </si>
  <si>
    <t>778849098</t>
  </si>
  <si>
    <t>ocn778849098</t>
  </si>
  <si>
    <t>31031258875</t>
  </si>
  <si>
    <t>9788804608769</t>
  </si>
  <si>
    <t>794910294</t>
  </si>
  <si>
    <t>PQ4861 G567 M66 2010</t>
  </si>
  <si>
    <t>0                      PQ 4861000G  567                M  66          2010</t>
  </si>
  <si>
    <t>La monaca / Simonetta Agnello Hornby.</t>
  </si>
  <si>
    <t>Agnello Hornby, Simonetta.</t>
  </si>
  <si>
    <t>Milano : Feltrinelli, 2010.</t>
  </si>
  <si>
    <t>1. ed. ne I narratori.</t>
  </si>
  <si>
    <t>I narratori</t>
  </si>
  <si>
    <t>686274631:ita</t>
  </si>
  <si>
    <t>670470556</t>
  </si>
  <si>
    <t>ocn670470556</t>
  </si>
  <si>
    <t>3103125522Q</t>
  </si>
  <si>
    <t>9788807018237</t>
  </si>
  <si>
    <t>794847807</t>
  </si>
  <si>
    <t>PQ4861 G567 M6613 2012</t>
  </si>
  <si>
    <t>0                      PQ 4861000G  567                M  6613        2012</t>
  </si>
  <si>
    <t>The nun / Simonetta Agnello Hornby ; translated from the Italian by Antony Shugaar.</t>
  </si>
  <si>
    <t>New York : Europa Editions ; [London] : [Turnaround, distributor], 2012.</t>
  </si>
  <si>
    <t>686274631:eng</t>
  </si>
  <si>
    <t>751835278</t>
  </si>
  <si>
    <t>ocn751835278</t>
  </si>
  <si>
    <t>3103470672R</t>
  </si>
  <si>
    <t>9781609450625</t>
  </si>
  <si>
    <t>794891281</t>
  </si>
  <si>
    <t>PQ4861 L287 S66 2010</t>
  </si>
  <si>
    <t>0                      PQ 4861000L  287                S  66          2010</t>
  </si>
  <si>
    <t>Sonata a Tolstoj / Barbara Alberti.</t>
  </si>
  <si>
    <t>Alberti, Barbara.</t>
  </si>
  <si>
    <t>Milano : Baldini Castoldi Dalai, ©2010.</t>
  </si>
  <si>
    <t>Romanzi e racconti ; 508</t>
  </si>
  <si>
    <t>663593031:ita</t>
  </si>
  <si>
    <t>666211465</t>
  </si>
  <si>
    <t>ocn666211465</t>
  </si>
  <si>
    <t>3103125194O</t>
  </si>
  <si>
    <t>9788860736451</t>
  </si>
  <si>
    <t>794844821</t>
  </si>
  <si>
    <t>PQ4861 L292 G84 2009</t>
  </si>
  <si>
    <t>0                      PQ 4861000L  292                G  84          2009</t>
  </si>
  <si>
    <t>Guerra alla tristezza! : racconti / Edoardo Albinati.</t>
  </si>
  <si>
    <t>Albinati, Edoardo.</t>
  </si>
  <si>
    <t>Roma : Fandango libri, ©2009.</t>
  </si>
  <si>
    <t>908617000:ita</t>
  </si>
  <si>
    <t>456186745</t>
  </si>
  <si>
    <t>ocn456186745</t>
  </si>
  <si>
    <t>3103124907M</t>
  </si>
  <si>
    <t>9788860441263</t>
  </si>
  <si>
    <t>794788666</t>
  </si>
  <si>
    <t>PQ4861 L292 S38 2016</t>
  </si>
  <si>
    <t>0                      PQ 4861000L  292                S  38          2016</t>
  </si>
  <si>
    <t>La scuola cattolica / Edoardo Albinati.</t>
  </si>
  <si>
    <t>Albinati, Edoardo, author.</t>
  </si>
  <si>
    <t>Milano : Rizzoli, [2016]</t>
  </si>
  <si>
    <t>Prima edizione-Nona edizione.</t>
  </si>
  <si>
    <t>2957727275:ita</t>
  </si>
  <si>
    <t>946878071</t>
  </si>
  <si>
    <t>ocn946878071</t>
  </si>
  <si>
    <t>31036617953</t>
  </si>
  <si>
    <t>9788817086837</t>
  </si>
  <si>
    <t>795014837</t>
  </si>
  <si>
    <t>PQ4861 L292 V58 2012</t>
  </si>
  <si>
    <t>0                      PQ 4861000L  292                V  58          2012</t>
  </si>
  <si>
    <t>Vita e morte di un ingegnere / Edoardo Albinati.</t>
  </si>
  <si>
    <t>1083453377:ita</t>
  </si>
  <si>
    <t>779076295</t>
  </si>
  <si>
    <t>ocn779076295</t>
  </si>
  <si>
    <t>3103125710M</t>
  </si>
  <si>
    <t>9788804614685</t>
  </si>
  <si>
    <t>794910494</t>
  </si>
  <si>
    <t>PQ4861 L292 Z85 2011</t>
  </si>
  <si>
    <t>0                      PQ 4861000L  292                Z  85          2011</t>
  </si>
  <si>
    <t>Gli artifici della non-fiction : la messinscena narrativa in Albinati, Franchini, Veronesi / Stefania Ricciardi.</t>
  </si>
  <si>
    <t>Ricciardi, Stefania.</t>
  </si>
  <si>
    <t>Pronto intervento ; [4]</t>
  </si>
  <si>
    <t>818459087:ita</t>
  </si>
  <si>
    <t>707459759</t>
  </si>
  <si>
    <t>ocn707459759</t>
  </si>
  <si>
    <t>31033689581</t>
  </si>
  <si>
    <t>9788875801144</t>
  </si>
  <si>
    <t>794867751</t>
  </si>
  <si>
    <t>PQ4861 M54 A77 2015</t>
  </si>
  <si>
    <t>0                      PQ 4861000M  54                 A  77          2015</t>
  </si>
  <si>
    <t>Anna / Niccolò Ammaniti.</t>
  </si>
  <si>
    <t>Ammaniti, Niccolò, 1966- author.</t>
  </si>
  <si>
    <t>Einaudi. Stile libero big</t>
  </si>
  <si>
    <t>2756995865:ita</t>
  </si>
  <si>
    <t>927413987</t>
  </si>
  <si>
    <t>ocn927413987</t>
  </si>
  <si>
    <t>3103623370C</t>
  </si>
  <si>
    <t>9788806227753</t>
  </si>
  <si>
    <t>795005910</t>
  </si>
  <si>
    <t>PQ4861 M54 B73 2002</t>
  </si>
  <si>
    <t>0                      PQ 4861000M  54                 B  73          2002</t>
  </si>
  <si>
    <t>Branchie : [l'epopea rocambolesca di un eroe disponibile a tutto, sia pure controvoglia] / Niccolò Ammaniti.</t>
  </si>
  <si>
    <t>Ammaniti, Niccolò, 1966-</t>
  </si>
  <si>
    <t>Torino : Einaudi, 1997.</t>
  </si>
  <si>
    <t>Einaudi tascabili. Stile libero ; 444</t>
  </si>
  <si>
    <t>33957529:ita</t>
  </si>
  <si>
    <t>38312596</t>
  </si>
  <si>
    <t>ocm38312596</t>
  </si>
  <si>
    <t>3102532150M</t>
  </si>
  <si>
    <t>9788806143541</t>
  </si>
  <si>
    <t>793521963</t>
  </si>
  <si>
    <t>PQ4861 M54 C4413 2013</t>
  </si>
  <si>
    <t>0                      PQ 4861000M  54                 C  4413        2013</t>
  </si>
  <si>
    <t>Let the Games begin / by Niccolo Ammaniti.</t>
  </si>
  <si>
    <t>Edinburgh : Canongate, 2013.</t>
  </si>
  <si>
    <t>349179928:eng</t>
  </si>
  <si>
    <t>841186491</t>
  </si>
  <si>
    <t>ocn841186491</t>
  </si>
  <si>
    <t>3103530163L</t>
  </si>
  <si>
    <t>9781847679413</t>
  </si>
  <si>
    <t>794946604</t>
  </si>
  <si>
    <t>PQ4861 M54 C6513 2009</t>
  </si>
  <si>
    <t>0                      PQ 4861000M  54                 C  6513        2009</t>
  </si>
  <si>
    <t>As God commands / Niccolò Ammaniti ; translated from the Italian by Jonathan Hunt.</t>
  </si>
  <si>
    <t>New York : Black Cat, ©2009.</t>
  </si>
  <si>
    <t>10177369596:eng</t>
  </si>
  <si>
    <t>316039829</t>
  </si>
  <si>
    <t>ocn316039829</t>
  </si>
  <si>
    <t>3103158350$</t>
  </si>
  <si>
    <t>9780802170675</t>
  </si>
  <si>
    <t>794441336</t>
  </si>
  <si>
    <t>PQ4861 M54 C66 2006</t>
  </si>
  <si>
    <t>0                      PQ 4861000M  54                 C  66          2006</t>
  </si>
  <si>
    <t>Come Dio comanda : romanzo / Niccolò Ammaniti.</t>
  </si>
  <si>
    <t>Milano : Arnoldo Mondadori, ©2006.</t>
  </si>
  <si>
    <t>2018-06-08</t>
  </si>
  <si>
    <t>60647132:ita</t>
  </si>
  <si>
    <t>74311261</t>
  </si>
  <si>
    <t>ocm74311261</t>
  </si>
  <si>
    <t>31026739505</t>
  </si>
  <si>
    <t>9788804502791</t>
  </si>
  <si>
    <t>794172205</t>
  </si>
  <si>
    <t>PQ4861 M54 C6613 2009</t>
  </si>
  <si>
    <t>0                      PQ 4861000M  54                 C  6613        2009</t>
  </si>
  <si>
    <t>The crossroads / Niccolò Ammaniti ; [translated from the Italian by Jonathan Hunt].</t>
  </si>
  <si>
    <t>Edinburgh : Canongate, 2009.</t>
  </si>
  <si>
    <t>8908261379:eng</t>
  </si>
  <si>
    <t>260209018</t>
  </si>
  <si>
    <t>ocn260209018</t>
  </si>
  <si>
    <t>31028583335</t>
  </si>
  <si>
    <t>9781847670373</t>
  </si>
  <si>
    <t>794400474</t>
  </si>
  <si>
    <t>PQ4861 M54 F36 1999</t>
  </si>
  <si>
    <t>0                      PQ 4861000M  54                 F  36          1999</t>
  </si>
  <si>
    <t>Fango / Niccolò Ammaniti.</t>
  </si>
  <si>
    <t>Milano : Oscar Mondadori, ©1999.</t>
  </si>
  <si>
    <t>Piccola biblioteca Oscar ; 199</t>
  </si>
  <si>
    <t>2016-02-06</t>
  </si>
  <si>
    <t>12930531:ita</t>
  </si>
  <si>
    <t>43764156</t>
  </si>
  <si>
    <t>ocm43764156</t>
  </si>
  <si>
    <t>3103017941D</t>
  </si>
  <si>
    <t>9788804468646</t>
  </si>
  <si>
    <t>793634256</t>
  </si>
  <si>
    <t>PQ4861 M54 I52 2010</t>
  </si>
  <si>
    <t>0                      PQ 4861000M  54                 I  52          2010</t>
  </si>
  <si>
    <t>Io e te / Niccolò Ammaniti.</t>
  </si>
  <si>
    <t>Torino : Einaudi, ©2010.</t>
  </si>
  <si>
    <t>Einaudi Stile libero Big</t>
  </si>
  <si>
    <t>761997310:ita</t>
  </si>
  <si>
    <t>688495792</t>
  </si>
  <si>
    <t>ocn688495792</t>
  </si>
  <si>
    <t>3103437605X</t>
  </si>
  <si>
    <t>9788806206802</t>
  </si>
  <si>
    <t>794854369</t>
  </si>
  <si>
    <t>PQ4861 M54 I5213 2012</t>
  </si>
  <si>
    <t>0                      PQ 4861000M  54                 I  5213        2012</t>
  </si>
  <si>
    <t>Me and you / by Niccolo Ammaniti ; translated from the Italian by Kylee Doust.</t>
  </si>
  <si>
    <t>Edinburgh ; London : Canongate, 2012.</t>
  </si>
  <si>
    <t>2014-02-05</t>
  </si>
  <si>
    <t>761997310:eng</t>
  </si>
  <si>
    <t>757931361</t>
  </si>
  <si>
    <t>ocn757931361</t>
  </si>
  <si>
    <t>3103457382G</t>
  </si>
  <si>
    <t>9780857861979</t>
  </si>
  <si>
    <t>794895877</t>
  </si>
  <si>
    <t>PQ4861 M54 I5213 2012b</t>
  </si>
  <si>
    <t>0                      PQ 4861000M  54                 I  5213        2012b</t>
  </si>
  <si>
    <t>Me and you / by Niccolò Ammaniti ; translated by Kylee Doust.</t>
  </si>
  <si>
    <t>New York : Black Cat, 2012.</t>
  </si>
  <si>
    <t>2014-01-24</t>
  </si>
  <si>
    <t>741538973</t>
  </si>
  <si>
    <t>ocn741538973</t>
  </si>
  <si>
    <t>3103472014C</t>
  </si>
  <si>
    <t>9780802170903</t>
  </si>
  <si>
    <t>794884117</t>
  </si>
  <si>
    <t>PQ4861 M54 I6 2001</t>
  </si>
  <si>
    <t>0                      PQ 4861000M  54                 I  6           2001</t>
  </si>
  <si>
    <t>Io non ho paura / Niccolò Ammaniti.</t>
  </si>
  <si>
    <t>Einaudi tascabili ; 830. Stile libero</t>
  </si>
  <si>
    <t>753818:ita</t>
  </si>
  <si>
    <t>47295002</t>
  </si>
  <si>
    <t>ocm47295002</t>
  </si>
  <si>
    <t>3102352206V</t>
  </si>
  <si>
    <t>9788806142100</t>
  </si>
  <si>
    <t>793702817</t>
  </si>
  <si>
    <t>PQ4861 M54 M66 2012</t>
  </si>
  <si>
    <t>0                      PQ 4861000M  54                 M  66          2012</t>
  </si>
  <si>
    <t>Il momento è delicato / Niccolò Ammaniti.</t>
  </si>
  <si>
    <t>Ammaniti, Niccolò.</t>
  </si>
  <si>
    <t>Einaudi. Stile libero. Big</t>
  </si>
  <si>
    <t>1106820736:ita</t>
  </si>
  <si>
    <t>793062289</t>
  </si>
  <si>
    <t>ocn793062289</t>
  </si>
  <si>
    <t>31031257966</t>
  </si>
  <si>
    <t>9788806212407</t>
  </si>
  <si>
    <t>794917502</t>
  </si>
  <si>
    <t>PQ4861 M54 T5 2000</t>
  </si>
  <si>
    <t>0                      PQ 4861000M  54                 T  5           2000</t>
  </si>
  <si>
    <t>Ti prendo e ti porto via / Niccolò Ammaniti.</t>
  </si>
  <si>
    <t>Milano : Mondadori, 2000.</t>
  </si>
  <si>
    <t>Piccola biblioteca</t>
  </si>
  <si>
    <t>2016-09-29</t>
  </si>
  <si>
    <t>3103952546:ita</t>
  </si>
  <si>
    <t>47872737</t>
  </si>
  <si>
    <t>ocm47872737</t>
  </si>
  <si>
    <t>3102524603E</t>
  </si>
  <si>
    <t>9788804476795</t>
  </si>
  <si>
    <t>793709944</t>
  </si>
  <si>
    <t>- Reserves and A/V Room - A/V Collection - A/V Loan</t>
  </si>
  <si>
    <t>PQ4861.N823 P3713 2000</t>
  </si>
  <si>
    <t>0                      PQ 4861000N  823                P  3713        2000</t>
  </si>
  <si>
    <t>Par-dela les nuages / un film de Michelangelo Antonioni ; scénario, Tonino Guerra, Michelangelo Antonioni, Wim Wenders ; adaptation française du scénario, Soheil Ghodsy ; Sunshine [and others], avec la participation du Centre National de la Cinematographie [and others] ; produit par Philippe Carcassonne, Stephane Tchal Gadjieff ; réalisé par Michelangelo Antonioni.</t>
  </si>
  <si>
    <t>Chatsworth, CA : Image Entertainment, ©2000.</t>
  </si>
  <si>
    <t>2016-08-17</t>
  </si>
  <si>
    <t>377749720:eng</t>
  </si>
  <si>
    <t>45000889</t>
  </si>
  <si>
    <t>ocm45000889</t>
  </si>
  <si>
    <t>B001528002</t>
  </si>
  <si>
    <t>793661940</t>
  </si>
  <si>
    <t>PQ4861 N823 Q8 1983</t>
  </si>
  <si>
    <t>0                      PQ 4861000N  823                Q  8           1983</t>
  </si>
  <si>
    <t>Quel bowling sul Tevere / Michelangelo Antonioni.</t>
  </si>
  <si>
    <t>Antonioni, Michelangelo.</t>
  </si>
  <si>
    <t>Torino : Einaudi, ©1983.</t>
  </si>
  <si>
    <t>1a ed. "Supercoralli."</t>
  </si>
  <si>
    <t>3189623:ita</t>
  </si>
  <si>
    <t>10761190</t>
  </si>
  <si>
    <t>ocm10761190</t>
  </si>
  <si>
    <t>3000374417W</t>
  </si>
  <si>
    <t>9788806055967</t>
  </si>
  <si>
    <t>792741715</t>
  </si>
  <si>
    <t>PQ4861 N823 S33 2012</t>
  </si>
  <si>
    <t>0                      PQ 4861000N  823                S  33          2012</t>
  </si>
  <si>
    <t>Scandali segreti / Michelangelo Antonioni, Elio Bartolini ; a cura di Federico Vitella.</t>
  </si>
  <si>
    <t>Gocce</t>
  </si>
  <si>
    <t>1171191166:ita</t>
  </si>
  <si>
    <t>812249972</t>
  </si>
  <si>
    <t>ocn812249972</t>
  </si>
  <si>
    <t>3103126145U</t>
  </si>
  <si>
    <t>9788831714327</t>
  </si>
  <si>
    <t>794930755</t>
  </si>
  <si>
    <t>PQ4861 R3 A6 2009</t>
  </si>
  <si>
    <t>0                      PQ 4861000R  3                  A  6           2009</t>
  </si>
  <si>
    <t>Romanzi e racconti / Alberto Arbasino ; a cura e con un saggio introduttivo di Raffaele Manica ; cronologia scritta da Alberto Arbasino, con Raffaele Manica.</t>
  </si>
  <si>
    <t>Arbasino, Alberto, 1930-</t>
  </si>
  <si>
    <t>Milano : A. Mondadori, ©2009-©2010.</t>
  </si>
  <si>
    <t>1910169582:ita</t>
  </si>
  <si>
    <t>468976351</t>
  </si>
  <si>
    <t>ocn468976351</t>
  </si>
  <si>
    <t>31031249866</t>
  </si>
  <si>
    <t>9788804586418</t>
  </si>
  <si>
    <t>794795668</t>
  </si>
  <si>
    <t>3103248823Q</t>
  </si>
  <si>
    <t>794795669</t>
  </si>
  <si>
    <t>PQ4861 R3 F786 1999</t>
  </si>
  <si>
    <t>0                      PQ 4861000R  3                  F  786         1999</t>
  </si>
  <si>
    <t>La scrittura infinita di Alberto Arbasino : studi su Fratelli d'Italia / Clelia Martignoni, Cinzia Lucchelli, Elisabetta Cammarata ; con un testo di Alberto Arbasino.</t>
  </si>
  <si>
    <t>Novara : Interlinea, ©1999.</t>
  </si>
  <si>
    <t>Biblioteca di "autografo" ; 4</t>
  </si>
  <si>
    <t>890798190:ita</t>
  </si>
  <si>
    <t>42832327</t>
  </si>
  <si>
    <t>ocm42832327</t>
  </si>
  <si>
    <t>31020180596</t>
  </si>
  <si>
    <t>9788882121730</t>
  </si>
  <si>
    <t>793615569</t>
  </si>
  <si>
    <t>PQ4861 R3 P46 2012</t>
  </si>
  <si>
    <t>0                      PQ 4861000R  3                  P  46          2012</t>
  </si>
  <si>
    <t>Pensieri selvaggi a Buenos Aires / Alberto Arbasino.</t>
  </si>
  <si>
    <t>Milano : Adelphi, 2012.</t>
  </si>
  <si>
    <t>Gli Adelphi ; 418</t>
  </si>
  <si>
    <t>2017-03-30</t>
  </si>
  <si>
    <t>1117278561:ita</t>
  </si>
  <si>
    <t>794362143</t>
  </si>
  <si>
    <t>ocn794362143</t>
  </si>
  <si>
    <t>3103125903I</t>
  </si>
  <si>
    <t>9788845927263</t>
  </si>
  <si>
    <t>794919739</t>
  </si>
  <si>
    <t>PQ4861 R3 V58 2008</t>
  </si>
  <si>
    <t>0                      PQ 4861000R  3                  V  58          2008</t>
  </si>
  <si>
    <t>La vita bassa / Alberto Arbasino.</t>
  </si>
  <si>
    <t>Milano : Adelphi, 2008.</t>
  </si>
  <si>
    <t>Biblioteca minima ; 29</t>
  </si>
  <si>
    <t>159650931:ita</t>
  </si>
  <si>
    <t>276908279</t>
  </si>
  <si>
    <t>ocn276908279</t>
  </si>
  <si>
    <t>3103142327Y</t>
  </si>
  <si>
    <t>9788845923319</t>
  </si>
  <si>
    <t>794417453</t>
  </si>
  <si>
    <t>PQ4861 R3 Z46 2011</t>
  </si>
  <si>
    <t>0                      PQ 4861000R  3                  Z  46          2011</t>
  </si>
  <si>
    <t>America amore / Alberto Arbasino.</t>
  </si>
  <si>
    <t>Milano : Adelphi, 2011.</t>
  </si>
  <si>
    <t>Gli Adelphi</t>
  </si>
  <si>
    <t>2018-08-27</t>
  </si>
  <si>
    <t>9415668758:ita</t>
  </si>
  <si>
    <t>681707155</t>
  </si>
  <si>
    <t>ocn681707155</t>
  </si>
  <si>
    <t>3103125348S</t>
  </si>
  <si>
    <t>9788845925610</t>
  </si>
  <si>
    <t>794852332</t>
  </si>
  <si>
    <t>PQ4861 R3 Z54 2001</t>
  </si>
  <si>
    <t>0                      PQ 4861000R  3                  Z  54          2001</t>
  </si>
  <si>
    <t>Alberto Arbasino / a cura di Marco Belpoliti e Elio Grazioli.</t>
  </si>
  <si>
    <t>Milano : Marcos y Marcos, [2001]</t>
  </si>
  <si>
    <t>Riga ; 18</t>
  </si>
  <si>
    <t>366471796:ita</t>
  </si>
  <si>
    <t>47742322</t>
  </si>
  <si>
    <t>ocm47742322</t>
  </si>
  <si>
    <t>3102132818$</t>
  </si>
  <si>
    <t>9788871683102</t>
  </si>
  <si>
    <t>793706851</t>
  </si>
  <si>
    <t>PQ4861 R66 A8413 2006</t>
  </si>
  <si>
    <t>0                      PQ 4861000R  66                 A  8413        2006</t>
  </si>
  <si>
    <t>The angel of history / Bruno Arpaia ; translated by Minna Proctor.</t>
  </si>
  <si>
    <t>Arpaia, Bruno.</t>
  </si>
  <si>
    <t>Edinburgh ; New York : Canongate, ©2006.</t>
  </si>
  <si>
    <t>3372151502:eng</t>
  </si>
  <si>
    <t>70264455</t>
  </si>
  <si>
    <t>ocm70264455</t>
  </si>
  <si>
    <t>3102567146Q</t>
  </si>
  <si>
    <t>9781841955711</t>
  </si>
  <si>
    <t>794151945</t>
  </si>
  <si>
    <t>PQ4862 A355 O5 1994</t>
  </si>
  <si>
    <t>0                      PQ 4862000A  355                O  5           1994</t>
  </si>
  <si>
    <t>Ônne 'e terra = Terra con onde : poesie 1988-89 / Mariano Bàino ; prefazione di Clelia Martignoni.</t>
  </si>
  <si>
    <t>Bàino, M. (Mariano), 1953-</t>
  </si>
  <si>
    <t>Napoli : T. Pironti, ©1994.</t>
  </si>
  <si>
    <t>3901556729:ita</t>
  </si>
  <si>
    <t>32031270</t>
  </si>
  <si>
    <t>ocm32031270</t>
  </si>
  <si>
    <t>3101875182C</t>
  </si>
  <si>
    <t>9788879370868</t>
  </si>
  <si>
    <t>793373876</t>
  </si>
  <si>
    <t>PQ4862 A37 B5</t>
  </si>
  <si>
    <t>0                      PQ 4862000A  37                 B  5</t>
  </si>
  <si>
    <t>Blackout / Nanni Balestrini.</t>
  </si>
  <si>
    <t>Balestrini, Nanni.</t>
  </si>
  <si>
    <t>Milano : Feltrinelli, 1980.</t>
  </si>
  <si>
    <t>Scritture, letture ; 2</t>
  </si>
  <si>
    <t>30604557:ita</t>
  </si>
  <si>
    <t>7995877</t>
  </si>
  <si>
    <t>ocm07995877</t>
  </si>
  <si>
    <t>31037434301</t>
  </si>
  <si>
    <t>792592020</t>
  </si>
  <si>
    <t>PQ4862 A37 L53 2011</t>
  </si>
  <si>
    <t>0                      PQ 4862000A  37                 L  53          2011</t>
  </si>
  <si>
    <t>Liberamilano : 30 maggio 2011 : seguito da Una mattina ci siam svegliati : 25 aprile 1994 / Nanni Balestrini ; postfazione di Antonio Loreto.</t>
  </si>
  <si>
    <t>Roma : DeriveApprodi, 2011.</t>
  </si>
  <si>
    <t>Opere di Nanni Balestrini</t>
  </si>
  <si>
    <t>1062025309:ita</t>
  </si>
  <si>
    <t>768397143</t>
  </si>
  <si>
    <t>ocn768397143</t>
  </si>
  <si>
    <t>3103125609R</t>
  </si>
  <si>
    <t>9788865480335</t>
  </si>
  <si>
    <t>794902283</t>
  </si>
  <si>
    <t>PQ4862 A37 T713 2014</t>
  </si>
  <si>
    <t>0                      PQ 4862000A  37                 T  713         2014</t>
  </si>
  <si>
    <t>Tristano : a novel / Nanni Balestrini ; translated by Mike Harakis ; with a foreword by Umberto Eco.</t>
  </si>
  <si>
    <t>Balestrini, Nanni, author.</t>
  </si>
  <si>
    <t>London ; New York : Verso, 2014.</t>
  </si>
  <si>
    <t>3769046399:eng</t>
  </si>
  <si>
    <t>842880767</t>
  </si>
  <si>
    <t>ocn842880767</t>
  </si>
  <si>
    <t>3103552682L</t>
  </si>
  <si>
    <t>9781781681695</t>
  </si>
  <si>
    <t>794947693</t>
  </si>
  <si>
    <t>PQ4862 A37 V56 2011</t>
  </si>
  <si>
    <t>0                      PQ 4862000A  37                 V  56          2011</t>
  </si>
  <si>
    <t>La violenza illustrata : 1976 / Nanni Balestrini ; postfazione di Andrea Cortellessa.</t>
  </si>
  <si>
    <t>Nuova ed. riveduta.</t>
  </si>
  <si>
    <t>Nanni Balestrini opere</t>
  </si>
  <si>
    <t>351287477:ita</t>
  </si>
  <si>
    <t>724303284</t>
  </si>
  <si>
    <t>ocn724303284</t>
  </si>
  <si>
    <t>3103482844E</t>
  </si>
  <si>
    <t>9788865480175</t>
  </si>
  <si>
    <t>794876293</t>
  </si>
  <si>
    <t>PQ4862 A37 V6413 2016</t>
  </si>
  <si>
    <t>0                      PQ 4862000A  37                 V  6413        2016</t>
  </si>
  <si>
    <t>We want everything : the novel of Italy's hot autumn / Nanni Balestrini ; translated by Matt Holden.</t>
  </si>
  <si>
    <t>London : Verso, 2016.</t>
  </si>
  <si>
    <t>5589345:eng</t>
  </si>
  <si>
    <t>948794534</t>
  </si>
  <si>
    <t>ocn948794534</t>
  </si>
  <si>
    <t>3103654767$</t>
  </si>
  <si>
    <t>9781784783686</t>
  </si>
  <si>
    <t>795015768</t>
  </si>
  <si>
    <t>PQ4862 A37 Z77 2014</t>
  </si>
  <si>
    <t>0                      PQ 4862000A  37                 Z  77          2014</t>
  </si>
  <si>
    <t>Dialettica di Nanni Balestrini : dalla poesia elettronica al romanzo operaista / Antonio Loreto.</t>
  </si>
  <si>
    <t>Loreto, Antonio, 1975- author.</t>
  </si>
  <si>
    <t>Eterotopie ; N. 288</t>
  </si>
  <si>
    <t>2293594853:ita</t>
  </si>
  <si>
    <t>903204650</t>
  </si>
  <si>
    <t>ocn903204650</t>
  </si>
  <si>
    <t>31036216475</t>
  </si>
  <si>
    <t>9788857522975</t>
  </si>
  <si>
    <t>794988853</t>
  </si>
  <si>
    <t>PQ4862 A374 C6713 2012</t>
  </si>
  <si>
    <t>0                      PQ 4862000A  374                C  6713        2012</t>
  </si>
  <si>
    <t>Body of state : the Moro affair, a nation divided / by Marco Baliani ; translated by Nicoletta Marini-Maio, Ellen Nerenberg, and Thomas Simpson ; critical introduction by Nicoletta Marini-Maio and Ellen Nerenberg.</t>
  </si>
  <si>
    <t>Baliani, Marco, 1950-</t>
  </si>
  <si>
    <t>Madison [N.J.] : Fairleigh Dickinson University Press, 2012.</t>
  </si>
  <si>
    <t>2242502668:eng</t>
  </si>
  <si>
    <t>748576717</t>
  </si>
  <si>
    <t>ocn748576717</t>
  </si>
  <si>
    <t>3103429072Y</t>
  </si>
  <si>
    <t>9781611474633</t>
  </si>
  <si>
    <t>794889387</t>
  </si>
  <si>
    <t>PQ4862.A4435 N86 2019</t>
  </si>
  <si>
    <t>0                      PQ 4862000A  4435               N  86          2019</t>
  </si>
  <si>
    <t>La nuova stagione / Silvia Ballestra.</t>
  </si>
  <si>
    <t>Ballestra, Silvia, author.</t>
  </si>
  <si>
    <t>Milano, Italia : Bompiani, 2019.</t>
  </si>
  <si>
    <t>Romanzo Bompiani</t>
  </si>
  <si>
    <t>9649128848:ita</t>
  </si>
  <si>
    <t>1128030814</t>
  </si>
  <si>
    <t>on1128030814</t>
  </si>
  <si>
    <t>3103875714Q</t>
  </si>
  <si>
    <t>9788845299056</t>
  </si>
  <si>
    <t>795086279</t>
  </si>
  <si>
    <t>PQ4862 A672633 O2413 2012</t>
  </si>
  <si>
    <t>0                      PQ 4862000A  672633             O  2413        2012</t>
  </si>
  <si>
    <t>The eyes of Venice / Alessandro Barbero ; translated from the Italian by Gregory Conti.</t>
  </si>
  <si>
    <t>Barbero, Alessandro.</t>
  </si>
  <si>
    <t>New York : Europa Editions, 2012.</t>
  </si>
  <si>
    <t>836163215:eng</t>
  </si>
  <si>
    <t>815956641</t>
  </si>
  <si>
    <t>ocn815956641</t>
  </si>
  <si>
    <t>3103471992A</t>
  </si>
  <si>
    <t>9781609450823</t>
  </si>
  <si>
    <t>794932843</t>
  </si>
  <si>
    <t>PQ4862 A6745 C3713 2003</t>
  </si>
  <si>
    <t>0                      PQ 4862000A  6745               C  3713        2003</t>
  </si>
  <si>
    <t>Lands of glass / Alessandro Baricco ; translated from the Italian by Alastair McEwen.</t>
  </si>
  <si>
    <t>Baricco, Alessandra.</t>
  </si>
  <si>
    <t>6357880:eng</t>
  </si>
  <si>
    <t>240544751</t>
  </si>
  <si>
    <t>ocn240544751</t>
  </si>
  <si>
    <t>31024444516</t>
  </si>
  <si>
    <t>9780140293296</t>
  </si>
  <si>
    <t>794375382</t>
  </si>
  <si>
    <t>PQ4862 A6745 C5813 2001</t>
  </si>
  <si>
    <t>0                      PQ 4862000A  6745               C  5813        2001</t>
  </si>
  <si>
    <t>City / Alessandro Baricco ; translated by Ann Goldstein.</t>
  </si>
  <si>
    <t>Baricco, Alessandro, 1958-</t>
  </si>
  <si>
    <t>London : H. Hamilton ; New York, N.Y. : Penguin Putnam, 2001.</t>
  </si>
  <si>
    <t>687648:eng</t>
  </si>
  <si>
    <t>46394958</t>
  </si>
  <si>
    <t>ocm46394958</t>
  </si>
  <si>
    <t>31021657357</t>
  </si>
  <si>
    <t>9780241141014</t>
  </si>
  <si>
    <t>793683936</t>
  </si>
  <si>
    <t>PQ4862 A6745 E4613 2012</t>
  </si>
  <si>
    <t>0                      PQ 4862000A  6745               E  4613        2012</t>
  </si>
  <si>
    <t>Emmaus / Alessandro Baricco ; translated by Ann Goldstein.</t>
  </si>
  <si>
    <t>San Francisco [Calif.] : McSweeney's Books, ©2012.</t>
  </si>
  <si>
    <t>2017-11-15</t>
  </si>
  <si>
    <t>349179734:eng</t>
  </si>
  <si>
    <t>741539008</t>
  </si>
  <si>
    <t>ocn741539008</t>
  </si>
  <si>
    <t>31034703681</t>
  </si>
  <si>
    <t>9781936365593</t>
  </si>
  <si>
    <t>794884119</t>
  </si>
  <si>
    <t>PQ4862 A6745 E66 2009</t>
  </si>
  <si>
    <t>0                      PQ 4862000A  6745               E  66          2009</t>
  </si>
  <si>
    <t>Emmaus / Alessandro Baricco.</t>
  </si>
  <si>
    <t>2015-06-23</t>
  </si>
  <si>
    <t>349179734:ita</t>
  </si>
  <si>
    <t>466430333</t>
  </si>
  <si>
    <t>ocn466430333</t>
  </si>
  <si>
    <t>3103124944E</t>
  </si>
  <si>
    <t>9788807017988</t>
  </si>
  <si>
    <t>794794656</t>
  </si>
  <si>
    <t>PQ4862 A6745 M73 2011</t>
  </si>
  <si>
    <t>0                      PQ 4862000A  6745               M  73          2011</t>
  </si>
  <si>
    <t>Mr Gwyn / Alessandro Baricco.</t>
  </si>
  <si>
    <t>Milano : Feltrinelli, 2011.</t>
  </si>
  <si>
    <t>I narratori/Feltrinelli</t>
  </si>
  <si>
    <t>1044376649:ita</t>
  </si>
  <si>
    <t>761167790</t>
  </si>
  <si>
    <t>ocn761167790</t>
  </si>
  <si>
    <t>3103125635L</t>
  </si>
  <si>
    <t>9788807018626</t>
  </si>
  <si>
    <t>794899044</t>
  </si>
  <si>
    <t>PQ4862 A6745 M7318 2012</t>
  </si>
  <si>
    <t>0                      PQ 4862000A  6745               M  7318        2012</t>
  </si>
  <si>
    <t>Mr Gwyn / Alessandro Baricco ; traducción de Xavier González Rovira.</t>
  </si>
  <si>
    <t>Barcelona : Anagrama, 2012.</t>
  </si>
  <si>
    <t>Panorama de narrativas ; 819</t>
  </si>
  <si>
    <t>9322939908:spa</t>
  </si>
  <si>
    <t>820454452</t>
  </si>
  <si>
    <t>ocn820454452</t>
  </si>
  <si>
    <t>3103566402M</t>
  </si>
  <si>
    <t>9788433978493</t>
  </si>
  <si>
    <t>794935394</t>
  </si>
  <si>
    <t>PQ4862 A6745 N6813 2010</t>
  </si>
  <si>
    <t>0                      PQ 4862000A  6745               N  6813        2010</t>
  </si>
  <si>
    <t>Novecento / Alessandro Baricco ; translated by Ann Goldstein.</t>
  </si>
  <si>
    <t>Baricco, Alessandro, 1958- author.</t>
  </si>
  <si>
    <t>London : Oberon Books, 2010.</t>
  </si>
  <si>
    <t>Oberon modern plays</t>
  </si>
  <si>
    <t>2015-05-05</t>
  </si>
  <si>
    <t>5090630360:eng</t>
  </si>
  <si>
    <t>671531615</t>
  </si>
  <si>
    <t>ocn671531615</t>
  </si>
  <si>
    <t>3103396041N</t>
  </si>
  <si>
    <t>9781849430388</t>
  </si>
  <si>
    <t>794848759</t>
  </si>
  <si>
    <t>PQ4862 A6745 O2513 1999</t>
  </si>
  <si>
    <t>0                      PQ 4862000A  6745               O  2513        1999</t>
  </si>
  <si>
    <t>Ocean sea / Alessandro Baricco ; translated from the Italian by Alastair McEwen.</t>
  </si>
  <si>
    <t>New York : Knopf, 1999.</t>
  </si>
  <si>
    <t>969491:eng</t>
  </si>
  <si>
    <t>39539054</t>
  </si>
  <si>
    <t>ocm39539054</t>
  </si>
  <si>
    <t>3101967151C</t>
  </si>
  <si>
    <t>9780375404238</t>
  </si>
  <si>
    <t>793548209</t>
  </si>
  <si>
    <t>PQ4862 A6745 O4413 2006</t>
  </si>
  <si>
    <t>0                      PQ 4862000A  6745               O  4413        2006</t>
  </si>
  <si>
    <t>An Iliad / Alessandro Baricco ; translated from the Italian by Ann Goldstein.</t>
  </si>
  <si>
    <t>New York : Knopf, 2006.</t>
  </si>
  <si>
    <t>2019-03-18</t>
  </si>
  <si>
    <t>3149562608:eng</t>
  </si>
  <si>
    <t>61694852</t>
  </si>
  <si>
    <t>ocm61694852</t>
  </si>
  <si>
    <t>3102588554Z</t>
  </si>
  <si>
    <t>9780307263551</t>
  </si>
  <si>
    <t>794091122</t>
  </si>
  <si>
    <t>PQ4862 A6745 Q47 2005</t>
  </si>
  <si>
    <t>0                      PQ 4862000A  6745               Q  47          2005</t>
  </si>
  <si>
    <t>Questa storia / Alessandro Baricco.</t>
  </si>
  <si>
    <t>Roma : Fandango libri, ©2005.</t>
  </si>
  <si>
    <t>46732158:ita</t>
  </si>
  <si>
    <t>62363249</t>
  </si>
  <si>
    <t>ocm62363249</t>
  </si>
  <si>
    <t>3102550009X</t>
  </si>
  <si>
    <t>9788860440075</t>
  </si>
  <si>
    <t>794106049</t>
  </si>
  <si>
    <t>PQ4862 A6745 S48 1996</t>
  </si>
  <si>
    <t>0                      PQ 4862000A  6745               S  48          1996</t>
  </si>
  <si>
    <t>Seta / Alessandro Baricco.</t>
  </si>
  <si>
    <t>Milano : Rizzoli, 1996.</t>
  </si>
  <si>
    <t>2017-07-04</t>
  </si>
  <si>
    <t>695996:ita</t>
  </si>
  <si>
    <t>34657857</t>
  </si>
  <si>
    <t>ocm34657857</t>
  </si>
  <si>
    <t>3101561426K</t>
  </si>
  <si>
    <t>9788817660594</t>
  </si>
  <si>
    <t>793432438</t>
  </si>
  <si>
    <t>PQ4862 A6745 S4813 1997</t>
  </si>
  <si>
    <t>0                      PQ 4862000A  6745               S  4813        1997</t>
  </si>
  <si>
    <t>Silk / Alessandro Baricco ; translated from the Italian by Guido Waldman.</t>
  </si>
  <si>
    <t>London : Harvill Press, 1997.</t>
  </si>
  <si>
    <t>2019-04-29</t>
  </si>
  <si>
    <t>695996:eng</t>
  </si>
  <si>
    <t>37041114</t>
  </si>
  <si>
    <t>ocm37041114</t>
  </si>
  <si>
    <t>3101967836H</t>
  </si>
  <si>
    <t>9781860462580</t>
  </si>
  <si>
    <t>793490525</t>
  </si>
  <si>
    <t>PQ4862 A6745 S4813 2007</t>
  </si>
  <si>
    <t>0                      PQ 4862000A  6745               S  4813        2007</t>
  </si>
  <si>
    <t>Silk / Alessandro Baricco ; translated from the Italian by Ann Goldstein.</t>
  </si>
  <si>
    <t>New York : Vintage Books, 2007.</t>
  </si>
  <si>
    <t>2nd Vintage International ed.</t>
  </si>
  <si>
    <t>2017-07-25</t>
  </si>
  <si>
    <t>134991682</t>
  </si>
  <si>
    <t>ocn134991682</t>
  </si>
  <si>
    <t>3103248555T</t>
  </si>
  <si>
    <t>9780307277978</t>
  </si>
  <si>
    <t>794232533</t>
  </si>
  <si>
    <t>PQ4862 A6745 S6613 2016</t>
  </si>
  <si>
    <t>0                      PQ 4862000A  6745               S  6613        2016</t>
  </si>
  <si>
    <t>The young bride / Alessandro Baricco, translated from the Italian by Ann Goldstein.</t>
  </si>
  <si>
    <t>New York : Europa Editions, 2016.</t>
  </si>
  <si>
    <t>21739901:eng</t>
  </si>
  <si>
    <t>928480260</t>
  </si>
  <si>
    <t>ocn928480260</t>
  </si>
  <si>
    <t>3103697470K</t>
  </si>
  <si>
    <t>9781609453343</t>
  </si>
  <si>
    <t>795006215</t>
  </si>
  <si>
    <t>PQ4862 A6745 S8613 2013</t>
  </si>
  <si>
    <t>0                      PQ 4862000A  6745               S  8613        2013</t>
  </si>
  <si>
    <t>The story of Don Juan / Alessandro Baricco ; illustrated by Alessandro Maria Nacar ; translated by Ann Goldstein.</t>
  </si>
  <si>
    <t>London : Pushkin Children's Books, 2013.</t>
  </si>
  <si>
    <t>Save the story</t>
  </si>
  <si>
    <t>2937460503:eng</t>
  </si>
  <si>
    <t>863678093</t>
  </si>
  <si>
    <t>ocn863678093</t>
  </si>
  <si>
    <t>31035305767</t>
  </si>
  <si>
    <t>9781782690153</t>
  </si>
  <si>
    <t>794961438</t>
  </si>
  <si>
    <t>PQ4862 A6745 T74 2012</t>
  </si>
  <si>
    <t>0                      PQ 4862000A  6745               T  74          2012</t>
  </si>
  <si>
    <t>Tre volte all'alba / Alessandro Baricco.</t>
  </si>
  <si>
    <t>Baricco, Alessandro.</t>
  </si>
  <si>
    <t>Milano : Feltrinelli, 2012.</t>
  </si>
  <si>
    <t>1097250767:ita</t>
  </si>
  <si>
    <t>782099487</t>
  </si>
  <si>
    <t>ocn782099487</t>
  </si>
  <si>
    <t>3103125729K</t>
  </si>
  <si>
    <t>9788807019050</t>
  </si>
  <si>
    <t>794913563</t>
  </si>
  <si>
    <t>PQ4862 E48 M67 2019</t>
  </si>
  <si>
    <t>0                      PQ 4862000E  48                 M  67          2019</t>
  </si>
  <si>
    <t>La morte madrina e altri drammi / Andrea Bendini.</t>
  </si>
  <si>
    <t>Bendini, Andrea, 1944-1997, author.</t>
  </si>
  <si>
    <t>Roma : Bulzoni editore, [2019]</t>
  </si>
  <si>
    <t>Biblioteca teatrale. Studi e testi ; 192</t>
  </si>
  <si>
    <t>9375522754:ita</t>
  </si>
  <si>
    <t>1133663842</t>
  </si>
  <si>
    <t>on1133663842</t>
  </si>
  <si>
    <t>31038921099</t>
  </si>
  <si>
    <t>9788868971465</t>
  </si>
  <si>
    <t>795086895</t>
  </si>
  <si>
    <t>PQ4862 E54 Z48 2010</t>
  </si>
  <si>
    <t>0                      PQ 4862000E  54                 Z  48          2010</t>
  </si>
  <si>
    <t>Si va sempre/verso il tempo/che verrà : Enzo Benedetto e Futurismo-oggi : corrispondenza, 1969-1992 / a cura di Barbara Stagnitti.</t>
  </si>
  <si>
    <t>Benedetto, Enzo.</t>
  </si>
  <si>
    <t>Humanitas ; 13</t>
  </si>
  <si>
    <t>909079753:ita</t>
  </si>
  <si>
    <t>730397472</t>
  </si>
  <si>
    <t>ocn730397472</t>
  </si>
  <si>
    <t>3103125437R</t>
  </si>
  <si>
    <t>9788871156873</t>
  </si>
  <si>
    <t>794879976</t>
  </si>
  <si>
    <t>PQ4862 E565 B43 2011</t>
  </si>
  <si>
    <t>0                      PQ 4862000E  565                B  43          2011</t>
  </si>
  <si>
    <t>Le Beatrici / Stefano Benni.</t>
  </si>
  <si>
    <t>Benni, Stefano, 1947-</t>
  </si>
  <si>
    <t>1. ed. ne "I Narratori."</t>
  </si>
  <si>
    <t>762683108:ita</t>
  </si>
  <si>
    <t>690102966</t>
  </si>
  <si>
    <t>ocn690102966</t>
  </si>
  <si>
    <t>3103125290L</t>
  </si>
  <si>
    <t>9788807018312</t>
  </si>
  <si>
    <t>794855346</t>
  </si>
  <si>
    <t>PQ4862 E565 C37 2015</t>
  </si>
  <si>
    <t>0                      PQ 4862000E  565                C  37          2015</t>
  </si>
  <si>
    <t>Cari mostri / Stefano Benni.</t>
  </si>
  <si>
    <t>Benni, Stefano, 1947- author.</t>
  </si>
  <si>
    <t>Milano : Giangiacomo Feltrinelli editore, aprile 2015.</t>
  </si>
  <si>
    <t>Prima edizione ne "I narratori."</t>
  </si>
  <si>
    <t>Narratori Feltrinelli</t>
  </si>
  <si>
    <t>2528553433:ita</t>
  </si>
  <si>
    <t>905553065</t>
  </si>
  <si>
    <t>ocn905553065</t>
  </si>
  <si>
    <t>3103637631L</t>
  </si>
  <si>
    <t>9788807031373</t>
  </si>
  <si>
    <t>794991556</t>
  </si>
  <si>
    <t>PQ4862 E565 D55 2012</t>
  </si>
  <si>
    <t>0                      PQ 4862000E  565                D  55          2012</t>
  </si>
  <si>
    <t>Di tutte le ricchezze / Stefano Benni.</t>
  </si>
  <si>
    <t>Milano : Giangiacomo Feltrinelli Editore, 2012.</t>
  </si>
  <si>
    <t>Prima edizione ne "I Narratori."</t>
  </si>
  <si>
    <t>Narratori</t>
  </si>
  <si>
    <t>1122978885:ita</t>
  </si>
  <si>
    <t>798053360</t>
  </si>
  <si>
    <t>ocn798053360</t>
  </si>
  <si>
    <t>3103125932C</t>
  </si>
  <si>
    <t>9788807019104</t>
  </si>
  <si>
    <t>794923016</t>
  </si>
  <si>
    <t>PQ4862 E565 D68 2001</t>
  </si>
  <si>
    <t>0                      PQ 4862000E  565                D  68          2001</t>
  </si>
  <si>
    <t>Dottor Niù : corsivi diabolici per tragedie evitabili / Stefano Benni.</t>
  </si>
  <si>
    <t>Milano : Feltrinelli, 2001.</t>
  </si>
  <si>
    <t>Super UE Feltrinelli</t>
  </si>
  <si>
    <t>891442053:ita</t>
  </si>
  <si>
    <t>47752775</t>
  </si>
  <si>
    <t>ocm47752775</t>
  </si>
  <si>
    <t>3102825313$</t>
  </si>
  <si>
    <t>9788807840012</t>
  </si>
  <si>
    <t>793707095</t>
  </si>
  <si>
    <t>PQ4862 E565 M3713 2006</t>
  </si>
  <si>
    <t>0                      PQ 4862000E  565                M  3713        2006</t>
  </si>
  <si>
    <t>Margherita Dolce Vita / by Stefano Benni ; translated from the Italian by Anthony Shugaar.</t>
  </si>
  <si>
    <t>New York : Europa Editions, 2006.</t>
  </si>
  <si>
    <t>33717:eng</t>
  </si>
  <si>
    <t>76282718</t>
  </si>
  <si>
    <t>ocm76282718</t>
  </si>
  <si>
    <t>3102635850K</t>
  </si>
  <si>
    <t>9781933372204</t>
  </si>
  <si>
    <t>794176069</t>
  </si>
  <si>
    <t>PQ4862 E565 S2513 2008</t>
  </si>
  <si>
    <t>0                      PQ 4862000E  565                S  2513        2008</t>
  </si>
  <si>
    <t>Timeskipper / Stefano Benni ; translated from the Italian by Antony Shugaar.</t>
  </si>
  <si>
    <t>New York : Europa Editions, 2008.</t>
  </si>
  <si>
    <t>2908543969:eng</t>
  </si>
  <si>
    <t>182529308</t>
  </si>
  <si>
    <t>ocn182529308</t>
  </si>
  <si>
    <t>3102884908V</t>
  </si>
  <si>
    <t>9781933372440</t>
  </si>
  <si>
    <t>794284447</t>
  </si>
  <si>
    <t>PQ4862 E565 S8613 2014</t>
  </si>
  <si>
    <t>0                      PQ 4862000E  565                S  8613        2014</t>
  </si>
  <si>
    <t>The story of Cyrano de Bergerac / Stefano Benni ; illustrated by Miguel Tanco ; translated by Howard Curtis.</t>
  </si>
  <si>
    <t>London : Pushkin Children's Books, 2014.</t>
  </si>
  <si>
    <t>9637854480:eng</t>
  </si>
  <si>
    <t>881131737</t>
  </si>
  <si>
    <t>ocn881131737</t>
  </si>
  <si>
    <t>3103567436C</t>
  </si>
  <si>
    <t>9781782690214</t>
  </si>
  <si>
    <t>794973805</t>
  </si>
  <si>
    <t>PQ4862 E565 T413 1985</t>
  </si>
  <si>
    <t>0                      PQ 4862000E  565                T  413         1985</t>
  </si>
  <si>
    <t>Terra! / Stefano Benni ; translated from the Italian by Annapaola Cancogni.</t>
  </si>
  <si>
    <t>New York : Pantheon Books, ©1985.</t>
  </si>
  <si>
    <t>2018-03-26</t>
  </si>
  <si>
    <t>4146855:eng</t>
  </si>
  <si>
    <t>11291149</t>
  </si>
  <si>
    <t>ocm11291149</t>
  </si>
  <si>
    <t>3000470755P</t>
  </si>
  <si>
    <t>9780394740645</t>
  </si>
  <si>
    <t>792767331</t>
  </si>
  <si>
    <t>PQ4862 E565 T68 2011</t>
  </si>
  <si>
    <t>0                      PQ 4862000E  565                T  68          2011</t>
  </si>
  <si>
    <t>La traccia dell'angelo / Stefano Benni.</t>
  </si>
  <si>
    <t>Benni, Stefano.</t>
  </si>
  <si>
    <t>La memoria ; 863</t>
  </si>
  <si>
    <t>1010159869:ita</t>
  </si>
  <si>
    <t>752246494</t>
  </si>
  <si>
    <t>ocn752246494</t>
  </si>
  <si>
    <t>3103125544M</t>
  </si>
  <si>
    <t>9788838925764</t>
  </si>
  <si>
    <t>794891590</t>
  </si>
  <si>
    <t>PQ4862 E777 V513 2005</t>
  </si>
  <si>
    <t>0                      PQ 4862000E  777                V  513         2005</t>
  </si>
  <si>
    <t>Winter journey = Viaggio d'inverno / Attilio Bertolucci ; translated by Nicholas Benson.</t>
  </si>
  <si>
    <t>Bertolucci, Attilio.</t>
  </si>
  <si>
    <t>West Lafayette, Ind. : Parlor Press, ©2005.</t>
  </si>
  <si>
    <t>Free verse editions</t>
  </si>
  <si>
    <t>11900772:eng</t>
  </si>
  <si>
    <t>61694826</t>
  </si>
  <si>
    <t>ocm61694826</t>
  </si>
  <si>
    <t>3103085749T</t>
  </si>
  <si>
    <t>9781932559057</t>
  </si>
  <si>
    <t>794091115</t>
  </si>
  <si>
    <t>PQ4862 I22 Z56 2010</t>
  </si>
  <si>
    <t>0                      PQ 4862000I  22                 Z  56          2010</t>
  </si>
  <si>
    <t>Bianciardi, Ottocento come Novecento : dalla letteratura al dibattito civile : 14/15 novembre 2008, Sala Pegaso, Palazzo della Provincia, Grosseto / a cura di Luciana Bianciardi, Arnaldo Bruni, Massimiliano Marcucci.</t>
  </si>
  <si>
    <t>Milano : ExCogita, 2010.</t>
  </si>
  <si>
    <t>Quaderni / Fondazione Luciano Bianciardi ; 11</t>
  </si>
  <si>
    <t>1814661179:ita</t>
  </si>
  <si>
    <t>682881796</t>
  </si>
  <si>
    <t>ocn682881796</t>
  </si>
  <si>
    <t>3103125236X</t>
  </si>
  <si>
    <t>9788889727942</t>
  </si>
  <si>
    <t>794852949</t>
  </si>
  <si>
    <t>PQ4862 I22 Z83 2011</t>
  </si>
  <si>
    <t>0                      PQ 4862000I  22                 Z  83          2011</t>
  </si>
  <si>
    <t>Luciano Bianciardi : uno scrittore fuori dal coro / di Giuseppe Muraca.</t>
  </si>
  <si>
    <t>Muraca, Giuseppe.</t>
  </si>
  <si>
    <t>Pistoia : Centro di documentazione di Pistoia, [2011]</t>
  </si>
  <si>
    <t>Antimoderati ; 1</t>
  </si>
  <si>
    <t>897462183:ita</t>
  </si>
  <si>
    <t>721864249</t>
  </si>
  <si>
    <t>ocn721864249</t>
  </si>
  <si>
    <t>3103125405X</t>
  </si>
  <si>
    <t>9788896258026</t>
  </si>
  <si>
    <t>794875376</t>
  </si>
  <si>
    <t>Le violette di Saffo : Bianciardi, Pasolini, Pavese, Sbarbaro / Gianni Priano.</t>
  </si>
  <si>
    <t>Priano, Gianni, 1962-</t>
  </si>
  <si>
    <t>Rovigo : Il ponte del Sale, 2011.</t>
  </si>
  <si>
    <t>Saggi in 32 ; 1</t>
  </si>
  <si>
    <t>1020557309:ita</t>
  </si>
  <si>
    <t>745969879</t>
  </si>
  <si>
    <t>ocn745969879</t>
  </si>
  <si>
    <t>3103125487H</t>
  </si>
  <si>
    <t>9788889615218</t>
  </si>
  <si>
    <t>794886745</t>
  </si>
  <si>
    <t>PQ4862 I22 Z923 2017</t>
  </si>
  <si>
    <t>0                      PQ 4862000I  22                 Z  923         2017</t>
  </si>
  <si>
    <t>Luciano Bianciardi : la protesta dello stile / Carlo Varotti.</t>
  </si>
  <si>
    <t>Varotti, Carlo, author.</t>
  </si>
  <si>
    <t>Quality paperbacks ; 491</t>
  </si>
  <si>
    <t>4083614649:ita</t>
  </si>
  <si>
    <t>973885467</t>
  </si>
  <si>
    <t>ocn973885467</t>
  </si>
  <si>
    <t>3103721190H</t>
  </si>
  <si>
    <t>9788843085514</t>
  </si>
  <si>
    <t>795029333</t>
  </si>
  <si>
    <t>PQ4862 L47 Q2 2000</t>
  </si>
  <si>
    <t>0                      PQ 4862000L  47                 Q  2           2000</t>
  </si>
  <si>
    <t>Q / Luther Blissett ; traducción de José Ramón Monreal.</t>
  </si>
  <si>
    <t>Blissett, Luther.</t>
  </si>
  <si>
    <t>Barcelona : Mondadori, 2000.</t>
  </si>
  <si>
    <t>Literatura Mondadori ; 142</t>
  </si>
  <si>
    <t>2017-02-17</t>
  </si>
  <si>
    <t>1155426806:spa</t>
  </si>
  <si>
    <t>427757364</t>
  </si>
  <si>
    <t>ocn427757364</t>
  </si>
  <si>
    <t>31032337835</t>
  </si>
  <si>
    <t>9788439705307</t>
  </si>
  <si>
    <t>794697960</t>
  </si>
  <si>
    <t>PQ4862 L47 Q213 2004</t>
  </si>
  <si>
    <t>0                      PQ 4862000L  47                 Q  213         2004</t>
  </si>
  <si>
    <t>Q / Luther Blissett ; translated from the Italian by Shaun Whiteside.</t>
  </si>
  <si>
    <t>Orlando : Harcourt, [2004?]</t>
  </si>
  <si>
    <t>1st U.S. ed.</t>
  </si>
  <si>
    <t>1155426806:eng</t>
  </si>
  <si>
    <t>53443116</t>
  </si>
  <si>
    <t>ocm53443116</t>
  </si>
  <si>
    <t>3102635607$</t>
  </si>
  <si>
    <t>9780151010639</t>
  </si>
  <si>
    <t>793828541</t>
  </si>
  <si>
    <t>PQ4862 O496 N6813 2007</t>
  </si>
  <si>
    <t>0                      PQ 4862000O  496                N  6813        2007</t>
  </si>
  <si>
    <t>Saracen tales / Giuseppe Bonaviri ; translated by Barbara De Marco.</t>
  </si>
  <si>
    <t>Bonaviri, Giuseppe, 1924-2009.</t>
  </si>
  <si>
    <t>New York : Bordighera, 2007, ©2006.</t>
  </si>
  <si>
    <t>Crossings ; 16</t>
  </si>
  <si>
    <t>196959409:eng</t>
  </si>
  <si>
    <t>70676600</t>
  </si>
  <si>
    <t>ocm70676600</t>
  </si>
  <si>
    <t>31028854211</t>
  </si>
  <si>
    <t>9781884419768</t>
  </si>
  <si>
    <t>794157595</t>
  </si>
  <si>
    <t>PQ4862 O5228 Z58 2011</t>
  </si>
  <si>
    <t>0                      PQ 4862000O  5228               Z  58          2011</t>
  </si>
  <si>
    <t>Mio cugino Bono : poeta torinese del Novecento / Carlo Alfonso Maria Burdet ; con 102 testi letterari di Giovanni Bono ; trascritti e tradotti da Giuseppe Goria.</t>
  </si>
  <si>
    <t>Burdet, Carlo A. M. (Carlo Alfonso Maria), 1949-</t>
  </si>
  <si>
    <t>Torino : Genesi, [2011]</t>
  </si>
  <si>
    <t>Letteratura ; 29</t>
  </si>
  <si>
    <t>1124056381:ita</t>
  </si>
  <si>
    <t>798609815</t>
  </si>
  <si>
    <t>ocn798609815</t>
  </si>
  <si>
    <t>3103125843D</t>
  </si>
  <si>
    <t>9788874143146</t>
  </si>
  <si>
    <t>794923797</t>
  </si>
  <si>
    <t>PQ4862 R5717 L44 2012</t>
  </si>
  <si>
    <t>0                      PQ 4862000R  5717               L  44          2012</t>
  </si>
  <si>
    <t>La legge della giungla / Enrico Brizzi.</t>
  </si>
  <si>
    <t>Brizzi, Enrico, 1974-</t>
  </si>
  <si>
    <t>Roma ; Bari : Laterza, 2012.</t>
  </si>
  <si>
    <t>Contromano</t>
  </si>
  <si>
    <t>1112101094:ita</t>
  </si>
  <si>
    <t>794293358</t>
  </si>
  <si>
    <t>ocn794293358</t>
  </si>
  <si>
    <t>3103125818J</t>
  </si>
  <si>
    <t>9788842099437</t>
  </si>
  <si>
    <t>794919522</t>
  </si>
  <si>
    <t>PQ4862 R5717 L67 2012</t>
  </si>
  <si>
    <t>0                      PQ 4862000R  5717               L  67          2012</t>
  </si>
  <si>
    <t>Lorenzo Pellegrini e le donne / Enrico Brizzi.</t>
  </si>
  <si>
    <t>[San Lazzaro di Savena] : Italica, autunno 2012.</t>
  </si>
  <si>
    <t>1207230308:ita</t>
  </si>
  <si>
    <t>827228838</t>
  </si>
  <si>
    <t>ocn827228838</t>
  </si>
  <si>
    <t>3103126092N</t>
  </si>
  <si>
    <t>9788898133017</t>
  </si>
  <si>
    <t>794939830</t>
  </si>
  <si>
    <t>PQ4862 R5717 M37 2015</t>
  </si>
  <si>
    <t>0                      PQ 4862000R  5717               M  37          2015</t>
  </si>
  <si>
    <t>Il matrimonio di mio fratello : romanzo / Enrico Brizzi.</t>
  </si>
  <si>
    <t>Brizzi, Enrico, 1974- author.</t>
  </si>
  <si>
    <t>Milano : Mondadori, 2015.</t>
  </si>
  <si>
    <t>2831100548:ita</t>
  </si>
  <si>
    <t>931884063</t>
  </si>
  <si>
    <t>ocn931884063</t>
  </si>
  <si>
    <t>31036630409</t>
  </si>
  <si>
    <t>9788804652366</t>
  </si>
  <si>
    <t>795007771</t>
  </si>
  <si>
    <t>PQ4862 R5717 P75 2011</t>
  </si>
  <si>
    <t>0                      PQ 4862000R  5717               P  75          2011</t>
  </si>
  <si>
    <t>Gli psicoatleti / Enrico Brizzi.</t>
  </si>
  <si>
    <t>Milano : Dalai, ©2011.</t>
  </si>
  <si>
    <t>Romanzi e racconti ; 527</t>
  </si>
  <si>
    <t>909080401:ita</t>
  </si>
  <si>
    <t>730397653</t>
  </si>
  <si>
    <t>ocn730397653</t>
  </si>
  <si>
    <t>3103125428T</t>
  </si>
  <si>
    <t>9788860739322</t>
  </si>
  <si>
    <t>794879986</t>
  </si>
  <si>
    <t>PQ4862 R7 L4813 2006</t>
  </si>
  <si>
    <t>0                      PQ 4862000R  7                  L  4813        2006</t>
  </si>
  <si>
    <t>Letter to my mother / Edith Bruck ; translated by Brenda Webster with Gabriella Romani ; introduced by Gabriella Romani.</t>
  </si>
  <si>
    <t>Bruck, Edith.</t>
  </si>
  <si>
    <t>New York : Modern Language Association of America, 2006.</t>
  </si>
  <si>
    <t>Texts and translations. Translations</t>
  </si>
  <si>
    <t>19265269:eng</t>
  </si>
  <si>
    <t>72354171</t>
  </si>
  <si>
    <t>ocm72354171</t>
  </si>
  <si>
    <t>31025948580</t>
  </si>
  <si>
    <t>9780873529365</t>
  </si>
  <si>
    <t>794169887</t>
  </si>
  <si>
    <t>PQ4862 U344 D5</t>
  </si>
  <si>
    <t>0                      PQ 4862000U  344                D  5</t>
  </si>
  <si>
    <t>Diceria dell'untore / [di] Gesualdo Bufalino.</t>
  </si>
  <si>
    <t>Bufalino, Gesualdo.</t>
  </si>
  <si>
    <t>Palermo : Sellerio, 1981.</t>
  </si>
  <si>
    <t>La memoria ; 23</t>
  </si>
  <si>
    <t>2018-10-27</t>
  </si>
  <si>
    <t>6401159:ita</t>
  </si>
  <si>
    <t>8060058</t>
  </si>
  <si>
    <t>ocm08060058</t>
  </si>
  <si>
    <t>30003403219</t>
  </si>
  <si>
    <t>792596084</t>
  </si>
  <si>
    <t>PQ4862 U344 L83 1988</t>
  </si>
  <si>
    <t>0                      PQ 4862000U  344                L  83          1988</t>
  </si>
  <si>
    <t>La luce e il lutto / Gesualdo Bufalino.</t>
  </si>
  <si>
    <t>Diagonale ; 25</t>
  </si>
  <si>
    <t>348997531:ita</t>
  </si>
  <si>
    <t>19272263</t>
  </si>
  <si>
    <t>ocm19272263</t>
  </si>
  <si>
    <t>3100654950W</t>
  </si>
  <si>
    <t>793051831</t>
  </si>
  <si>
    <t>PQ4862 U344 M4 1988</t>
  </si>
  <si>
    <t>0                      PQ 4862000U  344                M  4           1988</t>
  </si>
  <si>
    <t>Le menzogne della notte / Gesualdo Bufalino.</t>
  </si>
  <si>
    <t>Milano : Bompiani, 1988.</t>
  </si>
  <si>
    <t>2016-10-19</t>
  </si>
  <si>
    <t>23874576:ita</t>
  </si>
  <si>
    <t>19627869</t>
  </si>
  <si>
    <t>ocm19627869</t>
  </si>
  <si>
    <t>31008818737</t>
  </si>
  <si>
    <t>9788845203411</t>
  </si>
  <si>
    <t>793064457</t>
  </si>
  <si>
    <t>PQ4862 U344 Z59 2010</t>
  </si>
  <si>
    <t>0                      PQ 4862000U  344                Z  59          2010</t>
  </si>
  <si>
    <t>I Carnets di traduzioni poetiche : un inedito di Gesualdo Bufalino / a cura di Cettina Rizzo ; con illustrazioni di Bruno Caruso.</t>
  </si>
  <si>
    <t>Les introuvables ; 1</t>
  </si>
  <si>
    <t>1090956993:ita</t>
  </si>
  <si>
    <t>781672435</t>
  </si>
  <si>
    <t>ocn781672435</t>
  </si>
  <si>
    <t>3103125719M</t>
  </si>
  <si>
    <t>9788877966674</t>
  </si>
  <si>
    <t>794912981</t>
  </si>
  <si>
    <t>PQ4862 U344 Z74 2014</t>
  </si>
  <si>
    <t>0                      PQ 4862000U  344                Z  74          2014</t>
  </si>
  <si>
    <t>Il miglior fabbro : Bufalino fra tradizione e sperimentazione / a cura di Nunzio Zago e Giuseppe Traina.</t>
  </si>
  <si>
    <t>Leonforte (En) : Euno edizioni, [2014]</t>
  </si>
  <si>
    <t>Le scritture della buona vita ; 4</t>
  </si>
  <si>
    <t>2546786883:ita</t>
  </si>
  <si>
    <t>905553103</t>
  </si>
  <si>
    <t>ocn905553103</t>
  </si>
  <si>
    <t>3103201069G</t>
  </si>
  <si>
    <t>9788868590093</t>
  </si>
  <si>
    <t>794991558</t>
  </si>
  <si>
    <t>PQ4862 U344 Z87 2015</t>
  </si>
  <si>
    <t>0                      PQ 4862000U  344                Z  87          2015</t>
  </si>
  <si>
    <t>Le visioni di Gesualdo : immagini e tecniche foto-cinematografiche nell'opera di Bufalino / Agata Sciacca.</t>
  </si>
  <si>
    <t>Sciacca, Agata, author.</t>
  </si>
  <si>
    <t>Acireale : Bonanno, [2015]</t>
  </si>
  <si>
    <t>Xanadu ; 9</t>
  </si>
  <si>
    <t>2834509026:ita</t>
  </si>
  <si>
    <t>919085748</t>
  </si>
  <si>
    <t>ocn919085748</t>
  </si>
  <si>
    <t>3103624729P</t>
  </si>
  <si>
    <t>9788863180398</t>
  </si>
  <si>
    <t>795001513</t>
  </si>
  <si>
    <t>PQ4862 U824 E87 2012</t>
  </si>
  <si>
    <t>0                      PQ 4862000U  824                E  87          2012</t>
  </si>
  <si>
    <t>El especialista de Barcelona : [romanzo] / Aldo Busi.</t>
  </si>
  <si>
    <t>Busi, Aldo, 1948-</t>
  </si>
  <si>
    <t>Milano : Dalai, ©2012.</t>
  </si>
  <si>
    <t>R e R ; 557</t>
  </si>
  <si>
    <t>2013-11-17</t>
  </si>
  <si>
    <t>1184435154:ita</t>
  </si>
  <si>
    <t>823755510</t>
  </si>
  <si>
    <t>ocn823755510</t>
  </si>
  <si>
    <t>3103126059V</t>
  </si>
  <si>
    <t>9788867620883</t>
  </si>
  <si>
    <t>794937331</t>
  </si>
  <si>
    <t>PQ4862 U824 M37 2010</t>
  </si>
  <si>
    <t>0                      PQ 4862000U  824                M  37          2010</t>
  </si>
  <si>
    <t>Manuale della perfetta umanità / Aldo Busi.</t>
  </si>
  <si>
    <t>Milano : Oscar Mondadori, 2010.</t>
  </si>
  <si>
    <t>1. ed. Oscar scrittori moderni.</t>
  </si>
  <si>
    <t>Oscar scrittori moderni</t>
  </si>
  <si>
    <t>420809143:ita</t>
  </si>
  <si>
    <t>549139925</t>
  </si>
  <si>
    <t>ocn549139925</t>
  </si>
  <si>
    <t>31031249876</t>
  </si>
  <si>
    <t>9788804595960</t>
  </si>
  <si>
    <t>794811240</t>
  </si>
  <si>
    <t>PQ4862 U824 V45 2015</t>
  </si>
  <si>
    <t>0                      PQ 4862000U  824                V  45          2015</t>
  </si>
  <si>
    <t>Vacche amiche : (un'autobiografia non autorizzata) / Aldo Busi.</t>
  </si>
  <si>
    <t>Busi, Aldo, 1948- author.</t>
  </si>
  <si>
    <t>Venezia : Marsilio, marzo 2015.</t>
  </si>
  <si>
    <t>Romanzi e racconti</t>
  </si>
  <si>
    <t>2526469342:ita</t>
  </si>
  <si>
    <t>909278121</t>
  </si>
  <si>
    <t>ocn909278121</t>
  </si>
  <si>
    <t>3103636014D</t>
  </si>
  <si>
    <t>9788831721684</t>
  </si>
  <si>
    <t>794995374</t>
  </si>
  <si>
    <t>PQ4862 U824 V5813 1988</t>
  </si>
  <si>
    <t>0                      PQ 4862000U  824                V  5813        1988</t>
  </si>
  <si>
    <t>The standard life of a temporary pantyhose salesman / Aldo Busi ; translated from the Italian by Raymond Rosenthal.</t>
  </si>
  <si>
    <t>New York : Farrar, Straus, Giroux, 1988.</t>
  </si>
  <si>
    <t>2019-08-31</t>
  </si>
  <si>
    <t>15984340:eng</t>
  </si>
  <si>
    <t>17386106</t>
  </si>
  <si>
    <t>ocm17386106</t>
  </si>
  <si>
    <t>31001762208</t>
  </si>
  <si>
    <t>9780374227173</t>
  </si>
  <si>
    <t>792990008</t>
  </si>
  <si>
    <t>PQ4863 A285 N47 2012</t>
  </si>
  <si>
    <t>0                      PQ 4863000A  285                N  47          2012</t>
  </si>
  <si>
    <t>Nessuno può portarti un fiore / Pino Cacucci.</t>
  </si>
  <si>
    <t>Cacucci, Pino.</t>
  </si>
  <si>
    <t>1101742272:ita</t>
  </si>
  <si>
    <t>786110388</t>
  </si>
  <si>
    <t>ocn786110388</t>
  </si>
  <si>
    <t>3103125774A</t>
  </si>
  <si>
    <t>9788807018794</t>
  </si>
  <si>
    <t>794915838</t>
  </si>
  <si>
    <t>PQ4863 A3 L6 2011</t>
  </si>
  <si>
    <t>0                      PQ 4863000A  3                  L  6           2011</t>
  </si>
  <si>
    <t>Love and gymnastics / Edmondo de Amicis ; translated by David Chapman ; [foreword by Italo Calvino].</t>
  </si>
  <si>
    <t>De Amicis, Edmondo, 1846-1908.</t>
  </si>
  <si>
    <t>London : Hesperus, 2011.</t>
  </si>
  <si>
    <t>2014-08-26</t>
  </si>
  <si>
    <t>4920645321:eng</t>
  </si>
  <si>
    <t>319210448</t>
  </si>
  <si>
    <t>ocn319210448</t>
  </si>
  <si>
    <t>3103364090$</t>
  </si>
  <si>
    <t>9781843911937</t>
  </si>
  <si>
    <t>794483570</t>
  </si>
  <si>
    <t>PQ4863 A3333 A6 2014</t>
  </si>
  <si>
    <t>0                      PQ 4863000A  3333               A  6           2014</t>
  </si>
  <si>
    <t>Teatro / Bruno Cagli ; a cura di Fernando Balestra.</t>
  </si>
  <si>
    <t>Cagli, Bruno, author.</t>
  </si>
  <si>
    <t>Roma : Bulzoni Editore, [2014]</t>
  </si>
  <si>
    <t>Biblioteca teatrale. Studi e Testi ; 176</t>
  </si>
  <si>
    <t>8913649568:ita</t>
  </si>
  <si>
    <t>900091953</t>
  </si>
  <si>
    <t>ocn900091953</t>
  </si>
  <si>
    <t>3103590635J</t>
  </si>
  <si>
    <t>9788878709249</t>
  </si>
  <si>
    <t>794987161</t>
  </si>
  <si>
    <t>PQ4863 A35 I66 2017</t>
  </si>
  <si>
    <t>0                      PQ 4863000A  35                 I  66          2017</t>
  </si>
  <si>
    <t>L'innominabile attuale / Roberto Calasso.</t>
  </si>
  <si>
    <t>Calasso, Roberto, author.</t>
  </si>
  <si>
    <t>Milano : Edizion Adelphi, [2017]</t>
  </si>
  <si>
    <t>Biblioteca Adelphi ; 675</t>
  </si>
  <si>
    <t>4541209884:ita</t>
  </si>
  <si>
    <t>1012859586</t>
  </si>
  <si>
    <t>on1012859586</t>
  </si>
  <si>
    <t>3103718660E</t>
  </si>
  <si>
    <t>9788845932076</t>
  </si>
  <si>
    <t>795046686</t>
  </si>
  <si>
    <t>PQ4863 A35 K2213 1998</t>
  </si>
  <si>
    <t>0                      PQ 4863000A  35                 K  2213        1998</t>
  </si>
  <si>
    <t>Ka / Roberto Calasso ; translated by Tim Parks.</t>
  </si>
  <si>
    <t>Calasso, Roberto.</t>
  </si>
  <si>
    <t>New York : Alfred A. Knopf, ©1998.</t>
  </si>
  <si>
    <t>2018-09-01</t>
  </si>
  <si>
    <t>19918506:eng</t>
  </si>
  <si>
    <t>40218328</t>
  </si>
  <si>
    <t>ocm40218328</t>
  </si>
  <si>
    <t>31019170357</t>
  </si>
  <si>
    <t>9780679451310</t>
  </si>
  <si>
    <t>793562164</t>
  </si>
  <si>
    <t>PQ4863 A35 N69 1988</t>
  </si>
  <si>
    <t>0                      PQ 4863000A  35                 N  69          1988</t>
  </si>
  <si>
    <t>Le nozze di Cadmo e Armonia / Roberto Calasso.</t>
  </si>
  <si>
    <t>Milano : Adelphi, 1991, ©1988.</t>
  </si>
  <si>
    <t>1 ed. gli Adelphi.</t>
  </si>
  <si>
    <t>Gli Adelphi ; 26</t>
  </si>
  <si>
    <t>18875781:ita</t>
  </si>
  <si>
    <t>27482057</t>
  </si>
  <si>
    <t>ocm27482057</t>
  </si>
  <si>
    <t>3101407446R</t>
  </si>
  <si>
    <t>9788845908149</t>
  </si>
  <si>
    <t>793267523</t>
  </si>
  <si>
    <t>PQ4863 A35 N6913 1993</t>
  </si>
  <si>
    <t>0                      PQ 4863000A  35                 N  6913        1993</t>
  </si>
  <si>
    <t>The marriage of Cadmus and Harmony / Roberto Calasso ; translated from the Italian by Tim Parks.</t>
  </si>
  <si>
    <t>New York : Knopf, 1993.</t>
  </si>
  <si>
    <t>18875781:eng</t>
  </si>
  <si>
    <t>25317041</t>
  </si>
  <si>
    <t>ocm25317041</t>
  </si>
  <si>
    <t>3102891155F</t>
  </si>
  <si>
    <t>9780679733485</t>
  </si>
  <si>
    <t>793216700</t>
  </si>
  <si>
    <t>PQ4863 A35 R6 1989</t>
  </si>
  <si>
    <t>0                      PQ 4863000A  35                 R  6           1989</t>
  </si>
  <si>
    <t>La rovina di Kasch / Roberto Calasso.</t>
  </si>
  <si>
    <t>Milano : Bompiani, 1989.</t>
  </si>
  <si>
    <t>Tascabili Bompiani. Narrativa.</t>
  </si>
  <si>
    <t>24574502:ita</t>
  </si>
  <si>
    <t>213828228</t>
  </si>
  <si>
    <t>ocn213828228</t>
  </si>
  <si>
    <t>3103476180G</t>
  </si>
  <si>
    <t>9788845213403</t>
  </si>
  <si>
    <t>794312479</t>
  </si>
  <si>
    <t>PQ4863 A35 Z64 2006</t>
  </si>
  <si>
    <t>0                      PQ 4863000A  35                 Z  64          2006</t>
  </si>
  <si>
    <t>Roberto Calasso / Valentino Cecchetti.</t>
  </si>
  <si>
    <t>Cecchetti, Valentino.</t>
  </si>
  <si>
    <t>Fiesole (FI) [i.e. Florence, Italy] : Cadmo, ©2006.</t>
  </si>
  <si>
    <t>Scritture in corso ; 18</t>
  </si>
  <si>
    <t>58567984:ita</t>
  </si>
  <si>
    <t>85628452</t>
  </si>
  <si>
    <t>ocm85628452</t>
  </si>
  <si>
    <t>31028062178</t>
  </si>
  <si>
    <t>9788879233385</t>
  </si>
  <si>
    <t>794214079</t>
  </si>
  <si>
    <t>PQ4863 A35 Z66 2015</t>
  </si>
  <si>
    <t>0                      PQ 4863000A  35                 Z  66          2015</t>
  </si>
  <si>
    <t>L'opera in corso di Roberto Calasso / Bruno Cumbo.</t>
  </si>
  <si>
    <t>Cumbo, Bruno, author.</t>
  </si>
  <si>
    <t>Oggetti e soggetti ; 30</t>
  </si>
  <si>
    <t>2534202810:ita</t>
  </si>
  <si>
    <t>910505687</t>
  </si>
  <si>
    <t>ocn910505687</t>
  </si>
  <si>
    <t>31036278393</t>
  </si>
  <si>
    <t>9788854883130</t>
  </si>
  <si>
    <t>794996217</t>
  </si>
  <si>
    <t>PQ4863 A3894 A2 2016</t>
  </si>
  <si>
    <t>0                      PQ 4863000A  3894               A  2           2016</t>
  </si>
  <si>
    <t>Montalbano's first case and other stories / Andrea Camilleri ; translated by Stephen Sartarelli.</t>
  </si>
  <si>
    <t>Camilleri, Andrea, author.</t>
  </si>
  <si>
    <t>New York, New York : Penguin Books, [2016]</t>
  </si>
  <si>
    <t>An Inspector Montalbano mystery</t>
  </si>
  <si>
    <t>2533443667:eng</t>
  </si>
  <si>
    <t>910412977</t>
  </si>
  <si>
    <t>ocn910412977</t>
  </si>
  <si>
    <t>3103671551P</t>
  </si>
  <si>
    <t>9780143121626</t>
  </si>
  <si>
    <t>794996149</t>
  </si>
  <si>
    <t>PQ4863 A3894 A6 2002</t>
  </si>
  <si>
    <t>0                      PQ 4863000A  3894               A  6           2002</t>
  </si>
  <si>
    <t>Storie di Montalbano / Andrea Camilleri ; a cura e con un saggio di Mauro Novelli ; introduzione di Nino Borsellino ; cronologia di Antonio Franchini.</t>
  </si>
  <si>
    <t>285024746:ita</t>
  </si>
  <si>
    <t>50987132</t>
  </si>
  <si>
    <t>ocm50987132</t>
  </si>
  <si>
    <t>3102328328F</t>
  </si>
  <si>
    <t>9788804504276</t>
  </si>
  <si>
    <t>793776341</t>
  </si>
  <si>
    <t>PQ4863 A3894 A6 2015</t>
  </si>
  <si>
    <t>0                      PQ 4863000A  3894               A  6           2015</t>
  </si>
  <si>
    <t>Il quadro delle meraviglie : scritti per teatro, radio, musica, cinema / Andrea Camilleri ; prefazione di Roberto Scarpa ; a cura di Annalisa Gariglio.</t>
  </si>
  <si>
    <t>La nuova diagonale ; 109</t>
  </si>
  <si>
    <t>2452374040:ita</t>
  </si>
  <si>
    <t>903204651</t>
  </si>
  <si>
    <t>ocn903204651</t>
  </si>
  <si>
    <t>3103637616H</t>
  </si>
  <si>
    <t>9788838932922</t>
  </si>
  <si>
    <t>794988854</t>
  </si>
  <si>
    <t>PQ4863 A3894 A63 2010</t>
  </si>
  <si>
    <t>0                      PQ 4863000A  3894               A  63          2010</t>
  </si>
  <si>
    <t>Acqua in bocca / Andrea Camilleri, Carlo Lucarelli.</t>
  </si>
  <si>
    <t>Roma : Minimum fax, 2010.</t>
  </si>
  <si>
    <t>A quattro mani ; 1</t>
  </si>
  <si>
    <t>525767543:ita</t>
  </si>
  <si>
    <t>649312219</t>
  </si>
  <si>
    <t>ocn649312219</t>
  </si>
  <si>
    <t>3103125138$</t>
  </si>
  <si>
    <t>9788875212780</t>
  </si>
  <si>
    <t>794831671</t>
  </si>
  <si>
    <t>PQ4863 A3894 A6513 2010</t>
  </si>
  <si>
    <t>0                      PQ 4863000A  3894               A  6513        2010</t>
  </si>
  <si>
    <t>The wings of the Sphinx / Andrea Camilleri ; translated by Stephen Sartarelli.</t>
  </si>
  <si>
    <t>New York : Penguin Books, 2009.</t>
  </si>
  <si>
    <t>2016-11-03</t>
  </si>
  <si>
    <t>367532523:eng</t>
  </si>
  <si>
    <t>427757200</t>
  </si>
  <si>
    <t>ocn427757200</t>
  </si>
  <si>
    <t>3103363204F</t>
  </si>
  <si>
    <t>9780143116608</t>
  </si>
  <si>
    <t>794697923</t>
  </si>
  <si>
    <t>PQ4863 A3894 B5713 2014</t>
  </si>
  <si>
    <t>0                      PQ 4863000A  3894               B  5713        2014</t>
  </si>
  <si>
    <t>The Brewer of Preston : a novel / Andrea Camilleri ; Translated by Stephen Sartarelli.</t>
  </si>
  <si>
    <t>New York, New York : Penguin Books, 2014.</t>
  </si>
  <si>
    <t>525617:eng</t>
  </si>
  <si>
    <t>871192107</t>
  </si>
  <si>
    <t>ocn871192107</t>
  </si>
  <si>
    <t>3103612552H</t>
  </si>
  <si>
    <t>9780143121497</t>
  </si>
  <si>
    <t>794967337</t>
  </si>
  <si>
    <t>PQ4863 A3894 C213 2003</t>
  </si>
  <si>
    <t>0                      PQ 4863000A  3894               C  213         2003</t>
  </si>
  <si>
    <t>The terra-cotta dog / Andrea Camilleri ; translated by Stephen Sartarelli.</t>
  </si>
  <si>
    <t>2017-05-12</t>
  </si>
  <si>
    <t>2791537646:eng</t>
  </si>
  <si>
    <t>51953906</t>
  </si>
  <si>
    <t>ocm51953906</t>
  </si>
  <si>
    <t>31025871996</t>
  </si>
  <si>
    <t>9780142002636</t>
  </si>
  <si>
    <t>793795175</t>
  </si>
  <si>
    <t>PQ4863 A3894 C33 2010</t>
  </si>
  <si>
    <t>0                      PQ 4863000A  3894               C  33          2010</t>
  </si>
  <si>
    <t>La caccia al tesoro / Andrea Camilleri.</t>
  </si>
  <si>
    <t>Palermo : Sellerio, 2010.</t>
  </si>
  <si>
    <t>La memoria ; 820</t>
  </si>
  <si>
    <t>4161991632:ita</t>
  </si>
  <si>
    <t>644523343</t>
  </si>
  <si>
    <t>ocn644523343</t>
  </si>
  <si>
    <t>3103125159W</t>
  </si>
  <si>
    <t>9788838924781</t>
  </si>
  <si>
    <t>794829207</t>
  </si>
  <si>
    <t>PQ4863 A3894 C33313 2013</t>
  </si>
  <si>
    <t>0                      PQ 4863000A  3894               C  33313       2013</t>
  </si>
  <si>
    <t>Treasure hunt / Andrea Camilleri ; Translated by Stephen Sartarelli.</t>
  </si>
  <si>
    <t>New York, New York : Penguin Books, 2013.</t>
  </si>
  <si>
    <t>4161991632:eng</t>
  </si>
  <si>
    <t>837144054</t>
  </si>
  <si>
    <t>ocn837144054</t>
  </si>
  <si>
    <t>31035026947</t>
  </si>
  <si>
    <t>9780143122623</t>
  </si>
  <si>
    <t>794945023</t>
  </si>
  <si>
    <t>PQ4863 A3894 C36 2006</t>
  </si>
  <si>
    <t>0                      PQ 4863000A  3894               C  36          2006</t>
  </si>
  <si>
    <t>Il cane di terracotta / Andrea Camilleri.</t>
  </si>
  <si>
    <t>Camilleri, Andrea, 1925-</t>
  </si>
  <si>
    <t>Palermo : Sellerio, 2005.</t>
  </si>
  <si>
    <t>34a ed.</t>
  </si>
  <si>
    <t>La Memoria ; 355</t>
  </si>
  <si>
    <t>2015-09-03</t>
  </si>
  <si>
    <t>2791537646:ita</t>
  </si>
  <si>
    <t>68194928</t>
  </si>
  <si>
    <t>ocm68194928</t>
  </si>
  <si>
    <t>3102667336G</t>
  </si>
  <si>
    <t>9788838912269</t>
  </si>
  <si>
    <t>794142737</t>
  </si>
  <si>
    <t>PQ4863 A3894 C56 2007</t>
  </si>
  <si>
    <t>0                      PQ 4863000A  3894               C  56          2007</t>
  </si>
  <si>
    <t>Il colore del sole / Andrea Camilleri.</t>
  </si>
  <si>
    <t>Milano : Mondadori, 2007.</t>
  </si>
  <si>
    <t>2017-09-15</t>
  </si>
  <si>
    <t>351780807:ita</t>
  </si>
  <si>
    <t>85433731</t>
  </si>
  <si>
    <t>ocm85433731</t>
  </si>
  <si>
    <t>3102670861I</t>
  </si>
  <si>
    <t>9788804562078</t>
  </si>
  <si>
    <t>794213581</t>
  </si>
  <si>
    <t>PQ4863 A3894 C6 1978</t>
  </si>
  <si>
    <t>0                      PQ 4863000A  3894               C  6           1978</t>
  </si>
  <si>
    <t>Il corso delle cose / Andrea Camilleri.</t>
  </si>
  <si>
    <t>Poggibonsi : A. Lalli, 1978.</t>
  </si>
  <si>
    <t>Narrativa libri</t>
  </si>
  <si>
    <t>5091324651:ita</t>
  </si>
  <si>
    <t>6489316</t>
  </si>
  <si>
    <t>ocm06489316</t>
  </si>
  <si>
    <t>3000301776O</t>
  </si>
  <si>
    <t>792503057</t>
  </si>
  <si>
    <t>PQ4863 A3894 D36 2009</t>
  </si>
  <si>
    <t>0                      PQ 4863000A  3894               D  36          2009</t>
  </si>
  <si>
    <t>La danza del gabbiano / Andrea Camilleri.</t>
  </si>
  <si>
    <t>Palermo : Sellerio, ©2009.</t>
  </si>
  <si>
    <t>La memoria ; 789</t>
  </si>
  <si>
    <t>2019-11-04</t>
  </si>
  <si>
    <t>2830159150:ita</t>
  </si>
  <si>
    <t>406145071</t>
  </si>
  <si>
    <t>ocn406145071</t>
  </si>
  <si>
    <t>3103124914K</t>
  </si>
  <si>
    <t>9788838923852</t>
  </si>
  <si>
    <t>794499638</t>
  </si>
  <si>
    <t>PQ4863 A3894 D3613 2013</t>
  </si>
  <si>
    <t>0                      PQ 4863000A  3894               D  3613        2013</t>
  </si>
  <si>
    <t>The dance of the seagull / Andrea Camilleri ; translated by Stephen Sartarelli.</t>
  </si>
  <si>
    <t>3861494729:eng</t>
  </si>
  <si>
    <t>795168055</t>
  </si>
  <si>
    <t>ocn795168055</t>
  </si>
  <si>
    <t>3103498737R</t>
  </si>
  <si>
    <t>9780143122616</t>
  </si>
  <si>
    <t>794920925</t>
  </si>
  <si>
    <t>PQ4863 A3894 D45 2012</t>
  </si>
  <si>
    <t>0                      PQ 4863000A  3894               D  45          2012</t>
  </si>
  <si>
    <t>Dentro il labirinto / Andrea Camilleri.</t>
  </si>
  <si>
    <t>Milano : Skira, [2012]</t>
  </si>
  <si>
    <t>Narrativa Skira</t>
  </si>
  <si>
    <t>3944915349:ita</t>
  </si>
  <si>
    <t>792948959</t>
  </si>
  <si>
    <t>ocn792948959</t>
  </si>
  <si>
    <t>3103125811J</t>
  </si>
  <si>
    <t>9788857212289</t>
  </si>
  <si>
    <t>794917409</t>
  </si>
  <si>
    <t>PQ4863 A3894 D525 2012</t>
  </si>
  <si>
    <t>0                      PQ 4863000A  3894               D  525         2012</t>
  </si>
  <si>
    <t>Il diavolo, certamente / Andrea Camilleri.</t>
  </si>
  <si>
    <t>Libellule</t>
  </si>
  <si>
    <t>1075836822:ita</t>
  </si>
  <si>
    <t>774091667</t>
  </si>
  <si>
    <t>ocn774091667</t>
  </si>
  <si>
    <t>3103125687B</t>
  </si>
  <si>
    <t>9788804617754</t>
  </si>
  <si>
    <t>794906246</t>
  </si>
  <si>
    <t>PQ4863 A3894 E83 2008</t>
  </si>
  <si>
    <t>0                      PQ 4863000A  3894               E  83          2008</t>
  </si>
  <si>
    <t>L'età del dubbio / Andrea Camilleri.</t>
  </si>
  <si>
    <t>Palermo : Sellerio, ©2008.</t>
  </si>
  <si>
    <t>La memoria ; 764</t>
  </si>
  <si>
    <t>2016-02-24</t>
  </si>
  <si>
    <t>3901498975:ita</t>
  </si>
  <si>
    <t>272561603</t>
  </si>
  <si>
    <t>ocn272561603</t>
  </si>
  <si>
    <t>3103094488T</t>
  </si>
  <si>
    <t>9788838923333</t>
  </si>
  <si>
    <t>794415513</t>
  </si>
  <si>
    <t>PQ4863 A3894 E8313 2012</t>
  </si>
  <si>
    <t>0                      PQ 4863000A  3894               E  8313        2012</t>
  </si>
  <si>
    <t>The age of doubt / Andrea Camilleri ; translated by Stephen Sartarelli.</t>
  </si>
  <si>
    <t>New York, N.Y. : Penguin Books, 2012.</t>
  </si>
  <si>
    <t>1400692258:eng</t>
  </si>
  <si>
    <t>760974140</t>
  </si>
  <si>
    <t>ocn760974140</t>
  </si>
  <si>
    <t>3103471950I</t>
  </si>
  <si>
    <t>9780143120926</t>
  </si>
  <si>
    <t>794898818</t>
  </si>
  <si>
    <t>PQ4863 A3894 F5 1980</t>
  </si>
  <si>
    <t>0                      PQ 4863000A  3894               F  5           1980</t>
  </si>
  <si>
    <t>Un filo di fumo / Andrea Camilleri.</t>
  </si>
  <si>
    <t>Milano : Garzanti, 1980.</t>
  </si>
  <si>
    <t>351791944:ita</t>
  </si>
  <si>
    <t>7192723</t>
  </si>
  <si>
    <t>ocm07192723</t>
  </si>
  <si>
    <t>3000334124Y</t>
  </si>
  <si>
    <t>792545191</t>
  </si>
  <si>
    <t>PQ4863 A3894 F6713 2005</t>
  </si>
  <si>
    <t>0                      PQ 4863000A  3894               F  6713        2005</t>
  </si>
  <si>
    <t>The shape of water / Andrea Camilleri ; translated by Stephen Sartarelli.</t>
  </si>
  <si>
    <t>New York, N.Y. : Penguin Books, 2005.</t>
  </si>
  <si>
    <t>Inspector Montalbano ; 1</t>
  </si>
  <si>
    <t>2790456763:eng</t>
  </si>
  <si>
    <t>70701585</t>
  </si>
  <si>
    <t>ocm70701585</t>
  </si>
  <si>
    <t>3102587219J</t>
  </si>
  <si>
    <t>9780142004715</t>
  </si>
  <si>
    <t>794157955</t>
  </si>
  <si>
    <t>PQ4863 A3894 G3513 2015</t>
  </si>
  <si>
    <t>0                      PQ 4863000A  3894               G  3513        2015</t>
  </si>
  <si>
    <t>Game of mirrors / Andrea Camilleri ; translated by Stephen Sartarelli.</t>
  </si>
  <si>
    <t>New York City : Penguin Books, 2015.</t>
  </si>
  <si>
    <t>Inspector Montalbano mystery</t>
  </si>
  <si>
    <t>2867551614:eng</t>
  </si>
  <si>
    <t>881869832</t>
  </si>
  <si>
    <t>ocn881869832</t>
  </si>
  <si>
    <t>3103583989U</t>
  </si>
  <si>
    <t>9780143123774</t>
  </si>
  <si>
    <t>794974952</t>
  </si>
  <si>
    <t>PQ4863 A3894 G358 2011</t>
  </si>
  <si>
    <t>0                      PQ 4863000A  3894               G  358         2011</t>
  </si>
  <si>
    <t>Il gioco degli specchi / Andrea Camilleri.</t>
  </si>
  <si>
    <t>La memoria ; 858</t>
  </si>
  <si>
    <t>2867551614:ita</t>
  </si>
  <si>
    <t>733222486</t>
  </si>
  <si>
    <t>ocn733222486</t>
  </si>
  <si>
    <t>3103125431R</t>
  </si>
  <si>
    <t>9788838925634</t>
  </si>
  <si>
    <t>794881717</t>
  </si>
  <si>
    <t>PQ4863 A3894 G36813 2006</t>
  </si>
  <si>
    <t>0                      PQ 4863000A  3894               G  36813       2006</t>
  </si>
  <si>
    <t>Rounding the mark / Andrea Camilleri ; translated by Stephen Sartarelli.</t>
  </si>
  <si>
    <t>New York : Penguin Books, 2006.</t>
  </si>
  <si>
    <t>57677671:eng</t>
  </si>
  <si>
    <t>70294723</t>
  </si>
  <si>
    <t>ocm70294723</t>
  </si>
  <si>
    <t>3102585315O</t>
  </si>
  <si>
    <t>9780143037484</t>
  </si>
  <si>
    <t>794152678</t>
  </si>
  <si>
    <t>PQ4863 A3894 G3713 2005</t>
  </si>
  <si>
    <t>0                      PQ 4863000A  3894               G  3713        2005</t>
  </si>
  <si>
    <t>Excursion to Tindari / Andrea Camilleri ; translated by Stephen Sartarelli.</t>
  </si>
  <si>
    <t>New York : Penguin Books, 2005.</t>
  </si>
  <si>
    <t>An Inspector Montalbano mystery ; 5</t>
  </si>
  <si>
    <t>2791537466:eng</t>
  </si>
  <si>
    <t>55644905</t>
  </si>
  <si>
    <t>ocm55644905</t>
  </si>
  <si>
    <t>3102587224H</t>
  </si>
  <si>
    <t>9780143034605</t>
  </si>
  <si>
    <t>793880090</t>
  </si>
  <si>
    <t>PQ4863 A3894 G73 2011</t>
  </si>
  <si>
    <t>0                      PQ 4863000A  3894               G  73          2011</t>
  </si>
  <si>
    <t>Gran circo Taddei e altre storie di Vigàta / Andrea Camilleri.</t>
  </si>
  <si>
    <t>La memoria ; 845</t>
  </si>
  <si>
    <t>894524149:ita</t>
  </si>
  <si>
    <t>719413274</t>
  </si>
  <si>
    <t>ocn719413274</t>
  </si>
  <si>
    <t>3103125391I</t>
  </si>
  <si>
    <t>9788838925467</t>
  </si>
  <si>
    <t>794874400</t>
  </si>
  <si>
    <t>PQ4863 A3894 I66 2010</t>
  </si>
  <si>
    <t>0                      PQ 4863000A  3894               I  66          2010</t>
  </si>
  <si>
    <t>L'intermittenza : romanzo / Andrea Camilleri.</t>
  </si>
  <si>
    <t>Milano : Mondadori, 2010.</t>
  </si>
  <si>
    <t>Collezione Scrittori italiani e stranieri</t>
  </si>
  <si>
    <t>2016-06-07</t>
  </si>
  <si>
    <t>796658731:ita</t>
  </si>
  <si>
    <t>667883146</t>
  </si>
  <si>
    <t>ocn667883146</t>
  </si>
  <si>
    <t>3103125161U</t>
  </si>
  <si>
    <t>9788804598428</t>
  </si>
  <si>
    <t>794845771</t>
  </si>
  <si>
    <t>PQ4863 A3894 L3313 2004</t>
  </si>
  <si>
    <t>0                      PQ 4863000A  3894               L  3313        2004</t>
  </si>
  <si>
    <t>The snack thief / Andrea Camilleri ; translated by Stephen Sartarelli.</t>
  </si>
  <si>
    <t>New York : Penguin, 2005.</t>
  </si>
  <si>
    <t>Camilleri, Andrea. Inspector Montalbano mystery 03</t>
  </si>
  <si>
    <t>2017-06-02</t>
  </si>
  <si>
    <t>658916:eng</t>
  </si>
  <si>
    <t>65469394</t>
  </si>
  <si>
    <t>ocm65469394</t>
  </si>
  <si>
    <t>3102587204L</t>
  </si>
  <si>
    <t>9780142004739</t>
  </si>
  <si>
    <t>794134789</t>
  </si>
  <si>
    <t>PQ4863 A3894 L36 2012</t>
  </si>
  <si>
    <t>0                      PQ 4863000A  3894               L  36          2012</t>
  </si>
  <si>
    <t>Una lama di luce / Andrea Camilleri.</t>
  </si>
  <si>
    <t>Palermo : Sellerio, 2012.</t>
  </si>
  <si>
    <t>La memoria ; 893</t>
  </si>
  <si>
    <t>1119998726:ita</t>
  </si>
  <si>
    <t>795622875</t>
  </si>
  <si>
    <t>ocn795622875</t>
  </si>
  <si>
    <t>3103125845D</t>
  </si>
  <si>
    <t>9788838927058</t>
  </si>
  <si>
    <t>794921410</t>
  </si>
  <si>
    <t>PQ4863 A3894 L3613 2015</t>
  </si>
  <si>
    <t>0                      PQ 4863000A  3894               L  3613        2015</t>
  </si>
  <si>
    <t>A beam of light / Andrea Camilleri ; translated by Stephen Sartarelli.</t>
  </si>
  <si>
    <t>New York, New York : Penguin Books, [2015]</t>
  </si>
  <si>
    <t>2015-10-26</t>
  </si>
  <si>
    <t>1119998726:eng</t>
  </si>
  <si>
    <t>900623552</t>
  </si>
  <si>
    <t>ocn900623552</t>
  </si>
  <si>
    <t>3103584026S</t>
  </si>
  <si>
    <t>9780143126430</t>
  </si>
  <si>
    <t>794987733</t>
  </si>
  <si>
    <t>PQ4863 A3894 L8613 2008</t>
  </si>
  <si>
    <t>0                      PQ 4863000A  3894               L  8613        2008</t>
  </si>
  <si>
    <t>The paper moon / Andrea Camilleri ; translated by Stephen Sartarelli.</t>
  </si>
  <si>
    <t>London : Penguin Books, ©2008.</t>
  </si>
  <si>
    <t>112906163:eng</t>
  </si>
  <si>
    <t>166382351</t>
  </si>
  <si>
    <t>ocn166382351</t>
  </si>
  <si>
    <t>31028823894</t>
  </si>
  <si>
    <t>9780143113003</t>
  </si>
  <si>
    <t>794261027</t>
  </si>
  <si>
    <t>PQ4863 A3894 M658 2010</t>
  </si>
  <si>
    <t>0                      PQ 4863000A  3894               M  658         2010</t>
  </si>
  <si>
    <t>La moneta di Akragas / Andrea Camilleri.</t>
  </si>
  <si>
    <t>Milano : Skira, 2010.</t>
  </si>
  <si>
    <t>786799126:ita</t>
  </si>
  <si>
    <t>701795880</t>
  </si>
  <si>
    <t>ocn701795880</t>
  </si>
  <si>
    <t>3103125284N</t>
  </si>
  <si>
    <t>9788857207414</t>
  </si>
  <si>
    <t>794863421</t>
  </si>
  <si>
    <t>PQ4863 A3894 N57 2010</t>
  </si>
  <si>
    <t>0                      PQ 4863000A  3894               N  57          2010</t>
  </si>
  <si>
    <t>Il nipote del Negus / Andrea Camilleri.</t>
  </si>
  <si>
    <t>La memoria ; 810</t>
  </si>
  <si>
    <t>476773172:ita</t>
  </si>
  <si>
    <t>609529521</t>
  </si>
  <si>
    <t>ocn609529521</t>
  </si>
  <si>
    <t>3103125059Z</t>
  </si>
  <si>
    <t>9788838924538</t>
  </si>
  <si>
    <t>794820002</t>
  </si>
  <si>
    <t>PQ4863 A3894 N65 2016</t>
  </si>
  <si>
    <t>0                      PQ 4863000A  3894               N  65          2016</t>
  </si>
  <si>
    <t>Noli me tangere : romanzo / Andrea Camilleri.</t>
  </si>
  <si>
    <t>Milano : Mondadori, gennaio 2016.</t>
  </si>
  <si>
    <t>2921729069:ita</t>
  </si>
  <si>
    <t>939396084</t>
  </si>
  <si>
    <t>ocn939396084</t>
  </si>
  <si>
    <t>3103663030C</t>
  </si>
  <si>
    <t>9788804661870</t>
  </si>
  <si>
    <t>795011606</t>
  </si>
  <si>
    <t>PQ4863 A3894 O36 2001</t>
  </si>
  <si>
    <t>0                      PQ 4863000A  3894               O  36          2001</t>
  </si>
  <si>
    <t>L'odore della notte / Andrea Camilleri.</t>
  </si>
  <si>
    <t>Palermo : Sellerio, 2001.</t>
  </si>
  <si>
    <t>La memoria ; 507</t>
  </si>
  <si>
    <t>9489891583:ita</t>
  </si>
  <si>
    <t>47677168</t>
  </si>
  <si>
    <t>ocm47677168</t>
  </si>
  <si>
    <t>31026578640</t>
  </si>
  <si>
    <t>9788838917295</t>
  </si>
  <si>
    <t>793705130</t>
  </si>
  <si>
    <t>PQ4863 A3894 O3613 2005</t>
  </si>
  <si>
    <t>0                      PQ 4863000A  3894               O  3613        2005</t>
  </si>
  <si>
    <t>The smell of the night / Andrea Camilleri ; translated by Stephen Sartarelli.</t>
  </si>
  <si>
    <t>Inspector Montalbano ; 6</t>
  </si>
  <si>
    <t>4160941862:eng</t>
  </si>
  <si>
    <t>60349163</t>
  </si>
  <si>
    <t>ocm60349163</t>
  </si>
  <si>
    <t>3102587223H</t>
  </si>
  <si>
    <t>9780143036203</t>
  </si>
  <si>
    <t>793935787</t>
  </si>
  <si>
    <t>PQ4863 A3894 P39 2004</t>
  </si>
  <si>
    <t>0                      PQ 4863000A  3894               P  39          2004</t>
  </si>
  <si>
    <t>La pazienza del ragno / Andrea Camilleri.</t>
  </si>
  <si>
    <t>La memoria ; 623</t>
  </si>
  <si>
    <t>2829851517:ita</t>
  </si>
  <si>
    <t>56702002</t>
  </si>
  <si>
    <t>ocm56702002</t>
  </si>
  <si>
    <t>31026578592</t>
  </si>
  <si>
    <t>9788838919985</t>
  </si>
  <si>
    <t>793899465</t>
  </si>
  <si>
    <t>PQ4863 A3894 P3913 2008</t>
  </si>
  <si>
    <t>0                      PQ 4863000A  3894               P  3913        2008</t>
  </si>
  <si>
    <t>The patience of the spider / Andrea Camilleri ; translated by Stephen Sartarelli.</t>
  </si>
  <si>
    <t>London : Picador, 2008.</t>
  </si>
  <si>
    <t>58353721:eng</t>
  </si>
  <si>
    <t>173238754</t>
  </si>
  <si>
    <t>ocn173238754</t>
  </si>
  <si>
    <t>3103423309Q</t>
  </si>
  <si>
    <t>9780330442237</t>
  </si>
  <si>
    <t>794265703</t>
  </si>
  <si>
    <t>PQ4863 A3894 P5713 2010</t>
  </si>
  <si>
    <t>0                      PQ 4863000A  3894               P  5713        2010</t>
  </si>
  <si>
    <t>The track of sand / Andrea Camilleri ; translated by Stephen Sartarelli.</t>
  </si>
  <si>
    <t>New York : Penguin Books, 2010.</t>
  </si>
  <si>
    <t>553538069:eng</t>
  </si>
  <si>
    <t>515456099</t>
  </si>
  <si>
    <t>ocn515456099</t>
  </si>
  <si>
    <t>3103237083A</t>
  </si>
  <si>
    <t>9780143117933</t>
  </si>
  <si>
    <t>794808132</t>
  </si>
  <si>
    <t>PQ4863 A3894 P755 2004</t>
  </si>
  <si>
    <t>0                      PQ 4863000A  3894               P  755         2004</t>
  </si>
  <si>
    <t>La prima indagine di Montalbano / Andrea Camilleri.</t>
  </si>
  <si>
    <t>Milano : Mondadori, 2004.</t>
  </si>
  <si>
    <t>2019-01-31</t>
  </si>
  <si>
    <t>354249969:ita</t>
  </si>
  <si>
    <t>55070442</t>
  </si>
  <si>
    <t>ocm55070442</t>
  </si>
  <si>
    <t>3102389262D</t>
  </si>
  <si>
    <t>9788804529835</t>
  </si>
  <si>
    <t>793873829</t>
  </si>
  <si>
    <t>PQ4863 A3894 R44 2012</t>
  </si>
  <si>
    <t>0                      PQ 4863000A  3894               R  44          2012</t>
  </si>
  <si>
    <t>La Regina di Pomerania : e altre storie di Vigàta / Andrea Camilleri.</t>
  </si>
  <si>
    <t>La memoria ; 882</t>
  </si>
  <si>
    <t>1090904703:ita</t>
  </si>
  <si>
    <t>781610035</t>
  </si>
  <si>
    <t>ocn781610035</t>
  </si>
  <si>
    <t>3103125755E</t>
  </si>
  <si>
    <t>9788838926419</t>
  </si>
  <si>
    <t>794912921</t>
  </si>
  <si>
    <t>PQ4863 A3894 R444 2014</t>
  </si>
  <si>
    <t>0                      PQ 4863000A  3894               R  444         2014</t>
  </si>
  <si>
    <t>La relazione / Andrea Camilleri.</t>
  </si>
  <si>
    <t>Milano : Mondadori, 2014.</t>
  </si>
  <si>
    <t>2301768872:ita</t>
  </si>
  <si>
    <t>903204652</t>
  </si>
  <si>
    <t>ocn903204652</t>
  </si>
  <si>
    <t>31036213786</t>
  </si>
  <si>
    <t>9788804649540</t>
  </si>
  <si>
    <t>794988855</t>
  </si>
  <si>
    <t>PQ4863 A3894 R458 2013</t>
  </si>
  <si>
    <t>0                      PQ 4863000A  3894               R  458         2013</t>
  </si>
  <si>
    <t>La rivoluzione della luna / Andrea Camilleri.</t>
  </si>
  <si>
    <t>Palermo : Sellerio Editore, [2013]</t>
  </si>
  <si>
    <t>La memoria ; 919</t>
  </si>
  <si>
    <t>4141323399:ita</t>
  </si>
  <si>
    <t>828409776</t>
  </si>
  <si>
    <t>ocn828409776</t>
  </si>
  <si>
    <t>3103126156S</t>
  </si>
  <si>
    <t>9788838930140</t>
  </si>
  <si>
    <t>794941090</t>
  </si>
  <si>
    <t>PQ4863 A3894 R4813 2017</t>
  </si>
  <si>
    <t>0                      PQ 4863000A  3894               R  4813        2017</t>
  </si>
  <si>
    <t>The revolution of the moon / Andrea Camilleri ; translated by Stephen Sartarelli.</t>
  </si>
  <si>
    <t>New York, NY : Europa Editions, 2017.</t>
  </si>
  <si>
    <t>4141323399:eng</t>
  </si>
  <si>
    <t>981760471</t>
  </si>
  <si>
    <t>ocn981760471</t>
  </si>
  <si>
    <t>3103671447K</t>
  </si>
  <si>
    <t>9781609453916</t>
  </si>
  <si>
    <t>795034039</t>
  </si>
  <si>
    <t>PQ4863 A3894 R59 2009</t>
  </si>
  <si>
    <t>0                      PQ 4863000A  3894               R  59          2009</t>
  </si>
  <si>
    <t>La rizzagliata / Andrea Camilleri.</t>
  </si>
  <si>
    <t>La memoria ; 795</t>
  </si>
  <si>
    <t>2908918037:ita</t>
  </si>
  <si>
    <t>464742422</t>
  </si>
  <si>
    <t>ocn464742422</t>
  </si>
  <si>
    <t>3103124938G</t>
  </si>
  <si>
    <t>9788838924361</t>
  </si>
  <si>
    <t>794793490</t>
  </si>
  <si>
    <t>PQ4863 A3894 S23 2009</t>
  </si>
  <si>
    <t>0                      PQ 4863000A  3894               S  23          2009</t>
  </si>
  <si>
    <t>Un sabato, con gli amici : romanzo / Andrea Camilleri.</t>
  </si>
  <si>
    <t>Milano : Mondadori, 2009.</t>
  </si>
  <si>
    <t>364289038:ita</t>
  </si>
  <si>
    <t>301754224</t>
  </si>
  <si>
    <t>ocn301754224</t>
  </si>
  <si>
    <t>3103104466Z</t>
  </si>
  <si>
    <t>9788804586135</t>
  </si>
  <si>
    <t>794432799</t>
  </si>
  <si>
    <t>PQ4863 A3894 S48 2011</t>
  </si>
  <si>
    <t>0                      PQ 4863000A  3894               S  48          2011</t>
  </si>
  <si>
    <t>La setta degli angeli / Andrea Camilleri.</t>
  </si>
  <si>
    <t>La memoria ; 870</t>
  </si>
  <si>
    <t>9068325442:ita</t>
  </si>
  <si>
    <t>759505774</t>
  </si>
  <si>
    <t>ocn759505774</t>
  </si>
  <si>
    <t>3103125595C</t>
  </si>
  <si>
    <t>9788838925894</t>
  </si>
  <si>
    <t>794897452</t>
  </si>
  <si>
    <t>PQ4863 A3894 S67 2010</t>
  </si>
  <si>
    <t>0                      PQ 4863000A  3894               S  67          2010</t>
  </si>
  <si>
    <t>Il sorriso di Angelica / Andrea Camilleri.</t>
  </si>
  <si>
    <t>La memoria ; 833</t>
  </si>
  <si>
    <t>2012-04-07</t>
  </si>
  <si>
    <t>1411431047:ita</t>
  </si>
  <si>
    <t>679933826</t>
  </si>
  <si>
    <t>ocn679933826</t>
  </si>
  <si>
    <t>3103125225Z</t>
  </si>
  <si>
    <t>9788838925283</t>
  </si>
  <si>
    <t>794850848</t>
  </si>
  <si>
    <t>PQ4863 A3894 S7613 2014</t>
  </si>
  <si>
    <t>0                      PQ 4863000A  3894               S  7613        2014</t>
  </si>
  <si>
    <t>The story of the nose / Andrea Camilleri ; illustrated by Maja Celija ; translated by Stephen Sartarelli.</t>
  </si>
  <si>
    <t>9637859693:eng</t>
  </si>
  <si>
    <t>882983532</t>
  </si>
  <si>
    <t>ocn882983532</t>
  </si>
  <si>
    <t>31035654938</t>
  </si>
  <si>
    <t>9781782690177</t>
  </si>
  <si>
    <t>794975332</t>
  </si>
  <si>
    <t>PQ4863 A3894 T88 2013</t>
  </si>
  <si>
    <t>0                      PQ 4863000A  3894               T  88          2013</t>
  </si>
  <si>
    <t>Il tuttomio : romanzo / Andrea Camilleri.</t>
  </si>
  <si>
    <t>2068720224:ita</t>
  </si>
  <si>
    <t>826639324</t>
  </si>
  <si>
    <t>ocn826639324</t>
  </si>
  <si>
    <t>3103126088P</t>
  </si>
  <si>
    <t>9788804624554</t>
  </si>
  <si>
    <t>794939223</t>
  </si>
  <si>
    <t>PQ4863 A3894 V3613 2009</t>
  </si>
  <si>
    <t>0                      PQ 4863000A  3894               V  3613        2009</t>
  </si>
  <si>
    <t>August heat / Andrea Camilleri ; translated by Stephen Sartarelli.</t>
  </si>
  <si>
    <t>New York : Penguin Books, ©2009.</t>
  </si>
  <si>
    <t>119841664:eng</t>
  </si>
  <si>
    <t>191929160</t>
  </si>
  <si>
    <t>ocn191929160</t>
  </si>
  <si>
    <t>3103629363G</t>
  </si>
  <si>
    <t>9780143114055</t>
  </si>
  <si>
    <t>794302373</t>
  </si>
  <si>
    <t>PQ4863 A3894 V53 2015</t>
  </si>
  <si>
    <t>0                      PQ 4863000A  3894               V  53          2015</t>
  </si>
  <si>
    <t>Le vichinghe volanti : e altre storie d'amore a Vigàta / Andrea Camilleri.</t>
  </si>
  <si>
    <t>La memoria ; 1012</t>
  </si>
  <si>
    <t>2793117909:ita</t>
  </si>
  <si>
    <t>930605385</t>
  </si>
  <si>
    <t>ocn930605385</t>
  </si>
  <si>
    <t>31036233752</t>
  </si>
  <si>
    <t>9788838934179</t>
  </si>
  <si>
    <t>795007154</t>
  </si>
  <si>
    <t>PQ4863 A3894 V58 2012</t>
  </si>
  <si>
    <t>0                      PQ 4863000A  3894               V  58          2012</t>
  </si>
  <si>
    <t>Una voce di notte / Andrea Camilleri.</t>
  </si>
  <si>
    <t>Palermo : Sellerio editore, [2012]</t>
  </si>
  <si>
    <t>La memoria ; 904</t>
  </si>
  <si>
    <t>4163933813:ita</t>
  </si>
  <si>
    <t>805054034</t>
  </si>
  <si>
    <t>ocn805054034</t>
  </si>
  <si>
    <t>31031259930</t>
  </si>
  <si>
    <t>9788838927621</t>
  </si>
  <si>
    <t>794926169</t>
  </si>
  <si>
    <t>PQ4863 A3894 V6313 2004</t>
  </si>
  <si>
    <t>0                      PQ 4863000A  3894               V  6313        2004</t>
  </si>
  <si>
    <t>Voice of the violin / Andrea Camilleri ; translated by Stephen Sartarelli.</t>
  </si>
  <si>
    <t>1151831227:eng</t>
  </si>
  <si>
    <t>55879964</t>
  </si>
  <si>
    <t>ocm55879964</t>
  </si>
  <si>
    <t>3103584015U</t>
  </si>
  <si>
    <t>9780142004456</t>
  </si>
  <si>
    <t>793883550</t>
  </si>
  <si>
    <t>PQ4863 A3894 V6413 2016</t>
  </si>
  <si>
    <t>0                      PQ 4863000A  3894               V  6413        2016</t>
  </si>
  <si>
    <t>A voice in the night / Andrea Camilleri ; translated by Stephen Sartarelli.</t>
  </si>
  <si>
    <t>4163933813:eng</t>
  </si>
  <si>
    <t>944380200</t>
  </si>
  <si>
    <t>ocn944380200</t>
  </si>
  <si>
    <t>3103671560O</t>
  </si>
  <si>
    <t>9780143126447</t>
  </si>
  <si>
    <t>795012938</t>
  </si>
  <si>
    <t>PQ4863 A3894 Z46 2013</t>
  </si>
  <si>
    <t>0                      PQ 4863000A  3894               Z  46          2013</t>
  </si>
  <si>
    <t>Camilleri e l'Irlanda = Camilleri and Ireland = Camilleri agus Éire / edited by Eric Haywood.</t>
  </si>
  <si>
    <t>Camilleri, Andrea, author, interviewee.</t>
  </si>
  <si>
    <t>Dublin : UCD Foundation for Italian Studies, 2013.</t>
  </si>
  <si>
    <t>1365789776:eng</t>
  </si>
  <si>
    <t>855195957</t>
  </si>
  <si>
    <t>ocn855195957</t>
  </si>
  <si>
    <t>3103531936$</t>
  </si>
  <si>
    <t>9781905254712</t>
  </si>
  <si>
    <t>794953107</t>
  </si>
  <si>
    <t>PQ4863 A3894 Z462 2012</t>
  </si>
  <si>
    <t>0                      PQ 4863000A  3894               Z  462         2012</t>
  </si>
  <si>
    <t>Una birra al Caffè Vigàta / Andrea Camilleri ; conversazione con Lorenzo Rosso.</t>
  </si>
  <si>
    <t>Reggio Emilia : Imprimatur, 2012.</t>
  </si>
  <si>
    <t>1184785756:ita</t>
  </si>
  <si>
    <t>820120674</t>
  </si>
  <si>
    <t>ocn820120674</t>
  </si>
  <si>
    <t>3103126076R</t>
  </si>
  <si>
    <t>9788897949299</t>
  </si>
  <si>
    <t>794935064</t>
  </si>
  <si>
    <t>PQ4863 A3894 Z6246 2012</t>
  </si>
  <si>
    <t>0                      PQ 4863000A  3894               Z  6246        2012</t>
  </si>
  <si>
    <t>L'alzata d'ingegno : analisi sociolinguistica dei romanzi di Andrea Camilleri / Mariantonia Cerrato.</t>
  </si>
  <si>
    <t>Cerrato, Mariantonia.</t>
  </si>
  <si>
    <t>Strumenti di linguistica italiana ; 6</t>
  </si>
  <si>
    <t>1173798585:ita</t>
  </si>
  <si>
    <t>813927221</t>
  </si>
  <si>
    <t>ocn813927221</t>
  </si>
  <si>
    <t>3103125935C</t>
  </si>
  <si>
    <t>9788876674419</t>
  </si>
  <si>
    <t>794931932</t>
  </si>
  <si>
    <t>PQ4863 A3894 Z66 2015</t>
  </si>
  <si>
    <t>0                      PQ 4863000A  3894               Z  66          2015</t>
  </si>
  <si>
    <t>Gran teatro Camilleri / Bancheri, Benvenuti, De Luna, De Mauro, Ferlita, Giovannetti, Jossa, Lo Piparo, Lupo, Morreale, Nigro, Novelli, Paccagnini, Palumbo, Salis, Scarpa, Spinazzola ; a cura di Salvatore Silvano Nigro.</t>
  </si>
  <si>
    <t>La diagonale ; 135</t>
  </si>
  <si>
    <t>2760467756:ita</t>
  </si>
  <si>
    <t>910505671</t>
  </si>
  <si>
    <t>ocn910505671</t>
  </si>
  <si>
    <t>3103624982D</t>
  </si>
  <si>
    <t>9788838933851</t>
  </si>
  <si>
    <t>794996215</t>
  </si>
  <si>
    <t>PQ4863 A3894 Z86 2012</t>
  </si>
  <si>
    <t>0                      PQ 4863000A  3894               Z  86          2012</t>
  </si>
  <si>
    <t>Camilleri tra Montalbano e Patò : indagine sui romanzi storici e polizieschi / Antonella Santoro.</t>
  </si>
  <si>
    <t>Santoro, Antonella.</t>
  </si>
  <si>
    <t>Napoli : Guida, 2012.</t>
  </si>
  <si>
    <t>Il cannocchiale rovesciato / Università degli studi di Salerno ; 1</t>
  </si>
  <si>
    <t>1144055254:ita</t>
  </si>
  <si>
    <t>788214478</t>
  </si>
  <si>
    <t>ocn788214478</t>
  </si>
  <si>
    <t>3103125820H</t>
  </si>
  <si>
    <t>9788860429315</t>
  </si>
  <si>
    <t>794916186</t>
  </si>
  <si>
    <t>PQ4863 A3894 Z87 2010</t>
  </si>
  <si>
    <t>0                      PQ 4863000A  3894               Z  87          2010</t>
  </si>
  <si>
    <t>Montalbano linguista : la riflessione / Francesca Santulli.</t>
  </si>
  <si>
    <t>Santulli, F. (Francesca)</t>
  </si>
  <si>
    <t>Milano : Arcipelago, 2010.</t>
  </si>
  <si>
    <t>Quaderni di scienze del linguaggio / Università IULM, Libera Università di lingue e comunicazione ; 30</t>
  </si>
  <si>
    <t>8961169476:ita</t>
  </si>
  <si>
    <t>749781335</t>
  </si>
  <si>
    <t>ocn749781335</t>
  </si>
  <si>
    <t>3103125535O</t>
  </si>
  <si>
    <t>9788876954467</t>
  </si>
  <si>
    <t>794889849</t>
  </si>
  <si>
    <t>PQ4863 A392 M53 2011</t>
  </si>
  <si>
    <t>0                      PQ 4863000A  392                M  53          2011</t>
  </si>
  <si>
    <t>La mia stirpe / Ferdinando Camon.</t>
  </si>
  <si>
    <t>Milano : Garzanti, ©2011.</t>
  </si>
  <si>
    <t>894524265:ita</t>
  </si>
  <si>
    <t>719413418</t>
  </si>
  <si>
    <t>ocn719413418</t>
  </si>
  <si>
    <t>3103125419V</t>
  </si>
  <si>
    <t>9788811670384</t>
  </si>
  <si>
    <t>794874404</t>
  </si>
  <si>
    <t>PQ4863 A39527 D54 2016</t>
  </si>
  <si>
    <t>0                      PQ 4863000A  39527              D  54          2016</t>
  </si>
  <si>
    <t>Difficoltà per le ragazze / Rossana Campo.</t>
  </si>
  <si>
    <t>Campo, Rossana, 1963- author.</t>
  </si>
  <si>
    <t>Roma : Giulio Perrone editore, settembre 2016.</t>
  </si>
  <si>
    <t>Racconti d'autore</t>
  </si>
  <si>
    <t>4126887367:ita</t>
  </si>
  <si>
    <t>976020620</t>
  </si>
  <si>
    <t>ocn976020620</t>
  </si>
  <si>
    <t>3103720958N</t>
  </si>
  <si>
    <t>9788860044327</t>
  </si>
  <si>
    <t>795030289</t>
  </si>
  <si>
    <t>PQ4863 A3976 M57 2012</t>
  </si>
  <si>
    <t>0                      PQ 4863000A  3976               M  57          2012</t>
  </si>
  <si>
    <t>Il mister / Manlio Cancogni.</t>
  </si>
  <si>
    <t>Cancogni, Manlio, 1916-</t>
  </si>
  <si>
    <t>Milano : Mursia, [2012]</t>
  </si>
  <si>
    <t>Scritture</t>
  </si>
  <si>
    <t>5092118727:ita</t>
  </si>
  <si>
    <t>816040874</t>
  </si>
  <si>
    <t>ocn816040874</t>
  </si>
  <si>
    <t>31031259980</t>
  </si>
  <si>
    <t>9788842551010</t>
  </si>
  <si>
    <t>794932931</t>
  </si>
  <si>
    <t>PQ4863 A3976 T73 2015</t>
  </si>
  <si>
    <t>0                      PQ 4863000A  3976               T  73          2015</t>
  </si>
  <si>
    <t>Il trasferimento / Manlio Cancogni ; nota al testo di Simone Caltabellota.</t>
  </si>
  <si>
    <t>Cancogni, Manlio, 1916- author.</t>
  </si>
  <si>
    <t>Roma : Elliot, 2015.</t>
  </si>
  <si>
    <t>Scatti</t>
  </si>
  <si>
    <t>2823138468:ita</t>
  </si>
  <si>
    <t>926733478</t>
  </si>
  <si>
    <t>ocn926733478</t>
  </si>
  <si>
    <t>3103623067D</t>
  </si>
  <si>
    <t>9788869930058</t>
  </si>
  <si>
    <t>795005484</t>
  </si>
  <si>
    <t>PQ4863 A3976 Z46 2012</t>
  </si>
  <si>
    <t>0                      PQ 4863000A  3976               Z  46          2012</t>
  </si>
  <si>
    <t>Toro delle meraviglie / Manlio Cancogni ; tavole di Mario Francesconi.</t>
  </si>
  <si>
    <t>Milano : Cairo, 2012.</t>
  </si>
  <si>
    <t>1118127622:ita</t>
  </si>
  <si>
    <t>794703403</t>
  </si>
  <si>
    <t>ocn794703403</t>
  </si>
  <si>
    <t>3103125813J</t>
  </si>
  <si>
    <t>9788860524263</t>
  </si>
  <si>
    <t>794920312</t>
  </si>
  <si>
    <t>PQ4863.A4 C84 2011</t>
  </si>
  <si>
    <t>0                      PQ 4863000A  4                  C  84          2011</t>
  </si>
  <si>
    <t>La cugina di Londra / Manlio Cancogni.</t>
  </si>
  <si>
    <t>Roma : Elliot, 2011.</t>
  </si>
  <si>
    <t>Raggi</t>
  </si>
  <si>
    <t>2019-08-05</t>
  </si>
  <si>
    <t>1074132403:ita</t>
  </si>
  <si>
    <t>773016589</t>
  </si>
  <si>
    <t>ocn773016589</t>
  </si>
  <si>
    <t>3103125633L</t>
  </si>
  <si>
    <t>9788861922488</t>
  </si>
  <si>
    <t>794905146</t>
  </si>
  <si>
    <t>PQ4863 A4 P35</t>
  </si>
  <si>
    <t>0                      PQ 4863000A  4                  P  35</t>
  </si>
  <si>
    <t>Una parigina.</t>
  </si>
  <si>
    <t>Milano, Feltrinelli [1960]</t>
  </si>
  <si>
    <t>Biblioteca di letteratura. I contemporanei, 18</t>
  </si>
  <si>
    <t>365709650:ita</t>
  </si>
  <si>
    <t>10826888</t>
  </si>
  <si>
    <t>ocm10826888</t>
  </si>
  <si>
    <t>3000774307B</t>
  </si>
  <si>
    <t>792745584</t>
  </si>
  <si>
    <t>PQ4863 A4 Z763 2016</t>
  </si>
  <si>
    <t>0                      PQ 4863000A  4                  Z  763         2016</t>
  </si>
  <si>
    <t>Molte vite e parole : variazioni su Manlio Cancogni / a cura del Circolo Fratelli Rosselli di Pietrasanta.</t>
  </si>
  <si>
    <t>Molte vite e parole, dialoghi sull'opera di Manlio Cancogni (Conference) (2016 : Pietrasanta, Italy)</t>
  </si>
  <si>
    <t>Pisa : Fabrizio Serra editore, MMXVII.</t>
  </si>
  <si>
    <t>Quaderni di "Letteratura &amp; arte" ; 2</t>
  </si>
  <si>
    <t>4771492128:ita</t>
  </si>
  <si>
    <t>1023631130</t>
  </si>
  <si>
    <t>on1023631130</t>
  </si>
  <si>
    <t>31037212011</t>
  </si>
  <si>
    <t>9788862279970</t>
  </si>
  <si>
    <t>795051905</t>
  </si>
  <si>
    <t>PQ4863 A545 T74 2013</t>
  </si>
  <si>
    <t>0                      PQ 4863000A  545                T  74          2013</t>
  </si>
  <si>
    <t>Tre anni luce / Andrea Canobbio.</t>
  </si>
  <si>
    <t>Canobbio, Andrea, 1962-</t>
  </si>
  <si>
    <t>Milano : Feltrinelli, 2013.</t>
  </si>
  <si>
    <t>1204329257:ita</t>
  </si>
  <si>
    <t>827227845</t>
  </si>
  <si>
    <t>ocn827227845</t>
  </si>
  <si>
    <t>3103126463H</t>
  </si>
  <si>
    <t>9788807019333</t>
  </si>
  <si>
    <t>794939821</t>
  </si>
  <si>
    <t>PQ4863 A545 T7413 2014</t>
  </si>
  <si>
    <t>0                      PQ 4863000A  545                T  7413        2014</t>
  </si>
  <si>
    <t>Three light-years : [a novel] / Andrea Canobbio ; Translated from the Italian by Anne Milano Appel.</t>
  </si>
  <si>
    <t>New York : Farrar, Straus and Giroux, 2014.</t>
  </si>
  <si>
    <t>1204329257:eng</t>
  </si>
  <si>
    <t>858731097</t>
  </si>
  <si>
    <t>ocn858731097</t>
  </si>
  <si>
    <t>31035667513</t>
  </si>
  <si>
    <t>9780374278908</t>
  </si>
  <si>
    <t>794956534</t>
  </si>
  <si>
    <t>PQ4863.A6635 C35 2012</t>
  </si>
  <si>
    <t>0                      PQ 4863000A  6635               C  35          2012</t>
  </si>
  <si>
    <t>Caino / Paola Capriolo.</t>
  </si>
  <si>
    <t>Capriolo, Paola.</t>
  </si>
  <si>
    <t>Milano : Romanzo Bompiani, 2012.</t>
  </si>
  <si>
    <t>Narratori italiani</t>
  </si>
  <si>
    <t>3944893599:ita</t>
  </si>
  <si>
    <t>779553549</t>
  </si>
  <si>
    <t>ocn779553549</t>
  </si>
  <si>
    <t>3103125753E</t>
  </si>
  <si>
    <t>9788845269400</t>
  </si>
  <si>
    <t>794911062</t>
  </si>
  <si>
    <t>PQ4863 A6635 M52 2015</t>
  </si>
  <si>
    <t>0                      PQ 4863000A  6635               M  52          2015</t>
  </si>
  <si>
    <t>Mi ricordo / Paola Capriolo.</t>
  </si>
  <si>
    <t>Capriolo, Paola, author.</t>
  </si>
  <si>
    <t>Firenze : Giunti, [2015]</t>
  </si>
  <si>
    <t>Italiana</t>
  </si>
  <si>
    <t>3902597344:ita</t>
  </si>
  <si>
    <t>905553116</t>
  </si>
  <si>
    <t>ocn905553116</t>
  </si>
  <si>
    <t>3103628099C</t>
  </si>
  <si>
    <t>9788809805644</t>
  </si>
  <si>
    <t>794991559</t>
  </si>
  <si>
    <t>PQ4863 A69375 I63 2013</t>
  </si>
  <si>
    <t>0                      PQ 4863000A  69375              I  63          2013</t>
  </si>
  <si>
    <t>Io non farò rumore / Lara Cardella.</t>
  </si>
  <si>
    <t>Cardella, Lara, 1969-</t>
  </si>
  <si>
    <t>Siena : Barbera Editore, 2013.</t>
  </si>
  <si>
    <t>Centocinquanta</t>
  </si>
  <si>
    <t>1366441963:ita</t>
  </si>
  <si>
    <t>828889169</t>
  </si>
  <si>
    <t>ocn828889169</t>
  </si>
  <si>
    <t>3103126110$</t>
  </si>
  <si>
    <t>9788878995703</t>
  </si>
  <si>
    <t>794941873</t>
  </si>
  <si>
    <t>PQ4863 A7198 A5513 2013</t>
  </si>
  <si>
    <t>0                      PQ 4863000A  7198               A  5513        2013</t>
  </si>
  <si>
    <t>At the end of a dull day / Massimo Carlotto ; translated from the Italian by Antony Shugaar.</t>
  </si>
  <si>
    <t>Carlotto, Massimo, 1956- author.</t>
  </si>
  <si>
    <t>New York : Europa Editions, 2013.</t>
  </si>
  <si>
    <t>World noir</t>
  </si>
  <si>
    <t>2017-01-10</t>
  </si>
  <si>
    <t>905315474:eng</t>
  </si>
  <si>
    <t>814455090</t>
  </si>
  <si>
    <t>ocn814455090</t>
  </si>
  <si>
    <t>31035288964</t>
  </si>
  <si>
    <t>9781609451141</t>
  </si>
  <si>
    <t>794932236</t>
  </si>
  <si>
    <t>PQ4863 A7198 A7713 2006</t>
  </si>
  <si>
    <t>0                      PQ 4863000A  7198               A  7713        2006</t>
  </si>
  <si>
    <t>The goodbye kiss / Massimo Carlotto ; translated from the Italian by Lawrence Venuti.</t>
  </si>
  <si>
    <t>New York, NY : Europa Editions, 2006.</t>
  </si>
  <si>
    <t>5966803:eng</t>
  </si>
  <si>
    <t>62774916</t>
  </si>
  <si>
    <t>ocm62774916</t>
  </si>
  <si>
    <t>3103502241T</t>
  </si>
  <si>
    <t>9781933372051</t>
  </si>
  <si>
    <t>794112512</t>
  </si>
  <si>
    <t>PQ4863 A82 G58 1997</t>
  </si>
  <si>
    <t>0                      PQ 4863000A  82                 G  58          1997</t>
  </si>
  <si>
    <t>I giubilanti / Giuseppe Cassieri.</t>
  </si>
  <si>
    <t>Cassieri, Giuseppe, 1926-</t>
  </si>
  <si>
    <t>Venezia : Marsilio, ©1997.</t>
  </si>
  <si>
    <t>Farfalle</t>
  </si>
  <si>
    <t>2019-08-04</t>
  </si>
  <si>
    <t>350499683:ita</t>
  </si>
  <si>
    <t>37206623</t>
  </si>
  <si>
    <t>ocm37206623</t>
  </si>
  <si>
    <t>31018782417</t>
  </si>
  <si>
    <t>9788831766449</t>
  </si>
  <si>
    <t>793493189</t>
  </si>
  <si>
    <t>PQ4863 A82 K82 1999</t>
  </si>
  <si>
    <t>0                      PQ 4863000A  82                 K  82          1999</t>
  </si>
  <si>
    <t>Kulturmarket 2 / Giuseppe Cassieri.</t>
  </si>
  <si>
    <t>Bari : Palomar, 1999.</t>
  </si>
  <si>
    <t>Margini ; 37</t>
  </si>
  <si>
    <t>2018-11-10</t>
  </si>
  <si>
    <t>111535493:ita</t>
  </si>
  <si>
    <t>428073519</t>
  </si>
  <si>
    <t>ocn428073519</t>
  </si>
  <si>
    <t>3102012979V</t>
  </si>
  <si>
    <t>9788887467086</t>
  </si>
  <si>
    <t>794764219</t>
  </si>
  <si>
    <t>PQ4863 A8894 A235 2013</t>
  </si>
  <si>
    <t>0                      PQ 4863000A  8894               A  235         2013</t>
  </si>
  <si>
    <t>My poems won't change the world : selected poems / Patrizia Cavalli ; [introduction, translation, and] edited by Gini Alhadeff.</t>
  </si>
  <si>
    <t>Cavalli, Patrizia, 1947-</t>
  </si>
  <si>
    <t>1781472405:eng</t>
  </si>
  <si>
    <t>827256988</t>
  </si>
  <si>
    <t>ocn827256988</t>
  </si>
  <si>
    <t>31035322738</t>
  </si>
  <si>
    <t>9780374217440</t>
  </si>
  <si>
    <t>794939922</t>
  </si>
  <si>
    <t>PQ4863 A974 G85 2011</t>
  </si>
  <si>
    <t>0                      PQ 4863000A  974                G  85          2011</t>
  </si>
  <si>
    <t>Guida agli animali fantastici / Ermanno Cavazzoni.</t>
  </si>
  <si>
    <t>Cavazzoni, Ermanno.</t>
  </si>
  <si>
    <t>Milano : U. Guanda, 2011.</t>
  </si>
  <si>
    <t>Narratori della Fenice</t>
  </si>
  <si>
    <t>907374875:ita</t>
  </si>
  <si>
    <t>729344883</t>
  </si>
  <si>
    <t>ocn729344883</t>
  </si>
  <si>
    <t>3103125456N</t>
  </si>
  <si>
    <t>9788860884169</t>
  </si>
  <si>
    <t>794879313</t>
  </si>
  <si>
    <t>PQ4863 A974 P64 2008</t>
  </si>
  <si>
    <t>0                      PQ 4863000A  974                P  64          2008</t>
  </si>
  <si>
    <t>Il poema dei lunatici / Ermanno Cavazzoni.</t>
  </si>
  <si>
    <t>Parma : U. Guanda, 2008.</t>
  </si>
  <si>
    <t>Narratori della fenice</t>
  </si>
  <si>
    <t>21022914:ita</t>
  </si>
  <si>
    <t>227926277</t>
  </si>
  <si>
    <t>ocn227926277</t>
  </si>
  <si>
    <t>3103484096K</t>
  </si>
  <si>
    <t>9788860889225</t>
  </si>
  <si>
    <t>794348420</t>
  </si>
  <si>
    <t>PQ4863 A974 S385 2010</t>
  </si>
  <si>
    <t>0                      PQ 4863000A  974                S  385         2010</t>
  </si>
  <si>
    <t>Gli scrittori inutili / Ermanno Cavazzoni.</t>
  </si>
  <si>
    <t>Cavazzoni, Ermanno, 1947-</t>
  </si>
  <si>
    <t>2014-05-20</t>
  </si>
  <si>
    <t>351272826:ita</t>
  </si>
  <si>
    <t>646006524</t>
  </si>
  <si>
    <t>ocn646006524</t>
  </si>
  <si>
    <t>3103484906B</t>
  </si>
  <si>
    <t>9788860885715</t>
  </si>
  <si>
    <t>794829953</t>
  </si>
  <si>
    <t>PQ4863 E36 A94</t>
  </si>
  <si>
    <t>0                      PQ 4863000E  36                 A  94</t>
  </si>
  <si>
    <t>Le avventure di Guizzardi.</t>
  </si>
  <si>
    <t>Celati, Gianni, 1937-</t>
  </si>
  <si>
    <t>Torina, Einaudi, 1973.</t>
  </si>
  <si>
    <t>I Coralli, 287</t>
  </si>
  <si>
    <t>353814993:ita</t>
  </si>
  <si>
    <t>871354</t>
  </si>
  <si>
    <t>ocm00871354</t>
  </si>
  <si>
    <t>3103145624D</t>
  </si>
  <si>
    <t>791491518</t>
  </si>
  <si>
    <t>PQ4863.E36 C65 2012</t>
  </si>
  <si>
    <t>0                      PQ 4863000E  36                 C  65          2012</t>
  </si>
  <si>
    <t>Comiche / Gianni Celati ; a cura di Nunzia Palmieri.</t>
  </si>
  <si>
    <t>Compagnia extra ; 27</t>
  </si>
  <si>
    <t>1211009838:ita</t>
  </si>
  <si>
    <t>795754680</t>
  </si>
  <si>
    <t>ocn795754680</t>
  </si>
  <si>
    <t>B001509254</t>
  </si>
  <si>
    <t>9788874624485</t>
  </si>
  <si>
    <t>794921552</t>
  </si>
  <si>
    <t>PQ4863 E36 F38 2005</t>
  </si>
  <si>
    <t>0                      PQ 4863000E  36                 F  38          2005</t>
  </si>
  <si>
    <t>Fata morgana / Gianni Celati.</t>
  </si>
  <si>
    <t>Milano : Feltrinelli, 2005.</t>
  </si>
  <si>
    <t>19230747:ita</t>
  </si>
  <si>
    <t>57892279</t>
  </si>
  <si>
    <t>ocm57892279</t>
  </si>
  <si>
    <t>3102503708P</t>
  </si>
  <si>
    <t>9788807016684</t>
  </si>
  <si>
    <t>793919164</t>
  </si>
  <si>
    <t>PQ4863 E36 Z73 2011</t>
  </si>
  <si>
    <t>0                      PQ 4863000E  36                 Z  73          2011</t>
  </si>
  <si>
    <t>La dignità di un mondo buffo : intorno all'opera di Gianni Celati / Giulio Iacoli.</t>
  </si>
  <si>
    <t>Iacoli, Giulio, 1974-</t>
  </si>
  <si>
    <t>1078087729:ita</t>
  </si>
  <si>
    <t>775411067</t>
  </si>
  <si>
    <t>ocn775411067</t>
  </si>
  <si>
    <t>3103125685B</t>
  </si>
  <si>
    <t>9788874624058</t>
  </si>
  <si>
    <t>794907425</t>
  </si>
  <si>
    <t>PQ4863 E36 Z975 2000</t>
  </si>
  <si>
    <t>0                      PQ 4863000E  36                 Z  975         2000</t>
  </si>
  <si>
    <t>Gianni Celati : the craft of everyday storytelling / Rebecca J. West.</t>
  </si>
  <si>
    <t>West, Rebecca J., 1946- author.</t>
  </si>
  <si>
    <t>Toronto : University of Toronto Press, ©2000.</t>
  </si>
  <si>
    <t>316155236:eng</t>
  </si>
  <si>
    <t>43282662</t>
  </si>
  <si>
    <t>ocm43282662</t>
  </si>
  <si>
    <t>31023995189</t>
  </si>
  <si>
    <t>9780802047724</t>
  </si>
  <si>
    <t>793623189</t>
  </si>
  <si>
    <t>PQ4863 E673 A74 1987</t>
  </si>
  <si>
    <t>0                      PQ 4863000E  673                A  74          1987</t>
  </si>
  <si>
    <t>L'allegria di Thor / Carolus L. Cergoly.</t>
  </si>
  <si>
    <t>Cergoly, Carolus L. (Carolus Luigi), 1908-</t>
  </si>
  <si>
    <t>Milano : Mondadori, 1987.</t>
  </si>
  <si>
    <t>2018-01-27</t>
  </si>
  <si>
    <t>5610367270:ita</t>
  </si>
  <si>
    <t>222856957</t>
  </si>
  <si>
    <t>ocn222856957</t>
  </si>
  <si>
    <t>31001786283</t>
  </si>
  <si>
    <t>9788804300984</t>
  </si>
  <si>
    <t>794333009</t>
  </si>
  <si>
    <t>PQ4863 E673 C6</t>
  </si>
  <si>
    <t>0                      PQ 4863000E  673                C  6</t>
  </si>
  <si>
    <t>Il complesso dell'Imperatore : collages di fantasie e memorie di un mitteleuropeo / [di] Carolus L. Cergoly.</t>
  </si>
  <si>
    <t>Cergoly, Carolus L., 1908-</t>
  </si>
  <si>
    <t>Milano : A. Mondadori, 1979.</t>
  </si>
  <si>
    <t>891667477:ita</t>
  </si>
  <si>
    <t>5940074</t>
  </si>
  <si>
    <t>ocm05940074</t>
  </si>
  <si>
    <t>3000310430M</t>
  </si>
  <si>
    <t>792464939</t>
  </si>
  <si>
    <t>PQ4863 E673 F4 1984</t>
  </si>
  <si>
    <t>0                      PQ 4863000E  673                F  4           1984</t>
  </si>
  <si>
    <t>Fermo là in poltrona : ovverosia i teatri della memoria per trastullarsi e fantasticare scritti da un mitteleuropeo / Carolus L. Cergoly.</t>
  </si>
  <si>
    <t>889610899:ita</t>
  </si>
  <si>
    <t>11951612</t>
  </si>
  <si>
    <t>ocm11951612</t>
  </si>
  <si>
    <t>30003656963</t>
  </si>
  <si>
    <t>792794620</t>
  </si>
  <si>
    <t>PQ4863 E68 A88</t>
  </si>
  <si>
    <t>0                      PQ 4863000E  68                 A  88</t>
  </si>
  <si>
    <t>Aquilegia. Illustrazioni di Erica Tedeschi.</t>
  </si>
  <si>
    <t>Ceronetti, Guido, 1927-</t>
  </si>
  <si>
    <t>Milano, Rusconi, 1973.</t>
  </si>
  <si>
    <t>Narrativa Rusconi.</t>
  </si>
  <si>
    <t>21636553:ita</t>
  </si>
  <si>
    <t>896331</t>
  </si>
  <si>
    <t>ocm00896331</t>
  </si>
  <si>
    <t>30006110409</t>
  </si>
  <si>
    <t>791496852</t>
  </si>
  <si>
    <t>PQ4863 E68 M8</t>
  </si>
  <si>
    <t>0                      PQ 4863000E  68                 M  8</t>
  </si>
  <si>
    <t>La musa ulcerosa : scritti vari e inediti / Guido Ceronetti.</t>
  </si>
  <si>
    <t>Milano : Rusconi, 1978.</t>
  </si>
  <si>
    <t>366306234:ita</t>
  </si>
  <si>
    <t>4489308</t>
  </si>
  <si>
    <t>ocm04489308</t>
  </si>
  <si>
    <t>31036012248</t>
  </si>
  <si>
    <t>792354002</t>
  </si>
  <si>
    <t>PQ4863 O423 Q3613 2012</t>
  </si>
  <si>
    <t>0                      PQ 4863000O  423                Q  3613        2012</t>
  </si>
  <si>
    <t>When the night / Cristina Comencini ; translated from the Italian by Marina Harss.</t>
  </si>
  <si>
    <t>Comencini, Cristina.</t>
  </si>
  <si>
    <t>New York : Other Press, ©2012.</t>
  </si>
  <si>
    <t>323051065:eng</t>
  </si>
  <si>
    <t>745979770</t>
  </si>
  <si>
    <t>ocn745979770</t>
  </si>
  <si>
    <t>3103472170Y</t>
  </si>
  <si>
    <t>9781590515112</t>
  </si>
  <si>
    <t>794886826</t>
  </si>
  <si>
    <t>PQ4863 O48 A6 2015</t>
  </si>
  <si>
    <t>0                      PQ 4863000O  48                 A  6           2015</t>
  </si>
  <si>
    <t>L'opera completa / Vincenzo Consolo ; a cura e con un saggio introduttivo di Gianni Turchetta ; e uno scritto di Cesare Segre.</t>
  </si>
  <si>
    <t>Consolo, Vincenzo, 1933-2012.</t>
  </si>
  <si>
    <t>Milano : Mondadori, gennaio 2015.</t>
  </si>
  <si>
    <t>2295432120:ita</t>
  </si>
  <si>
    <t>905086310</t>
  </si>
  <si>
    <t>ocn905086310</t>
  </si>
  <si>
    <t>31036242395</t>
  </si>
  <si>
    <t>9788804647850</t>
  </si>
  <si>
    <t>794991095</t>
  </si>
  <si>
    <t>PQ4863 O48 E84 2013</t>
  </si>
  <si>
    <t>0                      PQ 4863000O  48                 E  84          2013</t>
  </si>
  <si>
    <t>Il caso Vinci e altre cronache / Vincenzo Consolo ; a cura di Salvatore Grassia ; introduzione di Salvatore Silvano Nigro.</t>
  </si>
  <si>
    <t>1177845680:ita</t>
  </si>
  <si>
    <t>816040759</t>
  </si>
  <si>
    <t>ocn816040759</t>
  </si>
  <si>
    <t>3103126140U</t>
  </si>
  <si>
    <t>9788838929076</t>
  </si>
  <si>
    <t>794932928</t>
  </si>
  <si>
    <t>PQ4863 O4837 S47 2018</t>
  </si>
  <si>
    <t>0                      PQ 4863000O  4837               S  47          2018</t>
  </si>
  <si>
    <t>Sesso e apocalisse a Istanbul / Giuseppe Conte.</t>
  </si>
  <si>
    <t>Conte, Giuseppe, 1945- author.</t>
  </si>
  <si>
    <t>Firenze, Italia : Giunti, gennaio 2018.</t>
  </si>
  <si>
    <t>Scrittori Giunti</t>
  </si>
  <si>
    <t>4739660627:ita</t>
  </si>
  <si>
    <t>1022082767</t>
  </si>
  <si>
    <t>on1022082767</t>
  </si>
  <si>
    <t>31037850708</t>
  </si>
  <si>
    <t>9788809850538</t>
  </si>
  <si>
    <t>795051325</t>
  </si>
  <si>
    <t>PQ4863 O654 S67 2016</t>
  </si>
  <si>
    <t>0                      PQ 4863000O  654                S  67          2016</t>
  </si>
  <si>
    <t>Una sostanza sottile / Franco Cordelli.</t>
  </si>
  <si>
    <t>Cordelli, Franco, 1943- author.</t>
  </si>
  <si>
    <t>Torino : Einaudi, [2016]</t>
  </si>
  <si>
    <t>2899039621:ita</t>
  </si>
  <si>
    <t>941802711</t>
  </si>
  <si>
    <t>ocn941802711</t>
  </si>
  <si>
    <t>3103662989M</t>
  </si>
  <si>
    <t>9788806229351</t>
  </si>
  <si>
    <t>795012295</t>
  </si>
  <si>
    <t>PQ4863 O6655 F56 2010</t>
  </si>
  <si>
    <t>0                      PQ 4863000O  6655               F  56          2010</t>
  </si>
  <si>
    <t>La fine del mondo storto : romanzo / Mauro Corona.</t>
  </si>
  <si>
    <t>Corona, Mauro, 1950-</t>
  </si>
  <si>
    <t>Milano : Arnoldo Mondadori, 2010.</t>
  </si>
  <si>
    <t>796723252:ita</t>
  </si>
  <si>
    <t>679933516</t>
  </si>
  <si>
    <t>ocn679933516</t>
  </si>
  <si>
    <t>3103125524Q</t>
  </si>
  <si>
    <t>9788804603412</t>
  </si>
  <si>
    <t>794850806</t>
  </si>
  <si>
    <t>PQ4863 O896 R35 2012</t>
  </si>
  <si>
    <t>0                      PQ 4863000O  896                R  35          2012</t>
  </si>
  <si>
    <t>Le ragazze di Pompei : romanzo / Carmen Covito.</t>
  </si>
  <si>
    <t>Covito, Carmen, 1948-</t>
  </si>
  <si>
    <t>Siena : Barbera, 2012.</t>
  </si>
  <si>
    <t>1082403032:ita</t>
  </si>
  <si>
    <t>778420047</t>
  </si>
  <si>
    <t>ocn778420047</t>
  </si>
  <si>
    <t>3103125683B</t>
  </si>
  <si>
    <t>9788878995093</t>
  </si>
  <si>
    <t>794909784</t>
  </si>
  <si>
    <t>PQ4864 A77 H6</t>
  </si>
  <si>
    <t>0                      PQ 4864000A  77                 H  6</t>
  </si>
  <si>
    <t>Horcynus Orca : romanzo / Stefano D'Arrigo.</t>
  </si>
  <si>
    <t>D'Arrigo, Stefano.</t>
  </si>
  <si>
    <t>46088465:ita</t>
  </si>
  <si>
    <t>2763643</t>
  </si>
  <si>
    <t>ocm02763643</t>
  </si>
  <si>
    <t>30004154828</t>
  </si>
  <si>
    <t>792173054</t>
  </si>
  <si>
    <t>PQ4864 A78 Z77 2012</t>
  </si>
  <si>
    <t>0                      PQ 4864000A  78                 Z  77          2012</t>
  </si>
  <si>
    <t>Silvio D'Arzo e Giorgio Morandi : affinità metafisiche / Riccardo Paterlini ; prefazione di Paolo Briganti.</t>
  </si>
  <si>
    <t>Paterlini, Riccardo, 1985-</t>
  </si>
  <si>
    <t>Reggio Emilia : Consulta librieprogetti, 2012.</t>
  </si>
  <si>
    <t>1 edizione.</t>
  </si>
  <si>
    <t>Tracce dall'Appennino al Po</t>
  </si>
  <si>
    <t>1170032254:ita</t>
  </si>
  <si>
    <t>811589429</t>
  </si>
  <si>
    <t>ocn811589429</t>
  </si>
  <si>
    <t>3103125936C</t>
  </si>
  <si>
    <t>9788889156773</t>
  </si>
  <si>
    <t>794930182</t>
  </si>
  <si>
    <t>PQ4864 A78 Z85 2010</t>
  </si>
  <si>
    <t>0                      PQ 4864000A  78                 Z  85          2010</t>
  </si>
  <si>
    <t>All'insegna di Silvio D'Arzo : ipotesi e sorprese / Luciano Serra ; tavole illustrate di Elisa Pellacani.</t>
  </si>
  <si>
    <t>Serra, Luciano, 1920-</t>
  </si>
  <si>
    <t>Reggio Emilia : Consulta libri e progetti, 2010.</t>
  </si>
  <si>
    <t>Tracce ; 1</t>
  </si>
  <si>
    <t>2453440610:ita</t>
  </si>
  <si>
    <t>719414127</t>
  </si>
  <si>
    <t>ocn719414127</t>
  </si>
  <si>
    <t>3103125448P</t>
  </si>
  <si>
    <t>9788889156544</t>
  </si>
  <si>
    <t>794874412</t>
  </si>
  <si>
    <t>PQ4864 A78 Z923 2010</t>
  </si>
  <si>
    <t>0                      PQ 4864000A  78                 Z  923         2010</t>
  </si>
  <si>
    <t>Silvio D'Arzo scrittore fra la provincia e il mondo / Elisa Vignali.</t>
  </si>
  <si>
    <t>Vignali, Elisa.</t>
  </si>
  <si>
    <t>764588411:ita</t>
  </si>
  <si>
    <t>692269583</t>
  </si>
  <si>
    <t>ocn692269583</t>
  </si>
  <si>
    <t>3103125263R</t>
  </si>
  <si>
    <t>9788889891735</t>
  </si>
  <si>
    <t>794856009</t>
  </si>
  <si>
    <t>PQ4864 E19 2017</t>
  </si>
  <si>
    <t>0                      PQ 4864000E  19          2017</t>
  </si>
  <si>
    <t>Tutte le poesie, 1969-2015 / Milo de Angelis ; postfazione e nota biobibliografica de Stefano Verdino.</t>
  </si>
  <si>
    <t>De Angelis, Milo, 1951- author.</t>
  </si>
  <si>
    <t>Milano : Mondadori, 2017.</t>
  </si>
  <si>
    <t>Lo Specchio</t>
  </si>
  <si>
    <t>4422152996:ita</t>
  </si>
  <si>
    <t>994027803</t>
  </si>
  <si>
    <t>ocn994027803</t>
  </si>
  <si>
    <t>3103718165O</t>
  </si>
  <si>
    <t>9788804677338</t>
  </si>
  <si>
    <t>795038906</t>
  </si>
  <si>
    <t>PQ4864 E22175 R65 2002</t>
  </si>
  <si>
    <t>0                      PQ 4864000E  22175              R  65          2002</t>
  </si>
  <si>
    <t>Romanzo criminale / Giancarlo De Cataldo.</t>
  </si>
  <si>
    <t>De Cataldo, Giancarlo, 1956-</t>
  </si>
  <si>
    <t>Einaudi tascabili ; 1024</t>
  </si>
  <si>
    <t>7940453:ita</t>
  </si>
  <si>
    <t>51029377</t>
  </si>
  <si>
    <t>ocm51029377</t>
  </si>
  <si>
    <t>3102339651S</t>
  </si>
  <si>
    <t>9788806160968</t>
  </si>
  <si>
    <t>793777200</t>
  </si>
  <si>
    <t>PQ4864 E23 Z585 2010</t>
  </si>
  <si>
    <t>0                      PQ 4864000E  23                 Z  585         2010</t>
  </si>
  <si>
    <t>La presenza di Proust nel Novecento italiano : Debenedetti, Morselli, Sereni / Mirko Francioni.</t>
  </si>
  <si>
    <t>Francioni, Mirko, 1976- author.</t>
  </si>
  <si>
    <t>Strumenti di filologia critica ; 10</t>
  </si>
  <si>
    <t>897464619:ita</t>
  </si>
  <si>
    <t>721866910</t>
  </si>
  <si>
    <t>ocn721866910</t>
  </si>
  <si>
    <t>3103125373M</t>
  </si>
  <si>
    <t>9788863152494</t>
  </si>
  <si>
    <t>794875379</t>
  </si>
  <si>
    <t>PQ4864 E23 Z628 2012</t>
  </si>
  <si>
    <t>0                      PQ 4864000E  23                 Z  628         2012</t>
  </si>
  <si>
    <t>La forma dell'eresia : Giacomo Debenedetti, 1922-1934 : storia di un inizio / Paolo Gervasi.</t>
  </si>
  <si>
    <t>Gervasi, Paolo.</t>
  </si>
  <si>
    <t>La modernità letteraria ; 27</t>
  </si>
  <si>
    <t>1353364014:ita</t>
  </si>
  <si>
    <t>841181260</t>
  </si>
  <si>
    <t>ocn841181260</t>
  </si>
  <si>
    <t>3103126171O</t>
  </si>
  <si>
    <t>9788846730015</t>
  </si>
  <si>
    <t>794946556</t>
  </si>
  <si>
    <t>PQ4864 E234 V55 2012</t>
  </si>
  <si>
    <t>0                      PQ 4864000E  234                V  55          2012</t>
  </si>
  <si>
    <t>Villa Metaphora / Andrea De Carlo.</t>
  </si>
  <si>
    <t>De Carlo, Andrea, 1952-</t>
  </si>
  <si>
    <t>Milano : Bompiani, 2012.</t>
  </si>
  <si>
    <t>1775167485:ita</t>
  </si>
  <si>
    <t>801440439</t>
  </si>
  <si>
    <t>ocn801440439</t>
  </si>
  <si>
    <t>31031260162</t>
  </si>
  <si>
    <t>9788845271434</t>
  </si>
  <si>
    <t>794925011</t>
  </si>
  <si>
    <t>PQ4864 E2394 C6613 1989</t>
  </si>
  <si>
    <t>0                      PQ 4864000E  2394               C  6613        1989</t>
  </si>
  <si>
    <t>Thus spake Bellavista : Naples, love, and liberty / Luciano de Crescenzo ; translated from the Italian by Avril Bardoni.</t>
  </si>
  <si>
    <t>De Crescenzo, Luciano, 1928-</t>
  </si>
  <si>
    <t>New York : Grove Press, 1989, ©1977.</t>
  </si>
  <si>
    <t>2019-07-20</t>
  </si>
  <si>
    <t>3901490015:eng</t>
  </si>
  <si>
    <t>17873692</t>
  </si>
  <si>
    <t>ocm17873692</t>
  </si>
  <si>
    <t>3102354112O</t>
  </si>
  <si>
    <t>9780802110770</t>
  </si>
  <si>
    <t>793006184</t>
  </si>
  <si>
    <t>PQ4864 E333 B6613 2012</t>
  </si>
  <si>
    <t>0                      PQ 4864000E  333                B  6613        2012</t>
  </si>
  <si>
    <t>Block 11 / Piero degli Antoni ; translated by Erin Waggener.</t>
  </si>
  <si>
    <t>Degli Antoni, Piero, 1960-</t>
  </si>
  <si>
    <t>New York : St. Martin's Press, 2012.</t>
  </si>
  <si>
    <t>1654652735:eng</t>
  </si>
  <si>
    <t>778421543</t>
  </si>
  <si>
    <t>ocn778421543</t>
  </si>
  <si>
    <t>3103472001E</t>
  </si>
  <si>
    <t>9781250001023</t>
  </si>
  <si>
    <t>794909844</t>
  </si>
  <si>
    <t>PQ4864 E4377 A913 1988</t>
  </si>
  <si>
    <t>0                      PQ 4864000E  4377               A  913         1988</t>
  </si>
  <si>
    <t>Lines of light / Daniele Del Giudice ; translated by Norman MacAfee and Luigi Fontanella.</t>
  </si>
  <si>
    <t>Del Giudice, Daniele.</t>
  </si>
  <si>
    <t>San Diego : Harcourt Brace Jovanovich, ©1988.</t>
  </si>
  <si>
    <t>7747869:eng</t>
  </si>
  <si>
    <t>17300980</t>
  </si>
  <si>
    <t>ocm17300980</t>
  </si>
  <si>
    <t>3000587292S</t>
  </si>
  <si>
    <t>9780151524204</t>
  </si>
  <si>
    <t>792987267</t>
  </si>
  <si>
    <t>PQ4864 E4377 I53 2013</t>
  </si>
  <si>
    <t>0                      PQ 4864000E  4377               I  53          2013</t>
  </si>
  <si>
    <t>In questa luce / Daniele Del Giudice.</t>
  </si>
  <si>
    <t>Torino : Einaudi, [2013]</t>
  </si>
  <si>
    <t>Frontiere Einaudi</t>
  </si>
  <si>
    <t>1366443781:ita</t>
  </si>
  <si>
    <t>830362715</t>
  </si>
  <si>
    <t>ocn830362715</t>
  </si>
  <si>
    <t>3103126119$</t>
  </si>
  <si>
    <t>9788806214425</t>
  </si>
  <si>
    <t>794943336</t>
  </si>
  <si>
    <t>PQ4864 E5498 A65 1997</t>
  </si>
  <si>
    <t>0                      PQ 4864000E  5498               A  65          1997</t>
  </si>
  <si>
    <t>Alzaia / Erri De Luca.</t>
  </si>
  <si>
    <t>De Luca, Erri, 1950-</t>
  </si>
  <si>
    <t>Milano : Feltrinelli, 1997.</t>
  </si>
  <si>
    <t>1. ed. ne "I narratori."</t>
  </si>
  <si>
    <t>2015-06-05</t>
  </si>
  <si>
    <t>15315283:ita</t>
  </si>
  <si>
    <t>37269951</t>
  </si>
  <si>
    <t>ocm37269951</t>
  </si>
  <si>
    <t>3101888505U</t>
  </si>
  <si>
    <t>9788807015229</t>
  </si>
  <si>
    <t>793494708</t>
  </si>
  <si>
    <t>PQ4864 E5498 D67 2012</t>
  </si>
  <si>
    <t>0                      PQ 4864000E  5498               D  67          2012</t>
  </si>
  <si>
    <t>La doppia vita dei numeri / Erri De Luca.</t>
  </si>
  <si>
    <t>Milano : Feltrinelli, novembre 2012.</t>
  </si>
  <si>
    <t>Prima edizione ne I narratori.</t>
  </si>
  <si>
    <t>1182109845:ita</t>
  </si>
  <si>
    <t>802322802</t>
  </si>
  <si>
    <t>ocn802322802</t>
  </si>
  <si>
    <t>31031260230</t>
  </si>
  <si>
    <t>9788807019166</t>
  </si>
  <si>
    <t>794925584</t>
  </si>
  <si>
    <t>PQ4864 E5498 E35 2011</t>
  </si>
  <si>
    <t>0                      PQ 4864000E  5498               E  35          2011</t>
  </si>
  <si>
    <t>E disse / Erri De Luca.</t>
  </si>
  <si>
    <t>I Narratori</t>
  </si>
  <si>
    <t>766686114:ita</t>
  </si>
  <si>
    <t>694057366</t>
  </si>
  <si>
    <t>ocn694057366</t>
  </si>
  <si>
    <t>3103125322W</t>
  </si>
  <si>
    <t>9788807018435</t>
  </si>
  <si>
    <t>794857092</t>
  </si>
  <si>
    <t>PQ4864 E5498 G5613 2011</t>
  </si>
  <si>
    <t>0                      PQ 4864000E  5498               G  5613        2011</t>
  </si>
  <si>
    <t>The day before happiness : a novel / Erri De Luca ; translated by Michael F. Moore.</t>
  </si>
  <si>
    <t>364289031:eng</t>
  </si>
  <si>
    <t>701810312</t>
  </si>
  <si>
    <t>ocn701810312</t>
  </si>
  <si>
    <t>3103396211N</t>
  </si>
  <si>
    <t>9781590514818</t>
  </si>
  <si>
    <t>794863528</t>
  </si>
  <si>
    <t>PQ4864 E5498 N65 1996</t>
  </si>
  <si>
    <t>0                      PQ 4864000E  5498               N  65          1996</t>
  </si>
  <si>
    <t>Non ora, non qui / Erri De Luca.</t>
  </si>
  <si>
    <t>Milano : Feltrinelli, ©1996.</t>
  </si>
  <si>
    <t>Universale economica Feltrinelli</t>
  </si>
  <si>
    <t>23583658:ita</t>
  </si>
  <si>
    <t>428073913</t>
  </si>
  <si>
    <t>ocn428073913</t>
  </si>
  <si>
    <t>3101561422S</t>
  </si>
  <si>
    <t>9788807811951</t>
  </si>
  <si>
    <t>794764685</t>
  </si>
  <si>
    <t>PQ4864 E5498 P468 2011</t>
  </si>
  <si>
    <t>0                      PQ 4864000E  5498               P  468         2011</t>
  </si>
  <si>
    <t>I pesci non chiudono gli occhi / Erri De Luca.</t>
  </si>
  <si>
    <t>1. ed ne I narratori.</t>
  </si>
  <si>
    <t>2012-10-07</t>
  </si>
  <si>
    <t>1016978305:ita</t>
  </si>
  <si>
    <t>757692590</t>
  </si>
  <si>
    <t>ocn757692590</t>
  </si>
  <si>
    <t>3103125568I</t>
  </si>
  <si>
    <t>9788807018558</t>
  </si>
  <si>
    <t>794895631</t>
  </si>
  <si>
    <t>PQ4864 E5498 P47 2009</t>
  </si>
  <si>
    <t>0                      PQ 4864000E  5498               P  47          2009</t>
  </si>
  <si>
    <t>Il peso della farfalla / Erri De Luca.</t>
  </si>
  <si>
    <t>Milano : Feltrinelli, 2010, 2009.</t>
  </si>
  <si>
    <t>2011-06-02</t>
  </si>
  <si>
    <t>350715409:ita</t>
  </si>
  <si>
    <t>468976105</t>
  </si>
  <si>
    <t>ocn468976105</t>
  </si>
  <si>
    <t>31031249934</t>
  </si>
  <si>
    <t>9788807017933</t>
  </si>
  <si>
    <t>794795651</t>
  </si>
  <si>
    <t>PQ4864 E5498 P58 2015</t>
  </si>
  <si>
    <t>0                      PQ 4864000E  5498               P  58          2015</t>
  </si>
  <si>
    <t>Il più e il meno / Erri De Luca.</t>
  </si>
  <si>
    <t>De Luca, Erri, 1950- author.</t>
  </si>
  <si>
    <t>Milano : Giangiacomo Feltrinelli Editore, 2015.</t>
  </si>
  <si>
    <t>Narratori/Feltrinelli</t>
  </si>
  <si>
    <t>2018-06-09</t>
  </si>
  <si>
    <t>2783802195:ita</t>
  </si>
  <si>
    <t>929450423</t>
  </si>
  <si>
    <t>ocn929450423</t>
  </si>
  <si>
    <t>31036630255</t>
  </si>
  <si>
    <t>9788807031625</t>
  </si>
  <si>
    <t>795006543</t>
  </si>
  <si>
    <t>PQ4864 E5498 T67 2012</t>
  </si>
  <si>
    <t>0                      PQ 4864000E  5498               T  67          2012</t>
  </si>
  <si>
    <t>Il torto del soldato / Erri De Luca.</t>
  </si>
  <si>
    <t>1a ed. ne I narratori.</t>
  </si>
  <si>
    <t>1107632872:ita</t>
  </si>
  <si>
    <t>793341212</t>
  </si>
  <si>
    <t>ocn793341212</t>
  </si>
  <si>
    <t>3103125814J</t>
  </si>
  <si>
    <t>9788807019036</t>
  </si>
  <si>
    <t>794918031</t>
  </si>
  <si>
    <t>PQ4864 E5498 T813 2011</t>
  </si>
  <si>
    <t>0                      PQ 4864000E  5498               T  813         2011</t>
  </si>
  <si>
    <t>Me, you = Tu, mio / Erri De Luca ; translated from the Italian by Beth Archer Brombert.</t>
  </si>
  <si>
    <t>New York : Other Press, 2011.</t>
  </si>
  <si>
    <t>Other Press ed.</t>
  </si>
  <si>
    <t>2013-01-17</t>
  </si>
  <si>
    <t>10368058:eng</t>
  </si>
  <si>
    <t>701810316</t>
  </si>
  <si>
    <t>ocn701810316</t>
  </si>
  <si>
    <t>3103396184C</t>
  </si>
  <si>
    <t>9781590514795</t>
  </si>
  <si>
    <t>794863529</t>
  </si>
  <si>
    <t>PQ4864 E5498 T82 2010</t>
  </si>
  <si>
    <t>0                      PQ 4864000E  5498               T  82          2010</t>
  </si>
  <si>
    <t>Tu non c'eri : scrittura per scene / Erri De Luca ; da un'idea di Andrea Di Bari ; con sei foto di Paola Porrini, Dolomiti 2010.</t>
  </si>
  <si>
    <t>Napoli : Libreria Dante &amp; Descartes, 2010.</t>
  </si>
  <si>
    <t>Accapo ; 5</t>
  </si>
  <si>
    <t>865035482:ita</t>
  </si>
  <si>
    <t>690103391</t>
  </si>
  <si>
    <t>ocn690103391</t>
  </si>
  <si>
    <t>3103125247V</t>
  </si>
  <si>
    <t>9788861570863</t>
  </si>
  <si>
    <t>794855359</t>
  </si>
  <si>
    <t>PQ4864 E5498 Z46 2015</t>
  </si>
  <si>
    <t>0                      PQ 4864000E  5498               Z  46          2015</t>
  </si>
  <si>
    <t>La parola contraria / Erri De Luca.</t>
  </si>
  <si>
    <t>Milano : Feltrinelli, 2015.</t>
  </si>
  <si>
    <t>1. ed. in "Fuori collana."</t>
  </si>
  <si>
    <t>2270020671:ita</t>
  </si>
  <si>
    <t>894227886</t>
  </si>
  <si>
    <t>ocn894227886</t>
  </si>
  <si>
    <t>3103621621N</t>
  </si>
  <si>
    <t>9788807421389</t>
  </si>
  <si>
    <t>794982502</t>
  </si>
  <si>
    <t>PQ4864 E5498 Z78 2016</t>
  </si>
  <si>
    <t>0                      PQ 4864000E  5498               Z  78          2016</t>
  </si>
  <si>
    <t>Erri De Luca : lecteur, traducteur, auteur / Élise Montel-Hurlin.</t>
  </si>
  <si>
    <t>Montel-Hurlin, Élise, author.</t>
  </si>
  <si>
    <t>Gillo Menagio ; 7</t>
  </si>
  <si>
    <t>4206301843:fre</t>
  </si>
  <si>
    <t>962269677</t>
  </si>
  <si>
    <t>ocn962269677</t>
  </si>
  <si>
    <t>3103716175V</t>
  </si>
  <si>
    <t>9788862746977</t>
  </si>
  <si>
    <t>795024336</t>
  </si>
  <si>
    <t>PQ4864 E583 V4</t>
  </si>
  <si>
    <t>0                      PQ 4864000E  583                V  4</t>
  </si>
  <si>
    <t>Le 20 giornate di Torino : inchiesta di fine secolo / Giorgio De Maria.</t>
  </si>
  <si>
    <t>De Maria, Giorgio.</t>
  </si>
  <si>
    <t>Milano : Edizione Il formichiere, 1977.</t>
  </si>
  <si>
    <t>Gli Anelli</t>
  </si>
  <si>
    <t>3761401507:ita</t>
  </si>
  <si>
    <t>5098415</t>
  </si>
  <si>
    <t>ocm05098415</t>
  </si>
  <si>
    <t>3000425424G</t>
  </si>
  <si>
    <t>792407220</t>
  </si>
  <si>
    <t>PQ4864 E81228 N6613 2012</t>
  </si>
  <si>
    <t>0                      PQ 4864000E  81228              N  6613        2012</t>
  </si>
  <si>
    <t>I hadn't understood / Diego De Silva ; translated from the Italian by Antony Shugaar.</t>
  </si>
  <si>
    <t>De Silva, Diego, 1964-</t>
  </si>
  <si>
    <t>New York : Europa Editions, ©2012.</t>
  </si>
  <si>
    <t>2016-03-22</t>
  </si>
  <si>
    <t>116745628:eng</t>
  </si>
  <si>
    <t>744291822</t>
  </si>
  <si>
    <t>ocn744291822</t>
  </si>
  <si>
    <t>3103471902S</t>
  </si>
  <si>
    <t>9781609450656</t>
  </si>
  <si>
    <t>794886062</t>
  </si>
  <si>
    <t>PQ4864 I28 O33 1980</t>
  </si>
  <si>
    <t>0                      PQ 4864000I  28                 O  33          1980</t>
  </si>
  <si>
    <t>L'odore della pioggia / Tommaso Di Ciaula ; prefazione di Giovanni Giudici.</t>
  </si>
  <si>
    <t>Di Ciaula, Tommaso.</t>
  </si>
  <si>
    <t>Bari : Editori Laterza, 1980.</t>
  </si>
  <si>
    <t>2015-05-08</t>
  </si>
  <si>
    <t>365717569:ita</t>
  </si>
  <si>
    <t>7312582</t>
  </si>
  <si>
    <t>ocm07312582</t>
  </si>
  <si>
    <t>3000362199W</t>
  </si>
  <si>
    <t>792552850</t>
  </si>
  <si>
    <t>PQ4864 O43 Z62 1984</t>
  </si>
  <si>
    <t>0                      PQ 4864000O  43                 Z  62          1984</t>
  </si>
  <si>
    <t>Danilo Dolci / di Giuseppe Fontanelli.</t>
  </si>
  <si>
    <t>Firenze : La Nuova Italia, 1984.</t>
  </si>
  <si>
    <t>Il Castoro, 0008-753X ; 203</t>
  </si>
  <si>
    <t>8569569:ita</t>
  </si>
  <si>
    <t>15318049</t>
  </si>
  <si>
    <t>ocm15318049</t>
  </si>
  <si>
    <t>30005290156</t>
  </si>
  <si>
    <t>792928042</t>
  </si>
  <si>
    <t>PQ4864 O54 C66 2017</t>
  </si>
  <si>
    <t>0                      PQ 4864000O  54                 C  66          2017</t>
  </si>
  <si>
    <t>La conoscenza di sé / Luca Doninelli.</t>
  </si>
  <si>
    <t>Doninelli, Luca, 1956- author.</t>
  </si>
  <si>
    <t>Milano : La nave di Teseo, settembre 2017.</t>
  </si>
  <si>
    <t>Oceani ; 18</t>
  </si>
  <si>
    <t>4544838453:ita</t>
  </si>
  <si>
    <t>1006424359</t>
  </si>
  <si>
    <t>on1006424359</t>
  </si>
  <si>
    <t>3103721125S</t>
  </si>
  <si>
    <t>9788893442909</t>
  </si>
  <si>
    <t>795043005</t>
  </si>
  <si>
    <t>PQ4864 O54 C67 2015</t>
  </si>
  <si>
    <t>0                      PQ 4864000O  54                 C  67          2015</t>
  </si>
  <si>
    <t>Le cose semplici / Luca Doninelli.</t>
  </si>
  <si>
    <t>2777498707:ita</t>
  </si>
  <si>
    <t>926733476</t>
  </si>
  <si>
    <t>ocn926733476</t>
  </si>
  <si>
    <t>3103623111$</t>
  </si>
  <si>
    <t>9788845277702</t>
  </si>
  <si>
    <t>795005483</t>
  </si>
  <si>
    <t>PQ4864 U68 B313 2010</t>
  </si>
  <si>
    <t>0                      PQ 4864000U  68                 B  313         2010</t>
  </si>
  <si>
    <t>The little girl = (La bambina) / Francesca Duranti ; translated by Judith Woolf.</t>
  </si>
  <si>
    <t>Duranti, Francesca, 1935-</t>
  </si>
  <si>
    <t>Leicester : Troubador, ©2010.</t>
  </si>
  <si>
    <t>353942095:eng</t>
  </si>
  <si>
    <t>669265105</t>
  </si>
  <si>
    <t>ocn669265105</t>
  </si>
  <si>
    <t>3103322527Q</t>
  </si>
  <si>
    <t>9781848760868</t>
  </si>
  <si>
    <t>794846891</t>
  </si>
  <si>
    <t>PQ4864 U68 B334 2015</t>
  </si>
  <si>
    <t>0                      PQ 4864000U  68                 B  334         2015</t>
  </si>
  <si>
    <t>Il romanzo autobiografico : La bambina di Francesca Duranti / Anna Lisa Del Carlo.</t>
  </si>
  <si>
    <t>Del Carlo, Anna Lisa, author.</t>
  </si>
  <si>
    <t>[Castelnuovo di Garfagnana] : Tra le righe libri, [2015]</t>
  </si>
  <si>
    <t>2520164032:ita</t>
  </si>
  <si>
    <t>908688098</t>
  </si>
  <si>
    <t>ocn908688098</t>
  </si>
  <si>
    <t>3103628544H</t>
  </si>
  <si>
    <t>9788899141097</t>
  </si>
  <si>
    <t>794994989</t>
  </si>
  <si>
    <t>PQ4864 U68 D53 2011</t>
  </si>
  <si>
    <t>0                      PQ 4864000U  68                 D  53          2011</t>
  </si>
  <si>
    <t>Il diavolo alle calcagna / Francesca Duranti.</t>
  </si>
  <si>
    <t>Roma : Nottetempo, ©2011.</t>
  </si>
  <si>
    <t>Narrativa</t>
  </si>
  <si>
    <t>945609434:ita</t>
  </si>
  <si>
    <t>770231095</t>
  </si>
  <si>
    <t>ocn770231095</t>
  </si>
  <si>
    <t>31034782727</t>
  </si>
  <si>
    <t>9788874522958</t>
  </si>
  <si>
    <t>794903886</t>
  </si>
  <si>
    <t>PQ4865 C6 A28 1986</t>
  </si>
  <si>
    <t>0                      PQ 4865000C  6                  A  28          1986</t>
  </si>
  <si>
    <t>Faith in fakes : essays / Umberto Eco ; translated from the Italian by William Weaver.</t>
  </si>
  <si>
    <t>Eco, Umberto.</t>
  </si>
  <si>
    <t>London : Secker and Warburg, 1986.</t>
  </si>
  <si>
    <t>2018-04-25</t>
  </si>
  <si>
    <t>3768476372:eng</t>
  </si>
  <si>
    <t>14904964</t>
  </si>
  <si>
    <t>ocm14904964</t>
  </si>
  <si>
    <t>3000473335W</t>
  </si>
  <si>
    <t>9780436140884</t>
  </si>
  <si>
    <t>792913312</t>
  </si>
  <si>
    <t>PQ4865 C6 A28 1995</t>
  </si>
  <si>
    <t>0                      PQ 4865000C  6                  A  28          1995</t>
  </si>
  <si>
    <t>How to travel with a salmon &amp; other essays / Umberto Eco ; translated from the Italian by William Weaver.</t>
  </si>
  <si>
    <t>San Diego, CA : Harcourt Brace, 1995.</t>
  </si>
  <si>
    <t>1st Harvest ed.</t>
  </si>
  <si>
    <t>A harvest book</t>
  </si>
  <si>
    <t>2012-12-03</t>
  </si>
  <si>
    <t>9415273546:eng</t>
  </si>
  <si>
    <t>32468650</t>
  </si>
  <si>
    <t>ocm32468650</t>
  </si>
  <si>
    <t>3102784972N</t>
  </si>
  <si>
    <t>9780156001250</t>
  </si>
  <si>
    <t>793385125</t>
  </si>
  <si>
    <t>3101546099X</t>
  </si>
  <si>
    <t>793385123</t>
  </si>
  <si>
    <t>3101546098Z</t>
  </si>
  <si>
    <t>793385124</t>
  </si>
  <si>
    <t>PQ4865 C6 A6 2016</t>
  </si>
  <si>
    <t>0                      PQ 4865000C  6                  A  6           2016</t>
  </si>
  <si>
    <t>Come viaggiare con un salmone / Umberto Eco.</t>
  </si>
  <si>
    <t>Eco, Umberto, author.</t>
  </si>
  <si>
    <t>Milano : La nave di Teseo, febbraio 2016.</t>
  </si>
  <si>
    <t>Prima edizione La nave di Teseo.</t>
  </si>
  <si>
    <t>I delfini ; 1</t>
  </si>
  <si>
    <t>2921695183:ita</t>
  </si>
  <si>
    <t>939396562</t>
  </si>
  <si>
    <t>ocn939396562</t>
  </si>
  <si>
    <t>3103662984W</t>
  </si>
  <si>
    <t>9788893440165</t>
  </si>
  <si>
    <t>795011610</t>
  </si>
  <si>
    <t>PQ4865 C6 A626 2006</t>
  </si>
  <si>
    <t>0                      PQ 4865000C  6                  A  626         2006</t>
  </si>
  <si>
    <t>A passo di gambero : guerre calde e populismo mediatico / Umberto Eco.</t>
  </si>
  <si>
    <t>Milano : Bompiani, 2006.</t>
  </si>
  <si>
    <t>Overlook, 88-452-562</t>
  </si>
  <si>
    <t>102899079:ita</t>
  </si>
  <si>
    <t>64365262</t>
  </si>
  <si>
    <t>ocm64365262</t>
  </si>
  <si>
    <t>3103038956Y</t>
  </si>
  <si>
    <t>9788845256202</t>
  </si>
  <si>
    <t>794128669</t>
  </si>
  <si>
    <t>PQ4865 C6 A62613 2007</t>
  </si>
  <si>
    <t>0                      PQ 4865000C  6                  A  62613       2007</t>
  </si>
  <si>
    <t>Turning back the clock : hot wars and media populism / Umberto Eco ; translated from the Italian by Alastair McEwen.</t>
  </si>
  <si>
    <t>Orlando : Harcourt, ©2007.</t>
  </si>
  <si>
    <t>3372265070:eng</t>
  </si>
  <si>
    <t>141483068</t>
  </si>
  <si>
    <t>ocn141483068</t>
  </si>
  <si>
    <t>3102646147Y</t>
  </si>
  <si>
    <t>9780151013517</t>
  </si>
  <si>
    <t>794235029</t>
  </si>
  <si>
    <t>PQ4865 C6 B3813 2002</t>
  </si>
  <si>
    <t>0                      PQ 4865000C  6                  B  3813        2002</t>
  </si>
  <si>
    <t>Baudolino / Umberto Eco ; translated from the Italian by William Weaver.</t>
  </si>
  <si>
    <t>New York : Harcourt, Inc., ©2002.</t>
  </si>
  <si>
    <t>2019-08-10</t>
  </si>
  <si>
    <t>660563:eng</t>
  </si>
  <si>
    <t>49002024</t>
  </si>
  <si>
    <t>ocm49002024</t>
  </si>
  <si>
    <t>3103006708$</t>
  </si>
  <si>
    <t>9780151006908</t>
  </si>
  <si>
    <t>793732615</t>
  </si>
  <si>
    <t>3102218125W</t>
  </si>
  <si>
    <t>793732616</t>
  </si>
  <si>
    <t>PQ4865 C6 B98 2000</t>
  </si>
  <si>
    <t>0                      PQ 4865000C  6                  B  98          2000</t>
  </si>
  <si>
    <t>La bustina di Minerva / Umberto Eco.</t>
  </si>
  <si>
    <t>Milano : Bompiani, 2000, ©1999.</t>
  </si>
  <si>
    <t>1. ed. Overlook Bompiani.</t>
  </si>
  <si>
    <t>2289363017:ita</t>
  </si>
  <si>
    <t>43662821</t>
  </si>
  <si>
    <t>ocm43662821</t>
  </si>
  <si>
    <t>3102047914G</t>
  </si>
  <si>
    <t>9788845243837</t>
  </si>
  <si>
    <t>793632176</t>
  </si>
  <si>
    <t>PQ4865 C6 C55 2010</t>
  </si>
  <si>
    <t>0                      PQ 4865000C  6                  C  55          2010</t>
  </si>
  <si>
    <t>Il cimitero di Praga / Umberto Eco.</t>
  </si>
  <si>
    <t>2016-10-31</t>
  </si>
  <si>
    <t>4921555076:ita</t>
  </si>
  <si>
    <t>681707233</t>
  </si>
  <si>
    <t>ocn681707233</t>
  </si>
  <si>
    <t>3103125221Z</t>
  </si>
  <si>
    <t>9788845266225</t>
  </si>
  <si>
    <t>794852334</t>
  </si>
  <si>
    <t>PQ4865 C6 C5513 2011</t>
  </si>
  <si>
    <t>0                      PQ 4865000C  6                  C  5513        2011</t>
  </si>
  <si>
    <t>The Prague cemetery / Umberto Eco ; translated from the Italian by Richard Dixon.</t>
  </si>
  <si>
    <t>London : Harvill Secker, 2011.</t>
  </si>
  <si>
    <t>4921555076:eng</t>
  </si>
  <si>
    <t>751804368</t>
  </si>
  <si>
    <t>ocn751804368</t>
  </si>
  <si>
    <t>3103410082$</t>
  </si>
  <si>
    <t>9781846554926</t>
  </si>
  <si>
    <t>794891116</t>
  </si>
  <si>
    <t>3103410087$</t>
  </si>
  <si>
    <t>794891117</t>
  </si>
  <si>
    <t>31034100771</t>
  </si>
  <si>
    <t>794891118</t>
  </si>
  <si>
    <t>PQ4865 C6 C56 1997</t>
  </si>
  <si>
    <t>0                      PQ 4865000C  6                  C  56          1997</t>
  </si>
  <si>
    <t>Cinque scritti morali / Umberto Eco.</t>
  </si>
  <si>
    <t>Milano : Bompiani, 1997.</t>
  </si>
  <si>
    <t>pasSaggi Bompiani</t>
  </si>
  <si>
    <t>2019-07-15</t>
  </si>
  <si>
    <t>1779795975:ita</t>
  </si>
  <si>
    <t>37642836</t>
  </si>
  <si>
    <t>ocm37642836</t>
  </si>
  <si>
    <t>3101896742K</t>
  </si>
  <si>
    <t>9788845231247</t>
  </si>
  <si>
    <t>793503543</t>
  </si>
  <si>
    <t>PQ4865 C6 C5613 2001</t>
  </si>
  <si>
    <t>0                      PQ 4865000C  6                  C  5613        2001</t>
  </si>
  <si>
    <t>Five moral pieces / Umberto Eco ; translated from the Italian by Alastair McEwen.</t>
  </si>
  <si>
    <t>New York : Harcourt, ©2001.</t>
  </si>
  <si>
    <t>2006-04-05</t>
  </si>
  <si>
    <t>1779795975:eng</t>
  </si>
  <si>
    <t>46565127</t>
  </si>
  <si>
    <t>ocm46565127</t>
  </si>
  <si>
    <t>3102152906R</t>
  </si>
  <si>
    <t>9780151004461</t>
  </si>
  <si>
    <t>793686759</t>
  </si>
  <si>
    <t>3102191076N</t>
  </si>
  <si>
    <t>793686760</t>
  </si>
  <si>
    <t>PQ4865 C6 C5713 2012</t>
  </si>
  <si>
    <t>0                      PQ 4865000C  6                  C  5713        2012</t>
  </si>
  <si>
    <t>Inventing the enemy and other occasional writings / Umberto Eco ; translated from Italian by Richard Dixon.</t>
  </si>
  <si>
    <t>Boston : Houghton Mifflin Harcourt, 2012.</t>
  </si>
  <si>
    <t>2013-04-19</t>
  </si>
  <si>
    <t>916976933:eng</t>
  </si>
  <si>
    <t>772100931</t>
  </si>
  <si>
    <t>ocn772100931</t>
  </si>
  <si>
    <t>3103457183M</t>
  </si>
  <si>
    <t>9780547640976</t>
  </si>
  <si>
    <t>794904364</t>
  </si>
  <si>
    <t>PQ4865 C6 M5713 2005</t>
  </si>
  <si>
    <t>0                      PQ 4865000C  6                  M  5713        2005</t>
  </si>
  <si>
    <t>The mysterious flame of Queen Loana : an illustrated novel / Umberto Eco ; translated from the Italian by Geoffrey Brock.</t>
  </si>
  <si>
    <t>Orlando : Harcourt, 2005.</t>
  </si>
  <si>
    <t>1152319403:eng</t>
  </si>
  <si>
    <t>60315675</t>
  </si>
  <si>
    <t>ocm60315675</t>
  </si>
  <si>
    <t>3102522230S</t>
  </si>
  <si>
    <t>9780151011407</t>
  </si>
  <si>
    <t>793934881</t>
  </si>
  <si>
    <t>3102522235S</t>
  </si>
  <si>
    <t>793934880</t>
  </si>
  <si>
    <t>PQ4865 C6 N613 1983</t>
  </si>
  <si>
    <t>0                      PQ 4865000C  6                  N  613         1983</t>
  </si>
  <si>
    <t>The name of the rose / Umberto Eco ; translated from the Italian by William Weaver.</t>
  </si>
  <si>
    <t>San Diego : Harcourt Brace Jovanovich, ©1983.</t>
  </si>
  <si>
    <t>147011:eng</t>
  </si>
  <si>
    <t>8954772</t>
  </si>
  <si>
    <t>ocm08954772</t>
  </si>
  <si>
    <t>31027504235</t>
  </si>
  <si>
    <t>9780151446476</t>
  </si>
  <si>
    <t>792650181</t>
  </si>
  <si>
    <t>31015740582</t>
  </si>
  <si>
    <t>792650178</t>
  </si>
  <si>
    <t>2004-01-16</t>
  </si>
  <si>
    <t>3000165313M</t>
  </si>
  <si>
    <t>792650180</t>
  </si>
  <si>
    <t>3102784844W</t>
  </si>
  <si>
    <t>792650183</t>
  </si>
  <si>
    <t>2007-02-10</t>
  </si>
  <si>
    <t>3101113544P</t>
  </si>
  <si>
    <t>792650179</t>
  </si>
  <si>
    <t>PQ4865 C6 N613 1994</t>
  </si>
  <si>
    <t>0                      PQ 4865000C  6                  N  613         1994</t>
  </si>
  <si>
    <t>San Diego : Harcourt Brace, 1994.</t>
  </si>
  <si>
    <t>A Harvest book</t>
  </si>
  <si>
    <t>30399715</t>
  </si>
  <si>
    <t>ocm30399715</t>
  </si>
  <si>
    <t>3102846614D</t>
  </si>
  <si>
    <t>9780156001311</t>
  </si>
  <si>
    <t>793334678</t>
  </si>
  <si>
    <t>31034361731</t>
  </si>
  <si>
    <t>793334679</t>
  </si>
  <si>
    <t>3103592256H</t>
  </si>
  <si>
    <t>793334677</t>
  </si>
  <si>
    <t>PQ4865 C6 N614 1982</t>
  </si>
  <si>
    <t>0                      PQ 4865000C  6                  N  614         1982</t>
  </si>
  <si>
    <t>Le nom de la rose : roman / Umberto Eco ; traduit de l'italien par Jean-Noël Schifano.</t>
  </si>
  <si>
    <t>Paris : Bernard Grasset, 1982.</t>
  </si>
  <si>
    <t>2017-07-05</t>
  </si>
  <si>
    <t>147011:fre</t>
  </si>
  <si>
    <t>9630922</t>
  </si>
  <si>
    <t>ocm09630922</t>
  </si>
  <si>
    <t>3101848019Q</t>
  </si>
  <si>
    <t>9782246245117</t>
  </si>
  <si>
    <t>792685771</t>
  </si>
  <si>
    <t>PQ4865 C6 N65 1986</t>
  </si>
  <si>
    <t>0                      PQ 4865000C  6                  N  65          1986</t>
  </si>
  <si>
    <t>Il nome della rosa / Umberto Eco.</t>
  </si>
  <si>
    <t>Milano : Bompiani, 1986, ©1980.</t>
  </si>
  <si>
    <t>18. ed.</t>
  </si>
  <si>
    <t>I Grandi tascabili Bompiani ; 33</t>
  </si>
  <si>
    <t>147011:ita</t>
  </si>
  <si>
    <t>13712363</t>
  </si>
  <si>
    <t>ocm13712363</t>
  </si>
  <si>
    <t>3103217036U</t>
  </si>
  <si>
    <t>792864035</t>
  </si>
  <si>
    <t>PQ4865 C6 N86 2014</t>
  </si>
  <si>
    <t>0                      PQ 4865000C  6                  N  86          2014</t>
  </si>
  <si>
    <t>Numero zero / Umberto Eco.</t>
  </si>
  <si>
    <t>Milano [Milan, Italy] : Bompiani, 2015.</t>
  </si>
  <si>
    <t>Primera edizione Bompiani gennaio 2015.</t>
  </si>
  <si>
    <t>2295157764:ita</t>
  </si>
  <si>
    <t>902635297</t>
  </si>
  <si>
    <t>ocn902635297</t>
  </si>
  <si>
    <t>31036213778</t>
  </si>
  <si>
    <t>9788845278518</t>
  </si>
  <si>
    <t>794988291</t>
  </si>
  <si>
    <t>PQ4865 C6 N86 2015</t>
  </si>
  <si>
    <t>0                      PQ 4865000C  6                  N  86          2015</t>
  </si>
  <si>
    <t>Numero zero / Umberto Eco ; translated from the Italian by Richard Dixon.</t>
  </si>
  <si>
    <t>Boston : Houghton Mifflin Harcourt, 2015.</t>
  </si>
  <si>
    <t>First U.S. edition.</t>
  </si>
  <si>
    <t>2017-05-29</t>
  </si>
  <si>
    <t>2295157764:eng</t>
  </si>
  <si>
    <t>903284650</t>
  </si>
  <si>
    <t>ocn903284650</t>
  </si>
  <si>
    <t>3103608374S</t>
  </si>
  <si>
    <t>9780544635081</t>
  </si>
  <si>
    <t>794988992</t>
  </si>
  <si>
    <t>PQ4865 C6 P3718 2017</t>
  </si>
  <si>
    <t>0                      PQ 4865000C  6                  P  3718        2017</t>
  </si>
  <si>
    <t>Chronicles of a liquid society / Umberto Eco ; translated from the Italian by Richard Dixon.</t>
  </si>
  <si>
    <t>Boston : Houghton Mifflin Harcourt, 2017.</t>
  </si>
  <si>
    <t>4617747346:eng</t>
  </si>
  <si>
    <t>1009086134</t>
  </si>
  <si>
    <t>on1009086134</t>
  </si>
  <si>
    <t>3103740833V</t>
  </si>
  <si>
    <t>9780544974487</t>
  </si>
  <si>
    <t>795045084</t>
  </si>
  <si>
    <t>PQ4865 C6 P46 1988</t>
  </si>
  <si>
    <t>0                      PQ 4865000C  6                  P  46          1988</t>
  </si>
  <si>
    <t>Il pendolo di Foucault / Umberto Eco.</t>
  </si>
  <si>
    <t>614258:ita</t>
  </si>
  <si>
    <t>19047569</t>
  </si>
  <si>
    <t>ocm19047569</t>
  </si>
  <si>
    <t>3102184405L</t>
  </si>
  <si>
    <t>9788845204081</t>
  </si>
  <si>
    <t>793045288</t>
  </si>
  <si>
    <t>2008-05-20</t>
  </si>
  <si>
    <t>3100177904A</t>
  </si>
  <si>
    <t>793045287</t>
  </si>
  <si>
    <t>PQ4865 C6 P4613 1989</t>
  </si>
  <si>
    <t>0                      PQ 4865000C  6                  P  4613        1989</t>
  </si>
  <si>
    <t>Foucault's pendulum / Umberto Eco ; translated from the Italian by William Weaver.</t>
  </si>
  <si>
    <t>San Diego : Harcourt Brace Jovanovich, ©1989.</t>
  </si>
  <si>
    <t>1st trade ed.</t>
  </si>
  <si>
    <t>2019-08-29</t>
  </si>
  <si>
    <t>614258:eng</t>
  </si>
  <si>
    <t>19554076</t>
  </si>
  <si>
    <t>ocm19554076</t>
  </si>
  <si>
    <t>3102664290J</t>
  </si>
  <si>
    <t>9780151327652</t>
  </si>
  <si>
    <t>793061914</t>
  </si>
  <si>
    <t>PQ4865 C6 P4733 2016</t>
  </si>
  <si>
    <t>0                      PQ 4865000C  6                  P  4733        2016</t>
  </si>
  <si>
    <t>Umberto Eco e il Pci : arte, cultura di massa e strutturalismo in un saggio dimenticato del 1963 / Claudio Crapis, Giandomenico Crapis.</t>
  </si>
  <si>
    <t>Crapis, Claudio, author.</t>
  </si>
  <si>
    <t>Reggio Emilia : Imprimatur, [2016]</t>
  </si>
  <si>
    <t>4183209002:ita</t>
  </si>
  <si>
    <t>973886277</t>
  </si>
  <si>
    <t>ocn973886277</t>
  </si>
  <si>
    <t>3103716164$</t>
  </si>
  <si>
    <t>9788868304959</t>
  </si>
  <si>
    <t>795029340</t>
  </si>
  <si>
    <t>PQ4865 C6 S7613 2014</t>
  </si>
  <si>
    <t>0                      PQ 4865000C  6                  S  7613        2014</t>
  </si>
  <si>
    <t>The story of the betrothed / Umberto Eco ; illustrated by Marco Lorenzetti ; translated by Stephen Sartarelli.</t>
  </si>
  <si>
    <t>757173952:eng</t>
  </si>
  <si>
    <t>875644201</t>
  </si>
  <si>
    <t>ocn875644201</t>
  </si>
  <si>
    <t>31035305679</t>
  </si>
  <si>
    <t>9781782690221</t>
  </si>
  <si>
    <t>794969537</t>
  </si>
  <si>
    <t>PQ4865 C6 T7 1986</t>
  </si>
  <si>
    <t>0                      PQ 4865000C  6                  T  7           1986</t>
  </si>
  <si>
    <t>Travels in hyper reality : essays / Umberto Eco ; translated from the Italian by William Weaver.</t>
  </si>
  <si>
    <t>San Diego : Harcourt Brace Jovanovich, [1986]</t>
  </si>
  <si>
    <t>2015-10-15</t>
  </si>
  <si>
    <t>2019-07-18</t>
  </si>
  <si>
    <t>796456875:eng</t>
  </si>
  <si>
    <t>12665519</t>
  </si>
  <si>
    <t>ocm12665519</t>
  </si>
  <si>
    <t>3102251256V</t>
  </si>
  <si>
    <t>9780151910793</t>
  </si>
  <si>
    <t>792822996</t>
  </si>
  <si>
    <t>3103102967S</t>
  </si>
  <si>
    <t>792822995</t>
  </si>
  <si>
    <t>PQ4865 C6 Z46 2011</t>
  </si>
  <si>
    <t>0                      PQ 4865000C  6                  Z  46          2011</t>
  </si>
  <si>
    <t>Confessions of a young novelist / Umberto Eco.</t>
  </si>
  <si>
    <t>Cambridge, Mass. : Harvard University Press, 2011.</t>
  </si>
  <si>
    <t>The Richard Ellmann lectures in modern literature</t>
  </si>
  <si>
    <t>2013-03-13</t>
  </si>
  <si>
    <t>570179203:eng</t>
  </si>
  <si>
    <t>655303650</t>
  </si>
  <si>
    <t>ocn655303650</t>
  </si>
  <si>
    <t>3103344889O</t>
  </si>
  <si>
    <t>9780674058699</t>
  </si>
  <si>
    <t>794834279</t>
  </si>
  <si>
    <t>PQ4865 C6 Z57 2009</t>
  </si>
  <si>
    <t>0                      PQ 4865000C  6                  Z  57          2009</t>
  </si>
  <si>
    <t>New essays on Umberto Eco / edited by Peter Bondanella.</t>
  </si>
  <si>
    <t>866514290:eng</t>
  </si>
  <si>
    <t>286434743</t>
  </si>
  <si>
    <t>ocn286434743</t>
  </si>
  <si>
    <t>31028590448</t>
  </si>
  <si>
    <t>9780521852098</t>
  </si>
  <si>
    <t>794420982</t>
  </si>
  <si>
    <t>PQ4865 C6 Z58 1995</t>
  </si>
  <si>
    <t>0                      PQ 4865000C  6                  Z  58          1995</t>
  </si>
  <si>
    <t>La diffidenza come sistema : saggio sulla narrativa di Umberto Eco / Roberto Cotroneo.</t>
  </si>
  <si>
    <t>Cotroneo, Roberto, 1961-</t>
  </si>
  <si>
    <t>Milano : Anabasi, 1995.</t>
  </si>
  <si>
    <t>Lo Spirito del tempo ; 27</t>
  </si>
  <si>
    <t>2015-08-11</t>
  </si>
  <si>
    <t>905364875:ita</t>
  </si>
  <si>
    <t>33418455</t>
  </si>
  <si>
    <t>ocm33418455</t>
  </si>
  <si>
    <t>3101484979X</t>
  </si>
  <si>
    <t>9788841770351</t>
  </si>
  <si>
    <t>793409023</t>
  </si>
  <si>
    <t>PQ4865 C6 Z58 1997</t>
  </si>
  <si>
    <t>0                      PQ 4865000C  6                  Z  58          1997</t>
  </si>
  <si>
    <t>Umberto Eco and the open text : semiotics, fiction, popular culture / Peter Bondanella.</t>
  </si>
  <si>
    <t>Bondanella, Peter, 1943-2017.</t>
  </si>
  <si>
    <t>Cambridge ; New York : Cambridge University Press, 1997.</t>
  </si>
  <si>
    <t>795015062:eng</t>
  </si>
  <si>
    <t>34745879</t>
  </si>
  <si>
    <t>ocm34745879</t>
  </si>
  <si>
    <t>3101809907G</t>
  </si>
  <si>
    <t>9780521442008</t>
  </si>
  <si>
    <t>793434664</t>
  </si>
  <si>
    <t>PQ4865 C6 Z713 1985</t>
  </si>
  <si>
    <t>0                      PQ 4865000C  6                  Z  713         1985</t>
  </si>
  <si>
    <t>Reflections on The name of the rose / Umberto Eco ; translated from the Italian by William Weaver.</t>
  </si>
  <si>
    <t>London : Secker &amp; Warburg, 1985, ©1984.</t>
  </si>
  <si>
    <t>1881934969:eng</t>
  </si>
  <si>
    <t>11920042</t>
  </si>
  <si>
    <t>ocm11920042</t>
  </si>
  <si>
    <t>3102161905S</t>
  </si>
  <si>
    <t>9780436140907</t>
  </si>
  <si>
    <t>792793903</t>
  </si>
  <si>
    <t>2009-12-03</t>
  </si>
  <si>
    <t>3000170514V</t>
  </si>
  <si>
    <t>792793902</t>
  </si>
  <si>
    <t>PQ4865 C6 Z815 2017</t>
  </si>
  <si>
    <t>0                      PQ 4865000C  6                  Z  815         2017</t>
  </si>
  <si>
    <t>The philosophy of Umberto Eco / edited by Sara G. Beardsworth and Randall E. Auxier.</t>
  </si>
  <si>
    <t>Chicago, Illinois : Open Court, [2017]</t>
  </si>
  <si>
    <t>The library of living philosophers ; volume XXXV</t>
  </si>
  <si>
    <t>10032888345:eng</t>
  </si>
  <si>
    <t>959535622</t>
  </si>
  <si>
    <t>ocn959535622</t>
  </si>
  <si>
    <t>3103671290R</t>
  </si>
  <si>
    <t>9780812699623</t>
  </si>
  <si>
    <t>795022431</t>
  </si>
  <si>
    <t>PQ4865 C6 Z895 2011</t>
  </si>
  <si>
    <t>0                      PQ 4865000C  6                  Z  895         2011</t>
  </si>
  <si>
    <t>Umberto Eco : odissea nella biblioteca di Babele / Marco Trainito ; con una intervista dell'autore a Umberto Eco.</t>
  </si>
  <si>
    <t>Trainito, Marco, 1969-</t>
  </si>
  <si>
    <t>Saonara (Padova) : Il prato, [2011]</t>
  </si>
  <si>
    <t>I cento Talleri ; 38</t>
  </si>
  <si>
    <t>2015-07-13</t>
  </si>
  <si>
    <t>1007351945:ita</t>
  </si>
  <si>
    <t>749782021</t>
  </si>
  <si>
    <t>ocn749782021</t>
  </si>
  <si>
    <t>3103125538O</t>
  </si>
  <si>
    <t>9788863361285</t>
  </si>
  <si>
    <t>794889863</t>
  </si>
  <si>
    <t>PQ4865 C6 Z915 2007</t>
  </si>
  <si>
    <t>0                      PQ 4865000C  6                  Z  915         2007</t>
  </si>
  <si>
    <t>Umberto Eco : l'uomo che sapeva troppo / a cura di Sandro Montalto ; [saggi di Paolo Bertetti and others].</t>
  </si>
  <si>
    <t>Pisa : ETS, ©2007</t>
  </si>
  <si>
    <t>369388029:ita</t>
  </si>
  <si>
    <t>317454512</t>
  </si>
  <si>
    <t>ocn317454512</t>
  </si>
  <si>
    <t>3103117175P</t>
  </si>
  <si>
    <t>9788846712486</t>
  </si>
  <si>
    <t>794453632</t>
  </si>
  <si>
    <t>PQ4865 L485 H67 2011</t>
  </si>
  <si>
    <t>0                      PQ 4865000L  485                H  67          2011</t>
  </si>
  <si>
    <t>Hotel Locarno / Alain Elkann.</t>
  </si>
  <si>
    <t>Elkann, Alain, 1950-</t>
  </si>
  <si>
    <t>897463134:ita</t>
  </si>
  <si>
    <t>732359890</t>
  </si>
  <si>
    <t>ocn732359890</t>
  </si>
  <si>
    <t>3103125415V</t>
  </si>
  <si>
    <t>9788845201103</t>
  </si>
  <si>
    <t>794881291</t>
  </si>
  <si>
    <t>PQ4865 L485 S65 2012</t>
  </si>
  <si>
    <t>0                      PQ 4865000L  485                S  65          2012</t>
  </si>
  <si>
    <t>Spicchi di un'arancia / Alain Elkann.</t>
  </si>
  <si>
    <t>Elkann, Alain, 1950- author.</t>
  </si>
  <si>
    <t>1124056204:ita</t>
  </si>
  <si>
    <t>798609618</t>
  </si>
  <si>
    <t>ocn798609618</t>
  </si>
  <si>
    <t>3103125844D</t>
  </si>
  <si>
    <t>9788845270345</t>
  </si>
  <si>
    <t>794923791</t>
  </si>
  <si>
    <t>PQ4865 L485 Z46 2010</t>
  </si>
  <si>
    <t>0                      PQ 4865000L  485                Z  46          2010</t>
  </si>
  <si>
    <t>Nonna Carla / Alain Elkann.</t>
  </si>
  <si>
    <t>377954311:ita</t>
  </si>
  <si>
    <t>505429091</t>
  </si>
  <si>
    <t>ocn505429091</t>
  </si>
  <si>
    <t>31031250470</t>
  </si>
  <si>
    <t>9788845264344</t>
  </si>
  <si>
    <t>794807215</t>
  </si>
  <si>
    <t>PQ4865 V35 N53 2004</t>
  </si>
  <si>
    <t>0                      PQ 4865000V  35                 N  53          2004</t>
  </si>
  <si>
    <t>Nicolas Eymerich, inquisitore / Valerio Evangelisti.</t>
  </si>
  <si>
    <t>Evangelisti, Valerio.</t>
  </si>
  <si>
    <t>1. ed. Piccola biblioteca Oscar.</t>
  </si>
  <si>
    <t>Piccola biblioteca Oscar ; 334</t>
  </si>
  <si>
    <t>2017-08-08</t>
  </si>
  <si>
    <t>2829963685:ita</t>
  </si>
  <si>
    <t>77279718</t>
  </si>
  <si>
    <t>ocm77279718</t>
  </si>
  <si>
    <t>31022131509</t>
  </si>
  <si>
    <t>9788804528821</t>
  </si>
  <si>
    <t>794185594</t>
  </si>
  <si>
    <t>PQ4865 V35 S68 2004</t>
  </si>
  <si>
    <t>0                      PQ 4865000V  35                 S  68          2004</t>
  </si>
  <si>
    <t>Sotto gli occhi di tutti : ritorno ad Alphaville / Valerio Evangelisti.</t>
  </si>
  <si>
    <t>Napoli : L'ancora del Mediterraneo, ©2004.</t>
  </si>
  <si>
    <t>Le gomene ; 35</t>
  </si>
  <si>
    <t>905476970:ita</t>
  </si>
  <si>
    <t>54987465</t>
  </si>
  <si>
    <t>ocm54987465</t>
  </si>
  <si>
    <t>3102693788W</t>
  </si>
  <si>
    <t>9788883251146</t>
  </si>
  <si>
    <t>793871947</t>
  </si>
  <si>
    <t>PQ4866 A4 A6 2013</t>
  </si>
  <si>
    <t>0                      PQ 4866000A  4                  A  6           2013</t>
  </si>
  <si>
    <t>Il mio cuore è più stanco della mia voce / Oriana Fallaci.</t>
  </si>
  <si>
    <t>Fallaci, Oriana.</t>
  </si>
  <si>
    <t>Milano : Rizzoli, 2012.</t>
  </si>
  <si>
    <t>Opere di Oriana Fallaci</t>
  </si>
  <si>
    <t>1125630187:ita</t>
  </si>
  <si>
    <t>799999902</t>
  </si>
  <si>
    <t>ocn799999902</t>
  </si>
  <si>
    <t>3103126079R</t>
  </si>
  <si>
    <t>9788817061278</t>
  </si>
  <si>
    <t>794924371</t>
  </si>
  <si>
    <t>PQ4866 A4 Z574 2011</t>
  </si>
  <si>
    <t>0                      PQ 4866000A  4                  Z  574         2011</t>
  </si>
  <si>
    <t>Oriana Fallaci scrittore / Letizia D'Angelo ; prefazione Marino Biondi.</t>
  </si>
  <si>
    <t>D'Angelo, Letizia, 1984-</t>
  </si>
  <si>
    <t>Zonafranca ; 2</t>
  </si>
  <si>
    <t>2016-03-06</t>
  </si>
  <si>
    <t>1055342148:ita</t>
  </si>
  <si>
    <t>764331629</t>
  </si>
  <si>
    <t>ocn764331629</t>
  </si>
  <si>
    <t>3103125596C</t>
  </si>
  <si>
    <t>9788849831153</t>
  </si>
  <si>
    <t>794900319</t>
  </si>
  <si>
    <t>PQ4866 A4 Z97 2013</t>
  </si>
  <si>
    <t>0                      PQ 4866000A  4                  Z  97          2013</t>
  </si>
  <si>
    <t>Oriana Fallaci e così sia : uno scrittore postmoderno / Franco Zangrilli.</t>
  </si>
  <si>
    <t>Ghezzano (PI) [i.e. Pisa, Italy] : Felici Editore, 2013.</t>
  </si>
  <si>
    <t>2014-02-06</t>
  </si>
  <si>
    <t>1309754165:ita</t>
  </si>
  <si>
    <t>842837497</t>
  </si>
  <si>
    <t>ocn842837497</t>
  </si>
  <si>
    <t>3103126232T</t>
  </si>
  <si>
    <t>9788860196316</t>
  </si>
  <si>
    <t>794947585</t>
  </si>
  <si>
    <t>PQ4866 A87 M37 2013</t>
  </si>
  <si>
    <t>0                      PQ 4866000A  87                 M  37          2013</t>
  </si>
  <si>
    <t>Mar del Plata / Claudio Fava.</t>
  </si>
  <si>
    <t>Fava, Claudio.</t>
  </si>
  <si>
    <t>Torino : Add editore, [2013]</t>
  </si>
  <si>
    <t>Add ; 34</t>
  </si>
  <si>
    <t>1209547555:ita</t>
  </si>
  <si>
    <t>839273812</t>
  </si>
  <si>
    <t>ocn839273812</t>
  </si>
  <si>
    <t>3103624341E</t>
  </si>
  <si>
    <t>9788867830039</t>
  </si>
  <si>
    <t>794945479</t>
  </si>
  <si>
    <t>PQ4866.A87 M37 2013</t>
  </si>
  <si>
    <t>B001500588</t>
  </si>
  <si>
    <t>794945478</t>
  </si>
  <si>
    <t>PQ4866 A877 T47 2011</t>
  </si>
  <si>
    <t>0                      PQ 4866000A  877                T  47          2011</t>
  </si>
  <si>
    <t>Teresa / Claudio Fava.</t>
  </si>
  <si>
    <t>897461349:ita</t>
  </si>
  <si>
    <t>721863352</t>
  </si>
  <si>
    <t>ocn721863352</t>
  </si>
  <si>
    <t>3103473247X</t>
  </si>
  <si>
    <t>9788807018466</t>
  </si>
  <si>
    <t>794875372</t>
  </si>
  <si>
    <t>PQ4866 E6345 A6 2012</t>
  </si>
  <si>
    <t>0                      PQ 4866000E  6345               A  6           2012</t>
  </si>
  <si>
    <t>Cronache del mal d'amore / Elena Ferrante ; con un'introduzione di Edgardo Dobry.</t>
  </si>
  <si>
    <t>Ferrante, Elena.</t>
  </si>
  <si>
    <t>Roma : Edizioni e/o, [2012]</t>
  </si>
  <si>
    <t>Dal mondo</t>
  </si>
  <si>
    <t>3889453297:ita</t>
  </si>
  <si>
    <t>823580510</t>
  </si>
  <si>
    <t>ocn823580510</t>
  </si>
  <si>
    <t>3103126229V</t>
  </si>
  <si>
    <t>9788866321927</t>
  </si>
  <si>
    <t>794937272</t>
  </si>
  <si>
    <t>PQ4866 E6345 A81 2011</t>
  </si>
  <si>
    <t>0                      PQ 4866000E  6345               A  81          2011</t>
  </si>
  <si>
    <t>L'amica geniale / Elena Ferrante.</t>
  </si>
  <si>
    <t>Ferrante, Elena, author.</t>
  </si>
  <si>
    <t>Roma : Edizioni E/o, [2011-2014]</t>
  </si>
  <si>
    <t>2019-07-31</t>
  </si>
  <si>
    <t>2999790245:ita</t>
  </si>
  <si>
    <t>798053881</t>
  </si>
  <si>
    <t>ocn798053881</t>
  </si>
  <si>
    <t>3103126223V</t>
  </si>
  <si>
    <t>9788866320326</t>
  </si>
  <si>
    <t>794923028</t>
  </si>
  <si>
    <t>2019-06-13</t>
  </si>
  <si>
    <t>3103586245A</t>
  </si>
  <si>
    <t>794923025</t>
  </si>
  <si>
    <t>2019-07-16</t>
  </si>
  <si>
    <t>31035862538</t>
  </si>
  <si>
    <t>794923027</t>
  </si>
  <si>
    <t>2019-05-08</t>
  </si>
  <si>
    <t>31035862528</t>
  </si>
  <si>
    <t>794923026</t>
  </si>
  <si>
    <t>PQ4866 E6345 A826 2006</t>
  </si>
  <si>
    <t>0                      PQ 4866000E  6345               A  826         2006</t>
  </si>
  <si>
    <t>L'amore molesto / Elena Ferrante.</t>
  </si>
  <si>
    <t>Roma : Edizioni E/o, 2006.</t>
  </si>
  <si>
    <t>1. ed. I super E/o.</t>
  </si>
  <si>
    <t>I super E/o ; 2</t>
  </si>
  <si>
    <t>2019-03-03</t>
  </si>
  <si>
    <t>39590287:ita</t>
  </si>
  <si>
    <t>66373142</t>
  </si>
  <si>
    <t>ocm66373142</t>
  </si>
  <si>
    <t>31034101494</t>
  </si>
  <si>
    <t>9788876417122</t>
  </si>
  <si>
    <t>794138880</t>
  </si>
  <si>
    <t>PQ4866 E6345 F54 2006</t>
  </si>
  <si>
    <t>0                      PQ 4866000E  6345               F  54          2006</t>
  </si>
  <si>
    <t>La figlia oscura / Elena Ferrante.</t>
  </si>
  <si>
    <t>Roma : Edizioni e/o, ©2006.</t>
  </si>
  <si>
    <t>10076638011:ita</t>
  </si>
  <si>
    <t>76784788</t>
  </si>
  <si>
    <t>ocm76784788</t>
  </si>
  <si>
    <t>3102831711Z</t>
  </si>
  <si>
    <t>9788876417535</t>
  </si>
  <si>
    <t>794176590</t>
  </si>
  <si>
    <t>PQ4866 E6345 G56 2002</t>
  </si>
  <si>
    <t>0                      PQ 4866000E  6345               G  56          2002</t>
  </si>
  <si>
    <t>I giorni dell'abbandono / Elena Ferrante.</t>
  </si>
  <si>
    <t>Roma : Edizioni e/o, 2002.</t>
  </si>
  <si>
    <t>2019-06-11</t>
  </si>
  <si>
    <t>46596038:ita</t>
  </si>
  <si>
    <t>49942462</t>
  </si>
  <si>
    <t>ocm49942462</t>
  </si>
  <si>
    <t>3102687005L</t>
  </si>
  <si>
    <t>9788876414862</t>
  </si>
  <si>
    <t>793751130</t>
  </si>
  <si>
    <t>PQ4866 E6345 G5613 2005</t>
  </si>
  <si>
    <t>0                      PQ 4866000E  6345               G  5613        2005</t>
  </si>
  <si>
    <t>The days of abandonment / Elena Ferrante ; translated from the Italian by Ann Goldstein.</t>
  </si>
  <si>
    <t>New York : Europa Editions, 2005.</t>
  </si>
  <si>
    <t>46596038:eng</t>
  </si>
  <si>
    <t>61265658</t>
  </si>
  <si>
    <t>ocm61265658</t>
  </si>
  <si>
    <t>3102490383V</t>
  </si>
  <si>
    <t>9781933372006</t>
  </si>
  <si>
    <t>793950254</t>
  </si>
  <si>
    <t>PQ4866 E6345 M9313 2012</t>
  </si>
  <si>
    <t>0                      PQ 4866000E  6345               M  9313        2012</t>
  </si>
  <si>
    <t>My brilliant friend. Book 1, Childhood, adolescence / Elena Ferrante ; translated from the Italian by Ann Goldstein.</t>
  </si>
  <si>
    <t>New York, N.Y. : Europa Editions, 2012.</t>
  </si>
  <si>
    <t>Neapolitan novels ; book 1</t>
  </si>
  <si>
    <t>2019-09-05</t>
  </si>
  <si>
    <t>9566554014:eng</t>
  </si>
  <si>
    <t>927006641</t>
  </si>
  <si>
    <t>ocn927006641</t>
  </si>
  <si>
    <t>3103867156U</t>
  </si>
  <si>
    <t>9781609450786</t>
  </si>
  <si>
    <t>795005577</t>
  </si>
  <si>
    <t>31037947829</t>
  </si>
  <si>
    <t>795005578</t>
  </si>
  <si>
    <t>3103711117X</t>
  </si>
  <si>
    <t>795005579</t>
  </si>
  <si>
    <t>31034721189</t>
  </si>
  <si>
    <t>795005576</t>
  </si>
  <si>
    <t>PQ4866 E6345 S7613 2014</t>
  </si>
  <si>
    <t>0                      PQ 4866000E  6345               S  7613        2014</t>
  </si>
  <si>
    <t>Those who leave and those who stay / Elena Ferrante ; translated from the Italian by Ann Goldstein.</t>
  </si>
  <si>
    <t>New York, NY : Europa Editions, 2014.</t>
  </si>
  <si>
    <t>The Neapolitan novels ; book three</t>
  </si>
  <si>
    <t>1867780186:eng</t>
  </si>
  <si>
    <t>870919836</t>
  </si>
  <si>
    <t>ocn870919836</t>
  </si>
  <si>
    <t>31036417217</t>
  </si>
  <si>
    <t>9781609452339</t>
  </si>
  <si>
    <t>794967018</t>
  </si>
  <si>
    <t>31035673913</t>
  </si>
  <si>
    <t>794967017</t>
  </si>
  <si>
    <t>PQ4866 E6345 S7713 2013</t>
  </si>
  <si>
    <t>0                      PQ 4866000E  6345               S  7713        2013</t>
  </si>
  <si>
    <t>The story of a new name / Elena Ferrante ; translated from the Italian by Ann Goldstein.</t>
  </si>
  <si>
    <t>New York, New York : Europa Editions, 2013.</t>
  </si>
  <si>
    <t>Neapolitan novels ; bk. two</t>
  </si>
  <si>
    <t>1211923955:eng</t>
  </si>
  <si>
    <t>829451619</t>
  </si>
  <si>
    <t>ocn829451619</t>
  </si>
  <si>
    <t>3103741971E</t>
  </si>
  <si>
    <t>9781609451349</t>
  </si>
  <si>
    <t>794942525</t>
  </si>
  <si>
    <t>3103688609G</t>
  </si>
  <si>
    <t>794942523</t>
  </si>
  <si>
    <t>3103502706M</t>
  </si>
  <si>
    <t>794942524</t>
  </si>
  <si>
    <t>PQ4866 E6345 S77513 2015</t>
  </si>
  <si>
    <t>0                      PQ 4866000E  6345               S  77513       2015</t>
  </si>
  <si>
    <t>The story of the lost child / Elena Ferrante ; translated from the Italian by Ann Goldstein.</t>
  </si>
  <si>
    <t>New York, N.Y. : Europa Editions, 2015.</t>
  </si>
  <si>
    <t>Neapolitan novels ; bk. 4</t>
  </si>
  <si>
    <t>10142142493:eng</t>
  </si>
  <si>
    <t>906010450</t>
  </si>
  <si>
    <t>ocn906010450</t>
  </si>
  <si>
    <t>3103688610V</t>
  </si>
  <si>
    <t>9781609452865</t>
  </si>
  <si>
    <t>794992164</t>
  </si>
  <si>
    <t>3103688611T</t>
  </si>
  <si>
    <t>794992166</t>
  </si>
  <si>
    <t>2019-07-27</t>
  </si>
  <si>
    <t>3103583717D</t>
  </si>
  <si>
    <t>794992165</t>
  </si>
  <si>
    <t>PQ4866 E6345 Z67 2003</t>
  </si>
  <si>
    <t>0                      PQ 4866000E  6345               Z  67          2003</t>
  </si>
  <si>
    <t>La frantumaglia / Elena Ferrante.</t>
  </si>
  <si>
    <t>Roma : Edizioni e/o, 2003.</t>
  </si>
  <si>
    <t>2019-08-28</t>
  </si>
  <si>
    <t>3963159087:ita</t>
  </si>
  <si>
    <t>53878959</t>
  </si>
  <si>
    <t>ocm53878959</t>
  </si>
  <si>
    <t>3102687001L</t>
  </si>
  <si>
    <t>9788876415753</t>
  </si>
  <si>
    <t>793852111</t>
  </si>
  <si>
    <t>PQ4866 E6345 Z6713 2016</t>
  </si>
  <si>
    <t>0                      PQ 4866000E  6345               Z  6713        2016</t>
  </si>
  <si>
    <t>Frantumaglia : a writer's journey / Elena Ferrante.</t>
  </si>
  <si>
    <t>New York, N.Y. : Europa Editions, 2016.</t>
  </si>
  <si>
    <t>Unabridged and updated edition.</t>
  </si>
  <si>
    <t>2019-07-19</t>
  </si>
  <si>
    <t>3963159087:eng</t>
  </si>
  <si>
    <t>907448005</t>
  </si>
  <si>
    <t>ocn907448005</t>
  </si>
  <si>
    <t>3103657547Z</t>
  </si>
  <si>
    <t>9781609452926</t>
  </si>
  <si>
    <t>794993327</t>
  </si>
  <si>
    <t>PQ4866 O2 A8213 1987</t>
  </si>
  <si>
    <t>0                      PQ 4866000O  2                  A  8213        1987</t>
  </si>
  <si>
    <t>Archangels don't play pinball / Dario Fo ; translated by R.C. McAvoy and A-M. Giugni ; introduced by Stuart Hood.</t>
  </si>
  <si>
    <t>London : Methuen, 1987.</t>
  </si>
  <si>
    <t>A Methuen modern play</t>
  </si>
  <si>
    <t>22829778:eng</t>
  </si>
  <si>
    <t>15549179</t>
  </si>
  <si>
    <t>ocm15549179</t>
  </si>
  <si>
    <t>3000535683G</t>
  </si>
  <si>
    <t>9780413156303</t>
  </si>
  <si>
    <t>792935053</t>
  </si>
  <si>
    <t>PQ4866 O2 B37 2017</t>
  </si>
  <si>
    <t>0                      PQ 4866000O  2                  B  37          2017</t>
  </si>
  <si>
    <t>Il Barbarossa e la beffa di Alessandria / Dario Fo ; a cura di Jacopo Fo ; con disegni e dipinti dell'autore.</t>
  </si>
  <si>
    <t>Fo, Dario, author, illustrator.</t>
  </si>
  <si>
    <t>Milano : Ugo Guanda editore, [2017]</t>
  </si>
  <si>
    <t>4648532642:ita</t>
  </si>
  <si>
    <t>1013405213</t>
  </si>
  <si>
    <t>on1013405213</t>
  </si>
  <si>
    <t>31037211973</t>
  </si>
  <si>
    <t>9788823518797</t>
  </si>
  <si>
    <t>795046958</t>
  </si>
  <si>
    <t>PQ4866 O2 B53 2010</t>
  </si>
  <si>
    <t>0                      PQ 4866000O  2                  B  53          2010</t>
  </si>
  <si>
    <t>La Bibbia dei villani / Dario Fo ; a cura di Franca Rame.</t>
  </si>
  <si>
    <t>Parma : U. Guanda, ©2010.</t>
  </si>
  <si>
    <t>1056804:ita</t>
  </si>
  <si>
    <t>613309507</t>
  </si>
  <si>
    <t>ocn613309507</t>
  </si>
  <si>
    <t>3103125078V</t>
  </si>
  <si>
    <t>9788860886798</t>
  </si>
  <si>
    <t>794821849</t>
  </si>
  <si>
    <t>PQ4866 O2 C35 2014</t>
  </si>
  <si>
    <t>0                      PQ 4866000O  2                  C  35          2014</t>
  </si>
  <si>
    <t>Una Callas dimenticata / di Dario Fo e Franca Rame.</t>
  </si>
  <si>
    <t>Modena : Franco Cosimo Panini, 2014.</t>
  </si>
  <si>
    <t>2507209473:ita</t>
  </si>
  <si>
    <t>915336712</t>
  </si>
  <si>
    <t>ocn915336712</t>
  </si>
  <si>
    <t>3103630309O</t>
  </si>
  <si>
    <t>9788857006956</t>
  </si>
  <si>
    <t>795000532</t>
  </si>
  <si>
    <t>PQ4866 O2 C46 2015</t>
  </si>
  <si>
    <t>0                      PQ 4866000O  2                  C  46          2015</t>
  </si>
  <si>
    <t>C'è un re pazzo in Danimarca / Dario Fo ; da un'idea di Jacopo Fo.</t>
  </si>
  <si>
    <t>Fo, Dario, author.</t>
  </si>
  <si>
    <t>Milano : Chiarelettere, gennaio 2015.</t>
  </si>
  <si>
    <t>Narrazioni Chiarelettere</t>
  </si>
  <si>
    <t>2301353148:ita</t>
  </si>
  <si>
    <t>903942220</t>
  </si>
  <si>
    <t>ocn903942220</t>
  </si>
  <si>
    <t>3103621373G</t>
  </si>
  <si>
    <t>9788861906549</t>
  </si>
  <si>
    <t>794989839</t>
  </si>
  <si>
    <t>PQ4866 O2 P2513 1992</t>
  </si>
  <si>
    <t>0                      PQ 4866000O  2                  P  2513        1992</t>
  </si>
  <si>
    <t>The Pope and the witch / Dario Fo ; adapted by Andy De la Tour from a translation by Ed Emery ; introduced by Stuart Hood.</t>
  </si>
  <si>
    <t>London : Methuen Drama ; New Hampshire : Distributed in the United States of America by HEB, 1992.</t>
  </si>
  <si>
    <t>Methuen modern plays</t>
  </si>
  <si>
    <t>3901401401:eng</t>
  </si>
  <si>
    <t>26546221</t>
  </si>
  <si>
    <t>ocm26546221</t>
  </si>
  <si>
    <t>3101183678$</t>
  </si>
  <si>
    <t>9780413640604</t>
  </si>
  <si>
    <t>793246670</t>
  </si>
  <si>
    <t>31015189029</t>
  </si>
  <si>
    <t>793246669</t>
  </si>
  <si>
    <t>PQ4866 O2 P34 2012</t>
  </si>
  <si>
    <t>0                      PQ 4866000O  2                  P  34          2012</t>
  </si>
  <si>
    <t>Il paese dei misteri buffi / Dario Fo, Giuseppina Manin.</t>
  </si>
  <si>
    <t>Parma : U. Guanda, 2012.</t>
  </si>
  <si>
    <t>1107749944:ita</t>
  </si>
  <si>
    <t>793403362</t>
  </si>
  <si>
    <t>ocn793403362</t>
  </si>
  <si>
    <t>3103125823H</t>
  </si>
  <si>
    <t>9788860886286</t>
  </si>
  <si>
    <t>794918136</t>
  </si>
  <si>
    <t>PQ4866 O2 P67 2015</t>
  </si>
  <si>
    <t>0                      PQ 4866000O  2                  P  67          2015</t>
  </si>
  <si>
    <t>The Pope's daughter / Dario Fo ; translated from the Italian by Antony Shugaar.</t>
  </si>
  <si>
    <t>New York, NY : Europa Editions, 2015.</t>
  </si>
  <si>
    <t>1907203990:eng</t>
  </si>
  <si>
    <t>893895327</t>
  </si>
  <si>
    <t>ocn893895327</t>
  </si>
  <si>
    <t>3103583637C</t>
  </si>
  <si>
    <t>9781609452742</t>
  </si>
  <si>
    <t>794982106</t>
  </si>
  <si>
    <t>PQ4866 O2 Q38 2017</t>
  </si>
  <si>
    <t>0                      PQ 4866000O  2                  Q  38          2017</t>
  </si>
  <si>
    <t>Quasi per caso una donna : Cristina di Svezia / Dario Fo.</t>
  </si>
  <si>
    <t>Milano [Milan, Italy] : Ugo Guanda Editore, 2017.</t>
  </si>
  <si>
    <t>4026379278:ita</t>
  </si>
  <si>
    <t>969795366</t>
  </si>
  <si>
    <t>ocn969795366</t>
  </si>
  <si>
    <t>3103716165Y</t>
  </si>
  <si>
    <t>9788823516663</t>
  </si>
  <si>
    <t>795027510</t>
  </si>
  <si>
    <t>PQ4866 O2 Z622 2012</t>
  </si>
  <si>
    <t>0                      PQ 4866000O  2                  Z  622         2012</t>
  </si>
  <si>
    <t>Dario Fo : un giullare nell'età contemporanea / Antonio Catalfamo.</t>
  </si>
  <si>
    <t>Chieti : Solfanelli, ©2012.</t>
  </si>
  <si>
    <t>Micromegas ; 31</t>
  </si>
  <si>
    <t>1207229506:ita</t>
  </si>
  <si>
    <t>827227869</t>
  </si>
  <si>
    <t>ocn827227869</t>
  </si>
  <si>
    <t>31031261001</t>
  </si>
  <si>
    <t>9788874977864</t>
  </si>
  <si>
    <t>794939822</t>
  </si>
  <si>
    <t>PQ4866 O2 Z844 2011</t>
  </si>
  <si>
    <t>0                      PQ 4866000O  2                  Z  844         2011</t>
  </si>
  <si>
    <t>Dario Fo : framing, festival, and the folkloric imagination / Antonio Scuderi.</t>
  </si>
  <si>
    <t>Scuderi, Antonio, 1956-</t>
  </si>
  <si>
    <t>Lanham, Md. : Lexington Books, ©2011.</t>
  </si>
  <si>
    <t>836169362:eng</t>
  </si>
  <si>
    <t>707966813</t>
  </si>
  <si>
    <t>ocn707966813</t>
  </si>
  <si>
    <t>3103362582V</t>
  </si>
  <si>
    <t>9780739151112</t>
  </si>
  <si>
    <t>794868469</t>
  </si>
  <si>
    <t>PQ4866 O43 M4613 2012</t>
  </si>
  <si>
    <t>0                      PQ 4866000O  43                 M  4613        2012</t>
  </si>
  <si>
    <t>Memory of the abyss / Marcello Fois ; translated from the Italian by Patrick Creagh.</t>
  </si>
  <si>
    <t>Fois, Marcello, 1960-</t>
  </si>
  <si>
    <t>London : MacLehose Press, 2012.</t>
  </si>
  <si>
    <t>56394091:eng</t>
  </si>
  <si>
    <t>757932066</t>
  </si>
  <si>
    <t>ocn757932066</t>
  </si>
  <si>
    <t>3103470829V</t>
  </si>
  <si>
    <t>9781906694005</t>
  </si>
  <si>
    <t>794895914</t>
  </si>
  <si>
    <t>PQ4866 O43 N45 2012</t>
  </si>
  <si>
    <t>0                      PQ 4866000O  43                 N  45          2012</t>
  </si>
  <si>
    <t>Nel tempo di mezzo / Marcello Fois.</t>
  </si>
  <si>
    <t>Torino : Einaudi, ©2012.</t>
  </si>
  <si>
    <t>1089006340:ita</t>
  </si>
  <si>
    <t>794383678</t>
  </si>
  <si>
    <t>ocn794383678</t>
  </si>
  <si>
    <t>31031257946</t>
  </si>
  <si>
    <t>9788806202651</t>
  </si>
  <si>
    <t>794919861</t>
  </si>
  <si>
    <t>PQ4866 O43 S65 2012</t>
  </si>
  <si>
    <t>0                      PQ 4866000O  43                 S  65          2012</t>
  </si>
  <si>
    <t>Sola andata / Marcello Fois.</t>
  </si>
  <si>
    <t>Nuoro : Il Maestrale, [2012]</t>
  </si>
  <si>
    <t>34128257:ita</t>
  </si>
  <si>
    <t>801440652</t>
  </si>
  <si>
    <t>ocn801440652</t>
  </si>
  <si>
    <t>31031260054</t>
  </si>
  <si>
    <t>9788864291253</t>
  </si>
  <si>
    <t>794925013</t>
  </si>
  <si>
    <t>PQ4866 O537 D56 2017</t>
  </si>
  <si>
    <t>0                      PQ 4866000O  537                D  56          2017</t>
  </si>
  <si>
    <t>Il dio di New York / Luigi Fontanella.</t>
  </si>
  <si>
    <t>Fontanella, Luigi, 1943- author.</t>
  </si>
  <si>
    <t>Firenze : Passigli editori, [2017]</t>
  </si>
  <si>
    <t>Passigli narrativa</t>
  </si>
  <si>
    <t>4390393646:ita</t>
  </si>
  <si>
    <t>990712781</t>
  </si>
  <si>
    <t>ocn990712781</t>
  </si>
  <si>
    <t>3103793905O</t>
  </si>
  <si>
    <t>9788836815845</t>
  </si>
  <si>
    <t>795037862</t>
  </si>
  <si>
    <t>PQ4866 O74 A725 2011</t>
  </si>
  <si>
    <t>0                      PQ 4866000O  74                 A  725         2011</t>
  </si>
  <si>
    <t>Allegra Street / Mario Fortunato.</t>
  </si>
  <si>
    <t>Fortunato, Mario.</t>
  </si>
  <si>
    <t>867061821:ita</t>
  </si>
  <si>
    <t>713177961</t>
  </si>
  <si>
    <t>ocn713177961</t>
  </si>
  <si>
    <t>3103125352Q</t>
  </si>
  <si>
    <t>9788845201097</t>
  </si>
  <si>
    <t>794872544</t>
  </si>
  <si>
    <t>PQ4866 R278 S54 2010</t>
  </si>
  <si>
    <t>0                      PQ 4866000R  278                S  54          2010</t>
  </si>
  <si>
    <t>Signore delle lacrime / Antonio Franchini.</t>
  </si>
  <si>
    <t>Franchini, Antonio, 1958-</t>
  </si>
  <si>
    <t>757220369:ita</t>
  </si>
  <si>
    <t>681707170</t>
  </si>
  <si>
    <t>ocn681707170</t>
  </si>
  <si>
    <t>3103452127H</t>
  </si>
  <si>
    <t>9788831706117</t>
  </si>
  <si>
    <t>794852333</t>
  </si>
  <si>
    <t>PQ4866 R8 A66</t>
  </si>
  <si>
    <t>0                      PQ 4866000R  8                  A  66</t>
  </si>
  <si>
    <t>A che punto è la notte / [di] Carlo Fruttero, Franco Lucentini.</t>
  </si>
  <si>
    <t>Fruttero, Carlo.</t>
  </si>
  <si>
    <t>Varia</t>
  </si>
  <si>
    <t>197058909:ita</t>
  </si>
  <si>
    <t>6338147</t>
  </si>
  <si>
    <t>ocm06338147</t>
  </si>
  <si>
    <t>31032931059</t>
  </si>
  <si>
    <t>792491964</t>
  </si>
  <si>
    <t>PQ4867 A817 C4</t>
  </si>
  <si>
    <t>0                      PQ 4867000A  817                C  4</t>
  </si>
  <si>
    <t>O Cesare o nessuno : azione drammatica in undici quadri con prologo liberamente ispirata alla vita e al mito di Edmund Kean / Vittorio Gassman ; collaborazione al testo di Luciano Lucignani.</t>
  </si>
  <si>
    <t>Gassman, Vittorio.</t>
  </si>
  <si>
    <t>Milano : Garzanti, 1974.</t>
  </si>
  <si>
    <t>2016-12-17</t>
  </si>
  <si>
    <t>1016973864:ita</t>
  </si>
  <si>
    <t>1985655</t>
  </si>
  <si>
    <t>ocm01985655</t>
  </si>
  <si>
    <t>30003945922</t>
  </si>
  <si>
    <t>792023323</t>
  </si>
  <si>
    <t>PQ4867 I1323 M37 2015</t>
  </si>
  <si>
    <t>0                      PQ 4867000I  1323               M  37          2015</t>
  </si>
  <si>
    <t>La mappa / Vittorio Giacopini.</t>
  </si>
  <si>
    <t>Giacopini, Vittorio.</t>
  </si>
  <si>
    <t>La cultura ; 899</t>
  </si>
  <si>
    <t>2298453944:ita</t>
  </si>
  <si>
    <t>903598943</t>
  </si>
  <si>
    <t>ocn903598943</t>
  </si>
  <si>
    <t>31036233744</t>
  </si>
  <si>
    <t>9788842820727</t>
  </si>
  <si>
    <t>794989457</t>
  </si>
  <si>
    <t>PQ4867 I65 A913 1987</t>
  </si>
  <si>
    <t>0                      PQ 4867000I  65                 A  913         1987</t>
  </si>
  <si>
    <t>Sansevero / Andrea Giovene ; translated from the Italian by Marguerite Waldman and Bernard Wall ; with an introduction by Valerio di Balvano.</t>
  </si>
  <si>
    <t>Giovene, Andrea, 1904-</t>
  </si>
  <si>
    <t>London ; New York : Quartet Books, 1987.</t>
  </si>
  <si>
    <t>365204139:eng</t>
  </si>
  <si>
    <t>18334763</t>
  </si>
  <si>
    <t>ocm18334763</t>
  </si>
  <si>
    <t>30005356959</t>
  </si>
  <si>
    <t>9780704300347</t>
  </si>
  <si>
    <t>793021843</t>
  </si>
  <si>
    <t>3100841118U</t>
  </si>
  <si>
    <t>793021842</t>
  </si>
  <si>
    <t>PQ4867 I65 A93 1970</t>
  </si>
  <si>
    <t>0                      PQ 4867000I  65                 A  93          1970</t>
  </si>
  <si>
    <t>The book of Sansevero. Translated by Marguerite Waldman.</t>
  </si>
  <si>
    <t>Boston, Houghton Mifflin, 1970.</t>
  </si>
  <si>
    <t>8913915611:eng</t>
  </si>
  <si>
    <t>94042</t>
  </si>
  <si>
    <t>ocm00094042</t>
  </si>
  <si>
    <t>3103773549W</t>
  </si>
  <si>
    <t>791253917</t>
  </si>
  <si>
    <t>3100841116Y</t>
  </si>
  <si>
    <t>791253915</t>
  </si>
  <si>
    <t>3100841117W</t>
  </si>
  <si>
    <t>791253916</t>
  </si>
  <si>
    <t>PQ4867 I7 Z615 2013</t>
  </si>
  <si>
    <t>0                      PQ 4867000I  7                  Z  615         2013</t>
  </si>
  <si>
    <t>Gli ultimi poeti : Giovanni Giudici e Andrea Zanzotto / Giulio Ferroni.</t>
  </si>
  <si>
    <t>Milano : Il saggiatore, [2013]</t>
  </si>
  <si>
    <t>Le Silerchie ; 9</t>
  </si>
  <si>
    <t>1212398151:ita</t>
  </si>
  <si>
    <t>834493688</t>
  </si>
  <si>
    <t>ocn834493688</t>
  </si>
  <si>
    <t>3103126162Q</t>
  </si>
  <si>
    <t>9788842819066</t>
  </si>
  <si>
    <t>794944356</t>
  </si>
  <si>
    <t>PQ4867 I7998 C8613 2014</t>
  </si>
  <si>
    <t>0                      PQ 4867000I  7998               C  8613        2014</t>
  </si>
  <si>
    <t>The dark heart of Florence / Michele Giuttari ; translated by Howard Curtis and Isabelle Kaufeler.</t>
  </si>
  <si>
    <t>Giuttari, Michele, 1950- author.</t>
  </si>
  <si>
    <t>London : Abacus, 2014.</t>
  </si>
  <si>
    <t>2564939201:eng</t>
  </si>
  <si>
    <t>868378366</t>
  </si>
  <si>
    <t>ocn868378366</t>
  </si>
  <si>
    <t>3103703152R</t>
  </si>
  <si>
    <t>9780349139333</t>
  </si>
  <si>
    <t>794964664</t>
  </si>
  <si>
    <t>PQ4867 I7998 D4313 2009</t>
  </si>
  <si>
    <t>0                      PQ 4867000I  7998               D  4313        2009</t>
  </si>
  <si>
    <t>The death of a Mafia don / Michele Giuttari ; translated by Howard Curtis.</t>
  </si>
  <si>
    <t>Giuttari, Michele, 1950-</t>
  </si>
  <si>
    <t>London : Abacus, 2009.</t>
  </si>
  <si>
    <t>Michele Ferrara ; 3</t>
  </si>
  <si>
    <t>199113291:eng</t>
  </si>
  <si>
    <t>321015749</t>
  </si>
  <si>
    <t>ocn321015749</t>
  </si>
  <si>
    <t>3103669675A</t>
  </si>
  <si>
    <t>9780349121628</t>
  </si>
  <si>
    <t>794489393</t>
  </si>
  <si>
    <t>PQ4867 I7998 D6613 2011</t>
  </si>
  <si>
    <t>0                      PQ 4867000I  7998               D  6613        2011</t>
  </si>
  <si>
    <t>A death in Calabria / Michele Giuttari ; translated by Howard Curtis.</t>
  </si>
  <si>
    <t>London : Abacus, 2011.</t>
  </si>
  <si>
    <t>430836341:eng</t>
  </si>
  <si>
    <t>746111387</t>
  </si>
  <si>
    <t>ocn746111387</t>
  </si>
  <si>
    <t>3103740929I</t>
  </si>
  <si>
    <t>9780349123097</t>
  </si>
  <si>
    <t>794886929</t>
  </si>
  <si>
    <t>PQ4867 I7998 R6713 2012</t>
  </si>
  <si>
    <t>0                      PQ 4867000I  7998               R  6713        2012</t>
  </si>
  <si>
    <t>The black rose Of Florence / by Michele Giuttari ; translated by Howard Curtis.</t>
  </si>
  <si>
    <t>London : Little, Brown, 2012.</t>
  </si>
  <si>
    <t>Michele Ferrara series ; 5</t>
  </si>
  <si>
    <t>2018-01-26</t>
  </si>
  <si>
    <t>8911742677:eng</t>
  </si>
  <si>
    <t>762991052</t>
  </si>
  <si>
    <t>ocn762991052</t>
  </si>
  <si>
    <t>3103470839T</t>
  </si>
  <si>
    <t>9781408703601</t>
  </si>
  <si>
    <t>794900137</t>
  </si>
  <si>
    <t>PQ4867.R32 C37 2019</t>
  </si>
  <si>
    <t>0                      PQ 4867000R  32                 C  37          2019</t>
  </si>
  <si>
    <t>Casa Freud : un racconto sperimentale inedito / Giuliano Gramigna ; presentazione di Giuseppe Lupo.</t>
  </si>
  <si>
    <t>Gramigna, Giuliano, author.</t>
  </si>
  <si>
    <t>Novara : Interlinea, [2019]</t>
  </si>
  <si>
    <t>Alia ; 63</t>
  </si>
  <si>
    <t>9649167845:ita</t>
  </si>
  <si>
    <t>1128043138</t>
  </si>
  <si>
    <t>on1128043138</t>
  </si>
  <si>
    <t>3103875682D</t>
  </si>
  <si>
    <t>9788868572747</t>
  </si>
  <si>
    <t>795086289</t>
  </si>
  <si>
    <t>PQ4867 R335 C55 2011</t>
  </si>
  <si>
    <t>0                      PQ 4867000R  335                C  55          2011</t>
  </si>
  <si>
    <t>La chiéve de l'úrte / Francesco Granatiero ; nota di Giovanni Tesio.</t>
  </si>
  <si>
    <t>Granatiero, Francesco, 1949-</t>
  </si>
  <si>
    <t>Novara : Interlinea, 2011.</t>
  </si>
  <si>
    <t>Lyra ; 40</t>
  </si>
  <si>
    <t>3754127407:ita</t>
  </si>
  <si>
    <t>709663694</t>
  </si>
  <si>
    <t>ocn709663694</t>
  </si>
  <si>
    <t>3103125326W</t>
  </si>
  <si>
    <t>9788882127589</t>
  </si>
  <si>
    <t>794869532</t>
  </si>
  <si>
    <t>PQ4867 U17357 S77 2010</t>
  </si>
  <si>
    <t>0                      PQ 4867000U  17357              S  77          2010</t>
  </si>
  <si>
    <t>Una strana storia d'amore / Luigi Guarnieri.</t>
  </si>
  <si>
    <t>Guarnieri, Luigi, 1962-</t>
  </si>
  <si>
    <t>Milano : Rizzoli, 2010.</t>
  </si>
  <si>
    <t>Rizzoli la scala</t>
  </si>
  <si>
    <t>2013-06-04</t>
  </si>
  <si>
    <t>686274686:ita</t>
  </si>
  <si>
    <t>670470611</t>
  </si>
  <si>
    <t>ocn670470611</t>
  </si>
  <si>
    <t>3103125186Q</t>
  </si>
  <si>
    <t>9788817043205</t>
  </si>
  <si>
    <t>794847812</t>
  </si>
  <si>
    <t>PQ4867 U276 M35 2011</t>
  </si>
  <si>
    <t>0                      PQ 4867000U  276                M  35          2011</t>
  </si>
  <si>
    <t>Poiana e la malastagione : romanzo di un cinghiale con un piede in bocca / Francesco Guccini, Loriano Macchiavelli.</t>
  </si>
  <si>
    <t>Guccini, Francesco, 1940-</t>
  </si>
  <si>
    <t>Milano : Mondadori, 2011.</t>
  </si>
  <si>
    <t>Omnibus</t>
  </si>
  <si>
    <t>757220343:ita</t>
  </si>
  <si>
    <t>681707138</t>
  </si>
  <si>
    <t>ocn681707138</t>
  </si>
  <si>
    <t>3103125281N</t>
  </si>
  <si>
    <t>9788804606673</t>
  </si>
  <si>
    <t>794852330</t>
  </si>
  <si>
    <t>PQ4867 U3 P65 2012</t>
  </si>
  <si>
    <t>0                      PQ 4867000U  3                  P  65          2012</t>
  </si>
  <si>
    <t>Polvere di sole : 101 storie per accendere l'umanità / Tonino Guerra ; a cura di Salvatore Giannella.</t>
  </si>
  <si>
    <t>Guerra, Tonino.</t>
  </si>
  <si>
    <t>1100665182:ita</t>
  </si>
  <si>
    <t>785487693</t>
  </si>
  <si>
    <t>ocn785487693</t>
  </si>
  <si>
    <t>3103125752E</t>
  </si>
  <si>
    <t>9788845269424</t>
  </si>
  <si>
    <t>794914884</t>
  </si>
  <si>
    <t>PQ4867 U3 V35 2010</t>
  </si>
  <si>
    <t>0                      PQ 4867000U  3                  V  35          2010</t>
  </si>
  <si>
    <t>La valle del Kamasutra : segni, sogni e altro scelti dal poeta / Tonino Guerra ; a cura di Salvatore Giannella.</t>
  </si>
  <si>
    <t>891926301:ita</t>
  </si>
  <si>
    <t>610840595</t>
  </si>
  <si>
    <t>ocn610840595</t>
  </si>
  <si>
    <t>3103125071V</t>
  </si>
  <si>
    <t>9788845264504</t>
  </si>
  <si>
    <t>794820817</t>
  </si>
  <si>
    <t>PQ4867 U3 Z46 2010</t>
  </si>
  <si>
    <t>0                      PQ 4867000U  3                  Z  46          2010</t>
  </si>
  <si>
    <t>Tempo di viaggio / Tonino Guerra.</t>
  </si>
  <si>
    <t>Santarcangelo di Romagna (Rimini) : Maggioli, ©2010.</t>
  </si>
  <si>
    <t>I serpenti acrobati ; 20</t>
  </si>
  <si>
    <t>836163185:ita</t>
  </si>
  <si>
    <t>707959259</t>
  </si>
  <si>
    <t>ocn707959259</t>
  </si>
  <si>
    <t>3103125315Y</t>
  </si>
  <si>
    <t>794868307</t>
  </si>
  <si>
    <t>PQ4867 U3 Z46 2012</t>
  </si>
  <si>
    <t>0                      PQ 4867000U  3                  Z  46          2012</t>
  </si>
  <si>
    <t>La casa dei mandorli / Tonino Guerra ; a cura di Rita Giannini ; immagini Luciano Liuzzi ; pref. Giancarlo Mazzuca.</t>
  </si>
  <si>
    <t>Bologna : Minerva, 2012.</t>
  </si>
  <si>
    <t>1106093517:ita</t>
  </si>
  <si>
    <t>791855608</t>
  </si>
  <si>
    <t>ocn791855608</t>
  </si>
  <si>
    <t>3103125821H</t>
  </si>
  <si>
    <t>9788873814238</t>
  </si>
  <si>
    <t>794916904</t>
  </si>
  <si>
    <t>PQ4867 U4665 C35 2010</t>
  </si>
  <si>
    <t>0                      PQ 4867000U  4665               C  35          2010</t>
  </si>
  <si>
    <t>Inspector Cataldo's criminal summer / by Luigi Guicciardi.</t>
  </si>
  <si>
    <t>Guicciardi, Luigi, 1953-</t>
  </si>
  <si>
    <t>Abingdon : Hersilia, 2010.</t>
  </si>
  <si>
    <t>2017-04-11</t>
  </si>
  <si>
    <t>349669514:eng</t>
  </si>
  <si>
    <t>467760877</t>
  </si>
  <si>
    <t>ocn467760877</t>
  </si>
  <si>
    <t>3103453973G</t>
  </si>
  <si>
    <t>9780956379603</t>
  </si>
  <si>
    <t>794795148</t>
  </si>
  <si>
    <t>PQ4870 A4 A2 2017</t>
  </si>
  <si>
    <t>0                      PQ 4870000A  4                  A  2           2017</t>
  </si>
  <si>
    <t>I am the brother of XX / Fleur Jaeggy ; translated by Gini Alhadeff.</t>
  </si>
  <si>
    <t>Jaeggy, Fleur, author.</t>
  </si>
  <si>
    <t>New York : New Directions Publishing Corporation, 2017.</t>
  </si>
  <si>
    <t>New Directions paperbook ; NDP1384</t>
  </si>
  <si>
    <t>2019-10-29</t>
  </si>
  <si>
    <t>4536077054:eng</t>
  </si>
  <si>
    <t>961003091</t>
  </si>
  <si>
    <t>ocn961003091</t>
  </si>
  <si>
    <t>31037387323</t>
  </si>
  <si>
    <t>9780811225984</t>
  </si>
  <si>
    <t>795023499</t>
  </si>
  <si>
    <t>PQ4870 A4 B4313 1993</t>
  </si>
  <si>
    <t>0                      PQ 4870000A  4                  B  4313        1993</t>
  </si>
  <si>
    <t>Sweet days of discipline / by Fleur Jaeggy ; translated by Tim Parks.</t>
  </si>
  <si>
    <t>New York : New Directions Pub. Corp., 1993.</t>
  </si>
  <si>
    <t>NDP ; 758</t>
  </si>
  <si>
    <t>2019-01-11</t>
  </si>
  <si>
    <t>353454:eng</t>
  </si>
  <si>
    <t>27432209</t>
  </si>
  <si>
    <t>ocm27432209</t>
  </si>
  <si>
    <t>3103739054G</t>
  </si>
  <si>
    <t>9780811212359</t>
  </si>
  <si>
    <t>793266599</t>
  </si>
  <si>
    <t>PQ4870 A4 P7613 2003</t>
  </si>
  <si>
    <t>0                      PQ 4870000A  4                  P  7613        2003</t>
  </si>
  <si>
    <t>S.S. Proleterka / Fleur Jaeggy ; translated by Alastair McEwen.</t>
  </si>
  <si>
    <t>Jaeggy, Fleur.</t>
  </si>
  <si>
    <t>New York : New Directions, 2003.</t>
  </si>
  <si>
    <t>1808067204:eng</t>
  </si>
  <si>
    <t>52430958</t>
  </si>
  <si>
    <t>ocm52430958</t>
  </si>
  <si>
    <t>3103740245B</t>
  </si>
  <si>
    <t>9780811215503</t>
  </si>
  <si>
    <t>793806442</t>
  </si>
  <si>
    <t>PQ4870 A4 S6 2014</t>
  </si>
  <si>
    <t>0                      PQ 4870000A  4                  S  6           2014</t>
  </si>
  <si>
    <t>Sono il fratello di XX / Fleur Jaeggy.</t>
  </si>
  <si>
    <t>Milano Adelphi Edizioni, 2014.</t>
  </si>
  <si>
    <t>Fabula ; 279</t>
  </si>
  <si>
    <t>2203568957:ita</t>
  </si>
  <si>
    <t>903666855</t>
  </si>
  <si>
    <t>ocn903666855</t>
  </si>
  <si>
    <t>3103201050I</t>
  </si>
  <si>
    <t>9788845929274</t>
  </si>
  <si>
    <t>794989590</t>
  </si>
  <si>
    <t>PQ4870 A4 V5813 2017</t>
  </si>
  <si>
    <t>0                      PQ 4870000A  4                  V  5813        2017</t>
  </si>
  <si>
    <t>These possible lives / Fleur Jaeggy ; translated by Minna Zallman Proctor.</t>
  </si>
  <si>
    <t>First American paperback edition.</t>
  </si>
  <si>
    <t>499492750:eng</t>
  </si>
  <si>
    <t>961007934</t>
  </si>
  <si>
    <t>ocn961007934</t>
  </si>
  <si>
    <t>3103702092O</t>
  </si>
  <si>
    <t>9780811226875</t>
  </si>
  <si>
    <t>795023527</t>
  </si>
  <si>
    <t>PQ4870 A44 R66 2010</t>
  </si>
  <si>
    <t>0                      PQ 4870000A  44                 R  66          2010</t>
  </si>
  <si>
    <t>Le rondini di Montecassino / Helena Janeczek.</t>
  </si>
  <si>
    <t>Janeczek, Helena, 1964-</t>
  </si>
  <si>
    <t>Parma : Ugo Guanda Editore, ©2010.</t>
  </si>
  <si>
    <t>Narratori della fenice.</t>
  </si>
  <si>
    <t>889017896:ita</t>
  </si>
  <si>
    <t>680493834</t>
  </si>
  <si>
    <t>ocn680493834</t>
  </si>
  <si>
    <t>3103125307$</t>
  </si>
  <si>
    <t>9788860889454</t>
  </si>
  <si>
    <t>794851200</t>
  </si>
  <si>
    <t>PQ4872 A24 D67 2012</t>
  </si>
  <si>
    <t>0                      PQ 4872000A  24                 D  67          2012</t>
  </si>
  <si>
    <t>Doppio misto / Raffaele La Capria.</t>
  </si>
  <si>
    <t>La Capria, Raffaele, 1922-</t>
  </si>
  <si>
    <t>1171448169:ita</t>
  </si>
  <si>
    <t>818780909</t>
  </si>
  <si>
    <t>ocn818780909</t>
  </si>
  <si>
    <t>31031259528</t>
  </si>
  <si>
    <t>9788804623854</t>
  </si>
  <si>
    <t>794934187</t>
  </si>
  <si>
    <t>PQ4872 A24 E84 2012</t>
  </si>
  <si>
    <t>0                      PQ 4872000A  24                 E  84          2012</t>
  </si>
  <si>
    <t>Esercizi superficiali : nuotando in superficie / Raffaele La Capria.</t>
  </si>
  <si>
    <t>1081148151:ita</t>
  </si>
  <si>
    <t>777474831</t>
  </si>
  <si>
    <t>ocn777474831</t>
  </si>
  <si>
    <t>3103125686B</t>
  </si>
  <si>
    <t>9788804614678</t>
  </si>
  <si>
    <t>794908832</t>
  </si>
  <si>
    <t>PQ4872 A24 G5x 1976</t>
  </si>
  <si>
    <t>0                      PQ 4872000A  24                 G  5x          1976</t>
  </si>
  <si>
    <t>Un giorno d'impazienza / Raffaele La Capria.</t>
  </si>
  <si>
    <t>Milano : Bompiani, ©1976.</t>
  </si>
  <si>
    <t>350825139:ita</t>
  </si>
  <si>
    <t>2668344</t>
  </si>
  <si>
    <t>ocm02668344</t>
  </si>
  <si>
    <t>3000433693U</t>
  </si>
  <si>
    <t>792160437</t>
  </si>
  <si>
    <t>PQ4872 A24 Z48 2011</t>
  </si>
  <si>
    <t>0                      PQ 4872000A  24                 Z  48          2011</t>
  </si>
  <si>
    <t>Confidenziale : lettere dagli amici / Raffaele La Capria.</t>
  </si>
  <si>
    <t>Padova : Il notes magico, ©2011.</t>
  </si>
  <si>
    <t>La biblioteca di Mercurio ; 20</t>
  </si>
  <si>
    <t>1098193105:ita</t>
  </si>
  <si>
    <t>783120215</t>
  </si>
  <si>
    <t>ocn783120215</t>
  </si>
  <si>
    <t>3103125743G</t>
  </si>
  <si>
    <t>9788888341286</t>
  </si>
  <si>
    <t>794913806</t>
  </si>
  <si>
    <t>PQ4872 A24 2003</t>
  </si>
  <si>
    <t>0                      PQ 4872000A  24          2003</t>
  </si>
  <si>
    <t>Opere / Raffaele La Capria ; a cura e con un saggio introduttivo di Silvio Perrella.</t>
  </si>
  <si>
    <t>La Capria, Raffaele, 1922- author.</t>
  </si>
  <si>
    <t>Milano : Arnoldo Mondadori, 2003.</t>
  </si>
  <si>
    <t>2015-01-10</t>
  </si>
  <si>
    <t>196958834:ita</t>
  </si>
  <si>
    <t>51788641</t>
  </si>
  <si>
    <t>ocm51788641</t>
  </si>
  <si>
    <t>3102313881D</t>
  </si>
  <si>
    <t>9788804513612</t>
  </si>
  <si>
    <t>793791102</t>
  </si>
  <si>
    <t>PQ4872 E39 P33 1984</t>
  </si>
  <si>
    <t>0                      PQ 4872000E  39                 P  33          1984</t>
  </si>
  <si>
    <t>Padre padrone : l'educazione di un pastore / Gavino Ledda.</t>
  </si>
  <si>
    <t>Ledda, Gavino, 1938-</t>
  </si>
  <si>
    <t>Milano : Feltrinelli Economica, 1984.</t>
  </si>
  <si>
    <t>Universale economica</t>
  </si>
  <si>
    <t>2016-08-11</t>
  </si>
  <si>
    <t>3734040:ita</t>
  </si>
  <si>
    <t>13246797</t>
  </si>
  <si>
    <t>ocm13246797</t>
  </si>
  <si>
    <t>3000374762F</t>
  </si>
  <si>
    <t>9788807809682</t>
  </si>
  <si>
    <t>792846293</t>
  </si>
  <si>
    <t>PQ4872 E55 I5 1980</t>
  </si>
  <si>
    <t>0                      PQ 4872000E  55                 I  5           1980</t>
  </si>
  <si>
    <t>L'incompleto : nel mondo pieno di merci / Francesco Leonetti.</t>
  </si>
  <si>
    <t>Leonetti, Francesco.</t>
  </si>
  <si>
    <t>Torino : Einaudi, ©1980.</t>
  </si>
  <si>
    <t>Nuovi coralli ; 265</t>
  </si>
  <si>
    <t>2015-12-01</t>
  </si>
  <si>
    <t>4494952593:ita</t>
  </si>
  <si>
    <t>7213129</t>
  </si>
  <si>
    <t>ocm07213129</t>
  </si>
  <si>
    <t>3000334768R</t>
  </si>
  <si>
    <t>792546815</t>
  </si>
  <si>
    <t>PQ4872 E55 Z85 2010</t>
  </si>
  <si>
    <t>0                      PQ 4872000E  55                 Z  85          2010</t>
  </si>
  <si>
    <t>Il "caso Leonetti" : utopia e arte della deformazione / Marco Rustioni.</t>
  </si>
  <si>
    <t>Rustioni, Marco.</t>
  </si>
  <si>
    <t>Strumenti di filologia e critica ; 8</t>
  </si>
  <si>
    <t>796540718:ita</t>
  </si>
  <si>
    <t>652361179</t>
  </si>
  <si>
    <t>ocn652361179</t>
  </si>
  <si>
    <t>3103125150W</t>
  </si>
  <si>
    <t>9788863152128</t>
  </si>
  <si>
    <t>794833404</t>
  </si>
  <si>
    <t>PQ4872 E8 A113 1997</t>
  </si>
  <si>
    <t>0                      PQ 4872000E  8                  A  113         1997</t>
  </si>
  <si>
    <t>Opere / Primo Levi ; a cura di Marco Belpoliti ; introduzione di Daniele del Giudice.</t>
  </si>
  <si>
    <t>Levi, Primo.</t>
  </si>
  <si>
    <t>Torino : G. Einaudi, [1997]</t>
  </si>
  <si>
    <t>Nuova universale Einaudi 225</t>
  </si>
  <si>
    <t>3770091521:ita</t>
  </si>
  <si>
    <t>38312544</t>
  </si>
  <si>
    <t>ocm38312544</t>
  </si>
  <si>
    <t>3101887689$</t>
  </si>
  <si>
    <t>9788806146375</t>
  </si>
  <si>
    <t>793521961</t>
  </si>
  <si>
    <t>2005-01-30</t>
  </si>
  <si>
    <t>31018876857</t>
  </si>
  <si>
    <t>793521960</t>
  </si>
  <si>
    <t>PQ4872 E8 A2 2015</t>
  </si>
  <si>
    <t>0                      PQ 4872000E  8                  A  2           2015</t>
  </si>
  <si>
    <t>The complete works of Primo Levi / edited by Ann Goldstein ; introduction by Toni Morrison.</t>
  </si>
  <si>
    <t>Levi, Primo, author.</t>
  </si>
  <si>
    <t>New York : Liveright Publishing Corporation, [2015]</t>
  </si>
  <si>
    <t>2016-07-07</t>
  </si>
  <si>
    <t>4392766830:eng</t>
  </si>
  <si>
    <t>902661304</t>
  </si>
  <si>
    <t>ocn902661304</t>
  </si>
  <si>
    <t>3103609914H</t>
  </si>
  <si>
    <t>9780871404565</t>
  </si>
  <si>
    <t>794988381</t>
  </si>
  <si>
    <t>3103609909A</t>
  </si>
  <si>
    <t>794988382</t>
  </si>
  <si>
    <t>3103609904K</t>
  </si>
  <si>
    <t>794988383</t>
  </si>
  <si>
    <t>PQ4872 E8 A24 1988</t>
  </si>
  <si>
    <t>0                      PQ 4872000E  8                  A  24          1988</t>
  </si>
  <si>
    <t>Collected poems / Primo Levi ; translated by Ruth Feldman and Brian Swann.</t>
  </si>
  <si>
    <t>London ; Boston : Faber and Faber, 1988.</t>
  </si>
  <si>
    <t>26378272:eng</t>
  </si>
  <si>
    <t>17550011</t>
  </si>
  <si>
    <t>ocm17550011</t>
  </si>
  <si>
    <t>3102768280$</t>
  </si>
  <si>
    <t>9780571152551</t>
  </si>
  <si>
    <t>792995275</t>
  </si>
  <si>
    <t>PQ4872 E8 A6 2014</t>
  </si>
  <si>
    <t>0                      PQ 4872000E  8                  A  6           2014</t>
  </si>
  <si>
    <t>Ranocchi sulla luna e altri animali / Primo Levi ; a cura di Ernesto Ferrero.</t>
  </si>
  <si>
    <t>Torino : Einaudi, [2014]</t>
  </si>
  <si>
    <t>2452370949:ita</t>
  </si>
  <si>
    <t>907638859</t>
  </si>
  <si>
    <t>ocn907638859</t>
  </si>
  <si>
    <t>3103628118Y</t>
  </si>
  <si>
    <t>9788806221591</t>
  </si>
  <si>
    <t>794993645</t>
  </si>
  <si>
    <t>PQ4872 E8 A7313 1992</t>
  </si>
  <si>
    <t>0                      PQ 4872000E  8                  A  7313        1992</t>
  </si>
  <si>
    <t>London : Faber, 1992.</t>
  </si>
  <si>
    <t>2015-11-30</t>
  </si>
  <si>
    <t>829310770</t>
  </si>
  <si>
    <t>ocn829310770</t>
  </si>
  <si>
    <t>31009678009</t>
  </si>
  <si>
    <t>9780571165391</t>
  </si>
  <si>
    <t>794942362</t>
  </si>
  <si>
    <t>PQ4872 E8 A8313 2005</t>
  </si>
  <si>
    <t>0                      PQ 4872000E  8                  A  8313        2005</t>
  </si>
  <si>
    <t>The black hole of Auschwitz / Primo Levi ; edited by Marco Belpoliti ; translated by Sharon Wood.</t>
  </si>
  <si>
    <t>Cambridge, UK ; Malden, MA : Polity Press, 2005.</t>
  </si>
  <si>
    <t>9658306499:eng</t>
  </si>
  <si>
    <t>61217674</t>
  </si>
  <si>
    <t>ocm61217674</t>
  </si>
  <si>
    <t>31025597573</t>
  </si>
  <si>
    <t>9780745632407</t>
  </si>
  <si>
    <t>793948939</t>
  </si>
  <si>
    <t>PQ4872 E8 C48</t>
  </si>
  <si>
    <t>0                      PQ 4872000E  8                  C  48</t>
  </si>
  <si>
    <t>La chiave a stella / Primo Levi.</t>
  </si>
  <si>
    <t>Torino : Einaudi, 1978.</t>
  </si>
  <si>
    <t>7820111:ita</t>
  </si>
  <si>
    <t>5137427</t>
  </si>
  <si>
    <t>ocm05137427</t>
  </si>
  <si>
    <t>3000457333S</t>
  </si>
  <si>
    <t>792410521</t>
  </si>
  <si>
    <t>PQ4872 E8 C4813 1986</t>
  </si>
  <si>
    <t>0                      PQ 4872000E  8                  C  4813        1986</t>
  </si>
  <si>
    <t>The monkey's wrench / Primo Levi ; translated from the Italian by William Weaver.</t>
  </si>
  <si>
    <t>New York : Summit Books, ©1986.</t>
  </si>
  <si>
    <t>2017-09-12</t>
  </si>
  <si>
    <t>7820111:eng</t>
  </si>
  <si>
    <t>13396373</t>
  </si>
  <si>
    <t>ocm13396373</t>
  </si>
  <si>
    <t>3103087693E</t>
  </si>
  <si>
    <t>9780671622145</t>
  </si>
  <si>
    <t>792852015</t>
  </si>
  <si>
    <t>3000193016K</t>
  </si>
  <si>
    <t>792852016</t>
  </si>
  <si>
    <t>PQ4872 E8 C4838 2013</t>
  </si>
  <si>
    <t>0                      PQ 4872000E  8                  C  4838        2013</t>
  </si>
  <si>
    <t>Primo Levi e il piemontese : la lingua de La chiave a stella / Bruno Villata.</t>
  </si>
  <si>
    <t>Villata, Bruno, 1936- author.</t>
  </si>
  <si>
    <t>Torino : Savej, Fundassion cultural piemunteisa, novembre 2013.</t>
  </si>
  <si>
    <t>Prima edizione Savej.</t>
  </si>
  <si>
    <t>19182200:ita</t>
  </si>
  <si>
    <t>915336794</t>
  </si>
  <si>
    <t>ocn915336794</t>
  </si>
  <si>
    <t>3103630303$</t>
  </si>
  <si>
    <t>9788890451843</t>
  </si>
  <si>
    <t>795000533</t>
  </si>
  <si>
    <t>PQ4872 E8 S513 1984</t>
  </si>
  <si>
    <t>0                      PQ 4872000E  8                  S  513         1984</t>
  </si>
  <si>
    <t>The periodic table / Primo Levi ; translated from the Italian by Raymond Rosenthal.</t>
  </si>
  <si>
    <t>New York : Schocken Books, 1984.</t>
  </si>
  <si>
    <t>2015-10-24</t>
  </si>
  <si>
    <t>4820468260:eng</t>
  </si>
  <si>
    <t>10726684</t>
  </si>
  <si>
    <t>ocm10726684</t>
  </si>
  <si>
    <t>3103387352D</t>
  </si>
  <si>
    <t>9780805239294</t>
  </si>
  <si>
    <t>792739885</t>
  </si>
  <si>
    <t>3103629227O</t>
  </si>
  <si>
    <t>792739883</t>
  </si>
  <si>
    <t>31028028166</t>
  </si>
  <si>
    <t>792739882</t>
  </si>
  <si>
    <t>PQ4872 E8 Z4641 2011</t>
  </si>
  <si>
    <t>0                      PQ 4872000E  8                  Z  4641        2011</t>
  </si>
  <si>
    <t>Intervista a Primo Levi, ex deportato / a cura di Anna Bravo e Federico Cereja.</t>
  </si>
  <si>
    <t>Torino : Einaudi, ©2011.</t>
  </si>
  <si>
    <t>Vele ; 62</t>
  </si>
  <si>
    <t>694997457:ita</t>
  </si>
  <si>
    <t>679933944</t>
  </si>
  <si>
    <t>ocn679933944</t>
  </si>
  <si>
    <t>3103125324W</t>
  </si>
  <si>
    <t>9788806204976</t>
  </si>
  <si>
    <t>794850850</t>
  </si>
  <si>
    <t>PQ4872 E8 Z55 2002</t>
  </si>
  <si>
    <t>0                      PQ 4872000E  8                  Z  55          2002</t>
  </si>
  <si>
    <t>The double bond : Primo Levi, a biography / Carole Angier.</t>
  </si>
  <si>
    <t>Angier, Carole, 1943-</t>
  </si>
  <si>
    <t>New York : Farrar, Straus and Giroux, 2002.</t>
  </si>
  <si>
    <t>1007889:eng</t>
  </si>
  <si>
    <t>49788627</t>
  </si>
  <si>
    <t>ocm49788627</t>
  </si>
  <si>
    <t>31021992877</t>
  </si>
  <si>
    <t>9780374113155</t>
  </si>
  <si>
    <t>793747902</t>
  </si>
  <si>
    <t>PQ4872 E8 Z562 2011</t>
  </si>
  <si>
    <t>0                      PQ 4872000E  8                  Z  562         2011</t>
  </si>
  <si>
    <t>Answering Auschwitz : Primo Levi's science and humanism after the fall / edited by Stanislao G. Pugliese.</t>
  </si>
  <si>
    <t>495517317:eng</t>
  </si>
  <si>
    <t>630467875</t>
  </si>
  <si>
    <t>ocn630467875</t>
  </si>
  <si>
    <t>3103321911K</t>
  </si>
  <si>
    <t>9780823233588</t>
  </si>
  <si>
    <t>794824470</t>
  </si>
  <si>
    <t>PQ4872 E8 Z5625 2014</t>
  </si>
  <si>
    <t>0                      PQ 4872000E  8                  Z  5625        2014</t>
  </si>
  <si>
    <t>Approaches to teaching the works of Primo Levi / edited by Nicholas Patruno and Roberta Ricci.</t>
  </si>
  <si>
    <t>Approaches to teaching world literature, 1059-1133 ; 133</t>
  </si>
  <si>
    <t>9075471972:eng</t>
  </si>
  <si>
    <t>858126228</t>
  </si>
  <si>
    <t>ocn858126228</t>
  </si>
  <si>
    <t>3103612730J</t>
  </si>
  <si>
    <t>9781603291477</t>
  </si>
  <si>
    <t>794955833</t>
  </si>
  <si>
    <t>PQ4872 E8 Z564 2012</t>
  </si>
  <si>
    <t>0                      PQ 4872000E  8                  Z  564         2012</t>
  </si>
  <si>
    <t>Una telefonata con Primo Levi = A phone conversation with Primo Levi / Stefano Bartezzaghi ; traduzione inglese di Jonathan Hunt.</t>
  </si>
  <si>
    <t>Bartezzaghi, Stefano.</t>
  </si>
  <si>
    <t>Lezioni Primo Levi ; 3</t>
  </si>
  <si>
    <t>2015-04-02</t>
  </si>
  <si>
    <t>1122978346:ita</t>
  </si>
  <si>
    <t>798053292</t>
  </si>
  <si>
    <t>ocn798053292</t>
  </si>
  <si>
    <t>3103125857B</t>
  </si>
  <si>
    <t>9788806210649</t>
  </si>
  <si>
    <t>794923014</t>
  </si>
  <si>
    <t>PQ4872 E8 Z564 2013</t>
  </si>
  <si>
    <t>0                      PQ 4872000E  8                  Z  564         2013</t>
  </si>
  <si>
    <t>Perché crediamo a Primo Levi? = Why do we believe Primo Levi? / Mario Barenghi ; traduzione inglese di Jonathan Hunt.</t>
  </si>
  <si>
    <t>Barenghi, M. (Mario), author.</t>
  </si>
  <si>
    <t>Torino : Einaudi, 2013.</t>
  </si>
  <si>
    <t>Lezioni Primo Levi ; 4</t>
  </si>
  <si>
    <t>1749382262:ita</t>
  </si>
  <si>
    <t>846460157</t>
  </si>
  <si>
    <t>ocn846460157</t>
  </si>
  <si>
    <t>3103126259P</t>
  </si>
  <si>
    <t>9788806215811</t>
  </si>
  <si>
    <t>794949077</t>
  </si>
  <si>
    <t>PQ4872 E8 Z5674 2015</t>
  </si>
  <si>
    <t>0                      PQ 4872000E  8                  Z  5674        2015</t>
  </si>
  <si>
    <t>Primo Levi di fronte e di profilo / Marco Belpoliti.</t>
  </si>
  <si>
    <t>Belpoliti, Marco, 1954- author.</t>
  </si>
  <si>
    <t>Milano : Ugo Guanda editore, [2015]</t>
  </si>
  <si>
    <t>Biblioteca della Fenice</t>
  </si>
  <si>
    <t>4495396211:ita</t>
  </si>
  <si>
    <t>922837192</t>
  </si>
  <si>
    <t>ocn922837192</t>
  </si>
  <si>
    <t>31036302886</t>
  </si>
  <si>
    <t>9788860884459</t>
  </si>
  <si>
    <t>795004162</t>
  </si>
  <si>
    <t>PQ4872 E8 Z5675 2006</t>
  </si>
  <si>
    <t>0                      PQ 4872000E  8                  Z  5675        2006</t>
  </si>
  <si>
    <t>Primo Levi : rewriting the Holocaust / Lucie Benchouiha.</t>
  </si>
  <si>
    <t>Benchouiha, Lucie.</t>
  </si>
  <si>
    <t>Leicester : Troubador, ©2006.</t>
  </si>
  <si>
    <t>364561920:eng</t>
  </si>
  <si>
    <t>61260633</t>
  </si>
  <si>
    <t>ocm61260633</t>
  </si>
  <si>
    <t>3102556370N</t>
  </si>
  <si>
    <t>9781905237234</t>
  </si>
  <si>
    <t>793950015</t>
  </si>
  <si>
    <t>PQ4872 E8 Z5715 2011</t>
  </si>
  <si>
    <t>0                      PQ 4872000E  8                  Z  5715        2011</t>
  </si>
  <si>
    <t>Esperimento Auschwitz = Auschwitz experiment / Massimo Bucciantini ; traduzione inglese di Nicoletta Simborowski.</t>
  </si>
  <si>
    <t>Bucciantini, Massimo.</t>
  </si>
  <si>
    <t>Lezioni Primo Levi ; 2</t>
  </si>
  <si>
    <t>903078776:ita</t>
  </si>
  <si>
    <t>726827591</t>
  </si>
  <si>
    <t>ocn726827591</t>
  </si>
  <si>
    <t>3103125393I</t>
  </si>
  <si>
    <t>9788806207342</t>
  </si>
  <si>
    <t>794877518</t>
  </si>
  <si>
    <t>PQ4872 E8 Z572 2007</t>
  </si>
  <si>
    <t>0                      PQ 4872000E  8                  Z  572         2007</t>
  </si>
  <si>
    <t>The Cambridge companion to Primo Levi / edited by Robert S.C. Gordon.</t>
  </si>
  <si>
    <t>Cambridge ; New York : Cambridge University Press, 2007.</t>
  </si>
  <si>
    <t>2015-10-21</t>
  </si>
  <si>
    <t>65108733:eng</t>
  </si>
  <si>
    <t>80020005</t>
  </si>
  <si>
    <t>ocm80020005</t>
  </si>
  <si>
    <t>3102571284Y</t>
  </si>
  <si>
    <t>9780521843577</t>
  </si>
  <si>
    <t>794199678</t>
  </si>
  <si>
    <t>PQ4872 E8 Z597 2011</t>
  </si>
  <si>
    <t>0                      PQ 4872000E  8                  Z  597         2011</t>
  </si>
  <si>
    <t>Primo Levi e la scienza come metafora / Antonio Di Meo.</t>
  </si>
  <si>
    <t>Di Meo, Antonio, 1947-</t>
  </si>
  <si>
    <t>Soveria Mannelli : Rubbettino, ©2011.</t>
  </si>
  <si>
    <t>894524347:ita</t>
  </si>
  <si>
    <t>719413507</t>
  </si>
  <si>
    <t>ocn719413507</t>
  </si>
  <si>
    <t>3103125413V</t>
  </si>
  <si>
    <t>9788849829211</t>
  </si>
  <si>
    <t>794874405</t>
  </si>
  <si>
    <t>PQ4872 E8 Z65 2015</t>
  </si>
  <si>
    <t>0                      PQ 4872000E  8                  Z  65          2015</t>
  </si>
  <si>
    <t>In un'altra lingua = In another language / Ann Goldstein, Domenico Scarpa.</t>
  </si>
  <si>
    <t>Goldstein, Ann, author.</t>
  </si>
  <si>
    <t>Lezioni Primo Levi ; 6</t>
  </si>
  <si>
    <t>2615766289:ita</t>
  </si>
  <si>
    <t>920379344</t>
  </si>
  <si>
    <t>ocn920379344</t>
  </si>
  <si>
    <t>3103624727T</t>
  </si>
  <si>
    <t>9788806225483</t>
  </si>
  <si>
    <t>795002210</t>
  </si>
  <si>
    <t>PQ4872 E8 Z683 2016</t>
  </si>
  <si>
    <t>0                      PQ 4872000E  8                  Z  683         2016</t>
  </si>
  <si>
    <t>Primo Levi and the identity of a survivor / Nancy Harrowitz.</t>
  </si>
  <si>
    <t>Harrowitz, Nancy A. (Nancy Anne), 1952- author.</t>
  </si>
  <si>
    <t>Toronto ; Buffalo : University of Toronto Press, [2016]</t>
  </si>
  <si>
    <t>3865106642:eng</t>
  </si>
  <si>
    <t>958271471</t>
  </si>
  <si>
    <t>ocn958271471</t>
  </si>
  <si>
    <t>3103646436I</t>
  </si>
  <si>
    <t>9781487501020</t>
  </si>
  <si>
    <t>795021628</t>
  </si>
  <si>
    <t>PQ4872 E8 Z687 2001</t>
  </si>
  <si>
    <t>0                      PQ 4872000E  8                  Z  687         2001</t>
  </si>
  <si>
    <t>Memory and mastery : Primo Levi as writer and witness / edited by Roberta S. Kremer.</t>
  </si>
  <si>
    <t>Albany : State University of New York Press, ©2001.</t>
  </si>
  <si>
    <t>SUNY series in modern Jewish literature and culture</t>
  </si>
  <si>
    <t>837005910:eng</t>
  </si>
  <si>
    <t>44089210</t>
  </si>
  <si>
    <t>ocm44089210</t>
  </si>
  <si>
    <t>3102133409B</t>
  </si>
  <si>
    <t>9780791449219</t>
  </si>
  <si>
    <t>793642209</t>
  </si>
  <si>
    <t>PQ4872 E8 Z69 2001</t>
  </si>
  <si>
    <t>0                      PQ 4872000E  8                  Z  69          2001</t>
  </si>
  <si>
    <t>Primo Levi and the politics of survival / Frederic D. Homer.</t>
  </si>
  <si>
    <t>Homer, Frederic D.</t>
  </si>
  <si>
    <t>Columbia : University of Missouri Press, ©2001.</t>
  </si>
  <si>
    <t>17339072:eng</t>
  </si>
  <si>
    <t>45951697</t>
  </si>
  <si>
    <t>ocm45951697</t>
  </si>
  <si>
    <t>3102094301Y</t>
  </si>
  <si>
    <t>9780826213389</t>
  </si>
  <si>
    <t>793681383</t>
  </si>
  <si>
    <t>PQ4872 E8 Z724 2013</t>
  </si>
  <si>
    <t>0                      PQ 4872000E  8                  Z  724         2013</t>
  </si>
  <si>
    <t>Primo Levi : the matter of a life / Berel Lang.</t>
  </si>
  <si>
    <t>Lang, Berel.</t>
  </si>
  <si>
    <t>New Haven : Yale University Press, [2013]</t>
  </si>
  <si>
    <t>Jewish Lives</t>
  </si>
  <si>
    <t>1776740746:eng</t>
  </si>
  <si>
    <t>840803708</t>
  </si>
  <si>
    <t>ocn840803708</t>
  </si>
  <si>
    <t>3103529477G</t>
  </si>
  <si>
    <t>9780300137231</t>
  </si>
  <si>
    <t>794946240</t>
  </si>
  <si>
    <t>PQ4872 E8 Z7254 2016</t>
  </si>
  <si>
    <t>0                      PQ 4872000E  8                  Z  7254        2016</t>
  </si>
  <si>
    <t>Primo Levi's resistance : rebels and collaborators in occupied Italy / Sergio Luzzatto ; translated by Frederika Randall.</t>
  </si>
  <si>
    <t>Luzzatto, Sergio, 1963- author.</t>
  </si>
  <si>
    <t>New York : Metropolitan Books/Henry Holt and Company, 2016.</t>
  </si>
  <si>
    <t>2869504718:eng</t>
  </si>
  <si>
    <t>890622454</t>
  </si>
  <si>
    <t>ocn890622454</t>
  </si>
  <si>
    <t>3103654517M</t>
  </si>
  <si>
    <t>9780805099553</t>
  </si>
  <si>
    <t>794979446</t>
  </si>
  <si>
    <t>PQ4872 E8 Z72598 2011</t>
  </si>
  <si>
    <t>0                      PQ 4872000E  8                  Z  72598       2011</t>
  </si>
  <si>
    <t>Levi / Enrico Mattioda.</t>
  </si>
  <si>
    <t>Mattioda, Enrico.</t>
  </si>
  <si>
    <t>Sestante ; 21</t>
  </si>
  <si>
    <t>900366764:ita</t>
  </si>
  <si>
    <t>724303807</t>
  </si>
  <si>
    <t>ocn724303807</t>
  </si>
  <si>
    <t>3103125451N</t>
  </si>
  <si>
    <t>9788884027139</t>
  </si>
  <si>
    <t>794876304</t>
  </si>
  <si>
    <t>PQ4872 E8 Z752 2017</t>
  </si>
  <si>
    <t>0                      PQ 4872000E  8                  Z  752         2017</t>
  </si>
  <si>
    <t>Primo Levi e i tedeschi = Primo Levi and the Germans / Martina Mengoni ; traduzione inglese di Gail McDowell.</t>
  </si>
  <si>
    <t>Mengoni, Martina, author.</t>
  </si>
  <si>
    <t>Torino : Einaudi, [2017]</t>
  </si>
  <si>
    <t>Lezioni Primo Levi ; 8</t>
  </si>
  <si>
    <t>4246349266:ita</t>
  </si>
  <si>
    <t>989929107</t>
  </si>
  <si>
    <t>ocn989929107</t>
  </si>
  <si>
    <t>3103721217N</t>
  </si>
  <si>
    <t>9788806234461</t>
  </si>
  <si>
    <t>795037327</t>
  </si>
  <si>
    <t>PQ4872 E8 Z754 2011</t>
  </si>
  <si>
    <t>0                      PQ 4872000E  8                  Z  754         2011</t>
  </si>
  <si>
    <t>Primo Levi : le passage d'un témoin / Philippe Mesnard.</t>
  </si>
  <si>
    <t>Mesnard, Philippe, 1956-</t>
  </si>
  <si>
    <t>[Paris] : Fayard, 2011.</t>
  </si>
  <si>
    <t>1038464259:fre</t>
  </si>
  <si>
    <t>767755625</t>
  </si>
  <si>
    <t>ocn767755625</t>
  </si>
  <si>
    <t>3103428463S</t>
  </si>
  <si>
    <t>9782213643571</t>
  </si>
  <si>
    <t>794901461</t>
  </si>
  <si>
    <t>PQ4872 E8 Z767 2011</t>
  </si>
  <si>
    <t>0                      PQ 4872000E  8                  Z  767         2011</t>
  </si>
  <si>
    <t>New reflections on Primo Levi : before and after Auschwitz / edited by Risa Sodi and Millicent Marcus.</t>
  </si>
  <si>
    <t>New York : Palgrave Macmillan, 2011.</t>
  </si>
  <si>
    <t>762159202:eng</t>
  </si>
  <si>
    <t>689004290</t>
  </si>
  <si>
    <t>ocn689004290</t>
  </si>
  <si>
    <t>3103362592T</t>
  </si>
  <si>
    <t>9780230103856</t>
  </si>
  <si>
    <t>794854720</t>
  </si>
  <si>
    <t>PQ4872 E8 Z8313 2017</t>
  </si>
  <si>
    <t>0                      PQ 4872000E  8                  Z  8313        2017</t>
  </si>
  <si>
    <t>Echoes of a lost voice : encounters with Primo Levi / Gabriella Poli and Giorgio Calcagno ; translated from the Italian by Nat Paterson ; edited by Carole Angier.</t>
  </si>
  <si>
    <t>Poli, Gabriella, author.</t>
  </si>
  <si>
    <t>Elstree ; Portland, Oregon : Vallentine Mitchell, 2017.</t>
  </si>
  <si>
    <t>English edition.</t>
  </si>
  <si>
    <t>4243590694:eng</t>
  </si>
  <si>
    <t>971936576</t>
  </si>
  <si>
    <t>ocn971936576</t>
  </si>
  <si>
    <t>3103740459T</t>
  </si>
  <si>
    <t>9781910383445</t>
  </si>
  <si>
    <t>795028442</t>
  </si>
  <si>
    <t>PQ4872 E8 Z8353 2015</t>
  </si>
  <si>
    <t>0                      PQ 4872000E  8                  Z  8353        2015</t>
  </si>
  <si>
    <t>Primo Levi : actes du colloque international, Chambéry, Université Savoie Mont Blanc, 25 et 26 mars 2015 / sous la direction de Daniela Amsallem ; organisé par le Laboratoire LLSETI.</t>
  </si>
  <si>
    <t>Chambéry : Université Savoie Mont Blanc, [2015]</t>
  </si>
  <si>
    <t>Collection Écriture et représentation, 1774-3842 ; No 29</t>
  </si>
  <si>
    <t>3772293469:fre</t>
  </si>
  <si>
    <t>935188630</t>
  </si>
  <si>
    <t>ocn935188630</t>
  </si>
  <si>
    <t>3103623492Z</t>
  </si>
  <si>
    <t>9782919732425</t>
  </si>
  <si>
    <t>795009974</t>
  </si>
  <si>
    <t>PQ4872 E8 Z8517 2002</t>
  </si>
  <si>
    <t>0                      PQ 4872000E  8                  Z  8517        2002</t>
  </si>
  <si>
    <t>Primo Levi, le double lien : science et littérature / sous la direction de Walter Geerts et Jean Samuel.</t>
  </si>
  <si>
    <t>Paris : Ramsay, ©2002.</t>
  </si>
  <si>
    <t>892449103:fre</t>
  </si>
  <si>
    <t>50149823</t>
  </si>
  <si>
    <t>ocm50149823</t>
  </si>
  <si>
    <t>3102212734$</t>
  </si>
  <si>
    <t>9782841145645</t>
  </si>
  <si>
    <t>793756815</t>
  </si>
  <si>
    <t>PQ4872 E8 Z8525 1999</t>
  </si>
  <si>
    <t>0                      PQ 4872000E  8                  Z  8525        1999</t>
  </si>
  <si>
    <t>Primo Levi : testimone e scrittore di storia / a cura di Paolo Momigliano Levi, Rosanna Gorris ; discorsi introduttivi: Bruno Germano [and others] ; relazioni: Stuart Woolf [and others].</t>
  </si>
  <si>
    <t>Firenze : Giuntina, ©1999.</t>
  </si>
  <si>
    <t>2016-03-29</t>
  </si>
  <si>
    <t>350473315:ita</t>
  </si>
  <si>
    <t>41529366</t>
  </si>
  <si>
    <t>ocm41529366</t>
  </si>
  <si>
    <t>3102091187L</t>
  </si>
  <si>
    <t>9788880570820</t>
  </si>
  <si>
    <t>793593512</t>
  </si>
  <si>
    <t>PQ4872 E8 Z864 2012</t>
  </si>
  <si>
    <t>0                      PQ 4872000E  8                  Z  864         2012</t>
  </si>
  <si>
    <t>Anche il cielo brucia : Primo Levi e il giornalismo / Andrea Rondini.</t>
  </si>
  <si>
    <t>Rondini, Andrea.</t>
  </si>
  <si>
    <t>1124056393:ita</t>
  </si>
  <si>
    <t>798609827</t>
  </si>
  <si>
    <t>ocn798609827</t>
  </si>
  <si>
    <t>3103125842D</t>
  </si>
  <si>
    <t>9788874624355</t>
  </si>
  <si>
    <t>794923798</t>
  </si>
  <si>
    <t>PQ4872 E8 Z865 2011</t>
  </si>
  <si>
    <t>0                      PQ 4872000E  8                  Z  865         2011</t>
  </si>
  <si>
    <t>Primo Levi's narratives of embodiment : containing the human / Charlotte Ross.</t>
  </si>
  <si>
    <t>Ross, Charlotte, 1974-</t>
  </si>
  <si>
    <t>Routledge studies in twentieth-century literature ; 16</t>
  </si>
  <si>
    <t>803353822:eng</t>
  </si>
  <si>
    <t>641998040</t>
  </si>
  <si>
    <t>ocn641998040</t>
  </si>
  <si>
    <t>3103323184M</t>
  </si>
  <si>
    <t>9780415880411</t>
  </si>
  <si>
    <t>794827819</t>
  </si>
  <si>
    <t>PQ4872 E8 Z874 2013</t>
  </si>
  <si>
    <t>0                      PQ 4872000E  8                  Z  874         2013</t>
  </si>
  <si>
    <t>Il lungo viaggio di Primo Levi : la scelta della resistenza, il tradimento, l'arresto : una storia taciuta / Frediano Sessi.</t>
  </si>
  <si>
    <t>Sessi, Frediano, 1949-</t>
  </si>
  <si>
    <t>Venezia : Marsilio, 2013.</t>
  </si>
  <si>
    <t>Gli specchi Marsilio ; 227</t>
  </si>
  <si>
    <t>1207229484:ita</t>
  </si>
  <si>
    <t>820120837</t>
  </si>
  <si>
    <t>ocn820120837</t>
  </si>
  <si>
    <t>3103126099N</t>
  </si>
  <si>
    <t>9788831714648</t>
  </si>
  <si>
    <t>794935067</t>
  </si>
  <si>
    <t>PQ4872 E8 Z885 2003b</t>
  </si>
  <si>
    <t>0                      PQ 4872000E  8                  Z  885         2003b</t>
  </si>
  <si>
    <t>Primo Levi / Ian Thomson.</t>
  </si>
  <si>
    <t>Thomson, Ian, 1961-</t>
  </si>
  <si>
    <t>London : Vintage, 2003.</t>
  </si>
  <si>
    <t>3943329472:eng</t>
  </si>
  <si>
    <t>51001881</t>
  </si>
  <si>
    <t>ocm51001881</t>
  </si>
  <si>
    <t>3102387301U</t>
  </si>
  <si>
    <t>9780099515210</t>
  </si>
  <si>
    <t>793776655</t>
  </si>
  <si>
    <t>PQ4872 E8 Z95 1995</t>
  </si>
  <si>
    <t>0                      PQ 4872000E  8                  Z  95          1995</t>
  </si>
  <si>
    <t>The memory of the offence : Primo Levi's If this is a man / Judith Woolf.</t>
  </si>
  <si>
    <t>Woolf, Judith, 1946-</t>
  </si>
  <si>
    <t>Market Harborough : University Texts, ©1995.</t>
  </si>
  <si>
    <t>Hull Italian Texts S.</t>
  </si>
  <si>
    <t>20756903:eng</t>
  </si>
  <si>
    <t>59625921</t>
  </si>
  <si>
    <t>ocm59625921</t>
  </si>
  <si>
    <t>31021700488</t>
  </si>
  <si>
    <t>9781899293100</t>
  </si>
  <si>
    <t>793930813</t>
  </si>
  <si>
    <t>PQ4872 E8 1987</t>
  </si>
  <si>
    <t>0                      PQ 4872000E  8           1987</t>
  </si>
  <si>
    <t>Opere / Primo Levi.</t>
  </si>
  <si>
    <t>Torino : Einaudi, ©1987-©1990.</t>
  </si>
  <si>
    <t>Biblioteca dell'orsa ; 4</t>
  </si>
  <si>
    <t>21598416</t>
  </si>
  <si>
    <t>ocm21598416</t>
  </si>
  <si>
    <t>3100683890B</t>
  </si>
  <si>
    <t>9788806599201</t>
  </si>
  <si>
    <t>793123877</t>
  </si>
  <si>
    <t>31006838919</t>
  </si>
  <si>
    <t>793123878</t>
  </si>
  <si>
    <t>PQ4872 E8 2005</t>
  </si>
  <si>
    <t>0                      PQ 4872000E  8           2005</t>
  </si>
  <si>
    <t>Œuvres / Primo Levi ; édition présentée par Catherine Coquio.</t>
  </si>
  <si>
    <t>Paris : Robert Laffont, ©2005.</t>
  </si>
  <si>
    <t>Bouquins</t>
  </si>
  <si>
    <t>1059273862:fre</t>
  </si>
  <si>
    <t>57526693</t>
  </si>
  <si>
    <t>ocm57526693</t>
  </si>
  <si>
    <t>3102508831X</t>
  </si>
  <si>
    <t>9782221098943</t>
  </si>
  <si>
    <t>793914720</t>
  </si>
  <si>
    <t>PQ4872 O29 I83 2010</t>
  </si>
  <si>
    <t>0                      PQ 4872000O  29                 I  83          2010</t>
  </si>
  <si>
    <t>Italia / Marco Lodoli.</t>
  </si>
  <si>
    <t>Lodoli, Marco.</t>
  </si>
  <si>
    <t>I coralli</t>
  </si>
  <si>
    <t>764588427:ita</t>
  </si>
  <si>
    <t>692269601</t>
  </si>
  <si>
    <t>ocn692269601</t>
  </si>
  <si>
    <t>3103125256T</t>
  </si>
  <si>
    <t>9788806203801</t>
  </si>
  <si>
    <t>794856010</t>
  </si>
  <si>
    <t>PQ4872 O29 V37 2013</t>
  </si>
  <si>
    <t>0                      PQ 4872000O  29                 V  37          2013</t>
  </si>
  <si>
    <t>Vapore / Marco Lodoli.</t>
  </si>
  <si>
    <t>1366444246:ita</t>
  </si>
  <si>
    <t>834494636</t>
  </si>
  <si>
    <t>ocn834494636</t>
  </si>
  <si>
    <t>3103126147U</t>
  </si>
  <si>
    <t>9788806214869</t>
  </si>
  <si>
    <t>794944362</t>
  </si>
  <si>
    <t>PQ4872 O29 Z35 2010</t>
  </si>
  <si>
    <t>0                      PQ 4872000O  29                 Z  35          2010</t>
  </si>
  <si>
    <t>Zoe : canzoniere per una barboncina / Marco Lodoli ; introduzione di Maria Grazia Ciani.</t>
  </si>
  <si>
    <t>950238461:ita</t>
  </si>
  <si>
    <t>688494527</t>
  </si>
  <si>
    <t>ocn688494527</t>
  </si>
  <si>
    <t>3103125240V</t>
  </si>
  <si>
    <t>9788831706896</t>
  </si>
  <si>
    <t>794854315</t>
  </si>
  <si>
    <t>PQ4872 U255 A8213 2003</t>
  </si>
  <si>
    <t>0                      PQ 4872000U  255                A  8213        2003</t>
  </si>
  <si>
    <t>Almost blue / Carlo Lucarelli ; translated from the Italian by Oonagh Stransky.</t>
  </si>
  <si>
    <t>Lucarelli, Carlo, 1960-</t>
  </si>
  <si>
    <t>London : Harvill, 2003.</t>
  </si>
  <si>
    <t>2018-07-18</t>
  </si>
  <si>
    <t>10399177:eng</t>
  </si>
  <si>
    <t>52395594</t>
  </si>
  <si>
    <t>ocm52395594</t>
  </si>
  <si>
    <t>3103240933G</t>
  </si>
  <si>
    <t>9781843430865</t>
  </si>
  <si>
    <t>793805457</t>
  </si>
  <si>
    <t>PQ4872 U255 C3713 2006</t>
  </si>
  <si>
    <t>0                      PQ 4872000U  255                C  3713        2006</t>
  </si>
  <si>
    <t>Carte blanche / Carlo Lucarelli ; translated from the Italian by Michael Reynolds.</t>
  </si>
  <si>
    <t>De Luca trilogy ; 1</t>
  </si>
  <si>
    <t>20918032:eng</t>
  </si>
  <si>
    <t>68772828</t>
  </si>
  <si>
    <t>ocm68772828</t>
  </si>
  <si>
    <t>31025873686</t>
  </si>
  <si>
    <t>9781933372150</t>
  </si>
  <si>
    <t>794144178</t>
  </si>
  <si>
    <t>PQ4872 U255 E88 2007</t>
  </si>
  <si>
    <t>0                      PQ 4872000U  255                E  88          2007</t>
  </si>
  <si>
    <t>The damned season / Carlo Lucarelli ; translated from the Italian by Michael Reynolds.</t>
  </si>
  <si>
    <t>New York : Europa Editions, 2007.</t>
  </si>
  <si>
    <t>18325653:eng</t>
  </si>
  <si>
    <t>84151603</t>
  </si>
  <si>
    <t>ocm84151603</t>
  </si>
  <si>
    <t>31032402036</t>
  </si>
  <si>
    <t>9781933372273</t>
  </si>
  <si>
    <t>794210379</t>
  </si>
  <si>
    <t>PQ4872 U255 V5313 2008</t>
  </si>
  <si>
    <t>0                      PQ 4872000U  255                V  5313        2008</t>
  </si>
  <si>
    <t>Via delle Oche / Carlo Lucarelli ; translated from the Italian by Michael Reynolds.</t>
  </si>
  <si>
    <t>New York : Europa Editions, ©2008.</t>
  </si>
  <si>
    <t>De Luca trilogy</t>
  </si>
  <si>
    <t>10085587:eng</t>
  </si>
  <si>
    <t>182529310</t>
  </si>
  <si>
    <t>ocn182529310</t>
  </si>
  <si>
    <t>3103362126I</t>
  </si>
  <si>
    <t>9781933372532</t>
  </si>
  <si>
    <t>794284448</t>
  </si>
  <si>
    <t>PQ4873 A32 I8813 2019</t>
  </si>
  <si>
    <t>0                      PQ 4873000A  32                 I  8813        2019</t>
  </si>
  <si>
    <t>Snapshots / Claudio Magris ; translated from the Italian by Anne Milano Appel.</t>
  </si>
  <si>
    <t>Magris, Claudio, author.</t>
  </si>
  <si>
    <t>New Haven : Yale University Press, [2019]</t>
  </si>
  <si>
    <t>A Margellos World Republic of Letters book</t>
  </si>
  <si>
    <t>3969259860:eng</t>
  </si>
  <si>
    <t>1046477726</t>
  </si>
  <si>
    <t>on1046477726</t>
  </si>
  <si>
    <t>3103812512F</t>
  </si>
  <si>
    <t>9780300218497</t>
  </si>
  <si>
    <t>795060509</t>
  </si>
  <si>
    <t>PQ4873 A3624 Z46 2010</t>
  </si>
  <si>
    <t>0                      PQ 4873000A  3624               Z  46          2010</t>
  </si>
  <si>
    <t>Addio al calcio : novanta racconti da un minuto / Valerio Magrelli.</t>
  </si>
  <si>
    <t>Magrelli, Valerio, 1957-</t>
  </si>
  <si>
    <t>2014-01-04</t>
  </si>
  <si>
    <t>912518113:ita</t>
  </si>
  <si>
    <t>677914222</t>
  </si>
  <si>
    <t>ocn677914222</t>
  </si>
  <si>
    <t>3103125555K</t>
  </si>
  <si>
    <t>9788806204792</t>
  </si>
  <si>
    <t>794850270</t>
  </si>
  <si>
    <t>PQ4873 A3645 A7913 1993</t>
  </si>
  <si>
    <t>0                      PQ 4873000A  3645               A  7913        1993</t>
  </si>
  <si>
    <t>A Different sea / Claudio Magris ; translated from the Italian by M.S. Spurr.</t>
  </si>
  <si>
    <t>Magris, Claudio.</t>
  </si>
  <si>
    <t>London : Harvill, 1993.</t>
  </si>
  <si>
    <t>645211:eng</t>
  </si>
  <si>
    <t>28745551</t>
  </si>
  <si>
    <t>ocm28745551</t>
  </si>
  <si>
    <t>3101232329F</t>
  </si>
  <si>
    <t>9780002713399</t>
  </si>
  <si>
    <t>793295596</t>
  </si>
  <si>
    <t>PQ4873 A3645 M53 1997</t>
  </si>
  <si>
    <t>0                      PQ 4873000A  3645               M  53          1997</t>
  </si>
  <si>
    <t>Microcosmi / Claudio Magris.</t>
  </si>
  <si>
    <t>2798454967:ita</t>
  </si>
  <si>
    <t>36719290</t>
  </si>
  <si>
    <t>ocm36719290</t>
  </si>
  <si>
    <t>3101830597W</t>
  </si>
  <si>
    <t>9788811662587</t>
  </si>
  <si>
    <t>793482710</t>
  </si>
  <si>
    <t>PQ4873 A3645 N66 2015</t>
  </si>
  <si>
    <t>0                      PQ 4873000A  3645               N  66          2015</t>
  </si>
  <si>
    <t>Non luogo a procedere / Claudio Magris.</t>
  </si>
  <si>
    <t>Milano : Garzanti, ottobre 2015.</t>
  </si>
  <si>
    <t>La biblioteca della spiga</t>
  </si>
  <si>
    <t>2783799617:ita</t>
  </si>
  <si>
    <t>914253224</t>
  </si>
  <si>
    <t>ocn914253224</t>
  </si>
  <si>
    <t>3103623072K</t>
  </si>
  <si>
    <t>9788811689171</t>
  </si>
  <si>
    <t>795000014</t>
  </si>
  <si>
    <t>PQ4873 A3645 N6613 2017</t>
  </si>
  <si>
    <t>0                      PQ 4873000A  3645               N  6613        2017</t>
  </si>
  <si>
    <t>Blameless = Non luogo a procedere / Claudio Magris ; translated from the Italian by Anne Milano Appel.</t>
  </si>
  <si>
    <t>New Haven : Yale University Press, [2017]</t>
  </si>
  <si>
    <t>A Margellos world republic of letters book</t>
  </si>
  <si>
    <t>2783799617:eng</t>
  </si>
  <si>
    <t>959035826</t>
  </si>
  <si>
    <t>ocn959035826</t>
  </si>
  <si>
    <t>31037019258</t>
  </si>
  <si>
    <t>9780300218480</t>
  </si>
  <si>
    <t>795022175</t>
  </si>
  <si>
    <t>PQ4873 A3645 Z46 2016</t>
  </si>
  <si>
    <t>0                      PQ 4873000A  3645               Z  46          2016</t>
  </si>
  <si>
    <t>Comportati come se fossi felice / Marco Alloni intervista Claudio Magris.</t>
  </si>
  <si>
    <t>Magris, Claudio, interviewee.</t>
  </si>
  <si>
    <t>Correggio (RE) : Aliberti compagnia editoriale, [2016]</t>
  </si>
  <si>
    <t>Nuova edizione rivista e aggiornata.</t>
  </si>
  <si>
    <t>2753411093:ita</t>
  </si>
  <si>
    <t>922884674</t>
  </si>
  <si>
    <t>ocn922884674</t>
  </si>
  <si>
    <t>3103661708O</t>
  </si>
  <si>
    <t>9788899276300</t>
  </si>
  <si>
    <t>795004181</t>
  </si>
  <si>
    <t>PQ4873 A3645 Z46 2018</t>
  </si>
  <si>
    <t>0                      PQ 4873000A  3645               Z  46          2018</t>
  </si>
  <si>
    <t>Journeying = L'infinito viaggiare / Claudio Magris ; translated from the Italian by Anne Milano Appel.</t>
  </si>
  <si>
    <t>[New Haven, Connecticut] : Yale University Press, [2018]</t>
  </si>
  <si>
    <t>351784950:eng</t>
  </si>
  <si>
    <t>1002129848</t>
  </si>
  <si>
    <t>on1002129848</t>
  </si>
  <si>
    <t>3103703786N</t>
  </si>
  <si>
    <t>9780300218510</t>
  </si>
  <si>
    <t>795040958</t>
  </si>
  <si>
    <t>PQ4873 A3645 Z48 2014</t>
  </si>
  <si>
    <t>0                      PQ 4873000A  3645               Z  48          2014</t>
  </si>
  <si>
    <t>Ti devo tanto di ciò che sono : carteggio con Biagio Marin : 1958-1985 / Claudio Magris ; a cura di Renzo Sanson.</t>
  </si>
  <si>
    <t>Milano : Garzanti, aprile 2014.</t>
  </si>
  <si>
    <t>1920963326:ita</t>
  </si>
  <si>
    <t>893038116</t>
  </si>
  <si>
    <t>ocn893038116</t>
  </si>
  <si>
    <t>3103628094M</t>
  </si>
  <si>
    <t>9788811687580</t>
  </si>
  <si>
    <t>794981315</t>
  </si>
  <si>
    <t>PQ4873 A3645 Z87 2015</t>
  </si>
  <si>
    <t>0                      PQ 4873000A  3645               Z  87          2015</t>
  </si>
  <si>
    <t>Claudio Magris / Simone Rebora.</t>
  </si>
  <si>
    <t>Rebora, Simone, 1981- author.</t>
  </si>
  <si>
    <t>Fiesole : Cadmo, [2015]</t>
  </si>
  <si>
    <t>Scritture in corso ; 27</t>
  </si>
  <si>
    <t>2750634270:ita</t>
  </si>
  <si>
    <t>903207888</t>
  </si>
  <si>
    <t>ocn903207888</t>
  </si>
  <si>
    <t>3103621383D</t>
  </si>
  <si>
    <t>9788879234245</t>
  </si>
  <si>
    <t>794988858</t>
  </si>
  <si>
    <t>PQ4873.A3645 2012</t>
  </si>
  <si>
    <t>0                      PQ 4873000A  3645        2012</t>
  </si>
  <si>
    <t>Opere / Claudio Magris ; a cura e con un introduttivo di Ernestina Pellegrini e uno scritto di Maria Fancelli.</t>
  </si>
  <si>
    <t>Milano : A. Mondadori, 2012-</t>
  </si>
  <si>
    <t>2867876890:ita</t>
  </si>
  <si>
    <t>783120305</t>
  </si>
  <si>
    <t>ocn783120305</t>
  </si>
  <si>
    <t>B001506328</t>
  </si>
  <si>
    <t>9788804613947</t>
  </si>
  <si>
    <t>794913807</t>
  </si>
  <si>
    <t>PQ4873 A3645 2012</t>
  </si>
  <si>
    <t>31031257878</t>
  </si>
  <si>
    <t>794913808</t>
  </si>
  <si>
    <t>PQ4873 A42 A6 2012</t>
  </si>
  <si>
    <t>0                      PQ 4873000A  42                 A  6           2012</t>
  </si>
  <si>
    <t>Qualcosa di grave : testi teatrali / Luigi Malerba ; introduzione di Angelo Guglielmi.</t>
  </si>
  <si>
    <t>Malerba, Luigi, 1927-2008.</t>
  </si>
  <si>
    <t>Lecce : P. Manni, 2012.</t>
  </si>
  <si>
    <t>Pretesti</t>
  </si>
  <si>
    <t>1122979234:ita</t>
  </si>
  <si>
    <t>798053830</t>
  </si>
  <si>
    <t>ocn798053830</t>
  </si>
  <si>
    <t>3103126036Z</t>
  </si>
  <si>
    <t>9788862664424</t>
  </si>
  <si>
    <t>794923024</t>
  </si>
  <si>
    <t>PQ4873 A42 D47 2009</t>
  </si>
  <si>
    <t>0                      PQ 4873000A  42                 D  47          2009</t>
  </si>
  <si>
    <t>Diario delle delusioni / Luigi Malerba.</t>
  </si>
  <si>
    <t>Malerba, Luigi.</t>
  </si>
  <si>
    <t>Milano : Mondadori, ©2009.</t>
  </si>
  <si>
    <t>348379895:ita</t>
  </si>
  <si>
    <t>465086697</t>
  </si>
  <si>
    <t>ocn465086697</t>
  </si>
  <si>
    <t>3103124928I</t>
  </si>
  <si>
    <t>9788804586210</t>
  </si>
  <si>
    <t>794793595</t>
  </si>
  <si>
    <t>PQ4873 A42 Z65 2012</t>
  </si>
  <si>
    <t>0                      PQ 4873000A  42                 Z  65          2012</t>
  </si>
  <si>
    <t>Lo scrittore indignato : sperimentalismo, erotismo e critica sociale in Luigi Malerba / Rossella De Palma.</t>
  </si>
  <si>
    <t>De Palma, Rossella, 1983-</t>
  </si>
  <si>
    <t>[Bari, Italy] : Stilo, ©2012.</t>
  </si>
  <si>
    <t>Officina</t>
  </si>
  <si>
    <t>2014-12-20</t>
  </si>
  <si>
    <t>1124056240:ita</t>
  </si>
  <si>
    <t>798609657</t>
  </si>
  <si>
    <t>ocn798609657</t>
  </si>
  <si>
    <t>3103125901I</t>
  </si>
  <si>
    <t>9788864790534</t>
  </si>
  <si>
    <t>794923793</t>
  </si>
  <si>
    <t>PQ4873 A42 Z84 2012</t>
  </si>
  <si>
    <t>0                      PQ 4873000A  42                 Z  84          2012</t>
  </si>
  <si>
    <t>Dentro il labirinto : studi sulla narrativa di Luigi Malerba / Giovanni Ronchini.</t>
  </si>
  <si>
    <t>Ronchini, Giovanni.</t>
  </si>
  <si>
    <t>Parole allo specchio / Università degli studi di Parma, Dipartimento di italianistica ; 25</t>
  </si>
  <si>
    <t>5620679298:ita</t>
  </si>
  <si>
    <t>782443057</t>
  </si>
  <si>
    <t>ocn782443057</t>
  </si>
  <si>
    <t>31031260004</t>
  </si>
  <si>
    <t>9788840015170</t>
  </si>
  <si>
    <t>794913675</t>
  </si>
  <si>
    <t>PQ4873 A4776 O8416 2012</t>
  </si>
  <si>
    <t>0                      PQ 4873000A  4776               O  8416        2012</t>
  </si>
  <si>
    <t>A winter's night / Valerio Massimo Manfredi ; translated from the Italian by Christine Feddersen Manfredi.</t>
  </si>
  <si>
    <t>Manfredi, Valerio.</t>
  </si>
  <si>
    <t>2014-09-02</t>
  </si>
  <si>
    <t>929369241:eng</t>
  </si>
  <si>
    <t>778419317</t>
  </si>
  <si>
    <t>ocn778419317</t>
  </si>
  <si>
    <t>31034721217</t>
  </si>
  <si>
    <t>9781609450762</t>
  </si>
  <si>
    <t>794909778</t>
  </si>
  <si>
    <t>PQ4873 A48 A62</t>
  </si>
  <si>
    <t>0                      PQ 4873000A  48                 A  62</t>
  </si>
  <si>
    <t>A e B / Giorgio Manganelli.</t>
  </si>
  <si>
    <t>Manganelli, Giorgio.</t>
  </si>
  <si>
    <t>Milano : Rizzoli, 1975.</t>
  </si>
  <si>
    <t>1808156677:ita</t>
  </si>
  <si>
    <t>4505618</t>
  </si>
  <si>
    <t>ocm04505618</t>
  </si>
  <si>
    <t>30003967152</t>
  </si>
  <si>
    <t>792357146</t>
  </si>
  <si>
    <t>PQ4873 A48 A62 1997</t>
  </si>
  <si>
    <t>0                      PQ 4873000A  48                 A  62          1997</t>
  </si>
  <si>
    <t>Le interviste impossibili / Giorgio Manganelli.</t>
  </si>
  <si>
    <t>Milano : Adelphi, ©1997.</t>
  </si>
  <si>
    <t>Piccola biblioteca Adelphi ; 394.</t>
  </si>
  <si>
    <t>2015-11-07</t>
  </si>
  <si>
    <t>347754731:ita</t>
  </si>
  <si>
    <t>37642708</t>
  </si>
  <si>
    <t>ocm37642708</t>
  </si>
  <si>
    <t>3101896738B</t>
  </si>
  <si>
    <t>9788845913044</t>
  </si>
  <si>
    <t>793503538</t>
  </si>
  <si>
    <t>PQ4873 A48 A7</t>
  </si>
  <si>
    <t>0                      PQ 4873000A  48                 A  7</t>
  </si>
  <si>
    <t>Agli dèi ulteriori / Giorgio Manganelli.</t>
  </si>
  <si>
    <t>[Torino] : Einaudi, [1972]</t>
  </si>
  <si>
    <t>1686186:ita</t>
  </si>
  <si>
    <t>818631</t>
  </si>
  <si>
    <t>ocm00818631</t>
  </si>
  <si>
    <t>3000628641G</t>
  </si>
  <si>
    <t>791477895</t>
  </si>
  <si>
    <t>PQ4873 A48 C46 1995</t>
  </si>
  <si>
    <t>0                      PQ 4873000A  48                 C  46          1995</t>
  </si>
  <si>
    <t>Centuria : cento piccoli romanzi fiume / Giorgio Manganelli ; a cura di Paola Italia ; con un saggio di Italo Calvino.</t>
  </si>
  <si>
    <t>Milano : Adelphi, ©1995.</t>
  </si>
  <si>
    <t>Biblioteca Adelphi ; 308</t>
  </si>
  <si>
    <t>2016-07-08</t>
  </si>
  <si>
    <t>8908009779:ita</t>
  </si>
  <si>
    <t>34183495</t>
  </si>
  <si>
    <t>ocm34183495</t>
  </si>
  <si>
    <t>3101542744D</t>
  </si>
  <si>
    <t>9788845911521</t>
  </si>
  <si>
    <t>793420974</t>
  </si>
  <si>
    <t>PQ4873 A48 D57 1982</t>
  </si>
  <si>
    <t>0                      PQ 4873000A  48                 D  57          1982</t>
  </si>
  <si>
    <t>Discorso dell'ombra e dello stemma, o, Del lettore e dello scrittore considerati come dementi / Giorgio Manganelli.</t>
  </si>
  <si>
    <t>Milano : Rizzoli, 1982.</t>
  </si>
  <si>
    <t>Scala</t>
  </si>
  <si>
    <t>43902771:ita</t>
  </si>
  <si>
    <t>9754166</t>
  </si>
  <si>
    <t>ocm09754166</t>
  </si>
  <si>
    <t>31036014127</t>
  </si>
  <si>
    <t>792691735</t>
  </si>
  <si>
    <t>PQ4873 A48 L2 1986</t>
  </si>
  <si>
    <t>0                      PQ 4873000A  48                 L  2           1986</t>
  </si>
  <si>
    <t>Laboriose inezie / Giorgio Manganelli.</t>
  </si>
  <si>
    <t>Milano : Garzanti, [1986]</t>
  </si>
  <si>
    <t>Saggi blu</t>
  </si>
  <si>
    <t>2015-10-31</t>
  </si>
  <si>
    <t>13934119:ita</t>
  </si>
  <si>
    <t>16886608</t>
  </si>
  <si>
    <t>ocm16886608</t>
  </si>
  <si>
    <t>3000531330W</t>
  </si>
  <si>
    <t>792976427</t>
  </si>
  <si>
    <t>PQ4873 A48 Z47 2001</t>
  </si>
  <si>
    <t>0                      PQ 4873000A  48                 Z  47          2001</t>
  </si>
  <si>
    <t>La penombra mentale : interviste e conversazioni, 1965-1990 / Giorgio Manganelli ; a cura di Roberto Deidier.</t>
  </si>
  <si>
    <t>Roma : Editori riuniti, 2000.</t>
  </si>
  <si>
    <t>351117725:ita</t>
  </si>
  <si>
    <t>48360787</t>
  </si>
  <si>
    <t>ocm48360787</t>
  </si>
  <si>
    <t>31022384459</t>
  </si>
  <si>
    <t>9788835949398</t>
  </si>
  <si>
    <t>793719234</t>
  </si>
  <si>
    <t>PQ4873 A48 Z48 2010</t>
  </si>
  <si>
    <t>0                      PQ 4873000A  48                 Z  48          2010</t>
  </si>
  <si>
    <t>I borborigmi di un'anima : carteggio Manganelli-Anceschi.</t>
  </si>
  <si>
    <t>552711480:ita</t>
  </si>
  <si>
    <t>652361352</t>
  </si>
  <si>
    <t>ocn652361352</t>
  </si>
  <si>
    <t>3103125198O</t>
  </si>
  <si>
    <t>9788884194503</t>
  </si>
  <si>
    <t>794833405</t>
  </si>
  <si>
    <t>PQ4873 A48 Z48 2015</t>
  </si>
  <si>
    <t>0                      PQ 4873000A  48                 Z  48          2015</t>
  </si>
  <si>
    <t>Lettere senza risposta / Giorgio Manganelli, Viola Papetti.</t>
  </si>
  <si>
    <t>Roma : Nottetempo, [2015]</t>
  </si>
  <si>
    <t>2459591360:ita</t>
  </si>
  <si>
    <t>904592918</t>
  </si>
  <si>
    <t>ocn904592918</t>
  </si>
  <si>
    <t>31036216491</t>
  </si>
  <si>
    <t>9788874524334</t>
  </si>
  <si>
    <t>794990633</t>
  </si>
  <si>
    <t>PQ4873 A48 Z54 2012</t>
  </si>
  <si>
    <t>0                      PQ 4873000A  48                 Z  54          2012</t>
  </si>
  <si>
    <t>Giorgio Manganelli : indagine per una riscrittura infinita / Micol Argento.</t>
  </si>
  <si>
    <t>Argento, Micol.</t>
  </si>
  <si>
    <t>1173797724:ita</t>
  </si>
  <si>
    <t>813926135</t>
  </si>
  <si>
    <t>ocn813926135</t>
  </si>
  <si>
    <t>31031260044</t>
  </si>
  <si>
    <t>9788820756086</t>
  </si>
  <si>
    <t>794931916</t>
  </si>
  <si>
    <t>PQ4873 A48 Z67 2015</t>
  </si>
  <si>
    <t>0                      PQ 4873000A  48                 Z  67          2015</t>
  </si>
  <si>
    <t>Giorgio Manganelli e il viaggio / a cura di Sara Bonfili e Giampaolo Vincenzi.</t>
  </si>
  <si>
    <t>Giorgio Manganelli e il viaggio (Conference) (2015 : Macerata, Italy)</t>
  </si>
  <si>
    <t>Proteo ; 104</t>
  </si>
  <si>
    <t>4218765945:ita</t>
  </si>
  <si>
    <t>982176444</t>
  </si>
  <si>
    <t>ocn982176444</t>
  </si>
  <si>
    <t>3103718096H</t>
  </si>
  <si>
    <t>9788875752644</t>
  </si>
  <si>
    <t>795034348</t>
  </si>
  <si>
    <t>PQ4873 A48 Z748 2010</t>
  </si>
  <si>
    <t>0                      PQ 4873000A  48                 Z  748         2010</t>
  </si>
  <si>
    <t>Album fotografico di Giorgio Manganelli / racconto biografico di Lietta Manganelli ; a cura di Ermanno Cavazzoni.</t>
  </si>
  <si>
    <t>Manganelli, Lietta.</t>
  </si>
  <si>
    <t>Macerata : Quodlibet, 2010.</t>
  </si>
  <si>
    <t>Compagnia extra ; 18</t>
  </si>
  <si>
    <t>552711552:ita</t>
  </si>
  <si>
    <t>652361515</t>
  </si>
  <si>
    <t>ocn652361515</t>
  </si>
  <si>
    <t>3103125162U</t>
  </si>
  <si>
    <t>9788874623136</t>
  </si>
  <si>
    <t>794833407</t>
  </si>
  <si>
    <t>PQ4873 A48 Z755 2015</t>
  </si>
  <si>
    <t>0                      PQ 4873000A  48                 Z  755         2015</t>
  </si>
  <si>
    <t>Giorgio Manganelli : emblemi della dissimulazione / Filippo Milani.</t>
  </si>
  <si>
    <t>Milani, Filippo, 1983- author.</t>
  </si>
  <si>
    <t>Bologna : Pendragon, [2015]</t>
  </si>
  <si>
    <t>Le sfere</t>
  </si>
  <si>
    <t>2525366810:ita</t>
  </si>
  <si>
    <t>909285149</t>
  </si>
  <si>
    <t>ocn909285149</t>
  </si>
  <si>
    <t>31036285659</t>
  </si>
  <si>
    <t>9788865985953</t>
  </si>
  <si>
    <t>794995383</t>
  </si>
  <si>
    <t>PQ4873 A48 Z76 2006</t>
  </si>
  <si>
    <t>0                      PQ 4873000A  48                 Z  76          2006</t>
  </si>
  <si>
    <t>Giorgio Manganelli / a cura di Marco Belpoliti, Andrea Cortellessa.</t>
  </si>
  <si>
    <t>Milano : Marcos y Marcos, [2006]</t>
  </si>
  <si>
    <t>Riga ; 25</t>
  </si>
  <si>
    <t>21094501:ita</t>
  </si>
  <si>
    <t>69983148</t>
  </si>
  <si>
    <t>ocm69983148</t>
  </si>
  <si>
    <t>31026785175</t>
  </si>
  <si>
    <t>9788871684376</t>
  </si>
  <si>
    <t>794147409</t>
  </si>
  <si>
    <t>PQ4873 A48 Z76 2010</t>
  </si>
  <si>
    <t>0                      PQ 4873000A  48                 Z  76          2010</t>
  </si>
  <si>
    <t>The eloquence of ghosts : Giorgio Manganelli and the afterlife of the avant-garde / Florian Mussgnug.</t>
  </si>
  <si>
    <t>Mussgnug, Florian, 1974-</t>
  </si>
  <si>
    <t>Bern, Switzerland ; New York : Peter Lang, ©2010.</t>
  </si>
  <si>
    <t>Italian modernities ; v. 5</t>
  </si>
  <si>
    <t>2014-07-12</t>
  </si>
  <si>
    <t>793287617:eng</t>
  </si>
  <si>
    <t>528665806</t>
  </si>
  <si>
    <t>ocn528665806</t>
  </si>
  <si>
    <t>3103230710V</t>
  </si>
  <si>
    <t>9783039118359</t>
  </si>
  <si>
    <t>794809675</t>
  </si>
  <si>
    <t>PQ4873 A69 A2 2015</t>
  </si>
  <si>
    <t>0                      PQ 4873000A  69                 A  2           2015</t>
  </si>
  <si>
    <t>Extravagance and three other plays / Dacia Maraini ; translated by James R. Schwarten.</t>
  </si>
  <si>
    <t>Maraini, Dacia, author.</t>
  </si>
  <si>
    <t>Lanham, Maryland : John Cabot University Press : Co-Published with the Rowman &amp; Littlefield Publishing Group, Inc., [2015]</t>
  </si>
  <si>
    <t>2495833412:eng</t>
  </si>
  <si>
    <t>907161304</t>
  </si>
  <si>
    <t>ocn907161304</t>
  </si>
  <si>
    <t>3103609958Y</t>
  </si>
  <si>
    <t>9781611495454</t>
  </si>
  <si>
    <t>794992952</t>
  </si>
  <si>
    <t>PQ4873 A69 A836 2012</t>
  </si>
  <si>
    <t>0                      PQ 4873000A  69                 A  836         2012</t>
  </si>
  <si>
    <t>La felicità della menzogna / Dacia Maraini.</t>
  </si>
  <si>
    <t>Maraini, Dacia.</t>
  </si>
  <si>
    <t>1125630168:ita</t>
  </si>
  <si>
    <t>799999882</t>
  </si>
  <si>
    <t>ocn799999882</t>
  </si>
  <si>
    <t>3103125946A</t>
  </si>
  <si>
    <t>9788817060813</t>
  </si>
  <si>
    <t>794924370</t>
  </si>
  <si>
    <t>PQ4873 A69 C55 2013</t>
  </si>
  <si>
    <t>0                      PQ 4873000A  69                 C  55          2013</t>
  </si>
  <si>
    <t>Chiara di Assisi : elogio della disobbedienza / Dacia Maraini.</t>
  </si>
  <si>
    <t>Milano : Rizzoli, ottobre 2013.</t>
  </si>
  <si>
    <t>La scala. Altri eroi</t>
  </si>
  <si>
    <t>1413141265:ita</t>
  </si>
  <si>
    <t>869460205</t>
  </si>
  <si>
    <t>ocn869460205</t>
  </si>
  <si>
    <t>31035568417</t>
  </si>
  <si>
    <t>9788817067218</t>
  </si>
  <si>
    <t>794965488</t>
  </si>
  <si>
    <t>PQ4873 A69 D58</t>
  </si>
  <si>
    <t>0                      PQ 4873000A  69                 D  58</t>
  </si>
  <si>
    <t>Donna in guerra / Dacia Maraini.</t>
  </si>
  <si>
    <t>4663661:ita</t>
  </si>
  <si>
    <t>2366625</t>
  </si>
  <si>
    <t>ocm02366625</t>
  </si>
  <si>
    <t>30004210740</t>
  </si>
  <si>
    <t>792110275</t>
  </si>
  <si>
    <t>PQ4873 A69 L8613 2010</t>
  </si>
  <si>
    <t>0                      PQ 4873000A  69                 L  8613        2010</t>
  </si>
  <si>
    <t>The silent duchess / by Darcia Marainin.</t>
  </si>
  <si>
    <t>London : Arcadia, 2010.</t>
  </si>
  <si>
    <t>385948:eng</t>
  </si>
  <si>
    <t>540182506</t>
  </si>
  <si>
    <t>ocn540182506</t>
  </si>
  <si>
    <t>3103431241O</t>
  </si>
  <si>
    <t>9781906413729</t>
  </si>
  <si>
    <t>794810618</t>
  </si>
  <si>
    <t>PQ4873 A69 M37 2001</t>
  </si>
  <si>
    <t>0                      PQ 4873000A  69                 M  37          2001</t>
  </si>
  <si>
    <t>Maria Stuarda ; Mela ; Donna Lionora giacubina ; Stravaganza ; Un treno, una notte / Dacia Maraini.</t>
  </si>
  <si>
    <t>Milano : Biblioteca universale Rizzoli, 2001.</t>
  </si>
  <si>
    <t>1. ed. BUR La Scala.</t>
  </si>
  <si>
    <t>BUR La scala</t>
  </si>
  <si>
    <t>2017-09-02</t>
  </si>
  <si>
    <t>2865606844:ita</t>
  </si>
  <si>
    <t>50063740</t>
  </si>
  <si>
    <t>ocm50063740</t>
  </si>
  <si>
    <t>3102293864K</t>
  </si>
  <si>
    <t>9788817126939</t>
  </si>
  <si>
    <t>793754756</t>
  </si>
  <si>
    <t>PQ4873 A69 M5</t>
  </si>
  <si>
    <t>0                      PQ 4873000A  69                 M  5</t>
  </si>
  <si>
    <t>Mio marito.</t>
  </si>
  <si>
    <t>[Milano] Bompiani [1968]</t>
  </si>
  <si>
    <t>I piú famosi libri moderni ; 229</t>
  </si>
  <si>
    <t>2017-06-06</t>
  </si>
  <si>
    <t>2908608685:ita</t>
  </si>
  <si>
    <t>3954448</t>
  </si>
  <si>
    <t>ocm03954448</t>
  </si>
  <si>
    <t>3000628088E</t>
  </si>
  <si>
    <t>792308136</t>
  </si>
  <si>
    <t>PQ4873 A69 P47 2011</t>
  </si>
  <si>
    <t>0                      PQ 4873000A  69                 P  47          2011</t>
  </si>
  <si>
    <t>Per Giulia / di Dacia Maraini.</t>
  </si>
  <si>
    <t>Roma : G. Perrone, 2011.</t>
  </si>
  <si>
    <t>Il teatro di Dacia Maraini</t>
  </si>
  <si>
    <t>1079611321:ita</t>
  </si>
  <si>
    <t>776486914</t>
  </si>
  <si>
    <t>ocn776486914</t>
  </si>
  <si>
    <t>3103125670D</t>
  </si>
  <si>
    <t>9788860042163</t>
  </si>
  <si>
    <t>794908052</t>
  </si>
  <si>
    <t>PQ4873 A69 P48 2011</t>
  </si>
  <si>
    <t>0                      PQ 4873000A  69                 P  48          2011</t>
  </si>
  <si>
    <t>Per proteggerti meglio, figlia mia / di Dacia Maraini.</t>
  </si>
  <si>
    <t>1124057070:ita</t>
  </si>
  <si>
    <t>798610515</t>
  </si>
  <si>
    <t>ocn798610515</t>
  </si>
  <si>
    <t>31031258737</t>
  </si>
  <si>
    <t>9788860042170</t>
  </si>
  <si>
    <t>794923805</t>
  </si>
  <si>
    <t>PQ4873 A69 T47 2013</t>
  </si>
  <si>
    <t>0                      PQ 4873000A  69                 T  47          2013</t>
  </si>
  <si>
    <t>Teresa la ladra / Dacia Maraini.</t>
  </si>
  <si>
    <t>Text + 1 CD-Rom</t>
  </si>
  <si>
    <t>Roma : Giulio Perrone Editore, 2013.</t>
  </si>
  <si>
    <t>1269175313:ita</t>
  </si>
  <si>
    <t>841181379</t>
  </si>
  <si>
    <t>ocn841181379</t>
  </si>
  <si>
    <t>3103126217X</t>
  </si>
  <si>
    <t>9788860042736</t>
  </si>
  <si>
    <t>794946561</t>
  </si>
  <si>
    <t>PQ4873 A69 T7413 2010</t>
  </si>
  <si>
    <t>0                      PQ 4873000A  69                 T  7413        2010</t>
  </si>
  <si>
    <t>Train to Budapest / Dacia Maraini ; translated from the Italian by Silvester Mazzarella.</t>
  </si>
  <si>
    <t>368687199:eng</t>
  </si>
  <si>
    <t>540182504</t>
  </si>
  <si>
    <t>ocn540182504</t>
  </si>
  <si>
    <t>3103344798P</t>
  </si>
  <si>
    <t>9781906413576</t>
  </si>
  <si>
    <t>794810617</t>
  </si>
  <si>
    <t>PQ4873 A69 Z46 2010</t>
  </si>
  <si>
    <t>0                      PQ 4873000A  69                 Z  46          2010</t>
  </si>
  <si>
    <t>La seduzione dell'altrove / Dacia Maraini.</t>
  </si>
  <si>
    <t>760617799:ita</t>
  </si>
  <si>
    <t>682881543</t>
  </si>
  <si>
    <t>ocn682881543</t>
  </si>
  <si>
    <t>31031252130</t>
  </si>
  <si>
    <t>9788817043670</t>
  </si>
  <si>
    <t>794852938</t>
  </si>
  <si>
    <t>PQ4873 A69 Z463 2011</t>
  </si>
  <si>
    <t>0                      PQ 4873000A  69                 Z  463         2011</t>
  </si>
  <si>
    <t>La grande festa / Dacia Maraini.</t>
  </si>
  <si>
    <t>Milano : Rizzoli, 2011.</t>
  </si>
  <si>
    <t>1062025465:ita</t>
  </si>
  <si>
    <t>775363765</t>
  </si>
  <si>
    <t>ocn775363765</t>
  </si>
  <si>
    <t>3103125604R</t>
  </si>
  <si>
    <t>9788817055482</t>
  </si>
  <si>
    <t>794907387</t>
  </si>
  <si>
    <t>PQ4873 A69 Z87 2010</t>
  </si>
  <si>
    <t>0                      PQ 4873000A  69                 Z  87          2010</t>
  </si>
  <si>
    <t>Scrittura civile : studi sull'opera di Dacia Maraini / a cura di Juan Carlos de Miguel y Canuto ; con un saggio inedito di Dacia Maraini.</t>
  </si>
  <si>
    <t>Roma : G. Perrone, 2010.</t>
  </si>
  <si>
    <t>897464590:ita</t>
  </si>
  <si>
    <t>721866876</t>
  </si>
  <si>
    <t>ocn721866876</t>
  </si>
  <si>
    <t>3103125444P</t>
  </si>
  <si>
    <t>9788860041678</t>
  </si>
  <si>
    <t>794875378</t>
  </si>
  <si>
    <t>PQ4873 A691545 U4413 2012</t>
  </si>
  <si>
    <t>0                      PQ 4873000A  691545             U  4413        2012</t>
  </si>
  <si>
    <t>The last of the Vostyachs / Diego Marani ; translated by Judith Landry.</t>
  </si>
  <si>
    <t>Marani, Diego.</t>
  </si>
  <si>
    <t>Sawtry, Cambs : Dedalus ; Gardena, CA : Distributed in the USA by SCB Distributors, 2012.</t>
  </si>
  <si>
    <t>Dedalus Europe ; 2012</t>
  </si>
  <si>
    <t>351291212:eng</t>
  </si>
  <si>
    <t>776777468</t>
  </si>
  <si>
    <t>ocn776777468</t>
  </si>
  <si>
    <t>3103470712$</t>
  </si>
  <si>
    <t>9781907650567</t>
  </si>
  <si>
    <t>794908317</t>
  </si>
  <si>
    <t>PQ4873 A6917 C65 2017</t>
  </si>
  <si>
    <t>0                      PQ 4873000A  6917               C  65          2017</t>
  </si>
  <si>
    <t>La compagnia delle anime finte / Wanda Marasco.</t>
  </si>
  <si>
    <t>Marasco, Wanda, author.</t>
  </si>
  <si>
    <t>Vicenza : Neri Pozza, [2017]</t>
  </si>
  <si>
    <t>Bloom ; 117</t>
  </si>
  <si>
    <t>4187053002:ita</t>
  </si>
  <si>
    <t>989135644</t>
  </si>
  <si>
    <t>ocn989135644</t>
  </si>
  <si>
    <t>3103721241Q</t>
  </si>
  <si>
    <t>9788854513938</t>
  </si>
  <si>
    <t>795037125</t>
  </si>
  <si>
    <t>PQ4873 A7 A6 2012</t>
  </si>
  <si>
    <t>0                      PQ 4873000A  7                  A  6           2012</t>
  </si>
  <si>
    <t>Scritti goriziani, 1920-1923 / Biagio Marin ; a cura di Pericle Camuffo ; presentazione di Edda Serra.</t>
  </si>
  <si>
    <t>Marin, Biagio.</t>
  </si>
  <si>
    <t>Pisa : Fabrizio Serra editore, MMXII.</t>
  </si>
  <si>
    <t>Quaderni del Centro studi Biagio Marin ; 4</t>
  </si>
  <si>
    <t>1180969817:ita</t>
  </si>
  <si>
    <t>817539161</t>
  </si>
  <si>
    <t>ocn817539161</t>
  </si>
  <si>
    <t>31031259940</t>
  </si>
  <si>
    <t>9788862275156</t>
  </si>
  <si>
    <t>794933496</t>
  </si>
  <si>
    <t>PQ4873 A7 L5 2010</t>
  </si>
  <si>
    <t>0                      PQ 4873000A  7                  L  5           2010</t>
  </si>
  <si>
    <t>Il libro di Gesky / Biagio Marin ; a cura e con la presentazione di Edda Serra.</t>
  </si>
  <si>
    <t>Pisa : Serra, 2010.</t>
  </si>
  <si>
    <t>Quaderni del Centro studi Biagio Marin ; 3</t>
  </si>
  <si>
    <t>692957577:ita</t>
  </si>
  <si>
    <t>677918077</t>
  </si>
  <si>
    <t>ocn677918077</t>
  </si>
  <si>
    <t>3103125289N</t>
  </si>
  <si>
    <t>9788862273541</t>
  </si>
  <si>
    <t>794850306</t>
  </si>
  <si>
    <t>PQ4873 A7 Z46 2012</t>
  </si>
  <si>
    <t>0                      PQ 4873000A  7                  Z  46          2012</t>
  </si>
  <si>
    <t>Vele in porto : piccole note e frammenti di vita, 27 agosto 1946-3 febbraio 1950 / Biagio Marin ; a cura di Ilenia Marin.</t>
  </si>
  <si>
    <t>Gorizia : LEG, [2012]</t>
  </si>
  <si>
    <t>I leggeri ; 39</t>
  </si>
  <si>
    <t>1162400852:ita</t>
  </si>
  <si>
    <t>807031227</t>
  </si>
  <si>
    <t>ocn807031227</t>
  </si>
  <si>
    <t>31031258797</t>
  </si>
  <si>
    <t>9788861020719</t>
  </si>
  <si>
    <t>794927169</t>
  </si>
  <si>
    <t>PQ4873 A7 Z48 2010</t>
  </si>
  <si>
    <t>0                      PQ 4873000A  7                  Z  48          2010</t>
  </si>
  <si>
    <t>Lettere familiari, 1908-1954 / Biagio Marin ; a cura di Elvio Guagnini ; saggio di Renzo Sanson.</t>
  </si>
  <si>
    <t>Padova : Simone Volpato studio bibliografico, 2010.</t>
  </si>
  <si>
    <t>Impronte d'inchiostro ; 1</t>
  </si>
  <si>
    <t>1175680048:ita</t>
  </si>
  <si>
    <t>815379150</t>
  </si>
  <si>
    <t>ocn815379150</t>
  </si>
  <si>
    <t>31031259538</t>
  </si>
  <si>
    <t>9788896925010</t>
  </si>
  <si>
    <t>794932458</t>
  </si>
  <si>
    <t>PQ4873.A7 Z864 2017</t>
  </si>
  <si>
    <t>0                      PQ 4873000A  7                  Z  864         2017</t>
  </si>
  <si>
    <t>Il Fondo Marin della Biblioteca di Grado : atti del seminario, Grado, 29 giugno 2017 / a cura di Edda Serra.</t>
  </si>
  <si>
    <t>Risorse del Fondo Marin della Biblioteca Falco Marin di Grado (Conference) (2017 : Grado, Italy)</t>
  </si>
  <si>
    <t>Pisa : Fabrizio Serra Editore, 2019.</t>
  </si>
  <si>
    <t>Studi mariniani. Supplementi di ; 19</t>
  </si>
  <si>
    <t>9379014637:ita</t>
  </si>
  <si>
    <t>1107539563</t>
  </si>
  <si>
    <t>on1107539563</t>
  </si>
  <si>
    <t>3103875576C</t>
  </si>
  <si>
    <t>9788833151700</t>
  </si>
  <si>
    <t>795083225</t>
  </si>
  <si>
    <t>PQ4873 A8924 Z69 2012</t>
  </si>
  <si>
    <t>0                      PQ 4873000A  8924               Z  69          2012</t>
  </si>
  <si>
    <t>La rivolta impossibile : vita di Lucio Mastronardi / Riccardo De Gennaro ; prefazione di Goffredo Fofi.</t>
  </si>
  <si>
    <t>De Gennaro, Riccardo, 1957- author.</t>
  </si>
  <si>
    <t>Carta bianca</t>
  </si>
  <si>
    <t>1090058434:ita</t>
  </si>
  <si>
    <t>780945576</t>
  </si>
  <si>
    <t>ocn780945576</t>
  </si>
  <si>
    <t>3103125806L</t>
  </si>
  <si>
    <t>9788823016743</t>
  </si>
  <si>
    <t>794912407</t>
  </si>
  <si>
    <t>PQ4873 A8947 A893 2013</t>
  </si>
  <si>
    <t>0                      PQ 4873000A  8947               A  893         2013</t>
  </si>
  <si>
    <t>L'arcangelo degli scacchi : vita segreta di Paul Morphy : romanzo / Paolo Maurensig.</t>
  </si>
  <si>
    <t>Maurensig, Paolo, 1943-</t>
  </si>
  <si>
    <t>Milano : Mondadori, aprile 2013.</t>
  </si>
  <si>
    <t>1357824685:ita</t>
  </si>
  <si>
    <t>847572863</t>
  </si>
  <si>
    <t>ocn847572863</t>
  </si>
  <si>
    <t>3103126247R</t>
  </si>
  <si>
    <t>9788804624653</t>
  </si>
  <si>
    <t>794949599</t>
  </si>
  <si>
    <t>PQ4873 A8947 C35 1999</t>
  </si>
  <si>
    <t>0                      PQ 4873000A  8947               C  35          1999</t>
  </si>
  <si>
    <t>Canone inverso : a novel / Paolo Maurensig ; translated by Jenny McPhee.</t>
  </si>
  <si>
    <t>New York : H. Holt, 1999, ©1998.</t>
  </si>
  <si>
    <t>1st Owl Books ed.</t>
  </si>
  <si>
    <t>904501:eng</t>
  </si>
  <si>
    <t>42858817</t>
  </si>
  <si>
    <t>ocm42858817</t>
  </si>
  <si>
    <t>31020793540</t>
  </si>
  <si>
    <t>9780805063028</t>
  </si>
  <si>
    <t>793615972</t>
  </si>
  <si>
    <t>PQ4873 A8947 Z46 2014</t>
  </si>
  <si>
    <t>0                      PQ 4873000A  8947               Z  46          2014</t>
  </si>
  <si>
    <t>Amori miei e altri animali / Paolo Maurensig.</t>
  </si>
  <si>
    <t>Firenze, Italia : Giunti, 2014.</t>
  </si>
  <si>
    <t>2293592794:ita</t>
  </si>
  <si>
    <t>903207884</t>
  </si>
  <si>
    <t>ocn903207884</t>
  </si>
  <si>
    <t>31032007453</t>
  </si>
  <si>
    <t>9788809787827</t>
  </si>
  <si>
    <t>794988857</t>
  </si>
  <si>
    <t>PQ4873 A9532 M37 2011</t>
  </si>
  <si>
    <t>0                      PQ 4873000A  9532               M  37          2011</t>
  </si>
  <si>
    <t>Mare al mattino / Margaret Mazzantini.</t>
  </si>
  <si>
    <t>Mazzantini, Margaret.</t>
  </si>
  <si>
    <t>Torino : Einaudi, 2011.</t>
  </si>
  <si>
    <t>L'arcipelago Einaudi ; 186</t>
  </si>
  <si>
    <t>1074130797:ita</t>
  </si>
  <si>
    <t>773014914</t>
  </si>
  <si>
    <t>ocn773014914</t>
  </si>
  <si>
    <t>3103125669F</t>
  </si>
  <si>
    <t>9788806211134</t>
  </si>
  <si>
    <t>794905104</t>
  </si>
  <si>
    <t>PQ4873 A9532 N47 2011</t>
  </si>
  <si>
    <t>0                      PQ 4873000A  9532               N  47          2011</t>
  </si>
  <si>
    <t>Nessuno si salva da solo : romanzo / Margaret Mazzantini.</t>
  </si>
  <si>
    <t>865538154:ita</t>
  </si>
  <si>
    <t>712111964</t>
  </si>
  <si>
    <t>ocn712111964</t>
  </si>
  <si>
    <t>3103125364O</t>
  </si>
  <si>
    <t>9788804608653</t>
  </si>
  <si>
    <t>794871585</t>
  </si>
  <si>
    <t>PQ4873 A98 B37 2012</t>
  </si>
  <si>
    <t>0                      PQ 4873000A  98                 B  37          2012</t>
  </si>
  <si>
    <t>Il bassotto e la regina / Melania G. Mazzucco ; illustrazioni di Alessandro Sanna.</t>
  </si>
  <si>
    <t>Mazzucco, Melania G., 1966- author.</t>
  </si>
  <si>
    <t>L'arcipelago Einaudi ; 196</t>
  </si>
  <si>
    <t>1149506117:ita</t>
  </si>
  <si>
    <t>826786346</t>
  </si>
  <si>
    <t>ocn826786346</t>
  </si>
  <si>
    <t>3103628877R</t>
  </si>
  <si>
    <t>9788806214463</t>
  </si>
  <si>
    <t>794939399</t>
  </si>
  <si>
    <t>PQ4873 A98 L56 2012</t>
  </si>
  <si>
    <t>0                      PQ 4873000A  98                 L  56          2012</t>
  </si>
  <si>
    <t>Limbo / Melania G. Mazzucco.</t>
  </si>
  <si>
    <t>Mazzucco, Melania G., 1966-</t>
  </si>
  <si>
    <t>1099675802:ita</t>
  </si>
  <si>
    <t>795168054</t>
  </si>
  <si>
    <t>ocn795168054</t>
  </si>
  <si>
    <t>3103628883W</t>
  </si>
  <si>
    <t>9788806209384</t>
  </si>
  <si>
    <t>794920924</t>
  </si>
  <si>
    <t>PQ4873 A98 L5613 2014</t>
  </si>
  <si>
    <t>0                      PQ 4873000A  98                 L  5613        2014</t>
  </si>
  <si>
    <t>Limbo / Melania G. Mazzucco ; translated from the Italian by Virginia Jewiss.</t>
  </si>
  <si>
    <t>1099675802:eng</t>
  </si>
  <si>
    <t>869770412</t>
  </si>
  <si>
    <t>ocn869770412</t>
  </si>
  <si>
    <t>3103607295T</t>
  </si>
  <si>
    <t>9780374191986</t>
  </si>
  <si>
    <t>794965790</t>
  </si>
  <si>
    <t>PQ4873 A98 S45 2013</t>
  </si>
  <si>
    <t>0                      PQ 4873000A  98                 S  45          2013</t>
  </si>
  <si>
    <t>Sei come sei / Melania G. Mazzucco.</t>
  </si>
  <si>
    <t>Torino [Italy] : Einaudi, [2013]</t>
  </si>
  <si>
    <t>Einaudi stile libero big</t>
  </si>
  <si>
    <t>1409567722:ita</t>
  </si>
  <si>
    <t>862739536</t>
  </si>
  <si>
    <t>ocn862739536</t>
  </si>
  <si>
    <t>3103628878P</t>
  </si>
  <si>
    <t>9788806209469</t>
  </si>
  <si>
    <t>794960533</t>
  </si>
  <si>
    <t>PQ4873 A98 V579 2014</t>
  </si>
  <si>
    <t>0                      PQ 4873000A  98                 V  579         2014</t>
  </si>
  <si>
    <t>Vita / Melania G. Mazzucco.</t>
  </si>
  <si>
    <t>878679:ita</t>
  </si>
  <si>
    <t>899268636</t>
  </si>
  <si>
    <t>ocn899268636</t>
  </si>
  <si>
    <t>31036377472</t>
  </si>
  <si>
    <t>9788806218812</t>
  </si>
  <si>
    <t>794986804</t>
  </si>
  <si>
    <t>PQ4873 A98 V57913 2005</t>
  </si>
  <si>
    <t>0                      PQ 4873000A  98                 V  57913       2005</t>
  </si>
  <si>
    <t>Vita : a novel / by Melania G. Mazzucco ; translated from the Italian by Virginia Jewiss.</t>
  </si>
  <si>
    <t>New York : Farrar, Straus and Giroux, ©2005.</t>
  </si>
  <si>
    <t>878679:eng</t>
  </si>
  <si>
    <t>57530128</t>
  </si>
  <si>
    <t>ocm57530128</t>
  </si>
  <si>
    <t>3102495547D</t>
  </si>
  <si>
    <t>9780374284954</t>
  </si>
  <si>
    <t>793914878</t>
  </si>
  <si>
    <t>PQ4873 E23 C56 2016</t>
  </si>
  <si>
    <t>0                      PQ 4873000E  23                 C  56          2016</t>
  </si>
  <si>
    <t>Il cinghiale che uccise Liberty Valance / Giordano Meacci.</t>
  </si>
  <si>
    <t>Meacci, Giordano, 1971- author.</t>
  </si>
  <si>
    <t>Roma : Minimum fax, febbraio 2016.</t>
  </si>
  <si>
    <t>Nichel ; 72</t>
  </si>
  <si>
    <t>2965996124:ita</t>
  </si>
  <si>
    <t>945659108</t>
  </si>
  <si>
    <t>ocn945659108</t>
  </si>
  <si>
    <t>3103662103G</t>
  </si>
  <si>
    <t>9788875217174</t>
  </si>
  <si>
    <t>795013762</t>
  </si>
  <si>
    <t>PQ4873 E4744 A6 2006</t>
  </si>
  <si>
    <t>0                      PQ 4873000E  4744               A  6           2006</t>
  </si>
  <si>
    <t>Opere scelte / Luigi Meneghello ; progetto editoriale e introduzione di Giulio Lepschy ; a cura di Francesca Caputo ; con uno scritto di Domenico Starnone.</t>
  </si>
  <si>
    <t>Meneghello, Luigi.</t>
  </si>
  <si>
    <t>Milano : A. Mondadori, 2006.</t>
  </si>
  <si>
    <t>2019-08-23</t>
  </si>
  <si>
    <t>286619591:ita</t>
  </si>
  <si>
    <t>78593772</t>
  </si>
  <si>
    <t>ocm78593772</t>
  </si>
  <si>
    <t>3102660032G</t>
  </si>
  <si>
    <t>9788804549253</t>
  </si>
  <si>
    <t>794195459</t>
  </si>
  <si>
    <t>PQ4873 E4744 A6 2012</t>
  </si>
  <si>
    <t>0                      PQ 4873000E  4744               A  6           2012</t>
  </si>
  <si>
    <t>L'apprendistato : nuove carte, 2004-2007 / Luigi Meneghello ; prefazione di Riccardo Chiaberge.</t>
  </si>
  <si>
    <t>Milano : Rizzoli, [2012]</t>
  </si>
  <si>
    <t>1117278636:ita</t>
  </si>
  <si>
    <t>794362225</t>
  </si>
  <si>
    <t>ocn794362225</t>
  </si>
  <si>
    <t>3103125914G</t>
  </si>
  <si>
    <t>9788817058940</t>
  </si>
  <si>
    <t>794919741</t>
  </si>
  <si>
    <t>PQ4873 E4744 L513 2011</t>
  </si>
  <si>
    <t>0                      PQ 4873000E  4744               L  513         2011</t>
  </si>
  <si>
    <t>Deliver us / Luigi Meneghello ; translated from the Italian and with an introduction by Frederika Randall.</t>
  </si>
  <si>
    <t>Evanston, Ill. : Northwestern University Press, 2011.</t>
  </si>
  <si>
    <t>2013-03-09</t>
  </si>
  <si>
    <t>6187671:eng</t>
  </si>
  <si>
    <t>705518878</t>
  </si>
  <si>
    <t>ocn705518878</t>
  </si>
  <si>
    <t>3103364705X</t>
  </si>
  <si>
    <t>9780810127425</t>
  </si>
  <si>
    <t>794866231</t>
  </si>
  <si>
    <t>PQ4873 E4744 Z566 2008</t>
  </si>
  <si>
    <t>0                      PQ 4873000E  4744               Z  566         2008</t>
  </si>
  <si>
    <t>Tra le parole della "virtù senza nome" : la ricerca di Luigi Meneghello : atti del Convegno internazionale di studi, Malo, Museo Casabianca, 26-28 giugno 2008 / a cura di Francesca Caputo ; premessa di Giuseppe Barbieri e Francesca Caputo.</t>
  </si>
  <si>
    <t>Convegno Tra le parole della "virtù senza nome" (2013 : Malo, Italy)</t>
  </si>
  <si>
    <t>Novara : Interlinea, ©2013.</t>
  </si>
  <si>
    <t>Biblioteca di "Autografo" ; 12</t>
  </si>
  <si>
    <t>1749380778:ita</t>
  </si>
  <si>
    <t>850440278</t>
  </si>
  <si>
    <t>ocn850440278</t>
  </si>
  <si>
    <t>3103126272L</t>
  </si>
  <si>
    <t>9788882128241</t>
  </si>
  <si>
    <t>794950555</t>
  </si>
  <si>
    <t>PQ4873 E4744 Z5x</t>
  </si>
  <si>
    <t>0                      PQ 4873000E  4744               Z  5x</t>
  </si>
  <si>
    <t>Libera nos a malo / Luigi Meneghello.</t>
  </si>
  <si>
    <t>Meneghello, Luigi, author.</t>
  </si>
  <si>
    <t>Milano : Rizzoli Editore, 1975.</t>
  </si>
  <si>
    <t>6187671:ita</t>
  </si>
  <si>
    <t>2815937</t>
  </si>
  <si>
    <t>ocm02815937</t>
  </si>
  <si>
    <t>3103602346Q</t>
  </si>
  <si>
    <t>792180284</t>
  </si>
  <si>
    <t>PQ4873 O3934 N66 2010</t>
  </si>
  <si>
    <t>0                      PQ 4873000O  3934               N  66          2010</t>
  </si>
  <si>
    <t>Non tutti i bastardi sono di Vienna / Andrea Molesini.</t>
  </si>
  <si>
    <t>Molesini, Andrea.</t>
  </si>
  <si>
    <t>Palermo : Sellerio, ©2010.</t>
  </si>
  <si>
    <t>La memoria ; 829</t>
  </si>
  <si>
    <t>685419013:ita</t>
  </si>
  <si>
    <t>669907250</t>
  </si>
  <si>
    <t>ocn669907250</t>
  </si>
  <si>
    <t>3103125539O</t>
  </si>
  <si>
    <t>9788838925009</t>
  </si>
  <si>
    <t>794847197</t>
  </si>
  <si>
    <t>PQ4873 O49316 E86 2011</t>
  </si>
  <si>
    <t>0                      PQ 4873000O  49316              E  86          2011</t>
  </si>
  <si>
    <t>L'esordiente / Raul Montanari.</t>
  </si>
  <si>
    <t>Montanari, Raul.</t>
  </si>
  <si>
    <t>Romanzi e racconti ; 518</t>
  </si>
  <si>
    <t>865538001:ita</t>
  </si>
  <si>
    <t>712111810</t>
  </si>
  <si>
    <t>ocn712111810</t>
  </si>
  <si>
    <t>3103125360O</t>
  </si>
  <si>
    <t>9788860738363</t>
  </si>
  <si>
    <t>794871581</t>
  </si>
  <si>
    <t>PQ4873 O4935 E83 2011</t>
  </si>
  <si>
    <t>0                      PQ 4873000O  4935               E  83          2011</t>
  </si>
  <si>
    <t>Eva / Giorgio Montefoschi.</t>
  </si>
  <si>
    <t>Montefoschi, Giorgio, 1946-</t>
  </si>
  <si>
    <t>905315453:ita</t>
  </si>
  <si>
    <t>727704906</t>
  </si>
  <si>
    <t>ocn727704906</t>
  </si>
  <si>
    <t>3103125402X</t>
  </si>
  <si>
    <t>9788817049245</t>
  </si>
  <si>
    <t>794878538</t>
  </si>
  <si>
    <t>PQ4873 O663 N68 2010</t>
  </si>
  <si>
    <t>0                      PQ 4873000O  663                N  68          2010</t>
  </si>
  <si>
    <t>La nota segreta : romanzo / di Marta Morazzoni.</t>
  </si>
  <si>
    <t>Morazzoni, Marta, 1950-</t>
  </si>
  <si>
    <t>La gaja scienza ; v. 968</t>
  </si>
  <si>
    <t>3373736442:ita</t>
  </si>
  <si>
    <t>613309609</t>
  </si>
  <si>
    <t>ocn613309609</t>
  </si>
  <si>
    <t>31031251103</t>
  </si>
  <si>
    <t>9788830427778</t>
  </si>
  <si>
    <t>794821851</t>
  </si>
  <si>
    <t>PQ4873 O6676 E86 1998</t>
  </si>
  <si>
    <t>0                      PQ 4873000O  6676               E  86          1998</t>
  </si>
  <si>
    <t>Gli esordi / Antonio Moresco.</t>
  </si>
  <si>
    <t>Moresco, Antonio, 1947-</t>
  </si>
  <si>
    <t>351697094:ita</t>
  </si>
  <si>
    <t>40408562</t>
  </si>
  <si>
    <t>ocm40408562</t>
  </si>
  <si>
    <t>3102872285C</t>
  </si>
  <si>
    <t>9788807015472</t>
  </si>
  <si>
    <t>793565944</t>
  </si>
  <si>
    <t>PQ4873.O6676 L4 1997</t>
  </si>
  <si>
    <t>0                      PQ 4873000O  6676               L  4           1997</t>
  </si>
  <si>
    <t>Lettere a nessuno / Antonio Moresco.</t>
  </si>
  <si>
    <t>Torino : Bollati Boringhieri, 1997.</t>
  </si>
  <si>
    <t>Varianti</t>
  </si>
  <si>
    <t>2019-02-09</t>
  </si>
  <si>
    <t>40916212:ita</t>
  </si>
  <si>
    <t>36768573</t>
  </si>
  <si>
    <t>ocm36768573</t>
  </si>
  <si>
    <t>3102509385Y</t>
  </si>
  <si>
    <t>9788833910161</t>
  </si>
  <si>
    <t>793483931</t>
  </si>
  <si>
    <t>PQ4874 E326 Z48 2014</t>
  </si>
  <si>
    <t>0                      PQ 4874000E  326                Z  48          2014</t>
  </si>
  <si>
    <t>Pipeline : letters from prison / Antonio Negri ; translated by Ed Emery.</t>
  </si>
  <si>
    <t>Negri, Antonio, 1933- author.</t>
  </si>
  <si>
    <t>Cambridge, UK ; Malden, MA : Polity Press, 2014.</t>
  </si>
  <si>
    <t>5231506:eng</t>
  </si>
  <si>
    <t>892869399</t>
  </si>
  <si>
    <t>ocn892869399</t>
  </si>
  <si>
    <t>31035827647</t>
  </si>
  <si>
    <t>9780745655642</t>
  </si>
  <si>
    <t>794981193</t>
  </si>
  <si>
    <t>PQ4874 E326 Z766 2012</t>
  </si>
  <si>
    <t>0                      PQ 4874000E  326                Z  766         2012</t>
  </si>
  <si>
    <t>Antonio Negri : modernity and the multitude / Timothy S. Murphy.</t>
  </si>
  <si>
    <t>Murphy, Timothy S., 1964-</t>
  </si>
  <si>
    <t>Cambridge, UK ; Malden, MA : Polity, 2012.</t>
  </si>
  <si>
    <t>Key contemporary thinkers</t>
  </si>
  <si>
    <t>2012-11-12</t>
  </si>
  <si>
    <t>1001229937:eng</t>
  </si>
  <si>
    <t>747534692</t>
  </si>
  <si>
    <t>ocn747534692</t>
  </si>
  <si>
    <t>3103408948R</t>
  </si>
  <si>
    <t>9780745643199</t>
  </si>
  <si>
    <t>794888262</t>
  </si>
  <si>
    <t>PQ4874 E728 N67 2012</t>
  </si>
  <si>
    <t>0                      PQ 4874000E  728                N  67          2012</t>
  </si>
  <si>
    <t>Le nostre vite senza ieri / Edoardo Nesi.</t>
  </si>
  <si>
    <t>Nesi, Edoardo.</t>
  </si>
  <si>
    <t>1087955403:ita</t>
  </si>
  <si>
    <t>779818296</t>
  </si>
  <si>
    <t>ocn779818296</t>
  </si>
  <si>
    <t>3103125736I</t>
  </si>
  <si>
    <t>9788845269479</t>
  </si>
  <si>
    <t>794911333</t>
  </si>
  <si>
    <t>PQ4874 I4 Z83 2015</t>
  </si>
  <si>
    <t>0                      PQ 4874000I  4                  Z  83          2015</t>
  </si>
  <si>
    <t>Stanislao Nievo a Roma : narrativa e cultura del secondo Novecento : atti della giornata di studio - 15 aprile 2014, Università degli studi di Roma "Tor Vergata" / a cura di Mariarosa Santiloni.</t>
  </si>
  <si>
    <t>Quaderni della Rassegna ; 96</t>
  </si>
  <si>
    <t>2525402547:ita</t>
  </si>
  <si>
    <t>909284902</t>
  </si>
  <si>
    <t>ocn909284902</t>
  </si>
  <si>
    <t>31036285918</t>
  </si>
  <si>
    <t>9788876675362</t>
  </si>
  <si>
    <t>794995378</t>
  </si>
  <si>
    <t>PQ4875 N47 U56 2011</t>
  </si>
  <si>
    <t>0                      PQ 4875000N  47                 U  56          2011</t>
  </si>
  <si>
    <t>Un uomo alto vestito di bianco / Alberto Ongaro.</t>
  </si>
  <si>
    <t>Ongaro, Alberto, 1925-</t>
  </si>
  <si>
    <t>Milano : Piemme, 2011.</t>
  </si>
  <si>
    <t>1045551033:ita</t>
  </si>
  <si>
    <t>761843502</t>
  </si>
  <si>
    <t>ocn761843502</t>
  </si>
  <si>
    <t>3103125584E</t>
  </si>
  <si>
    <t>9788856621938</t>
  </si>
  <si>
    <t>794899542</t>
  </si>
  <si>
    <t>PQ4875 R39 Z635 2011</t>
  </si>
  <si>
    <t>0                      PQ 4875000R  39                 Z  635         2011</t>
  </si>
  <si>
    <t>Giorgio Orelli : i giorni della vita / a cura di Pietro De Marchi ; con la collaborazione di Simone Soldini ; con testi di Pietro De Marchi [and others] ; con alcuni ricordi di Giorgio Orelli.</t>
  </si>
  <si>
    <t>Mendrisio (CH) : Casa Croci, 2011.</t>
  </si>
  <si>
    <t>1028090799:ita</t>
  </si>
  <si>
    <t>757462469</t>
  </si>
  <si>
    <t>ocn757462469</t>
  </si>
  <si>
    <t>3103125567I</t>
  </si>
  <si>
    <t>9788885186439</t>
  </si>
  <si>
    <t>794895379</t>
  </si>
  <si>
    <t>PQ4875 R39 Z66 2015</t>
  </si>
  <si>
    <t>0                      PQ 4875000R  39                 Z  66          2015</t>
  </si>
  <si>
    <t>Giorgio Orelli e il "lavoro" sulla parola : atti del convegno internazionale di studi, Bellinzona, 13-15 novembre 2014 / a cura di Massimo Danzi e Liliana Orlando.</t>
  </si>
  <si>
    <t>Novara : Interlinea, [2015]</t>
  </si>
  <si>
    <t>Studi ; 83</t>
  </si>
  <si>
    <t>2886908739:ita</t>
  </si>
  <si>
    <t>935123458</t>
  </si>
  <si>
    <t>ocn935123458</t>
  </si>
  <si>
    <t>31036611382</t>
  </si>
  <si>
    <t>9788868570583</t>
  </si>
  <si>
    <t>795009952</t>
  </si>
  <si>
    <t>PQ4875 R4 S6513 2012</t>
  </si>
  <si>
    <t>0                      PQ 4875000R  4                  S  6513        2012</t>
  </si>
  <si>
    <t>Walaschek's dream / Giovanni Orelli ; translated by Jamie Richards ; introduction by Daniel Rothenbühler.</t>
  </si>
  <si>
    <t>Orelli, Giovanni, 1928-</t>
  </si>
  <si>
    <t>Champaign : Dalkey Archive Press, 2012.</t>
  </si>
  <si>
    <t>2016-12-10</t>
  </si>
  <si>
    <t>365258116:eng</t>
  </si>
  <si>
    <t>767564359</t>
  </si>
  <si>
    <t>ocn767564359</t>
  </si>
  <si>
    <t>3103472180W</t>
  </si>
  <si>
    <t>9781564787569</t>
  </si>
  <si>
    <t>794901068</t>
  </si>
  <si>
    <t>PQ4875 R8 A25 1994</t>
  </si>
  <si>
    <t>0                      PQ 4875000R  8                  A  25          1994</t>
  </si>
  <si>
    <t>A music behind the wall : selected stories / Anna Maria Ortese ; translated by Henry Martin.</t>
  </si>
  <si>
    <t>Ortese, Anna Maria.</t>
  </si>
  <si>
    <t>Kingston, NY : McPherson &amp; Co., 1994-</t>
  </si>
  <si>
    <t>2018-08-04</t>
  </si>
  <si>
    <t>3373243276:eng</t>
  </si>
  <si>
    <t>30078833</t>
  </si>
  <si>
    <t>ocm30078833</t>
  </si>
  <si>
    <t>3101431311P</t>
  </si>
  <si>
    <t>9780929701394</t>
  </si>
  <si>
    <t>793329177</t>
  </si>
  <si>
    <t>2004-10-25</t>
  </si>
  <si>
    <t>3101990577W</t>
  </si>
  <si>
    <t>793329178</t>
  </si>
  <si>
    <t>PQ4875 R8 A6 2002</t>
  </si>
  <si>
    <t>0                      PQ 4875000R  8                  A  6           2002</t>
  </si>
  <si>
    <t>Romanzi / Anna Maria Ortese ; a cura di Monica Farnetti.</t>
  </si>
  <si>
    <t>Milano : Adelphi, ©2002-&lt;c2005&gt;</t>
  </si>
  <si>
    <t>La nave Argo ; 6, 9</t>
  </si>
  <si>
    <t>3146691599:ita</t>
  </si>
  <si>
    <t>51445091</t>
  </si>
  <si>
    <t>ocm51445091</t>
  </si>
  <si>
    <t>31025226836</t>
  </si>
  <si>
    <t>9788845917479</t>
  </si>
  <si>
    <t>793784404</t>
  </si>
  <si>
    <t>31025226788</t>
  </si>
  <si>
    <t>793784403</t>
  </si>
  <si>
    <t>PQ4875.R8 A6 2002</t>
  </si>
  <si>
    <t>B000662039</t>
  </si>
  <si>
    <t>793784405</t>
  </si>
  <si>
    <t>PQ4875 R8 C67 1997</t>
  </si>
  <si>
    <t>0                      PQ 4875000R  8                  C  67          1997</t>
  </si>
  <si>
    <t>Corpo celeste / Anna Maria Ortese.</t>
  </si>
  <si>
    <t>Piccola biblioteca Adelphi ; 389</t>
  </si>
  <si>
    <t>2019-09-22</t>
  </si>
  <si>
    <t>41035000:ita</t>
  </si>
  <si>
    <t>37206748</t>
  </si>
  <si>
    <t>ocm37206748</t>
  </si>
  <si>
    <t>3101826354Y</t>
  </si>
  <si>
    <t>9788845912917</t>
  </si>
  <si>
    <t>793493199</t>
  </si>
  <si>
    <t>PQ4875 R8 I3 1978</t>
  </si>
  <si>
    <t>0                      PQ 4875000R  8                  I  3           1978</t>
  </si>
  <si>
    <t>L'iguana / Anna Maria Ortese ; introduzione di Dario Bellezza.</t>
  </si>
  <si>
    <t>Milano : Biblioteca universale Rizzoli, 1978.</t>
  </si>
  <si>
    <t>BUR ; L197</t>
  </si>
  <si>
    <t>2016-02-19</t>
  </si>
  <si>
    <t>12281146:ita</t>
  </si>
  <si>
    <t>5416196</t>
  </si>
  <si>
    <t>ocm05416196</t>
  </si>
  <si>
    <t>3000459957H</t>
  </si>
  <si>
    <t>792431668</t>
  </si>
  <si>
    <t>PQ4875 R8 I333 2015</t>
  </si>
  <si>
    <t>0                      PQ 4875000R  8                  I  333         2015</t>
  </si>
  <si>
    <t>Una storia invisibile : Morante, Ortese, Weil / Angela Borghesi.</t>
  </si>
  <si>
    <t>Borghesi, Angela, 1959- author.</t>
  </si>
  <si>
    <t>Macerata : Quodlibet, [2015]</t>
  </si>
  <si>
    <t>2620169981:ita</t>
  </si>
  <si>
    <t>921144209</t>
  </si>
  <si>
    <t>ocn921144209</t>
  </si>
  <si>
    <t>3103623062N</t>
  </si>
  <si>
    <t>9788874627486</t>
  </si>
  <si>
    <t>795002913</t>
  </si>
  <si>
    <t>PQ4875 R8 M3 1979</t>
  </si>
  <si>
    <t>0                      PQ 4875000R  8                  M  3           1979</t>
  </si>
  <si>
    <t>Il mare non bagna Napoli / Anna Maria Ortese ; a cura di Anna Nozzoli.</t>
  </si>
  <si>
    <t>Firenze : La nuova Italia, 1979.</t>
  </si>
  <si>
    <t>Primo scaffale ; 58</t>
  </si>
  <si>
    <t>2018-05-16</t>
  </si>
  <si>
    <t>351267624:ita</t>
  </si>
  <si>
    <t>5619091</t>
  </si>
  <si>
    <t>ocm05619091</t>
  </si>
  <si>
    <t>3000304455T</t>
  </si>
  <si>
    <t>792441999</t>
  </si>
  <si>
    <t>PQ4875 R8 M57 2010</t>
  </si>
  <si>
    <t>0                      PQ 4875000R  8                  M  57          2010</t>
  </si>
  <si>
    <t>Mistero doloroso / Anna Maria Ortese ; a cura di Monica Farnetti.</t>
  </si>
  <si>
    <t>Milano : Adelphi, ©2010.</t>
  </si>
  <si>
    <t>Piccola biblioteca Adelphi ; 604</t>
  </si>
  <si>
    <t>686274673:ita</t>
  </si>
  <si>
    <t>670470598</t>
  </si>
  <si>
    <t>ocn670470598</t>
  </si>
  <si>
    <t>3103125191O</t>
  </si>
  <si>
    <t>9788845925245</t>
  </si>
  <si>
    <t>794847810</t>
  </si>
  <si>
    <t>PQ4875 R8 M66 2001</t>
  </si>
  <si>
    <t>0                      PQ 4875000R  8                  M  66          2001</t>
  </si>
  <si>
    <t>Il monaciello di Napoli ; Il fantasma / Anna Maria Ortese ; con una nota di Giuseppe Iannaccone.</t>
  </si>
  <si>
    <t>Milano : Adelphi, ©2001.</t>
  </si>
  <si>
    <t>Fabula ; 135</t>
  </si>
  <si>
    <t>62817643:ita</t>
  </si>
  <si>
    <t>47752371</t>
  </si>
  <si>
    <t>ocm47752371</t>
  </si>
  <si>
    <t>3102216926G</t>
  </si>
  <si>
    <t>9788845916243</t>
  </si>
  <si>
    <t>793707087</t>
  </si>
  <si>
    <t>PQ4875 R8 P58 1998</t>
  </si>
  <si>
    <t>0                      PQ 4875000R  8                  P  58          1998</t>
  </si>
  <si>
    <t>Il porto di Toledo / Anna Maria Ortese.</t>
  </si>
  <si>
    <t>Fabula ; 108</t>
  </si>
  <si>
    <t>365350701:ita</t>
  </si>
  <si>
    <t>39008873</t>
  </si>
  <si>
    <t>ocm39008873</t>
  </si>
  <si>
    <t>31019076008</t>
  </si>
  <si>
    <t>9788845913570</t>
  </si>
  <si>
    <t>793535726</t>
  </si>
  <si>
    <t>PQ4875 R8 Z48 2011</t>
  </si>
  <si>
    <t>0                      PQ 4875000R  8                  Z  48          2011</t>
  </si>
  <si>
    <t>Bellezza, addio : lettere a Dario Bellezza, 1972-1992 / Anna Maria Ortese ; a cura di Adelia Battista.</t>
  </si>
  <si>
    <t>Milano : Archinto, ©2011.</t>
  </si>
  <si>
    <t>905315086:ita</t>
  </si>
  <si>
    <t>727704521</t>
  </si>
  <si>
    <t>ocn727704521</t>
  </si>
  <si>
    <t>3103125417V</t>
  </si>
  <si>
    <t>9788877685735</t>
  </si>
  <si>
    <t>794878523</t>
  </si>
  <si>
    <t>PQ4875 R8 Z5235 2015</t>
  </si>
  <si>
    <t>0                      PQ 4875000R  8                  Z  5235        2015</t>
  </si>
  <si>
    <t>Anna Maria Ortese : celestial geographies / edited by Gian Maria Annovi and Flora Ghezzo ; with an interview with the author by Dacia Maraini.</t>
  </si>
  <si>
    <t>2553667388:eng</t>
  </si>
  <si>
    <t>898087049</t>
  </si>
  <si>
    <t>ocn898087049</t>
  </si>
  <si>
    <t>3103496501A</t>
  </si>
  <si>
    <t>9781442649002</t>
  </si>
  <si>
    <t>794985753</t>
  </si>
  <si>
    <t>PQ4875 R8 Z524 2010</t>
  </si>
  <si>
    <t>0                      PQ 4875000R  8                  Z  524         2010</t>
  </si>
  <si>
    <t>La meraviglia e il disincanto : studi sulla narrativa breve di Anna Maria Ortese / Andrea Baldi.</t>
  </si>
  <si>
    <t>Baldi, Andrea.</t>
  </si>
  <si>
    <t>Casoria (Napoli) : Loffredo, University Press, [2010]</t>
  </si>
  <si>
    <t>Studi di italianistica ; 2</t>
  </si>
  <si>
    <t>796791541:ita</t>
  </si>
  <si>
    <t>670470425</t>
  </si>
  <si>
    <t>ocn670470425</t>
  </si>
  <si>
    <t>3103125176S</t>
  </si>
  <si>
    <t>9788875644062</t>
  </si>
  <si>
    <t>794847804</t>
  </si>
  <si>
    <t>PQ4875 T7 D6 1963</t>
  </si>
  <si>
    <t>0                      PQ 4875000T  7                  D  6           1963</t>
  </si>
  <si>
    <t>Donnarumma all'assalto.</t>
  </si>
  <si>
    <t>Ottieri, Ottiero, 1924-2002.</t>
  </si>
  <si>
    <t>[Milano] Bompiani [1963]</t>
  </si>
  <si>
    <t>[3. ed.].</t>
  </si>
  <si>
    <t>103035243:ita</t>
  </si>
  <si>
    <t>789454</t>
  </si>
  <si>
    <t>ocm00789454</t>
  </si>
  <si>
    <t>3000769989E</t>
  </si>
  <si>
    <t>791470318</t>
  </si>
  <si>
    <t>PQ4876 A34 Z46 2011</t>
  </si>
  <si>
    <t>0                      PQ 4876000A  34                 Z  46          2011</t>
  </si>
  <si>
    <t>Memorie / Elio Pagliarani ; prefazione di Walter Pedullà.</t>
  </si>
  <si>
    <t>Pagliarani, Elio, 1927-</t>
  </si>
  <si>
    <t>Gli specchi</t>
  </si>
  <si>
    <t>793927706:ita</t>
  </si>
  <si>
    <t>704509744</t>
  </si>
  <si>
    <t>ocn704509744</t>
  </si>
  <si>
    <t>3103125367O</t>
  </si>
  <si>
    <t>9788831708722</t>
  </si>
  <si>
    <t>794865736</t>
  </si>
  <si>
    <t>PQ4876 A34 Z613 2011</t>
  </si>
  <si>
    <t>0                      PQ 4876000A  34                 Z  613         2011</t>
  </si>
  <si>
    <t>Dall'avanguardia all'eresia : l'opera poetica di Elio Pagliarani / Federico Fastelli.</t>
  </si>
  <si>
    <t>Fastelli, Federico.</t>
  </si>
  <si>
    <t>Quaderni Aldo Palazzeschi. Nuova serie / Centro di studi Aldo Palazzeschi, Università degli studi di Firenze, Facoltà di lettere e filosofia ; 28</t>
  </si>
  <si>
    <t>1044135348:ita</t>
  </si>
  <si>
    <t>760988805</t>
  </si>
  <si>
    <t>ocn760988805</t>
  </si>
  <si>
    <t>3103125601R</t>
  </si>
  <si>
    <t>9788860321862</t>
  </si>
  <si>
    <t>794898914</t>
  </si>
  <si>
    <t>PQ4876 A383 F73 2010</t>
  </si>
  <si>
    <t>0                      PQ 4876000A  383                F  73          2010</t>
  </si>
  <si>
    <t>I fratelli minori / Enrico Palandri.</t>
  </si>
  <si>
    <t>Palandri, Enrico.</t>
  </si>
  <si>
    <t>478745163:ita</t>
  </si>
  <si>
    <t>610840589</t>
  </si>
  <si>
    <t>ocn610840589</t>
  </si>
  <si>
    <t>3103125083T</t>
  </si>
  <si>
    <t>9788845264498</t>
  </si>
  <si>
    <t>794820816</t>
  </si>
  <si>
    <t>PQ4876 A383 I58 2017</t>
  </si>
  <si>
    <t>0                      PQ 4876000A  383                I  58          2017</t>
  </si>
  <si>
    <t>L'inventore di se stesso / Enrico Palandri.</t>
  </si>
  <si>
    <t>Palandri, Enrico, author.</t>
  </si>
  <si>
    <t>Firenze : Bompiani, settembre 2017.</t>
  </si>
  <si>
    <t>4561890414:ita</t>
  </si>
  <si>
    <t>1006417190</t>
  </si>
  <si>
    <t>on1006417190</t>
  </si>
  <si>
    <t>3103721221W</t>
  </si>
  <si>
    <t>9788845293085</t>
  </si>
  <si>
    <t>795042998</t>
  </si>
  <si>
    <t>PQ4876 A383 Z635 2010</t>
  </si>
  <si>
    <t>0                      PQ 4876000A  383                Z  635         2010</t>
  </si>
  <si>
    <t>Generazione in movimento : viaggio nella scrittura di Enrico Palandri / a cura di Enrico Minardi e Monica Francioso.</t>
  </si>
  <si>
    <t>Il portico ; 151. Sezione Materiali letterari</t>
  </si>
  <si>
    <t>5453946084:ita</t>
  </si>
  <si>
    <t>566955237</t>
  </si>
  <si>
    <t>ocn566955237</t>
  </si>
  <si>
    <t>3103255776Q</t>
  </si>
  <si>
    <t>9788880636366</t>
  </si>
  <si>
    <t>794813135</t>
  </si>
  <si>
    <t>PQ4876 A714 A85 2017</t>
  </si>
  <si>
    <t>0                      PQ 4876000A  714                A  85          2017</t>
  </si>
  <si>
    <t>Amici per paura / Ferruccio Parazzoli.</t>
  </si>
  <si>
    <t>Parazzoli, Ferruccio, 1935- author.</t>
  </si>
  <si>
    <t>[Milan, Italy] : SEM, Società editrice milanese, [2017]</t>
  </si>
  <si>
    <t>4148115298:ita</t>
  </si>
  <si>
    <t>987024796</t>
  </si>
  <si>
    <t>ocn987024796</t>
  </si>
  <si>
    <t>3103721209M</t>
  </si>
  <si>
    <t>9788893900027</t>
  </si>
  <si>
    <t>795035852</t>
  </si>
  <si>
    <t>PQ4876 A85 Z52 2009</t>
  </si>
  <si>
    <t>0                      PQ 4876000A  85                 Z  52          2009</t>
  </si>
  <si>
    <t>Le parentele inventate : letteratura, cinema e arte per Francesco e Pier Maria Pasinetti : atti del convegno internazionale, Venezia, 3-5 dicembre 2009 / a cura di Anna Rinaldin, Samuela Simion ; introduzione di Silvana Tamiozzo Goldmann.</t>
  </si>
  <si>
    <t>Biblioteca veneta. Carte del contemporaneo ; 2</t>
  </si>
  <si>
    <t>1082403016:ita</t>
  </si>
  <si>
    <t>778420028</t>
  </si>
  <si>
    <t>ocn778420028</t>
  </si>
  <si>
    <t>3103125712M</t>
  </si>
  <si>
    <t>9788884556592</t>
  </si>
  <si>
    <t>794909782</t>
  </si>
  <si>
    <t>PQ4876 A9 M67 1987</t>
  </si>
  <si>
    <t>0                      PQ 4876000A  9                  M  67          1987</t>
  </si>
  <si>
    <t>La morte della bellezza : romanzo / Giuseppe Patroni Griffi.</t>
  </si>
  <si>
    <t>Patroni Griffi, Giuseppe, 1921-2005.</t>
  </si>
  <si>
    <t>2015-07-02</t>
  </si>
  <si>
    <t>350585351:ita</t>
  </si>
  <si>
    <t>17691698</t>
  </si>
  <si>
    <t>ocm17691698</t>
  </si>
  <si>
    <t>3000532332N</t>
  </si>
  <si>
    <t>9788804301424</t>
  </si>
  <si>
    <t>793000187</t>
  </si>
  <si>
    <t>PQ4876 A9 S3</t>
  </si>
  <si>
    <t>0                      PQ 4876000A  9                  S  3</t>
  </si>
  <si>
    <t>Scende giù per Toledo / Giuseppe Patroni Griffi.</t>
  </si>
  <si>
    <t>2265643:ita</t>
  </si>
  <si>
    <t>1408740</t>
  </si>
  <si>
    <t>ocm01408740</t>
  </si>
  <si>
    <t>3000395192D</t>
  </si>
  <si>
    <t>791619956</t>
  </si>
  <si>
    <t>PQ4876 A98 D36 2012</t>
  </si>
  <si>
    <t>0                      PQ 4876000A  98                 D  36          2012</t>
  </si>
  <si>
    <t>D'amore non esistono peccati : romanzo / Roberto Pazzi.</t>
  </si>
  <si>
    <t>Pazzi, Roberto, 1946-</t>
  </si>
  <si>
    <t>Siena : Barbera Editore, 2012.</t>
  </si>
  <si>
    <t>2014-12-23</t>
  </si>
  <si>
    <t>1171191106:ita</t>
  </si>
  <si>
    <t>812249907</t>
  </si>
  <si>
    <t>ocn812249907</t>
  </si>
  <si>
    <t>3103125916G</t>
  </si>
  <si>
    <t>9788878995444</t>
  </si>
  <si>
    <t>794930753</t>
  </si>
  <si>
    <t>PQ4876 A98 F45 2013</t>
  </si>
  <si>
    <t>0                      PQ 4876000A  98                 F  45          2013</t>
  </si>
  <si>
    <t>Felicità di perdersi : poesie, 1998-2012 / Roberto Pazzi.</t>
  </si>
  <si>
    <t>Siena, Italy : Barbera, 2013.</t>
  </si>
  <si>
    <t>Nike</t>
  </si>
  <si>
    <t>1367340577:ita</t>
  </si>
  <si>
    <t>852688738</t>
  </si>
  <si>
    <t>ocn852688738</t>
  </si>
  <si>
    <t>3103126299H</t>
  </si>
  <si>
    <t>9788878996014</t>
  </si>
  <si>
    <t>794951488</t>
  </si>
  <si>
    <t>PQ4876 A98 M52 2010</t>
  </si>
  <si>
    <t>0                      PQ 4876000A  98                 M  52          2010</t>
  </si>
  <si>
    <t>Mi spiacerà morire per non vederti più : romanzo / Roberto Pazzi.</t>
  </si>
  <si>
    <t>Ferrara : Corbo, ©2010.</t>
  </si>
  <si>
    <t>L'isola bianca</t>
  </si>
  <si>
    <t>766686403:ita</t>
  </si>
  <si>
    <t>694058192</t>
  </si>
  <si>
    <t>ocn694058192</t>
  </si>
  <si>
    <t>3103125271P</t>
  </si>
  <si>
    <t>9788896346044</t>
  </si>
  <si>
    <t>794857100</t>
  </si>
  <si>
    <t>PQ4876 E213 D64 2012</t>
  </si>
  <si>
    <t>0                      PQ 4876000E  213                D  64          2012</t>
  </si>
  <si>
    <t>Dodici poesie d'amore / Elio Pecora ; acquerelli, Giorgio Griffa.</t>
  </si>
  <si>
    <t>Pecora, Elio.</t>
  </si>
  <si>
    <t>Pistoia : Frullini, 2012.</t>
  </si>
  <si>
    <t>1309719515:ita</t>
  </si>
  <si>
    <t>842837379</t>
  </si>
  <si>
    <t>ocn842837379</t>
  </si>
  <si>
    <t>3103126213X</t>
  </si>
  <si>
    <t>9788897574088</t>
  </si>
  <si>
    <t>794947578</t>
  </si>
  <si>
    <t>PQ4876 E213 N45 2011</t>
  </si>
  <si>
    <t>0                      PQ 4876000E  213                N  45          2011</t>
  </si>
  <si>
    <t>Nel tempo della madre : epicedio / Elio Pecora ; nota critica di Gabriela Fantato.</t>
  </si>
  <si>
    <t>Milano : La vita felice, 2011.</t>
  </si>
  <si>
    <t>Sguardi ; 22</t>
  </si>
  <si>
    <t>900365815:ita</t>
  </si>
  <si>
    <t>724302674</t>
  </si>
  <si>
    <t>ocn724302674</t>
  </si>
  <si>
    <t>3103125389K</t>
  </si>
  <si>
    <t>9788877993373</t>
  </si>
  <si>
    <t>794876288</t>
  </si>
  <si>
    <t>PQ4876 E213 T88 2010</t>
  </si>
  <si>
    <t>0                      PQ 4876000E  213                T  88          2010</t>
  </si>
  <si>
    <t>Tutto da ridere? / Elio Pecora.</t>
  </si>
  <si>
    <t>Roma : Empirìa, ©2010.</t>
  </si>
  <si>
    <t>Sassifraga ; 82</t>
  </si>
  <si>
    <t>3956486531:ita</t>
  </si>
  <si>
    <t>668177842</t>
  </si>
  <si>
    <t>ocn668177842</t>
  </si>
  <si>
    <t>31031252120</t>
  </si>
  <si>
    <t>9788896218105</t>
  </si>
  <si>
    <t>794845894</t>
  </si>
  <si>
    <t>PQ4876 E485 C36 2010</t>
  </si>
  <si>
    <t>0                      PQ 4876000E  485                C  36          2010</t>
  </si>
  <si>
    <t>Canale Mussolini : romanzo / Antonio Pennacchi.</t>
  </si>
  <si>
    <t>Pennacchi, Antonio, 1950-</t>
  </si>
  <si>
    <t>2011-07-13</t>
  </si>
  <si>
    <t>4921641041:ita</t>
  </si>
  <si>
    <t>603033251</t>
  </si>
  <si>
    <t>ocn603033251</t>
  </si>
  <si>
    <t>3103125304$</t>
  </si>
  <si>
    <t>9788804546757</t>
  </si>
  <si>
    <t>794815598</t>
  </si>
  <si>
    <t>PQ4876 E485 C3613 2013</t>
  </si>
  <si>
    <t>0                      PQ 4876000E  485                C  3613        2013</t>
  </si>
  <si>
    <t>The Mussolini canal / Antonio Pennacchi ; translated by Judith Landry.</t>
  </si>
  <si>
    <t>Pennacchi, Antonio, 1950- author.</t>
  </si>
  <si>
    <t>Sawtry, Cambs : Dedalus, 2013.</t>
  </si>
  <si>
    <t>Dedalus Europe ; 2013</t>
  </si>
  <si>
    <t>2014-05-23</t>
  </si>
  <si>
    <t>8961192142:eng</t>
  </si>
  <si>
    <t>817267540</t>
  </si>
  <si>
    <t>ocn817267540</t>
  </si>
  <si>
    <t>3103500085Z</t>
  </si>
  <si>
    <t>9781909232242</t>
  </si>
  <si>
    <t>794933463</t>
  </si>
  <si>
    <t>PQ4876 E485 M366 2011</t>
  </si>
  <si>
    <t>0                      PQ 4876000E  485                M  366         2011</t>
  </si>
  <si>
    <t>Mammut : romanzo / Antonio Pennacchi.</t>
  </si>
  <si>
    <t>Mlano : Mondadori, ©2011.</t>
  </si>
  <si>
    <t>34149338:ita</t>
  </si>
  <si>
    <t>704943041</t>
  </si>
  <si>
    <t>ocn704943041</t>
  </si>
  <si>
    <t>3103126179O</t>
  </si>
  <si>
    <t>9788804610717</t>
  </si>
  <si>
    <t>794865982</t>
  </si>
  <si>
    <t>PQ4876 E65 D5313 1999</t>
  </si>
  <si>
    <t>0                      PQ 4876000E  65                 D  5313        1999</t>
  </si>
  <si>
    <t>Lo's diary / Pia Pera ; translated from the Italian by Ann Goldstein.</t>
  </si>
  <si>
    <t>Pera, Pia, 1956-2016.</t>
  </si>
  <si>
    <t>New York, N.Y. : Foxrock, ©1999.</t>
  </si>
  <si>
    <t>23660443:eng</t>
  </si>
  <si>
    <t>42639373</t>
  </si>
  <si>
    <t>ocm42639373</t>
  </si>
  <si>
    <t>31020433745</t>
  </si>
  <si>
    <t>9780964374010</t>
  </si>
  <si>
    <t>793610358</t>
  </si>
  <si>
    <t>PQ4876 E764 T88 2011</t>
  </si>
  <si>
    <t>0                      PQ 4876000E  764                T  88          2011</t>
  </si>
  <si>
    <t>Tutta la vita : romanzo / di Romana Petri.</t>
  </si>
  <si>
    <t>Petri, Romana.</t>
  </si>
  <si>
    <t>Milano : Longanesi, ©2011.</t>
  </si>
  <si>
    <t>La gaja scienza ; 998</t>
  </si>
  <si>
    <t>865538144:ita</t>
  </si>
  <si>
    <t>712111953</t>
  </si>
  <si>
    <t>ocn712111953</t>
  </si>
  <si>
    <t>31031260240</t>
  </si>
  <si>
    <t>9788830430754</t>
  </si>
  <si>
    <t>794871584</t>
  </si>
  <si>
    <t>PQ4876 E765 A653 2012</t>
  </si>
  <si>
    <t>0                      PQ 4876000E  765                A  653         2012</t>
  </si>
  <si>
    <t>Addio a Roma / Sandra Petrignani.</t>
  </si>
  <si>
    <t>Vicenza : Neri Pozza, [2012]</t>
  </si>
  <si>
    <t>Bloom ; 63</t>
  </si>
  <si>
    <t>10076653372:ita</t>
  </si>
  <si>
    <t>826681406</t>
  </si>
  <si>
    <t>ocn826681406</t>
  </si>
  <si>
    <t>3103126075R</t>
  </si>
  <si>
    <t>9788854505766</t>
  </si>
  <si>
    <t>794939310</t>
  </si>
  <si>
    <t>PQ4876 I7 S6 1958</t>
  </si>
  <si>
    <t>0                      PQ 4876000I  7                  S  6           1958</t>
  </si>
  <si>
    <t>Le soldatesse.</t>
  </si>
  <si>
    <t>Pirro, Ugo.</t>
  </si>
  <si>
    <t>Milano : [publisher not identified], [1958]</t>
  </si>
  <si>
    <t>Universale economics ; 209</t>
  </si>
  <si>
    <t>23736618:ita</t>
  </si>
  <si>
    <t>61609319</t>
  </si>
  <si>
    <t>ocm61609319</t>
  </si>
  <si>
    <t>30007728306</t>
  </si>
  <si>
    <t>794047722</t>
  </si>
  <si>
    <t>PQ4876 O337 Z85 2012</t>
  </si>
  <si>
    <t>0                      PQ 4876000O  337                Z  85          2012</t>
  </si>
  <si>
    <t>Un poeta non può morire : memoria e scrittura nell'opera di Raffaele Poidomani / a cura di Antonio Sichera.</t>
  </si>
  <si>
    <t>Polinnia ; 27</t>
  </si>
  <si>
    <t>1190542758:ita</t>
  </si>
  <si>
    <t>811589205</t>
  </si>
  <si>
    <t>ocn811589205</t>
  </si>
  <si>
    <t>31031259802</t>
  </si>
  <si>
    <t>9788822262004</t>
  </si>
  <si>
    <t>794930171</t>
  </si>
  <si>
    <t>PQ4876 O53 M6</t>
  </si>
  <si>
    <t>0                      PQ 4876000O  53                 M  6</t>
  </si>
  <si>
    <t>La morte in banca : un romanzo breve e undici racconti / Giuseppe Pontiggia.</t>
  </si>
  <si>
    <t>Pontiggia, Giuseppe, 1934-2003.</t>
  </si>
  <si>
    <t>2017-11-24</t>
  </si>
  <si>
    <t>796265936:ita</t>
  </si>
  <si>
    <t>5710703</t>
  </si>
  <si>
    <t>ocm05710703</t>
  </si>
  <si>
    <t>30004298726</t>
  </si>
  <si>
    <t>792448367</t>
  </si>
  <si>
    <t>PQ4876 O7 S36 2010</t>
  </si>
  <si>
    <t>0                      PQ 4876000O  7                  S  36          2010</t>
  </si>
  <si>
    <t>La scomparsa del corpo / Antonio Porta.</t>
  </si>
  <si>
    <t>Porta, Antonio, 1935-1989.</t>
  </si>
  <si>
    <t>San Cesario di Lecce (Lecce) : Manni, ©2010.</t>
  </si>
  <si>
    <t>Pretesti ; 403</t>
  </si>
  <si>
    <t>692953276:ita</t>
  </si>
  <si>
    <t>677914535</t>
  </si>
  <si>
    <t>ocn677914535</t>
  </si>
  <si>
    <t>31031252170</t>
  </si>
  <si>
    <t>9788862663069</t>
  </si>
  <si>
    <t>794850276</t>
  </si>
  <si>
    <t>PQ4876 O7 Z75 2012</t>
  </si>
  <si>
    <t>0                      PQ 4876000O  7                  Z  75          2012</t>
  </si>
  <si>
    <t>"Mettersi a bottega" : Antonio Porta e i mestieri della letteratura / a cura di Alessandro Terreni e Gianni Turchetta.</t>
  </si>
  <si>
    <t>Sussidi eruditi ; 88</t>
  </si>
  <si>
    <t>1185377374:ita</t>
  </si>
  <si>
    <t>794703357</t>
  </si>
  <si>
    <t>ocn794703357</t>
  </si>
  <si>
    <t>3103126085P</t>
  </si>
  <si>
    <t>9788863724073</t>
  </si>
  <si>
    <t>794920310</t>
  </si>
  <si>
    <t>PQ4876 O89 A6 2012</t>
  </si>
  <si>
    <t>0                      PQ 4876000O  89                 A  6           2012</t>
  </si>
  <si>
    <t>L'educazione cattolica / Neri Pozza ; a cura di Marco Cavalli ; nota al testo di Giulia Basso.</t>
  </si>
  <si>
    <t>Pozza, Neri, 1912-1988.</t>
  </si>
  <si>
    <t>Costabissara (Vicenza) : A. Colla, ©2012.</t>
  </si>
  <si>
    <t>1100385311:ita</t>
  </si>
  <si>
    <t>785335121</t>
  </si>
  <si>
    <t>ocn785335121</t>
  </si>
  <si>
    <t>3103125746G</t>
  </si>
  <si>
    <t>9788889527849</t>
  </si>
  <si>
    <t>794914792</t>
  </si>
  <si>
    <t>PQ4876 O89 2011</t>
  </si>
  <si>
    <t>0                      PQ 4876000O  89          2011</t>
  </si>
  <si>
    <t>Opere complete / Neri Pozza ; prosa a cura di Giorgio Pullini ; poesia a cura di Fernando Bandini.</t>
  </si>
  <si>
    <t>Vicenza : Neri Pozza editore, [2011]</t>
  </si>
  <si>
    <t>1122978329:ita</t>
  </si>
  <si>
    <t>798053276</t>
  </si>
  <si>
    <t>ocn798053276</t>
  </si>
  <si>
    <t>3103125849D</t>
  </si>
  <si>
    <t>9788854505926</t>
  </si>
  <si>
    <t>794923013</t>
  </si>
  <si>
    <t>3103125850B</t>
  </si>
  <si>
    <t>794923012</t>
  </si>
  <si>
    <t>PQ4876 R387 S76 2013</t>
  </si>
  <si>
    <t>0                      PQ 4876000R  387                S  76          2013</t>
  </si>
  <si>
    <t>Storia umana e inumana : Nella regione profonda, Nei boschi felici / Giorgio Pressburger.</t>
  </si>
  <si>
    <t>Pressburger, Giorgio, 1937- author.</t>
  </si>
  <si>
    <t>Milano : Bompiani, 2013.</t>
  </si>
  <si>
    <t>2018-11-26</t>
  </si>
  <si>
    <t>8912836129:ita</t>
  </si>
  <si>
    <t>850439078</t>
  </si>
  <si>
    <t>ocn850439078</t>
  </si>
  <si>
    <t>3103126276L</t>
  </si>
  <si>
    <t>9788845273100</t>
  </si>
  <si>
    <t>794950552</t>
  </si>
  <si>
    <t>PQ4876 R47 N45 2008</t>
  </si>
  <si>
    <t>0                      PQ 4876000R  47                 N  45          2008</t>
  </si>
  <si>
    <t>Nel regno oscuro / Giorgio Pressburger.</t>
  </si>
  <si>
    <t>Pressburger, Giorgio, 1937-</t>
  </si>
  <si>
    <t>[Milan, Italy] : Bompiani, 2008.</t>
  </si>
  <si>
    <t>Tascabili Bompiani ; 1079. Romanzi e racconti</t>
  </si>
  <si>
    <t>179606056:ita</t>
  </si>
  <si>
    <t>298777743</t>
  </si>
  <si>
    <t>ocn298777743</t>
  </si>
  <si>
    <t>3103094483T</t>
  </si>
  <si>
    <t>9788845261602</t>
  </si>
  <si>
    <t>794428348</t>
  </si>
  <si>
    <t>PQ4876 U337 M3 1978</t>
  </si>
  <si>
    <t>0                      PQ 4876000U  337                M  3           1978</t>
  </si>
  <si>
    <t>Malacqua : quattro giorni di pioggia nella città di Napoli in attesa che si verifichi un accadimento straordinario / Nicola Pugliese.</t>
  </si>
  <si>
    <t>Pugliese, Nicola, 1944-</t>
  </si>
  <si>
    <t>Torino : Einaudi, 1978, ©1977.</t>
  </si>
  <si>
    <t>Nuovi coralli</t>
  </si>
  <si>
    <t>293616405:ita</t>
  </si>
  <si>
    <t>6504537</t>
  </si>
  <si>
    <t>ocm06504537</t>
  </si>
  <si>
    <t>3000449992L</t>
  </si>
  <si>
    <t>792504262</t>
  </si>
  <si>
    <t>PQ4878 A439 Z865 2010</t>
  </si>
  <si>
    <t>0                      PQ 4878000A  439                Z  865         2010</t>
  </si>
  <si>
    <t>Fabrizia Ramondino : rimemorazione e viaggio / Franco Sepe.</t>
  </si>
  <si>
    <t>Sepe, Franco.</t>
  </si>
  <si>
    <t>919239237:ita</t>
  </si>
  <si>
    <t>729344766</t>
  </si>
  <si>
    <t>ocn729344766</t>
  </si>
  <si>
    <t>3103125458N</t>
  </si>
  <si>
    <t>9788820750190</t>
  </si>
  <si>
    <t>794879312</t>
  </si>
  <si>
    <t>PQ4878 A4675 N88 2010</t>
  </si>
  <si>
    <t>0                      PQ 4878000A  4675               N  88          2010</t>
  </si>
  <si>
    <t>Nuvole sull'equatore : gli italiani dimenticati : una storia / Shirin Ramzanali Fazel.</t>
  </si>
  <si>
    <t>Ramzanali Fazel, Shirin.</t>
  </si>
  <si>
    <t>Le golette ; 8</t>
  </si>
  <si>
    <t>836163892:ita</t>
  </si>
  <si>
    <t>707959975</t>
  </si>
  <si>
    <t>ocn707959975</t>
  </si>
  <si>
    <t>3103125384K</t>
  </si>
  <si>
    <t>9788889056479</t>
  </si>
  <si>
    <t>794868317</t>
  </si>
  <si>
    <t>PQ4878 A73 L5</t>
  </si>
  <si>
    <t>0                      PQ 4878000A  73                 L  5</t>
  </si>
  <si>
    <t>La lingua della nutrice : percorsi e tracce dell'espressione femminile / Elisabetta Rasy ; con una introduzione di Julia Kristeva.</t>
  </si>
  <si>
    <t>Rasy, Elisabetta, 1947-</t>
  </si>
  <si>
    <t>Roma : Edizioni delle donne, 1978.</t>
  </si>
  <si>
    <t>18944866:ita</t>
  </si>
  <si>
    <t>5677225</t>
  </si>
  <si>
    <t>ocm05677225</t>
  </si>
  <si>
    <t>3000301568V</t>
  </si>
  <si>
    <t>792446031</t>
  </si>
  <si>
    <t>PQ4878 I3 A72 2002</t>
  </si>
  <si>
    <t>0                      PQ 4878000I  3                  A  72          2002</t>
  </si>
  <si>
    <t>Arboreto salvatico / Mario Rigoni Stern.</t>
  </si>
  <si>
    <t>Rigoni Stern, Mario.</t>
  </si>
  <si>
    <t>Torino : Einaudi, 2002.</t>
  </si>
  <si>
    <t>5090865021:ita</t>
  </si>
  <si>
    <t>427546643</t>
  </si>
  <si>
    <t>ocn427546643</t>
  </si>
  <si>
    <t>31023087439</t>
  </si>
  <si>
    <t>9788806129835</t>
  </si>
  <si>
    <t>794682591</t>
  </si>
  <si>
    <t>PQ4878 O313 C4713 2011</t>
  </si>
  <si>
    <t>0                      PQ 4878000O  313                C  4713        2011</t>
  </si>
  <si>
    <t>Lamberto Lamberto Lamberto / Gianni Rodari ; illustrated by Federico Maggioni ; translated by Antony Shugaar.</t>
  </si>
  <si>
    <t>Rodari, Gianni.</t>
  </si>
  <si>
    <t>Brooklyn, N.Y. : Melville House, ©2011.</t>
  </si>
  <si>
    <t>2909344308:eng</t>
  </si>
  <si>
    <t>701810333</t>
  </si>
  <si>
    <t>ocn701810333</t>
  </si>
  <si>
    <t>3103407433B</t>
  </si>
  <si>
    <t>9781935554615</t>
  </si>
  <si>
    <t>794863530</t>
  </si>
  <si>
    <t>PQ4878 O313 Z774 2011</t>
  </si>
  <si>
    <t>0                      PQ 4878000O  313                Z  774         2011</t>
  </si>
  <si>
    <t>La poetica di Rodari : utopia del folklore e nonsense / Giulia Massini.</t>
  </si>
  <si>
    <t>Massini, Giulia.</t>
  </si>
  <si>
    <t>818459062:ita</t>
  </si>
  <si>
    <t>707459730</t>
  </si>
  <si>
    <t>ocn707459730</t>
  </si>
  <si>
    <t>3103125356Q</t>
  </si>
  <si>
    <t>9788843059355</t>
  </si>
  <si>
    <t>794867749</t>
  </si>
  <si>
    <t>PQ4878 O8 A6 2010</t>
  </si>
  <si>
    <t>0                      PQ 4878000O  8                  A  6           2010</t>
  </si>
  <si>
    <t>La libellula e altri scritti / Amelia Rosselli.</t>
  </si>
  <si>
    <t>Rosselli, Amelia, 1930-1996.</t>
  </si>
  <si>
    <t>Milano : SE, 2010, ©2010.</t>
  </si>
  <si>
    <t>Testi e documenti ; 203</t>
  </si>
  <si>
    <t>26783817:ita</t>
  </si>
  <si>
    <t>682881835</t>
  </si>
  <si>
    <t>ocn682881835</t>
  </si>
  <si>
    <t>3103126318U</t>
  </si>
  <si>
    <t>9788877108487</t>
  </si>
  <si>
    <t>794852950</t>
  </si>
  <si>
    <t>PQ4878 O8 I55 1981</t>
  </si>
  <si>
    <t>0                      PQ 4878000O  8                  I  55          1981</t>
  </si>
  <si>
    <t>Impromptu / Amelia Rosselli.</t>
  </si>
  <si>
    <t>Genova : S. Marco dei Giustiniani, 1981.</t>
  </si>
  <si>
    <t>Quaderni di poesia</t>
  </si>
  <si>
    <t>140106204:ita</t>
  </si>
  <si>
    <t>10967767</t>
  </si>
  <si>
    <t>ocm10967767</t>
  </si>
  <si>
    <t>3103378785X</t>
  </si>
  <si>
    <t>9788874940134</t>
  </si>
  <si>
    <t>792751842</t>
  </si>
  <si>
    <t>PQ4878 O8 L6313 2012</t>
  </si>
  <si>
    <t>0                      PQ 4878000O  8                  L  6313        2012</t>
  </si>
  <si>
    <t>Locomotrix : selected poetry and prose of Amelia Rosselli / edited and translated by Jennifer Scappettone.</t>
  </si>
  <si>
    <t>Chicago ; London : The University of Chicago Press, 2012.</t>
  </si>
  <si>
    <t>995963636:eng</t>
  </si>
  <si>
    <t>747018923</t>
  </si>
  <si>
    <t>ocn747018923</t>
  </si>
  <si>
    <t>3103414710D</t>
  </si>
  <si>
    <t>9780226728834</t>
  </si>
  <si>
    <t>794887642</t>
  </si>
  <si>
    <t>PQ4878 O8 P74 1980</t>
  </si>
  <si>
    <t>0                      PQ 4878000O  8                  P  74          1980</t>
  </si>
  <si>
    <t>Primi scritti : 1952-1963 / Amelia Rosselli.</t>
  </si>
  <si>
    <t>Milano : Guanda, ©1980.</t>
  </si>
  <si>
    <t>Quaderni della Fenice ; 65</t>
  </si>
  <si>
    <t>1059241418:ita</t>
  </si>
  <si>
    <t>20723445</t>
  </si>
  <si>
    <t>ocm20723445</t>
  </si>
  <si>
    <t>3000357012I</t>
  </si>
  <si>
    <t>793096815</t>
  </si>
  <si>
    <t>PQ4878 O8 S6316 2003</t>
  </si>
  <si>
    <t>0                      PQ 4878000O  8                  S  6316        2003</t>
  </si>
  <si>
    <t>Sonno = Sleep : 1953-1966 / Amelia Rosselli ; versione italiana di Antonio Porta ; prefazione di Niva Lorenzini.</t>
  </si>
  <si>
    <t>Genova : San Marco dei Giustiniani, 2003.</t>
  </si>
  <si>
    <t>2017-04-03</t>
  </si>
  <si>
    <t>499441019:ita</t>
  </si>
  <si>
    <t>54473666</t>
  </si>
  <si>
    <t>ocm54473666</t>
  </si>
  <si>
    <t>3103473245X</t>
  </si>
  <si>
    <t>9788874941322</t>
  </si>
  <si>
    <t>793862513</t>
  </si>
  <si>
    <t>PQ4878 O8 Z46 2010</t>
  </si>
  <si>
    <t>0                      PQ 4878000O  8                  Z  46          2010</t>
  </si>
  <si>
    <t>È vostra la vita che ho perso : conversazioni e interviste, 1964-1995 / Amelia Rosselli ; a cura di Monica Venturini e Silvia De March ; prefazione di Laura Barile.</t>
  </si>
  <si>
    <t>Fuoriformato ; 26</t>
  </si>
  <si>
    <t>407473973:ita</t>
  </si>
  <si>
    <t>535487558</t>
  </si>
  <si>
    <t>ocn535487558</t>
  </si>
  <si>
    <t>3103479919V</t>
  </si>
  <si>
    <t>9788860873187</t>
  </si>
  <si>
    <t>794809999</t>
  </si>
  <si>
    <t>PQ4878 O8 Z565 2015</t>
  </si>
  <si>
    <t>0                      PQ 4878000O  8                  Z  565         2015</t>
  </si>
  <si>
    <t>Avvicinamento alla poesia di Amelia Rosselli / Laura Barile.</t>
  </si>
  <si>
    <t>Barile, Laura, author.</t>
  </si>
  <si>
    <t>Ospedaletto (Pisa) : Pacini editore, [2015]</t>
  </si>
  <si>
    <t>Strumenti di filologia e critica ; 20</t>
  </si>
  <si>
    <t>2526464127:ita</t>
  </si>
  <si>
    <t>913217997</t>
  </si>
  <si>
    <t>ocn913217997</t>
  </si>
  <si>
    <t>3103629976K</t>
  </si>
  <si>
    <t>9788863157802</t>
  </si>
  <si>
    <t>794999246</t>
  </si>
  <si>
    <t>PQ4878 O8 Z57 2007</t>
  </si>
  <si>
    <t>0                      PQ 4878000O  8                  Z  57          2007</t>
  </si>
  <si>
    <t>L'opera plurilingue di Amelia Rosselli : un distorto, inesperto, espertissimo linguaggio / Tatiana Bisanti.</t>
  </si>
  <si>
    <t>Bisanti, Tatiana.</t>
  </si>
  <si>
    <t>Letteratura italiana ; 13</t>
  </si>
  <si>
    <t>351907312:ita</t>
  </si>
  <si>
    <t>173622676</t>
  </si>
  <si>
    <t>ocn173622676</t>
  </si>
  <si>
    <t>3103479904X</t>
  </si>
  <si>
    <t>9788846718099</t>
  </si>
  <si>
    <t>794269122</t>
  </si>
  <si>
    <t>PQ4878 O8 Z63 2006</t>
  </si>
  <si>
    <t>0                      PQ 4878000O  8                  Z  63          2006</t>
  </si>
  <si>
    <t>Amelia Rosselli tra poesia e storia / Silvia De March.</t>
  </si>
  <si>
    <t>De March, Silvia, 1979-</t>
  </si>
  <si>
    <t>Napoli : L'ancora del Mediterraneo, 2006.</t>
  </si>
  <si>
    <t>Gli alberi ; 61</t>
  </si>
  <si>
    <t>60647639:ita</t>
  </si>
  <si>
    <t>74311908</t>
  </si>
  <si>
    <t>ocm74311908</t>
  </si>
  <si>
    <t>31034730108</t>
  </si>
  <si>
    <t>9788883251955</t>
  </si>
  <si>
    <t>794172223</t>
  </si>
  <si>
    <t>PQ4878 O8 Z68 2007</t>
  </si>
  <si>
    <t>0                      PQ 4878000O  8                  Z  68          2007</t>
  </si>
  <si>
    <t>La furia dei venti contrari : variazioni Amelia Rosselli : con testi inediti e dispersi dell'autrice / a cura di Andrea Cortellessa.</t>
  </si>
  <si>
    <t>(Text + DVD + CD)</t>
  </si>
  <si>
    <t>Firenze : Le lettere, 2007.</t>
  </si>
  <si>
    <t>Fuoriformato ; 8</t>
  </si>
  <si>
    <t>909508640:ita</t>
  </si>
  <si>
    <t>184820348</t>
  </si>
  <si>
    <t>ocn184820348</t>
  </si>
  <si>
    <t>3103449106Z</t>
  </si>
  <si>
    <t>9788860870797</t>
  </si>
  <si>
    <t>794290681</t>
  </si>
  <si>
    <t>PQ4878 O8 Z85 2008</t>
  </si>
  <si>
    <t>0                      PQ 4878000O  8                  Z  85          2008</t>
  </si>
  <si>
    <t>Scrivere è chiedersi come è fatto il mondo : per Amelia Rosselli : atti del convegno, Università della Calabria, 13 dicembre 2006 / a cura di Caterina Verbaro.</t>
  </si>
  <si>
    <t>Soveria Mannelli : Rubbettino, 2008.</t>
  </si>
  <si>
    <t>Studi di filologia antica e moderna ; 18</t>
  </si>
  <si>
    <t>891892193:ita</t>
  </si>
  <si>
    <t>272561379</t>
  </si>
  <si>
    <t>ocn272561379</t>
  </si>
  <si>
    <t>3103479930R</t>
  </si>
  <si>
    <t>9788849821291</t>
  </si>
  <si>
    <t>794415499</t>
  </si>
  <si>
    <t>PQ4878 O8 2012</t>
  </si>
  <si>
    <t>0                      PQ 4878000O  8           2012</t>
  </si>
  <si>
    <t>L'opera poetica / Amelia Rosselli ; a cura di Stefano Giovannuzzi ; con la collaborazione per gli apparati critici di Francesco Carbognin [and four others] ; saggio introduttivo di Emmanuela Tandello.</t>
  </si>
  <si>
    <t>Rosselli, Amelia, 1930-1996, author.</t>
  </si>
  <si>
    <t>Milano : Arnoldo Mondadori Editore, 2012.</t>
  </si>
  <si>
    <t>3944891035:ita</t>
  </si>
  <si>
    <t>802322747</t>
  </si>
  <si>
    <t>ocn802322747</t>
  </si>
  <si>
    <t>3103474185O</t>
  </si>
  <si>
    <t>9788804604853</t>
  </si>
  <si>
    <t>794925582</t>
  </si>
  <si>
    <t>PQ4878 U36 B33 2011</t>
  </si>
  <si>
    <t>0                      PQ 4878000U  36                 B  33          2011</t>
  </si>
  <si>
    <t>Un bacio e l'oblio / Giampaolo Rugarli.</t>
  </si>
  <si>
    <t>Rugarli, Giampaolo, 1932-2014.</t>
  </si>
  <si>
    <t>1039373798:ita</t>
  </si>
  <si>
    <t>759152464</t>
  </si>
  <si>
    <t>ocn759152464</t>
  </si>
  <si>
    <t>3103125590C</t>
  </si>
  <si>
    <t>9788831709774</t>
  </si>
  <si>
    <t>794897028</t>
  </si>
  <si>
    <t>PQ4878 U36 B38 2012</t>
  </si>
  <si>
    <t>0                      PQ 4878000U  36                 B  38          2012</t>
  </si>
  <si>
    <t>Il battello smarrito / Giampaolo Rugarli.</t>
  </si>
  <si>
    <t>1117278588:ita</t>
  </si>
  <si>
    <t>794362172</t>
  </si>
  <si>
    <t>ocn794362172</t>
  </si>
  <si>
    <t>31031259910</t>
  </si>
  <si>
    <t>9788831713047</t>
  </si>
  <si>
    <t>794919740</t>
  </si>
  <si>
    <t>PQ4878 U66 S74 2011</t>
  </si>
  <si>
    <t>0                      PQ 4878000U  66                 S  74          2011</t>
  </si>
  <si>
    <t>Stella del nord : nuove laminette orfiche / Ito Ruscigni ; prefazione di Marco Vannini.</t>
  </si>
  <si>
    <t>Ruscigni, Ito.</t>
  </si>
  <si>
    <t>Genova : De Ferrari, [2011]</t>
  </si>
  <si>
    <t>Poesia</t>
  </si>
  <si>
    <t>1204044048:ita</t>
  </si>
  <si>
    <t>825098243</t>
  </si>
  <si>
    <t>ocn825098243</t>
  </si>
  <si>
    <t>3103633512C</t>
  </si>
  <si>
    <t>9788864052977</t>
  </si>
  <si>
    <t>794938462</t>
  </si>
  <si>
    <t>PQ4879 A63 V37 2010</t>
  </si>
  <si>
    <t>0                      PQ 4879000A  63                 V  37          2010</t>
  </si>
  <si>
    <t>Varie ed eventuali : poesie, 1995-2010 / Edoardo Sanguineti ; postfazione di Niva Lorenzini.</t>
  </si>
  <si>
    <t>Sanguineti, Edoardo.</t>
  </si>
  <si>
    <t>1. ed. in Fuori collana.</t>
  </si>
  <si>
    <t>Fuori collana</t>
  </si>
  <si>
    <t>794377843:ita</t>
  </si>
  <si>
    <t>688494805</t>
  </si>
  <si>
    <t>ocn688494805</t>
  </si>
  <si>
    <t>3103125250T</t>
  </si>
  <si>
    <t>9788807421297</t>
  </si>
  <si>
    <t>794854328</t>
  </si>
  <si>
    <t>PQ4879 A63 Z46 2012</t>
  </si>
  <si>
    <t>0                      PQ 4879000A  63                 Z  46          2012</t>
  </si>
  <si>
    <t>La ballata del quotidiano : interviste di Giuliano Galletta (1994-2009) / Edoardo Sanguineti ; prefazione di Erminio Risso.</t>
  </si>
  <si>
    <t>Sanguineti, Edoardo, interviewee.</t>
  </si>
  <si>
    <t>Genova : Il melangolo, [2012]</t>
  </si>
  <si>
    <t>Lecturae ; 65</t>
  </si>
  <si>
    <t>1178595753:ita</t>
  </si>
  <si>
    <t>816527548</t>
  </si>
  <si>
    <t>ocn816527548</t>
  </si>
  <si>
    <t>31031259518</t>
  </si>
  <si>
    <t>9788870188530</t>
  </si>
  <si>
    <t>794933203</t>
  </si>
  <si>
    <t>PQ4879 A63 Z518 2017</t>
  </si>
  <si>
    <t>0                      PQ 4879000A  63                 Z  518         2017</t>
  </si>
  <si>
    <t>"La testa in tempesta" : Edoardo Sanguineti e le distrazioni di un chierico / Clara Allasia.</t>
  </si>
  <si>
    <t>Allasia, Clara, author.</t>
  </si>
  <si>
    <t>Novara : Interlinea, [2017]</t>
  </si>
  <si>
    <t>Biblioteca del Centro novarese di studi letterari ; 69. Saggi e testi</t>
  </si>
  <si>
    <t>4209253283:ita</t>
  </si>
  <si>
    <t>987269990</t>
  </si>
  <si>
    <t>ocn987269990</t>
  </si>
  <si>
    <t>3103721182G</t>
  </si>
  <si>
    <t>9788868571245</t>
  </si>
  <si>
    <t>795035940</t>
  </si>
  <si>
    <t>PQ4879 A63 Z557 2011</t>
  </si>
  <si>
    <t>0                      PQ 4879000A  63                 Z  557         2011</t>
  </si>
  <si>
    <t>Piccolo (e molto didascalico) viatico per un'introduzione alla poesia di Sanguineti / Fausto Curi.</t>
  </si>
  <si>
    <t>Curi, Fausto, 1930-</t>
  </si>
  <si>
    <t>982015510:ita</t>
  </si>
  <si>
    <t>745969676</t>
  </si>
  <si>
    <t>ocn745969676</t>
  </si>
  <si>
    <t>3103125574G</t>
  </si>
  <si>
    <t>9788870005431</t>
  </si>
  <si>
    <t>794886741</t>
  </si>
  <si>
    <t>Per Edoardo Sanguineti : lavori in corso : atti del Convegno internazionale di studi, Genova, 12-14 maggio 2011 / a cura di Marco Berisso e Erminio Risso.</t>
  </si>
  <si>
    <t>Convegno genovese su Edoardo Sanguineti (2011 : Genoa, Italy)</t>
  </si>
  <si>
    <t>Quaderni della Rassegna ; 79</t>
  </si>
  <si>
    <t>1406665886:ita</t>
  </si>
  <si>
    <t>824728003</t>
  </si>
  <si>
    <t>ocn824728003</t>
  </si>
  <si>
    <t>3103483630I</t>
  </si>
  <si>
    <t>9788876674433</t>
  </si>
  <si>
    <t>794938223</t>
  </si>
  <si>
    <t>PQ4879 A63 Z58 2011</t>
  </si>
  <si>
    <t>0                      PQ 4879000A  63                 Z  58          2011</t>
  </si>
  <si>
    <t>Sanguineti e il teatro della scrittura : la pratica del travestimento da Dante a Dürer / Niva Lorenzini.</t>
  </si>
  <si>
    <t>Letteratura italiana ; 6</t>
  </si>
  <si>
    <t>1020842158:ita</t>
  </si>
  <si>
    <t>761177474</t>
  </si>
  <si>
    <t>ocn761177474</t>
  </si>
  <si>
    <t>3103125549M</t>
  </si>
  <si>
    <t>9788856838572</t>
  </si>
  <si>
    <t>794899048</t>
  </si>
  <si>
    <t>PQ4879 A63 Z62 2013</t>
  </si>
  <si>
    <t>0                      PQ 4879000A  63                 Z  62          2013</t>
  </si>
  <si>
    <t>Edoardo Sanguineti : literature, ideology and the avant-garde / edited by Paolo Chirumbolo and John Picchione.</t>
  </si>
  <si>
    <t>London, United Kingdom : Legenda, 2013.</t>
  </si>
  <si>
    <t>Italian perspectives ; 26</t>
  </si>
  <si>
    <t>2013-11-18</t>
  </si>
  <si>
    <t>1622431323:eng</t>
  </si>
  <si>
    <t>844873111</t>
  </si>
  <si>
    <t>ocn844873111</t>
  </si>
  <si>
    <t>3103500919M</t>
  </si>
  <si>
    <t>9781907975783</t>
  </si>
  <si>
    <t>794948809</t>
  </si>
  <si>
    <t>PQ4879 A63 Z87 2011</t>
  </si>
  <si>
    <t>0                      PQ 4879000A  63                 Z  87          2011</t>
  </si>
  <si>
    <t>Temperamento Sanguineti / a cura di Tania Lorandi, Sandro Montalto.</t>
  </si>
  <si>
    <t>(book + DVD)</t>
  </si>
  <si>
    <t>Novi Ligure (Alessandria) : Joker, 2011.</t>
  </si>
  <si>
    <t>I libri di Corto circuito</t>
  </si>
  <si>
    <t>929372085:ita</t>
  </si>
  <si>
    <t>740627384</t>
  </si>
  <si>
    <t>ocn740627384</t>
  </si>
  <si>
    <t>3103125484H</t>
  </si>
  <si>
    <t>9788875362799</t>
  </si>
  <si>
    <t>794883378</t>
  </si>
  <si>
    <t>PQ4879 A63 Z887 2011</t>
  </si>
  <si>
    <t>0                      PQ 4879000A  63                 Z  887         2011</t>
  </si>
  <si>
    <t>Una costanza sfigurata : lo statuto del soggetto nella poesia di Sanguineti / Enrico Testa.</t>
  </si>
  <si>
    <t>Testa, Enrico, 1956-</t>
  </si>
  <si>
    <t>Alia ; 40</t>
  </si>
  <si>
    <t>1019343921:ita</t>
  </si>
  <si>
    <t>755700734</t>
  </si>
  <si>
    <t>ocn755700734</t>
  </si>
  <si>
    <t>3103125553K</t>
  </si>
  <si>
    <t>9788882127916</t>
  </si>
  <si>
    <t>794893914</t>
  </si>
  <si>
    <t>PQ4879 A65638 A77 2012</t>
  </si>
  <si>
    <t>0                      PQ 4879000A  65638              A  77          2012</t>
  </si>
  <si>
    <t>Amorino / Isabella Santacroce.</t>
  </si>
  <si>
    <t>Santacroce, Isabella.</t>
  </si>
  <si>
    <t>1090343081:ita</t>
  </si>
  <si>
    <t>781254037</t>
  </si>
  <si>
    <t>ocn781254037</t>
  </si>
  <si>
    <t>3103125747G</t>
  </si>
  <si>
    <t>9788845269837</t>
  </si>
  <si>
    <t>794912500</t>
  </si>
  <si>
    <t>PQ4879 A65638 S87 2015</t>
  </si>
  <si>
    <t>0                      PQ 4879000A  65638              S  87          2015</t>
  </si>
  <si>
    <t>Supernova : romanzo / Isabella Santacroce.</t>
  </si>
  <si>
    <t>Santacroce, Isabella, author.</t>
  </si>
  <si>
    <t>2296151679:ita</t>
  </si>
  <si>
    <t>905086308</t>
  </si>
  <si>
    <t>ocn905086308</t>
  </si>
  <si>
    <t>31036215398</t>
  </si>
  <si>
    <t>9788804647829</t>
  </si>
  <si>
    <t>794991094</t>
  </si>
  <si>
    <t>PQ4879 A6726 Z46 2012</t>
  </si>
  <si>
    <t>0                      PQ 4879000A  6726               Z  46          2012</t>
  </si>
  <si>
    <t>La scrittura e la vita : conversazioni con Francesca Sanvitale / Elio Pecora.</t>
  </si>
  <si>
    <t>Sanvitale, Francesca, interviewee.</t>
  </si>
  <si>
    <t>Torino : Nino Aragno Editore, [2012]</t>
  </si>
  <si>
    <t>1190081589:ita</t>
  </si>
  <si>
    <t>822016256</t>
  </si>
  <si>
    <t>ocn822016256</t>
  </si>
  <si>
    <t>3103512221S</t>
  </si>
  <si>
    <t>9788884195500</t>
  </si>
  <si>
    <t>794936285</t>
  </si>
  <si>
    <t>PQ4879 A675 A7813 2013</t>
  </si>
  <si>
    <t>0                      PQ 4879000A  675                A  7813        2013</t>
  </si>
  <si>
    <t>The art of joy / Goliarda Sapienza ; Translated from the Italian by Anne Milano Appel ; With a foreword by Angelo Pellegrino.</t>
  </si>
  <si>
    <t>Sapienza, Goliarda.</t>
  </si>
  <si>
    <t>New York : Farrar, Straus and Giroux, [2013]</t>
  </si>
  <si>
    <t>4440873376:eng</t>
  </si>
  <si>
    <t>829239495</t>
  </si>
  <si>
    <t>ocn829239495</t>
  </si>
  <si>
    <t>31035523059</t>
  </si>
  <si>
    <t>9780374106140</t>
  </si>
  <si>
    <t>794942212</t>
  </si>
  <si>
    <t>PQ4879 A675 A843 2013</t>
  </si>
  <si>
    <t>0                      PQ 4879000A  675                A  843         2013</t>
  </si>
  <si>
    <t>Ancestrale / Goliarda Sapienza ; prefazione e cura di Angelo Pellegrino ; postfazione di Anna Toscano.</t>
  </si>
  <si>
    <t>Milano : La vita felice, 2013.</t>
  </si>
  <si>
    <t>Labirinti ; 47</t>
  </si>
  <si>
    <t>1357831125:ita</t>
  </si>
  <si>
    <t>847585286</t>
  </si>
  <si>
    <t>ocn847585286</t>
  </si>
  <si>
    <t>31035681779</t>
  </si>
  <si>
    <t>9788877994875</t>
  </si>
  <si>
    <t>794949604</t>
  </si>
  <si>
    <t>PQ4879 A675 I65 2010</t>
  </si>
  <si>
    <t>0                      PQ 4879000A  675                I  65          2010</t>
  </si>
  <si>
    <t>Io, Jean Gabin / Goliarda Sapienza ; postfazione e cura di Angelo Pellegrino.</t>
  </si>
  <si>
    <t>9463079094:ita</t>
  </si>
  <si>
    <t>613214643</t>
  </si>
  <si>
    <t>ocn613214643</t>
  </si>
  <si>
    <t>31035567686</t>
  </si>
  <si>
    <t>9788806201890</t>
  </si>
  <si>
    <t>794821779</t>
  </si>
  <si>
    <t>PQ4879 A675 M53 2013</t>
  </si>
  <si>
    <t>0                      PQ 4879000A  675                M  53          2013</t>
  </si>
  <si>
    <t>La mia parte di gioia : taccuini, 1989-1992 / Goliarda Sapienza ; prefazione di Angelo Pellegrino ; a cura di Gaia Rispoli.</t>
  </si>
  <si>
    <t>1436608352:ita</t>
  </si>
  <si>
    <t>864432034</t>
  </si>
  <si>
    <t>ocn864432034</t>
  </si>
  <si>
    <t>31035567696</t>
  </si>
  <si>
    <t>9788806217358</t>
  </si>
  <si>
    <t>794961989</t>
  </si>
  <si>
    <t>PQ4879 A675 Z46 2011</t>
  </si>
  <si>
    <t>0                      PQ 4879000A  675                Z  46          2011</t>
  </si>
  <si>
    <t>Il vizio di parlare a me stessa : taccuini 1976-1989 / Goliarda Sapienza ; a cura di Gaia Rispoli ; prefazione di Angelo Pellegrino.</t>
  </si>
  <si>
    <t>1075144929:ita</t>
  </si>
  <si>
    <t>773667733</t>
  </si>
  <si>
    <t>ocn773667733</t>
  </si>
  <si>
    <t>31035567676</t>
  </si>
  <si>
    <t>9788806203078</t>
  </si>
  <si>
    <t>794905850</t>
  </si>
  <si>
    <t>PQ4879 A675 Z54 2018</t>
  </si>
  <si>
    <t>0                      PQ 4879000A  675                Z  54          2018</t>
  </si>
  <si>
    <t>Writing for freedom : body, identity and power in Goliarda Sapienza's narrative / Alberica Bazzoni.</t>
  </si>
  <si>
    <t>Bazzoni, Alberica, 1986- author.</t>
  </si>
  <si>
    <t>Oxford ; New York : Peter Lang, [2018]</t>
  </si>
  <si>
    <t>Studies in contemporary women's writings, 2235-4123 ; volume 7</t>
  </si>
  <si>
    <t>2609467434:eng</t>
  </si>
  <si>
    <t>993601766</t>
  </si>
  <si>
    <t>ocn993601766</t>
  </si>
  <si>
    <t>3103703697M</t>
  </si>
  <si>
    <t>9783034322423</t>
  </si>
  <si>
    <t>795038691</t>
  </si>
  <si>
    <t>PQ4879 C333 B38 2006</t>
  </si>
  <si>
    <t>0                      PQ 4879000C  333                B  38          2006</t>
  </si>
  <si>
    <t>Batticuore fuorilegge / Tiziano Scarpa.</t>
  </si>
  <si>
    <t>Scarpa, Tiziano, 1963-</t>
  </si>
  <si>
    <t>Roma : Fanucci, 2006.</t>
  </si>
  <si>
    <t>Collezione atlantica--Autori italiani e americani</t>
  </si>
  <si>
    <t>2015-04-18</t>
  </si>
  <si>
    <t>52512854:ita</t>
  </si>
  <si>
    <t>69169819</t>
  </si>
  <si>
    <t>ocm69169819</t>
  </si>
  <si>
    <t>31028288169</t>
  </si>
  <si>
    <t>9788834711637</t>
  </si>
  <si>
    <t>794145434</t>
  </si>
  <si>
    <t>PQ4879 C333 C668 2004</t>
  </si>
  <si>
    <t>0                      PQ 4879000C  333                C  668         2004</t>
  </si>
  <si>
    <t>Corpo / Tiziano Scarpa.</t>
  </si>
  <si>
    <t>Torino : Einaudi, 2004.</t>
  </si>
  <si>
    <t>L'arcipelago Einaudi ; 51</t>
  </si>
  <si>
    <t>2018-08-08</t>
  </si>
  <si>
    <t>5091298601:ita</t>
  </si>
  <si>
    <t>55947390</t>
  </si>
  <si>
    <t>ocm55947390</t>
  </si>
  <si>
    <t>31026605165</t>
  </si>
  <si>
    <t>9788806169978</t>
  </si>
  <si>
    <t>793884103</t>
  </si>
  <si>
    <t>PQ4879 C333 C674 2010</t>
  </si>
  <si>
    <t>0                      PQ 4879000C  333                C  674         2010</t>
  </si>
  <si>
    <t>Le cose fondamentali / Tiziano Scarpa.</t>
  </si>
  <si>
    <t>505344261:ita</t>
  </si>
  <si>
    <t>644522558</t>
  </si>
  <si>
    <t>ocn644522558</t>
  </si>
  <si>
    <t>3103401587M</t>
  </si>
  <si>
    <t>9788806201876</t>
  </si>
  <si>
    <t>794829200</t>
  </si>
  <si>
    <t>PQ4879 C333 K35 2003</t>
  </si>
  <si>
    <t>0                      PQ 4879000C  333                K  35          2003</t>
  </si>
  <si>
    <t>Kamikaze d'Occidente : [romanzo] / Tiziano Scarpa.</t>
  </si>
  <si>
    <t>Milano : Rizzoli, ©2003.</t>
  </si>
  <si>
    <t>La scala. Sintonie ; 28</t>
  </si>
  <si>
    <t>11960705:ita</t>
  </si>
  <si>
    <t>53340490</t>
  </si>
  <si>
    <t>ocm53340490</t>
  </si>
  <si>
    <t>31026938440</t>
  </si>
  <si>
    <t>9788817872959</t>
  </si>
  <si>
    <t>793826699</t>
  </si>
  <si>
    <t>PQ4879 C54 A115 1989</t>
  </si>
  <si>
    <t>0                      PQ 4879000C  54                 A  115         1989</t>
  </si>
  <si>
    <t>Opere / Leonardo Sciascia ; a cura di Claude Ambroise.</t>
  </si>
  <si>
    <t>Milano : Bompiani, 1989-1991.</t>
  </si>
  <si>
    <t>[2a ed.].</t>
  </si>
  <si>
    <t>2864067580:ita</t>
  </si>
  <si>
    <t>233898232</t>
  </si>
  <si>
    <t>ocn233898232</t>
  </si>
  <si>
    <t>31009514428</t>
  </si>
  <si>
    <t>9788845216992</t>
  </si>
  <si>
    <t>794367296</t>
  </si>
  <si>
    <t>2010-12-01</t>
  </si>
  <si>
    <t>3101108282A</t>
  </si>
  <si>
    <t>794367297</t>
  </si>
  <si>
    <t>3102090053A</t>
  </si>
  <si>
    <t>794367298</t>
  </si>
  <si>
    <t>PQ4879 C54 A6 2003</t>
  </si>
  <si>
    <t>0                      PQ 4879000C  54                 A  6           2003</t>
  </si>
  <si>
    <t>Leonardo Sciascia scrittore editore, ovvero, la felicità di far libri / a cura di Salvatore Silvano Nigro.</t>
  </si>
  <si>
    <t>Palermo : Sellerio, ©2003.</t>
  </si>
  <si>
    <t>La memoria ; 567</t>
  </si>
  <si>
    <t>2016-06-25</t>
  </si>
  <si>
    <t>473879979:ita</t>
  </si>
  <si>
    <t>53461904</t>
  </si>
  <si>
    <t>ocm53461904</t>
  </si>
  <si>
    <t>31023368165</t>
  </si>
  <si>
    <t>9788838918155</t>
  </si>
  <si>
    <t>793828881</t>
  </si>
  <si>
    <t>PQ4879 C54 A6 2016</t>
  </si>
  <si>
    <t>0                      PQ 4879000C  54                 A  6           2016</t>
  </si>
  <si>
    <t>Fine del carabiniere a cavallo : saggi letterari (1955-1989) / Leonardo Sciascia ; a cura di Paolo Squillacioti.</t>
  </si>
  <si>
    <t>Sciascia, Leonardo, author.</t>
  </si>
  <si>
    <t>Milano : Adelphi edizioni, [2016]</t>
  </si>
  <si>
    <t>Biblioteca Adelphi ; 647</t>
  </si>
  <si>
    <t>2957726289:ita</t>
  </si>
  <si>
    <t>945914102</t>
  </si>
  <si>
    <t>ocn945914102</t>
  </si>
  <si>
    <t>31037081093</t>
  </si>
  <si>
    <t>9788845930515</t>
  </si>
  <si>
    <t>795014008</t>
  </si>
  <si>
    <t>PQ4879 C54 A63 1976</t>
  </si>
  <si>
    <t>0                      PQ 4879000C  54                 A  63          1976</t>
  </si>
  <si>
    <t>A ciascuno il suo / Leonardo Sciascia ; a cura di Jole F. Magri.</t>
  </si>
  <si>
    <t>Torino : G. Einaudi, ©1976.</t>
  </si>
  <si>
    <t>Letture per la scuola media ; 38</t>
  </si>
  <si>
    <t>19921082:ita</t>
  </si>
  <si>
    <t>3875490</t>
  </si>
  <si>
    <t>ocm03875490</t>
  </si>
  <si>
    <t>31029302651</t>
  </si>
  <si>
    <t>9788806442064</t>
  </si>
  <si>
    <t>792300684</t>
  </si>
  <si>
    <t>PQ4879 C54 A6313 1989</t>
  </si>
  <si>
    <t>0                      PQ 4879000C  54                 A  6313        1989</t>
  </si>
  <si>
    <t>To each his own / Leonardo Sciascia ; translated by Adrienne Foulke.</t>
  </si>
  <si>
    <t>Manchester : Carcanet, 1989.</t>
  </si>
  <si>
    <t>19921082:eng</t>
  </si>
  <si>
    <t>18626076</t>
  </si>
  <si>
    <t>ocm18626076</t>
  </si>
  <si>
    <t>3102930275$</t>
  </si>
  <si>
    <t>9780856358197</t>
  </si>
  <si>
    <t>793031256</t>
  </si>
  <si>
    <t>PQ4879 C54 C3</t>
  </si>
  <si>
    <t>0                      PQ 4879000C  54                 C  3</t>
  </si>
  <si>
    <t>Candido : ovvero, Un sogno fatto in Sicilia / Leonardo Sciascia.</t>
  </si>
  <si>
    <t>Torino : Einaudi, ©1977.</t>
  </si>
  <si>
    <t>Nuovi Coralli ; 192</t>
  </si>
  <si>
    <t>9463387763:ita</t>
  </si>
  <si>
    <t>4002084</t>
  </si>
  <si>
    <t>ocm04002084</t>
  </si>
  <si>
    <t>3000442678P</t>
  </si>
  <si>
    <t>792312523</t>
  </si>
  <si>
    <t>PQ4879 C54 C313</t>
  </si>
  <si>
    <t>0                      PQ 4879000C  54                 C  313</t>
  </si>
  <si>
    <t>Candido : or, A dream dreamed in Sicily / Leonardo Sciascia ; translated from the Italian by Adrienne Foulke.</t>
  </si>
  <si>
    <t>New York : Harcourt Brace Jovanovich, [1979]</t>
  </si>
  <si>
    <t>881286:eng</t>
  </si>
  <si>
    <t>4933246</t>
  </si>
  <si>
    <t>ocm04933246</t>
  </si>
  <si>
    <t>3000333618E</t>
  </si>
  <si>
    <t>9780151153800</t>
  </si>
  <si>
    <t>792394951</t>
  </si>
  <si>
    <t>PQ4879 C54 F86 2010</t>
  </si>
  <si>
    <t>0                      PQ 4879000C  54                 F  86          2010</t>
  </si>
  <si>
    <t>Il fuoco nel mare : racconti dispersi, 1947-1975 / Leonardo Sciascia ; a cura di Paolo Squillacioti.</t>
  </si>
  <si>
    <t>Milano : Adelphi, 2010.</t>
  </si>
  <si>
    <t>Biblioteca Adelphi ; 557</t>
  </si>
  <si>
    <t>792098751:ita</t>
  </si>
  <si>
    <t>641458956</t>
  </si>
  <si>
    <t>ocn641458956</t>
  </si>
  <si>
    <t>31031251163</t>
  </si>
  <si>
    <t>9788845924804</t>
  </si>
  <si>
    <t>794827523</t>
  </si>
  <si>
    <t>PQ4879 C54 G4 1964</t>
  </si>
  <si>
    <t>0                      PQ 4879000C  54                 G  4           1964</t>
  </si>
  <si>
    <t>Il giorno della civetta.</t>
  </si>
  <si>
    <t>Torino : G. Einaudi, 1964, ©1961.</t>
  </si>
  <si>
    <t>I coralli ; 122</t>
  </si>
  <si>
    <t>799650:ita</t>
  </si>
  <si>
    <t>11748057</t>
  </si>
  <si>
    <t>ocm11748057</t>
  </si>
  <si>
    <t>3000632146D</t>
  </si>
  <si>
    <t>792786072</t>
  </si>
  <si>
    <t>PQ4879 C54 G4 1972</t>
  </si>
  <si>
    <t>0                      PQ 4879000C  54                 G  4           1972</t>
  </si>
  <si>
    <t>[12. ed.].</t>
  </si>
  <si>
    <t>I Coralli, 122</t>
  </si>
  <si>
    <t>3473389</t>
  </si>
  <si>
    <t>ocm03473389</t>
  </si>
  <si>
    <t>3000192406C</t>
  </si>
  <si>
    <t>792259011</t>
  </si>
  <si>
    <t>PQ4879 C54 G4 1998</t>
  </si>
  <si>
    <t>0                      PQ 4879000C  54                 G  4           1998</t>
  </si>
  <si>
    <t>Il giorno della civetta / Leonardo Sciascia ; edited with introduction, notes and vocabulary by Gerard Slowey.</t>
  </si>
  <si>
    <t>Manchester ; New York : Manchester University Press : Distributed exclusively in the USA by St. Martin's Press, 1998.</t>
  </si>
  <si>
    <t>39698645</t>
  </si>
  <si>
    <t>ocm39698645</t>
  </si>
  <si>
    <t>3102894675L</t>
  </si>
  <si>
    <t>9780719054341</t>
  </si>
  <si>
    <t>793551258</t>
  </si>
  <si>
    <t>PQ4879 C54 G413 1984</t>
  </si>
  <si>
    <t>0                      PQ 4879000C  54                 G  413         1984</t>
  </si>
  <si>
    <t>The day of the owl ; Equal danger / Leonardo Sciascia ; with an afterword by Frank Kermode.</t>
  </si>
  <si>
    <t>Manchester [Greater Manchester] : Carcanet, 1984.</t>
  </si>
  <si>
    <t>8907040441:eng</t>
  </si>
  <si>
    <t>14167740</t>
  </si>
  <si>
    <t>ocm14167740</t>
  </si>
  <si>
    <t>3102823946K</t>
  </si>
  <si>
    <t>9780856355660</t>
  </si>
  <si>
    <t>792880493</t>
  </si>
  <si>
    <t>PQ4879 C54 G413 2003</t>
  </si>
  <si>
    <t>0                      PQ 4879000C  54                 G  413         2003</t>
  </si>
  <si>
    <t>The day of the owl / by Leonardo Sciascia ; translated from the Italian by Archibald Colquhoun, Arthur Oliver ; introduction by George Scialabba.</t>
  </si>
  <si>
    <t>New York : New York Review Books, ©2003.</t>
  </si>
  <si>
    <t>799650:eng</t>
  </si>
  <si>
    <t>52814277</t>
  </si>
  <si>
    <t>ocm52814277</t>
  </si>
  <si>
    <t>31033039906</t>
  </si>
  <si>
    <t>9781590170618</t>
  </si>
  <si>
    <t>793814806</t>
  </si>
  <si>
    <t>PQ4879 C54 M3x</t>
  </si>
  <si>
    <t>0                      PQ 4879000C  54                 M  3x</t>
  </si>
  <si>
    <t>Il mare colore del vino.</t>
  </si>
  <si>
    <t>I Coralli, 291</t>
  </si>
  <si>
    <t>53997:ita</t>
  </si>
  <si>
    <t>837527</t>
  </si>
  <si>
    <t>ocm00837527</t>
  </si>
  <si>
    <t>30003875347</t>
  </si>
  <si>
    <t>791483266</t>
  </si>
  <si>
    <t>PQ4879 C54 N47</t>
  </si>
  <si>
    <t>0                      PQ 4879000C  54                 N  47</t>
  </si>
  <si>
    <t>Nero su nero / Leonardo Sciascia.</t>
  </si>
  <si>
    <t>Torino : Einaudi, 1979.</t>
  </si>
  <si>
    <t>[1. ed. Struzzi].</t>
  </si>
  <si>
    <t>Gli Struzzi ; 204</t>
  </si>
  <si>
    <t>20927363:ita</t>
  </si>
  <si>
    <t>6091520</t>
  </si>
  <si>
    <t>ocm06091520</t>
  </si>
  <si>
    <t>3000317059G</t>
  </si>
  <si>
    <t>792475222</t>
  </si>
  <si>
    <t>PQ4879 C54 P3</t>
  </si>
  <si>
    <t>0                      PQ 4879000C  54                 P  3</t>
  </si>
  <si>
    <t>Le parrocchie di Regalpetra, Morte dell'inquisitore.</t>
  </si>
  <si>
    <t>Bari, Laterza, 1967.</t>
  </si>
  <si>
    <t>Universale Laterza, 62</t>
  </si>
  <si>
    <t>366246597:ita</t>
  </si>
  <si>
    <t>6475532</t>
  </si>
  <si>
    <t>ocm06475532</t>
  </si>
  <si>
    <t>3000632501J</t>
  </si>
  <si>
    <t>792501579</t>
  </si>
  <si>
    <t>PQ4879 C54 S7513 2010</t>
  </si>
  <si>
    <t>0                      PQ 4879000C  54                 S  7513        2010</t>
  </si>
  <si>
    <t>Simple story / Leonardo Sciascia ; translated by Howard Curtis ; [foreword by Paul Bailey].</t>
  </si>
  <si>
    <t>London : Hesperus Press, 2010.</t>
  </si>
  <si>
    <t>348450886:eng</t>
  </si>
  <si>
    <t>693519375</t>
  </si>
  <si>
    <t>ocn693519375</t>
  </si>
  <si>
    <t>3103233986$</t>
  </si>
  <si>
    <t>9781843914259</t>
  </si>
  <si>
    <t>794856507</t>
  </si>
  <si>
    <t>PQ4879 C54 T6</t>
  </si>
  <si>
    <t>0                      PQ 4879000C  54                 T  6</t>
  </si>
  <si>
    <t>Todo modo / Leonardo Sciascia.</t>
  </si>
  <si>
    <t>I Coralli ; 302</t>
  </si>
  <si>
    <t>881766:ita</t>
  </si>
  <si>
    <t>1428731</t>
  </si>
  <si>
    <t>ocm01428731</t>
  </si>
  <si>
    <t>31037061815</t>
  </si>
  <si>
    <t>791623879</t>
  </si>
  <si>
    <t>PQ4879 C54 Z313 1986</t>
  </si>
  <si>
    <t>0                      PQ 4879000C  54                 Z  313         1986</t>
  </si>
  <si>
    <t>Sicilian uncles / Leonardo Sciascia ; translated from the Italian by N.S. Thompson.</t>
  </si>
  <si>
    <t>Manchester ; N.Y., N.Y. : Carcanet, 1986.</t>
  </si>
  <si>
    <t>4241230937:eng</t>
  </si>
  <si>
    <t>18292156</t>
  </si>
  <si>
    <t>ocm18292156</t>
  </si>
  <si>
    <t>3000473171$</t>
  </si>
  <si>
    <t>9780856355554</t>
  </si>
  <si>
    <t>793020080</t>
  </si>
  <si>
    <t>2010-08-04</t>
  </si>
  <si>
    <t>3000192903Z</t>
  </si>
  <si>
    <t>793020081</t>
  </si>
  <si>
    <t>PQ4879 C54 Z58514 2013</t>
  </si>
  <si>
    <t>0                      PQ 4879000C  54                 Z  58514       2013</t>
  </si>
  <si>
    <t>Leonardo Sciascia : la difficulté d'être sicilien / Matteo Collura ; traduit de l'italien par Joseph Donato.</t>
  </si>
  <si>
    <t>Orléans : L'écarlate ; Paris : L'Harmattan, 2013, ©2012.</t>
  </si>
  <si>
    <t>3770504843:fre</t>
  </si>
  <si>
    <t>829087816</t>
  </si>
  <si>
    <t>ocn829087816</t>
  </si>
  <si>
    <t>3103524640$</t>
  </si>
  <si>
    <t>9782296992450</t>
  </si>
  <si>
    <t>794942069</t>
  </si>
  <si>
    <t>PQ4879 C54 Z627 2012</t>
  </si>
  <si>
    <t>0                      PQ 4879000C  54                 Z  627         2012</t>
  </si>
  <si>
    <t>Leonardo Sciascia : un testimone del secolo XX / a cura di Leonarda Trapassi.</t>
  </si>
  <si>
    <t>Percorsi diversi ; 15</t>
  </si>
  <si>
    <t>1356212585:ita</t>
  </si>
  <si>
    <t>846460188</t>
  </si>
  <si>
    <t>ocn846460188</t>
  </si>
  <si>
    <t>3103126242R</t>
  </si>
  <si>
    <t>9788877969613</t>
  </si>
  <si>
    <t>794949079</t>
  </si>
  <si>
    <t>PQ4879 C54 Z635 1996</t>
  </si>
  <si>
    <t>0                      PQ 4879000C  54                 Z  635         1996</t>
  </si>
  <si>
    <t>Fortunes of the firefly : Sciascia's art of detection / by Gillian Ania.</t>
  </si>
  <si>
    <t>Ania, Gillian.</t>
  </si>
  <si>
    <t>344830611:eng</t>
  </si>
  <si>
    <t>35318590</t>
  </si>
  <si>
    <t>ocm35318590</t>
  </si>
  <si>
    <t>3102121096M</t>
  </si>
  <si>
    <t>9781899293506</t>
  </si>
  <si>
    <t>793449451</t>
  </si>
  <si>
    <t>PQ4879 C54 Z6462 2015</t>
  </si>
  <si>
    <t>0                      PQ 4879000C  54                 Z  6462        2015</t>
  </si>
  <si>
    <t>Leonardo Sciascia e le immagini della scrittura : il poliziesco di mafia dalla letteratura al cinema / Rossana Cavaliere.</t>
  </si>
  <si>
    <t>Cavaliere, Rossana, author.</t>
  </si>
  <si>
    <t>Ghezzano (PI) : Felici editore, 2015.</t>
  </si>
  <si>
    <t>Studi italianistici ; 7</t>
  </si>
  <si>
    <t>3788772198:ita</t>
  </si>
  <si>
    <t>934408027</t>
  </si>
  <si>
    <t>ocn934408027</t>
  </si>
  <si>
    <t>3103624223K</t>
  </si>
  <si>
    <t>9788860195265</t>
  </si>
  <si>
    <t>795009547</t>
  </si>
  <si>
    <t>PQ4879 C54 Z6718 2010</t>
  </si>
  <si>
    <t>0                      PQ 4879000C  54                 Z  6718        2010</t>
  </si>
  <si>
    <t>Sciascia e la legge del sospetto nella guerra civile degli anni Novanta / Enzo Di Natali.</t>
  </si>
  <si>
    <t>Di Natali, Enzo.</t>
  </si>
  <si>
    <t>Foggia : Bastogi, [2010]</t>
  </si>
  <si>
    <t>836163129:ita</t>
  </si>
  <si>
    <t>707959197</t>
  </si>
  <si>
    <t>ocn707959197</t>
  </si>
  <si>
    <t>3103125357Q</t>
  </si>
  <si>
    <t>9788862733045</t>
  </si>
  <si>
    <t>794868301</t>
  </si>
  <si>
    <t>PQ4879 C54 Z675 1995</t>
  </si>
  <si>
    <t>0                      PQ 4879000C  54                 Z  675         1995</t>
  </si>
  <si>
    <t>Leonardo Sciascia / Joseph Farrell.</t>
  </si>
  <si>
    <t>Farrell, Joseph.</t>
  </si>
  <si>
    <t>Edinburgh : Edinburgh University Press, ©1995.</t>
  </si>
  <si>
    <t>118212068:eng</t>
  </si>
  <si>
    <t>32466390</t>
  </si>
  <si>
    <t>ocm32466390</t>
  </si>
  <si>
    <t>3101466707V</t>
  </si>
  <si>
    <t>9780748606207</t>
  </si>
  <si>
    <t>793384904</t>
  </si>
  <si>
    <t>PQ4879 C54 Z677 2012</t>
  </si>
  <si>
    <t>0                      PQ 4879000C  54                 Z  677         2012</t>
  </si>
  <si>
    <t>Leonardo Sciascia e la funzione sociale degli intellettuali / Joseph Francese.</t>
  </si>
  <si>
    <t>Francese, Joseph.</t>
  </si>
  <si>
    <t>Firenze : Firenze University Press, 2012.</t>
  </si>
  <si>
    <t>Studi e saggi ; 105</t>
  </si>
  <si>
    <t>1142536105:ita</t>
  </si>
  <si>
    <t>802322998</t>
  </si>
  <si>
    <t>ocn802322998</t>
  </si>
  <si>
    <t>31031258943</t>
  </si>
  <si>
    <t>9788866551416</t>
  </si>
  <si>
    <t>794925590</t>
  </si>
  <si>
    <t>PQ4879 C54 Z75835 2009</t>
  </si>
  <si>
    <t>0                      PQ 4879000C  54                 Z  75835       2009</t>
  </si>
  <si>
    <t>Leonardo Sciascia e la giovane critica / A. Amaduri [and others] ; a cura di F. Monello, A. Schembari, G. Traina.</t>
  </si>
  <si>
    <t>Caltanissetta : S. Sciascia, ©2009.</t>
  </si>
  <si>
    <t>Fondazione Leonardo Sciascia ; 6</t>
  </si>
  <si>
    <t>420809239:ita</t>
  </si>
  <si>
    <t>549140022</t>
  </si>
  <si>
    <t>ocn549140022</t>
  </si>
  <si>
    <t>31031250450</t>
  </si>
  <si>
    <t>9788882413224</t>
  </si>
  <si>
    <t>794811243</t>
  </si>
  <si>
    <t>PQ4879 C54 Z75844 2015</t>
  </si>
  <si>
    <t>0                      PQ 4879000C  54                 Z  75844       2015</t>
  </si>
  <si>
    <t>Leonardo Sciascia e la Jugoslavia : "Racconto ai miei amici di Caltanissetta della Jugoslavia e di voi, con entusiasmo, con affetto" / a cura di Ricciarda Ricorda.</t>
  </si>
  <si>
    <t>Sciascia scrittore europeo ; 2</t>
  </si>
  <si>
    <t>2571297045:ita</t>
  </si>
  <si>
    <t>913829674</t>
  </si>
  <si>
    <t>ocn913829674</t>
  </si>
  <si>
    <t>3103629970W</t>
  </si>
  <si>
    <t>9788822263476</t>
  </si>
  <si>
    <t>794999658</t>
  </si>
  <si>
    <t>PQ4879 C54 Z7594 1998</t>
  </si>
  <si>
    <t>0                      PQ 4879000C  54                 Z  7594        1998</t>
  </si>
  <si>
    <t>Leonardo Sciascia e la tradizione dei siciliani : atti del Convegno di studi, Racalmuto, 21 e 22 novembre 1998 / Antonio Di Grado ... [et al.] ; a cura di Rosario Castelli.</t>
  </si>
  <si>
    <t>Caltanissetta : Salvatore Sciascia, ©2000.</t>
  </si>
  <si>
    <t>Fondazione Leonardo Sciascia ; 4</t>
  </si>
  <si>
    <t>131893648:ita</t>
  </si>
  <si>
    <t>428157762</t>
  </si>
  <si>
    <t>ocn428157762</t>
  </si>
  <si>
    <t>3102156215Y</t>
  </si>
  <si>
    <t>9788882410728</t>
  </si>
  <si>
    <t>794778330</t>
  </si>
  <si>
    <t>PQ4879 C54 Z77 1988</t>
  </si>
  <si>
    <t>0                      PQ 4879000C  54                 Z  77          1988</t>
  </si>
  <si>
    <t>Leonardo Sciascia : techniche narrative e ideologia / Onofrio Lo Dico.</t>
  </si>
  <si>
    <t>Lo Dico, Onofrio.</t>
  </si>
  <si>
    <t>Caltanissetta : S. Sciascia, 1988.</t>
  </si>
  <si>
    <t>Lo Smeraldo</t>
  </si>
  <si>
    <t>889301090:ita</t>
  </si>
  <si>
    <t>18656057</t>
  </si>
  <si>
    <t>ocm18656057</t>
  </si>
  <si>
    <t>3000807194I</t>
  </si>
  <si>
    <t>793032416</t>
  </si>
  <si>
    <t>PQ4879 C54 Z782 2011</t>
  </si>
  <si>
    <t>0                      PQ 4879000C  54                 Z  782         2011</t>
  </si>
  <si>
    <t>Sciascia : memoria e destino : la musica dell'uomo solo tra Debenedetti, Calvino e Pasolini / Pietro Milone.</t>
  </si>
  <si>
    <t>Caltanissetta : S. Sciascia editore, 2011.</t>
  </si>
  <si>
    <t>Fondazione Leonardo Sciascia ; 7</t>
  </si>
  <si>
    <t>1043194886:ita</t>
  </si>
  <si>
    <t>745970875</t>
  </si>
  <si>
    <t>ocn745970875</t>
  </si>
  <si>
    <t>3103125557K</t>
  </si>
  <si>
    <t>9788882413347</t>
  </si>
  <si>
    <t>794886766</t>
  </si>
  <si>
    <t>PQ4879 C54 Z7975 1996</t>
  </si>
  <si>
    <t>0                      PQ 4879000C  54                 Z  7975        1996</t>
  </si>
  <si>
    <t>L'altra faccia dell'isola : incontri con Leonardo Sciascia / Sergio Palumbo.</t>
  </si>
  <si>
    <t>Palumbo, Sergio.</t>
  </si>
  <si>
    <t>Marina di Patti (Messina) : Pungitopo, ©1996.</t>
  </si>
  <si>
    <t>Il Dado ; 53</t>
  </si>
  <si>
    <t>25761016:ita</t>
  </si>
  <si>
    <t>40233077</t>
  </si>
  <si>
    <t>ocm40233077</t>
  </si>
  <si>
    <t>3102012855C</t>
  </si>
  <si>
    <t>9788885328792</t>
  </si>
  <si>
    <t>793562437</t>
  </si>
  <si>
    <t>PQ4879 C54 Z7985 2015</t>
  </si>
  <si>
    <t>0                      PQ 4879000C  54                 Z  7985        2015</t>
  </si>
  <si>
    <t>La profezia di Sciascia : una conversazione e quattro lettere / Nico Perrone.</t>
  </si>
  <si>
    <t>Perrone, Nico, 1935- author.</t>
  </si>
  <si>
    <t>[Milan] : Archinto, [2015]</t>
  </si>
  <si>
    <t>Le mongolfiere</t>
  </si>
  <si>
    <t>2481108758:ita</t>
  </si>
  <si>
    <t>904251319</t>
  </si>
  <si>
    <t>ocn904251319</t>
  </si>
  <si>
    <t>3103624232J</t>
  </si>
  <si>
    <t>9788877686763</t>
  </si>
  <si>
    <t>794990226</t>
  </si>
  <si>
    <t>PQ4879 C54 Z7994 2011</t>
  </si>
  <si>
    <t>0                      PQ 4879000C  54                 Z  7994        2011</t>
  </si>
  <si>
    <t>In un mare di ritagli : su Sciascia raro e disperso / Ivan Pupo.</t>
  </si>
  <si>
    <t>Pupo, Ivan.</t>
  </si>
  <si>
    <t>Occasioni critiche ; 8</t>
  </si>
  <si>
    <t>865546910:ita</t>
  </si>
  <si>
    <t>712112085</t>
  </si>
  <si>
    <t>ocn712112085</t>
  </si>
  <si>
    <t>3103125411V</t>
  </si>
  <si>
    <t>9788877967879</t>
  </si>
  <si>
    <t>794871587</t>
  </si>
  <si>
    <t>PQ4879 C54 Z7996 2011</t>
  </si>
  <si>
    <t>0                      PQ 4879000C  54                 Z  7996        2011</t>
  </si>
  <si>
    <t>Passioni della ragione e labirinti della memoria : studi su Leonardo Sciascia / Ivan Pupo.</t>
  </si>
  <si>
    <t>Profili</t>
  </si>
  <si>
    <t>943034146:ita</t>
  </si>
  <si>
    <t>741557395</t>
  </si>
  <si>
    <t>ocn741557395</t>
  </si>
  <si>
    <t>3103125473J</t>
  </si>
  <si>
    <t>9788820753962</t>
  </si>
  <si>
    <t>794884284</t>
  </si>
  <si>
    <t>PQ4879 C54 Z8415 2010</t>
  </si>
  <si>
    <t>0                      PQ 4879000C  54                 Z  8415        2010</t>
  </si>
  <si>
    <t>La metamorfosi dell'artista : Leonardo Sciascia dalla narrativa alla saggistica / Carmelo Spalanca.</t>
  </si>
  <si>
    <t>Spalanca, Carmelo.</t>
  </si>
  <si>
    <t>Lingua e testo ; 9</t>
  </si>
  <si>
    <t>782746490:ita</t>
  </si>
  <si>
    <t>701206836</t>
  </si>
  <si>
    <t>ocn701206836</t>
  </si>
  <si>
    <t>3103125314Y</t>
  </si>
  <si>
    <t>9788878044845</t>
  </si>
  <si>
    <t>794862624</t>
  </si>
  <si>
    <t>PQ4879 C54 Z8426 2012</t>
  </si>
  <si>
    <t>0                      PQ 4879000C  54                 Z  8426        2012</t>
  </si>
  <si>
    <t>Leonardo Sciascia : la tentazione dell'arte / Lavinia Spalanca.</t>
  </si>
  <si>
    <t>Caltanissetta : S. Sciascia, ©2012.</t>
  </si>
  <si>
    <t>Magellano</t>
  </si>
  <si>
    <t>1170032117:ita</t>
  </si>
  <si>
    <t>811589252</t>
  </si>
  <si>
    <t>ocn811589252</t>
  </si>
  <si>
    <t>31031259548</t>
  </si>
  <si>
    <t>9788882413934</t>
  </si>
  <si>
    <t>794930178</t>
  </si>
  <si>
    <t>PQ4879 C54 Z848 2009</t>
  </si>
  <si>
    <t>0                      PQ 4879000C  54                 Z  848         2009</t>
  </si>
  <si>
    <t>Leonardo Sciascia : un classico del giallo italiano? / Urszula Topczewska.</t>
  </si>
  <si>
    <t>Topczewska, Urszula.</t>
  </si>
  <si>
    <t>Scienze dell'antichità, filologico-letterarie e storico-artistiche ; 475</t>
  </si>
  <si>
    <t>773639702:ita</t>
  </si>
  <si>
    <t>441149535</t>
  </si>
  <si>
    <t>ocn441149535</t>
  </si>
  <si>
    <t>31031250332</t>
  </si>
  <si>
    <t>9788854825123</t>
  </si>
  <si>
    <t>794786603</t>
  </si>
  <si>
    <t>PQ4879 C54 Z858 2011</t>
  </si>
  <si>
    <t>0                      PQ 4879000C  54                 Z  858         2011</t>
  </si>
  <si>
    <t>Troppo poco pazzi : Leonardo Sciascia nella libera e laica Svizzera / a cura di Renato Martinoni.</t>
  </si>
  <si>
    <t>book+DVD</t>
  </si>
  <si>
    <t>Sciascia scrittore europeo ; 1</t>
  </si>
  <si>
    <t>867062203:ita</t>
  </si>
  <si>
    <t>713180277</t>
  </si>
  <si>
    <t>ocn713180277</t>
  </si>
  <si>
    <t>3103125366O</t>
  </si>
  <si>
    <t>9788822260567</t>
  </si>
  <si>
    <t>794872553</t>
  </si>
  <si>
    <t>PQ4879 C54 Z883 2003</t>
  </si>
  <si>
    <t>0                      PQ 4879000C  54                 Z  883         2003</t>
  </si>
  <si>
    <t>Lo stile dell'ironia : Leonardo Sciascia e la tradizione del romanzo / Attilio Scuderi.</t>
  </si>
  <si>
    <t>Scuderi, Attilio, 1970-</t>
  </si>
  <si>
    <t>Lecce : Milella, ©2003.</t>
  </si>
  <si>
    <t>Scrittura possibile ; 24</t>
  </si>
  <si>
    <t>351569771:ita</t>
  </si>
  <si>
    <t>56701680</t>
  </si>
  <si>
    <t>ocm56701680</t>
  </si>
  <si>
    <t>31025185320</t>
  </si>
  <si>
    <t>9788870484090</t>
  </si>
  <si>
    <t>793899459</t>
  </si>
  <si>
    <t>PQ4879 C54 Z94 2012</t>
  </si>
  <si>
    <t>0                      PQ 4879000C  54                 Z  94          2012</t>
  </si>
  <si>
    <t>A scuola con Leonardo Sciascia : conversazione con Antonio Motta / Stefano Vilardo.</t>
  </si>
  <si>
    <t>Vilardo, Stefano.</t>
  </si>
  <si>
    <t>Il divano ; 283</t>
  </si>
  <si>
    <t>1125629356:ita</t>
  </si>
  <si>
    <t>799998772</t>
  </si>
  <si>
    <t>ocn799998772</t>
  </si>
  <si>
    <t>3103125856B</t>
  </si>
  <si>
    <t>9788838927133</t>
  </si>
  <si>
    <t>794924357</t>
  </si>
  <si>
    <t>PQ4879 E45 S736 2018</t>
  </si>
  <si>
    <t>0                      PQ 4879000E  45                 S  736         2018</t>
  </si>
  <si>
    <t>Le stanze dell'addio / Yari Selvetella.</t>
  </si>
  <si>
    <t>Selvetella, Yari, author.</t>
  </si>
  <si>
    <t>Firenze - Italia : Bompiani, gennaio 2018.</t>
  </si>
  <si>
    <t>4717573350:ita</t>
  </si>
  <si>
    <t>1020278835</t>
  </si>
  <si>
    <t>on1020278835</t>
  </si>
  <si>
    <t>31037850546</t>
  </si>
  <si>
    <t>9788845295553</t>
  </si>
  <si>
    <t>795050218</t>
  </si>
  <si>
    <t>PQ4879 E718 S76 2012</t>
  </si>
  <si>
    <t>0                      PQ 4879000E  718                S  76          2012</t>
  </si>
  <si>
    <t>Una storia chiusa / Clara Sereni.</t>
  </si>
  <si>
    <t>Sereni, Clara.</t>
  </si>
  <si>
    <t>1106814499:ita</t>
  </si>
  <si>
    <t>793040236</t>
  </si>
  <si>
    <t>ocn793040236</t>
  </si>
  <si>
    <t>3103125801L</t>
  </si>
  <si>
    <t>9788817056984</t>
  </si>
  <si>
    <t>794917501</t>
  </si>
  <si>
    <t>PQ4879 E718 V5 2015</t>
  </si>
  <si>
    <t>0                      PQ 4879000E  718                V  5           2015</t>
  </si>
  <si>
    <t>Via Ripetta 155 / Clara Sereni.</t>
  </si>
  <si>
    <t>Sereni, Clara, 1946- author.</t>
  </si>
  <si>
    <t>Firenze, Italia : Giunti, 2015.</t>
  </si>
  <si>
    <t>2301785582:ita</t>
  </si>
  <si>
    <t>904746688</t>
  </si>
  <si>
    <t>ocn904746688</t>
  </si>
  <si>
    <t>31036216548</t>
  </si>
  <si>
    <t>9788809993358</t>
  </si>
  <si>
    <t>794990732</t>
  </si>
  <si>
    <t>PQ4879 E718 Z66 2012</t>
  </si>
  <si>
    <t>0                      PQ 4879000E  718                Z  66          2012</t>
  </si>
  <si>
    <t>Scrivere la diversità : autobiografia e politica in Clara Sereni / Giulia Po.</t>
  </si>
  <si>
    <t>Po, Giulia, author.</t>
  </si>
  <si>
    <t>Strumenti di letteratura italiana ; 39</t>
  </si>
  <si>
    <t>1090059030:ita</t>
  </si>
  <si>
    <t>780946813</t>
  </si>
  <si>
    <t>ocn780946813</t>
  </si>
  <si>
    <t>3103125707O</t>
  </si>
  <si>
    <t>9788876674198</t>
  </si>
  <si>
    <t>794912411</t>
  </si>
  <si>
    <t>PQ4879 E74 S68 2012</t>
  </si>
  <si>
    <t>0                      PQ 4879000E  74                 S  68          2012</t>
  </si>
  <si>
    <t>Landscapes of desire in the poetry of Vittorio Sereni / Francesca Southerden.</t>
  </si>
  <si>
    <t>Southerden, Francesca Emily, 1979-</t>
  </si>
  <si>
    <t>1060079360:eng</t>
  </si>
  <si>
    <t>742512018</t>
  </si>
  <si>
    <t>ocn742512018</t>
  </si>
  <si>
    <t>31034095330</t>
  </si>
  <si>
    <t>9780199698455</t>
  </si>
  <si>
    <t>794885068</t>
  </si>
  <si>
    <t>PQ4879 E74 Z75 2010</t>
  </si>
  <si>
    <t>0                      PQ 4879000E  74                 Z  75          2010</t>
  </si>
  <si>
    <t>Luino e immediati dintorni.</t>
  </si>
  <si>
    <t>Varese : Insubria University Press, [2010]</t>
  </si>
  <si>
    <t>485807592:ita</t>
  </si>
  <si>
    <t>620103899</t>
  </si>
  <si>
    <t>ocn620103899</t>
  </si>
  <si>
    <t>31031252110</t>
  </si>
  <si>
    <t>9788895362328</t>
  </si>
  <si>
    <t>794823482</t>
  </si>
  <si>
    <t>PQ4879 E75 S43 2016</t>
  </si>
  <si>
    <t>0                      PQ 4879000E  75                 S  43          2016</t>
  </si>
  <si>
    <t>Se avessero : opera ultima / Vittorio Sermonti.</t>
  </si>
  <si>
    <t>Sermonti, Vittorio, 1929-2016, author.</t>
  </si>
  <si>
    <t>Milano : Garzanti, March 2016.</t>
  </si>
  <si>
    <t>Prima edizione: marzo 2016.</t>
  </si>
  <si>
    <t>2978130990:ita</t>
  </si>
  <si>
    <t>946879128</t>
  </si>
  <si>
    <t>ocn946879128</t>
  </si>
  <si>
    <t>3103662140A</t>
  </si>
  <si>
    <t>9788811670179</t>
  </si>
  <si>
    <t>795014842</t>
  </si>
  <si>
    <t>PQ4879 E82 Z46 2014</t>
  </si>
  <si>
    <t>0                      PQ 4879000E  82                 Z  46          2014</t>
  </si>
  <si>
    <t>Raccogliamo le vele / Gaia Servadio.</t>
  </si>
  <si>
    <t>Servadio, Gaia, author.</t>
  </si>
  <si>
    <t>Milano : Feltrinelli, gennaio 2014.</t>
  </si>
  <si>
    <t>Varia/Feltrinelli</t>
  </si>
  <si>
    <t>1789145722:ita</t>
  </si>
  <si>
    <t>874146731</t>
  </si>
  <si>
    <t>ocn874146731</t>
  </si>
  <si>
    <t>3103200768$</t>
  </si>
  <si>
    <t>9788807491610</t>
  </si>
  <si>
    <t>794968791</t>
  </si>
  <si>
    <t>PQ4879 G6 C57 2010</t>
  </si>
  <si>
    <t>0                      PQ 4879000G  6                  C  57          2010</t>
  </si>
  <si>
    <t>Il circolo Swedenborg : romanzo / Carlo Sgorlon.</t>
  </si>
  <si>
    <t>Sgorlon, Carlo, 1930-2009.</t>
  </si>
  <si>
    <t>793236942:ita</t>
  </si>
  <si>
    <t>555635434</t>
  </si>
  <si>
    <t>ocn555635434</t>
  </si>
  <si>
    <t>31031249896</t>
  </si>
  <si>
    <t>9788804595250</t>
  </si>
  <si>
    <t>794812022</t>
  </si>
  <si>
    <t>PQ4879 G6 O43 2010</t>
  </si>
  <si>
    <t>0                      PQ 4879000G  6                  O  43          2010</t>
  </si>
  <si>
    <t>Ombris tal infinît / Carlo Sgorlon.</t>
  </si>
  <si>
    <t>Udine : Societât filologjiche furlane = Società filologica friulana, 2010.</t>
  </si>
  <si>
    <t>909080414:ita</t>
  </si>
  <si>
    <t>730397669</t>
  </si>
  <si>
    <t>ocn730397669</t>
  </si>
  <si>
    <t>3103125465L</t>
  </si>
  <si>
    <t>9788876361258</t>
  </si>
  <si>
    <t>794879988</t>
  </si>
  <si>
    <t>PQ4879 I29 A6 2011</t>
  </si>
  <si>
    <t>0                      PQ 4879000I  29                 A  6           2011</t>
  </si>
  <si>
    <t>Opere scelte / Enzo Siciliano ; a cura e con un saggio introd. di Raffaele Manica con la collab. di Simone Casini.</t>
  </si>
  <si>
    <t>Siciliano, Enzo.</t>
  </si>
  <si>
    <t>916989458:ita</t>
  </si>
  <si>
    <t>732291363</t>
  </si>
  <si>
    <t>ocn732291363</t>
  </si>
  <si>
    <t>3103125474J</t>
  </si>
  <si>
    <t>9788804604808</t>
  </si>
  <si>
    <t>794881241</t>
  </si>
  <si>
    <t>PQ4879 I29 B4 1997</t>
  </si>
  <si>
    <t>0                      PQ 4879000I  29                 B  4           1997</t>
  </si>
  <si>
    <t>I bei momenti : romanzo / Enzo Siciliano.</t>
  </si>
  <si>
    <t>Milano : Mondadori, 1997.</t>
  </si>
  <si>
    <t>365231750:ita</t>
  </si>
  <si>
    <t>38370338</t>
  </si>
  <si>
    <t>ocm38370338</t>
  </si>
  <si>
    <t>31018739147</t>
  </si>
  <si>
    <t>9788804429227</t>
  </si>
  <si>
    <t>793522465</t>
  </si>
  <si>
    <t>PQ4879 I29 Z696 2010</t>
  </si>
  <si>
    <t>0                      PQ 4879000I  29                 Z  696         2010</t>
  </si>
  <si>
    <t>Enzo Siciliano : quel giorno di indimenticabile bellezza / un documentario di Catherine McGilvray ; con un libro di Arnaldo Colasanti.</t>
  </si>
  <si>
    <t>Roma : Fandango libri, 2010.</t>
  </si>
  <si>
    <t>Fandango doc</t>
  </si>
  <si>
    <t>865538116:ita</t>
  </si>
  <si>
    <t>712111925</t>
  </si>
  <si>
    <t>ocn712111925</t>
  </si>
  <si>
    <t>3103125337U</t>
  </si>
  <si>
    <t>9788860441065</t>
  </si>
  <si>
    <t>794871583</t>
  </si>
  <si>
    <t>PQ4879 I83 B78 2017</t>
  </si>
  <si>
    <t>0                      PQ 4879000I  83                 B  78          2017</t>
  </si>
  <si>
    <t>Bruciare tutto / Walter Siti.</t>
  </si>
  <si>
    <t>Siti, Walter, 1947- author.</t>
  </si>
  <si>
    <t>[Milan, Italy] : Rizzoli, aprile 2017.</t>
  </si>
  <si>
    <t>4211417650:ita</t>
  </si>
  <si>
    <t>987270028</t>
  </si>
  <si>
    <t>ocn987270028</t>
  </si>
  <si>
    <t>3103721192D</t>
  </si>
  <si>
    <t>9788817093545</t>
  </si>
  <si>
    <t>795035941</t>
  </si>
  <si>
    <t>PQ4879 P356 C87 2011</t>
  </si>
  <si>
    <t>0                      PQ 4879000P  356                C  87          2011</t>
  </si>
  <si>
    <t>La cuscénza di tram / Franco Spazzi ; con note di Alberto Casiraghy, Alberto Castaldini.</t>
  </si>
  <si>
    <t>Spazzi, Franco.</t>
  </si>
  <si>
    <t>1020842357:ita</t>
  </si>
  <si>
    <t>756578505</t>
  </si>
  <si>
    <t>ocn756578505</t>
  </si>
  <si>
    <t>3103125543M</t>
  </si>
  <si>
    <t>9788882128081</t>
  </si>
  <si>
    <t>794894570</t>
  </si>
  <si>
    <t>PQ4879 T285 F46 2016</t>
  </si>
  <si>
    <t>0                      PQ 4879000T  285                F  46          2016</t>
  </si>
  <si>
    <t>La femmina nuda / Elena Stancanelli.</t>
  </si>
  <si>
    <t>Stancanelli, Elena, 1965- author.</t>
  </si>
  <si>
    <t>Milano : La nave di Teseo, marzo 2016.</t>
  </si>
  <si>
    <t>Oceani ; 1</t>
  </si>
  <si>
    <t>2969277153:ita</t>
  </si>
  <si>
    <t>939396434</t>
  </si>
  <si>
    <t>ocn939396434</t>
  </si>
  <si>
    <t>3103661821S</t>
  </si>
  <si>
    <t>9788893440028</t>
  </si>
  <si>
    <t>795011607</t>
  </si>
  <si>
    <t>PQ4879 T727 Z65 2012</t>
  </si>
  <si>
    <t>0                      PQ 4879000T  727                Z  65          2012</t>
  </si>
  <si>
    <t>Enzo Striano : il lavoro di uno scrittore tra editi e inediti / a cura di Pasquale Sabbatino e Apollonia Striano.</t>
  </si>
  <si>
    <t>Viaggio d'Europa ; nuova ser., 17</t>
  </si>
  <si>
    <t>1204873698:ita</t>
  </si>
  <si>
    <t>823206903</t>
  </si>
  <si>
    <t>ocn823206903</t>
  </si>
  <si>
    <t>3103126048X</t>
  </si>
  <si>
    <t>9788849524321</t>
  </si>
  <si>
    <t>794936984</t>
  </si>
  <si>
    <t>PQ4879 Z62 P47 2011</t>
  </si>
  <si>
    <t>0                      PQ 4879000Z  62                 P  47          2011</t>
  </si>
  <si>
    <t>Per Edoardo Sanguineti / Maria Pizzuto [and others] ; a cura di Silvana Silvagni.</t>
  </si>
  <si>
    <t>Pizzuto, Maria.</t>
  </si>
  <si>
    <t>Roma : A. Curcio : Fondazione Antonio Pizzuto, 2011.</t>
  </si>
  <si>
    <t>Pizzutini d'emergenza ; 3</t>
  </si>
  <si>
    <t>1001164425:ita</t>
  </si>
  <si>
    <t>747530726</t>
  </si>
  <si>
    <t>ocn747530726</t>
  </si>
  <si>
    <t>3103125542M</t>
  </si>
  <si>
    <t>9788895049960</t>
  </si>
  <si>
    <t>794888205</t>
  </si>
  <si>
    <t>PQ4880 A24 A159 1983</t>
  </si>
  <si>
    <t>0                      PQ 4880000A  24                 A  159         1983</t>
  </si>
  <si>
    <t>Il gioco del rovescio / Antonio Tabucchi.</t>
  </si>
  <si>
    <t>Tabucchi, Antonio, 1943-2012.</t>
  </si>
  <si>
    <t>Milano : Saggiatore, 1981.</t>
  </si>
  <si>
    <t>Le Silerchie. Nuova serie ; 8</t>
  </si>
  <si>
    <t>2016-02-26</t>
  </si>
  <si>
    <t>5736181:ita</t>
  </si>
  <si>
    <t>10657823</t>
  </si>
  <si>
    <t>ocm10657823</t>
  </si>
  <si>
    <t>30003544711</t>
  </si>
  <si>
    <t>792736285</t>
  </si>
  <si>
    <t>PQ4880 A24 A6 2012</t>
  </si>
  <si>
    <t>0                      PQ 4880000A  24                 A  6           2012</t>
  </si>
  <si>
    <t>Di tutto resta un poco : letteratura e cinema / Antonio Tabucchi ; a cura di Anna Dolfi.</t>
  </si>
  <si>
    <t>Milano : Feltrinelli, ©2013.</t>
  </si>
  <si>
    <t>2014-02-03</t>
  </si>
  <si>
    <t>1177845696:ita</t>
  </si>
  <si>
    <t>816040780</t>
  </si>
  <si>
    <t>ocn816040780</t>
  </si>
  <si>
    <t>3103126161Q</t>
  </si>
  <si>
    <t>9788807530272</t>
  </si>
  <si>
    <t>794932929</t>
  </si>
  <si>
    <t>PQ4880 A24 D65 1983</t>
  </si>
  <si>
    <t>0                      PQ 4880000A  24                 D  65          1983</t>
  </si>
  <si>
    <t>Donna di Porto Pim e altre storie / Antonio Tabucchi.</t>
  </si>
  <si>
    <t>Palermo : Sellerio editore, ©1983.</t>
  </si>
  <si>
    <t>La memoria ; 71</t>
  </si>
  <si>
    <t>9021248593:ita</t>
  </si>
  <si>
    <t>12436943</t>
  </si>
  <si>
    <t>ocm12436943</t>
  </si>
  <si>
    <t>3100247085V</t>
  </si>
  <si>
    <t>792815793</t>
  </si>
  <si>
    <t>PQ4880 A24 F5513 1990</t>
  </si>
  <si>
    <t>0                      PQ 4880000A  24                 F  5513        1990</t>
  </si>
  <si>
    <t>The edge of the horizon / by Antonio Tabucchi ; translated by Tim Parks.</t>
  </si>
  <si>
    <t>New York : New Directions Pub., ©1990.</t>
  </si>
  <si>
    <t>2015-11-10</t>
  </si>
  <si>
    <t>21711218:eng</t>
  </si>
  <si>
    <t>20219625</t>
  </si>
  <si>
    <t>ocm20219625</t>
  </si>
  <si>
    <t>3102930679O</t>
  </si>
  <si>
    <t>9780811211123</t>
  </si>
  <si>
    <t>793080992</t>
  </si>
  <si>
    <t>PQ4880 A24 N6813 1989</t>
  </si>
  <si>
    <t>0                      PQ 4880000A  24                 N  6813        1989</t>
  </si>
  <si>
    <t>Indian nocturne : a novella / by Antonio Tabucchi ; translated by Tim Parks.</t>
  </si>
  <si>
    <t>New York : New Directions Pub. Corp., 1989, ©1988.</t>
  </si>
  <si>
    <t>A New Directions Book</t>
  </si>
  <si>
    <t>2015-03-06</t>
  </si>
  <si>
    <t>4494954635:eng</t>
  </si>
  <si>
    <t>17621532</t>
  </si>
  <si>
    <t>ocm17621532</t>
  </si>
  <si>
    <t>3102803000S</t>
  </si>
  <si>
    <t>9780811210799</t>
  </si>
  <si>
    <t>792997787</t>
  </si>
  <si>
    <t>PQ4880 A24 P4713 2017</t>
  </si>
  <si>
    <t>0                      PQ 4880000A  24                 P  4713        2017</t>
  </si>
  <si>
    <t>For Isabel : a mandala / Antonio Tabucchi ; translated by Elizabeth Harris.</t>
  </si>
  <si>
    <t>Tabucchi, Antonio, 1943-2012, author.</t>
  </si>
  <si>
    <t>Brooklyn, NY : Archipelago Books, 2017.</t>
  </si>
  <si>
    <t>First Archipelago books edition.</t>
  </si>
  <si>
    <t>4525643749:eng</t>
  </si>
  <si>
    <t>965922235</t>
  </si>
  <si>
    <t>ocn965922235</t>
  </si>
  <si>
    <t>3103740819P</t>
  </si>
  <si>
    <t>9780914671800</t>
  </si>
  <si>
    <t>795025995</t>
  </si>
  <si>
    <t>PQ4880 A24 P53 1985</t>
  </si>
  <si>
    <t>0                      PQ 4880000A  24                 P  53          1985</t>
  </si>
  <si>
    <t>Piccoli equivoci senza importanza / Antonio Tabucchi.</t>
  </si>
  <si>
    <t>Milano : Feltrinelli, 1985.</t>
  </si>
  <si>
    <t>1a ed. ne "I narratori."</t>
  </si>
  <si>
    <t>7209720:ita</t>
  </si>
  <si>
    <t>13321923</t>
  </si>
  <si>
    <t>ocm13321923</t>
  </si>
  <si>
    <t>3000530408Q</t>
  </si>
  <si>
    <t>9788807013065</t>
  </si>
  <si>
    <t>792848173</t>
  </si>
  <si>
    <t>PQ4880 A24 P5313 1987</t>
  </si>
  <si>
    <t>0                      PQ 4880000A  24                 P  5313        1987</t>
  </si>
  <si>
    <t>Little misunderstandings of no importance : stories / by Antonio Tabucchi ; translated by Frances Frenaye.</t>
  </si>
  <si>
    <t>New York : New Directions, 1987.</t>
  </si>
  <si>
    <t>4494943376:eng</t>
  </si>
  <si>
    <t>15164656</t>
  </si>
  <si>
    <t>ocm15164656</t>
  </si>
  <si>
    <t>3102930684M</t>
  </si>
  <si>
    <t>9780811210294</t>
  </si>
  <si>
    <t>792922562</t>
  </si>
  <si>
    <t>PQ4880 A24 R33 2011</t>
  </si>
  <si>
    <t>0                      PQ 4880000A  24                 R  33          2011</t>
  </si>
  <si>
    <t>Racconti con figure / Antonio Tabucchi ; a cura di Thea Rimini.</t>
  </si>
  <si>
    <t>La memoria ; 848</t>
  </si>
  <si>
    <t>2019-07-06</t>
  </si>
  <si>
    <t>897461148:ita</t>
  </si>
  <si>
    <t>721863133</t>
  </si>
  <si>
    <t>ocn721863133</t>
  </si>
  <si>
    <t>3103125399I</t>
  </si>
  <si>
    <t>9788838924941</t>
  </si>
  <si>
    <t>794875369</t>
  </si>
  <si>
    <t>PQ4880 A24 R46165 1994</t>
  </si>
  <si>
    <t>0                      PQ 4880000A  24                 R  46165       1994</t>
  </si>
  <si>
    <t>Requiem : a hallucination / Antonio Tabucchi ; translated from the Portuguese by Margaret Jull Costa.</t>
  </si>
  <si>
    <t>New York : New Directions Pub. Corp., ©1994.</t>
  </si>
  <si>
    <t>8908054633:eng</t>
  </si>
  <si>
    <t>29548470</t>
  </si>
  <si>
    <t>ocm29548470</t>
  </si>
  <si>
    <t>31013969365</t>
  </si>
  <si>
    <t>9780811212700</t>
  </si>
  <si>
    <t>793313928</t>
  </si>
  <si>
    <t>PQ4880 A24 S513 2006</t>
  </si>
  <si>
    <t>0                      PQ 4880000A  24                 S  513         2006</t>
  </si>
  <si>
    <t>It's getting later all the time : a novel in the form of letters / Antonio Tabucchi ; translated from the Italian by Alastair McEwen.</t>
  </si>
  <si>
    <t>New York : New Directions Pub., 2006.</t>
  </si>
  <si>
    <t>New Directions paperbook ; 1042</t>
  </si>
  <si>
    <t>2909301373:eng</t>
  </si>
  <si>
    <t>64453464</t>
  </si>
  <si>
    <t>ocm64453464</t>
  </si>
  <si>
    <t>3102584092L</t>
  </si>
  <si>
    <t>9780811215466</t>
  </si>
  <si>
    <t>794129500</t>
  </si>
  <si>
    <t>PQ4880 A24 S6413 1999</t>
  </si>
  <si>
    <t>0                      PQ 4880000A  24                 S  6413        1999</t>
  </si>
  <si>
    <t>Dreams of dreams : and, the last three days of Fernando Pessoa / by Antonio Tabucchi ; translated from the Italian by Nancy J. Peters.</t>
  </si>
  <si>
    <t>San Francisco : City Lights Books, ©1999.</t>
  </si>
  <si>
    <t>27381221:eng</t>
  </si>
  <si>
    <t>43167948</t>
  </si>
  <si>
    <t>ocm43167948</t>
  </si>
  <si>
    <t>3101965262D</t>
  </si>
  <si>
    <t>9780872863682</t>
  </si>
  <si>
    <t>793621180</t>
  </si>
  <si>
    <t>PQ4880 A24 S66 1994</t>
  </si>
  <si>
    <t>0                      PQ 4880000A  24                 S  66          1994</t>
  </si>
  <si>
    <t>Sostiene Pereira : una testimonianza / Antonio Tabucchi.</t>
  </si>
  <si>
    <t>Milano : Feltrinelli, 1994.</t>
  </si>
  <si>
    <t>1064721962:ita</t>
  </si>
  <si>
    <t>30715281</t>
  </si>
  <si>
    <t>ocm30715281</t>
  </si>
  <si>
    <t>3101488226P</t>
  </si>
  <si>
    <t>9788807014611</t>
  </si>
  <si>
    <t>793343160</t>
  </si>
  <si>
    <t>PQ4880 A24 S6612 2010</t>
  </si>
  <si>
    <t>0                      PQ 4880000A  24                 S  6612        2010</t>
  </si>
  <si>
    <t>Pereira maintains / Antonio Tabucchi ; translated from the Italian by Patrick Creagh ; with an introduction by Mohsin Hamid.</t>
  </si>
  <si>
    <t>Edinburgh : Canongate, 2010.</t>
  </si>
  <si>
    <t>4458208691:eng</t>
  </si>
  <si>
    <t>646576146</t>
  </si>
  <si>
    <t>ocn646576146</t>
  </si>
  <si>
    <t>31032337609</t>
  </si>
  <si>
    <t>9781847675712</t>
  </si>
  <si>
    <t>794830512</t>
  </si>
  <si>
    <t>PQ4880 A24 T46 2009</t>
  </si>
  <si>
    <t>0                      PQ 4880000A  24                 T  46          2009</t>
  </si>
  <si>
    <t>Il tempo invecchia in fretta : nove storie / Antonio Tabucchi.</t>
  </si>
  <si>
    <t>892423334:ita</t>
  </si>
  <si>
    <t>449489819</t>
  </si>
  <si>
    <t>ocn449489819</t>
  </si>
  <si>
    <t>3103124905M</t>
  </si>
  <si>
    <t>9788807017841</t>
  </si>
  <si>
    <t>794787368</t>
  </si>
  <si>
    <t>PQ4880 A24 T4613 2015</t>
  </si>
  <si>
    <t>0                      PQ 4880000A  24                 T  4613        2015</t>
  </si>
  <si>
    <t>Time ages in a hurry / Antonio Tabucchi ; translated from the Italian by Martha Cooley and Antonio Romani.</t>
  </si>
  <si>
    <t>Brooklyn, NY : Archipelago Books, 2015.</t>
  </si>
  <si>
    <t>2018-06-22</t>
  </si>
  <si>
    <t>2625522120:eng</t>
  </si>
  <si>
    <t>869262317</t>
  </si>
  <si>
    <t>ocn869262317</t>
  </si>
  <si>
    <t>31036101097</t>
  </si>
  <si>
    <t>9780914671053</t>
  </si>
  <si>
    <t>794965244</t>
  </si>
  <si>
    <t>PQ4880 A24 T89513 2015</t>
  </si>
  <si>
    <t>0                      PQ 4880000A  24                 T  89513       2015</t>
  </si>
  <si>
    <t>Tristano Dies : a life / Antonio Tabucchi ; translated from the Italian by Elizabeth Harris.</t>
  </si>
  <si>
    <t>2909564931:eng</t>
  </si>
  <si>
    <t>911518663</t>
  </si>
  <si>
    <t>ocn911518663</t>
  </si>
  <si>
    <t>31036091079</t>
  </si>
  <si>
    <t>9780914671244</t>
  </si>
  <si>
    <t>794998436</t>
  </si>
  <si>
    <t>PQ4880 A24 V6513 2013</t>
  </si>
  <si>
    <t>0                      PQ 4880000A  24                 V  6513        2013</t>
  </si>
  <si>
    <t>The flying creatures of Fra Angelico / by Antonio Tabucchi ; translated from the Italian by Tim Parks.</t>
  </si>
  <si>
    <t>Brooklyn, NY : Archipelago Books, 2013.</t>
  </si>
  <si>
    <t>1st Archipelago books ed.</t>
  </si>
  <si>
    <t>22630350:eng</t>
  </si>
  <si>
    <t>783151802</t>
  </si>
  <si>
    <t>ocn783151802</t>
  </si>
  <si>
    <t>3103455763G</t>
  </si>
  <si>
    <t>9781935744566</t>
  </si>
  <si>
    <t>794913952</t>
  </si>
  <si>
    <t>PQ4880 A24 Z46 2010</t>
  </si>
  <si>
    <t>0                      PQ 4880000A  24                 Z  46          2010</t>
  </si>
  <si>
    <t>Viaggi e altri viaggi / Antonio Tabucchi ; a cura di Paolo Di Paolo.</t>
  </si>
  <si>
    <t>I narratori / Feltrinelli</t>
  </si>
  <si>
    <t>5091762882:ita</t>
  </si>
  <si>
    <t>682881407</t>
  </si>
  <si>
    <t>ocn682881407</t>
  </si>
  <si>
    <t>31031252140</t>
  </si>
  <si>
    <t>9788807018220</t>
  </si>
  <si>
    <t>794852935</t>
  </si>
  <si>
    <t>PQ4880 A24 Z46 2012</t>
  </si>
  <si>
    <t>0                      PQ 4880000A  24                 Z  46          2012</t>
  </si>
  <si>
    <t>A Lisbona con Antonio Tabucchi : una guida / Lorenzo Pini ; illustrazioni di Guido Volpi.</t>
  </si>
  <si>
    <t>Pini, Lorenzo, 1982-</t>
  </si>
  <si>
    <t>Roma : G. Perrone, 2012.</t>
  </si>
  <si>
    <t>Passaggi di dogana ; 2</t>
  </si>
  <si>
    <t>2014-05-01</t>
  </si>
  <si>
    <t>1107198844:ita</t>
  </si>
  <si>
    <t>793216581</t>
  </si>
  <si>
    <t>ocn793216581</t>
  </si>
  <si>
    <t>3103125772A</t>
  </si>
  <si>
    <t>9788860041777</t>
  </si>
  <si>
    <t>794917754</t>
  </si>
  <si>
    <t>PQ4880 A24 Z52 2011</t>
  </si>
  <si>
    <t>0                      PQ 4880000A  24                 Z  52          2011</t>
  </si>
  <si>
    <t>Vers l'envers du rêve : pérégrination dans l'œuvre d'Antonio Tabucchi / Perle Abbrugiati.</t>
  </si>
  <si>
    <t>Abbrugiati, Perle.</t>
  </si>
  <si>
    <t>Aix-en-Provence : Presses universitaires de Provence, 2011.</t>
  </si>
  <si>
    <t>Collection Textuelles . Univers littéraires</t>
  </si>
  <si>
    <t>1058803709:fre</t>
  </si>
  <si>
    <t>767578811</t>
  </si>
  <si>
    <t>ocn767578811</t>
  </si>
  <si>
    <t>31035246213</t>
  </si>
  <si>
    <t>9782853997874</t>
  </si>
  <si>
    <t>794901242</t>
  </si>
  <si>
    <t>PQ4880 A24 Z648 2010</t>
  </si>
  <si>
    <t>0                      PQ 4880000A  24                 Z  648         2010</t>
  </si>
  <si>
    <t>Gli oggetti e il tempo della saudade : le storie inafferrabili di Antonio Tabucchi / Anna Dolfi.</t>
  </si>
  <si>
    <t>Dolfi, Anna, 1948-</t>
  </si>
  <si>
    <t>864842458:ita</t>
  </si>
  <si>
    <t>711650495</t>
  </si>
  <si>
    <t>ocn711650495</t>
  </si>
  <si>
    <t>3103125359Q</t>
  </si>
  <si>
    <t>9788860874047</t>
  </si>
  <si>
    <t>794871088</t>
  </si>
  <si>
    <t>PQ4880 A24 Z73 2012</t>
  </si>
  <si>
    <t>0                      PQ 4880000A  24                 Z  73          2012</t>
  </si>
  <si>
    <t>Una giornata con Tabucchi / Paolo Di Paolo [and others] ; con un'intervista di Carlos Gumpert.</t>
  </si>
  <si>
    <t>Roma, Italia : Cavallo di ferro, ©2012.</t>
  </si>
  <si>
    <t>1185162874:ita</t>
  </si>
  <si>
    <t>816034576</t>
  </si>
  <si>
    <t>ocn816034576</t>
  </si>
  <si>
    <t>3103125945A</t>
  </si>
  <si>
    <t>9788879071123</t>
  </si>
  <si>
    <t>794932919</t>
  </si>
  <si>
    <t>PQ4880 A24 Z78 2016</t>
  </si>
  <si>
    <t>0                      PQ 4880000A  24                 Z  78          2016</t>
  </si>
  <si>
    <t>Cercando Tabucchi : un viaggio in Portogallo / testi e fotografie di Michela Monferrini, Paolo Di Paolo ; brani tratti dalle opere di Antonio Tabucchi.</t>
  </si>
  <si>
    <t>Monferrini, Michela, 1986- author.</t>
  </si>
  <si>
    <t>Roma : Postcart, [2016]</t>
  </si>
  <si>
    <t>Incontri ; volume 4</t>
  </si>
  <si>
    <t>3902996868:ita</t>
  </si>
  <si>
    <t>960213926</t>
  </si>
  <si>
    <t>ocn960213926</t>
  </si>
  <si>
    <t>3103716022J</t>
  </si>
  <si>
    <t>9788898391455</t>
  </si>
  <si>
    <t>795023046</t>
  </si>
  <si>
    <t>PQ4880 A24 Z83 2012</t>
  </si>
  <si>
    <t>0                      PQ 4880000A  24                 Z  83          2012</t>
  </si>
  <si>
    <t>Tabucchi e la categoria della memoria : la ricerca di una logica nel postmoderno / Gioia Pace.</t>
  </si>
  <si>
    <t>Pace, Gioia.</t>
  </si>
  <si>
    <t>Siracusa : Morrone, 2012.</t>
  </si>
  <si>
    <t>1391860376:ita</t>
  </si>
  <si>
    <t>834494662</t>
  </si>
  <si>
    <t>ocn834494662</t>
  </si>
  <si>
    <t>3103126209Z</t>
  </si>
  <si>
    <t>9788897672319</t>
  </si>
  <si>
    <t>794944363</t>
  </si>
  <si>
    <t>PQ4880 A24 Z833 2012</t>
  </si>
  <si>
    <t>0                      PQ 4880000A  24                 Z  833         2012</t>
  </si>
  <si>
    <t>Parole per Antonio : con quattro inediti / a cura di Roberto Francavilla.</t>
  </si>
  <si>
    <t>Roma : Artemide, 2012.</t>
  </si>
  <si>
    <t>Proteo ; 66</t>
  </si>
  <si>
    <t>5621239400:ita</t>
  </si>
  <si>
    <t>820785887</t>
  </si>
  <si>
    <t>ocn820785887</t>
  </si>
  <si>
    <t>3103126053V</t>
  </si>
  <si>
    <t>9788875751616</t>
  </si>
  <si>
    <t>794935791</t>
  </si>
  <si>
    <t>PQ4880 A24 Z834 2010</t>
  </si>
  <si>
    <t>0                      PQ 4880000A  24                 Z  834         2010</t>
  </si>
  <si>
    <t>Auctor in fabula : essai sur la poétique de Tabucchi / Antonello Perli.</t>
  </si>
  <si>
    <t>Perli, Antonello.</t>
  </si>
  <si>
    <t>Ravenna : G. Pozzi, ©2010.</t>
  </si>
  <si>
    <t>Gallica-Italica ; 2</t>
  </si>
  <si>
    <t>2016-11-07</t>
  </si>
  <si>
    <t>796921689:fre</t>
  </si>
  <si>
    <t>668178066</t>
  </si>
  <si>
    <t>ocn668178066</t>
  </si>
  <si>
    <t>31031252150</t>
  </si>
  <si>
    <t>9788896117101</t>
  </si>
  <si>
    <t>794845899</t>
  </si>
  <si>
    <t>PQ4880 A24 Z85 2011</t>
  </si>
  <si>
    <t>0                      PQ 4880000A  24                 Z  85          2011</t>
  </si>
  <si>
    <t>Album Tabucchi : l'immagine nelle opere di Antonio Tabucchi / Thea Rimini.</t>
  </si>
  <si>
    <t>Rimini, Thea, author.</t>
  </si>
  <si>
    <t>Palermo : Sellerio editore, [2011], ©2011.</t>
  </si>
  <si>
    <t>Nuovo prisma ; 88</t>
  </si>
  <si>
    <t>894524148:ita</t>
  </si>
  <si>
    <t>719413272</t>
  </si>
  <si>
    <t>ocn719413272</t>
  </si>
  <si>
    <t>3103125376M</t>
  </si>
  <si>
    <t>9788838925580</t>
  </si>
  <si>
    <t>794874399</t>
  </si>
  <si>
    <t>PQ4880 A24 Z95 2015</t>
  </si>
  <si>
    <t>0                      PQ 4880000A  24                 Z  95          2015</t>
  </si>
  <si>
    <t>Dietro la maschera della scrittura : Antonio Tabucchi / Franco Zangrilli.</t>
  </si>
  <si>
    <t>2411728090:ita</t>
  </si>
  <si>
    <t>904251492</t>
  </si>
  <si>
    <t>ocn904251492</t>
  </si>
  <si>
    <t>3103201030M</t>
  </si>
  <si>
    <t>9788859614319</t>
  </si>
  <si>
    <t>794990236</t>
  </si>
  <si>
    <t>PQ4880 A445 I86 2011</t>
  </si>
  <si>
    <t>0                      PQ 4880000A  445                I  86          2011</t>
  </si>
  <si>
    <t>L'isola che c'è : il nostro tempo, l'Italia, i nostri figli / Susanna Tamaro.</t>
  </si>
  <si>
    <t>Tamaro, Susanna, 1957-</t>
  </si>
  <si>
    <t>Torino : Lindau, 2011.</t>
  </si>
  <si>
    <t>I draghi</t>
  </si>
  <si>
    <t>1064721111:ita</t>
  </si>
  <si>
    <t>768810362</t>
  </si>
  <si>
    <t>ocn768810362</t>
  </si>
  <si>
    <t>3103125638L</t>
  </si>
  <si>
    <t>9788871809526</t>
  </si>
  <si>
    <t>794902861</t>
  </si>
  <si>
    <t>PQ4880 A445 O34 2013</t>
  </si>
  <si>
    <t>0                      PQ 4880000A  445                O  34          2013</t>
  </si>
  <si>
    <t>Ogni angelo è tremendo / Susanna Tamaro.</t>
  </si>
  <si>
    <t>Milano : Bompiani, gennaio 2013.</t>
  </si>
  <si>
    <t>1184785984:ita</t>
  </si>
  <si>
    <t>820120969</t>
  </si>
  <si>
    <t>ocn820120969</t>
  </si>
  <si>
    <t>3103126093N</t>
  </si>
  <si>
    <t>9788845272257</t>
  </si>
  <si>
    <t>794935072</t>
  </si>
  <si>
    <t>PQ4880 A445 P46 2011</t>
  </si>
  <si>
    <t>0                      PQ 4880000A  445                P  46          2011</t>
  </si>
  <si>
    <t>Per sempre / Susanna Tamaro.</t>
  </si>
  <si>
    <t>Firenze : Giunti, 2011.</t>
  </si>
  <si>
    <t>916962315:ita</t>
  </si>
  <si>
    <t>748001158</t>
  </si>
  <si>
    <t>ocn748001158</t>
  </si>
  <si>
    <t>3103125518S</t>
  </si>
  <si>
    <t>9788809768352</t>
  </si>
  <si>
    <t>794888749</t>
  </si>
  <si>
    <t>PQ4880 E84 A122</t>
  </si>
  <si>
    <t>0                      PQ 4880000E  84                 A  122</t>
  </si>
  <si>
    <t>Opere / Giovanni Testori ; introduzione di Giovanni Raboni ; a cura di Fulvio Panzeri.</t>
  </si>
  <si>
    <t>Testori, Giovanni.</t>
  </si>
  <si>
    <t>Milano : Bompiani, 1996-&lt;c2013&gt;</t>
  </si>
  <si>
    <t>2015-11-21</t>
  </si>
  <si>
    <t>2945965255:ita</t>
  </si>
  <si>
    <t>36649586</t>
  </si>
  <si>
    <t>ocm36649586</t>
  </si>
  <si>
    <t>3101885948B</t>
  </si>
  <si>
    <t>9788845229411</t>
  </si>
  <si>
    <t>793480500</t>
  </si>
  <si>
    <t>3101839848P</t>
  </si>
  <si>
    <t>793480501</t>
  </si>
  <si>
    <t>3103550569$</t>
  </si>
  <si>
    <t>793480499</t>
  </si>
  <si>
    <t>PQ4880 E84 A6 2012</t>
  </si>
  <si>
    <t>0                      PQ 4880000E  84                 A  6           2012</t>
  </si>
  <si>
    <t>Poesie, 1965-1993 / Giovanni Testori ; a cura di Davide Rondoni.</t>
  </si>
  <si>
    <t>Milano : Oscar Mondadori, 2012.</t>
  </si>
  <si>
    <t>1. ed Oscar poesia del Novecento.</t>
  </si>
  <si>
    <t>Oscar poesia del Novecento ; [84]</t>
  </si>
  <si>
    <t>1100398520:ita</t>
  </si>
  <si>
    <t>785336004</t>
  </si>
  <si>
    <t>ocn785336004</t>
  </si>
  <si>
    <t>3103125778A</t>
  </si>
  <si>
    <t>9788804615439</t>
  </si>
  <si>
    <t>794914804</t>
  </si>
  <si>
    <t>PQ4880 E84 A66 2002</t>
  </si>
  <si>
    <t>0                      PQ 4880000E  84                 A  66          2002</t>
  </si>
  <si>
    <t>Amleto : una storia per il cinema / Giovanni Testori ; a cura di Fulvio Panzeri.</t>
  </si>
  <si>
    <t>Torino : N. Aragno, ©2002.</t>
  </si>
  <si>
    <t>Passagges ; 8</t>
  </si>
  <si>
    <t>7820325:ita</t>
  </si>
  <si>
    <t>53378227</t>
  </si>
  <si>
    <t>ocm53378227</t>
  </si>
  <si>
    <t>3102284205E</t>
  </si>
  <si>
    <t>9788884190673</t>
  </si>
  <si>
    <t>793827563</t>
  </si>
  <si>
    <t>PQ4880 E84 C75 2013</t>
  </si>
  <si>
    <t>0                      PQ 4880000E  84                 C  75          2013</t>
  </si>
  <si>
    <t>Cristo e la donna : un inedito del 1943-1944 / Giovanni Testori ; a cura di Fulvio Panzeri.</t>
  </si>
  <si>
    <t>Passio ; 47</t>
  </si>
  <si>
    <t>1360359064:ita</t>
  </si>
  <si>
    <t>848750970</t>
  </si>
  <si>
    <t>ocn848750970</t>
  </si>
  <si>
    <t>3103126237T</t>
  </si>
  <si>
    <t>9788882128791</t>
  </si>
  <si>
    <t>794949970</t>
  </si>
  <si>
    <t>PQ4880 E84 P6</t>
  </si>
  <si>
    <t>0                      PQ 4880000E  84                 P  6</t>
  </si>
  <si>
    <t>Il ponte della Ghisolfa.</t>
  </si>
  <si>
    <t>Milano, Feltrinelli, 1967.</t>
  </si>
  <si>
    <t>Gli Astri, 19</t>
  </si>
  <si>
    <t>5218256935:ita</t>
  </si>
  <si>
    <t>12140628</t>
  </si>
  <si>
    <t>ocm12140628</t>
  </si>
  <si>
    <t>3000632111W</t>
  </si>
  <si>
    <t>792803309</t>
  </si>
  <si>
    <t>PQ4880 E84 Z575 1995</t>
  </si>
  <si>
    <t>0                      PQ 4880000E  84                 Z  575         1995</t>
  </si>
  <si>
    <t>Testori : l'urlo, la bestemmia, il canto dell'amore umile / di Carlo Bo ; a cura di Gilberto Santini.</t>
  </si>
  <si>
    <t>Bo, Carlo, 1911-2001.</t>
  </si>
  <si>
    <t>Milano : Longanesi, ©1995.</t>
  </si>
  <si>
    <t>Il cammeo ; v. 297</t>
  </si>
  <si>
    <t>889938822:ita</t>
  </si>
  <si>
    <t>36047394</t>
  </si>
  <si>
    <t>ocm36047394</t>
  </si>
  <si>
    <t>3101897296C</t>
  </si>
  <si>
    <t>9788830412880</t>
  </si>
  <si>
    <t>793465042</t>
  </si>
  <si>
    <t>PQ4880 E84 Z677 2011</t>
  </si>
  <si>
    <t>0                      PQ 4880000E  84                 Z  677         2011</t>
  </si>
  <si>
    <t>Il monologo dell'orfano : trittico testoriano / Daniela Iuppa.</t>
  </si>
  <si>
    <t>Iuppa, Daniela, 1986-</t>
  </si>
  <si>
    <t>Roma : Edizioni Nuova Cultura, [2011]</t>
  </si>
  <si>
    <t>Collana di studi letterari ; 8</t>
  </si>
  <si>
    <t>1201884292:ita</t>
  </si>
  <si>
    <t>824351824</t>
  </si>
  <si>
    <t>ocn824351824</t>
  </si>
  <si>
    <t>3103126084P</t>
  </si>
  <si>
    <t>9788861347205</t>
  </si>
  <si>
    <t>794937722</t>
  </si>
  <si>
    <t>PQ4880.O4 A6 2019</t>
  </si>
  <si>
    <t>0                      PQ 4880000O  4                  A  6           2019</t>
  </si>
  <si>
    <t>Teatro / Fulvio Tomizza ; a cura di Paolo Quazzolo.</t>
  </si>
  <si>
    <t>Tomizza, Fulvio, 1935-1999, author.</t>
  </si>
  <si>
    <t>Spoleto (Pg) : Editoria &amp; spettacolo, [2019]</t>
  </si>
  <si>
    <t>Ripercorsi</t>
  </si>
  <si>
    <t>9423977848:ita</t>
  </si>
  <si>
    <t>1128034368</t>
  </si>
  <si>
    <t>on1128034368</t>
  </si>
  <si>
    <t>3103875571M</t>
  </si>
  <si>
    <t>9788832068047</t>
  </si>
  <si>
    <t>795086284</t>
  </si>
  <si>
    <t>PQ4880 O47 A78 1980</t>
  </si>
  <si>
    <t>0                      PQ 4880000O  47                 A  78          1980</t>
  </si>
  <si>
    <t>Altri libertini : romanzo / Pier Vittorio Tondelli.</t>
  </si>
  <si>
    <t>Tondelli, Pier Vittorio, 1955-1991.</t>
  </si>
  <si>
    <t>I Narratori di Feltrinelli ; 263</t>
  </si>
  <si>
    <t>2015-04-09</t>
  </si>
  <si>
    <t>28202017:ita</t>
  </si>
  <si>
    <t>6379920</t>
  </si>
  <si>
    <t>ocm06379920</t>
  </si>
  <si>
    <t>30003538320</t>
  </si>
  <si>
    <t>792495249</t>
  </si>
  <si>
    <t>PQ4880 O47 A7835 2011</t>
  </si>
  <si>
    <t>0                      PQ 4880000O  47                 A  7835        2011</t>
  </si>
  <si>
    <t>Giganti e cavalieri di strada : Altri libertini di Pier Vittorio Tondelli / Monica Lanzillotta.</t>
  </si>
  <si>
    <t>Lanzillotta, Monica.</t>
  </si>
  <si>
    <t>Ravenna : Longo, 2011.</t>
  </si>
  <si>
    <t>L'interprete ; 101</t>
  </si>
  <si>
    <t>1108620807:ita</t>
  </si>
  <si>
    <t>760988356</t>
  </si>
  <si>
    <t>ocn760988356</t>
  </si>
  <si>
    <t>3103125675D</t>
  </si>
  <si>
    <t>9788880636960</t>
  </si>
  <si>
    <t>794898905</t>
  </si>
  <si>
    <t>PQ4880 O47 O64 2000</t>
  </si>
  <si>
    <t>0                      PQ 4880000O  47                 O  64          2000</t>
  </si>
  <si>
    <t>Opere / Pier Vittorio Tondelli ; a cura di Fulvio Panzeri.</t>
  </si>
  <si>
    <t>Milano : Bompiani, 2000-2001.</t>
  </si>
  <si>
    <t>2010-11-30</t>
  </si>
  <si>
    <t>3375548591:ita</t>
  </si>
  <si>
    <t>47973510</t>
  </si>
  <si>
    <t>ocm47973510</t>
  </si>
  <si>
    <t>3102170881F</t>
  </si>
  <si>
    <t>9788845244384</t>
  </si>
  <si>
    <t>793712616</t>
  </si>
  <si>
    <t>3102170823T</t>
  </si>
  <si>
    <t>793712617</t>
  </si>
  <si>
    <t>PQ4880 U3 V37 2005</t>
  </si>
  <si>
    <t>0                      PQ 4880000U  3                  V  37          2005</t>
  </si>
  <si>
    <t>Le variazioni Reinach / Filippo Tuena.</t>
  </si>
  <si>
    <t>Tuena, Filippo M.</t>
  </si>
  <si>
    <t>Milano : Rizzoli, 2005.</t>
  </si>
  <si>
    <t>500060880:ita</t>
  </si>
  <si>
    <t>57661041</t>
  </si>
  <si>
    <t>ocm57661041</t>
  </si>
  <si>
    <t>31026011284</t>
  </si>
  <si>
    <t>9788817005746</t>
  </si>
  <si>
    <t>793917204</t>
  </si>
  <si>
    <t>PQ4882 A338 L53 2012</t>
  </si>
  <si>
    <t>0                      PQ 4882000A  338                L  53          2012</t>
  </si>
  <si>
    <t>Libro delle laudi / Patrizia Valduga.</t>
  </si>
  <si>
    <t>Valduga, Patrizia, 1953-</t>
  </si>
  <si>
    <t>Torino : G. Einaudi, ©2012.</t>
  </si>
  <si>
    <t>Collezione di poesia ; 401</t>
  </si>
  <si>
    <t>1078087752:ita</t>
  </si>
  <si>
    <t>775411097</t>
  </si>
  <si>
    <t>ocn775411097</t>
  </si>
  <si>
    <t>3103473243X</t>
  </si>
  <si>
    <t>9788806210168</t>
  </si>
  <si>
    <t>794907426</t>
  </si>
  <si>
    <t>PQ4882 A8 C66 2012</t>
  </si>
  <si>
    <t>0                      PQ 4882000A  8                  C  66          2012</t>
  </si>
  <si>
    <t>Comprare il sole / Sebastiano Vassalli.</t>
  </si>
  <si>
    <t>1167732935:ita</t>
  </si>
  <si>
    <t>815512869</t>
  </si>
  <si>
    <t>ocn815512869</t>
  </si>
  <si>
    <t>3103125922E</t>
  </si>
  <si>
    <t>9788806212957</t>
  </si>
  <si>
    <t>794932577</t>
  </si>
  <si>
    <t>PQ4882 A8 D84 2010</t>
  </si>
  <si>
    <t>0                      PQ 4882000A  8                  D  84          2010</t>
  </si>
  <si>
    <t>Le due chiese / Sebastiano Vassalli.</t>
  </si>
  <si>
    <t>499136605:ita</t>
  </si>
  <si>
    <t>635376303</t>
  </si>
  <si>
    <t>ocn635376303</t>
  </si>
  <si>
    <t>31031251183</t>
  </si>
  <si>
    <t>9788806202880</t>
  </si>
  <si>
    <t>794825435</t>
  </si>
  <si>
    <t>PQ4882 A8 I6 2015</t>
  </si>
  <si>
    <t>0                      PQ 4882000A  8                  I  6           2015</t>
  </si>
  <si>
    <t>Io, Partenope / Sebastiano Vassalli.</t>
  </si>
  <si>
    <t>Vassalli, Sebastiano, author.</t>
  </si>
  <si>
    <t>Milano : Rizzoli, 2015.</t>
  </si>
  <si>
    <t>2747554097:ita</t>
  </si>
  <si>
    <t>922332246</t>
  </si>
  <si>
    <t>ocn922332246</t>
  </si>
  <si>
    <t>31036247125</t>
  </si>
  <si>
    <t>9788817084673</t>
  </si>
  <si>
    <t>795003786</t>
  </si>
  <si>
    <t>PQ4882 A8 Z46 2010</t>
  </si>
  <si>
    <t>0                      PQ 4882000A  8                  Z  46          2010</t>
  </si>
  <si>
    <t>Un nulla pieno di storie : ricordi e considerazioni di un viaggiatore nel tempo / Sebastiano Vassalli, Giovanni Tesio.</t>
  </si>
  <si>
    <t>Novara : Interlinea, 2010.</t>
  </si>
  <si>
    <t>Biblioteca / Centro novarese di studi letterari ; 51</t>
  </si>
  <si>
    <t>796790505:ita</t>
  </si>
  <si>
    <t>671867536</t>
  </si>
  <si>
    <t>ocn671867536</t>
  </si>
  <si>
    <t>31031252002</t>
  </si>
  <si>
    <t>9788882127350</t>
  </si>
  <si>
    <t>794849258</t>
  </si>
  <si>
    <t>PQ4882 E7675 B33 2011</t>
  </si>
  <si>
    <t>0                      PQ 4882000E  7675               B  33          2011</t>
  </si>
  <si>
    <t>Baci scagliati altrove : racconti / Sandro Veronesi.</t>
  </si>
  <si>
    <t>Veronesi, Sandro, 1959-</t>
  </si>
  <si>
    <t>Roma : Fandango libri, ©2011.</t>
  </si>
  <si>
    <t>1075354202:ita</t>
  </si>
  <si>
    <t>773793647</t>
  </si>
  <si>
    <t>ocn773793647</t>
  </si>
  <si>
    <t>3103125632L</t>
  </si>
  <si>
    <t>9788860442550</t>
  </si>
  <si>
    <t>794905960</t>
  </si>
  <si>
    <t>PQ4882.E7675 C65 2019</t>
  </si>
  <si>
    <t>0                      PQ 4882000E  7675               C  65          2019</t>
  </si>
  <si>
    <t>Il colibrì / Sandro Veronesi</t>
  </si>
  <si>
    <t>Veronesi, Sandro, 1959- author.</t>
  </si>
  <si>
    <t>Milano : La nave di Teseo, novembre 2019</t>
  </si>
  <si>
    <t>Seconda edizione</t>
  </si>
  <si>
    <t>Oceani ; 77</t>
  </si>
  <si>
    <t>9618395884:ita</t>
  </si>
  <si>
    <t>1135323982</t>
  </si>
  <si>
    <t>on1135323982</t>
  </si>
  <si>
    <t>3103875709J</t>
  </si>
  <si>
    <t>9788834600474</t>
  </si>
  <si>
    <t>795086948</t>
  </si>
  <si>
    <t>PQ4882 E7675 X8 2010</t>
  </si>
  <si>
    <t>0                      PQ 4882000E  7675               X  8           2010</t>
  </si>
  <si>
    <t>XY / Sandro Veronesi.</t>
  </si>
  <si>
    <t>Roma : Fandango libri, ©2010.</t>
  </si>
  <si>
    <t>694997366:ita</t>
  </si>
  <si>
    <t>679933829</t>
  </si>
  <si>
    <t>ocn679933829</t>
  </si>
  <si>
    <t>3103125222Z</t>
  </si>
  <si>
    <t>9788860441812</t>
  </si>
  <si>
    <t>794850849</t>
  </si>
  <si>
    <t>PQ4882 I413 Z653 2016</t>
  </si>
  <si>
    <t>0                      PQ 4882000I  413                Z  653         2016</t>
  </si>
  <si>
    <t>Emilio Villa e i suoi tempi : finestre per la monade / Aldo Tagliaferri, Chiara Portesine.</t>
  </si>
  <si>
    <t>Ricerche e studi villiani ; 2</t>
  </si>
  <si>
    <t>4540356084:ita</t>
  </si>
  <si>
    <t>980302209</t>
  </si>
  <si>
    <t>ocn980302209</t>
  </si>
  <si>
    <t>3103718332V</t>
  </si>
  <si>
    <t>9788857538204</t>
  </si>
  <si>
    <t>795033654</t>
  </si>
  <si>
    <t>PQ4882 I57 P75 2016</t>
  </si>
  <si>
    <t>0                      PQ 4882000I  57                 P  75          2016</t>
  </si>
  <si>
    <t>La prima verità / Simona Vinci.</t>
  </si>
  <si>
    <t>Vinci, Simona, 1970- author.</t>
  </si>
  <si>
    <t>2972440394:ita</t>
  </si>
  <si>
    <t>948977804</t>
  </si>
  <si>
    <t>ocn948977804</t>
  </si>
  <si>
    <t>31036636826</t>
  </si>
  <si>
    <t>9788806212681</t>
  </si>
  <si>
    <t>795015866</t>
  </si>
  <si>
    <t>PQ4882 I78 V47 2015</t>
  </si>
  <si>
    <t>0                      PQ 4882000I  78                 V  47          2015</t>
  </si>
  <si>
    <t>La verità della suora storta / Andrea Vitali.</t>
  </si>
  <si>
    <t>Vitali, Andrea, author.</t>
  </si>
  <si>
    <t>2783799624:ita</t>
  </si>
  <si>
    <t>919440673</t>
  </si>
  <si>
    <t>ocn919440673</t>
  </si>
  <si>
    <t>31036233809</t>
  </si>
  <si>
    <t>9788811687665</t>
  </si>
  <si>
    <t>795001821</t>
  </si>
  <si>
    <t>PQ4882 O4 M3 1975</t>
  </si>
  <si>
    <t>0                      PQ 4882000O  4                  M  3           1975</t>
  </si>
  <si>
    <t>La macchina mondiale / Paolo Volponi.</t>
  </si>
  <si>
    <t>Volponi, Paolo, 1924-</t>
  </si>
  <si>
    <t>Torino : Einaudi, 1975.</t>
  </si>
  <si>
    <t>Gli Struzzi ; 83</t>
  </si>
  <si>
    <t>2116160:ita</t>
  </si>
  <si>
    <t>3332970</t>
  </si>
  <si>
    <t>ocm03332970</t>
  </si>
  <si>
    <t>3000192420I</t>
  </si>
  <si>
    <t>9788806435707</t>
  </si>
  <si>
    <t>792243421</t>
  </si>
  <si>
    <t>PQ4882 O4 M4 1981</t>
  </si>
  <si>
    <t>0                      PQ 4882000O  4                  M  4           1981</t>
  </si>
  <si>
    <t>Memoriale : romanzo / Paolo Volponi.</t>
  </si>
  <si>
    <t>Volponi, Paolo.</t>
  </si>
  <si>
    <t>Torino : Einaudi, 1981.</t>
  </si>
  <si>
    <t>1a ed. negli "Struzzi."</t>
  </si>
  <si>
    <t>Gli struzzi ; 233</t>
  </si>
  <si>
    <t>12216164:ita</t>
  </si>
  <si>
    <t>8849496</t>
  </si>
  <si>
    <t>ocm08849496</t>
  </si>
  <si>
    <t>3103736235R</t>
  </si>
  <si>
    <t>9788806514174</t>
  </si>
  <si>
    <t>792644564</t>
  </si>
  <si>
    <t>PQ4882 O4 P37 2011</t>
  </si>
  <si>
    <t>0                      PQ 4882000O  4                  P  37          2011</t>
  </si>
  <si>
    <t>Parlamenti / Paolo Volponi ; a cura di Emanuele Zinato.</t>
  </si>
  <si>
    <t>Volponi, Paolo, author.</t>
  </si>
  <si>
    <t>Roma : Ediesse, ©2011.</t>
  </si>
  <si>
    <t>Carta bianca ; [4]</t>
  </si>
  <si>
    <t>1074130871:ita</t>
  </si>
  <si>
    <t>773015021</t>
  </si>
  <si>
    <t>ocn773015021</t>
  </si>
  <si>
    <t>3103125634L</t>
  </si>
  <si>
    <t>9788823016132</t>
  </si>
  <si>
    <t>794905105</t>
  </si>
  <si>
    <t>PQ4882 O4 S27 1995</t>
  </si>
  <si>
    <t>0                      PQ 4882000O  4                  S  27          1995</t>
  </si>
  <si>
    <t>Scritti dal margine / Paolo Volponi.</t>
  </si>
  <si>
    <t>Milano : Editori di C.-Lupetti/Piero Manni, 1995.</t>
  </si>
  <si>
    <t>Letteratura</t>
  </si>
  <si>
    <t>4160510804:ita</t>
  </si>
  <si>
    <t>35212715</t>
  </si>
  <si>
    <t>ocm35212715</t>
  </si>
  <si>
    <t>31015462582</t>
  </si>
  <si>
    <t>9788886302357</t>
  </si>
  <si>
    <t>793446898</t>
  </si>
  <si>
    <t>PQ4882 O4 Z648 2012</t>
  </si>
  <si>
    <t>0                      PQ 4882000O  4                  Z  648         2012</t>
  </si>
  <si>
    <t>Tolto dall'io, preso dalla storia : studio sul saggismo di Volponi / Gabriele Fichera ; prefazione di Emanuele Zinato.</t>
  </si>
  <si>
    <t>Fichera, Gabriele, 1977-</t>
  </si>
  <si>
    <t>Cuneo : Nerosubianco edizioni, [2012]</t>
  </si>
  <si>
    <t>Le bandiere ; 7</t>
  </si>
  <si>
    <t>1167151877:ita</t>
  </si>
  <si>
    <t>809543023</t>
  </si>
  <si>
    <t>ocn809543023</t>
  </si>
  <si>
    <t>3103125913G</t>
  </si>
  <si>
    <t>9788889056905</t>
  </si>
  <si>
    <t>794928487</t>
  </si>
  <si>
    <t>PQ4882 O4 Z95 2015</t>
  </si>
  <si>
    <t>0                      PQ 4882000O  4                  Z  95          2015</t>
  </si>
  <si>
    <t>Volponi estremo / a cura di Salvatore Ritrovato, Tiziano Toracca, Emiliano Alessandroni.</t>
  </si>
  <si>
    <t>Pesaro (Italy) : Metauro, [2015]</t>
  </si>
  <si>
    <t>Studi ; 31</t>
  </si>
  <si>
    <t>2946426659:ita</t>
  </si>
  <si>
    <t>921143904</t>
  </si>
  <si>
    <t>ocn921143904</t>
  </si>
  <si>
    <t>31036233574</t>
  </si>
  <si>
    <t>9788861561243</t>
  </si>
  <si>
    <t>795002911</t>
  </si>
  <si>
    <t>PQ4882 O4 2017</t>
  </si>
  <si>
    <t>0                      PQ 4882000O  4           2017</t>
  </si>
  <si>
    <t>I racconti / Paolo Volponi ; a cura di Emanuele Zinato.</t>
  </si>
  <si>
    <t>Letture Einaudi ; 71</t>
  </si>
  <si>
    <t>4035565076:ita</t>
  </si>
  <si>
    <t>973266618</t>
  </si>
  <si>
    <t>ocn973266618</t>
  </si>
  <si>
    <t>3103721226M</t>
  </si>
  <si>
    <t>9788806226619</t>
  </si>
  <si>
    <t>795029015</t>
  </si>
  <si>
    <t>PQ4900 P3 C4613 2004</t>
  </si>
  <si>
    <t>0                      PQ 4900000P  3                  C  4613        2004</t>
  </si>
  <si>
    <t>100 strokes of the brush before bed / by Melissa P. ; translated from the Italian by Lawrence Venuti.</t>
  </si>
  <si>
    <t>P., Melissa.</t>
  </si>
  <si>
    <t>New York : Black Cat : Distributed by Publishers Group West, ©2004.</t>
  </si>
  <si>
    <t>1807730249:eng</t>
  </si>
  <si>
    <t>55067000</t>
  </si>
  <si>
    <t>ocm55067000</t>
  </si>
  <si>
    <t>3102543068E</t>
  </si>
  <si>
    <t>9780802117816</t>
  </si>
  <si>
    <t>793873674</t>
  </si>
  <si>
    <t>PQ4900 P3 O3613 2006</t>
  </si>
  <si>
    <t>0                      PQ 4900000P  3                  O  3613        2006</t>
  </si>
  <si>
    <t>The scent of your breath / Melissa P. ; translated by Shaun Whiteside.</t>
  </si>
  <si>
    <t>London : Serpent's Tail, 2006.</t>
  </si>
  <si>
    <t>4160531063:eng</t>
  </si>
  <si>
    <t>65203986</t>
  </si>
  <si>
    <t>ocm65203986</t>
  </si>
  <si>
    <t>3102566283J</t>
  </si>
  <si>
    <t>9781852429164</t>
  </si>
  <si>
    <t>794133261</t>
  </si>
  <si>
    <t>PQ4901 G87 M3514 2006</t>
  </si>
  <si>
    <t>0                      PQ 4901000G  87                 M  3514        2006</t>
  </si>
  <si>
    <t>Mal de pierres / Milena Agus ; traduit de l'italien par Dominique Vittoz.</t>
  </si>
  <si>
    <t>Agus, Malena.</t>
  </si>
  <si>
    <t>Paris : L. Levis, [2007], ©2006.</t>
  </si>
  <si>
    <t>2016-10-27</t>
  </si>
  <si>
    <t>8907131433:fre</t>
  </si>
  <si>
    <t>145852079</t>
  </si>
  <si>
    <t>ocn145852079</t>
  </si>
  <si>
    <t>3103026413X</t>
  </si>
  <si>
    <t>9782867464331</t>
  </si>
  <si>
    <t>794240188</t>
  </si>
  <si>
    <t>PQ4901 R42 T7314 2018</t>
  </si>
  <si>
    <t>0                      PQ 4901000R  42                 T  7314        2018</t>
  </si>
  <si>
    <t>Trois jours sans portable : roman / Renzo Ardiccioni ; traduit de l'italien par Murielle Hervé-Morier.</t>
  </si>
  <si>
    <t>Ardiccioni, Renzo, author.</t>
  </si>
  <si>
    <t>Toulon : Les Presses du Midi, [2018]</t>
  </si>
  <si>
    <t>5508753445:fre</t>
  </si>
  <si>
    <t>1057684152</t>
  </si>
  <si>
    <t>on1057684152</t>
  </si>
  <si>
    <t>3103784189P</t>
  </si>
  <si>
    <t>9782812710247</t>
  </si>
  <si>
    <t>795064058</t>
  </si>
  <si>
    <t>PQ4901 V34 A68 2010</t>
  </si>
  <si>
    <t>0                      PQ 4901000V  34                 A  68          2010</t>
  </si>
  <si>
    <t>Acciaio / Silvia Avallone.</t>
  </si>
  <si>
    <t>Avallone, Silvia, 1984-</t>
  </si>
  <si>
    <t>2253524033:ita</t>
  </si>
  <si>
    <t>505429116</t>
  </si>
  <si>
    <t>ocn505429116</t>
  </si>
  <si>
    <t>3103125306$</t>
  </si>
  <si>
    <t>9788817037631</t>
  </si>
  <si>
    <t>794807216</t>
  </si>
  <si>
    <t>PQ4901 V34 D3 2017</t>
  </si>
  <si>
    <t>0                      PQ 4901000V  34                 D  3           2017</t>
  </si>
  <si>
    <t>Da dove la vita è perfetta / Silvia Avallone.</t>
  </si>
  <si>
    <t>Avallone, Silvia, 1984- author.</t>
  </si>
  <si>
    <t>[Milan, Italy] : Rizzoli, marzo 2017.</t>
  </si>
  <si>
    <t>4176864258:ita</t>
  </si>
  <si>
    <t>983210624</t>
  </si>
  <si>
    <t>ocn983210624</t>
  </si>
  <si>
    <t>3103720970X</t>
  </si>
  <si>
    <t>9788817093538</t>
  </si>
  <si>
    <t>795034725</t>
  </si>
  <si>
    <t>PQ4902 A498 O36 2010</t>
  </si>
  <si>
    <t>0                      PQ 4902000A  498                O  36          2010</t>
  </si>
  <si>
    <t>Ogni promessa / Andrea Bajani.</t>
  </si>
  <si>
    <t>Bajani, Andrea, 1975-</t>
  </si>
  <si>
    <t>757221089:ita</t>
  </si>
  <si>
    <t>681707520</t>
  </si>
  <si>
    <t>ocn681707520</t>
  </si>
  <si>
    <t>3103125530O</t>
  </si>
  <si>
    <t>9788806200206</t>
  </si>
  <si>
    <t>794852338</t>
  </si>
  <si>
    <t>PQ4902 A528 U48 2014</t>
  </si>
  <si>
    <t>0                      PQ 4902000A  528                U  48          2014</t>
  </si>
  <si>
    <t>L'ultimo arrivato / Marco Balzano.</t>
  </si>
  <si>
    <t>Balzano, Marco, author.</t>
  </si>
  <si>
    <t>Palermo : Sellerio editore, [2014]</t>
  </si>
  <si>
    <t>Il contesto ; 53</t>
  </si>
  <si>
    <t>2226106325:ita</t>
  </si>
  <si>
    <t>895661507</t>
  </si>
  <si>
    <t>ocn895661507</t>
  </si>
  <si>
    <t>3103623353C</t>
  </si>
  <si>
    <t>9788838932557</t>
  </si>
  <si>
    <t>794983620</t>
  </si>
  <si>
    <t>PQ4902 A7345 S26 2010</t>
  </si>
  <si>
    <t>0                      PQ 4902000A  7345               S  26          2010</t>
  </si>
  <si>
    <t>I sambuchi di San Sebastiano / Giorgio Bàrberi Squarotti ; postfazione di Ciro Vitiello.</t>
  </si>
  <si>
    <t>Salerno : Oèdipus, 2010.</t>
  </si>
  <si>
    <t>La rotta di Ulisse</t>
  </si>
  <si>
    <t>1015891219:ita</t>
  </si>
  <si>
    <t>754707402</t>
  </si>
  <si>
    <t>ocn754707402</t>
  </si>
  <si>
    <t>3103125560I</t>
  </si>
  <si>
    <t>9788873411321</t>
  </si>
  <si>
    <t>794892933</t>
  </si>
  <si>
    <t>PQ4902 A7775 G5813 2012</t>
  </si>
  <si>
    <t>0                      PQ 4902000A  7775               G  5813        2012</t>
  </si>
  <si>
    <t>Alfa Romeo 1300 and other miracles / Fabio Bartolomei ; translated from the Italian by Anthony Shugaar.</t>
  </si>
  <si>
    <t>Bartolomei, Fabio.</t>
  </si>
  <si>
    <t>2453411074:eng</t>
  </si>
  <si>
    <t>778419305</t>
  </si>
  <si>
    <t>ocn778419305</t>
  </si>
  <si>
    <t>3103471912Q</t>
  </si>
  <si>
    <t>9781609450830</t>
  </si>
  <si>
    <t>794909774</t>
  </si>
  <si>
    <t>PQ4902 O565 C6613 2011</t>
  </si>
  <si>
    <t>0                      PQ 4902000O  565                C  6613        2011</t>
  </si>
  <si>
    <t>How I lost the war / Filippo Bologna ; translated from the Italian by Howard Curtis.</t>
  </si>
  <si>
    <t>Bologna, Filippo.</t>
  </si>
  <si>
    <t>London : Pushkin Press, 2011.</t>
  </si>
  <si>
    <t>2013-12-01</t>
  </si>
  <si>
    <t>194514827:eng</t>
  </si>
  <si>
    <t>724353298</t>
  </si>
  <si>
    <t>ocn724353298</t>
  </si>
  <si>
    <t>3103382842K</t>
  </si>
  <si>
    <t>9781906548360</t>
  </si>
  <si>
    <t>794876344</t>
  </si>
  <si>
    <t>PQ4902 O634 Q47 2015</t>
  </si>
  <si>
    <t>0                      PQ 4902000O  634                Q  47          2015</t>
  </si>
  <si>
    <t>La quercia nella fortezza / Leonardo Bonetti.</t>
  </si>
  <si>
    <t>Bonetti, Leonardo, 1963- author.</t>
  </si>
  <si>
    <t>Ancona : Italic, [2015]</t>
  </si>
  <si>
    <t>Pequod</t>
  </si>
  <si>
    <t>2501571675:ita</t>
  </si>
  <si>
    <t>907638917</t>
  </si>
  <si>
    <t>ocn907638917</t>
  </si>
  <si>
    <t>3103628128V</t>
  </si>
  <si>
    <t>9788898505746</t>
  </si>
  <si>
    <t>794993650</t>
  </si>
  <si>
    <t>PQ4902 O68 S67 2010</t>
  </si>
  <si>
    <t>0                      PQ 4902000O  68                 S  67          2010</t>
  </si>
  <si>
    <t>Il sorriso lento / Caterina Bonvicini.</t>
  </si>
  <si>
    <t>Bonvicini, Caterina, 1974-</t>
  </si>
  <si>
    <t>Milano : Garzanti, 2010.</t>
  </si>
  <si>
    <t>Nuova biblioteca Garzanti ; 94</t>
  </si>
  <si>
    <t>685418973:ita</t>
  </si>
  <si>
    <t>669907203</t>
  </si>
  <si>
    <t>ocn669907203</t>
  </si>
  <si>
    <t>3103125520Q</t>
  </si>
  <si>
    <t>9788811683810</t>
  </si>
  <si>
    <t>794847194</t>
  </si>
  <si>
    <t>PQ4903 A664 R58 2009</t>
  </si>
  <si>
    <t>0                      PQ 4903000A  664                R  58          2009</t>
  </si>
  <si>
    <t>Ritorno nella valle degli angeli / Francesco Carofiglio.</t>
  </si>
  <si>
    <t>Carofiglio, Francesco, 1964-</t>
  </si>
  <si>
    <t>Venezia : Marsilio, 2009.</t>
  </si>
  <si>
    <t>326732417:ita</t>
  </si>
  <si>
    <t>441149198</t>
  </si>
  <si>
    <t>ocn441149198</t>
  </si>
  <si>
    <t>31031248899</t>
  </si>
  <si>
    <t>9788831798563</t>
  </si>
  <si>
    <t>794786601</t>
  </si>
  <si>
    <t>PQ4903 A665 A66 2003</t>
  </si>
  <si>
    <t>0                      PQ 4903000A  665                A  66          2003</t>
  </si>
  <si>
    <t>Ad occhi chiusi / Gianrico Carofiglio.</t>
  </si>
  <si>
    <t>Carofiglio, Gianrico, 1961-</t>
  </si>
  <si>
    <t>La memoria ; 590</t>
  </si>
  <si>
    <t>1366212982:ita</t>
  </si>
  <si>
    <t>54014276</t>
  </si>
  <si>
    <t>ocm54014276</t>
  </si>
  <si>
    <t>3102693797U</t>
  </si>
  <si>
    <t>9788838919053</t>
  </si>
  <si>
    <t>793855472</t>
  </si>
  <si>
    <t>PQ4903 A665 A6613 2006</t>
  </si>
  <si>
    <t>0                      PQ 4903000A  665                A  6613        2006</t>
  </si>
  <si>
    <t>A walk in the dark / Gianrico Carofiglio ; translated from the Italian by Howard Curtis.</t>
  </si>
  <si>
    <t>London : Bitter Lemon, 2006.</t>
  </si>
  <si>
    <t>2564873200:eng</t>
  </si>
  <si>
    <t>64098189</t>
  </si>
  <si>
    <t>ocm64098189</t>
  </si>
  <si>
    <t>3102634859O</t>
  </si>
  <si>
    <t>9781904738176</t>
  </si>
  <si>
    <t>794124193</t>
  </si>
  <si>
    <t>PQ4903 A665 B67 2013</t>
  </si>
  <si>
    <t>0                      PQ 4903000A  665                B  67          2013</t>
  </si>
  <si>
    <t>Il bordo vertiginoso delle cose / Gianrico Carofiglio.</t>
  </si>
  <si>
    <t>Carofiglio, Gianrico, 1961- author.</t>
  </si>
  <si>
    <t>Milano : Rizzoli, 2013.</t>
  </si>
  <si>
    <t>1784087289:ita</t>
  </si>
  <si>
    <t>865490240</t>
  </si>
  <si>
    <t>ocn865490240</t>
  </si>
  <si>
    <t>3103568137H</t>
  </si>
  <si>
    <t>9788817068581</t>
  </si>
  <si>
    <t>794962987</t>
  </si>
  <si>
    <t>PQ4903 A665 P3713 2007</t>
  </si>
  <si>
    <t>0                      PQ 4903000A  665                P  3713        2007</t>
  </si>
  <si>
    <t>The past is a foreign country / Gianrico Carofiglio ; [translated by Howard Curtis].</t>
  </si>
  <si>
    <t>London : Old Street, 2007.</t>
  </si>
  <si>
    <t>3863675538:eng</t>
  </si>
  <si>
    <t>123798962</t>
  </si>
  <si>
    <t>ocn123798962</t>
  </si>
  <si>
    <t>3102571810U</t>
  </si>
  <si>
    <t>9781905847273</t>
  </si>
  <si>
    <t>794228279</t>
  </si>
  <si>
    <t>PQ4903 A665 P47 2010</t>
  </si>
  <si>
    <t>0                      PQ 4903000A  665                P  47          2010</t>
  </si>
  <si>
    <t>Le perfezioni provvisorie / Gianrico Carofiglio.</t>
  </si>
  <si>
    <t>La memoria ; 804</t>
  </si>
  <si>
    <t>376020049:ita</t>
  </si>
  <si>
    <t>503242296</t>
  </si>
  <si>
    <t>ocn503242296</t>
  </si>
  <si>
    <t>31035567744</t>
  </si>
  <si>
    <t>9788838924545</t>
  </si>
  <si>
    <t>794806261</t>
  </si>
  <si>
    <t>PQ4903 A665 P4713 2011</t>
  </si>
  <si>
    <t>0                      PQ 4903000A  665                P  4713        2011</t>
  </si>
  <si>
    <t>Temporary perfections / Gianrico Carofiglio ; translated by Antony Shugaar.</t>
  </si>
  <si>
    <t>New York : Rizzoli Ex Libris, 2011.</t>
  </si>
  <si>
    <t>376020049:eng</t>
  </si>
  <si>
    <t>772103887</t>
  </si>
  <si>
    <t>ocn772103887</t>
  </si>
  <si>
    <t>3103408395Z</t>
  </si>
  <si>
    <t>9780847836307</t>
  </si>
  <si>
    <t>794904371</t>
  </si>
  <si>
    <t>PQ4903 A665 R35 2006</t>
  </si>
  <si>
    <t>0                      PQ 4903000A  665                R  35          2006</t>
  </si>
  <si>
    <t>Ragionevoli dubbi / Gianrico Carofiglio.</t>
  </si>
  <si>
    <t>Palermo : Sellerio, 2006.</t>
  </si>
  <si>
    <t>La memoria ; 690</t>
  </si>
  <si>
    <t>58658445:ita</t>
  </si>
  <si>
    <t>71777309</t>
  </si>
  <si>
    <t>ocm71777309</t>
  </si>
  <si>
    <t>3102692362F</t>
  </si>
  <si>
    <t>9788838921469</t>
  </si>
  <si>
    <t>794167962</t>
  </si>
  <si>
    <t>PQ4903 A665 R3513 2007</t>
  </si>
  <si>
    <t>0                      PQ 4903000A  665                R  3513        2007</t>
  </si>
  <si>
    <t>Reasonable doubts / Gianrico Carofiglio ; translated from the Italian by Howard Curtis.</t>
  </si>
  <si>
    <t>London : Bitter Lemon, 2007.</t>
  </si>
  <si>
    <t>58658445:eng</t>
  </si>
  <si>
    <t>85898486</t>
  </si>
  <si>
    <t>ocm85898486</t>
  </si>
  <si>
    <t>3102571374X</t>
  </si>
  <si>
    <t>9781904738244</t>
  </si>
  <si>
    <t>794217701</t>
  </si>
  <si>
    <t>PQ4903 A665 T47 2002</t>
  </si>
  <si>
    <t>0                      PQ 4903000A  665                T  47          2002</t>
  </si>
  <si>
    <t>Testimone inconsapevole / Gianrico Carofiglio.</t>
  </si>
  <si>
    <t>Palermo : Sellerio, ©2002.</t>
  </si>
  <si>
    <t>La memoria ; 546</t>
  </si>
  <si>
    <t>2018-05-03</t>
  </si>
  <si>
    <t>6004068:ita</t>
  </si>
  <si>
    <t>50702114</t>
  </si>
  <si>
    <t>ocm50702114</t>
  </si>
  <si>
    <t>3102833362T</t>
  </si>
  <si>
    <t>9788838918001</t>
  </si>
  <si>
    <t>793771087</t>
  </si>
  <si>
    <t>PQ4903 A665 T47 2007</t>
  </si>
  <si>
    <t>0                      PQ 4903000A  665                T  47          2007</t>
  </si>
  <si>
    <t>Carofiglio, Gianrico.</t>
  </si>
  <si>
    <t>Palermo : Sellerio, 2007.</t>
  </si>
  <si>
    <t>36. ed.</t>
  </si>
  <si>
    <t>La @memoria ; 546</t>
  </si>
  <si>
    <t>263657705</t>
  </si>
  <si>
    <t>ocn263657705</t>
  </si>
  <si>
    <t>31031195539</t>
  </si>
  <si>
    <t>794404112</t>
  </si>
  <si>
    <t>PQ4903 A665 T4713 2005</t>
  </si>
  <si>
    <t>0                      PQ 4903000A  665                T  4713        2005</t>
  </si>
  <si>
    <t>Involuntary witness / Gianrico Carofiglio ; translated from the Italian by Patrick Creagh.</t>
  </si>
  <si>
    <t>London : Bitter Lemon, 2005.</t>
  </si>
  <si>
    <t>6004068:eng</t>
  </si>
  <si>
    <t>62353862</t>
  </si>
  <si>
    <t>ocm62353862</t>
  </si>
  <si>
    <t>31024878069</t>
  </si>
  <si>
    <t>9781904738077</t>
  </si>
  <si>
    <t>794105962</t>
  </si>
  <si>
    <t>PQ4903 A6655 S55 2011</t>
  </si>
  <si>
    <t>0                      PQ 4903000A  6655               S  55          2011</t>
  </si>
  <si>
    <t>Il silenzio dell'onda / Gianrico Carofiglio.</t>
  </si>
  <si>
    <t>2016-08-15</t>
  </si>
  <si>
    <t>1042395297:ita</t>
  </si>
  <si>
    <t>759843938</t>
  </si>
  <si>
    <t>ocn759843938</t>
  </si>
  <si>
    <t>31035567764</t>
  </si>
  <si>
    <t>9788817052085</t>
  </si>
  <si>
    <t>794897716</t>
  </si>
  <si>
    <t>PQ4903 A84 N384 2016</t>
  </si>
  <si>
    <t>0                      PQ 4903000A  84                 N  384         2016</t>
  </si>
  <si>
    <t>La nave delle anime perdute / Alberto Cavanna.</t>
  </si>
  <si>
    <t>Cavanna, Alberto, author.</t>
  </si>
  <si>
    <t>Milano : Cairo, febbraio 2016.</t>
  </si>
  <si>
    <t>2978784124:ita</t>
  </si>
  <si>
    <t>945401350</t>
  </si>
  <si>
    <t>ocn945401350</t>
  </si>
  <si>
    <t>3103662098K</t>
  </si>
  <si>
    <t>9788860526656</t>
  </si>
  <si>
    <t>795013511</t>
  </si>
  <si>
    <t>PQ4903 I287 S68 2010</t>
  </si>
  <si>
    <t>0                      PQ 4903000I  287                S  68          2010</t>
  </si>
  <si>
    <t>Sotto cieli noncuranti / Benedetta Cibrario.</t>
  </si>
  <si>
    <t>Cibrario, Benedetta.</t>
  </si>
  <si>
    <t>2014-04-23</t>
  </si>
  <si>
    <t>420797763:ita</t>
  </si>
  <si>
    <t>549128523</t>
  </si>
  <si>
    <t>ocn549128523</t>
  </si>
  <si>
    <t>3103125311Y</t>
  </si>
  <si>
    <t>9788807018008</t>
  </si>
  <si>
    <t>794811237</t>
  </si>
  <si>
    <t>PQ4903 O5455 F36 2011</t>
  </si>
  <si>
    <t>0                      PQ 4903000O  5455               F  36          2011</t>
  </si>
  <si>
    <t>Famiglie / Francesca Comencini.</t>
  </si>
  <si>
    <t>Comencini, Francesca.</t>
  </si>
  <si>
    <t>894313938:ita</t>
  </si>
  <si>
    <t>719372299</t>
  </si>
  <si>
    <t>ocn719372299</t>
  </si>
  <si>
    <t>3103125374M</t>
  </si>
  <si>
    <t>9788860441959</t>
  </si>
  <si>
    <t>794874376</t>
  </si>
  <si>
    <t>PQ4903 R38 D4714 2016</t>
  </si>
  <si>
    <t>0                      PQ 4903000R  38                 D  4714        2016</t>
  </si>
  <si>
    <t>Les derniers libertins / Benedetta Craveri ; traduit de l'italien par Dominique Vittoz.</t>
  </si>
  <si>
    <t>Craveri, Benedetta, 1942- author.</t>
  </si>
  <si>
    <t>Paris : Flammarion, 2016.</t>
  </si>
  <si>
    <t>2017-02-16</t>
  </si>
  <si>
    <t>2976211315:fre</t>
  </si>
  <si>
    <t>961335331</t>
  </si>
  <si>
    <t>ocn961335331</t>
  </si>
  <si>
    <t>3103684131Q</t>
  </si>
  <si>
    <t>9782081249318</t>
  </si>
  <si>
    <t>795023821</t>
  </si>
  <si>
    <t>PQ4904 E146 M47 2012</t>
  </si>
  <si>
    <t>0                      PQ 4904000E  146                M  47          2012</t>
  </si>
  <si>
    <t>Il metodo del coccodrillo : romanzo / Maurizio De Giovanni.</t>
  </si>
  <si>
    <t>De Giovanni, Maurizio, 1958-</t>
  </si>
  <si>
    <t>1404467841:ita</t>
  </si>
  <si>
    <t>803861441</t>
  </si>
  <si>
    <t>ocn803861441</t>
  </si>
  <si>
    <t>3103126030Z</t>
  </si>
  <si>
    <t>9788804616115</t>
  </si>
  <si>
    <t>794925884</t>
  </si>
  <si>
    <t>PQ4904 I21485 S4813 2012</t>
  </si>
  <si>
    <t>0                      PQ 4904000I  21485              S  4813        2012</t>
  </si>
  <si>
    <t>70% acrylic 30% wool / Viola Di Grado ; translated from the Italian by Michael Reynolds.</t>
  </si>
  <si>
    <t>Di Grado, Viola, author.</t>
  </si>
  <si>
    <t>786799602:eng</t>
  </si>
  <si>
    <t>778419314</t>
  </si>
  <si>
    <t>ocn778419314</t>
  </si>
  <si>
    <t>31034721267</t>
  </si>
  <si>
    <t>9781609450779</t>
  </si>
  <si>
    <t>794909777</t>
  </si>
  <si>
    <t>PQ4905 S767 E66 2017</t>
  </si>
  <si>
    <t>0                      PQ 4905000S  767                E  66          2017</t>
  </si>
  <si>
    <t>Le emozioni perdute / Valter Esposito ; prefazione di Francesca Brandes.</t>
  </si>
  <si>
    <t>Esposito, Valter, 1959- author.</t>
  </si>
  <si>
    <t>Padova : Cleup, marzo 2017.</t>
  </si>
  <si>
    <t>4474730790:ita</t>
  </si>
  <si>
    <t>1002087075</t>
  </si>
  <si>
    <t>on1002087075</t>
  </si>
  <si>
    <t>3103720961Y</t>
  </si>
  <si>
    <t>9788867877256</t>
  </si>
  <si>
    <t>795040896</t>
  </si>
  <si>
    <t>PQ4906 A44 A6713 2013</t>
  </si>
  <si>
    <t>0                      PQ 4906000A  44                 A  6713        2013</t>
  </si>
  <si>
    <t>A pimp's notes / Giorgio Faletti ; translated from the Italian by Antony Shugaar.</t>
  </si>
  <si>
    <t>Faletti, Giorgio, 1950-2014.</t>
  </si>
  <si>
    <t>New York : Picador, 2013.</t>
  </si>
  <si>
    <t>1st Picador ed.</t>
  </si>
  <si>
    <t>2017-08-02</t>
  </si>
  <si>
    <t>762683368:eng</t>
  </si>
  <si>
    <t>809613293</t>
  </si>
  <si>
    <t>ocn809613293</t>
  </si>
  <si>
    <t>3103499631Q</t>
  </si>
  <si>
    <t>9781250033413</t>
  </si>
  <si>
    <t>794928608</t>
  </si>
  <si>
    <t>PQ4906 O6844 M67 2014</t>
  </si>
  <si>
    <t>0                      PQ 4906000O  6844               M  67          2014</t>
  </si>
  <si>
    <t>Morte di un uomo felice / Giorgio Fontana.</t>
  </si>
  <si>
    <t>Fontana, Giorgio, 1981- author.</t>
  </si>
  <si>
    <t>La memoria ; 960</t>
  </si>
  <si>
    <t>2017-07-21</t>
  </si>
  <si>
    <t>1927630820:ita</t>
  </si>
  <si>
    <t>883329893</t>
  </si>
  <si>
    <t>ocn883329893</t>
  </si>
  <si>
    <t>3103628550M</t>
  </si>
  <si>
    <t>9788838931727</t>
  </si>
  <si>
    <t>794975490</t>
  </si>
  <si>
    <t>PQ4907.E33 N35 2012</t>
  </si>
  <si>
    <t>0                      PQ 4907000E  33                 N  35          2012</t>
  </si>
  <si>
    <t>In the sea there are crocodiles : based on the true story of Enaiatollah Akbari : a novel / by Fabio Geda ; translated by Howard Curtis.</t>
  </si>
  <si>
    <t>Geda, Fabio, 1972-</t>
  </si>
  <si>
    <t>New York : Anchor Books, 2012.</t>
  </si>
  <si>
    <t>2019-09-30</t>
  </si>
  <si>
    <t>4663500916:eng</t>
  </si>
  <si>
    <t>753625278</t>
  </si>
  <si>
    <t>ocn753625278</t>
  </si>
  <si>
    <t>3103550502B</t>
  </si>
  <si>
    <t>9780307743824</t>
  </si>
  <si>
    <t>794892209</t>
  </si>
  <si>
    <t>3103679891Z</t>
  </si>
  <si>
    <t>794892210</t>
  </si>
  <si>
    <t>PQ4907 E56 H36 2010</t>
  </si>
  <si>
    <t>0                      PQ 4907000E  56                 H  36          2010</t>
  </si>
  <si>
    <t>Happy family / Alessandro Genovesi.</t>
  </si>
  <si>
    <t>Genovesi, Alessandro, 1973-</t>
  </si>
  <si>
    <t>2011-05-27</t>
  </si>
  <si>
    <t>908749066:ita</t>
  </si>
  <si>
    <t>606734559</t>
  </si>
  <si>
    <t>ocn606734559</t>
  </si>
  <si>
    <t>3103300924W</t>
  </si>
  <si>
    <t>9788804596608</t>
  </si>
  <si>
    <t>794817088</t>
  </si>
  <si>
    <t>PQ4907 I57 S6513 2010</t>
  </si>
  <si>
    <t>0                      PQ 4907000I  57                 S  6513        2010</t>
  </si>
  <si>
    <t>The solitude of prime numbers / Paolo Giordano.</t>
  </si>
  <si>
    <t>Giordano, Paolo, 1982-</t>
  </si>
  <si>
    <t>New York : Pamela Dorman Books/Viking, 2010, ©2009.</t>
  </si>
  <si>
    <t>317119854:eng</t>
  </si>
  <si>
    <t>430051433</t>
  </si>
  <si>
    <t>ocn430051433</t>
  </si>
  <si>
    <t>3103241396I</t>
  </si>
  <si>
    <t>9780670021482</t>
  </si>
  <si>
    <t>794780501</t>
  </si>
  <si>
    <t>PQ4907 R65 A3313 2011</t>
  </si>
  <si>
    <t>0                      PQ 4907000R  65                 A  3313        2011</t>
  </si>
  <si>
    <t>The break / Pietro Grossi ; translated from the Italian by Howard Curtis.</t>
  </si>
  <si>
    <t>Grossi, Pietro, 1978-</t>
  </si>
  <si>
    <t>London : Pushkin, 2011.</t>
  </si>
  <si>
    <t>476809548:eng</t>
  </si>
  <si>
    <t>748370015</t>
  </si>
  <si>
    <t>ocn748370015</t>
  </si>
  <si>
    <t>3103380401B</t>
  </si>
  <si>
    <t>9781906548469</t>
  </si>
  <si>
    <t>794889320</t>
  </si>
  <si>
    <t>PQ4907 R65 P8413 2009</t>
  </si>
  <si>
    <t>0                      PQ 4907000R  65                 P  8413        2009</t>
  </si>
  <si>
    <t>Fists / by Pietro Grossi ; translated from the Italian by Howard Curtis.</t>
  </si>
  <si>
    <t>London : Pushkin Press, 2009.</t>
  </si>
  <si>
    <t>50136180:eng</t>
  </si>
  <si>
    <t>315084114</t>
  </si>
  <si>
    <t>ocn315084114</t>
  </si>
  <si>
    <t>31033804473</t>
  </si>
  <si>
    <t>9781906548070</t>
  </si>
  <si>
    <t>794439581</t>
  </si>
  <si>
    <t>PQ4909 A56 V58 2015</t>
  </si>
  <si>
    <t>0                      PQ 4909000A  56                 V  58          2015</t>
  </si>
  <si>
    <t>La vita prodigiosa di Isidoro Sifflotin / Enrico Ianniello.</t>
  </si>
  <si>
    <t>Ianniello, Enrico, 1970- author.</t>
  </si>
  <si>
    <t>2220619651:ita</t>
  </si>
  <si>
    <t>894899468</t>
  </si>
  <si>
    <t>ocn894899468</t>
  </si>
  <si>
    <t>3103624744T</t>
  </si>
  <si>
    <t>9788807031236</t>
  </si>
  <si>
    <t>794983069</t>
  </si>
  <si>
    <t>PQ4909.B73 T86 2017</t>
  </si>
  <si>
    <t>0                      PQ 4909000B  73                 T  86          2017</t>
  </si>
  <si>
    <t>Il tuo nome è una promessa / Anilda Ibrahimi.</t>
  </si>
  <si>
    <t>Ibrahimi, Anilda, 1972- author.</t>
  </si>
  <si>
    <t>2019-03-08</t>
  </si>
  <si>
    <t>4155951933:ita</t>
  </si>
  <si>
    <t>987007379</t>
  </si>
  <si>
    <t>ocn987007379</t>
  </si>
  <si>
    <t>3103786449F</t>
  </si>
  <si>
    <t>9788806225032</t>
  </si>
  <si>
    <t>795035844</t>
  </si>
  <si>
    <t>PQ4912 A33 F47 2014</t>
  </si>
  <si>
    <t>0                      PQ 4912000A  33                 F  47          2014</t>
  </si>
  <si>
    <t>La ferocia / Nicola Lagioia.</t>
  </si>
  <si>
    <t>Lagioia, Nicola, 1973- author.</t>
  </si>
  <si>
    <t>2087147454:ita</t>
  </si>
  <si>
    <t>893860574</t>
  </si>
  <si>
    <t>ocn893860574</t>
  </si>
  <si>
    <t>3103630339F</t>
  </si>
  <si>
    <t>9788806214562</t>
  </si>
  <si>
    <t>794982043</t>
  </si>
  <si>
    <t>PQ4912 A35 D58 2010</t>
  </si>
  <si>
    <t>0                      PQ 4912000A  35                 D  58          2010</t>
  </si>
  <si>
    <t>Divorzio all'islamica a viale Marconi / Amara Lakhous.</t>
  </si>
  <si>
    <t>Lakhous, Amara, 1970- author.</t>
  </si>
  <si>
    <t>Roma : Edizioni e/o, [2010]</t>
  </si>
  <si>
    <t>686274496:ita</t>
  </si>
  <si>
    <t>670470388</t>
  </si>
  <si>
    <t>ocn670470388</t>
  </si>
  <si>
    <t>31034488666</t>
  </si>
  <si>
    <t>9788876419294</t>
  </si>
  <si>
    <t>794847802</t>
  </si>
  <si>
    <t>PQ4912 A35 D5813 2012</t>
  </si>
  <si>
    <t>0                      PQ 4912000A  35                 D  5813        2012</t>
  </si>
  <si>
    <t>Divorce Islamic style / Amara Lakhous ; translated from the Italian by Ann Goldstein.</t>
  </si>
  <si>
    <t>686274496:eng</t>
  </si>
  <si>
    <t>744291818</t>
  </si>
  <si>
    <t>ocn744291818</t>
  </si>
  <si>
    <t>31034720544</t>
  </si>
  <si>
    <t>9781609450663</t>
  </si>
  <si>
    <t>794886061</t>
  </si>
  <si>
    <t>PQ4912 I26 U48 2015</t>
  </si>
  <si>
    <t>0                      PQ 4912000I  26                 U  48          2015</t>
  </si>
  <si>
    <t>L'ultima settimana di settembre / Lorenzo Licalzi.</t>
  </si>
  <si>
    <t>Licalzi, Lorenzo, 1956- author.</t>
  </si>
  <si>
    <t>Milano : Rizzoli, agosto 2015.</t>
  </si>
  <si>
    <t>2617666389:ita</t>
  </si>
  <si>
    <t>921836488</t>
  </si>
  <si>
    <t>ocn921836488</t>
  </si>
  <si>
    <t>3103662097M</t>
  </si>
  <si>
    <t>9788817083119</t>
  </si>
  <si>
    <t>795003309</t>
  </si>
  <si>
    <t>PQ4912 I55 C3313 2012</t>
  </si>
  <si>
    <t>0                      PQ 4912000I  55                 C  3313        2012</t>
  </si>
  <si>
    <t>Sniper.</t>
  </si>
  <si>
    <t>Lilin, Nicolai.</t>
  </si>
  <si>
    <t>[Place of publication not identified] : W W Norton, 2013.</t>
  </si>
  <si>
    <t>1322136825:eng</t>
  </si>
  <si>
    <t>812254162</t>
  </si>
  <si>
    <t>ocn812254162</t>
  </si>
  <si>
    <t>3103499422Y</t>
  </si>
  <si>
    <t>9780393345544</t>
  </si>
  <si>
    <t>794930821</t>
  </si>
  <si>
    <t>PQ4912 O69 U55613 2012</t>
  </si>
  <si>
    <t>0                      PQ 4912000O  69                 U  55613       2012</t>
  </si>
  <si>
    <t>The last man standing / Davide Longo ; translated from the Italian by Silvester Mazzarella.</t>
  </si>
  <si>
    <t>Longo, Davide, 1971-</t>
  </si>
  <si>
    <t>1090719431:eng</t>
  </si>
  <si>
    <t>781498533</t>
  </si>
  <si>
    <t>ocn781498533</t>
  </si>
  <si>
    <t>3103470752S</t>
  </si>
  <si>
    <t>9780857051226</t>
  </si>
  <si>
    <t>794912785</t>
  </si>
  <si>
    <t>PQ4912 O6966 A77 2018</t>
  </si>
  <si>
    <t>0                      PQ 4912000O  6966               A  77          2018</t>
  </si>
  <si>
    <t>L'amore migliora la vita / Angelo Longoni.</t>
  </si>
  <si>
    <t>Longoni, Angelo, author.</t>
  </si>
  <si>
    <t>Firenze, Italia : Giunti, 2018.</t>
  </si>
  <si>
    <t>5212179839:ita</t>
  </si>
  <si>
    <t>1043247114</t>
  </si>
  <si>
    <t>on1043247114</t>
  </si>
  <si>
    <t>3103785026B</t>
  </si>
  <si>
    <t>9788809864429</t>
  </si>
  <si>
    <t>795059637</t>
  </si>
  <si>
    <t>PQ4913 A694 D54 2011</t>
  </si>
  <si>
    <t>0                      PQ 4913000A  694                D  54          2011</t>
  </si>
  <si>
    <t>Di fama e di sventura / Federica NYPKn.</t>
  </si>
  <si>
    <t>NYPKn, Federica, 1981-</t>
  </si>
  <si>
    <t>3374898111:ita</t>
  </si>
  <si>
    <t>681707143</t>
  </si>
  <si>
    <t>ocn681707143</t>
  </si>
  <si>
    <t>3103125529Q</t>
  </si>
  <si>
    <t>9788804606307</t>
  </si>
  <si>
    <t>794852331</t>
  </si>
  <si>
    <t>PQ4913 A762377 T76 2011</t>
  </si>
  <si>
    <t>0                      PQ 4913000A  762377             T  76          2011</t>
  </si>
  <si>
    <t>Troppo umana speranza / Alessandro Mari.</t>
  </si>
  <si>
    <t>Mari, Alessandro, 1980-</t>
  </si>
  <si>
    <t>766686074:ita</t>
  </si>
  <si>
    <t>694057318</t>
  </si>
  <si>
    <t>ocn694057318</t>
  </si>
  <si>
    <t>3103125512S</t>
  </si>
  <si>
    <t>9788807018305</t>
  </si>
  <si>
    <t>794857091</t>
  </si>
  <si>
    <t>PQ4913 A868 R49 2015</t>
  </si>
  <si>
    <t>0                      PQ 4913000A  868                R  49          2015</t>
  </si>
  <si>
    <t>Rex / Giulio Massobrio.</t>
  </si>
  <si>
    <t>Massobrio, Giulio, author.</t>
  </si>
  <si>
    <t>Milano : Bompiani, febbraio 2015.</t>
  </si>
  <si>
    <t>2514996359:ita</t>
  </si>
  <si>
    <t>905852828</t>
  </si>
  <si>
    <t>ocn905852828</t>
  </si>
  <si>
    <t>31036247222</t>
  </si>
  <si>
    <t>9788845278501</t>
  </si>
  <si>
    <t>794991944</t>
  </si>
  <si>
    <t>PQ4913 I8 A88 2015</t>
  </si>
  <si>
    <t>0                      PQ 4913000I  8                  A  88          2015</t>
  </si>
  <si>
    <t>Atti osceni in luogo privato / Marco Missiroli.</t>
  </si>
  <si>
    <t>Missiroli, Marco, 1981- author.</t>
  </si>
  <si>
    <t>Milano : Giangiacomo Feltrinelli Editore, febbraio 2015.</t>
  </si>
  <si>
    <t>2214920571:ita</t>
  </si>
  <si>
    <t>894229480</t>
  </si>
  <si>
    <t>ocn894229480</t>
  </si>
  <si>
    <t>3103630329I</t>
  </si>
  <si>
    <t>9788807031250</t>
  </si>
  <si>
    <t>794982505</t>
  </si>
  <si>
    <t>PQ4913 O23 U56 2011</t>
  </si>
  <si>
    <t>0                      PQ 4913000O  23                 U  56          2011</t>
  </si>
  <si>
    <t>L'uomo che non voleva amare / Federico Moccia.</t>
  </si>
  <si>
    <t>Moccia, Federico, 1963-</t>
  </si>
  <si>
    <t>Rizzoli best</t>
  </si>
  <si>
    <t>767720698:ita</t>
  </si>
  <si>
    <t>694827780</t>
  </si>
  <si>
    <t>ocn694827780</t>
  </si>
  <si>
    <t>3103125305$</t>
  </si>
  <si>
    <t>9788817047142</t>
  </si>
  <si>
    <t>794857918</t>
  </si>
  <si>
    <t>PQ4913 O53 I4713 2008</t>
  </si>
  <si>
    <t>0                      PQ 4913000O  53                 I  4713        2008</t>
  </si>
  <si>
    <t>Imprimatur / Monaldi &amp; Sorti ; translated from the Italian by Peter Burnett.</t>
  </si>
  <si>
    <t>Monaldi, Rita.</t>
  </si>
  <si>
    <t>Edinburgh : Polygon, 2008.</t>
  </si>
  <si>
    <t>4916178421:eng</t>
  </si>
  <si>
    <t>191810531</t>
  </si>
  <si>
    <t>ocn191810531</t>
  </si>
  <si>
    <t>3102853432M</t>
  </si>
  <si>
    <t>9781846970764</t>
  </si>
  <si>
    <t>794301245</t>
  </si>
  <si>
    <t>PQ4913 O537 A81 2012</t>
  </si>
  <si>
    <t>0                      PQ 4913000O  537                A  81          2012</t>
  </si>
  <si>
    <t>L'America non esiste : romanzo / Antonio Monda.</t>
  </si>
  <si>
    <t>Monda, Antonio.</t>
  </si>
  <si>
    <t>1098193081:ita</t>
  </si>
  <si>
    <t>810314741</t>
  </si>
  <si>
    <t>ocn810314741</t>
  </si>
  <si>
    <t>3103794432$</t>
  </si>
  <si>
    <t>9788804616054</t>
  </si>
  <si>
    <t>794929274</t>
  </si>
  <si>
    <t>PQ4913 U63 O5614 2014</t>
  </si>
  <si>
    <t>0                      PQ 4913000U  63                 O  5614        2014</t>
  </si>
  <si>
    <t>Ombres jaunes, nuits mauves : roman / Dante G. Munafò ; revu par les auteurs lors de la présente traduction par Patrick Dubuis.</t>
  </si>
  <si>
    <t>Munafò, Dante G., author.</t>
  </si>
  <si>
    <t>Paris, France : Publibook, 2014.</t>
  </si>
  <si>
    <t>2535917862:fre</t>
  </si>
  <si>
    <t>910558715</t>
  </si>
  <si>
    <t>ocn910558715</t>
  </si>
  <si>
    <t>31032573391</t>
  </si>
  <si>
    <t>9782342031621</t>
  </si>
  <si>
    <t>794996311</t>
  </si>
  <si>
    <t>PQ4913 U73 A84 2015</t>
  </si>
  <si>
    <t>0                      PQ 4913000U  73                 A  84          2015</t>
  </si>
  <si>
    <t>Animali domestici / Letizia Muratori.</t>
  </si>
  <si>
    <t>Muratori, Letizia.</t>
  </si>
  <si>
    <t>Milano : Adelphi, ©2015</t>
  </si>
  <si>
    <t>Fabula ; 282</t>
  </si>
  <si>
    <t>2270019524:ita</t>
  </si>
  <si>
    <t>902635296</t>
  </si>
  <si>
    <t>ocn902635296</t>
  </si>
  <si>
    <t>31036247230</t>
  </si>
  <si>
    <t>9788845929571</t>
  </si>
  <si>
    <t>794988290</t>
  </si>
  <si>
    <t>PQ4913 U734 A6413 2012</t>
  </si>
  <si>
    <t>0                      PQ 4913000U  734                A  6413        2012</t>
  </si>
  <si>
    <t>Accabadora : a novel / Michela Murgia.</t>
  </si>
  <si>
    <t>Murgia, Michela, 1972-</t>
  </si>
  <si>
    <t>Berkeley, CA : Counterpoint, [2012]</t>
  </si>
  <si>
    <t>310849794:eng</t>
  </si>
  <si>
    <t>781678700</t>
  </si>
  <si>
    <t>ocn781678700</t>
  </si>
  <si>
    <t>31034720534</t>
  </si>
  <si>
    <t>9781619020504</t>
  </si>
  <si>
    <t>794913092</t>
  </si>
  <si>
    <t>PQ4913 U735 A63 2009</t>
  </si>
  <si>
    <t>0                      PQ 4913000U  735                A  63          2009</t>
  </si>
  <si>
    <t>Accabadora / Michela Murgia.</t>
  </si>
  <si>
    <t>310849794:ita</t>
  </si>
  <si>
    <t>422689677</t>
  </si>
  <si>
    <t>ocn422689677</t>
  </si>
  <si>
    <t>3103125319Y</t>
  </si>
  <si>
    <t>9788806197803</t>
  </si>
  <si>
    <t>794505658</t>
  </si>
  <si>
    <t>PQ4914 U33 E35 2017</t>
  </si>
  <si>
    <t>0                      PQ 4914000U  33                 E  35          2017</t>
  </si>
  <si>
    <t>È giusto obbedire alla notte / Matteo Nucci.</t>
  </si>
  <si>
    <t>Nucci, Matteo, 1970- author.</t>
  </si>
  <si>
    <t>[Milan] : Ponte alle Grazie, [2017]</t>
  </si>
  <si>
    <t>Scrittori ; 52</t>
  </si>
  <si>
    <t>3969258339:ita</t>
  </si>
  <si>
    <t>980296552</t>
  </si>
  <si>
    <t>ocn980296552</t>
  </si>
  <si>
    <t>3103721225O</t>
  </si>
  <si>
    <t>9788868336660</t>
  </si>
  <si>
    <t>795033641</t>
  </si>
  <si>
    <t>PQ4915 G44 R34 2015</t>
  </si>
  <si>
    <t>0                      PQ 4915000G  44                 R  34          2015</t>
  </si>
  <si>
    <t>La ragazza di fronte : romanzo / Margherita Oggero.</t>
  </si>
  <si>
    <t>Oggero, Margherita, author.</t>
  </si>
  <si>
    <t>Milano : Mondadori, maggio 2015.</t>
  </si>
  <si>
    <t>2577344407:ita</t>
  </si>
  <si>
    <t>914252732</t>
  </si>
  <si>
    <t>ocn914252732</t>
  </si>
  <si>
    <t>31036621353</t>
  </si>
  <si>
    <t>9788804653035</t>
  </si>
  <si>
    <t>795000012</t>
  </si>
  <si>
    <t>PQ4916 A337 A2 2013</t>
  </si>
  <si>
    <t>0                      PQ 4916000A  337                A  2           2013</t>
  </si>
  <si>
    <t>The story of my purity / Francesco Pacifico ; translated from the Italian by Stephen Twilley.</t>
  </si>
  <si>
    <t>Pacifico, Francesco, 1977-</t>
  </si>
  <si>
    <t>1433999894:eng</t>
  </si>
  <si>
    <t>795174999</t>
  </si>
  <si>
    <t>ocn795174999</t>
  </si>
  <si>
    <t>3103497019J</t>
  </si>
  <si>
    <t>9780374270445</t>
  </si>
  <si>
    <t>794921000</t>
  </si>
  <si>
    <t>PQ4916 E36 V58 2013</t>
  </si>
  <si>
    <t>0                      PQ 4916000E  36                 V  58          2013</t>
  </si>
  <si>
    <t>La vita in tempo di pace / Francesco Pecoraro.</t>
  </si>
  <si>
    <t>Pecoraro, Francesco, 1945- author.</t>
  </si>
  <si>
    <t>Milano : Ponte alle Grazie, [2013]</t>
  </si>
  <si>
    <t>Collana Scrittori ; 15</t>
  </si>
  <si>
    <t>1415483205:ita</t>
  </si>
  <si>
    <t>862739838</t>
  </si>
  <si>
    <t>ocn862739838</t>
  </si>
  <si>
    <t>3103628581B</t>
  </si>
  <si>
    <t>9788862209670</t>
  </si>
  <si>
    <t>794960534</t>
  </si>
  <si>
    <t>PQ4916 I64 I57 2012</t>
  </si>
  <si>
    <t>0                      PQ 4916000I  64                 I  57          2012</t>
  </si>
  <si>
    <t>Inseparabili : il fuoco amico dei ricordi : romanzo / Alessandro Piperno ; illustrazioni di Werther Dell'Edera.</t>
  </si>
  <si>
    <t>Piperno, Alessandro.</t>
  </si>
  <si>
    <t>2017-08-04</t>
  </si>
  <si>
    <t>1090057955:ita</t>
  </si>
  <si>
    <t>780944956</t>
  </si>
  <si>
    <t>ocn780944956</t>
  </si>
  <si>
    <t>3103125834F</t>
  </si>
  <si>
    <t>9788804608806</t>
  </si>
  <si>
    <t>794912403</t>
  </si>
  <si>
    <t>PQ4916 I64 P4713 2012</t>
  </si>
  <si>
    <t>0                      PQ 4916000I  64                 P  4713        2012</t>
  </si>
  <si>
    <t>Persecution : the friendly fire of memories / Alessandro Piperno ; translated from the Italian by Ann Goldstein.</t>
  </si>
  <si>
    <t>9021509426:eng</t>
  </si>
  <si>
    <t>780334919</t>
  </si>
  <si>
    <t>ocn780334919</t>
  </si>
  <si>
    <t>31034720632</t>
  </si>
  <si>
    <t>9781609450748</t>
  </si>
  <si>
    <t>794912009</t>
  </si>
  <si>
    <t>PQ4919 A6925 N68 2017</t>
  </si>
  <si>
    <t>0                      PQ 4919000A  6925               N  68          2017</t>
  </si>
  <si>
    <t>La notte ha la mia voce / Alessandra Sarchi.</t>
  </si>
  <si>
    <t>Sarchi, Alessandra, author.</t>
  </si>
  <si>
    <t>Einaudi Stile libero big</t>
  </si>
  <si>
    <t>4138522336:ita</t>
  </si>
  <si>
    <t>987795021</t>
  </si>
  <si>
    <t>ocn987795021</t>
  </si>
  <si>
    <t>31037211884</t>
  </si>
  <si>
    <t>9788806232016</t>
  </si>
  <si>
    <t>795036393</t>
  </si>
  <si>
    <t>PQ4919 A834 P3713 2018</t>
  </si>
  <si>
    <t>0                      PQ 4919000A  834                P  3713        2018</t>
  </si>
  <si>
    <t>The piranhas : the boy bosses of Naples / Roberto Saviano ; translated from the Italian by Antony Shugaar.</t>
  </si>
  <si>
    <t>Saviano, Roberto, 1979- author.</t>
  </si>
  <si>
    <t>New York : Farrar, Straus and Giroux, 2018.</t>
  </si>
  <si>
    <t>3946045245:eng</t>
  </si>
  <si>
    <t>1022980649</t>
  </si>
  <si>
    <t>on1022980649</t>
  </si>
  <si>
    <t>3103810097B</t>
  </si>
  <si>
    <t>9780374230029</t>
  </si>
  <si>
    <t>795051606</t>
  </si>
  <si>
    <t>PQ4919 A853 B438 2011</t>
  </si>
  <si>
    <t>0                      PQ 4919000A  853                B  438         2011</t>
  </si>
  <si>
    <t>Beauty &amp; the inferno / Robert Saviano ; translated from the Italian by Oonagh Stransky.</t>
  </si>
  <si>
    <t>London : MacLehose Press, 2011.</t>
  </si>
  <si>
    <t>2013-04-27</t>
  </si>
  <si>
    <t>2292381306:eng</t>
  </si>
  <si>
    <t>640082645</t>
  </si>
  <si>
    <t>ocn640082645</t>
  </si>
  <si>
    <t>3103342148O</t>
  </si>
  <si>
    <t>9780857050083</t>
  </si>
  <si>
    <t>794827233</t>
  </si>
  <si>
    <t>PQ4919 O77 T8813 2012</t>
  </si>
  <si>
    <t>0                      PQ 4919000O  77                 T  8813        2012</t>
  </si>
  <si>
    <t>Everybody's right / Paolo Sorrentino ; translated from the Italian by Howard Curtis.</t>
  </si>
  <si>
    <t>Sorrentino, Paolo.</t>
  </si>
  <si>
    <t>London : Harvill Secker, 2012.</t>
  </si>
  <si>
    <t>476773452:eng</t>
  </si>
  <si>
    <t>800863483</t>
  </si>
  <si>
    <t>ocn800863483</t>
  </si>
  <si>
    <t>3103457362K</t>
  </si>
  <si>
    <t>9781846554957</t>
  </si>
  <si>
    <t>794924718</t>
  </si>
  <si>
    <t>PQ4919 P38 S43 2014</t>
  </si>
  <si>
    <t>0                      PQ 4919000P  38                 S  43          2014</t>
  </si>
  <si>
    <t>Se chiudo gli occhi / Simona Sparaco.</t>
  </si>
  <si>
    <t>Sparaco, Simona.</t>
  </si>
  <si>
    <t>Firenze : Giunti, ottobre 2014.</t>
  </si>
  <si>
    <t>A</t>
  </si>
  <si>
    <t>2232860512:ita</t>
  </si>
  <si>
    <t>900465642</t>
  </si>
  <si>
    <t>ocn900465642</t>
  </si>
  <si>
    <t>3103624717W</t>
  </si>
  <si>
    <t>9788809788763</t>
  </si>
  <si>
    <t>794987543</t>
  </si>
  <si>
    <t>PQ4922 A88 S63 2010</t>
  </si>
  <si>
    <t>0                      PQ 4922000A  88                 S  63          2010</t>
  </si>
  <si>
    <t>Spaesamento / Giorgio Vasta.</t>
  </si>
  <si>
    <t>Vasta, Giorgio.</t>
  </si>
  <si>
    <t>Roma : GLF editori Laterza, 2010.</t>
  </si>
  <si>
    <t>503732969:ita</t>
  </si>
  <si>
    <t>642806095</t>
  </si>
  <si>
    <t>ocn642806095</t>
  </si>
  <si>
    <t>3103126300W</t>
  </si>
  <si>
    <t>9788842093022</t>
  </si>
  <si>
    <t>794828390</t>
  </si>
  <si>
    <t>PQ4922 A88 T4613 2013</t>
  </si>
  <si>
    <t>0                      PQ 4922000A  88                 T  4613        2013</t>
  </si>
  <si>
    <t>Time on my hands / Giorgio Vasta ; translated from the Italian by Jonathan Hunt.</t>
  </si>
  <si>
    <t>New York : Faber and Faber, Inc., 2013.</t>
  </si>
  <si>
    <t>351706234:eng</t>
  </si>
  <si>
    <t>740627568</t>
  </si>
  <si>
    <t>ocn740627568</t>
  </si>
  <si>
    <t>3103498203B</t>
  </si>
  <si>
    <t>9780865479371</t>
  </si>
  <si>
    <t>794883386</t>
  </si>
  <si>
    <t>PQ4922 E43 T46 2012</t>
  </si>
  <si>
    <t>0                      PQ 4922000E  43                 T  46          2012</t>
  </si>
  <si>
    <t>Il tempo è un dio breve / Mariapia Veladiano.</t>
  </si>
  <si>
    <t>Veladiano, Mariapia.</t>
  </si>
  <si>
    <t>Einaudi stile libero. Big</t>
  </si>
  <si>
    <t>1178262693:ita</t>
  </si>
  <si>
    <t>822891992</t>
  </si>
  <si>
    <t>ocn822891992</t>
  </si>
  <si>
    <t>3103126032Z</t>
  </si>
  <si>
    <t>9788806212742</t>
  </si>
  <si>
    <t>794936652</t>
  </si>
  <si>
    <t>PQ4923 U2 A15 2002</t>
  </si>
  <si>
    <t>0                      PQ 4923000U  2                  A  15          2002</t>
  </si>
  <si>
    <t>54 / Wu Ming.</t>
  </si>
  <si>
    <t>Einaudi tascabili ; 948. Stile libero</t>
  </si>
  <si>
    <t>5615193537:ita</t>
  </si>
  <si>
    <t>49507860</t>
  </si>
  <si>
    <t>ocm49507860</t>
  </si>
  <si>
    <t>3102551217L</t>
  </si>
  <si>
    <t>9788806162030</t>
  </si>
  <si>
    <t>793741590</t>
  </si>
  <si>
    <t>PQ4923 U2 A1513 2005</t>
  </si>
  <si>
    <t>0                      PQ 4923000U  2                  A  1513        2005</t>
  </si>
  <si>
    <t>54 / Wu Ming ; translated from the Italian by Shaun Whiteside.</t>
  </si>
  <si>
    <t>Wu Ming (Writers collective), author.</t>
  </si>
  <si>
    <t>Orlando : Harcourt, Inc., [2005]</t>
  </si>
  <si>
    <t>104339630:eng</t>
  </si>
  <si>
    <t>62341517</t>
  </si>
  <si>
    <t>ocm62341517</t>
  </si>
  <si>
    <t>3102585244L</t>
  </si>
  <si>
    <t>9780151013807</t>
  </si>
  <si>
    <t>794105390</t>
  </si>
  <si>
    <t>PQ4923 U2 A7913 2013</t>
  </si>
  <si>
    <t>0                      PQ 4923000U  2                  A  7913        2013</t>
  </si>
  <si>
    <t>Altai / Wu Ming ; translated by Shaun Whiteside.</t>
  </si>
  <si>
    <t>London ; New York : Verso, 2013.</t>
  </si>
  <si>
    <t>458628122:eng</t>
  </si>
  <si>
    <t>813931560</t>
  </si>
  <si>
    <t>ocn813931560</t>
  </si>
  <si>
    <t>3103497563V</t>
  </si>
  <si>
    <t>9781781680766</t>
  </si>
  <si>
    <t>794931982</t>
  </si>
  <si>
    <t>PQ4923 U2 G53 2003</t>
  </si>
  <si>
    <t>0                      PQ 4923000U  2                  G  53          2003</t>
  </si>
  <si>
    <t>Giap! : tre anni di narrazioni e movimenti / Wu Ming ; a cura di Tommaso De Lorenzis.</t>
  </si>
  <si>
    <t>Torino : Einaudi, [2003]</t>
  </si>
  <si>
    <t>Einaudi tascabili. Stile libero ; 1105</t>
  </si>
  <si>
    <t>2018-07-06</t>
  </si>
  <si>
    <t>473231388:ita</t>
  </si>
  <si>
    <t>52394749</t>
  </si>
  <si>
    <t>ocm52394749</t>
  </si>
  <si>
    <t>31028043359</t>
  </si>
  <si>
    <t>9788806165598</t>
  </si>
  <si>
    <t>793805433</t>
  </si>
  <si>
    <t>PQ4923 U2 M36 2007</t>
  </si>
  <si>
    <t>0                      PQ 4923000U  2                  M  36          2007</t>
  </si>
  <si>
    <t>Manituana / Wu Ming.</t>
  </si>
  <si>
    <t>Torino : Einaudi, ©2007.</t>
  </si>
  <si>
    <t>149246052:ita</t>
  </si>
  <si>
    <t>122934696</t>
  </si>
  <si>
    <t>ocn122934696</t>
  </si>
  <si>
    <t>3102718086U</t>
  </si>
  <si>
    <t>9788806185848</t>
  </si>
  <si>
    <t>794221604</t>
  </si>
  <si>
    <t>PQ4923 U225 F74 2006</t>
  </si>
  <si>
    <t>0                      PQ 4923000U  225                F  74          2006</t>
  </si>
  <si>
    <t>Free karma food / pseud. Wu Ming 5.</t>
  </si>
  <si>
    <t>Wu Ming 5, pseud.</t>
  </si>
  <si>
    <t>Milano : Rizzoli, 2006.</t>
  </si>
  <si>
    <t>24/7</t>
  </si>
  <si>
    <t>4757843653:ita</t>
  </si>
  <si>
    <t>67609804</t>
  </si>
  <si>
    <t>ocm67609804</t>
  </si>
  <si>
    <t>3102693451A</t>
  </si>
  <si>
    <t>9788817010504</t>
  </si>
  <si>
    <t>794141045</t>
  </si>
  <si>
    <t>PQ4923.U225 H38 2001</t>
  </si>
  <si>
    <t>0                      PQ 4923000U  225                H  38          2001</t>
  </si>
  <si>
    <t>Havana glam : romanzo / Wu Ming 5.</t>
  </si>
  <si>
    <t>Wu Ming 5, author.</t>
  </si>
  <si>
    <t>Roma : Fanucci, 2001.</t>
  </si>
  <si>
    <t>AvantPop ; 16</t>
  </si>
  <si>
    <t>46715346:ita</t>
  </si>
  <si>
    <t>50214029</t>
  </si>
  <si>
    <t>ocm50214029</t>
  </si>
  <si>
    <t>3102674279I</t>
  </si>
  <si>
    <t>9788834708217</t>
  </si>
  <si>
    <t>793758044</t>
  </si>
  <si>
    <t>PQ4923 U45 G84 2004</t>
  </si>
  <si>
    <t>0                      PQ 4923000U  45                 G  84          2004</t>
  </si>
  <si>
    <t>Guerra agli umani / Wu Ming 2.</t>
  </si>
  <si>
    <t>Wu Ming 2.</t>
  </si>
  <si>
    <t>Einaudi tascabili ; 1205. Stile libero big</t>
  </si>
  <si>
    <t>378630661:ita</t>
  </si>
  <si>
    <t>55027785</t>
  </si>
  <si>
    <t>ocm55027785</t>
  </si>
  <si>
    <t>31026937227</t>
  </si>
  <si>
    <t>9788806168124</t>
  </si>
  <si>
    <t>793872979</t>
  </si>
  <si>
    <t>PQ4923 U524 T5 2002</t>
  </si>
  <si>
    <t>0                      PQ 4923000U  524                T  5           2002</t>
  </si>
  <si>
    <t>Ti chiamerò Russell : romanzo totale 2002 / Wu ming n+1.</t>
  </si>
  <si>
    <t>Wu ming n+1.</t>
  </si>
  <si>
    <t>Imola (Bologna) : Bacchilega, 2002.</t>
  </si>
  <si>
    <t>La narrativa</t>
  </si>
  <si>
    <t>43238002:ita</t>
  </si>
  <si>
    <t>60437118</t>
  </si>
  <si>
    <t>ocm60437118</t>
  </si>
  <si>
    <t>31028330583</t>
  </si>
  <si>
    <t>9788888775036</t>
  </si>
  <si>
    <t>793937835</t>
  </si>
  <si>
    <t>PQ4923 U6 N49 2004</t>
  </si>
  <si>
    <t>0                      PQ 4923000U  6                  N  49          2004</t>
  </si>
  <si>
    <t>New thing : [romanzo] / Wu Ming 1.</t>
  </si>
  <si>
    <t>Wu Ming 1.</t>
  </si>
  <si>
    <t>Torino : Einaudi, ©2004.</t>
  </si>
  <si>
    <t>Einaudi tascabili. Stile libero. Big ; 1313</t>
  </si>
  <si>
    <t>375403057:ita</t>
  </si>
  <si>
    <t>56974082</t>
  </si>
  <si>
    <t>ocm56974082</t>
  </si>
  <si>
    <t>31026603583</t>
  </si>
  <si>
    <t>9788806162764</t>
  </si>
  <si>
    <t>793905146</t>
  </si>
  <si>
    <t>PQ4926 O77 D36 2017</t>
  </si>
  <si>
    <t>0                      PQ 4926000O  77                 D  36          2017</t>
  </si>
  <si>
    <t>D'Amore. di Rabbia. di Te / Andrew Faber.</t>
  </si>
  <si>
    <t>Faber, Andrew, author.</t>
  </si>
  <si>
    <t>Torino : Miraggi edizioni, giugno 2017.</t>
  </si>
  <si>
    <t>Golem / poesia</t>
  </si>
  <si>
    <t>4468604451:ita</t>
  </si>
  <si>
    <t>1001495286</t>
  </si>
  <si>
    <t>on1001495286</t>
  </si>
  <si>
    <t>3103721017V</t>
  </si>
  <si>
    <t>9788899815325</t>
  </si>
  <si>
    <t>795040644</t>
  </si>
  <si>
    <t>PQ5707 E76 S54 2000</t>
  </si>
  <si>
    <t>0                      PQ 5707000E  76                 S  54          2000</t>
  </si>
  <si>
    <t>Le siège de Mouns : mémoires apocryphes de Pierre de Chiris, ou les couraillements du duc de Savoie Charles Emmanuel le Grand en Provence : roman / Michel Germain.</t>
  </si>
  <si>
    <t>Germain, Michel, 1945- author.</t>
  </si>
  <si>
    <t>Gonfaron : Éditions Parpaillon, [2000]</t>
  </si>
  <si>
    <t>5471503077:fre</t>
  </si>
  <si>
    <t>1055765197</t>
  </si>
  <si>
    <t>on1055765197</t>
  </si>
  <si>
    <t>31038622768</t>
  </si>
  <si>
    <t>9782912938138</t>
  </si>
  <si>
    <t>795063503</t>
  </si>
  <si>
    <t>PQ5902 C3 C75</t>
  </si>
  <si>
    <t>0                      PQ 5902000C  3                  C  75</t>
  </si>
  <si>
    <t>Storia tascabile della letteratura calabrese / Pasquino Crupi.</t>
  </si>
  <si>
    <t>Crupi, Pasquino.</t>
  </si>
  <si>
    <t>Cosenza : Pellegrini, 1977.</t>
  </si>
  <si>
    <t>13515322:ita</t>
  </si>
  <si>
    <t>4000879</t>
  </si>
  <si>
    <t>ocm04000879</t>
  </si>
  <si>
    <t>3000458944V</t>
  </si>
  <si>
    <t>792312429</t>
  </si>
  <si>
    <t>PQ5902 C3 P47</t>
  </si>
  <si>
    <t>0                      PQ 5902000C  3                  P  47</t>
  </si>
  <si>
    <t>La letteratura calabrese / Antonio Piromalli.</t>
  </si>
  <si>
    <t>Piromalli, Antonio.</t>
  </si>
  <si>
    <t>Napoli : Guida, 1977.</t>
  </si>
  <si>
    <t>Collana La Spirale ; 31</t>
  </si>
  <si>
    <t>9381528113:ita</t>
  </si>
  <si>
    <t>3345083</t>
  </si>
  <si>
    <t>ocm03345083</t>
  </si>
  <si>
    <t>30004154941</t>
  </si>
  <si>
    <t>792245041</t>
  </si>
  <si>
    <t>PQ5902 C332 D54 2011</t>
  </si>
  <si>
    <t>0                      PQ 5902000C  332                D  54          2011</t>
  </si>
  <si>
    <t>La bella Afasia : cinquant'anni di poesia e scrittura in Campania, 1960-2010 : un'indagine psicoanalitica / Carlo Di Lieto.</t>
  </si>
  <si>
    <t>Letteratura ; 26</t>
  </si>
  <si>
    <t>916976844:ita</t>
  </si>
  <si>
    <t>732280605</t>
  </si>
  <si>
    <t>ocn732280605</t>
  </si>
  <si>
    <t>3103125440P</t>
  </si>
  <si>
    <t>9788874142910</t>
  </si>
  <si>
    <t>794881229</t>
  </si>
  <si>
    <t>Melchiorre Cesarotti / a cura di Antonio Daniele.</t>
  </si>
  <si>
    <t>Padova : Esedra editrice, [2011]</t>
  </si>
  <si>
    <t>Atti ; 10</t>
  </si>
  <si>
    <t>905315490:ita</t>
  </si>
  <si>
    <t>727704950</t>
  </si>
  <si>
    <t>ocn727704950</t>
  </si>
  <si>
    <t>3103125442P</t>
  </si>
  <si>
    <t>9788860580412</t>
  </si>
  <si>
    <t>794878540</t>
  </si>
  <si>
    <t>PQ5902 E62 P35 2018</t>
  </si>
  <si>
    <t>0                      PQ 5902000E  62                 P  35          2018</t>
  </si>
  <si>
    <t>Nel profondo del paesaggio : percorsi nella narrativa emiliana contemporanea / Irene Palladini.</t>
  </si>
  <si>
    <t>Palladini, Irene, 1974- author.</t>
  </si>
  <si>
    <t>Milano, Italy : FrancoAngeli, [2018]</t>
  </si>
  <si>
    <t>Metodi e prospettive ; 26</t>
  </si>
  <si>
    <t>5375809251:ita</t>
  </si>
  <si>
    <t>1043684696</t>
  </si>
  <si>
    <t>on1043684696</t>
  </si>
  <si>
    <t>3103785060B</t>
  </si>
  <si>
    <t>9788891770493</t>
  </si>
  <si>
    <t>795059754</t>
  </si>
  <si>
    <t>PQ5902 L52 T67 1989</t>
  </si>
  <si>
    <t>0                      PQ 5902000L  52                 T  67          1989</t>
  </si>
  <si>
    <t>Letteratura genovese e ligure : profilo storico e antologia / Fiorenzo Toso.</t>
  </si>
  <si>
    <t>Toso, Fiorenzo, 1962-</t>
  </si>
  <si>
    <t>Genova : Marietti, 1989-1991.</t>
  </si>
  <si>
    <t>347311489:ita</t>
  </si>
  <si>
    <t>23900509</t>
  </si>
  <si>
    <t>ocm23900509</t>
  </si>
  <si>
    <t>3101011605B</t>
  </si>
  <si>
    <t>9788821189685</t>
  </si>
  <si>
    <t>793184484</t>
  </si>
  <si>
    <t>31010116158</t>
  </si>
  <si>
    <t>793184483</t>
  </si>
  <si>
    <t>PQ5902 N32 V35 1982</t>
  </si>
  <si>
    <t>0                      PQ 5902000N  32                 V  35          1982</t>
  </si>
  <si>
    <t>Nuovi studi di storia letteraria napoletana / Aldo Vallone.</t>
  </si>
  <si>
    <t>Napoli : Ferraro, 1982.</t>
  </si>
  <si>
    <t>Collana di studi storici e letterari ; 2</t>
  </si>
  <si>
    <t>2016-06-14</t>
  </si>
  <si>
    <t>23485632:ita</t>
  </si>
  <si>
    <t>21436684</t>
  </si>
  <si>
    <t>ocm21436684</t>
  </si>
  <si>
    <t>CVB916890-10</t>
  </si>
  <si>
    <t>793118771</t>
  </si>
  <si>
    <t>3100246437V</t>
  </si>
  <si>
    <t>793118770</t>
  </si>
  <si>
    <t>PQ5902 P23 T73 2010</t>
  </si>
  <si>
    <t>0                      PQ 5902000P  23                 T  73          2010</t>
  </si>
  <si>
    <t>Tra filologia, storia e tradizioni popolari : per Marisa Milani (1997-2007) / a cura di Luciano Morbiato, Ivano Paccagnella.</t>
  </si>
  <si>
    <t>Padova : Esedra, 2010.</t>
  </si>
  <si>
    <t>Filologia veneta ; 10</t>
  </si>
  <si>
    <t>796423961:ita</t>
  </si>
  <si>
    <t>650438846</t>
  </si>
  <si>
    <t>ocn650438846</t>
  </si>
  <si>
    <t>3103125174S</t>
  </si>
  <si>
    <t>9788860580351</t>
  </si>
  <si>
    <t>794832489</t>
  </si>
  <si>
    <t>PQ5902 P5 B7 1981</t>
  </si>
  <si>
    <t>0                      PQ 5902000P  5                  B  7           1981</t>
  </si>
  <si>
    <t>Storia della letteratura piemontese / [a cura di] Camillo Brero.</t>
  </si>
  <si>
    <t>Torino : Editrice piemontese in Bancarella, 1981-</t>
  </si>
  <si>
    <t>10177295259:ita</t>
  </si>
  <si>
    <t>10845968</t>
  </si>
  <si>
    <t>ocm10845968</t>
  </si>
  <si>
    <t>3000367793W</t>
  </si>
  <si>
    <t>792746240</t>
  </si>
  <si>
    <t>2007-03-27</t>
  </si>
  <si>
    <t>3100840858W</t>
  </si>
  <si>
    <t>792746239</t>
  </si>
  <si>
    <t>PQ5902 S3 L47 1994</t>
  </si>
  <si>
    <t>0                      PQ 5902000S  3                  L  47          1994</t>
  </si>
  <si>
    <t>Letteratura dialettale salentina / a cura di Mario Marti e Donato Valli.</t>
  </si>
  <si>
    <t>Galatina : Congedo, 1994-1998.</t>
  </si>
  <si>
    <t>Biblioteca di scrittori salentini ; I, 9-11</t>
  </si>
  <si>
    <t>2866696549:ita</t>
  </si>
  <si>
    <t>34810125</t>
  </si>
  <si>
    <t>ocm34810125</t>
  </si>
  <si>
    <t>3102018580W</t>
  </si>
  <si>
    <t>9788880862482</t>
  </si>
  <si>
    <t>793436413</t>
  </si>
  <si>
    <t>v.3:pt.2</t>
  </si>
  <si>
    <t>31015966541</t>
  </si>
  <si>
    <t>793436411</t>
  </si>
  <si>
    <t>31015463449</t>
  </si>
  <si>
    <t>793436415</t>
  </si>
  <si>
    <t>3102198076P</t>
  </si>
  <si>
    <t>793436414</t>
  </si>
  <si>
    <t>v.3:pt.1</t>
  </si>
  <si>
    <t>3101596720E</t>
  </si>
  <si>
    <t>793436412</t>
  </si>
  <si>
    <t>PQ5902 S5 S35 2012</t>
  </si>
  <si>
    <t>0                      PQ 5902000S  5                  S  35          2012</t>
  </si>
  <si>
    <t>Racconti di spaesamento : indagini sulla letteratura siciliana e sul viaggio / Massimo Schilirò.</t>
  </si>
  <si>
    <t>Schilirò, Massimo, 1961-</t>
  </si>
  <si>
    <t>Occasioni critiche ; 13</t>
  </si>
  <si>
    <t>1204469077:ita</t>
  </si>
  <si>
    <t>825554682</t>
  </si>
  <si>
    <t>ocn825554682</t>
  </si>
  <si>
    <t>3103126122Y</t>
  </si>
  <si>
    <t>9788877969415</t>
  </si>
  <si>
    <t>794938605</t>
  </si>
  <si>
    <t>PQ5902 S52 D52 2015</t>
  </si>
  <si>
    <t>0                      PQ 5902000S  52                 D  52          2015</t>
  </si>
  <si>
    <t>L'invenzione della Sicilia : letteratura, mafia, modernità / Matteo Di Gesù.</t>
  </si>
  <si>
    <t>Di Gesù, Matteo, 1971- author.</t>
  </si>
  <si>
    <t>Roma : Carocci editore, dicembre 2015.</t>
  </si>
  <si>
    <t>Lingue e letterature Carocci / serie a cura del Dipartimento di scienze umanistiche dell'Università di Palermo ; 205</t>
  </si>
  <si>
    <t>2921695381:ita</t>
  </si>
  <si>
    <t>939396552</t>
  </si>
  <si>
    <t>ocn939396552</t>
  </si>
  <si>
    <t>3103662130D</t>
  </si>
  <si>
    <t>9788843079674</t>
  </si>
  <si>
    <t>795011609</t>
  </si>
  <si>
    <t>PQ5902 S52 M35 2005</t>
  </si>
  <si>
    <t>0                      PQ 5902000S  52                 M  35          2005</t>
  </si>
  <si>
    <t>The Kingdom of Sicily, 1100-1250 : a literary history / Karla Mallette.</t>
  </si>
  <si>
    <t>Mallette, Karla.</t>
  </si>
  <si>
    <t>Philadelphia : University of Pennsylvania Press, ©2005.</t>
  </si>
  <si>
    <t>The Middle Ages series</t>
  </si>
  <si>
    <t>905401705:eng</t>
  </si>
  <si>
    <t>57641673</t>
  </si>
  <si>
    <t>ocm57641673</t>
  </si>
  <si>
    <t>3102491905P</t>
  </si>
  <si>
    <t>9780812238853</t>
  </si>
  <si>
    <t>793916980</t>
  </si>
  <si>
    <t>PQ5902 S52 M772 2017</t>
  </si>
  <si>
    <t>0                      PQ 5902000S  52                 M  772         2017</t>
  </si>
  <si>
    <t>Paradigmi siciliani : saggi di letteratura dell'Otto e del Novecento / Mariella Muscariello.</t>
  </si>
  <si>
    <t>Muscariello, Mariella, author.</t>
  </si>
  <si>
    <t>Studi e saggi ; 58</t>
  </si>
  <si>
    <t>4837272639:ita</t>
  </si>
  <si>
    <t>1022084006</t>
  </si>
  <si>
    <t>on1022084006</t>
  </si>
  <si>
    <t>3103794481N</t>
  </si>
  <si>
    <t>9788869732683</t>
  </si>
  <si>
    <t>795051329</t>
  </si>
  <si>
    <t>PQ5902 S52 P47 2012</t>
  </si>
  <si>
    <t>0                      PQ 5902000S  52                 P  47          2012</t>
  </si>
  <si>
    <t>In un mare d'inchiostro : la Sicilia letteraria dal moderno al contemporaneo / Domenica Perrone.</t>
  </si>
  <si>
    <t>Perrone, Domenica.</t>
  </si>
  <si>
    <t>Mappe letterarie ; 1</t>
  </si>
  <si>
    <t>1149506773:ita</t>
  </si>
  <si>
    <t>805054506</t>
  </si>
  <si>
    <t>ocn805054506</t>
  </si>
  <si>
    <t>31031258993</t>
  </si>
  <si>
    <t>9788877969460</t>
  </si>
  <si>
    <t>794926175</t>
  </si>
  <si>
    <t>PQ5902 T8 R68 2010</t>
  </si>
  <si>
    <t>0                      PQ 5902000T  8                  R  68          2010</t>
  </si>
  <si>
    <t>Tuscan spaces : literary constructions of place / Silvia Ross.</t>
  </si>
  <si>
    <t>Ross, Silvia M.</t>
  </si>
  <si>
    <t>340928320:eng</t>
  </si>
  <si>
    <t>455791684</t>
  </si>
  <si>
    <t>ocn455791684</t>
  </si>
  <si>
    <t>31030729227</t>
  </si>
  <si>
    <t>9781442639980</t>
  </si>
  <si>
    <t>794788132</t>
  </si>
  <si>
    <t>PQ5902 V4 L47 1984</t>
  </si>
  <si>
    <t>0                      PQ 5902000V  4                  L  47          1984</t>
  </si>
  <si>
    <t>La Letteratura "Alla bulesca" : testi rinascimentali veneti / [a cura di] Bianca Maria Da Rif.</t>
  </si>
  <si>
    <t>Padova : Antenore, 1984.</t>
  </si>
  <si>
    <t>Biblioteca veneta ; 2</t>
  </si>
  <si>
    <t>889515420:ita</t>
  </si>
  <si>
    <t>12962874</t>
  </si>
  <si>
    <t>ocm12962874</t>
  </si>
  <si>
    <t>3000379241I</t>
  </si>
  <si>
    <t>792834751</t>
  </si>
  <si>
    <t>PQ5904 N3 T68 2000</t>
  </si>
  <si>
    <t>0                      PQ 5904000N  3                  T  68          2000</t>
  </si>
  <si>
    <t>Letterati corti accademie : la letteratura a Napoli nella prima metà del Cinquecento / Tobia R. Toscano.</t>
  </si>
  <si>
    <t>Toscano, Tobia R.</t>
  </si>
  <si>
    <t>Napoli : Loffredo Editore, 2000.</t>
  </si>
  <si>
    <t>Le ricerche di "Critica letteraria" ; 4</t>
  </si>
  <si>
    <t>890794261:ita</t>
  </si>
  <si>
    <t>44836416</t>
  </si>
  <si>
    <t>ocm44836416</t>
  </si>
  <si>
    <t>3102079010W</t>
  </si>
  <si>
    <t>9788880967057</t>
  </si>
  <si>
    <t>793659026</t>
  </si>
  <si>
    <t>PQ5904 N32 D36 2016</t>
  </si>
  <si>
    <t>0                      PQ 5904000N  32                 D  36          2016</t>
  </si>
  <si>
    <t>A history of Neapolitan drama in the twentieth century / by Mariano D'Amora.</t>
  </si>
  <si>
    <t>D'Amora, Mariano, 1970- author.</t>
  </si>
  <si>
    <t>Newcastle upon Tyne, NE, UK : Cambridge Scholars Publishing, 2016.</t>
  </si>
  <si>
    <t>2873760445:eng</t>
  </si>
  <si>
    <t>933722799</t>
  </si>
  <si>
    <t>ocn933722799</t>
  </si>
  <si>
    <t>3103654798P</t>
  </si>
  <si>
    <t>9781443885461</t>
  </si>
  <si>
    <t>795009364</t>
  </si>
  <si>
    <t>PQ5904 T72 P59 2001</t>
  </si>
  <si>
    <t>0                      PQ 5904000T  72                 P  59          2001</t>
  </si>
  <si>
    <t>A city in search of an author : the literary identity of Trieste / Katia Pizzi.</t>
  </si>
  <si>
    <t>Pizzi, Katia.</t>
  </si>
  <si>
    <t>London : Sheffield Academic Press, ©2001.</t>
  </si>
  <si>
    <t>803920414:eng</t>
  </si>
  <si>
    <t>59470601</t>
  </si>
  <si>
    <t>ocm59470601</t>
  </si>
  <si>
    <t>3102191653B</t>
  </si>
  <si>
    <t>9781841272849</t>
  </si>
  <si>
    <t>793930153</t>
  </si>
  <si>
    <t>PQ5904 V42 T73 1997</t>
  </si>
  <si>
    <t>0                      PQ 5904000V  42                 T  73          1997</t>
  </si>
  <si>
    <t>Tra commediografi e letterati : Rinascimento e Settecento veneziano : studi per Giorgio Padoan / a cura di Tiziana Agostini, Emilio Lippi.</t>
  </si>
  <si>
    <t>Il Portico ; 106. Sezione Materiali letterari</t>
  </si>
  <si>
    <t>891681126:ita</t>
  </si>
  <si>
    <t>38218677</t>
  </si>
  <si>
    <t>ocm38218677</t>
  </si>
  <si>
    <t>31018715884</t>
  </si>
  <si>
    <t>9788880630975</t>
  </si>
  <si>
    <t>793519156</t>
  </si>
  <si>
    <t>- Boxed - Unavailable - REQUEST VIA ILL</t>
  </si>
  <si>
    <t>PQ5984 L55 B613 1977</t>
  </si>
  <si>
    <t>0                      PQ 5984000L  55                 B  613         1977</t>
  </si>
  <si>
    <t>Parallel botany / Leo Lionni ; translated by Patrick Creagh.</t>
  </si>
  <si>
    <t>Lionni, Leo, 1910-1999.</t>
  </si>
  <si>
    <t>New York : Knopf, 1977.</t>
  </si>
  <si>
    <t>8096108:eng</t>
  </si>
  <si>
    <t>2983746</t>
  </si>
  <si>
    <t>ocm02983746</t>
  </si>
  <si>
    <t>3001036088F</t>
  </si>
  <si>
    <t>UNAVAILABLE</t>
  </si>
  <si>
    <t>9780394410555</t>
  </si>
  <si>
    <t>792202609</t>
  </si>
  <si>
    <t>PQ5984 P24 L37 2018</t>
  </si>
  <si>
    <t>0                      PQ 5984000P  24                 L  37          2018</t>
  </si>
  <si>
    <t>Largo Italia / Corrado Paina ; prefazione di Alessandro Ruggera.</t>
  </si>
  <si>
    <t>Paina, Corrado, 1954- author.</t>
  </si>
  <si>
    <t>Firenze : Società Editrice Fiorentina, [2018]</t>
  </si>
  <si>
    <t>Ungarettiana ; 13</t>
  </si>
  <si>
    <t>5583775674:ita</t>
  </si>
  <si>
    <t>1030977818</t>
  </si>
  <si>
    <t>on1030977818</t>
  </si>
  <si>
    <t>3103718170V</t>
  </si>
  <si>
    <t>9788860324306</t>
  </si>
  <si>
    <t>795055023</t>
  </si>
  <si>
    <t>folio PQ4315 B4 1969</t>
  </si>
  <si>
    <t>0folio                 PQ 4315000B  4           1969</t>
  </si>
  <si>
    <t>The divine comedy / translated by Thomas G. Bergin &amp; illustrated by Leonard Baskin.</t>
  </si>
  <si>
    <t>New York : Grossman Publishers, 1969.</t>
  </si>
  <si>
    <t>10076440236:eng</t>
  </si>
  <si>
    <t>118115</t>
  </si>
  <si>
    <t>ocm00118115</t>
  </si>
  <si>
    <t>3000245860Z</t>
  </si>
  <si>
    <t>791262365</t>
  </si>
  <si>
    <t>3100147413A</t>
  </si>
  <si>
    <t>791262364</t>
  </si>
  <si>
    <t>3100147429W</t>
  </si>
  <si>
    <t>791262363</t>
  </si>
  <si>
    <t>folio PQ4315 W5 1948</t>
  </si>
  <si>
    <t>0folio                 PQ 4315000W  5           1948</t>
  </si>
  <si>
    <t>The divine comedy : the Inferno, Purgatorio, and Paradiso / Dante Alighieri ; a new translation into English blank verse by Lawrence Grant White, with illustrations by Gustave Doré.</t>
  </si>
  <si>
    <t>New York : Pantheon Books, [1948]</t>
  </si>
  <si>
    <t>2017-11-10</t>
  </si>
  <si>
    <t>2945953758:eng</t>
  </si>
  <si>
    <t>241751</t>
  </si>
  <si>
    <t>ocm00241751</t>
  </si>
  <si>
    <t>31022636448</t>
  </si>
  <si>
    <t>791306194</t>
  </si>
  <si>
    <t>folio PQ4329 T39 1997</t>
  </si>
  <si>
    <t>0folio                 PQ 4329000T  39          1997</t>
  </si>
  <si>
    <t>Images of the journey in Dante's Divine comedy / Charles H. Taylor and Patricia Finley.</t>
  </si>
  <si>
    <t>Taylor, Charles H., 1928-</t>
  </si>
  <si>
    <t>New Haven : Yale University Press, ©1997.</t>
  </si>
  <si>
    <t>5612780312:eng</t>
  </si>
  <si>
    <t>35832097</t>
  </si>
  <si>
    <t>ocm35832097</t>
  </si>
  <si>
    <t>31018263181</t>
  </si>
  <si>
    <t>9780300068344</t>
  </si>
  <si>
    <t>793458563</t>
  </si>
  <si>
    <t>folio PQ4561 A1 P38 1976</t>
  </si>
  <si>
    <t>0folio                 PQ 4561000A  1                  P  38          1976</t>
  </si>
  <si>
    <t>La Passione di Revello : sacra rappresentazione quattrocentesca / di ignoto piemontese / edizione con introduzione e note critiche a cura di Anna Cornagliotti.</t>
  </si>
  <si>
    <t>Torino : Centro studi piemontesi, 1976.</t>
  </si>
  <si>
    <t>474950977:ita</t>
  </si>
  <si>
    <t>3846376</t>
  </si>
  <si>
    <t>ocm03846376</t>
  </si>
  <si>
    <t>3103599571B</t>
  </si>
  <si>
    <t>792298204</t>
  </si>
  <si>
    <t>folio PQ4689 D4 2010</t>
  </si>
  <si>
    <t>0folio                 PQ 4689000D  4           2010</t>
  </si>
  <si>
    <t>Dei sepolcri : carme / di Ugo Foscolo.</t>
  </si>
  <si>
    <t>Milano : Il muro di Tessa, 2010.</t>
  </si>
  <si>
    <t>Ed. critica / a cura di Giovanni Biancardi, Alberto Cadioli.</t>
  </si>
  <si>
    <t>Biblioteca tipografica ; 1</t>
  </si>
  <si>
    <t>10177445525:ita</t>
  </si>
  <si>
    <t>613309303</t>
  </si>
  <si>
    <t>ocn613309303</t>
  </si>
  <si>
    <t>3103125089T</t>
  </si>
  <si>
    <t>9788890292835</t>
  </si>
  <si>
    <t>794821846</t>
  </si>
  <si>
    <t>folio PQ4835 A3 Z665 2012</t>
  </si>
  <si>
    <t>0folio                 PQ 4835000A  3                  Z  665         2012</t>
  </si>
  <si>
    <t>Giovanni Pascoli, 1855-1912 : vita, immagini, ritratti / testi di Gianfranco Miro Gori, Rosita Boschetti, Umberto Sereni ; a cura di Valerio Cervetti.</t>
  </si>
  <si>
    <t>Gori, Gianfranco.</t>
  </si>
  <si>
    <t>Parma : Grafiche Step, 2012.</t>
  </si>
  <si>
    <t>1120177794:ita</t>
  </si>
  <si>
    <t>795755407</t>
  </si>
  <si>
    <t>ocn795755407</t>
  </si>
  <si>
    <t>3103125847D</t>
  </si>
  <si>
    <t>9788878980624</t>
  </si>
  <si>
    <t>794921555</t>
  </si>
  <si>
    <t>4903</t>
  </si>
  <si>
    <t>84903</t>
  </si>
  <si>
    <t>3102401065B</t>
  </si>
  <si>
    <t>793661939</t>
  </si>
  <si>
    <t>5216</t>
  </si>
  <si>
    <t>85216</t>
  </si>
  <si>
    <t>Two women ; Paisan.</t>
  </si>
  <si>
    <t>Ciociara (Motion picture). English.</t>
  </si>
  <si>
    <t>Burbank, Calif. : Triton, [2001]</t>
  </si>
  <si>
    <t>WWII collection</t>
  </si>
  <si>
    <t>2015-10-22</t>
  </si>
  <si>
    <t>8910267623:eng</t>
  </si>
  <si>
    <t>53116266</t>
  </si>
  <si>
    <t>ocm53116266</t>
  </si>
  <si>
    <t>3102819383B</t>
  </si>
  <si>
    <t>9781584480655</t>
  </si>
  <si>
    <t>793821689</t>
  </si>
  <si>
    <t>5585</t>
  </si>
  <si>
    <t>85585</t>
  </si>
  <si>
    <t>The garden of the Finzi-Continis / Sony Pictures Classics ; from Cinema 5 ; Documento-Film ; CCC Filmkunst ; adaptation and screenplay by Ugo Pirro, Vittorio Bonicelli ; produced by Gianni Hecht Lucari for Documento Film and Arthur Cohn ; directed by Vittorio De Sica.</t>
  </si>
  <si>
    <t>Giardino dei Finzi-Contini (Motion picture)</t>
  </si>
  <si>
    <t>[Burbank, CA] : Columbia TriStar Home Video, [2001]</t>
  </si>
  <si>
    <t>Sony Pictures classics</t>
  </si>
  <si>
    <t>3855266301:ita</t>
  </si>
  <si>
    <t>47667637</t>
  </si>
  <si>
    <t>ocm47667637</t>
  </si>
  <si>
    <t>3102655846C</t>
  </si>
  <si>
    <t>9780767863995</t>
  </si>
  <si>
    <t>793704978</t>
  </si>
  <si>
    <t>7990</t>
  </si>
  <si>
    <t>87990</t>
  </si>
  <si>
    <t>Commedia dell'arte / by Antonio Fava ; production, Teatro del Vicolo.</t>
  </si>
  <si>
    <t>Floreat, Australia : HUSH Videos ; South Fremantle, Australia : Contemporary Arts Media, distributor, 1997.</t>
  </si>
  <si>
    <t>477713139:eng</t>
  </si>
  <si>
    <t>61737738</t>
  </si>
  <si>
    <t>ocm61737738</t>
  </si>
  <si>
    <t>31024408894</t>
  </si>
  <si>
    <t>794093799</t>
  </si>
  <si>
    <t>7991</t>
  </si>
  <si>
    <t>87991</t>
  </si>
  <si>
    <t>Commedia dell' arte : the story, the style / Peregrine Productions (Australia) presents a film by Ricardo Di Gregorio &amp; Niniane Le Page ; directed, photographed and edited by Ricardo Di Gregorio ; directed, written and researched by Niniane Le Page ; produced by Ricardo Di Gregorio &amp; Niniane Le Page.</t>
  </si>
  <si>
    <t>Princeton, N.J. : Films for the Humanities &amp; Sciences, ©2007.</t>
  </si>
  <si>
    <t>2019-11-13</t>
  </si>
  <si>
    <t>902981598:eng</t>
  </si>
  <si>
    <t>187046971</t>
  </si>
  <si>
    <t>ocn187046971</t>
  </si>
  <si>
    <t>3102870834C</t>
  </si>
  <si>
    <t>794292962</t>
  </si>
  <si>
    <t>7993</t>
  </si>
  <si>
    <t>87993</t>
  </si>
  <si>
    <t>Spirit of commedia.</t>
  </si>
  <si>
    <t>South Fremantle, Western Australia : Contemporary Arts Media, [20--?]</t>
  </si>
  <si>
    <t>48614206:eng</t>
  </si>
  <si>
    <t>64692245</t>
  </si>
  <si>
    <t>ocm64692245</t>
  </si>
  <si>
    <t>3102744595E</t>
  </si>
  <si>
    <t>794131482</t>
  </si>
  <si>
    <t>8007</t>
  </si>
  <si>
    <t>88007</t>
  </si>
  <si>
    <t>disc 8</t>
  </si>
  <si>
    <t>3102683554C</t>
  </si>
  <si>
    <t>794388953</t>
  </si>
  <si>
    <t>disc 14</t>
  </si>
  <si>
    <t>3102683559C</t>
  </si>
  <si>
    <t>794388947</t>
  </si>
  <si>
    <t>disc 13</t>
  </si>
  <si>
    <t>3102683529I</t>
  </si>
  <si>
    <t>794388948</t>
  </si>
  <si>
    <t>disc 6</t>
  </si>
  <si>
    <t>3102683535G</t>
  </si>
  <si>
    <t>794388955</t>
  </si>
  <si>
    <t>disc 7</t>
  </si>
  <si>
    <t>3102683530G</t>
  </si>
  <si>
    <t>794388954</t>
  </si>
  <si>
    <t>disc 2</t>
  </si>
  <si>
    <t>2016-06-06</t>
  </si>
  <si>
    <t>3102683555C</t>
  </si>
  <si>
    <t>794388959</t>
  </si>
  <si>
    <t>disc 15</t>
  </si>
  <si>
    <t>3102683528I</t>
  </si>
  <si>
    <t>794388946</t>
  </si>
  <si>
    <t>disc 1</t>
  </si>
  <si>
    <t>3102683560A</t>
  </si>
  <si>
    <t>794388960</t>
  </si>
  <si>
    <t>disc 11</t>
  </si>
  <si>
    <t>3102683539G</t>
  </si>
  <si>
    <t>794388950</t>
  </si>
  <si>
    <t>disc 9</t>
  </si>
  <si>
    <t>3102683549E</t>
  </si>
  <si>
    <t>794388952</t>
  </si>
  <si>
    <t>disc 4</t>
  </si>
  <si>
    <t>2016-06-23</t>
  </si>
  <si>
    <t>3102683545E</t>
  </si>
  <si>
    <t>794388957</t>
  </si>
  <si>
    <t>disc 3</t>
  </si>
  <si>
    <t>3102683550C</t>
  </si>
  <si>
    <t>794388958</t>
  </si>
  <si>
    <t>disc 10</t>
  </si>
  <si>
    <t>3102683544E</t>
  </si>
  <si>
    <t>794388951</t>
  </si>
  <si>
    <t>disc 12</t>
  </si>
  <si>
    <t>3102683534G</t>
  </si>
  <si>
    <t>794388949</t>
  </si>
  <si>
    <t>disc 5</t>
  </si>
  <si>
    <t>3102683540E</t>
  </si>
  <si>
    <t>794388956</t>
  </si>
  <si>
    <t>for</t>
  </si>
  <si>
    <t>8FOR</t>
  </si>
  <si>
    <t>L'ingegnere / Paolo Barbaro.</t>
  </si>
  <si>
    <t>Barbaro, Paolo.</t>
  </si>
  <si>
    <t>793927703:ita</t>
  </si>
  <si>
    <t>704509741</t>
  </si>
  <si>
    <t>ocn704509741</t>
  </si>
  <si>
    <t>3103125400X</t>
  </si>
  <si>
    <t>9788831708586</t>
  </si>
  <si>
    <t>794865735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</si>
</sst>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0" xfId="0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49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4216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2.7265625" customWidth="1"/>
    <col min="2" max="3" width="10.7265625" customWidth="1"/>
    <col min="4" max="4" width="12.7265625" hidden="1" customWidth="1"/>
    <col min="5" max="5" width="42.36328125" customWidth="1"/>
    <col min="6" max="6" width="13.7265625" customWidth="1"/>
    <col min="7" max="7" width="10.7265625" hidden="1" customWidth="1"/>
    <col min="8" max="8" width="8.7265625" hidden="1" customWidth="1"/>
    <col min="9" max="9" width="11.7265625" hidden="1" customWidth="1"/>
    <col min="10" max="10" width="9.7265625" hidden="1" customWidth="1"/>
    <col min="11" max="11" width="10.7265625" customWidth="1"/>
    <col min="12" max="13" width="35.7265625" customWidth="1"/>
    <col min="14" max="14" width="13.7265625" customWidth="1"/>
    <col min="15" max="15" width="9.7265625" customWidth="1"/>
    <col min="16" max="16" width="10.7265625" customWidth="1"/>
    <col min="17" max="17" width="35.7265625" customWidth="1"/>
    <col min="18" max="18" width="10.7265625" customWidth="1"/>
    <col min="19" max="29" width="10.7265625" hidden="1" customWidth="1"/>
    <col min="30" max="31" width="12.7265625" hidden="1" customWidth="1"/>
    <col min="32" max="33" width="9.7265625" hidden="1" customWidth="1"/>
    <col min="34" max="35" width="11.7265625" hidden="1" customWidth="1"/>
    <col min="36" max="39" width="9.7265625" hidden="1" customWidth="1"/>
    <col min="40" max="41" width="13.7265625" hidden="1" customWidth="1"/>
    <col min="42" max="43" width="9.7265625" hidden="1" customWidth="1"/>
    <col min="44" max="44" width="11.7265625" hidden="1" customWidth="1"/>
    <col min="45" max="47" width="12.7265625" hidden="1" customWidth="1"/>
    <col min="48" max="48" width="10.7265625" customWidth="1"/>
    <col min="49" max="49" width="10.7265625" hidden="1" customWidth="1"/>
    <col min="50" max="50" width="15.7265625" hidden="1" customWidth="1"/>
    <col min="51" max="54" width="20.7265625" hidden="1" customWidth="1"/>
    <col min="55" max="55" width="15.7265625" customWidth="1"/>
    <col min="56" max="57" width="15.7265625" hidden="1" customWidth="1"/>
    <col min="58" max="58" width="25.7265625" customWidth="1"/>
    <col min="59" max="59" width="10.7265625" hidden="1" customWidth="1"/>
  </cols>
  <sheetData>
    <row r="1" spans="1:59" ht="72.5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</row>
    <row r="2" spans="1:59" ht="72.5" x14ac:dyDescent="0.35">
      <c r="A2" s="2" t="s">
        <v>59</v>
      </c>
      <c r="B2" s="2" t="s">
        <v>60</v>
      </c>
      <c r="C2" s="2" t="s">
        <v>61</v>
      </c>
      <c r="D2" s="2" t="s">
        <v>62</v>
      </c>
      <c r="E2" s="2" t="s">
        <v>63</v>
      </c>
      <c r="F2" s="3" t="s">
        <v>64</v>
      </c>
      <c r="G2" s="3" t="s">
        <v>65</v>
      </c>
      <c r="I2" s="3" t="s">
        <v>65</v>
      </c>
      <c r="J2" s="3" t="s">
        <v>65</v>
      </c>
      <c r="K2" s="3" t="s">
        <v>66</v>
      </c>
      <c r="M2" s="2" t="s">
        <v>67</v>
      </c>
      <c r="N2" s="3" t="s">
        <v>68</v>
      </c>
      <c r="P2" s="3" t="s">
        <v>69</v>
      </c>
      <c r="Q2" s="2" t="s">
        <v>70</v>
      </c>
      <c r="R2" s="3" t="s">
        <v>71</v>
      </c>
      <c r="S2" s="4">
        <v>0</v>
      </c>
      <c r="T2" s="4">
        <v>0</v>
      </c>
      <c r="W2" s="5" t="s">
        <v>72</v>
      </c>
      <c r="X2" s="5" t="s">
        <v>72</v>
      </c>
      <c r="Y2" s="4">
        <v>22</v>
      </c>
      <c r="Z2" s="4">
        <v>1</v>
      </c>
      <c r="AA2" s="4">
        <v>1</v>
      </c>
      <c r="AB2" s="4">
        <v>1</v>
      </c>
      <c r="AC2" s="4">
        <v>1</v>
      </c>
      <c r="AD2" s="4">
        <v>4</v>
      </c>
      <c r="AE2" s="4">
        <v>4</v>
      </c>
      <c r="AF2" s="4">
        <v>0</v>
      </c>
      <c r="AG2" s="4">
        <v>0</v>
      </c>
      <c r="AH2" s="4">
        <v>3</v>
      </c>
      <c r="AI2" s="4">
        <v>3</v>
      </c>
      <c r="AJ2" s="4">
        <v>0</v>
      </c>
      <c r="AK2" s="4">
        <v>0</v>
      </c>
      <c r="AL2" s="4">
        <v>2</v>
      </c>
      <c r="AM2" s="4">
        <v>2</v>
      </c>
      <c r="AN2" s="4">
        <v>0</v>
      </c>
      <c r="AO2" s="4">
        <v>0</v>
      </c>
      <c r="AP2" s="4">
        <v>0</v>
      </c>
      <c r="AQ2" s="4">
        <v>0</v>
      </c>
      <c r="AR2" s="3" t="s">
        <v>65</v>
      </c>
      <c r="AS2" s="3" t="s">
        <v>65</v>
      </c>
      <c r="AT2" s="3" t="s">
        <v>65</v>
      </c>
      <c r="AV2" s="6" t="str">
        <f>HYPERLINK("http://mcgill.on.worldcat.org/oclc/960689320","Catalog Record")</f>
        <v>Catalog Record</v>
      </c>
      <c r="AW2" s="6" t="str">
        <f>HYPERLINK("http://www.worldcat.org/oclc/960689320","WorldCat Record")</f>
        <v>WorldCat Record</v>
      </c>
      <c r="AX2" s="3" t="s">
        <v>73</v>
      </c>
      <c r="AY2" s="3" t="s">
        <v>74</v>
      </c>
      <c r="AZ2" s="3" t="s">
        <v>75</v>
      </c>
      <c r="BA2" s="3" t="s">
        <v>75</v>
      </c>
      <c r="BB2" s="3" t="s">
        <v>76</v>
      </c>
      <c r="BC2" s="3" t="s">
        <v>77</v>
      </c>
      <c r="BD2" s="3" t="s">
        <v>78</v>
      </c>
      <c r="BE2" s="3" t="s">
        <v>79</v>
      </c>
      <c r="BF2" s="3" t="s">
        <v>76</v>
      </c>
      <c r="BG2" s="3" t="s">
        <v>80</v>
      </c>
    </row>
    <row r="3" spans="1:59" ht="72.5" x14ac:dyDescent="0.35">
      <c r="A3" s="2" t="s">
        <v>59</v>
      </c>
      <c r="B3" s="2" t="s">
        <v>60</v>
      </c>
      <c r="C3" s="2" t="s">
        <v>81</v>
      </c>
      <c r="D3" s="2" t="s">
        <v>82</v>
      </c>
      <c r="E3" s="2" t="s">
        <v>83</v>
      </c>
      <c r="F3" s="3" t="s">
        <v>84</v>
      </c>
      <c r="G3" s="3" t="s">
        <v>65</v>
      </c>
      <c r="I3" s="3" t="s">
        <v>65</v>
      </c>
      <c r="J3" s="3" t="s">
        <v>65</v>
      </c>
      <c r="K3" s="3" t="s">
        <v>66</v>
      </c>
      <c r="M3" s="2" t="s">
        <v>85</v>
      </c>
      <c r="N3" s="3" t="s">
        <v>86</v>
      </c>
      <c r="P3" s="3" t="s">
        <v>69</v>
      </c>
      <c r="Q3" s="2" t="s">
        <v>87</v>
      </c>
      <c r="R3" s="3" t="s">
        <v>71</v>
      </c>
      <c r="S3" s="4">
        <v>0</v>
      </c>
      <c r="T3" s="4">
        <v>0</v>
      </c>
      <c r="W3" s="5" t="s">
        <v>72</v>
      </c>
      <c r="X3" s="5" t="s">
        <v>72</v>
      </c>
      <c r="Y3" s="4">
        <v>21</v>
      </c>
      <c r="Z3" s="4">
        <v>2</v>
      </c>
      <c r="AA3" s="4">
        <v>2</v>
      </c>
      <c r="AB3" s="4">
        <v>1</v>
      </c>
      <c r="AC3" s="4">
        <v>1</v>
      </c>
      <c r="AD3" s="4">
        <v>8</v>
      </c>
      <c r="AE3" s="4">
        <v>8</v>
      </c>
      <c r="AF3" s="4">
        <v>0</v>
      </c>
      <c r="AG3" s="4">
        <v>0</v>
      </c>
      <c r="AH3" s="4">
        <v>6</v>
      </c>
      <c r="AI3" s="4">
        <v>6</v>
      </c>
      <c r="AJ3" s="4">
        <v>1</v>
      </c>
      <c r="AK3" s="4">
        <v>1</v>
      </c>
      <c r="AL3" s="4">
        <v>6</v>
      </c>
      <c r="AM3" s="4">
        <v>6</v>
      </c>
      <c r="AN3" s="4">
        <v>0</v>
      </c>
      <c r="AO3" s="4">
        <v>0</v>
      </c>
      <c r="AP3" s="4">
        <v>1</v>
      </c>
      <c r="AQ3" s="4">
        <v>1</v>
      </c>
      <c r="AR3" s="3" t="s">
        <v>65</v>
      </c>
      <c r="AS3" s="3" t="s">
        <v>65</v>
      </c>
      <c r="AT3" s="3" t="s">
        <v>65</v>
      </c>
      <c r="AV3" s="6" t="str">
        <f>HYPERLINK("http://mcgill.on.worldcat.org/oclc/1080532821","Catalog Record")</f>
        <v>Catalog Record</v>
      </c>
      <c r="AW3" s="6" t="str">
        <f>HYPERLINK("http://www.worldcat.org/oclc/1080532821","WorldCat Record")</f>
        <v>WorldCat Record</v>
      </c>
      <c r="AX3" s="3" t="s">
        <v>88</v>
      </c>
      <c r="AY3" s="3" t="s">
        <v>89</v>
      </c>
      <c r="AZ3" s="3" t="s">
        <v>90</v>
      </c>
      <c r="BA3" s="3" t="s">
        <v>90</v>
      </c>
      <c r="BB3" s="3" t="s">
        <v>91</v>
      </c>
      <c r="BC3" s="3" t="s">
        <v>77</v>
      </c>
      <c r="BD3" s="3" t="s">
        <v>78</v>
      </c>
      <c r="BE3" s="3" t="s">
        <v>92</v>
      </c>
      <c r="BF3" s="3" t="s">
        <v>91</v>
      </c>
      <c r="BG3" s="3" t="s">
        <v>93</v>
      </c>
    </row>
    <row r="4" spans="1:59" ht="72.5" x14ac:dyDescent="0.35">
      <c r="A4" s="2" t="s">
        <v>59</v>
      </c>
      <c r="B4" s="2" t="s">
        <v>60</v>
      </c>
      <c r="C4" s="2" t="s">
        <v>94</v>
      </c>
      <c r="D4" s="2" t="s">
        <v>95</v>
      </c>
      <c r="E4" s="2" t="s">
        <v>96</v>
      </c>
      <c r="F4" s="3" t="s">
        <v>97</v>
      </c>
      <c r="G4" s="3" t="s">
        <v>65</v>
      </c>
      <c r="I4" s="3" t="s">
        <v>65</v>
      </c>
      <c r="J4" s="3" t="s">
        <v>65</v>
      </c>
      <c r="K4" s="3" t="s">
        <v>66</v>
      </c>
      <c r="M4" s="2" t="s">
        <v>98</v>
      </c>
      <c r="N4" s="3" t="s">
        <v>99</v>
      </c>
      <c r="P4" s="3" t="s">
        <v>69</v>
      </c>
      <c r="Q4" s="2" t="s">
        <v>100</v>
      </c>
      <c r="R4" s="3" t="s">
        <v>71</v>
      </c>
      <c r="S4" s="4">
        <v>5</v>
      </c>
      <c r="T4" s="4">
        <v>5</v>
      </c>
      <c r="U4" s="5" t="s">
        <v>101</v>
      </c>
      <c r="V4" s="5" t="s">
        <v>101</v>
      </c>
      <c r="W4" s="5" t="s">
        <v>72</v>
      </c>
      <c r="X4" s="5" t="s">
        <v>72</v>
      </c>
      <c r="Y4" s="4">
        <v>18</v>
      </c>
      <c r="Z4" s="4">
        <v>2</v>
      </c>
      <c r="AA4" s="4">
        <v>2</v>
      </c>
      <c r="AB4" s="4">
        <v>1</v>
      </c>
      <c r="AC4" s="4">
        <v>1</v>
      </c>
      <c r="AD4" s="4">
        <v>4</v>
      </c>
      <c r="AE4" s="4">
        <v>8</v>
      </c>
      <c r="AF4" s="4">
        <v>0</v>
      </c>
      <c r="AG4" s="4">
        <v>0</v>
      </c>
      <c r="AH4" s="4">
        <v>2</v>
      </c>
      <c r="AI4" s="4">
        <v>5</v>
      </c>
      <c r="AJ4" s="4">
        <v>1</v>
      </c>
      <c r="AK4" s="4">
        <v>1</v>
      </c>
      <c r="AL4" s="4">
        <v>1</v>
      </c>
      <c r="AM4" s="4">
        <v>4</v>
      </c>
      <c r="AN4" s="4">
        <v>0</v>
      </c>
      <c r="AO4" s="4">
        <v>0</v>
      </c>
      <c r="AP4" s="4">
        <v>1</v>
      </c>
      <c r="AQ4" s="4">
        <v>1</v>
      </c>
      <c r="AR4" s="3" t="s">
        <v>65</v>
      </c>
      <c r="AS4" s="3" t="s">
        <v>65</v>
      </c>
      <c r="AT4" s="3" t="s">
        <v>65</v>
      </c>
      <c r="AV4" s="6" t="str">
        <f>HYPERLINK("http://mcgill.on.worldcat.org/oclc/77541446","Catalog Record")</f>
        <v>Catalog Record</v>
      </c>
      <c r="AW4" s="6" t="str">
        <f>HYPERLINK("http://www.worldcat.org/oclc/77541446","WorldCat Record")</f>
        <v>WorldCat Record</v>
      </c>
      <c r="AX4" s="3" t="s">
        <v>102</v>
      </c>
      <c r="AY4" s="3" t="s">
        <v>103</v>
      </c>
      <c r="AZ4" s="3" t="s">
        <v>104</v>
      </c>
      <c r="BA4" s="3" t="s">
        <v>104</v>
      </c>
      <c r="BB4" s="3" t="s">
        <v>105</v>
      </c>
      <c r="BC4" s="3" t="s">
        <v>77</v>
      </c>
      <c r="BD4" s="3" t="s">
        <v>106</v>
      </c>
      <c r="BF4" s="3" t="s">
        <v>105</v>
      </c>
      <c r="BG4" s="3" t="s">
        <v>107</v>
      </c>
    </row>
    <row r="5" spans="1:59" ht="72.5" x14ac:dyDescent="0.35">
      <c r="A5" s="2" t="s">
        <v>59</v>
      </c>
      <c r="B5" s="2" t="s">
        <v>60</v>
      </c>
      <c r="C5" s="2" t="s">
        <v>108</v>
      </c>
      <c r="D5" s="2" t="s">
        <v>109</v>
      </c>
      <c r="E5" s="2" t="s">
        <v>110</v>
      </c>
      <c r="F5" s="3" t="s">
        <v>111</v>
      </c>
      <c r="G5" s="3" t="s">
        <v>65</v>
      </c>
      <c r="I5" s="3" t="s">
        <v>65</v>
      </c>
      <c r="J5" s="3" t="s">
        <v>65</v>
      </c>
      <c r="K5" s="3" t="s">
        <v>66</v>
      </c>
      <c r="M5" s="2" t="s">
        <v>112</v>
      </c>
      <c r="N5" s="3" t="s">
        <v>113</v>
      </c>
      <c r="P5" s="3" t="s">
        <v>69</v>
      </c>
      <c r="Q5" s="2" t="s">
        <v>114</v>
      </c>
      <c r="R5" s="3" t="s">
        <v>71</v>
      </c>
      <c r="S5" s="4">
        <v>2</v>
      </c>
      <c r="T5" s="4">
        <v>2</v>
      </c>
      <c r="U5" s="5" t="s">
        <v>115</v>
      </c>
      <c r="V5" s="5" t="s">
        <v>115</v>
      </c>
      <c r="W5" s="5" t="s">
        <v>72</v>
      </c>
      <c r="X5" s="5" t="s">
        <v>72</v>
      </c>
      <c r="Y5" s="4">
        <v>18</v>
      </c>
      <c r="Z5" s="4">
        <v>1</v>
      </c>
      <c r="AA5" s="4">
        <v>1</v>
      </c>
      <c r="AB5" s="4">
        <v>1</v>
      </c>
      <c r="AC5" s="4">
        <v>1</v>
      </c>
      <c r="AD5" s="4">
        <v>6</v>
      </c>
      <c r="AE5" s="4">
        <v>7</v>
      </c>
      <c r="AF5" s="4">
        <v>0</v>
      </c>
      <c r="AG5" s="4">
        <v>0</v>
      </c>
      <c r="AH5" s="4">
        <v>4</v>
      </c>
      <c r="AI5" s="4">
        <v>5</v>
      </c>
      <c r="AJ5" s="4">
        <v>0</v>
      </c>
      <c r="AK5" s="4">
        <v>0</v>
      </c>
      <c r="AL5" s="4">
        <v>4</v>
      </c>
      <c r="AM5" s="4">
        <v>5</v>
      </c>
      <c r="AN5" s="4">
        <v>0</v>
      </c>
      <c r="AO5" s="4">
        <v>0</v>
      </c>
      <c r="AP5" s="4">
        <v>0</v>
      </c>
      <c r="AQ5" s="4">
        <v>0</v>
      </c>
      <c r="AR5" s="3" t="s">
        <v>65</v>
      </c>
      <c r="AS5" s="3" t="s">
        <v>65</v>
      </c>
      <c r="AT5" s="3" t="s">
        <v>65</v>
      </c>
      <c r="AV5" s="6" t="str">
        <f>HYPERLINK("http://mcgill.on.worldcat.org/oclc/689127748","Catalog Record")</f>
        <v>Catalog Record</v>
      </c>
      <c r="AW5" s="6" t="str">
        <f>HYPERLINK("http://www.worldcat.org/oclc/689127748","WorldCat Record")</f>
        <v>WorldCat Record</v>
      </c>
      <c r="AX5" s="3" t="s">
        <v>116</v>
      </c>
      <c r="AY5" s="3" t="s">
        <v>117</v>
      </c>
      <c r="AZ5" s="3" t="s">
        <v>118</v>
      </c>
      <c r="BA5" s="3" t="s">
        <v>118</v>
      </c>
      <c r="BB5" s="3" t="s">
        <v>119</v>
      </c>
      <c r="BC5" s="3" t="s">
        <v>77</v>
      </c>
      <c r="BD5" s="3" t="s">
        <v>78</v>
      </c>
      <c r="BF5" s="3" t="s">
        <v>119</v>
      </c>
      <c r="BG5" s="3" t="s">
        <v>120</v>
      </c>
    </row>
    <row r="6" spans="1:59" ht="72.5" x14ac:dyDescent="0.35">
      <c r="A6" s="2" t="s">
        <v>59</v>
      </c>
      <c r="B6" s="2" t="s">
        <v>60</v>
      </c>
      <c r="C6" s="2" t="s">
        <v>121</v>
      </c>
      <c r="D6" s="2" t="s">
        <v>122</v>
      </c>
      <c r="E6" s="2" t="s">
        <v>123</v>
      </c>
      <c r="F6" s="3" t="s">
        <v>124</v>
      </c>
      <c r="G6" s="3" t="s">
        <v>65</v>
      </c>
      <c r="I6" s="3" t="s">
        <v>65</v>
      </c>
      <c r="J6" s="3" t="s">
        <v>65</v>
      </c>
      <c r="K6" s="3" t="s">
        <v>66</v>
      </c>
      <c r="M6" s="2" t="s">
        <v>125</v>
      </c>
      <c r="N6" s="3" t="s">
        <v>126</v>
      </c>
      <c r="P6" s="3" t="s">
        <v>69</v>
      </c>
      <c r="Q6" s="2" t="s">
        <v>127</v>
      </c>
      <c r="R6" s="3" t="s">
        <v>71</v>
      </c>
      <c r="S6" s="4">
        <v>1</v>
      </c>
      <c r="T6" s="4">
        <v>1</v>
      </c>
      <c r="U6" s="5" t="s">
        <v>128</v>
      </c>
      <c r="V6" s="5" t="s">
        <v>128</v>
      </c>
      <c r="W6" s="5" t="s">
        <v>72</v>
      </c>
      <c r="X6" s="5" t="s">
        <v>72</v>
      </c>
      <c r="Y6" s="4">
        <v>18</v>
      </c>
      <c r="Z6" s="4">
        <v>1</v>
      </c>
      <c r="AA6" s="4">
        <v>1</v>
      </c>
      <c r="AB6" s="4">
        <v>1</v>
      </c>
      <c r="AC6" s="4">
        <v>1</v>
      </c>
      <c r="AD6" s="4">
        <v>5</v>
      </c>
      <c r="AE6" s="4">
        <v>6</v>
      </c>
      <c r="AF6" s="4">
        <v>0</v>
      </c>
      <c r="AG6" s="4">
        <v>0</v>
      </c>
      <c r="AH6" s="4">
        <v>3</v>
      </c>
      <c r="AI6" s="4">
        <v>4</v>
      </c>
      <c r="AJ6" s="4">
        <v>0</v>
      </c>
      <c r="AK6" s="4">
        <v>0</v>
      </c>
      <c r="AL6" s="4">
        <v>3</v>
      </c>
      <c r="AM6" s="4">
        <v>4</v>
      </c>
      <c r="AN6" s="4">
        <v>0</v>
      </c>
      <c r="AO6" s="4">
        <v>0</v>
      </c>
      <c r="AP6" s="4">
        <v>0</v>
      </c>
      <c r="AQ6" s="4">
        <v>0</v>
      </c>
      <c r="AR6" s="3" t="s">
        <v>65</v>
      </c>
      <c r="AS6" s="3" t="s">
        <v>65</v>
      </c>
      <c r="AT6" s="3" t="s">
        <v>65</v>
      </c>
      <c r="AV6" s="6" t="str">
        <f>HYPERLINK("http://mcgill.on.worldcat.org/oclc/761193815","Catalog Record")</f>
        <v>Catalog Record</v>
      </c>
      <c r="AW6" s="6" t="str">
        <f>HYPERLINK("http://www.worldcat.org/oclc/761193815","WorldCat Record")</f>
        <v>WorldCat Record</v>
      </c>
      <c r="AX6" s="3" t="s">
        <v>129</v>
      </c>
      <c r="AY6" s="3" t="s">
        <v>130</v>
      </c>
      <c r="AZ6" s="3" t="s">
        <v>131</v>
      </c>
      <c r="BA6" s="3" t="s">
        <v>131</v>
      </c>
      <c r="BB6" s="3" t="s">
        <v>132</v>
      </c>
      <c r="BC6" s="3" t="s">
        <v>77</v>
      </c>
      <c r="BD6" s="3" t="s">
        <v>78</v>
      </c>
      <c r="BF6" s="3" t="s">
        <v>132</v>
      </c>
      <c r="BG6" s="3" t="s">
        <v>133</v>
      </c>
    </row>
    <row r="7" spans="1:59" ht="72.5" x14ac:dyDescent="0.35">
      <c r="A7" s="2" t="s">
        <v>59</v>
      </c>
      <c r="B7" s="2" t="s">
        <v>60</v>
      </c>
      <c r="C7" s="2" t="s">
        <v>134</v>
      </c>
      <c r="D7" s="2" t="s">
        <v>135</v>
      </c>
      <c r="E7" s="2" t="s">
        <v>136</v>
      </c>
      <c r="F7" s="3" t="s">
        <v>137</v>
      </c>
      <c r="G7" s="3" t="s">
        <v>65</v>
      </c>
      <c r="I7" s="3" t="s">
        <v>65</v>
      </c>
      <c r="J7" s="3" t="s">
        <v>65</v>
      </c>
      <c r="K7" s="3" t="s">
        <v>66</v>
      </c>
      <c r="M7" s="2" t="s">
        <v>138</v>
      </c>
      <c r="N7" s="3" t="s">
        <v>139</v>
      </c>
      <c r="P7" s="3" t="s">
        <v>140</v>
      </c>
      <c r="Q7" s="2" t="s">
        <v>141</v>
      </c>
      <c r="R7" s="3" t="s">
        <v>71</v>
      </c>
      <c r="S7" s="4">
        <v>0</v>
      </c>
      <c r="T7" s="4">
        <v>0</v>
      </c>
      <c r="W7" s="5" t="s">
        <v>72</v>
      </c>
      <c r="X7" s="5" t="s">
        <v>72</v>
      </c>
      <c r="Y7" s="4">
        <v>26</v>
      </c>
      <c r="Z7" s="4">
        <v>2</v>
      </c>
      <c r="AA7" s="4">
        <v>2</v>
      </c>
      <c r="AB7" s="4">
        <v>1</v>
      </c>
      <c r="AC7" s="4">
        <v>1</v>
      </c>
      <c r="AD7" s="4">
        <v>7</v>
      </c>
      <c r="AE7" s="4">
        <v>8</v>
      </c>
      <c r="AF7" s="4">
        <v>0</v>
      </c>
      <c r="AG7" s="4">
        <v>0</v>
      </c>
      <c r="AH7" s="4">
        <v>4</v>
      </c>
      <c r="AI7" s="4">
        <v>5</v>
      </c>
      <c r="AJ7" s="4">
        <v>1</v>
      </c>
      <c r="AK7" s="4">
        <v>1</v>
      </c>
      <c r="AL7" s="4">
        <v>3</v>
      </c>
      <c r="AM7" s="4">
        <v>4</v>
      </c>
      <c r="AN7" s="4">
        <v>0</v>
      </c>
      <c r="AO7" s="4">
        <v>0</v>
      </c>
      <c r="AP7" s="4">
        <v>1</v>
      </c>
      <c r="AQ7" s="4">
        <v>1</v>
      </c>
      <c r="AR7" s="3" t="s">
        <v>65</v>
      </c>
      <c r="AS7" s="3" t="s">
        <v>65</v>
      </c>
      <c r="AT7" s="3" t="s">
        <v>65</v>
      </c>
      <c r="AV7" s="6" t="str">
        <f>HYPERLINK("http://mcgill.on.worldcat.org/oclc/816514049","Catalog Record")</f>
        <v>Catalog Record</v>
      </c>
      <c r="AW7" s="6" t="str">
        <f>HYPERLINK("http://www.worldcat.org/oclc/816514049","WorldCat Record")</f>
        <v>WorldCat Record</v>
      </c>
      <c r="AX7" s="3" t="s">
        <v>142</v>
      </c>
      <c r="AY7" s="3" t="s">
        <v>143</v>
      </c>
      <c r="AZ7" s="3" t="s">
        <v>144</v>
      </c>
      <c r="BA7" s="3" t="s">
        <v>144</v>
      </c>
      <c r="BB7" s="3" t="s">
        <v>145</v>
      </c>
      <c r="BC7" s="3" t="s">
        <v>77</v>
      </c>
      <c r="BD7" s="3" t="s">
        <v>78</v>
      </c>
      <c r="BF7" s="3" t="s">
        <v>145</v>
      </c>
      <c r="BG7" s="3" t="s">
        <v>146</v>
      </c>
    </row>
    <row r="8" spans="1:59" ht="72.5" x14ac:dyDescent="0.35">
      <c r="A8" s="2" t="s">
        <v>59</v>
      </c>
      <c r="B8" s="2" t="s">
        <v>60</v>
      </c>
      <c r="C8" s="2" t="s">
        <v>147</v>
      </c>
      <c r="D8" s="2" t="s">
        <v>148</v>
      </c>
      <c r="E8" s="2" t="s">
        <v>149</v>
      </c>
      <c r="F8" s="3" t="s">
        <v>150</v>
      </c>
      <c r="G8" s="3" t="s">
        <v>65</v>
      </c>
      <c r="I8" s="3" t="s">
        <v>65</v>
      </c>
      <c r="J8" s="3" t="s">
        <v>65</v>
      </c>
      <c r="K8" s="3" t="s">
        <v>66</v>
      </c>
      <c r="M8" s="2" t="s">
        <v>151</v>
      </c>
      <c r="N8" s="3" t="s">
        <v>152</v>
      </c>
      <c r="P8" s="3" t="s">
        <v>69</v>
      </c>
      <c r="Q8" s="2" t="s">
        <v>153</v>
      </c>
      <c r="R8" s="3" t="s">
        <v>71</v>
      </c>
      <c r="S8" s="4">
        <v>0</v>
      </c>
      <c r="T8" s="4">
        <v>0</v>
      </c>
      <c r="W8" s="5" t="s">
        <v>72</v>
      </c>
      <c r="X8" s="5" t="s">
        <v>72</v>
      </c>
      <c r="Y8" s="4">
        <v>21</v>
      </c>
      <c r="Z8" s="4">
        <v>1</v>
      </c>
      <c r="AA8" s="4">
        <v>1</v>
      </c>
      <c r="AB8" s="4">
        <v>1</v>
      </c>
      <c r="AC8" s="4">
        <v>1</v>
      </c>
      <c r="AD8" s="4">
        <v>8</v>
      </c>
      <c r="AE8" s="4">
        <v>8</v>
      </c>
      <c r="AF8" s="4">
        <v>0</v>
      </c>
      <c r="AG8" s="4">
        <v>0</v>
      </c>
      <c r="AH8" s="4">
        <v>6</v>
      </c>
      <c r="AI8" s="4">
        <v>6</v>
      </c>
      <c r="AJ8" s="4">
        <v>0</v>
      </c>
      <c r="AK8" s="4">
        <v>0</v>
      </c>
      <c r="AL8" s="4">
        <v>6</v>
      </c>
      <c r="AM8" s="4">
        <v>6</v>
      </c>
      <c r="AN8" s="4">
        <v>0</v>
      </c>
      <c r="AO8" s="4">
        <v>0</v>
      </c>
      <c r="AP8" s="4">
        <v>0</v>
      </c>
      <c r="AQ8" s="4">
        <v>0</v>
      </c>
      <c r="AR8" s="3" t="s">
        <v>65</v>
      </c>
      <c r="AS8" s="3" t="s">
        <v>65</v>
      </c>
      <c r="AT8" s="3" t="s">
        <v>65</v>
      </c>
      <c r="AV8" s="6" t="str">
        <f>HYPERLINK("http://mcgill.on.worldcat.org/oclc/863646912","Catalog Record")</f>
        <v>Catalog Record</v>
      </c>
      <c r="AW8" s="6" t="str">
        <f>HYPERLINK("http://www.worldcat.org/oclc/863646912","WorldCat Record")</f>
        <v>WorldCat Record</v>
      </c>
      <c r="AX8" s="3" t="s">
        <v>154</v>
      </c>
      <c r="AY8" s="3" t="s">
        <v>155</v>
      </c>
      <c r="AZ8" s="3" t="s">
        <v>156</v>
      </c>
      <c r="BA8" s="3" t="s">
        <v>156</v>
      </c>
      <c r="BB8" s="3" t="s">
        <v>157</v>
      </c>
      <c r="BC8" s="3" t="s">
        <v>77</v>
      </c>
      <c r="BD8" s="3" t="s">
        <v>78</v>
      </c>
      <c r="BF8" s="3" t="s">
        <v>157</v>
      </c>
      <c r="BG8" s="3" t="s">
        <v>158</v>
      </c>
    </row>
    <row r="9" spans="1:59" ht="72.5" x14ac:dyDescent="0.35">
      <c r="A9" s="2" t="s">
        <v>59</v>
      </c>
      <c r="B9" s="2" t="s">
        <v>60</v>
      </c>
      <c r="C9" s="2" t="s">
        <v>159</v>
      </c>
      <c r="D9" s="2" t="s">
        <v>160</v>
      </c>
      <c r="E9" s="2" t="s">
        <v>161</v>
      </c>
      <c r="F9" s="3" t="s">
        <v>162</v>
      </c>
      <c r="G9" s="3" t="s">
        <v>65</v>
      </c>
      <c r="I9" s="3" t="s">
        <v>65</v>
      </c>
      <c r="J9" s="3" t="s">
        <v>65</v>
      </c>
      <c r="K9" s="3" t="s">
        <v>66</v>
      </c>
      <c r="M9" s="2" t="s">
        <v>163</v>
      </c>
      <c r="N9" s="3" t="s">
        <v>164</v>
      </c>
      <c r="P9" s="3" t="s">
        <v>69</v>
      </c>
      <c r="Q9" s="2" t="s">
        <v>165</v>
      </c>
      <c r="R9" s="3" t="s">
        <v>71</v>
      </c>
      <c r="S9" s="4">
        <v>0</v>
      </c>
      <c r="T9" s="4">
        <v>0</v>
      </c>
      <c r="W9" s="5" t="s">
        <v>72</v>
      </c>
      <c r="X9" s="5" t="s">
        <v>72</v>
      </c>
      <c r="Y9" s="4">
        <v>16</v>
      </c>
      <c r="Z9" s="4">
        <v>1</v>
      </c>
      <c r="AA9" s="4">
        <v>1</v>
      </c>
      <c r="AB9" s="4">
        <v>1</v>
      </c>
      <c r="AC9" s="4">
        <v>1</v>
      </c>
      <c r="AD9" s="4">
        <v>5</v>
      </c>
      <c r="AE9" s="4">
        <v>5</v>
      </c>
      <c r="AF9" s="4">
        <v>0</v>
      </c>
      <c r="AG9" s="4">
        <v>0</v>
      </c>
      <c r="AH9" s="4">
        <v>3</v>
      </c>
      <c r="AI9" s="4">
        <v>3</v>
      </c>
      <c r="AJ9" s="4">
        <v>0</v>
      </c>
      <c r="AK9" s="4">
        <v>0</v>
      </c>
      <c r="AL9" s="4">
        <v>3</v>
      </c>
      <c r="AM9" s="4">
        <v>3</v>
      </c>
      <c r="AN9" s="4">
        <v>0</v>
      </c>
      <c r="AO9" s="4">
        <v>0</v>
      </c>
      <c r="AP9" s="4">
        <v>0</v>
      </c>
      <c r="AQ9" s="4">
        <v>0</v>
      </c>
      <c r="AR9" s="3" t="s">
        <v>65</v>
      </c>
      <c r="AS9" s="3" t="s">
        <v>65</v>
      </c>
      <c r="AT9" s="3" t="s">
        <v>65</v>
      </c>
      <c r="AV9" s="6" t="str">
        <f>HYPERLINK("http://mcgill.on.worldcat.org/oclc/897365346","Catalog Record")</f>
        <v>Catalog Record</v>
      </c>
      <c r="AW9" s="6" t="str">
        <f>HYPERLINK("http://www.worldcat.org/oclc/897365346","WorldCat Record")</f>
        <v>WorldCat Record</v>
      </c>
      <c r="AX9" s="3" t="s">
        <v>166</v>
      </c>
      <c r="AY9" s="3" t="s">
        <v>167</v>
      </c>
      <c r="AZ9" s="3" t="s">
        <v>168</v>
      </c>
      <c r="BA9" s="3" t="s">
        <v>168</v>
      </c>
      <c r="BB9" s="3" t="s">
        <v>169</v>
      </c>
      <c r="BC9" s="3" t="s">
        <v>77</v>
      </c>
      <c r="BD9" s="3" t="s">
        <v>78</v>
      </c>
      <c r="BF9" s="3" t="s">
        <v>169</v>
      </c>
      <c r="BG9" s="3" t="s">
        <v>170</v>
      </c>
    </row>
    <row r="10" spans="1:59" ht="72.5" x14ac:dyDescent="0.35">
      <c r="A10" s="2" t="s">
        <v>59</v>
      </c>
      <c r="B10" s="2" t="s">
        <v>60</v>
      </c>
      <c r="C10" s="2" t="s">
        <v>171</v>
      </c>
      <c r="D10" s="2" t="s">
        <v>172</v>
      </c>
      <c r="E10" s="2" t="s">
        <v>173</v>
      </c>
      <c r="F10" s="3" t="s">
        <v>174</v>
      </c>
      <c r="G10" s="3" t="s">
        <v>65</v>
      </c>
      <c r="I10" s="3" t="s">
        <v>65</v>
      </c>
      <c r="J10" s="3" t="s">
        <v>65</v>
      </c>
      <c r="K10" s="3" t="s">
        <v>66</v>
      </c>
      <c r="M10" s="2" t="s">
        <v>175</v>
      </c>
      <c r="N10" s="3" t="s">
        <v>176</v>
      </c>
      <c r="P10" s="3" t="s">
        <v>69</v>
      </c>
      <c r="Q10" s="2" t="s">
        <v>177</v>
      </c>
      <c r="R10" s="3" t="s">
        <v>71</v>
      </c>
      <c r="S10" s="4">
        <v>0</v>
      </c>
      <c r="T10" s="4">
        <v>0</v>
      </c>
      <c r="W10" s="5" t="s">
        <v>72</v>
      </c>
      <c r="X10" s="5" t="s">
        <v>72</v>
      </c>
      <c r="Y10" s="4">
        <v>15</v>
      </c>
      <c r="Z10" s="4">
        <v>1</v>
      </c>
      <c r="AA10" s="4">
        <v>1</v>
      </c>
      <c r="AB10" s="4">
        <v>1</v>
      </c>
      <c r="AC10" s="4">
        <v>1</v>
      </c>
      <c r="AD10" s="4">
        <v>4</v>
      </c>
      <c r="AE10" s="4">
        <v>4</v>
      </c>
      <c r="AF10" s="4">
        <v>0</v>
      </c>
      <c r="AG10" s="4">
        <v>0</v>
      </c>
      <c r="AH10" s="4">
        <v>3</v>
      </c>
      <c r="AI10" s="4">
        <v>3</v>
      </c>
      <c r="AJ10" s="4">
        <v>0</v>
      </c>
      <c r="AK10" s="4">
        <v>0</v>
      </c>
      <c r="AL10" s="4">
        <v>2</v>
      </c>
      <c r="AM10" s="4">
        <v>2</v>
      </c>
      <c r="AN10" s="4">
        <v>0</v>
      </c>
      <c r="AO10" s="4">
        <v>0</v>
      </c>
      <c r="AP10" s="4">
        <v>0</v>
      </c>
      <c r="AQ10" s="4">
        <v>0</v>
      </c>
      <c r="AR10" s="3" t="s">
        <v>65</v>
      </c>
      <c r="AS10" s="3" t="s">
        <v>65</v>
      </c>
      <c r="AT10" s="3" t="s">
        <v>65</v>
      </c>
      <c r="AV10" s="6" t="str">
        <f>HYPERLINK("http://mcgill.on.worldcat.org/oclc/931091608","Catalog Record")</f>
        <v>Catalog Record</v>
      </c>
      <c r="AW10" s="6" t="str">
        <f>HYPERLINK("http://www.worldcat.org/oclc/931091608","WorldCat Record")</f>
        <v>WorldCat Record</v>
      </c>
      <c r="AX10" s="3" t="s">
        <v>178</v>
      </c>
      <c r="AY10" s="3" t="s">
        <v>179</v>
      </c>
      <c r="AZ10" s="3" t="s">
        <v>180</v>
      </c>
      <c r="BA10" s="3" t="s">
        <v>180</v>
      </c>
      <c r="BB10" s="3" t="s">
        <v>181</v>
      </c>
      <c r="BC10" s="3" t="s">
        <v>77</v>
      </c>
      <c r="BD10" s="3" t="s">
        <v>78</v>
      </c>
      <c r="BF10" s="3" t="s">
        <v>181</v>
      </c>
      <c r="BG10" s="3" t="s">
        <v>182</v>
      </c>
    </row>
    <row r="11" spans="1:59" ht="72.5" x14ac:dyDescent="0.35">
      <c r="A11" s="2" t="s">
        <v>59</v>
      </c>
      <c r="B11" s="2" t="s">
        <v>60</v>
      </c>
      <c r="C11" s="2" t="s">
        <v>183</v>
      </c>
      <c r="D11" s="2" t="s">
        <v>184</v>
      </c>
      <c r="E11" s="2" t="s">
        <v>185</v>
      </c>
      <c r="F11" s="3" t="s">
        <v>186</v>
      </c>
      <c r="G11" s="3" t="s">
        <v>65</v>
      </c>
      <c r="I11" s="3" t="s">
        <v>65</v>
      </c>
      <c r="J11" s="3" t="s">
        <v>65</v>
      </c>
      <c r="K11" s="3" t="s">
        <v>66</v>
      </c>
      <c r="M11" s="2" t="s">
        <v>187</v>
      </c>
      <c r="N11" s="3" t="s">
        <v>188</v>
      </c>
      <c r="P11" s="3" t="s">
        <v>69</v>
      </c>
      <c r="Q11" s="2" t="s">
        <v>189</v>
      </c>
      <c r="R11" s="3" t="s">
        <v>71</v>
      </c>
      <c r="S11" s="4">
        <v>0</v>
      </c>
      <c r="T11" s="4">
        <v>0</v>
      </c>
      <c r="W11" s="5" t="s">
        <v>72</v>
      </c>
      <c r="X11" s="5" t="s">
        <v>72</v>
      </c>
      <c r="Y11" s="4">
        <v>17</v>
      </c>
      <c r="Z11" s="4">
        <v>1</v>
      </c>
      <c r="AA11" s="4">
        <v>1</v>
      </c>
      <c r="AB11" s="4">
        <v>1</v>
      </c>
      <c r="AC11" s="4">
        <v>1</v>
      </c>
      <c r="AD11" s="4">
        <v>4</v>
      </c>
      <c r="AE11" s="4">
        <v>4</v>
      </c>
      <c r="AF11" s="4">
        <v>0</v>
      </c>
      <c r="AG11" s="4">
        <v>0</v>
      </c>
      <c r="AH11" s="4">
        <v>3</v>
      </c>
      <c r="AI11" s="4">
        <v>3</v>
      </c>
      <c r="AJ11" s="4">
        <v>0</v>
      </c>
      <c r="AK11" s="4">
        <v>0</v>
      </c>
      <c r="AL11" s="4">
        <v>2</v>
      </c>
      <c r="AM11" s="4">
        <v>2</v>
      </c>
      <c r="AN11" s="4">
        <v>0</v>
      </c>
      <c r="AO11" s="4">
        <v>0</v>
      </c>
      <c r="AP11" s="4">
        <v>0</v>
      </c>
      <c r="AQ11" s="4">
        <v>0</v>
      </c>
      <c r="AR11" s="3" t="s">
        <v>65</v>
      </c>
      <c r="AS11" s="3" t="s">
        <v>65</v>
      </c>
      <c r="AT11" s="3" t="s">
        <v>65</v>
      </c>
      <c r="AV11" s="6" t="str">
        <f>HYPERLINK("http://mcgill.on.worldcat.org/oclc/1006593897","Catalog Record")</f>
        <v>Catalog Record</v>
      </c>
      <c r="AW11" s="6" t="str">
        <f>HYPERLINK("http://www.worldcat.org/oclc/1006593897","WorldCat Record")</f>
        <v>WorldCat Record</v>
      </c>
      <c r="AX11" s="3" t="s">
        <v>190</v>
      </c>
      <c r="AY11" s="3" t="s">
        <v>191</v>
      </c>
      <c r="AZ11" s="3" t="s">
        <v>192</v>
      </c>
      <c r="BA11" s="3" t="s">
        <v>192</v>
      </c>
      <c r="BB11" s="3" t="s">
        <v>193</v>
      </c>
      <c r="BC11" s="3" t="s">
        <v>77</v>
      </c>
      <c r="BD11" s="3" t="s">
        <v>78</v>
      </c>
      <c r="BE11" s="3" t="s">
        <v>194</v>
      </c>
      <c r="BF11" s="3" t="s">
        <v>193</v>
      </c>
      <c r="BG11" s="3" t="s">
        <v>195</v>
      </c>
    </row>
    <row r="12" spans="1:59" ht="72.5" x14ac:dyDescent="0.35">
      <c r="A12" s="2" t="s">
        <v>59</v>
      </c>
      <c r="B12" s="2" t="s">
        <v>60</v>
      </c>
      <c r="C12" s="2" t="s">
        <v>196</v>
      </c>
      <c r="D12" s="2" t="s">
        <v>197</v>
      </c>
      <c r="E12" s="2" t="s">
        <v>198</v>
      </c>
      <c r="G12" s="3" t="s">
        <v>65</v>
      </c>
      <c r="I12" s="3" t="s">
        <v>65</v>
      </c>
      <c r="J12" s="3" t="s">
        <v>65</v>
      </c>
      <c r="K12" s="3" t="s">
        <v>66</v>
      </c>
      <c r="L12" s="2" t="s">
        <v>199</v>
      </c>
      <c r="M12" s="2" t="s">
        <v>200</v>
      </c>
      <c r="N12" s="3" t="s">
        <v>139</v>
      </c>
      <c r="P12" s="3" t="s">
        <v>140</v>
      </c>
      <c r="Q12" s="2" t="s">
        <v>201</v>
      </c>
      <c r="R12" s="3" t="s">
        <v>71</v>
      </c>
      <c r="S12" s="4">
        <v>0</v>
      </c>
      <c r="T12" s="4">
        <v>0</v>
      </c>
      <c r="W12" s="5" t="s">
        <v>72</v>
      </c>
      <c r="X12" s="5" t="s">
        <v>72</v>
      </c>
      <c r="Y12" s="4">
        <v>40</v>
      </c>
      <c r="Z12" s="4">
        <v>3</v>
      </c>
      <c r="AA12" s="4">
        <v>3</v>
      </c>
      <c r="AB12" s="4">
        <v>1</v>
      </c>
      <c r="AC12" s="4">
        <v>1</v>
      </c>
      <c r="AD12" s="4">
        <v>18</v>
      </c>
      <c r="AE12" s="4">
        <v>18</v>
      </c>
      <c r="AF12" s="4">
        <v>0</v>
      </c>
      <c r="AG12" s="4">
        <v>0</v>
      </c>
      <c r="AH12" s="4">
        <v>17</v>
      </c>
      <c r="AI12" s="4">
        <v>17</v>
      </c>
      <c r="AJ12" s="4">
        <v>1</v>
      </c>
      <c r="AK12" s="4">
        <v>1</v>
      </c>
      <c r="AL12" s="4">
        <v>13</v>
      </c>
      <c r="AM12" s="4">
        <v>13</v>
      </c>
      <c r="AN12" s="4">
        <v>0</v>
      </c>
      <c r="AO12" s="4">
        <v>0</v>
      </c>
      <c r="AP12" s="4">
        <v>1</v>
      </c>
      <c r="AQ12" s="4">
        <v>1</v>
      </c>
      <c r="AR12" s="3" t="s">
        <v>65</v>
      </c>
      <c r="AS12" s="3" t="s">
        <v>65</v>
      </c>
      <c r="AT12" s="3" t="s">
        <v>65</v>
      </c>
      <c r="AV12" s="6" t="str">
        <f>HYPERLINK("http://mcgill.on.worldcat.org/oclc/785336056","Catalog Record")</f>
        <v>Catalog Record</v>
      </c>
      <c r="AW12" s="6" t="str">
        <f>HYPERLINK("http://www.worldcat.org/oclc/785336056","WorldCat Record")</f>
        <v>WorldCat Record</v>
      </c>
      <c r="AX12" s="3" t="s">
        <v>202</v>
      </c>
      <c r="AY12" s="3" t="s">
        <v>203</v>
      </c>
      <c r="AZ12" s="3" t="s">
        <v>204</v>
      </c>
      <c r="BA12" s="3" t="s">
        <v>204</v>
      </c>
      <c r="BB12" s="3" t="s">
        <v>205</v>
      </c>
      <c r="BC12" s="3" t="s">
        <v>77</v>
      </c>
      <c r="BD12" s="3" t="s">
        <v>78</v>
      </c>
      <c r="BE12" s="3" t="s">
        <v>206</v>
      </c>
      <c r="BF12" s="3" t="s">
        <v>205</v>
      </c>
      <c r="BG12" s="3" t="s">
        <v>207</v>
      </c>
    </row>
    <row r="13" spans="1:59" ht="58" x14ac:dyDescent="0.35">
      <c r="A13" s="2" t="s">
        <v>59</v>
      </c>
      <c r="B13" s="2" t="s">
        <v>60</v>
      </c>
      <c r="C13" s="2" t="s">
        <v>217</v>
      </c>
      <c r="D13" s="2" t="s">
        <v>218</v>
      </c>
      <c r="E13" s="2" t="s">
        <v>219</v>
      </c>
      <c r="G13" s="3" t="s">
        <v>65</v>
      </c>
      <c r="I13" s="3" t="s">
        <v>65</v>
      </c>
      <c r="J13" s="3" t="s">
        <v>65</v>
      </c>
      <c r="K13" s="3" t="s">
        <v>66</v>
      </c>
      <c r="M13" s="2" t="s">
        <v>220</v>
      </c>
      <c r="N13" s="3" t="s">
        <v>221</v>
      </c>
      <c r="P13" s="3" t="s">
        <v>140</v>
      </c>
      <c r="Q13" s="2" t="s">
        <v>222</v>
      </c>
      <c r="R13" s="3" t="s">
        <v>71</v>
      </c>
      <c r="S13" s="4">
        <v>1</v>
      </c>
      <c r="T13" s="4">
        <v>1</v>
      </c>
      <c r="U13" s="5" t="s">
        <v>223</v>
      </c>
      <c r="V13" s="5" t="s">
        <v>223</v>
      </c>
      <c r="W13" s="5" t="s">
        <v>72</v>
      </c>
      <c r="X13" s="5" t="s">
        <v>72</v>
      </c>
      <c r="Y13" s="4">
        <v>60</v>
      </c>
      <c r="Z13" s="4">
        <v>5</v>
      </c>
      <c r="AA13" s="4">
        <v>5</v>
      </c>
      <c r="AB13" s="4">
        <v>1</v>
      </c>
      <c r="AC13" s="4">
        <v>1</v>
      </c>
      <c r="AD13" s="4">
        <v>30</v>
      </c>
      <c r="AE13" s="4">
        <v>30</v>
      </c>
      <c r="AF13" s="4">
        <v>0</v>
      </c>
      <c r="AG13" s="4">
        <v>0</v>
      </c>
      <c r="AH13" s="4">
        <v>28</v>
      </c>
      <c r="AI13" s="4">
        <v>28</v>
      </c>
      <c r="AJ13" s="4">
        <v>3</v>
      </c>
      <c r="AK13" s="4">
        <v>3</v>
      </c>
      <c r="AL13" s="4">
        <v>22</v>
      </c>
      <c r="AM13" s="4">
        <v>22</v>
      </c>
      <c r="AN13" s="4">
        <v>0</v>
      </c>
      <c r="AO13" s="4">
        <v>0</v>
      </c>
      <c r="AP13" s="4">
        <v>3</v>
      </c>
      <c r="AQ13" s="4">
        <v>3</v>
      </c>
      <c r="AR13" s="3" t="s">
        <v>65</v>
      </c>
      <c r="AS13" s="3" t="s">
        <v>65</v>
      </c>
      <c r="AT13" s="3" t="s">
        <v>209</v>
      </c>
      <c r="AU13" s="6" t="str">
        <f>HYPERLINK("http://catalog.hathitrust.org/Record/005925342","HathiTrust Record")</f>
        <v>HathiTrust Record</v>
      </c>
      <c r="AV13" s="6" t="str">
        <f>HYPERLINK("http://mcgill.on.worldcat.org/oclc/137232774","Catalog Record")</f>
        <v>Catalog Record</v>
      </c>
      <c r="AW13" s="6" t="str">
        <f>HYPERLINK("http://www.worldcat.org/oclc/137232774","WorldCat Record")</f>
        <v>WorldCat Record</v>
      </c>
      <c r="AX13" s="3" t="s">
        <v>224</v>
      </c>
      <c r="AY13" s="3" t="s">
        <v>225</v>
      </c>
      <c r="AZ13" s="3" t="s">
        <v>226</v>
      </c>
      <c r="BA13" s="3" t="s">
        <v>226</v>
      </c>
      <c r="BB13" s="3" t="s">
        <v>227</v>
      </c>
      <c r="BC13" s="3" t="s">
        <v>77</v>
      </c>
      <c r="BD13" s="3" t="s">
        <v>78</v>
      </c>
      <c r="BE13" s="3" t="s">
        <v>228</v>
      </c>
      <c r="BF13" s="3" t="s">
        <v>227</v>
      </c>
      <c r="BG13" s="3" t="s">
        <v>229</v>
      </c>
    </row>
    <row r="14" spans="1:59" ht="58" x14ac:dyDescent="0.35">
      <c r="A14" s="2" t="s">
        <v>59</v>
      </c>
      <c r="B14" s="2" t="s">
        <v>60</v>
      </c>
      <c r="C14" s="2" t="s">
        <v>230</v>
      </c>
      <c r="D14" s="2" t="s">
        <v>231</v>
      </c>
      <c r="E14" s="2" t="s">
        <v>232</v>
      </c>
      <c r="G14" s="3" t="s">
        <v>65</v>
      </c>
      <c r="I14" s="3" t="s">
        <v>65</v>
      </c>
      <c r="J14" s="3" t="s">
        <v>65</v>
      </c>
      <c r="K14" s="3" t="s">
        <v>66</v>
      </c>
      <c r="L14" s="2" t="s">
        <v>233</v>
      </c>
      <c r="M14" s="2" t="s">
        <v>234</v>
      </c>
      <c r="N14" s="3" t="s">
        <v>164</v>
      </c>
      <c r="O14" s="2" t="s">
        <v>235</v>
      </c>
      <c r="P14" s="3" t="s">
        <v>140</v>
      </c>
      <c r="R14" s="3" t="s">
        <v>71</v>
      </c>
      <c r="S14" s="4">
        <v>0</v>
      </c>
      <c r="T14" s="4">
        <v>0</v>
      </c>
      <c r="W14" s="5" t="s">
        <v>72</v>
      </c>
      <c r="X14" s="5" t="s">
        <v>72</v>
      </c>
      <c r="Y14" s="4">
        <v>41</v>
      </c>
      <c r="Z14" s="4">
        <v>3</v>
      </c>
      <c r="AA14" s="4">
        <v>3</v>
      </c>
      <c r="AB14" s="4">
        <v>1</v>
      </c>
      <c r="AC14" s="4">
        <v>1</v>
      </c>
      <c r="AD14" s="4">
        <v>25</v>
      </c>
      <c r="AE14" s="4">
        <v>25</v>
      </c>
      <c r="AF14" s="4">
        <v>0</v>
      </c>
      <c r="AG14" s="4">
        <v>0</v>
      </c>
      <c r="AH14" s="4">
        <v>24</v>
      </c>
      <c r="AI14" s="4">
        <v>24</v>
      </c>
      <c r="AJ14" s="4">
        <v>1</v>
      </c>
      <c r="AK14" s="4">
        <v>1</v>
      </c>
      <c r="AL14" s="4">
        <v>20</v>
      </c>
      <c r="AM14" s="4">
        <v>20</v>
      </c>
      <c r="AN14" s="4">
        <v>0</v>
      </c>
      <c r="AO14" s="4">
        <v>0</v>
      </c>
      <c r="AP14" s="4">
        <v>1</v>
      </c>
      <c r="AQ14" s="4">
        <v>1</v>
      </c>
      <c r="AR14" s="3" t="s">
        <v>65</v>
      </c>
      <c r="AS14" s="3" t="s">
        <v>65</v>
      </c>
      <c r="AT14" s="3" t="s">
        <v>65</v>
      </c>
      <c r="AV14" s="6" t="str">
        <f>HYPERLINK("http://mcgill.on.worldcat.org/oclc/903203093","Catalog Record")</f>
        <v>Catalog Record</v>
      </c>
      <c r="AW14" s="6" t="str">
        <f>HYPERLINK("http://www.worldcat.org/oclc/903203093","WorldCat Record")</f>
        <v>WorldCat Record</v>
      </c>
      <c r="AX14" s="3" t="s">
        <v>236</v>
      </c>
      <c r="AY14" s="3" t="s">
        <v>237</v>
      </c>
      <c r="AZ14" s="3" t="s">
        <v>238</v>
      </c>
      <c r="BA14" s="3" t="s">
        <v>238</v>
      </c>
      <c r="BB14" s="3" t="s">
        <v>239</v>
      </c>
      <c r="BC14" s="3" t="s">
        <v>77</v>
      </c>
      <c r="BD14" s="3" t="s">
        <v>78</v>
      </c>
      <c r="BE14" s="3" t="s">
        <v>240</v>
      </c>
      <c r="BF14" s="3" t="s">
        <v>239</v>
      </c>
      <c r="BG14" s="3" t="s">
        <v>241</v>
      </c>
    </row>
    <row r="15" spans="1:59" ht="58" x14ac:dyDescent="0.35">
      <c r="A15" s="2" t="s">
        <v>59</v>
      </c>
      <c r="B15" s="2" t="s">
        <v>60</v>
      </c>
      <c r="C15" s="2" t="s">
        <v>242</v>
      </c>
      <c r="D15" s="2" t="s">
        <v>243</v>
      </c>
      <c r="E15" s="2" t="s">
        <v>244</v>
      </c>
      <c r="F15" s="3" t="s">
        <v>245</v>
      </c>
      <c r="G15" s="3" t="s">
        <v>209</v>
      </c>
      <c r="I15" s="3" t="s">
        <v>65</v>
      </c>
      <c r="J15" s="3" t="s">
        <v>65</v>
      </c>
      <c r="K15" s="3" t="s">
        <v>66</v>
      </c>
      <c r="M15" s="2" t="s">
        <v>246</v>
      </c>
      <c r="N15" s="3" t="s">
        <v>247</v>
      </c>
      <c r="P15" s="3" t="s">
        <v>140</v>
      </c>
      <c r="R15" s="3" t="s">
        <v>71</v>
      </c>
      <c r="S15" s="4">
        <v>2</v>
      </c>
      <c r="T15" s="4">
        <v>2</v>
      </c>
      <c r="U15" s="5" t="s">
        <v>248</v>
      </c>
      <c r="V15" s="5" t="s">
        <v>248</v>
      </c>
      <c r="W15" s="5" t="s">
        <v>72</v>
      </c>
      <c r="X15" s="5" t="s">
        <v>72</v>
      </c>
      <c r="Y15" s="4">
        <v>48</v>
      </c>
      <c r="Z15" s="4">
        <v>4</v>
      </c>
      <c r="AA15" s="4">
        <v>4</v>
      </c>
      <c r="AB15" s="4">
        <v>1</v>
      </c>
      <c r="AC15" s="4">
        <v>1</v>
      </c>
      <c r="AD15" s="4">
        <v>24</v>
      </c>
      <c r="AE15" s="4">
        <v>24</v>
      </c>
      <c r="AF15" s="4">
        <v>0</v>
      </c>
      <c r="AG15" s="4">
        <v>0</v>
      </c>
      <c r="AH15" s="4">
        <v>23</v>
      </c>
      <c r="AI15" s="4">
        <v>23</v>
      </c>
      <c r="AJ15" s="4">
        <v>2</v>
      </c>
      <c r="AK15" s="4">
        <v>2</v>
      </c>
      <c r="AL15" s="4">
        <v>18</v>
      </c>
      <c r="AM15" s="4">
        <v>18</v>
      </c>
      <c r="AN15" s="4">
        <v>0</v>
      </c>
      <c r="AO15" s="4">
        <v>0</v>
      </c>
      <c r="AP15" s="4">
        <v>2</v>
      </c>
      <c r="AQ15" s="4">
        <v>2</v>
      </c>
      <c r="AR15" s="3" t="s">
        <v>65</v>
      </c>
      <c r="AS15" s="3" t="s">
        <v>65</v>
      </c>
      <c r="AT15" s="3" t="s">
        <v>65</v>
      </c>
      <c r="AV15" s="6" t="str">
        <f>HYPERLINK("http://mcgill.on.worldcat.org/oclc/31711295","Catalog Record")</f>
        <v>Catalog Record</v>
      </c>
      <c r="AW15" s="6" t="str">
        <f>HYPERLINK("http://www.worldcat.org/oclc/31711295","WorldCat Record")</f>
        <v>WorldCat Record</v>
      </c>
      <c r="AX15" s="3" t="s">
        <v>249</v>
      </c>
      <c r="AY15" s="3" t="s">
        <v>250</v>
      </c>
      <c r="AZ15" s="3" t="s">
        <v>251</v>
      </c>
      <c r="BA15" s="3" t="s">
        <v>251</v>
      </c>
      <c r="BB15" s="3" t="s">
        <v>252</v>
      </c>
      <c r="BC15" s="3" t="s">
        <v>77</v>
      </c>
      <c r="BD15" s="3" t="s">
        <v>78</v>
      </c>
      <c r="BE15" s="3" t="s">
        <v>253</v>
      </c>
      <c r="BF15" s="3" t="s">
        <v>252</v>
      </c>
      <c r="BG15" s="3" t="s">
        <v>254</v>
      </c>
    </row>
    <row r="16" spans="1:59" ht="58" x14ac:dyDescent="0.35">
      <c r="A16" s="2" t="s">
        <v>59</v>
      </c>
      <c r="B16" s="2" t="s">
        <v>60</v>
      </c>
      <c r="C16" s="2" t="s">
        <v>242</v>
      </c>
      <c r="D16" s="2" t="s">
        <v>243</v>
      </c>
      <c r="E16" s="2" t="s">
        <v>244</v>
      </c>
      <c r="F16" s="3" t="s">
        <v>255</v>
      </c>
      <c r="G16" s="3" t="s">
        <v>209</v>
      </c>
      <c r="I16" s="3" t="s">
        <v>65</v>
      </c>
      <c r="J16" s="3" t="s">
        <v>65</v>
      </c>
      <c r="K16" s="3" t="s">
        <v>66</v>
      </c>
      <c r="M16" s="2" t="s">
        <v>246</v>
      </c>
      <c r="N16" s="3" t="s">
        <v>247</v>
      </c>
      <c r="P16" s="3" t="s">
        <v>140</v>
      </c>
      <c r="R16" s="3" t="s">
        <v>71</v>
      </c>
      <c r="S16" s="4">
        <v>0</v>
      </c>
      <c r="T16" s="4">
        <v>2</v>
      </c>
      <c r="V16" s="5" t="s">
        <v>248</v>
      </c>
      <c r="W16" s="5" t="s">
        <v>72</v>
      </c>
      <c r="X16" s="5" t="s">
        <v>72</v>
      </c>
      <c r="Y16" s="4">
        <v>48</v>
      </c>
      <c r="Z16" s="4">
        <v>4</v>
      </c>
      <c r="AA16" s="4">
        <v>4</v>
      </c>
      <c r="AB16" s="4">
        <v>1</v>
      </c>
      <c r="AC16" s="4">
        <v>1</v>
      </c>
      <c r="AD16" s="4">
        <v>24</v>
      </c>
      <c r="AE16" s="4">
        <v>24</v>
      </c>
      <c r="AF16" s="4">
        <v>0</v>
      </c>
      <c r="AG16" s="4">
        <v>0</v>
      </c>
      <c r="AH16" s="4">
        <v>23</v>
      </c>
      <c r="AI16" s="4">
        <v>23</v>
      </c>
      <c r="AJ16" s="4">
        <v>2</v>
      </c>
      <c r="AK16" s="4">
        <v>2</v>
      </c>
      <c r="AL16" s="4">
        <v>18</v>
      </c>
      <c r="AM16" s="4">
        <v>18</v>
      </c>
      <c r="AN16" s="4">
        <v>0</v>
      </c>
      <c r="AO16" s="4">
        <v>0</v>
      </c>
      <c r="AP16" s="4">
        <v>2</v>
      </c>
      <c r="AQ16" s="4">
        <v>2</v>
      </c>
      <c r="AR16" s="3" t="s">
        <v>65</v>
      </c>
      <c r="AS16" s="3" t="s">
        <v>65</v>
      </c>
      <c r="AT16" s="3" t="s">
        <v>65</v>
      </c>
      <c r="AV16" s="6" t="str">
        <f>HYPERLINK("http://mcgill.on.worldcat.org/oclc/31711295","Catalog Record")</f>
        <v>Catalog Record</v>
      </c>
      <c r="AW16" s="6" t="str">
        <f>HYPERLINK("http://www.worldcat.org/oclc/31711295","WorldCat Record")</f>
        <v>WorldCat Record</v>
      </c>
      <c r="AX16" s="3" t="s">
        <v>249</v>
      </c>
      <c r="AY16" s="3" t="s">
        <v>250</v>
      </c>
      <c r="AZ16" s="3" t="s">
        <v>251</v>
      </c>
      <c r="BA16" s="3" t="s">
        <v>251</v>
      </c>
      <c r="BB16" s="3" t="s">
        <v>256</v>
      </c>
      <c r="BC16" s="3" t="s">
        <v>77</v>
      </c>
      <c r="BD16" s="3" t="s">
        <v>78</v>
      </c>
      <c r="BE16" s="3" t="s">
        <v>253</v>
      </c>
      <c r="BF16" s="3" t="s">
        <v>256</v>
      </c>
      <c r="BG16" s="3" t="s">
        <v>257</v>
      </c>
    </row>
    <row r="17" spans="1:59" ht="58" x14ac:dyDescent="0.35">
      <c r="A17" s="2" t="s">
        <v>59</v>
      </c>
      <c r="B17" s="2" t="s">
        <v>60</v>
      </c>
      <c r="C17" s="2" t="s">
        <v>242</v>
      </c>
      <c r="D17" s="2" t="s">
        <v>243</v>
      </c>
      <c r="E17" s="2" t="s">
        <v>244</v>
      </c>
      <c r="F17" s="3" t="s">
        <v>258</v>
      </c>
      <c r="G17" s="3" t="s">
        <v>209</v>
      </c>
      <c r="I17" s="3" t="s">
        <v>65</v>
      </c>
      <c r="J17" s="3" t="s">
        <v>65</v>
      </c>
      <c r="K17" s="3" t="s">
        <v>66</v>
      </c>
      <c r="M17" s="2" t="s">
        <v>246</v>
      </c>
      <c r="N17" s="3" t="s">
        <v>247</v>
      </c>
      <c r="P17" s="3" t="s">
        <v>140</v>
      </c>
      <c r="R17" s="3" t="s">
        <v>71</v>
      </c>
      <c r="S17" s="4">
        <v>0</v>
      </c>
      <c r="T17" s="4">
        <v>2</v>
      </c>
      <c r="V17" s="5" t="s">
        <v>248</v>
      </c>
      <c r="W17" s="5" t="s">
        <v>72</v>
      </c>
      <c r="X17" s="5" t="s">
        <v>72</v>
      </c>
      <c r="Y17" s="4">
        <v>48</v>
      </c>
      <c r="Z17" s="4">
        <v>4</v>
      </c>
      <c r="AA17" s="4">
        <v>4</v>
      </c>
      <c r="AB17" s="4">
        <v>1</v>
      </c>
      <c r="AC17" s="4">
        <v>1</v>
      </c>
      <c r="AD17" s="4">
        <v>24</v>
      </c>
      <c r="AE17" s="4">
        <v>24</v>
      </c>
      <c r="AF17" s="4">
        <v>0</v>
      </c>
      <c r="AG17" s="4">
        <v>0</v>
      </c>
      <c r="AH17" s="4">
        <v>23</v>
      </c>
      <c r="AI17" s="4">
        <v>23</v>
      </c>
      <c r="AJ17" s="4">
        <v>2</v>
      </c>
      <c r="AK17" s="4">
        <v>2</v>
      </c>
      <c r="AL17" s="4">
        <v>18</v>
      </c>
      <c r="AM17" s="4">
        <v>18</v>
      </c>
      <c r="AN17" s="4">
        <v>0</v>
      </c>
      <c r="AO17" s="4">
        <v>0</v>
      </c>
      <c r="AP17" s="4">
        <v>2</v>
      </c>
      <c r="AQ17" s="4">
        <v>2</v>
      </c>
      <c r="AR17" s="3" t="s">
        <v>65</v>
      </c>
      <c r="AS17" s="3" t="s">
        <v>65</v>
      </c>
      <c r="AT17" s="3" t="s">
        <v>65</v>
      </c>
      <c r="AV17" s="6" t="str">
        <f>HYPERLINK("http://mcgill.on.worldcat.org/oclc/31711295","Catalog Record")</f>
        <v>Catalog Record</v>
      </c>
      <c r="AW17" s="6" t="str">
        <f>HYPERLINK("http://www.worldcat.org/oclc/31711295","WorldCat Record")</f>
        <v>WorldCat Record</v>
      </c>
      <c r="AX17" s="3" t="s">
        <v>249</v>
      </c>
      <c r="AY17" s="3" t="s">
        <v>250</v>
      </c>
      <c r="AZ17" s="3" t="s">
        <v>251</v>
      </c>
      <c r="BA17" s="3" t="s">
        <v>251</v>
      </c>
      <c r="BB17" s="3" t="s">
        <v>259</v>
      </c>
      <c r="BC17" s="3" t="s">
        <v>77</v>
      </c>
      <c r="BD17" s="3" t="s">
        <v>78</v>
      </c>
      <c r="BE17" s="3" t="s">
        <v>253</v>
      </c>
      <c r="BF17" s="3" t="s">
        <v>259</v>
      </c>
      <c r="BG17" s="3" t="s">
        <v>260</v>
      </c>
    </row>
    <row r="18" spans="1:59" ht="58" x14ac:dyDescent="0.35">
      <c r="A18" s="2" t="s">
        <v>59</v>
      </c>
      <c r="B18" s="2" t="s">
        <v>60</v>
      </c>
      <c r="C18" s="2" t="s">
        <v>261</v>
      </c>
      <c r="D18" s="2" t="s">
        <v>262</v>
      </c>
      <c r="E18" s="2" t="s">
        <v>263</v>
      </c>
      <c r="G18" s="3" t="s">
        <v>65</v>
      </c>
      <c r="I18" s="3" t="s">
        <v>65</v>
      </c>
      <c r="J18" s="3" t="s">
        <v>65</v>
      </c>
      <c r="K18" s="3" t="s">
        <v>66</v>
      </c>
      <c r="M18" s="2" t="s">
        <v>264</v>
      </c>
      <c r="N18" s="3" t="s">
        <v>265</v>
      </c>
      <c r="P18" s="3" t="s">
        <v>140</v>
      </c>
      <c r="R18" s="3" t="s">
        <v>71</v>
      </c>
      <c r="S18" s="4">
        <v>0</v>
      </c>
      <c r="T18" s="4">
        <v>0</v>
      </c>
      <c r="W18" s="5" t="s">
        <v>266</v>
      </c>
      <c r="X18" s="5" t="s">
        <v>266</v>
      </c>
      <c r="Y18" s="4">
        <v>24</v>
      </c>
      <c r="Z18" s="4">
        <v>1</v>
      </c>
      <c r="AA18" s="4">
        <v>1</v>
      </c>
      <c r="AB18" s="4">
        <v>1</v>
      </c>
      <c r="AC18" s="4">
        <v>1</v>
      </c>
      <c r="AD18" s="4">
        <v>18</v>
      </c>
      <c r="AE18" s="4">
        <v>18</v>
      </c>
      <c r="AF18" s="4">
        <v>0</v>
      </c>
      <c r="AG18" s="4">
        <v>0</v>
      </c>
      <c r="AH18" s="4">
        <v>17</v>
      </c>
      <c r="AI18" s="4">
        <v>17</v>
      </c>
      <c r="AJ18" s="4">
        <v>0</v>
      </c>
      <c r="AK18" s="4">
        <v>0</v>
      </c>
      <c r="AL18" s="4">
        <v>16</v>
      </c>
      <c r="AM18" s="4">
        <v>16</v>
      </c>
      <c r="AN18" s="4">
        <v>0</v>
      </c>
      <c r="AO18" s="4">
        <v>0</v>
      </c>
      <c r="AP18" s="4">
        <v>0</v>
      </c>
      <c r="AQ18" s="4">
        <v>0</v>
      </c>
      <c r="AR18" s="3" t="s">
        <v>65</v>
      </c>
      <c r="AS18" s="3" t="s">
        <v>65</v>
      </c>
      <c r="AT18" s="3" t="s">
        <v>65</v>
      </c>
      <c r="AV18" s="6" t="str">
        <f>HYPERLINK("http://mcgill.on.worldcat.org/oclc/1128030460","Catalog Record")</f>
        <v>Catalog Record</v>
      </c>
      <c r="AW18" s="6" t="str">
        <f>HYPERLINK("http://www.worldcat.org/oclc/1128030460","WorldCat Record")</f>
        <v>WorldCat Record</v>
      </c>
      <c r="AX18" s="3" t="s">
        <v>267</v>
      </c>
      <c r="AY18" s="3" t="s">
        <v>268</v>
      </c>
      <c r="AZ18" s="3" t="s">
        <v>269</v>
      </c>
      <c r="BA18" s="3" t="s">
        <v>269</v>
      </c>
      <c r="BB18" s="3" t="s">
        <v>270</v>
      </c>
      <c r="BC18" s="3" t="s">
        <v>77</v>
      </c>
      <c r="BD18" s="3" t="s">
        <v>78</v>
      </c>
      <c r="BE18" s="3" t="s">
        <v>271</v>
      </c>
      <c r="BF18" s="3" t="s">
        <v>270</v>
      </c>
      <c r="BG18" s="3" t="s">
        <v>272</v>
      </c>
    </row>
    <row r="19" spans="1:59" ht="58" x14ac:dyDescent="0.35">
      <c r="A19" s="2" t="s">
        <v>59</v>
      </c>
      <c r="B19" s="2" t="s">
        <v>60</v>
      </c>
      <c r="C19" s="2" t="s">
        <v>273</v>
      </c>
      <c r="D19" s="2" t="s">
        <v>274</v>
      </c>
      <c r="E19" s="2" t="s">
        <v>275</v>
      </c>
      <c r="G19" s="3" t="s">
        <v>65</v>
      </c>
      <c r="I19" s="3" t="s">
        <v>65</v>
      </c>
      <c r="J19" s="3" t="s">
        <v>65</v>
      </c>
      <c r="K19" s="3" t="s">
        <v>66</v>
      </c>
      <c r="M19" s="2" t="s">
        <v>276</v>
      </c>
      <c r="N19" s="3" t="s">
        <v>126</v>
      </c>
      <c r="P19" s="3" t="s">
        <v>69</v>
      </c>
      <c r="Q19" s="2" t="s">
        <v>277</v>
      </c>
      <c r="R19" s="3" t="s">
        <v>71</v>
      </c>
      <c r="S19" s="4">
        <v>1</v>
      </c>
      <c r="T19" s="4">
        <v>1</v>
      </c>
      <c r="U19" s="5" t="s">
        <v>278</v>
      </c>
      <c r="V19" s="5" t="s">
        <v>278</v>
      </c>
      <c r="W19" s="5" t="s">
        <v>72</v>
      </c>
      <c r="X19" s="5" t="s">
        <v>72</v>
      </c>
      <c r="Y19" s="4">
        <v>95</v>
      </c>
      <c r="Z19" s="4">
        <v>8</v>
      </c>
      <c r="AA19" s="4">
        <v>8</v>
      </c>
      <c r="AB19" s="4">
        <v>1</v>
      </c>
      <c r="AC19" s="4">
        <v>1</v>
      </c>
      <c r="AD19" s="4">
        <v>53</v>
      </c>
      <c r="AE19" s="4">
        <v>53</v>
      </c>
      <c r="AF19" s="4">
        <v>0</v>
      </c>
      <c r="AG19" s="4">
        <v>0</v>
      </c>
      <c r="AH19" s="4">
        <v>51</v>
      </c>
      <c r="AI19" s="4">
        <v>51</v>
      </c>
      <c r="AJ19" s="4">
        <v>6</v>
      </c>
      <c r="AK19" s="4">
        <v>6</v>
      </c>
      <c r="AL19" s="4">
        <v>30</v>
      </c>
      <c r="AM19" s="4">
        <v>30</v>
      </c>
      <c r="AN19" s="4">
        <v>0</v>
      </c>
      <c r="AO19" s="4">
        <v>0</v>
      </c>
      <c r="AP19" s="4">
        <v>6</v>
      </c>
      <c r="AQ19" s="4">
        <v>6</v>
      </c>
      <c r="AR19" s="3" t="s">
        <v>65</v>
      </c>
      <c r="AS19" s="3" t="s">
        <v>65</v>
      </c>
      <c r="AT19" s="3" t="s">
        <v>65</v>
      </c>
      <c r="AV19" s="6" t="str">
        <f>HYPERLINK("http://mcgill.on.worldcat.org/oclc/765483087","Catalog Record")</f>
        <v>Catalog Record</v>
      </c>
      <c r="AW19" s="6" t="str">
        <f>HYPERLINK("http://www.worldcat.org/oclc/765483087","WorldCat Record")</f>
        <v>WorldCat Record</v>
      </c>
      <c r="AX19" s="3" t="s">
        <v>279</v>
      </c>
      <c r="AY19" s="3" t="s">
        <v>280</v>
      </c>
      <c r="AZ19" s="3" t="s">
        <v>281</v>
      </c>
      <c r="BA19" s="3" t="s">
        <v>281</v>
      </c>
      <c r="BB19" s="3" t="s">
        <v>282</v>
      </c>
      <c r="BC19" s="3" t="s">
        <v>77</v>
      </c>
      <c r="BD19" s="3" t="s">
        <v>78</v>
      </c>
      <c r="BE19" s="3" t="s">
        <v>283</v>
      </c>
      <c r="BF19" s="3" t="s">
        <v>282</v>
      </c>
      <c r="BG19" s="3" t="s">
        <v>284</v>
      </c>
    </row>
    <row r="20" spans="1:59" ht="87" x14ac:dyDescent="0.35">
      <c r="A20" s="2" t="s">
        <v>59</v>
      </c>
      <c r="B20" s="2" t="s">
        <v>60</v>
      </c>
      <c r="C20" s="2" t="s">
        <v>285</v>
      </c>
      <c r="D20" s="2" t="s">
        <v>286</v>
      </c>
      <c r="E20" s="2" t="s">
        <v>287</v>
      </c>
      <c r="G20" s="3" t="s">
        <v>65</v>
      </c>
      <c r="I20" s="3" t="s">
        <v>65</v>
      </c>
      <c r="J20" s="3" t="s">
        <v>65</v>
      </c>
      <c r="K20" s="3" t="s">
        <v>66</v>
      </c>
      <c r="M20" s="2" t="s">
        <v>288</v>
      </c>
      <c r="N20" s="3" t="s">
        <v>188</v>
      </c>
      <c r="P20" s="3" t="s">
        <v>69</v>
      </c>
      <c r="R20" s="3" t="s">
        <v>71</v>
      </c>
      <c r="S20" s="4">
        <v>0</v>
      </c>
      <c r="T20" s="4">
        <v>0</v>
      </c>
      <c r="W20" s="5" t="s">
        <v>72</v>
      </c>
      <c r="X20" s="5" t="s">
        <v>72</v>
      </c>
      <c r="Y20" s="4">
        <v>44</v>
      </c>
      <c r="Z20" s="4">
        <v>4</v>
      </c>
      <c r="AA20" s="4">
        <v>4</v>
      </c>
      <c r="AB20" s="4">
        <v>1</v>
      </c>
      <c r="AC20" s="4">
        <v>1</v>
      </c>
      <c r="AD20" s="4">
        <v>20</v>
      </c>
      <c r="AE20" s="4">
        <v>20</v>
      </c>
      <c r="AF20" s="4">
        <v>0</v>
      </c>
      <c r="AG20" s="4">
        <v>0</v>
      </c>
      <c r="AH20" s="4">
        <v>18</v>
      </c>
      <c r="AI20" s="4">
        <v>18</v>
      </c>
      <c r="AJ20" s="4">
        <v>2</v>
      </c>
      <c r="AK20" s="4">
        <v>2</v>
      </c>
      <c r="AL20" s="4">
        <v>14</v>
      </c>
      <c r="AM20" s="4">
        <v>14</v>
      </c>
      <c r="AN20" s="4">
        <v>0</v>
      </c>
      <c r="AO20" s="4">
        <v>0</v>
      </c>
      <c r="AP20" s="4">
        <v>3</v>
      </c>
      <c r="AQ20" s="4">
        <v>3</v>
      </c>
      <c r="AR20" s="3" t="s">
        <v>65</v>
      </c>
      <c r="AS20" s="3" t="s">
        <v>65</v>
      </c>
      <c r="AT20" s="3" t="s">
        <v>65</v>
      </c>
      <c r="AV20" s="6" t="str">
        <f>HYPERLINK("http://mcgill.on.worldcat.org/oclc/990013423","Catalog Record")</f>
        <v>Catalog Record</v>
      </c>
      <c r="AW20" s="6" t="str">
        <f>HYPERLINK("http://www.worldcat.org/oclc/990013423","WorldCat Record")</f>
        <v>WorldCat Record</v>
      </c>
      <c r="AX20" s="3" t="s">
        <v>289</v>
      </c>
      <c r="AY20" s="3" t="s">
        <v>290</v>
      </c>
      <c r="AZ20" s="3" t="s">
        <v>291</v>
      </c>
      <c r="BA20" s="3" t="s">
        <v>291</v>
      </c>
      <c r="BB20" s="3" t="s">
        <v>292</v>
      </c>
      <c r="BC20" s="3" t="s">
        <v>77</v>
      </c>
      <c r="BD20" s="3" t="s">
        <v>78</v>
      </c>
      <c r="BE20" s="3" t="s">
        <v>293</v>
      </c>
      <c r="BF20" s="3" t="s">
        <v>292</v>
      </c>
      <c r="BG20" s="3" t="s">
        <v>294</v>
      </c>
    </row>
    <row r="21" spans="1:59" ht="58" x14ac:dyDescent="0.35">
      <c r="A21" s="2" t="s">
        <v>59</v>
      </c>
      <c r="B21" s="2" t="s">
        <v>60</v>
      </c>
      <c r="C21" s="2" t="s">
        <v>295</v>
      </c>
      <c r="D21" s="2" t="s">
        <v>296</v>
      </c>
      <c r="E21" s="2" t="s">
        <v>297</v>
      </c>
      <c r="G21" s="3" t="s">
        <v>65</v>
      </c>
      <c r="I21" s="3" t="s">
        <v>65</v>
      </c>
      <c r="J21" s="3" t="s">
        <v>65</v>
      </c>
      <c r="K21" s="3" t="s">
        <v>66</v>
      </c>
      <c r="M21" s="2" t="s">
        <v>298</v>
      </c>
      <c r="N21" s="3" t="s">
        <v>139</v>
      </c>
      <c r="P21" s="3" t="s">
        <v>140</v>
      </c>
      <c r="Q21" s="2" t="s">
        <v>299</v>
      </c>
      <c r="R21" s="3" t="s">
        <v>71</v>
      </c>
      <c r="S21" s="4">
        <v>0</v>
      </c>
      <c r="T21" s="4">
        <v>0</v>
      </c>
      <c r="W21" s="5" t="s">
        <v>72</v>
      </c>
      <c r="X21" s="5" t="s">
        <v>72</v>
      </c>
      <c r="Y21" s="4">
        <v>38</v>
      </c>
      <c r="Z21" s="4">
        <v>4</v>
      </c>
      <c r="AA21" s="4">
        <v>4</v>
      </c>
      <c r="AB21" s="4">
        <v>1</v>
      </c>
      <c r="AC21" s="4">
        <v>1</v>
      </c>
      <c r="AD21" s="4">
        <v>28</v>
      </c>
      <c r="AE21" s="4">
        <v>28</v>
      </c>
      <c r="AF21" s="4">
        <v>0</v>
      </c>
      <c r="AG21" s="4">
        <v>0</v>
      </c>
      <c r="AH21" s="4">
        <v>27</v>
      </c>
      <c r="AI21" s="4">
        <v>27</v>
      </c>
      <c r="AJ21" s="4">
        <v>2</v>
      </c>
      <c r="AK21" s="4">
        <v>2</v>
      </c>
      <c r="AL21" s="4">
        <v>22</v>
      </c>
      <c r="AM21" s="4">
        <v>22</v>
      </c>
      <c r="AN21" s="4">
        <v>0</v>
      </c>
      <c r="AO21" s="4">
        <v>0</v>
      </c>
      <c r="AP21" s="4">
        <v>2</v>
      </c>
      <c r="AQ21" s="4">
        <v>2</v>
      </c>
      <c r="AR21" s="3" t="s">
        <v>65</v>
      </c>
      <c r="AS21" s="3" t="s">
        <v>65</v>
      </c>
      <c r="AT21" s="3" t="s">
        <v>65</v>
      </c>
      <c r="AV21" s="6" t="str">
        <f>HYPERLINK("http://mcgill.on.worldcat.org/oclc/843755354","Catalog Record")</f>
        <v>Catalog Record</v>
      </c>
      <c r="AW21" s="6" t="str">
        <f>HYPERLINK("http://www.worldcat.org/oclc/843755354","WorldCat Record")</f>
        <v>WorldCat Record</v>
      </c>
      <c r="AX21" s="3" t="s">
        <v>300</v>
      </c>
      <c r="AY21" s="3" t="s">
        <v>301</v>
      </c>
      <c r="AZ21" s="3" t="s">
        <v>302</v>
      </c>
      <c r="BA21" s="3" t="s">
        <v>302</v>
      </c>
      <c r="BB21" s="3" t="s">
        <v>303</v>
      </c>
      <c r="BC21" s="3" t="s">
        <v>77</v>
      </c>
      <c r="BD21" s="3" t="s">
        <v>78</v>
      </c>
      <c r="BE21" s="3" t="s">
        <v>304</v>
      </c>
      <c r="BF21" s="3" t="s">
        <v>303</v>
      </c>
      <c r="BG21" s="3" t="s">
        <v>305</v>
      </c>
    </row>
    <row r="22" spans="1:59" ht="58" x14ac:dyDescent="0.35">
      <c r="A22" s="2" t="s">
        <v>59</v>
      </c>
      <c r="B22" s="2" t="s">
        <v>60</v>
      </c>
      <c r="C22" s="2" t="s">
        <v>306</v>
      </c>
      <c r="D22" s="2" t="s">
        <v>307</v>
      </c>
      <c r="E22" s="2" t="s">
        <v>308</v>
      </c>
      <c r="G22" s="3" t="s">
        <v>65</v>
      </c>
      <c r="I22" s="3" t="s">
        <v>209</v>
      </c>
      <c r="J22" s="3" t="s">
        <v>65</v>
      </c>
      <c r="K22" s="3" t="s">
        <v>66</v>
      </c>
      <c r="L22" s="2" t="s">
        <v>309</v>
      </c>
      <c r="M22" s="2" t="s">
        <v>310</v>
      </c>
      <c r="N22" s="3" t="s">
        <v>311</v>
      </c>
      <c r="P22" s="3" t="s">
        <v>140</v>
      </c>
      <c r="Q22" s="2" t="s">
        <v>312</v>
      </c>
      <c r="R22" s="3" t="s">
        <v>71</v>
      </c>
      <c r="S22" s="4">
        <v>12</v>
      </c>
      <c r="T22" s="4">
        <v>22</v>
      </c>
      <c r="U22" s="5" t="s">
        <v>313</v>
      </c>
      <c r="V22" s="5" t="s">
        <v>314</v>
      </c>
      <c r="W22" s="5" t="s">
        <v>72</v>
      </c>
      <c r="X22" s="5" t="s">
        <v>72</v>
      </c>
      <c r="Y22" s="4">
        <v>134</v>
      </c>
      <c r="Z22" s="4">
        <v>10</v>
      </c>
      <c r="AA22" s="4">
        <v>10</v>
      </c>
      <c r="AB22" s="4">
        <v>1</v>
      </c>
      <c r="AC22" s="4">
        <v>1</v>
      </c>
      <c r="AD22" s="4">
        <v>59</v>
      </c>
      <c r="AE22" s="4">
        <v>59</v>
      </c>
      <c r="AF22" s="4">
        <v>0</v>
      </c>
      <c r="AG22" s="4">
        <v>0</v>
      </c>
      <c r="AH22" s="4">
        <v>52</v>
      </c>
      <c r="AI22" s="4">
        <v>52</v>
      </c>
      <c r="AJ22" s="4">
        <v>8</v>
      </c>
      <c r="AK22" s="4">
        <v>8</v>
      </c>
      <c r="AL22" s="4">
        <v>37</v>
      </c>
      <c r="AM22" s="4">
        <v>37</v>
      </c>
      <c r="AN22" s="4">
        <v>0</v>
      </c>
      <c r="AO22" s="4">
        <v>0</v>
      </c>
      <c r="AP22" s="4">
        <v>9</v>
      </c>
      <c r="AQ22" s="4">
        <v>9</v>
      </c>
      <c r="AR22" s="3" t="s">
        <v>65</v>
      </c>
      <c r="AS22" s="3" t="s">
        <v>65</v>
      </c>
      <c r="AT22" s="3" t="s">
        <v>209</v>
      </c>
      <c r="AU22" s="6" t="str">
        <f>HYPERLINK("http://catalog.hathitrust.org/Record/001218143","HathiTrust Record")</f>
        <v>HathiTrust Record</v>
      </c>
      <c r="AV22" s="6" t="str">
        <f>HYPERLINK("http://mcgill.on.worldcat.org/oclc/4926709","Catalog Record")</f>
        <v>Catalog Record</v>
      </c>
      <c r="AW22" s="6" t="str">
        <f>HYPERLINK("http://www.worldcat.org/oclc/4926709","WorldCat Record")</f>
        <v>WorldCat Record</v>
      </c>
      <c r="AX22" s="3" t="s">
        <v>315</v>
      </c>
      <c r="AY22" s="3" t="s">
        <v>316</v>
      </c>
      <c r="AZ22" s="3" t="s">
        <v>317</v>
      </c>
      <c r="BA22" s="3" t="s">
        <v>317</v>
      </c>
      <c r="BB22" s="3" t="s">
        <v>318</v>
      </c>
      <c r="BC22" s="3" t="s">
        <v>77</v>
      </c>
      <c r="BD22" s="3" t="s">
        <v>78</v>
      </c>
      <c r="BF22" s="3" t="s">
        <v>318</v>
      </c>
      <c r="BG22" s="3" t="s">
        <v>319</v>
      </c>
    </row>
    <row r="23" spans="1:59" ht="58" x14ac:dyDescent="0.35">
      <c r="A23" s="2" t="s">
        <v>59</v>
      </c>
      <c r="B23" s="2" t="s">
        <v>60</v>
      </c>
      <c r="C23" s="2" t="s">
        <v>306</v>
      </c>
      <c r="D23" s="2" t="s">
        <v>307</v>
      </c>
      <c r="E23" s="2" t="s">
        <v>308</v>
      </c>
      <c r="G23" s="3" t="s">
        <v>65</v>
      </c>
      <c r="I23" s="3" t="s">
        <v>209</v>
      </c>
      <c r="J23" s="3" t="s">
        <v>65</v>
      </c>
      <c r="K23" s="3" t="s">
        <v>66</v>
      </c>
      <c r="L23" s="2" t="s">
        <v>309</v>
      </c>
      <c r="M23" s="2" t="s">
        <v>310</v>
      </c>
      <c r="N23" s="3" t="s">
        <v>311</v>
      </c>
      <c r="P23" s="3" t="s">
        <v>140</v>
      </c>
      <c r="Q23" s="2" t="s">
        <v>312</v>
      </c>
      <c r="R23" s="3" t="s">
        <v>71</v>
      </c>
      <c r="S23" s="4">
        <v>10</v>
      </c>
      <c r="T23" s="4">
        <v>22</v>
      </c>
      <c r="U23" s="5" t="s">
        <v>314</v>
      </c>
      <c r="V23" s="5" t="s">
        <v>314</v>
      </c>
      <c r="W23" s="5" t="s">
        <v>72</v>
      </c>
      <c r="X23" s="5" t="s">
        <v>72</v>
      </c>
      <c r="Y23" s="4">
        <v>134</v>
      </c>
      <c r="Z23" s="4">
        <v>10</v>
      </c>
      <c r="AA23" s="4">
        <v>10</v>
      </c>
      <c r="AB23" s="4">
        <v>1</v>
      </c>
      <c r="AC23" s="4">
        <v>1</v>
      </c>
      <c r="AD23" s="4">
        <v>59</v>
      </c>
      <c r="AE23" s="4">
        <v>59</v>
      </c>
      <c r="AF23" s="4">
        <v>0</v>
      </c>
      <c r="AG23" s="4">
        <v>0</v>
      </c>
      <c r="AH23" s="4">
        <v>52</v>
      </c>
      <c r="AI23" s="4">
        <v>52</v>
      </c>
      <c r="AJ23" s="4">
        <v>8</v>
      </c>
      <c r="AK23" s="4">
        <v>8</v>
      </c>
      <c r="AL23" s="4">
        <v>37</v>
      </c>
      <c r="AM23" s="4">
        <v>37</v>
      </c>
      <c r="AN23" s="4">
        <v>0</v>
      </c>
      <c r="AO23" s="4">
        <v>0</v>
      </c>
      <c r="AP23" s="4">
        <v>9</v>
      </c>
      <c r="AQ23" s="4">
        <v>9</v>
      </c>
      <c r="AR23" s="3" t="s">
        <v>65</v>
      </c>
      <c r="AS23" s="3" t="s">
        <v>65</v>
      </c>
      <c r="AT23" s="3" t="s">
        <v>209</v>
      </c>
      <c r="AU23" s="6" t="str">
        <f>HYPERLINK("http://catalog.hathitrust.org/Record/001218143","HathiTrust Record")</f>
        <v>HathiTrust Record</v>
      </c>
      <c r="AV23" s="6" t="str">
        <f>HYPERLINK("http://mcgill.on.worldcat.org/oclc/4926709","Catalog Record")</f>
        <v>Catalog Record</v>
      </c>
      <c r="AW23" s="6" t="str">
        <f>HYPERLINK("http://www.worldcat.org/oclc/4926709","WorldCat Record")</f>
        <v>WorldCat Record</v>
      </c>
      <c r="AX23" s="3" t="s">
        <v>315</v>
      </c>
      <c r="AY23" s="3" t="s">
        <v>316</v>
      </c>
      <c r="AZ23" s="3" t="s">
        <v>317</v>
      </c>
      <c r="BA23" s="3" t="s">
        <v>317</v>
      </c>
      <c r="BB23" s="3" t="s">
        <v>320</v>
      </c>
      <c r="BC23" s="3" t="s">
        <v>77</v>
      </c>
      <c r="BD23" s="3" t="s">
        <v>78</v>
      </c>
      <c r="BF23" s="3" t="s">
        <v>320</v>
      </c>
      <c r="BG23" s="3" t="s">
        <v>321</v>
      </c>
    </row>
    <row r="24" spans="1:59" ht="58" x14ac:dyDescent="0.35">
      <c r="A24" s="2" t="s">
        <v>59</v>
      </c>
      <c r="B24" s="2" t="s">
        <v>60</v>
      </c>
      <c r="C24" s="2" t="s">
        <v>322</v>
      </c>
      <c r="D24" s="2" t="s">
        <v>323</v>
      </c>
      <c r="E24" s="2" t="s">
        <v>324</v>
      </c>
      <c r="G24" s="3" t="s">
        <v>65</v>
      </c>
      <c r="I24" s="3" t="s">
        <v>65</v>
      </c>
      <c r="J24" s="3" t="s">
        <v>65</v>
      </c>
      <c r="K24" s="3" t="s">
        <v>66</v>
      </c>
      <c r="L24" s="2" t="s">
        <v>325</v>
      </c>
      <c r="M24" s="2" t="s">
        <v>326</v>
      </c>
      <c r="N24" s="3" t="s">
        <v>176</v>
      </c>
      <c r="P24" s="3" t="s">
        <v>140</v>
      </c>
      <c r="Q24" s="2" t="s">
        <v>327</v>
      </c>
      <c r="R24" s="3" t="s">
        <v>71</v>
      </c>
      <c r="S24" s="4">
        <v>0</v>
      </c>
      <c r="T24" s="4">
        <v>0</v>
      </c>
      <c r="W24" s="5" t="s">
        <v>72</v>
      </c>
      <c r="X24" s="5" t="s">
        <v>72</v>
      </c>
      <c r="Y24" s="4">
        <v>15</v>
      </c>
      <c r="Z24" s="4">
        <v>3</v>
      </c>
      <c r="AA24" s="4">
        <v>3</v>
      </c>
      <c r="AB24" s="4">
        <v>1</v>
      </c>
      <c r="AC24" s="4">
        <v>1</v>
      </c>
      <c r="AD24" s="4">
        <v>8</v>
      </c>
      <c r="AE24" s="4">
        <v>9</v>
      </c>
      <c r="AF24" s="4">
        <v>0</v>
      </c>
      <c r="AG24" s="4">
        <v>0</v>
      </c>
      <c r="AH24" s="4">
        <v>7</v>
      </c>
      <c r="AI24" s="4">
        <v>8</v>
      </c>
      <c r="AJ24" s="4">
        <v>1</v>
      </c>
      <c r="AK24" s="4">
        <v>1</v>
      </c>
      <c r="AL24" s="4">
        <v>7</v>
      </c>
      <c r="AM24" s="4">
        <v>8</v>
      </c>
      <c r="AN24" s="4">
        <v>0</v>
      </c>
      <c r="AO24" s="4">
        <v>0</v>
      </c>
      <c r="AP24" s="4">
        <v>1</v>
      </c>
      <c r="AQ24" s="4">
        <v>1</v>
      </c>
      <c r="AR24" s="3" t="s">
        <v>65</v>
      </c>
      <c r="AS24" s="3" t="s">
        <v>65</v>
      </c>
      <c r="AT24" s="3" t="s">
        <v>65</v>
      </c>
      <c r="AV24" s="6" t="str">
        <f>HYPERLINK("http://mcgill.on.worldcat.org/oclc/909284932","Catalog Record")</f>
        <v>Catalog Record</v>
      </c>
      <c r="AW24" s="6" t="str">
        <f>HYPERLINK("http://www.worldcat.org/oclc/909284932","WorldCat Record")</f>
        <v>WorldCat Record</v>
      </c>
      <c r="AX24" s="3" t="s">
        <v>328</v>
      </c>
      <c r="AY24" s="3" t="s">
        <v>329</v>
      </c>
      <c r="AZ24" s="3" t="s">
        <v>330</v>
      </c>
      <c r="BA24" s="3" t="s">
        <v>330</v>
      </c>
      <c r="BB24" s="3" t="s">
        <v>331</v>
      </c>
      <c r="BC24" s="3" t="s">
        <v>77</v>
      </c>
      <c r="BD24" s="3" t="s">
        <v>78</v>
      </c>
      <c r="BE24" s="3" t="s">
        <v>332</v>
      </c>
      <c r="BF24" s="3" t="s">
        <v>331</v>
      </c>
      <c r="BG24" s="3" t="s">
        <v>333</v>
      </c>
    </row>
    <row r="25" spans="1:59" ht="58" x14ac:dyDescent="0.35">
      <c r="A25" s="2" t="s">
        <v>59</v>
      </c>
      <c r="B25" s="2" t="s">
        <v>60</v>
      </c>
      <c r="C25" s="2" t="s">
        <v>334</v>
      </c>
      <c r="D25" s="2" t="s">
        <v>335</v>
      </c>
      <c r="E25" s="2" t="s">
        <v>336</v>
      </c>
      <c r="G25" s="3" t="s">
        <v>65</v>
      </c>
      <c r="I25" s="3" t="s">
        <v>65</v>
      </c>
      <c r="J25" s="3" t="s">
        <v>65</v>
      </c>
      <c r="K25" s="3" t="s">
        <v>66</v>
      </c>
      <c r="L25" s="2" t="s">
        <v>337</v>
      </c>
      <c r="M25" s="2" t="s">
        <v>338</v>
      </c>
      <c r="N25" s="3" t="s">
        <v>113</v>
      </c>
      <c r="O25" s="2" t="s">
        <v>339</v>
      </c>
      <c r="P25" s="3" t="s">
        <v>140</v>
      </c>
      <c r="Q25" s="2" t="s">
        <v>340</v>
      </c>
      <c r="R25" s="3" t="s">
        <v>71</v>
      </c>
      <c r="S25" s="4">
        <v>0</v>
      </c>
      <c r="T25" s="4">
        <v>0</v>
      </c>
      <c r="W25" s="5" t="s">
        <v>72</v>
      </c>
      <c r="X25" s="5" t="s">
        <v>72</v>
      </c>
      <c r="Y25" s="4">
        <v>32</v>
      </c>
      <c r="Z25" s="4">
        <v>4</v>
      </c>
      <c r="AA25" s="4">
        <v>4</v>
      </c>
      <c r="AB25" s="4">
        <v>1</v>
      </c>
      <c r="AC25" s="4">
        <v>1</v>
      </c>
      <c r="AD25" s="4">
        <v>25</v>
      </c>
      <c r="AE25" s="4">
        <v>25</v>
      </c>
      <c r="AF25" s="4">
        <v>0</v>
      </c>
      <c r="AG25" s="4">
        <v>0</v>
      </c>
      <c r="AH25" s="4">
        <v>24</v>
      </c>
      <c r="AI25" s="4">
        <v>24</v>
      </c>
      <c r="AJ25" s="4">
        <v>2</v>
      </c>
      <c r="AK25" s="4">
        <v>2</v>
      </c>
      <c r="AL25" s="4">
        <v>19</v>
      </c>
      <c r="AM25" s="4">
        <v>19</v>
      </c>
      <c r="AN25" s="4">
        <v>0</v>
      </c>
      <c r="AO25" s="4">
        <v>0</v>
      </c>
      <c r="AP25" s="4">
        <v>2</v>
      </c>
      <c r="AQ25" s="4">
        <v>2</v>
      </c>
      <c r="AR25" s="3" t="s">
        <v>65</v>
      </c>
      <c r="AS25" s="3" t="s">
        <v>65</v>
      </c>
      <c r="AT25" s="3" t="s">
        <v>65</v>
      </c>
      <c r="AV25" s="6" t="str">
        <f>HYPERLINK("http://mcgill.on.worldcat.org/oclc/671867366","Catalog Record")</f>
        <v>Catalog Record</v>
      </c>
      <c r="AW25" s="6" t="str">
        <f>HYPERLINK("http://www.worldcat.org/oclc/671867366","WorldCat Record")</f>
        <v>WorldCat Record</v>
      </c>
      <c r="AX25" s="3" t="s">
        <v>341</v>
      </c>
      <c r="AY25" s="3" t="s">
        <v>342</v>
      </c>
      <c r="AZ25" s="3" t="s">
        <v>343</v>
      </c>
      <c r="BA25" s="3" t="s">
        <v>343</v>
      </c>
      <c r="BB25" s="3" t="s">
        <v>344</v>
      </c>
      <c r="BC25" s="3" t="s">
        <v>77</v>
      </c>
      <c r="BD25" s="3" t="s">
        <v>78</v>
      </c>
      <c r="BE25" s="3" t="s">
        <v>345</v>
      </c>
      <c r="BF25" s="3" t="s">
        <v>344</v>
      </c>
      <c r="BG25" s="3" t="s">
        <v>346</v>
      </c>
    </row>
    <row r="26" spans="1:59" ht="58" x14ac:dyDescent="0.35">
      <c r="A26" s="2" t="s">
        <v>59</v>
      </c>
      <c r="B26" s="2" t="s">
        <v>60</v>
      </c>
      <c r="C26" s="2" t="s">
        <v>347</v>
      </c>
      <c r="D26" s="2" t="s">
        <v>348</v>
      </c>
      <c r="E26" s="2" t="s">
        <v>349</v>
      </c>
      <c r="G26" s="3" t="s">
        <v>65</v>
      </c>
      <c r="I26" s="3" t="s">
        <v>65</v>
      </c>
      <c r="J26" s="3" t="s">
        <v>65</v>
      </c>
      <c r="K26" s="3" t="s">
        <v>66</v>
      </c>
      <c r="L26" s="2" t="s">
        <v>350</v>
      </c>
      <c r="M26" s="2" t="s">
        <v>351</v>
      </c>
      <c r="N26" s="3" t="s">
        <v>352</v>
      </c>
      <c r="P26" s="3" t="s">
        <v>69</v>
      </c>
      <c r="R26" s="3" t="s">
        <v>71</v>
      </c>
      <c r="S26" s="4">
        <v>3</v>
      </c>
      <c r="T26" s="4">
        <v>3</v>
      </c>
      <c r="U26" s="5" t="s">
        <v>353</v>
      </c>
      <c r="V26" s="5" t="s">
        <v>353</v>
      </c>
      <c r="W26" s="5" t="s">
        <v>72</v>
      </c>
      <c r="X26" s="5" t="s">
        <v>72</v>
      </c>
      <c r="Y26" s="4">
        <v>821</v>
      </c>
      <c r="Z26" s="4">
        <v>29</v>
      </c>
      <c r="AA26" s="4">
        <v>29</v>
      </c>
      <c r="AB26" s="4">
        <v>2</v>
      </c>
      <c r="AC26" s="4">
        <v>2</v>
      </c>
      <c r="AD26" s="4">
        <v>103</v>
      </c>
      <c r="AE26" s="4">
        <v>103</v>
      </c>
      <c r="AF26" s="4">
        <v>1</v>
      </c>
      <c r="AG26" s="4">
        <v>1</v>
      </c>
      <c r="AH26" s="4">
        <v>85</v>
      </c>
      <c r="AI26" s="4">
        <v>85</v>
      </c>
      <c r="AJ26" s="4">
        <v>15</v>
      </c>
      <c r="AK26" s="4">
        <v>15</v>
      </c>
      <c r="AL26" s="4">
        <v>47</v>
      </c>
      <c r="AM26" s="4">
        <v>47</v>
      </c>
      <c r="AN26" s="4">
        <v>0</v>
      </c>
      <c r="AO26" s="4">
        <v>0</v>
      </c>
      <c r="AP26" s="4">
        <v>20</v>
      </c>
      <c r="AQ26" s="4">
        <v>20</v>
      </c>
      <c r="AR26" s="3" t="s">
        <v>65</v>
      </c>
      <c r="AS26" s="3" t="s">
        <v>65</v>
      </c>
      <c r="AT26" s="3" t="s">
        <v>65</v>
      </c>
      <c r="AU26" s="6" t="str">
        <f>HYPERLINK("http://catalog.hathitrust.org/Record/001015670","HathiTrust Record")</f>
        <v>HathiTrust Record</v>
      </c>
      <c r="AV26" s="6" t="str">
        <f>HYPERLINK("http://mcgill.on.worldcat.org/oclc/279835","Catalog Record")</f>
        <v>Catalog Record</v>
      </c>
      <c r="AW26" s="6" t="str">
        <f>HYPERLINK("http://www.worldcat.org/oclc/279835","WorldCat Record")</f>
        <v>WorldCat Record</v>
      </c>
      <c r="AX26" s="3" t="s">
        <v>354</v>
      </c>
      <c r="AY26" s="3" t="s">
        <v>355</v>
      </c>
      <c r="AZ26" s="3" t="s">
        <v>356</v>
      </c>
      <c r="BA26" s="3" t="s">
        <v>356</v>
      </c>
      <c r="BB26" s="3" t="s">
        <v>357</v>
      </c>
      <c r="BC26" s="3" t="s">
        <v>77</v>
      </c>
      <c r="BD26" s="3" t="s">
        <v>78</v>
      </c>
      <c r="BF26" s="3" t="s">
        <v>357</v>
      </c>
      <c r="BG26" s="3" t="s">
        <v>358</v>
      </c>
    </row>
    <row r="27" spans="1:59" ht="58" x14ac:dyDescent="0.35">
      <c r="A27" s="2" t="s">
        <v>59</v>
      </c>
      <c r="B27" s="2" t="s">
        <v>60</v>
      </c>
      <c r="C27" s="2" t="s">
        <v>359</v>
      </c>
      <c r="D27" s="2" t="s">
        <v>360</v>
      </c>
      <c r="E27" s="2" t="s">
        <v>361</v>
      </c>
      <c r="G27" s="3" t="s">
        <v>65</v>
      </c>
      <c r="I27" s="3" t="s">
        <v>65</v>
      </c>
      <c r="J27" s="3" t="s">
        <v>65</v>
      </c>
      <c r="K27" s="3" t="s">
        <v>66</v>
      </c>
      <c r="L27" s="2" t="s">
        <v>362</v>
      </c>
      <c r="M27" s="2" t="s">
        <v>363</v>
      </c>
      <c r="N27" s="3" t="s">
        <v>364</v>
      </c>
      <c r="O27" s="2" t="s">
        <v>365</v>
      </c>
      <c r="P27" s="3" t="s">
        <v>140</v>
      </c>
      <c r="Q27" s="2" t="s">
        <v>366</v>
      </c>
      <c r="R27" s="3" t="s">
        <v>71</v>
      </c>
      <c r="S27" s="4">
        <v>12</v>
      </c>
      <c r="T27" s="4">
        <v>12</v>
      </c>
      <c r="U27" s="5" t="s">
        <v>367</v>
      </c>
      <c r="V27" s="5" t="s">
        <v>367</v>
      </c>
      <c r="W27" s="5" t="s">
        <v>72</v>
      </c>
      <c r="X27" s="5" t="s">
        <v>72</v>
      </c>
      <c r="Y27" s="4">
        <v>33</v>
      </c>
      <c r="Z27" s="4">
        <v>6</v>
      </c>
      <c r="AA27" s="4">
        <v>7</v>
      </c>
      <c r="AB27" s="4">
        <v>2</v>
      </c>
      <c r="AC27" s="4">
        <v>3</v>
      </c>
      <c r="AD27" s="4">
        <v>25</v>
      </c>
      <c r="AE27" s="4">
        <v>26</v>
      </c>
      <c r="AF27" s="4">
        <v>0</v>
      </c>
      <c r="AG27" s="4">
        <v>1</v>
      </c>
      <c r="AH27" s="4">
        <v>24</v>
      </c>
      <c r="AI27" s="4">
        <v>24</v>
      </c>
      <c r="AJ27" s="4">
        <v>3</v>
      </c>
      <c r="AK27" s="4">
        <v>4</v>
      </c>
      <c r="AL27" s="4">
        <v>19</v>
      </c>
      <c r="AM27" s="4">
        <v>19</v>
      </c>
      <c r="AN27" s="4">
        <v>0</v>
      </c>
      <c r="AO27" s="4">
        <v>0</v>
      </c>
      <c r="AP27" s="4">
        <v>3</v>
      </c>
      <c r="AQ27" s="4">
        <v>3</v>
      </c>
      <c r="AR27" s="3" t="s">
        <v>65</v>
      </c>
      <c r="AS27" s="3" t="s">
        <v>65</v>
      </c>
      <c r="AT27" s="3" t="s">
        <v>209</v>
      </c>
      <c r="AU27" s="6" t="str">
        <f>HYPERLINK("http://catalog.hathitrust.org/Record/004207640","HathiTrust Record")</f>
        <v>HathiTrust Record</v>
      </c>
      <c r="AV27" s="6" t="str">
        <f>HYPERLINK("http://mcgill.on.worldcat.org/oclc/47988576","Catalog Record")</f>
        <v>Catalog Record</v>
      </c>
      <c r="AW27" s="6" t="str">
        <f>HYPERLINK("http://www.worldcat.org/oclc/47988576","WorldCat Record")</f>
        <v>WorldCat Record</v>
      </c>
      <c r="AX27" s="3" t="s">
        <v>368</v>
      </c>
      <c r="AY27" s="3" t="s">
        <v>369</v>
      </c>
      <c r="AZ27" s="3" t="s">
        <v>370</v>
      </c>
      <c r="BA27" s="3" t="s">
        <v>370</v>
      </c>
      <c r="BB27" s="3" t="s">
        <v>371</v>
      </c>
      <c r="BC27" s="3" t="s">
        <v>77</v>
      </c>
      <c r="BD27" s="3" t="s">
        <v>78</v>
      </c>
      <c r="BE27" s="3" t="s">
        <v>372</v>
      </c>
      <c r="BF27" s="3" t="s">
        <v>371</v>
      </c>
      <c r="BG27" s="3" t="s">
        <v>373</v>
      </c>
    </row>
    <row r="28" spans="1:59" ht="87" x14ac:dyDescent="0.35">
      <c r="A28" s="2" t="s">
        <v>59</v>
      </c>
      <c r="B28" s="2" t="s">
        <v>60</v>
      </c>
      <c r="C28" s="2" t="s">
        <v>374</v>
      </c>
      <c r="D28" s="2" t="s">
        <v>375</v>
      </c>
      <c r="E28" s="2" t="s">
        <v>376</v>
      </c>
      <c r="G28" s="3" t="s">
        <v>65</v>
      </c>
      <c r="I28" s="3" t="s">
        <v>65</v>
      </c>
      <c r="J28" s="3" t="s">
        <v>65</v>
      </c>
      <c r="K28" s="3" t="s">
        <v>66</v>
      </c>
      <c r="L28" s="2" t="s">
        <v>377</v>
      </c>
      <c r="M28" s="2" t="s">
        <v>378</v>
      </c>
      <c r="N28" s="3" t="s">
        <v>164</v>
      </c>
      <c r="O28" s="2" t="s">
        <v>379</v>
      </c>
      <c r="P28" s="3" t="s">
        <v>140</v>
      </c>
      <c r="Q28" s="2" t="s">
        <v>380</v>
      </c>
      <c r="R28" s="3" t="s">
        <v>71</v>
      </c>
      <c r="S28" s="4">
        <v>0</v>
      </c>
      <c r="T28" s="4">
        <v>0</v>
      </c>
      <c r="W28" s="5" t="s">
        <v>72</v>
      </c>
      <c r="X28" s="5" t="s">
        <v>72</v>
      </c>
      <c r="Y28" s="4">
        <v>33</v>
      </c>
      <c r="Z28" s="4">
        <v>3</v>
      </c>
      <c r="AA28" s="4">
        <v>3</v>
      </c>
      <c r="AB28" s="4">
        <v>1</v>
      </c>
      <c r="AC28" s="4">
        <v>1</v>
      </c>
      <c r="AD28" s="4">
        <v>22</v>
      </c>
      <c r="AE28" s="4">
        <v>22</v>
      </c>
      <c r="AF28" s="4">
        <v>0</v>
      </c>
      <c r="AG28" s="4">
        <v>0</v>
      </c>
      <c r="AH28" s="4">
        <v>21</v>
      </c>
      <c r="AI28" s="4">
        <v>21</v>
      </c>
      <c r="AJ28" s="4">
        <v>1</v>
      </c>
      <c r="AK28" s="4">
        <v>1</v>
      </c>
      <c r="AL28" s="4">
        <v>17</v>
      </c>
      <c r="AM28" s="4">
        <v>17</v>
      </c>
      <c r="AN28" s="4">
        <v>0</v>
      </c>
      <c r="AO28" s="4">
        <v>0</v>
      </c>
      <c r="AP28" s="4">
        <v>1</v>
      </c>
      <c r="AQ28" s="4">
        <v>1</v>
      </c>
      <c r="AR28" s="3" t="s">
        <v>65</v>
      </c>
      <c r="AS28" s="3" t="s">
        <v>65</v>
      </c>
      <c r="AT28" s="3" t="s">
        <v>65</v>
      </c>
      <c r="AV28" s="6" t="str">
        <f>HYPERLINK("http://mcgill.on.worldcat.org/oclc/919085829","Catalog Record")</f>
        <v>Catalog Record</v>
      </c>
      <c r="AW28" s="6" t="str">
        <f>HYPERLINK("http://www.worldcat.org/oclc/919085829","WorldCat Record")</f>
        <v>WorldCat Record</v>
      </c>
      <c r="AX28" s="3" t="s">
        <v>381</v>
      </c>
      <c r="AY28" s="3" t="s">
        <v>382</v>
      </c>
      <c r="AZ28" s="3" t="s">
        <v>383</v>
      </c>
      <c r="BA28" s="3" t="s">
        <v>383</v>
      </c>
      <c r="BB28" s="3" t="s">
        <v>384</v>
      </c>
      <c r="BC28" s="3" t="s">
        <v>77</v>
      </c>
      <c r="BD28" s="3" t="s">
        <v>78</v>
      </c>
      <c r="BE28" s="3" t="s">
        <v>385</v>
      </c>
      <c r="BF28" s="3" t="s">
        <v>384</v>
      </c>
      <c r="BG28" s="3" t="s">
        <v>386</v>
      </c>
    </row>
    <row r="29" spans="1:59" ht="58" x14ac:dyDescent="0.35">
      <c r="A29" s="2" t="s">
        <v>59</v>
      </c>
      <c r="B29" s="2" t="s">
        <v>60</v>
      </c>
      <c r="C29" s="2" t="s">
        <v>387</v>
      </c>
      <c r="D29" s="2" t="s">
        <v>388</v>
      </c>
      <c r="E29" s="2" t="s">
        <v>389</v>
      </c>
      <c r="G29" s="3" t="s">
        <v>65</v>
      </c>
      <c r="I29" s="3" t="s">
        <v>65</v>
      </c>
      <c r="J29" s="3" t="s">
        <v>65</v>
      </c>
      <c r="K29" s="3" t="s">
        <v>66</v>
      </c>
      <c r="L29" s="2" t="s">
        <v>390</v>
      </c>
      <c r="M29" s="2" t="s">
        <v>391</v>
      </c>
      <c r="N29" s="3" t="s">
        <v>392</v>
      </c>
      <c r="O29" s="2" t="s">
        <v>365</v>
      </c>
      <c r="P29" s="3" t="s">
        <v>140</v>
      </c>
      <c r="R29" s="3" t="s">
        <v>71</v>
      </c>
      <c r="S29" s="4">
        <v>4</v>
      </c>
      <c r="T29" s="4">
        <v>4</v>
      </c>
      <c r="U29" s="5" t="s">
        <v>393</v>
      </c>
      <c r="V29" s="5" t="s">
        <v>393</v>
      </c>
      <c r="W29" s="5" t="s">
        <v>72</v>
      </c>
      <c r="X29" s="5" t="s">
        <v>72</v>
      </c>
      <c r="Y29" s="4">
        <v>36</v>
      </c>
      <c r="Z29" s="4">
        <v>4</v>
      </c>
      <c r="AA29" s="4">
        <v>4</v>
      </c>
      <c r="AB29" s="4">
        <v>1</v>
      </c>
      <c r="AC29" s="4">
        <v>1</v>
      </c>
      <c r="AD29" s="4">
        <v>24</v>
      </c>
      <c r="AE29" s="4">
        <v>24</v>
      </c>
      <c r="AF29" s="4">
        <v>0</v>
      </c>
      <c r="AG29" s="4">
        <v>0</v>
      </c>
      <c r="AH29" s="4">
        <v>24</v>
      </c>
      <c r="AI29" s="4">
        <v>24</v>
      </c>
      <c r="AJ29" s="4">
        <v>2</v>
      </c>
      <c r="AK29" s="4">
        <v>2</v>
      </c>
      <c r="AL29" s="4">
        <v>17</v>
      </c>
      <c r="AM29" s="4">
        <v>17</v>
      </c>
      <c r="AN29" s="4">
        <v>0</v>
      </c>
      <c r="AO29" s="4">
        <v>0</v>
      </c>
      <c r="AP29" s="4">
        <v>2</v>
      </c>
      <c r="AQ29" s="4">
        <v>2</v>
      </c>
      <c r="AR29" s="3" t="s">
        <v>65</v>
      </c>
      <c r="AS29" s="3" t="s">
        <v>65</v>
      </c>
      <c r="AT29" s="3" t="s">
        <v>65</v>
      </c>
      <c r="AV29" s="6" t="str">
        <f>HYPERLINK("http://mcgill.on.worldcat.org/oclc/35150855","Catalog Record")</f>
        <v>Catalog Record</v>
      </c>
      <c r="AW29" s="6" t="str">
        <f>HYPERLINK("http://www.worldcat.org/oclc/35150855","WorldCat Record")</f>
        <v>WorldCat Record</v>
      </c>
      <c r="AX29" s="3" t="s">
        <v>394</v>
      </c>
      <c r="AY29" s="3" t="s">
        <v>395</v>
      </c>
      <c r="AZ29" s="3" t="s">
        <v>396</v>
      </c>
      <c r="BA29" s="3" t="s">
        <v>396</v>
      </c>
      <c r="BB29" s="3" t="s">
        <v>397</v>
      </c>
      <c r="BC29" s="3" t="s">
        <v>77</v>
      </c>
      <c r="BD29" s="3" t="s">
        <v>78</v>
      </c>
      <c r="BE29" s="3" t="s">
        <v>398</v>
      </c>
      <c r="BF29" s="3" t="s">
        <v>397</v>
      </c>
      <c r="BG29" s="3" t="s">
        <v>399</v>
      </c>
    </row>
    <row r="30" spans="1:59" ht="58" x14ac:dyDescent="0.35">
      <c r="A30" s="2" t="s">
        <v>59</v>
      </c>
      <c r="B30" s="2" t="s">
        <v>60</v>
      </c>
      <c r="C30" s="2" t="s">
        <v>400</v>
      </c>
      <c r="D30" s="2" t="s">
        <v>401</v>
      </c>
      <c r="E30" s="2" t="s">
        <v>402</v>
      </c>
      <c r="G30" s="3" t="s">
        <v>65</v>
      </c>
      <c r="I30" s="3" t="s">
        <v>65</v>
      </c>
      <c r="J30" s="3" t="s">
        <v>65</v>
      </c>
      <c r="K30" s="3" t="s">
        <v>66</v>
      </c>
      <c r="M30" s="2" t="s">
        <v>403</v>
      </c>
      <c r="N30" s="3" t="s">
        <v>139</v>
      </c>
      <c r="P30" s="3" t="s">
        <v>140</v>
      </c>
      <c r="Q30" s="2" t="s">
        <v>404</v>
      </c>
      <c r="R30" s="3" t="s">
        <v>71</v>
      </c>
      <c r="S30" s="4">
        <v>0</v>
      </c>
      <c r="T30" s="4">
        <v>0</v>
      </c>
      <c r="W30" s="5" t="s">
        <v>72</v>
      </c>
      <c r="X30" s="5" t="s">
        <v>72</v>
      </c>
      <c r="Y30" s="4">
        <v>37</v>
      </c>
      <c r="Z30" s="4">
        <v>4</v>
      </c>
      <c r="AA30" s="4">
        <v>4</v>
      </c>
      <c r="AB30" s="4">
        <v>1</v>
      </c>
      <c r="AC30" s="4">
        <v>1</v>
      </c>
      <c r="AD30" s="4">
        <v>23</v>
      </c>
      <c r="AE30" s="4">
        <v>23</v>
      </c>
      <c r="AF30" s="4">
        <v>0</v>
      </c>
      <c r="AG30" s="4">
        <v>0</v>
      </c>
      <c r="AH30" s="4">
        <v>22</v>
      </c>
      <c r="AI30" s="4">
        <v>22</v>
      </c>
      <c r="AJ30" s="4">
        <v>2</v>
      </c>
      <c r="AK30" s="4">
        <v>2</v>
      </c>
      <c r="AL30" s="4">
        <v>18</v>
      </c>
      <c r="AM30" s="4">
        <v>18</v>
      </c>
      <c r="AN30" s="4">
        <v>0</v>
      </c>
      <c r="AO30" s="4">
        <v>0</v>
      </c>
      <c r="AP30" s="4">
        <v>2</v>
      </c>
      <c r="AQ30" s="4">
        <v>2</v>
      </c>
      <c r="AR30" s="3" t="s">
        <v>65</v>
      </c>
      <c r="AS30" s="3" t="s">
        <v>65</v>
      </c>
      <c r="AT30" s="3" t="s">
        <v>65</v>
      </c>
      <c r="AV30" s="6" t="str">
        <f>HYPERLINK("http://mcgill.on.worldcat.org/oclc/823205917","Catalog Record")</f>
        <v>Catalog Record</v>
      </c>
      <c r="AW30" s="6" t="str">
        <f>HYPERLINK("http://www.worldcat.org/oclc/823205917","WorldCat Record")</f>
        <v>WorldCat Record</v>
      </c>
      <c r="AX30" s="3" t="s">
        <v>405</v>
      </c>
      <c r="AY30" s="3" t="s">
        <v>406</v>
      </c>
      <c r="AZ30" s="3" t="s">
        <v>407</v>
      </c>
      <c r="BA30" s="3" t="s">
        <v>407</v>
      </c>
      <c r="BB30" s="3" t="s">
        <v>408</v>
      </c>
      <c r="BC30" s="3" t="s">
        <v>77</v>
      </c>
      <c r="BD30" s="3" t="s">
        <v>78</v>
      </c>
      <c r="BE30" s="3" t="s">
        <v>409</v>
      </c>
      <c r="BF30" s="3" t="s">
        <v>408</v>
      </c>
      <c r="BG30" s="3" t="s">
        <v>410</v>
      </c>
    </row>
    <row r="31" spans="1:59" ht="58" x14ac:dyDescent="0.35">
      <c r="A31" s="2" t="s">
        <v>59</v>
      </c>
      <c r="B31" s="2" t="s">
        <v>60</v>
      </c>
      <c r="C31" s="2" t="s">
        <v>411</v>
      </c>
      <c r="D31" s="2" t="s">
        <v>412</v>
      </c>
      <c r="E31" s="2" t="s">
        <v>413</v>
      </c>
      <c r="G31" s="3" t="s">
        <v>65</v>
      </c>
      <c r="I31" s="3" t="s">
        <v>65</v>
      </c>
      <c r="J31" s="3" t="s">
        <v>65</v>
      </c>
      <c r="K31" s="3" t="s">
        <v>66</v>
      </c>
      <c r="L31" s="2" t="s">
        <v>414</v>
      </c>
      <c r="M31" s="2" t="s">
        <v>415</v>
      </c>
      <c r="N31" s="3" t="s">
        <v>126</v>
      </c>
      <c r="P31" s="3" t="s">
        <v>140</v>
      </c>
      <c r="Q31" s="2" t="s">
        <v>416</v>
      </c>
      <c r="R31" s="3" t="s">
        <v>71</v>
      </c>
      <c r="S31" s="4">
        <v>0</v>
      </c>
      <c r="T31" s="4">
        <v>0</v>
      </c>
      <c r="W31" s="5" t="s">
        <v>72</v>
      </c>
      <c r="X31" s="5" t="s">
        <v>72</v>
      </c>
      <c r="Y31" s="4">
        <v>7</v>
      </c>
      <c r="Z31" s="4">
        <v>1</v>
      </c>
      <c r="AA31" s="4">
        <v>3</v>
      </c>
      <c r="AB31" s="4">
        <v>1</v>
      </c>
      <c r="AC31" s="4">
        <v>1</v>
      </c>
      <c r="AD31" s="4">
        <v>4</v>
      </c>
      <c r="AE31" s="4">
        <v>15</v>
      </c>
      <c r="AF31" s="4">
        <v>0</v>
      </c>
      <c r="AG31" s="4">
        <v>0</v>
      </c>
      <c r="AH31" s="4">
        <v>4</v>
      </c>
      <c r="AI31" s="4">
        <v>14</v>
      </c>
      <c r="AJ31" s="4">
        <v>0</v>
      </c>
      <c r="AK31" s="4">
        <v>1</v>
      </c>
      <c r="AL31" s="4">
        <v>4</v>
      </c>
      <c r="AM31" s="4">
        <v>15</v>
      </c>
      <c r="AN31" s="4">
        <v>0</v>
      </c>
      <c r="AO31" s="4">
        <v>0</v>
      </c>
      <c r="AP31" s="4">
        <v>0</v>
      </c>
      <c r="AQ31" s="4">
        <v>1</v>
      </c>
      <c r="AR31" s="3" t="s">
        <v>65</v>
      </c>
      <c r="AS31" s="3" t="s">
        <v>65</v>
      </c>
      <c r="AT31" s="3" t="s">
        <v>65</v>
      </c>
      <c r="AV31" s="6" t="str">
        <f>HYPERLINK("http://mcgill.on.worldcat.org/oclc/724302735","Catalog Record")</f>
        <v>Catalog Record</v>
      </c>
      <c r="AW31" s="6" t="str">
        <f>HYPERLINK("http://www.worldcat.org/oclc/724302735","WorldCat Record")</f>
        <v>WorldCat Record</v>
      </c>
      <c r="AX31" s="3" t="s">
        <v>417</v>
      </c>
      <c r="AY31" s="3" t="s">
        <v>418</v>
      </c>
      <c r="AZ31" s="3" t="s">
        <v>419</v>
      </c>
      <c r="BA31" s="3" t="s">
        <v>419</v>
      </c>
      <c r="BB31" s="3" t="s">
        <v>420</v>
      </c>
      <c r="BC31" s="3" t="s">
        <v>77</v>
      </c>
      <c r="BD31" s="3" t="s">
        <v>78</v>
      </c>
      <c r="BE31" s="3" t="s">
        <v>421</v>
      </c>
      <c r="BF31" s="3" t="s">
        <v>420</v>
      </c>
      <c r="BG31" s="3" t="s">
        <v>422</v>
      </c>
    </row>
    <row r="32" spans="1:59" ht="58" x14ac:dyDescent="0.35">
      <c r="A32" s="2" t="s">
        <v>59</v>
      </c>
      <c r="B32" s="2" t="s">
        <v>60</v>
      </c>
      <c r="C32" s="2" t="s">
        <v>423</v>
      </c>
      <c r="D32" s="2" t="s">
        <v>424</v>
      </c>
      <c r="E32" s="2" t="s">
        <v>425</v>
      </c>
      <c r="G32" s="3" t="s">
        <v>65</v>
      </c>
      <c r="I32" s="3" t="s">
        <v>65</v>
      </c>
      <c r="J32" s="3" t="s">
        <v>65</v>
      </c>
      <c r="K32" s="3" t="s">
        <v>66</v>
      </c>
      <c r="M32" s="2" t="s">
        <v>426</v>
      </c>
      <c r="N32" s="3" t="s">
        <v>126</v>
      </c>
      <c r="P32" s="3" t="s">
        <v>140</v>
      </c>
      <c r="R32" s="3" t="s">
        <v>71</v>
      </c>
      <c r="S32" s="4">
        <v>1</v>
      </c>
      <c r="T32" s="4">
        <v>1</v>
      </c>
      <c r="U32" s="5" t="s">
        <v>427</v>
      </c>
      <c r="V32" s="5" t="s">
        <v>427</v>
      </c>
      <c r="W32" s="5" t="s">
        <v>72</v>
      </c>
      <c r="X32" s="5" t="s">
        <v>72</v>
      </c>
      <c r="Y32" s="4">
        <v>4</v>
      </c>
      <c r="Z32" s="4">
        <v>1</v>
      </c>
      <c r="AA32" s="4">
        <v>1</v>
      </c>
      <c r="AB32" s="4">
        <v>1</v>
      </c>
      <c r="AC32" s="4">
        <v>1</v>
      </c>
      <c r="AD32" s="4">
        <v>1</v>
      </c>
      <c r="AE32" s="4">
        <v>1</v>
      </c>
      <c r="AF32" s="4">
        <v>0</v>
      </c>
      <c r="AG32" s="4">
        <v>0</v>
      </c>
      <c r="AH32" s="4">
        <v>1</v>
      </c>
      <c r="AI32" s="4">
        <v>1</v>
      </c>
      <c r="AJ32" s="4">
        <v>0</v>
      </c>
      <c r="AK32" s="4">
        <v>0</v>
      </c>
      <c r="AL32" s="4">
        <v>1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3" t="s">
        <v>65</v>
      </c>
      <c r="AS32" s="3" t="s">
        <v>65</v>
      </c>
      <c r="AT32" s="3" t="s">
        <v>65</v>
      </c>
      <c r="AV32" s="6" t="str">
        <f>HYPERLINK("http://mcgill.on.worldcat.org/oclc/713178248","Catalog Record")</f>
        <v>Catalog Record</v>
      </c>
      <c r="AW32" s="6" t="str">
        <f>HYPERLINK("http://www.worldcat.org/oclc/713178248","WorldCat Record")</f>
        <v>WorldCat Record</v>
      </c>
      <c r="AX32" s="3" t="s">
        <v>428</v>
      </c>
      <c r="AY32" s="3" t="s">
        <v>429</v>
      </c>
      <c r="AZ32" s="3" t="s">
        <v>430</v>
      </c>
      <c r="BA32" s="3" t="s">
        <v>430</v>
      </c>
      <c r="BB32" s="3" t="s">
        <v>431</v>
      </c>
      <c r="BC32" s="3" t="s">
        <v>77</v>
      </c>
      <c r="BD32" s="3" t="s">
        <v>78</v>
      </c>
      <c r="BE32" s="3" t="s">
        <v>432</v>
      </c>
      <c r="BF32" s="3" t="s">
        <v>431</v>
      </c>
      <c r="BG32" s="3" t="s">
        <v>433</v>
      </c>
    </row>
    <row r="33" spans="1:59" ht="58" x14ac:dyDescent="0.35">
      <c r="A33" s="2" t="s">
        <v>59</v>
      </c>
      <c r="B33" s="2" t="s">
        <v>60</v>
      </c>
      <c r="C33" s="2" t="s">
        <v>434</v>
      </c>
      <c r="D33" s="2" t="s">
        <v>435</v>
      </c>
      <c r="E33" s="2" t="s">
        <v>436</v>
      </c>
      <c r="G33" s="3" t="s">
        <v>65</v>
      </c>
      <c r="I33" s="3" t="s">
        <v>65</v>
      </c>
      <c r="J33" s="3" t="s">
        <v>65</v>
      </c>
      <c r="K33" s="3" t="s">
        <v>66</v>
      </c>
      <c r="L33" s="2" t="s">
        <v>437</v>
      </c>
      <c r="M33" s="2" t="s">
        <v>438</v>
      </c>
      <c r="N33" s="3" t="s">
        <v>113</v>
      </c>
      <c r="O33" s="2" t="s">
        <v>365</v>
      </c>
      <c r="P33" s="3" t="s">
        <v>140</v>
      </c>
      <c r="Q33" s="2" t="s">
        <v>439</v>
      </c>
      <c r="R33" s="3" t="s">
        <v>71</v>
      </c>
      <c r="S33" s="4">
        <v>0</v>
      </c>
      <c r="T33" s="4">
        <v>0</v>
      </c>
      <c r="W33" s="5" t="s">
        <v>72</v>
      </c>
      <c r="X33" s="5" t="s">
        <v>72</v>
      </c>
      <c r="Y33" s="4">
        <v>12</v>
      </c>
      <c r="Z33" s="4">
        <v>1</v>
      </c>
      <c r="AA33" s="4">
        <v>1</v>
      </c>
      <c r="AB33" s="4">
        <v>1</v>
      </c>
      <c r="AC33" s="4">
        <v>1</v>
      </c>
      <c r="AD33" s="4">
        <v>6</v>
      </c>
      <c r="AE33" s="4">
        <v>6</v>
      </c>
      <c r="AF33" s="4">
        <v>0</v>
      </c>
      <c r="AG33" s="4">
        <v>0</v>
      </c>
      <c r="AH33" s="4">
        <v>6</v>
      </c>
      <c r="AI33" s="4">
        <v>6</v>
      </c>
      <c r="AJ33" s="4">
        <v>0</v>
      </c>
      <c r="AK33" s="4">
        <v>0</v>
      </c>
      <c r="AL33" s="4">
        <v>5</v>
      </c>
      <c r="AM33" s="4">
        <v>5</v>
      </c>
      <c r="AN33" s="4">
        <v>0</v>
      </c>
      <c r="AO33" s="4">
        <v>0</v>
      </c>
      <c r="AP33" s="4">
        <v>0</v>
      </c>
      <c r="AQ33" s="4">
        <v>0</v>
      </c>
      <c r="AR33" s="3" t="s">
        <v>65</v>
      </c>
      <c r="AS33" s="3" t="s">
        <v>65</v>
      </c>
      <c r="AT33" s="3" t="s">
        <v>65</v>
      </c>
      <c r="AV33" s="6" t="str">
        <f>HYPERLINK("http://mcgill.on.worldcat.org/oclc/732280232","Catalog Record")</f>
        <v>Catalog Record</v>
      </c>
      <c r="AW33" s="6" t="str">
        <f>HYPERLINK("http://www.worldcat.org/oclc/732280232","WorldCat Record")</f>
        <v>WorldCat Record</v>
      </c>
      <c r="AX33" s="3" t="s">
        <v>440</v>
      </c>
      <c r="AY33" s="3" t="s">
        <v>441</v>
      </c>
      <c r="AZ33" s="3" t="s">
        <v>442</v>
      </c>
      <c r="BA33" s="3" t="s">
        <v>442</v>
      </c>
      <c r="BB33" s="3" t="s">
        <v>443</v>
      </c>
      <c r="BC33" s="3" t="s">
        <v>77</v>
      </c>
      <c r="BD33" s="3" t="s">
        <v>78</v>
      </c>
      <c r="BE33" s="3" t="s">
        <v>444</v>
      </c>
      <c r="BF33" s="3" t="s">
        <v>443</v>
      </c>
      <c r="BG33" s="3" t="s">
        <v>445</v>
      </c>
    </row>
    <row r="34" spans="1:59" ht="58" x14ac:dyDescent="0.35">
      <c r="A34" s="2" t="s">
        <v>59</v>
      </c>
      <c r="B34" s="2" t="s">
        <v>60</v>
      </c>
      <c r="C34" s="2" t="s">
        <v>446</v>
      </c>
      <c r="D34" s="2" t="s">
        <v>447</v>
      </c>
      <c r="E34" s="2" t="s">
        <v>448</v>
      </c>
      <c r="G34" s="3" t="s">
        <v>65</v>
      </c>
      <c r="I34" s="3" t="s">
        <v>65</v>
      </c>
      <c r="J34" s="3" t="s">
        <v>65</v>
      </c>
      <c r="K34" s="3" t="s">
        <v>66</v>
      </c>
      <c r="L34" s="2" t="s">
        <v>449</v>
      </c>
      <c r="M34" s="2" t="s">
        <v>363</v>
      </c>
      <c r="N34" s="3" t="s">
        <v>364</v>
      </c>
      <c r="O34" s="2" t="s">
        <v>365</v>
      </c>
      <c r="P34" s="3" t="s">
        <v>140</v>
      </c>
      <c r="Q34" s="2" t="s">
        <v>450</v>
      </c>
      <c r="R34" s="3" t="s">
        <v>71</v>
      </c>
      <c r="S34" s="4">
        <v>3</v>
      </c>
      <c r="T34" s="4">
        <v>3</v>
      </c>
      <c r="U34" s="5" t="s">
        <v>451</v>
      </c>
      <c r="V34" s="5" t="s">
        <v>451</v>
      </c>
      <c r="W34" s="5" t="s">
        <v>72</v>
      </c>
      <c r="X34" s="5" t="s">
        <v>72</v>
      </c>
      <c r="Y34" s="4">
        <v>15</v>
      </c>
      <c r="Z34" s="4">
        <v>3</v>
      </c>
      <c r="AA34" s="4">
        <v>4</v>
      </c>
      <c r="AB34" s="4">
        <v>3</v>
      </c>
      <c r="AC34" s="4">
        <v>4</v>
      </c>
      <c r="AD34" s="4">
        <v>6</v>
      </c>
      <c r="AE34" s="4">
        <v>7</v>
      </c>
      <c r="AF34" s="4">
        <v>1</v>
      </c>
      <c r="AG34" s="4">
        <v>2</v>
      </c>
      <c r="AH34" s="4">
        <v>5</v>
      </c>
      <c r="AI34" s="4">
        <v>5</v>
      </c>
      <c r="AJ34" s="4">
        <v>1</v>
      </c>
      <c r="AK34" s="4">
        <v>2</v>
      </c>
      <c r="AL34" s="4">
        <v>5</v>
      </c>
      <c r="AM34" s="4">
        <v>5</v>
      </c>
      <c r="AN34" s="4">
        <v>0</v>
      </c>
      <c r="AO34" s="4">
        <v>0</v>
      </c>
      <c r="AP34" s="4">
        <v>1</v>
      </c>
      <c r="AQ34" s="4">
        <v>1</v>
      </c>
      <c r="AR34" s="3" t="s">
        <v>65</v>
      </c>
      <c r="AS34" s="3" t="s">
        <v>65</v>
      </c>
      <c r="AT34" s="3" t="s">
        <v>65</v>
      </c>
      <c r="AV34" s="6" t="str">
        <f>HYPERLINK("http://mcgill.on.worldcat.org/oclc/48407991","Catalog Record")</f>
        <v>Catalog Record</v>
      </c>
      <c r="AW34" s="6" t="str">
        <f>HYPERLINK("http://www.worldcat.org/oclc/48407991","WorldCat Record")</f>
        <v>WorldCat Record</v>
      </c>
      <c r="AX34" s="3" t="s">
        <v>452</v>
      </c>
      <c r="AY34" s="3" t="s">
        <v>453</v>
      </c>
      <c r="AZ34" s="3" t="s">
        <v>454</v>
      </c>
      <c r="BA34" s="3" t="s">
        <v>454</v>
      </c>
      <c r="BB34" s="3" t="s">
        <v>455</v>
      </c>
      <c r="BC34" s="3" t="s">
        <v>77</v>
      </c>
      <c r="BD34" s="3" t="s">
        <v>78</v>
      </c>
      <c r="BE34" s="3" t="s">
        <v>456</v>
      </c>
      <c r="BF34" s="3" t="s">
        <v>455</v>
      </c>
      <c r="BG34" s="3" t="s">
        <v>457</v>
      </c>
    </row>
    <row r="35" spans="1:59" ht="58" x14ac:dyDescent="0.35">
      <c r="A35" s="2" t="s">
        <v>59</v>
      </c>
      <c r="B35" s="2" t="s">
        <v>60</v>
      </c>
      <c r="C35" s="2" t="s">
        <v>458</v>
      </c>
      <c r="D35" s="2" t="s">
        <v>459</v>
      </c>
      <c r="E35" s="2" t="s">
        <v>460</v>
      </c>
      <c r="F35" s="3" t="s">
        <v>255</v>
      </c>
      <c r="G35" s="3" t="s">
        <v>209</v>
      </c>
      <c r="I35" s="3" t="s">
        <v>65</v>
      </c>
      <c r="J35" s="3" t="s">
        <v>65</v>
      </c>
      <c r="K35" s="3" t="s">
        <v>66</v>
      </c>
      <c r="L35" s="2" t="s">
        <v>461</v>
      </c>
      <c r="M35" s="2" t="s">
        <v>462</v>
      </c>
      <c r="N35" s="3" t="s">
        <v>463</v>
      </c>
      <c r="P35" s="3" t="s">
        <v>140</v>
      </c>
      <c r="R35" s="3" t="s">
        <v>71</v>
      </c>
      <c r="S35" s="4">
        <v>1</v>
      </c>
      <c r="T35" s="4">
        <v>1</v>
      </c>
      <c r="U35" s="5" t="s">
        <v>464</v>
      </c>
      <c r="V35" s="5" t="s">
        <v>464</v>
      </c>
      <c r="W35" s="5" t="s">
        <v>72</v>
      </c>
      <c r="X35" s="5" t="s">
        <v>72</v>
      </c>
      <c r="Y35" s="4">
        <v>57</v>
      </c>
      <c r="Z35" s="4">
        <v>7</v>
      </c>
      <c r="AA35" s="4">
        <v>7</v>
      </c>
      <c r="AB35" s="4">
        <v>1</v>
      </c>
      <c r="AC35" s="4">
        <v>1</v>
      </c>
      <c r="AD35" s="4">
        <v>37</v>
      </c>
      <c r="AE35" s="4">
        <v>37</v>
      </c>
      <c r="AF35" s="4">
        <v>0</v>
      </c>
      <c r="AG35" s="4">
        <v>0</v>
      </c>
      <c r="AH35" s="4">
        <v>34</v>
      </c>
      <c r="AI35" s="4">
        <v>34</v>
      </c>
      <c r="AJ35" s="4">
        <v>5</v>
      </c>
      <c r="AK35" s="4">
        <v>5</v>
      </c>
      <c r="AL35" s="4">
        <v>26</v>
      </c>
      <c r="AM35" s="4">
        <v>26</v>
      </c>
      <c r="AN35" s="4">
        <v>0</v>
      </c>
      <c r="AO35" s="4">
        <v>0</v>
      </c>
      <c r="AP35" s="4">
        <v>5</v>
      </c>
      <c r="AQ35" s="4">
        <v>5</v>
      </c>
      <c r="AR35" s="3" t="s">
        <v>65</v>
      </c>
      <c r="AS35" s="3" t="s">
        <v>65</v>
      </c>
      <c r="AT35" s="3" t="s">
        <v>209</v>
      </c>
      <c r="AU35" s="6" t="str">
        <f>HYPERLINK("http://catalog.hathitrust.org/Record/001226698","HathiTrust Record")</f>
        <v>HathiTrust Record</v>
      </c>
      <c r="AV35" s="6" t="str">
        <f>HYPERLINK("http://mcgill.on.worldcat.org/oclc/33192100","Catalog Record")</f>
        <v>Catalog Record</v>
      </c>
      <c r="AW35" s="6" t="str">
        <f>HYPERLINK("http://www.worldcat.org/oclc/33192100","WorldCat Record")</f>
        <v>WorldCat Record</v>
      </c>
      <c r="AX35" s="3" t="s">
        <v>465</v>
      </c>
      <c r="AY35" s="3" t="s">
        <v>466</v>
      </c>
      <c r="AZ35" s="3" t="s">
        <v>467</v>
      </c>
      <c r="BA35" s="3" t="s">
        <v>467</v>
      </c>
      <c r="BB35" s="3" t="s">
        <v>468</v>
      </c>
      <c r="BC35" s="3" t="s">
        <v>77</v>
      </c>
      <c r="BD35" s="3" t="s">
        <v>78</v>
      </c>
      <c r="BF35" s="3" t="s">
        <v>468</v>
      </c>
      <c r="BG35" s="3" t="s">
        <v>469</v>
      </c>
    </row>
    <row r="36" spans="1:59" ht="58" x14ac:dyDescent="0.35">
      <c r="A36" s="2" t="s">
        <v>59</v>
      </c>
      <c r="B36" s="2" t="s">
        <v>60</v>
      </c>
      <c r="C36" s="2" t="s">
        <v>458</v>
      </c>
      <c r="D36" s="2" t="s">
        <v>459</v>
      </c>
      <c r="E36" s="2" t="s">
        <v>460</v>
      </c>
      <c r="F36" s="3" t="s">
        <v>245</v>
      </c>
      <c r="G36" s="3" t="s">
        <v>209</v>
      </c>
      <c r="I36" s="3" t="s">
        <v>65</v>
      </c>
      <c r="J36" s="3" t="s">
        <v>65</v>
      </c>
      <c r="K36" s="3" t="s">
        <v>66</v>
      </c>
      <c r="L36" s="2" t="s">
        <v>461</v>
      </c>
      <c r="M36" s="2" t="s">
        <v>462</v>
      </c>
      <c r="N36" s="3" t="s">
        <v>463</v>
      </c>
      <c r="P36" s="3" t="s">
        <v>140</v>
      </c>
      <c r="R36" s="3" t="s">
        <v>71</v>
      </c>
      <c r="S36" s="4">
        <v>0</v>
      </c>
      <c r="T36" s="4">
        <v>1</v>
      </c>
      <c r="V36" s="5" t="s">
        <v>464</v>
      </c>
      <c r="W36" s="5" t="s">
        <v>72</v>
      </c>
      <c r="X36" s="5" t="s">
        <v>72</v>
      </c>
      <c r="Y36" s="4">
        <v>57</v>
      </c>
      <c r="Z36" s="4">
        <v>7</v>
      </c>
      <c r="AA36" s="4">
        <v>7</v>
      </c>
      <c r="AB36" s="4">
        <v>1</v>
      </c>
      <c r="AC36" s="4">
        <v>1</v>
      </c>
      <c r="AD36" s="4">
        <v>37</v>
      </c>
      <c r="AE36" s="4">
        <v>37</v>
      </c>
      <c r="AF36" s="4">
        <v>0</v>
      </c>
      <c r="AG36" s="4">
        <v>0</v>
      </c>
      <c r="AH36" s="4">
        <v>34</v>
      </c>
      <c r="AI36" s="4">
        <v>34</v>
      </c>
      <c r="AJ36" s="4">
        <v>5</v>
      </c>
      <c r="AK36" s="4">
        <v>5</v>
      </c>
      <c r="AL36" s="4">
        <v>26</v>
      </c>
      <c r="AM36" s="4">
        <v>26</v>
      </c>
      <c r="AN36" s="4">
        <v>0</v>
      </c>
      <c r="AO36" s="4">
        <v>0</v>
      </c>
      <c r="AP36" s="4">
        <v>5</v>
      </c>
      <c r="AQ36" s="4">
        <v>5</v>
      </c>
      <c r="AR36" s="3" t="s">
        <v>65</v>
      </c>
      <c r="AS36" s="3" t="s">
        <v>65</v>
      </c>
      <c r="AT36" s="3" t="s">
        <v>209</v>
      </c>
      <c r="AU36" s="6" t="str">
        <f>HYPERLINK("http://catalog.hathitrust.org/Record/001226698","HathiTrust Record")</f>
        <v>HathiTrust Record</v>
      </c>
      <c r="AV36" s="6" t="str">
        <f>HYPERLINK("http://mcgill.on.worldcat.org/oclc/33192100","Catalog Record")</f>
        <v>Catalog Record</v>
      </c>
      <c r="AW36" s="6" t="str">
        <f>HYPERLINK("http://www.worldcat.org/oclc/33192100","WorldCat Record")</f>
        <v>WorldCat Record</v>
      </c>
      <c r="AX36" s="3" t="s">
        <v>465</v>
      </c>
      <c r="AY36" s="3" t="s">
        <v>466</v>
      </c>
      <c r="AZ36" s="3" t="s">
        <v>467</v>
      </c>
      <c r="BA36" s="3" t="s">
        <v>467</v>
      </c>
      <c r="BB36" s="3" t="s">
        <v>470</v>
      </c>
      <c r="BC36" s="3" t="s">
        <v>77</v>
      </c>
      <c r="BD36" s="3" t="s">
        <v>78</v>
      </c>
      <c r="BF36" s="3" t="s">
        <v>470</v>
      </c>
      <c r="BG36" s="3" t="s">
        <v>471</v>
      </c>
    </row>
    <row r="37" spans="1:59" ht="58" x14ac:dyDescent="0.35">
      <c r="A37" s="2" t="s">
        <v>59</v>
      </c>
      <c r="B37" s="2" t="s">
        <v>60</v>
      </c>
      <c r="C37" s="2" t="s">
        <v>458</v>
      </c>
      <c r="D37" s="2" t="s">
        <v>459</v>
      </c>
      <c r="E37" s="2" t="s">
        <v>460</v>
      </c>
      <c r="F37" s="3" t="s">
        <v>258</v>
      </c>
      <c r="G37" s="3" t="s">
        <v>209</v>
      </c>
      <c r="I37" s="3" t="s">
        <v>65</v>
      </c>
      <c r="J37" s="3" t="s">
        <v>65</v>
      </c>
      <c r="K37" s="3" t="s">
        <v>66</v>
      </c>
      <c r="L37" s="2" t="s">
        <v>461</v>
      </c>
      <c r="M37" s="2" t="s">
        <v>462</v>
      </c>
      <c r="N37" s="3" t="s">
        <v>463</v>
      </c>
      <c r="P37" s="3" t="s">
        <v>140</v>
      </c>
      <c r="R37" s="3" t="s">
        <v>71</v>
      </c>
      <c r="S37" s="4">
        <v>0</v>
      </c>
      <c r="T37" s="4">
        <v>1</v>
      </c>
      <c r="V37" s="5" t="s">
        <v>464</v>
      </c>
      <c r="W37" s="5" t="s">
        <v>72</v>
      </c>
      <c r="X37" s="5" t="s">
        <v>72</v>
      </c>
      <c r="Y37" s="4">
        <v>57</v>
      </c>
      <c r="Z37" s="4">
        <v>7</v>
      </c>
      <c r="AA37" s="4">
        <v>7</v>
      </c>
      <c r="AB37" s="4">
        <v>1</v>
      </c>
      <c r="AC37" s="4">
        <v>1</v>
      </c>
      <c r="AD37" s="4">
        <v>37</v>
      </c>
      <c r="AE37" s="4">
        <v>37</v>
      </c>
      <c r="AF37" s="4">
        <v>0</v>
      </c>
      <c r="AG37" s="4">
        <v>0</v>
      </c>
      <c r="AH37" s="4">
        <v>34</v>
      </c>
      <c r="AI37" s="4">
        <v>34</v>
      </c>
      <c r="AJ37" s="4">
        <v>5</v>
      </c>
      <c r="AK37" s="4">
        <v>5</v>
      </c>
      <c r="AL37" s="4">
        <v>26</v>
      </c>
      <c r="AM37" s="4">
        <v>26</v>
      </c>
      <c r="AN37" s="4">
        <v>0</v>
      </c>
      <c r="AO37" s="4">
        <v>0</v>
      </c>
      <c r="AP37" s="4">
        <v>5</v>
      </c>
      <c r="AQ37" s="4">
        <v>5</v>
      </c>
      <c r="AR37" s="3" t="s">
        <v>65</v>
      </c>
      <c r="AS37" s="3" t="s">
        <v>65</v>
      </c>
      <c r="AT37" s="3" t="s">
        <v>209</v>
      </c>
      <c r="AU37" s="6" t="str">
        <f>HYPERLINK("http://catalog.hathitrust.org/Record/001226698","HathiTrust Record")</f>
        <v>HathiTrust Record</v>
      </c>
      <c r="AV37" s="6" t="str">
        <f>HYPERLINK("http://mcgill.on.worldcat.org/oclc/33192100","Catalog Record")</f>
        <v>Catalog Record</v>
      </c>
      <c r="AW37" s="6" t="str">
        <f>HYPERLINK("http://www.worldcat.org/oclc/33192100","WorldCat Record")</f>
        <v>WorldCat Record</v>
      </c>
      <c r="AX37" s="3" t="s">
        <v>465</v>
      </c>
      <c r="AY37" s="3" t="s">
        <v>466</v>
      </c>
      <c r="AZ37" s="3" t="s">
        <v>467</v>
      </c>
      <c r="BA37" s="3" t="s">
        <v>467</v>
      </c>
      <c r="BB37" s="3" t="s">
        <v>472</v>
      </c>
      <c r="BC37" s="3" t="s">
        <v>77</v>
      </c>
      <c r="BD37" s="3" t="s">
        <v>78</v>
      </c>
      <c r="BF37" s="3" t="s">
        <v>472</v>
      </c>
      <c r="BG37" s="3" t="s">
        <v>473</v>
      </c>
    </row>
    <row r="38" spans="1:59" ht="58" x14ac:dyDescent="0.35">
      <c r="A38" s="2" t="s">
        <v>59</v>
      </c>
      <c r="B38" s="2" t="s">
        <v>60</v>
      </c>
      <c r="C38" s="2" t="s">
        <v>474</v>
      </c>
      <c r="D38" s="2" t="s">
        <v>475</v>
      </c>
      <c r="E38" s="2" t="s">
        <v>476</v>
      </c>
      <c r="G38" s="3" t="s">
        <v>65</v>
      </c>
      <c r="I38" s="3" t="s">
        <v>65</v>
      </c>
      <c r="J38" s="3" t="s">
        <v>65</v>
      </c>
      <c r="K38" s="3" t="s">
        <v>66</v>
      </c>
      <c r="L38" s="2" t="s">
        <v>477</v>
      </c>
      <c r="M38" s="2" t="s">
        <v>478</v>
      </c>
      <c r="N38" s="3" t="s">
        <v>479</v>
      </c>
      <c r="O38" s="2" t="s">
        <v>365</v>
      </c>
      <c r="P38" s="3" t="s">
        <v>140</v>
      </c>
      <c r="R38" s="3" t="s">
        <v>71</v>
      </c>
      <c r="S38" s="4">
        <v>2</v>
      </c>
      <c r="T38" s="4">
        <v>2</v>
      </c>
      <c r="U38" s="5" t="s">
        <v>480</v>
      </c>
      <c r="V38" s="5" t="s">
        <v>480</v>
      </c>
      <c r="W38" s="5" t="s">
        <v>72</v>
      </c>
      <c r="X38" s="5" t="s">
        <v>72</v>
      </c>
      <c r="Y38" s="4">
        <v>18</v>
      </c>
      <c r="Z38" s="4">
        <v>1</v>
      </c>
      <c r="AA38" s="4">
        <v>1</v>
      </c>
      <c r="AB38" s="4">
        <v>1</v>
      </c>
      <c r="AC38" s="4">
        <v>1</v>
      </c>
      <c r="AD38" s="4">
        <v>7</v>
      </c>
      <c r="AE38" s="4">
        <v>7</v>
      </c>
      <c r="AF38" s="4">
        <v>0</v>
      </c>
      <c r="AG38" s="4">
        <v>0</v>
      </c>
      <c r="AH38" s="4">
        <v>6</v>
      </c>
      <c r="AI38" s="4">
        <v>6</v>
      </c>
      <c r="AJ38" s="4">
        <v>0</v>
      </c>
      <c r="AK38" s="4">
        <v>0</v>
      </c>
      <c r="AL38" s="4">
        <v>6</v>
      </c>
      <c r="AM38" s="4">
        <v>6</v>
      </c>
      <c r="AN38" s="4">
        <v>0</v>
      </c>
      <c r="AO38" s="4">
        <v>0</v>
      </c>
      <c r="AP38" s="4">
        <v>0</v>
      </c>
      <c r="AQ38" s="4">
        <v>0</v>
      </c>
      <c r="AR38" s="3" t="s">
        <v>65</v>
      </c>
      <c r="AS38" s="3" t="s">
        <v>65</v>
      </c>
      <c r="AT38" s="3" t="s">
        <v>65</v>
      </c>
      <c r="AV38" s="6" t="str">
        <f>HYPERLINK("http://mcgill.on.worldcat.org/oclc/234368253","Catalog Record")</f>
        <v>Catalog Record</v>
      </c>
      <c r="AW38" s="6" t="str">
        <f>HYPERLINK("http://www.worldcat.org/oclc/234368253","WorldCat Record")</f>
        <v>WorldCat Record</v>
      </c>
      <c r="AX38" s="3" t="s">
        <v>481</v>
      </c>
      <c r="AY38" s="3" t="s">
        <v>482</v>
      </c>
      <c r="AZ38" s="3" t="s">
        <v>483</v>
      </c>
      <c r="BA38" s="3" t="s">
        <v>483</v>
      </c>
      <c r="BB38" s="3" t="s">
        <v>484</v>
      </c>
      <c r="BC38" s="3" t="s">
        <v>77</v>
      </c>
      <c r="BD38" s="3" t="s">
        <v>106</v>
      </c>
      <c r="BE38" s="3" t="s">
        <v>485</v>
      </c>
      <c r="BF38" s="3" t="s">
        <v>484</v>
      </c>
      <c r="BG38" s="3" t="s">
        <v>486</v>
      </c>
    </row>
    <row r="39" spans="1:59" ht="58" x14ac:dyDescent="0.35">
      <c r="A39" s="2" t="s">
        <v>59</v>
      </c>
      <c r="B39" s="2" t="s">
        <v>60</v>
      </c>
      <c r="C39" s="2" t="s">
        <v>487</v>
      </c>
      <c r="D39" s="2" t="s">
        <v>488</v>
      </c>
      <c r="E39" s="2" t="s">
        <v>489</v>
      </c>
      <c r="F39" s="3" t="s">
        <v>490</v>
      </c>
      <c r="G39" s="3" t="s">
        <v>209</v>
      </c>
      <c r="I39" s="3" t="s">
        <v>209</v>
      </c>
      <c r="J39" s="3" t="s">
        <v>65</v>
      </c>
      <c r="K39" s="3" t="s">
        <v>213</v>
      </c>
      <c r="L39" s="2" t="s">
        <v>491</v>
      </c>
      <c r="M39" s="2" t="s">
        <v>492</v>
      </c>
      <c r="N39" s="3" t="s">
        <v>493</v>
      </c>
      <c r="P39" s="3" t="s">
        <v>69</v>
      </c>
      <c r="R39" s="3" t="s">
        <v>71</v>
      </c>
      <c r="S39" s="4">
        <v>18</v>
      </c>
      <c r="T39" s="4">
        <v>109</v>
      </c>
      <c r="U39" s="5" t="s">
        <v>494</v>
      </c>
      <c r="V39" s="5" t="s">
        <v>495</v>
      </c>
      <c r="W39" s="5" t="s">
        <v>72</v>
      </c>
      <c r="X39" s="5" t="s">
        <v>72</v>
      </c>
      <c r="Y39" s="4">
        <v>774</v>
      </c>
      <c r="Z39" s="4">
        <v>34</v>
      </c>
      <c r="AA39" s="4">
        <v>43</v>
      </c>
      <c r="AB39" s="4">
        <v>2</v>
      </c>
      <c r="AC39" s="4">
        <v>5</v>
      </c>
      <c r="AD39" s="4">
        <v>124</v>
      </c>
      <c r="AE39" s="4">
        <v>134</v>
      </c>
      <c r="AF39" s="4">
        <v>1</v>
      </c>
      <c r="AG39" s="4">
        <v>4</v>
      </c>
      <c r="AH39" s="4">
        <v>104</v>
      </c>
      <c r="AI39" s="4">
        <v>109</v>
      </c>
      <c r="AJ39" s="4">
        <v>18</v>
      </c>
      <c r="AK39" s="4">
        <v>24</v>
      </c>
      <c r="AL39" s="4">
        <v>58</v>
      </c>
      <c r="AM39" s="4">
        <v>59</v>
      </c>
      <c r="AN39" s="4">
        <v>0</v>
      </c>
      <c r="AO39" s="4">
        <v>0</v>
      </c>
      <c r="AP39" s="4">
        <v>25</v>
      </c>
      <c r="AQ39" s="4">
        <v>30</v>
      </c>
      <c r="AR39" s="3" t="s">
        <v>65</v>
      </c>
      <c r="AS39" s="3" t="s">
        <v>209</v>
      </c>
      <c r="AT39" s="3" t="s">
        <v>65</v>
      </c>
      <c r="AU39" s="6" t="str">
        <f>HYPERLINK("http://catalog.hathitrust.org/Record/007122362","HathiTrust Record")</f>
        <v>HathiTrust Record</v>
      </c>
      <c r="AV39" s="6" t="str">
        <f>HYPERLINK("http://mcgill.on.worldcat.org/oclc/343862","Catalog Record")</f>
        <v>Catalog Record</v>
      </c>
      <c r="AW39" s="6" t="str">
        <f>HYPERLINK("http://www.worldcat.org/oclc/343862","WorldCat Record")</f>
        <v>WorldCat Record</v>
      </c>
      <c r="AX39" s="3" t="s">
        <v>496</v>
      </c>
      <c r="AY39" s="3" t="s">
        <v>497</v>
      </c>
      <c r="AZ39" s="3" t="s">
        <v>498</v>
      </c>
      <c r="BA39" s="3" t="s">
        <v>498</v>
      </c>
      <c r="BB39" s="3" t="s">
        <v>499</v>
      </c>
      <c r="BC39" s="3" t="s">
        <v>77</v>
      </c>
      <c r="BD39" s="3" t="s">
        <v>78</v>
      </c>
      <c r="BF39" s="3" t="s">
        <v>499</v>
      </c>
      <c r="BG39" s="3" t="s">
        <v>500</v>
      </c>
    </row>
    <row r="40" spans="1:59" ht="58" x14ac:dyDescent="0.35">
      <c r="A40" s="2" t="s">
        <v>59</v>
      </c>
      <c r="B40" s="2" t="s">
        <v>60</v>
      </c>
      <c r="C40" s="2" t="s">
        <v>487</v>
      </c>
      <c r="D40" s="2" t="s">
        <v>488</v>
      </c>
      <c r="E40" s="2" t="s">
        <v>489</v>
      </c>
      <c r="F40" s="3" t="s">
        <v>258</v>
      </c>
      <c r="G40" s="3" t="s">
        <v>209</v>
      </c>
      <c r="I40" s="3" t="s">
        <v>209</v>
      </c>
      <c r="J40" s="3" t="s">
        <v>65</v>
      </c>
      <c r="K40" s="3" t="s">
        <v>213</v>
      </c>
      <c r="L40" s="2" t="s">
        <v>491</v>
      </c>
      <c r="M40" s="2" t="s">
        <v>492</v>
      </c>
      <c r="N40" s="3" t="s">
        <v>493</v>
      </c>
      <c r="P40" s="3" t="s">
        <v>69</v>
      </c>
      <c r="R40" s="3" t="s">
        <v>71</v>
      </c>
      <c r="S40" s="4">
        <v>39</v>
      </c>
      <c r="T40" s="4">
        <v>109</v>
      </c>
      <c r="U40" s="5" t="s">
        <v>495</v>
      </c>
      <c r="V40" s="5" t="s">
        <v>495</v>
      </c>
      <c r="W40" s="5" t="s">
        <v>72</v>
      </c>
      <c r="X40" s="5" t="s">
        <v>72</v>
      </c>
      <c r="Y40" s="4">
        <v>774</v>
      </c>
      <c r="Z40" s="4">
        <v>34</v>
      </c>
      <c r="AA40" s="4">
        <v>43</v>
      </c>
      <c r="AB40" s="4">
        <v>2</v>
      </c>
      <c r="AC40" s="4">
        <v>5</v>
      </c>
      <c r="AD40" s="4">
        <v>124</v>
      </c>
      <c r="AE40" s="4">
        <v>134</v>
      </c>
      <c r="AF40" s="4">
        <v>1</v>
      </c>
      <c r="AG40" s="4">
        <v>4</v>
      </c>
      <c r="AH40" s="4">
        <v>104</v>
      </c>
      <c r="AI40" s="4">
        <v>109</v>
      </c>
      <c r="AJ40" s="4">
        <v>18</v>
      </c>
      <c r="AK40" s="4">
        <v>24</v>
      </c>
      <c r="AL40" s="4">
        <v>58</v>
      </c>
      <c r="AM40" s="4">
        <v>59</v>
      </c>
      <c r="AN40" s="4">
        <v>0</v>
      </c>
      <c r="AO40" s="4">
        <v>0</v>
      </c>
      <c r="AP40" s="4">
        <v>25</v>
      </c>
      <c r="AQ40" s="4">
        <v>30</v>
      </c>
      <c r="AR40" s="3" t="s">
        <v>65</v>
      </c>
      <c r="AS40" s="3" t="s">
        <v>209</v>
      </c>
      <c r="AT40" s="3" t="s">
        <v>65</v>
      </c>
      <c r="AU40" s="6" t="str">
        <f>HYPERLINK("http://catalog.hathitrust.org/Record/007122362","HathiTrust Record")</f>
        <v>HathiTrust Record</v>
      </c>
      <c r="AV40" s="6" t="str">
        <f>HYPERLINK("http://mcgill.on.worldcat.org/oclc/343862","Catalog Record")</f>
        <v>Catalog Record</v>
      </c>
      <c r="AW40" s="6" t="str">
        <f>HYPERLINK("http://www.worldcat.org/oclc/343862","WorldCat Record")</f>
        <v>WorldCat Record</v>
      </c>
      <c r="AX40" s="3" t="s">
        <v>496</v>
      </c>
      <c r="AY40" s="3" t="s">
        <v>497</v>
      </c>
      <c r="AZ40" s="3" t="s">
        <v>498</v>
      </c>
      <c r="BA40" s="3" t="s">
        <v>498</v>
      </c>
      <c r="BB40" s="3" t="s">
        <v>501</v>
      </c>
      <c r="BC40" s="3" t="s">
        <v>77</v>
      </c>
      <c r="BD40" s="3" t="s">
        <v>78</v>
      </c>
      <c r="BF40" s="3" t="s">
        <v>501</v>
      </c>
      <c r="BG40" s="3" t="s">
        <v>502</v>
      </c>
    </row>
    <row r="41" spans="1:59" ht="58" x14ac:dyDescent="0.35">
      <c r="A41" s="2" t="s">
        <v>59</v>
      </c>
      <c r="B41" s="2" t="s">
        <v>60</v>
      </c>
      <c r="C41" s="2" t="s">
        <v>487</v>
      </c>
      <c r="D41" s="2" t="s">
        <v>488</v>
      </c>
      <c r="E41" s="2" t="s">
        <v>489</v>
      </c>
      <c r="F41" s="3" t="s">
        <v>503</v>
      </c>
      <c r="G41" s="3" t="s">
        <v>209</v>
      </c>
      <c r="I41" s="3" t="s">
        <v>209</v>
      </c>
      <c r="J41" s="3" t="s">
        <v>65</v>
      </c>
      <c r="K41" s="3" t="s">
        <v>213</v>
      </c>
      <c r="L41" s="2" t="s">
        <v>491</v>
      </c>
      <c r="M41" s="2" t="s">
        <v>492</v>
      </c>
      <c r="N41" s="3" t="s">
        <v>493</v>
      </c>
      <c r="P41" s="3" t="s">
        <v>69</v>
      </c>
      <c r="R41" s="3" t="s">
        <v>71</v>
      </c>
      <c r="S41" s="4">
        <v>20</v>
      </c>
      <c r="T41" s="4">
        <v>109</v>
      </c>
      <c r="U41" s="5" t="s">
        <v>504</v>
      </c>
      <c r="V41" s="5" t="s">
        <v>495</v>
      </c>
      <c r="W41" s="5" t="s">
        <v>72</v>
      </c>
      <c r="X41" s="5" t="s">
        <v>72</v>
      </c>
      <c r="Y41" s="4">
        <v>774</v>
      </c>
      <c r="Z41" s="4">
        <v>34</v>
      </c>
      <c r="AA41" s="4">
        <v>43</v>
      </c>
      <c r="AB41" s="4">
        <v>2</v>
      </c>
      <c r="AC41" s="4">
        <v>5</v>
      </c>
      <c r="AD41" s="4">
        <v>124</v>
      </c>
      <c r="AE41" s="4">
        <v>134</v>
      </c>
      <c r="AF41" s="4">
        <v>1</v>
      </c>
      <c r="AG41" s="4">
        <v>4</v>
      </c>
      <c r="AH41" s="4">
        <v>104</v>
      </c>
      <c r="AI41" s="4">
        <v>109</v>
      </c>
      <c r="AJ41" s="4">
        <v>18</v>
      </c>
      <c r="AK41" s="4">
        <v>24</v>
      </c>
      <c r="AL41" s="4">
        <v>58</v>
      </c>
      <c r="AM41" s="4">
        <v>59</v>
      </c>
      <c r="AN41" s="4">
        <v>0</v>
      </c>
      <c r="AO41" s="4">
        <v>0</v>
      </c>
      <c r="AP41" s="4">
        <v>25</v>
      </c>
      <c r="AQ41" s="4">
        <v>30</v>
      </c>
      <c r="AR41" s="3" t="s">
        <v>65</v>
      </c>
      <c r="AS41" s="3" t="s">
        <v>209</v>
      </c>
      <c r="AT41" s="3" t="s">
        <v>65</v>
      </c>
      <c r="AU41" s="6" t="str">
        <f>HYPERLINK("http://catalog.hathitrust.org/Record/007122362","HathiTrust Record")</f>
        <v>HathiTrust Record</v>
      </c>
      <c r="AV41" s="6" t="str">
        <f>HYPERLINK("http://mcgill.on.worldcat.org/oclc/343862","Catalog Record")</f>
        <v>Catalog Record</v>
      </c>
      <c r="AW41" s="6" t="str">
        <f>HYPERLINK("http://www.worldcat.org/oclc/343862","WorldCat Record")</f>
        <v>WorldCat Record</v>
      </c>
      <c r="AX41" s="3" t="s">
        <v>496</v>
      </c>
      <c r="AY41" s="3" t="s">
        <v>497</v>
      </c>
      <c r="AZ41" s="3" t="s">
        <v>498</v>
      </c>
      <c r="BA41" s="3" t="s">
        <v>498</v>
      </c>
      <c r="BB41" s="3" t="s">
        <v>505</v>
      </c>
      <c r="BC41" s="3" t="s">
        <v>77</v>
      </c>
      <c r="BD41" s="3" t="s">
        <v>78</v>
      </c>
      <c r="BF41" s="3" t="s">
        <v>505</v>
      </c>
      <c r="BG41" s="3" t="s">
        <v>506</v>
      </c>
    </row>
    <row r="42" spans="1:59" ht="58" x14ac:dyDescent="0.35">
      <c r="A42" s="2" t="s">
        <v>59</v>
      </c>
      <c r="B42" s="2" t="s">
        <v>60</v>
      </c>
      <c r="C42" s="2" t="s">
        <v>487</v>
      </c>
      <c r="D42" s="2" t="s">
        <v>488</v>
      </c>
      <c r="E42" s="2" t="s">
        <v>489</v>
      </c>
      <c r="F42" s="3" t="s">
        <v>245</v>
      </c>
      <c r="G42" s="3" t="s">
        <v>209</v>
      </c>
      <c r="I42" s="3" t="s">
        <v>209</v>
      </c>
      <c r="J42" s="3" t="s">
        <v>65</v>
      </c>
      <c r="K42" s="3" t="s">
        <v>213</v>
      </c>
      <c r="L42" s="2" t="s">
        <v>491</v>
      </c>
      <c r="M42" s="2" t="s">
        <v>492</v>
      </c>
      <c r="N42" s="3" t="s">
        <v>493</v>
      </c>
      <c r="P42" s="3" t="s">
        <v>69</v>
      </c>
      <c r="R42" s="3" t="s">
        <v>71</v>
      </c>
      <c r="S42" s="4">
        <v>32</v>
      </c>
      <c r="T42" s="4">
        <v>109</v>
      </c>
      <c r="U42" s="5" t="s">
        <v>507</v>
      </c>
      <c r="V42" s="5" t="s">
        <v>495</v>
      </c>
      <c r="W42" s="5" t="s">
        <v>72</v>
      </c>
      <c r="X42" s="5" t="s">
        <v>72</v>
      </c>
      <c r="Y42" s="4">
        <v>774</v>
      </c>
      <c r="Z42" s="4">
        <v>34</v>
      </c>
      <c r="AA42" s="4">
        <v>43</v>
      </c>
      <c r="AB42" s="4">
        <v>2</v>
      </c>
      <c r="AC42" s="4">
        <v>5</v>
      </c>
      <c r="AD42" s="4">
        <v>124</v>
      </c>
      <c r="AE42" s="4">
        <v>134</v>
      </c>
      <c r="AF42" s="4">
        <v>1</v>
      </c>
      <c r="AG42" s="4">
        <v>4</v>
      </c>
      <c r="AH42" s="4">
        <v>104</v>
      </c>
      <c r="AI42" s="4">
        <v>109</v>
      </c>
      <c r="AJ42" s="4">
        <v>18</v>
      </c>
      <c r="AK42" s="4">
        <v>24</v>
      </c>
      <c r="AL42" s="4">
        <v>58</v>
      </c>
      <c r="AM42" s="4">
        <v>59</v>
      </c>
      <c r="AN42" s="4">
        <v>0</v>
      </c>
      <c r="AO42" s="4">
        <v>0</v>
      </c>
      <c r="AP42" s="4">
        <v>25</v>
      </c>
      <c r="AQ42" s="4">
        <v>30</v>
      </c>
      <c r="AR42" s="3" t="s">
        <v>65</v>
      </c>
      <c r="AS42" s="3" t="s">
        <v>209</v>
      </c>
      <c r="AT42" s="3" t="s">
        <v>65</v>
      </c>
      <c r="AU42" s="6" t="str">
        <f>HYPERLINK("http://catalog.hathitrust.org/Record/007122362","HathiTrust Record")</f>
        <v>HathiTrust Record</v>
      </c>
      <c r="AV42" s="6" t="str">
        <f>HYPERLINK("http://mcgill.on.worldcat.org/oclc/343862","Catalog Record")</f>
        <v>Catalog Record</v>
      </c>
      <c r="AW42" s="6" t="str">
        <f>HYPERLINK("http://www.worldcat.org/oclc/343862","WorldCat Record")</f>
        <v>WorldCat Record</v>
      </c>
      <c r="AX42" s="3" t="s">
        <v>496</v>
      </c>
      <c r="AY42" s="3" t="s">
        <v>497</v>
      </c>
      <c r="AZ42" s="3" t="s">
        <v>498</v>
      </c>
      <c r="BA42" s="3" t="s">
        <v>498</v>
      </c>
      <c r="BB42" s="3" t="s">
        <v>508</v>
      </c>
      <c r="BC42" s="3" t="s">
        <v>77</v>
      </c>
      <c r="BD42" s="3" t="s">
        <v>78</v>
      </c>
      <c r="BF42" s="3" t="s">
        <v>508</v>
      </c>
      <c r="BG42" s="3" t="s">
        <v>509</v>
      </c>
    </row>
    <row r="43" spans="1:59" ht="58" x14ac:dyDescent="0.35">
      <c r="A43" s="2" t="s">
        <v>59</v>
      </c>
      <c r="B43" s="2" t="s">
        <v>60</v>
      </c>
      <c r="C43" s="2" t="s">
        <v>510</v>
      </c>
      <c r="D43" s="2" t="s">
        <v>511</v>
      </c>
      <c r="E43" s="2" t="s">
        <v>512</v>
      </c>
      <c r="G43" s="3" t="s">
        <v>65</v>
      </c>
      <c r="I43" s="3" t="s">
        <v>65</v>
      </c>
      <c r="J43" s="3" t="s">
        <v>65</v>
      </c>
      <c r="K43" s="3" t="s">
        <v>66</v>
      </c>
      <c r="L43" s="2" t="s">
        <v>513</v>
      </c>
      <c r="M43" s="2" t="s">
        <v>514</v>
      </c>
      <c r="N43" s="3" t="s">
        <v>126</v>
      </c>
      <c r="O43" s="2" t="s">
        <v>515</v>
      </c>
      <c r="P43" s="3" t="s">
        <v>140</v>
      </c>
      <c r="R43" s="3" t="s">
        <v>71</v>
      </c>
      <c r="S43" s="4">
        <v>0</v>
      </c>
      <c r="T43" s="4">
        <v>0</v>
      </c>
      <c r="W43" s="5" t="s">
        <v>72</v>
      </c>
      <c r="X43" s="5" t="s">
        <v>72</v>
      </c>
      <c r="Y43" s="4">
        <v>22</v>
      </c>
      <c r="Z43" s="4">
        <v>3</v>
      </c>
      <c r="AA43" s="4">
        <v>4</v>
      </c>
      <c r="AB43" s="4">
        <v>1</v>
      </c>
      <c r="AC43" s="4">
        <v>2</v>
      </c>
      <c r="AD43" s="4">
        <v>13</v>
      </c>
      <c r="AE43" s="4">
        <v>19</v>
      </c>
      <c r="AF43" s="4">
        <v>0</v>
      </c>
      <c r="AG43" s="4">
        <v>1</v>
      </c>
      <c r="AH43" s="4">
        <v>12</v>
      </c>
      <c r="AI43" s="4">
        <v>17</v>
      </c>
      <c r="AJ43" s="4">
        <v>1</v>
      </c>
      <c r="AK43" s="4">
        <v>2</v>
      </c>
      <c r="AL43" s="4">
        <v>10</v>
      </c>
      <c r="AM43" s="4">
        <v>12</v>
      </c>
      <c r="AN43" s="4">
        <v>0</v>
      </c>
      <c r="AO43" s="4">
        <v>0</v>
      </c>
      <c r="AP43" s="4">
        <v>1</v>
      </c>
      <c r="AQ43" s="4">
        <v>2</v>
      </c>
      <c r="AR43" s="3" t="s">
        <v>65</v>
      </c>
      <c r="AS43" s="3" t="s">
        <v>65</v>
      </c>
      <c r="AT43" s="3" t="s">
        <v>65</v>
      </c>
      <c r="AV43" s="6" t="str">
        <f>HYPERLINK("http://mcgill.on.worldcat.org/oclc/738359701","Catalog Record")</f>
        <v>Catalog Record</v>
      </c>
      <c r="AW43" s="6" t="str">
        <f>HYPERLINK("http://www.worldcat.org/oclc/738359701","WorldCat Record")</f>
        <v>WorldCat Record</v>
      </c>
      <c r="AX43" s="3" t="s">
        <v>516</v>
      </c>
      <c r="AY43" s="3" t="s">
        <v>517</v>
      </c>
      <c r="AZ43" s="3" t="s">
        <v>518</v>
      </c>
      <c r="BA43" s="3" t="s">
        <v>518</v>
      </c>
      <c r="BB43" s="3" t="s">
        <v>519</v>
      </c>
      <c r="BC43" s="3" t="s">
        <v>77</v>
      </c>
      <c r="BD43" s="3" t="s">
        <v>78</v>
      </c>
      <c r="BF43" s="3" t="s">
        <v>519</v>
      </c>
      <c r="BG43" s="3" t="s">
        <v>520</v>
      </c>
    </row>
    <row r="44" spans="1:59" ht="58" x14ac:dyDescent="0.35">
      <c r="A44" s="2" t="s">
        <v>59</v>
      </c>
      <c r="B44" s="2" t="s">
        <v>60</v>
      </c>
      <c r="C44" s="2" t="s">
        <v>521</v>
      </c>
      <c r="D44" s="2" t="s">
        <v>522</v>
      </c>
      <c r="E44" s="2" t="s">
        <v>523</v>
      </c>
      <c r="G44" s="3" t="s">
        <v>65</v>
      </c>
      <c r="I44" s="3" t="s">
        <v>65</v>
      </c>
      <c r="J44" s="3" t="s">
        <v>65</v>
      </c>
      <c r="K44" s="3" t="s">
        <v>66</v>
      </c>
      <c r="M44" s="2" t="s">
        <v>524</v>
      </c>
      <c r="N44" s="3" t="s">
        <v>525</v>
      </c>
      <c r="O44" s="2" t="s">
        <v>526</v>
      </c>
      <c r="P44" s="3" t="s">
        <v>69</v>
      </c>
      <c r="Q44" s="2" t="s">
        <v>527</v>
      </c>
      <c r="R44" s="3" t="s">
        <v>71</v>
      </c>
      <c r="S44" s="4">
        <v>19</v>
      </c>
      <c r="T44" s="4">
        <v>19</v>
      </c>
      <c r="U44" s="5" t="s">
        <v>528</v>
      </c>
      <c r="V44" s="5" t="s">
        <v>528</v>
      </c>
      <c r="W44" s="5" t="s">
        <v>72</v>
      </c>
      <c r="X44" s="5" t="s">
        <v>72</v>
      </c>
      <c r="Y44" s="4">
        <v>287</v>
      </c>
      <c r="Z44" s="4">
        <v>26</v>
      </c>
      <c r="AA44" s="4">
        <v>36</v>
      </c>
      <c r="AB44" s="4">
        <v>2</v>
      </c>
      <c r="AC44" s="4">
        <v>5</v>
      </c>
      <c r="AD44" s="4">
        <v>106</v>
      </c>
      <c r="AE44" s="4">
        <v>111</v>
      </c>
      <c r="AF44" s="4">
        <v>1</v>
      </c>
      <c r="AG44" s="4">
        <v>2</v>
      </c>
      <c r="AH44" s="4">
        <v>94</v>
      </c>
      <c r="AI44" s="4">
        <v>94</v>
      </c>
      <c r="AJ44" s="4">
        <v>18</v>
      </c>
      <c r="AK44" s="4">
        <v>20</v>
      </c>
      <c r="AL44" s="4">
        <v>54</v>
      </c>
      <c r="AM44" s="4">
        <v>54</v>
      </c>
      <c r="AN44" s="4">
        <v>0</v>
      </c>
      <c r="AO44" s="4">
        <v>0</v>
      </c>
      <c r="AP44" s="4">
        <v>19</v>
      </c>
      <c r="AQ44" s="4">
        <v>23</v>
      </c>
      <c r="AR44" s="3" t="s">
        <v>65</v>
      </c>
      <c r="AS44" s="3" t="s">
        <v>65</v>
      </c>
      <c r="AT44" s="3" t="s">
        <v>65</v>
      </c>
      <c r="AV44" s="6" t="str">
        <f>HYPERLINK("http://mcgill.on.worldcat.org/oclc/53223737","Catalog Record")</f>
        <v>Catalog Record</v>
      </c>
      <c r="AW44" s="6" t="str">
        <f>HYPERLINK("http://www.worldcat.org/oclc/53223737","WorldCat Record")</f>
        <v>WorldCat Record</v>
      </c>
      <c r="AX44" s="3" t="s">
        <v>529</v>
      </c>
      <c r="AY44" s="3" t="s">
        <v>530</v>
      </c>
      <c r="AZ44" s="3" t="s">
        <v>531</v>
      </c>
      <c r="BA44" s="3" t="s">
        <v>531</v>
      </c>
      <c r="BB44" s="3" t="s">
        <v>532</v>
      </c>
      <c r="BC44" s="3" t="s">
        <v>77</v>
      </c>
      <c r="BD44" s="3" t="s">
        <v>78</v>
      </c>
      <c r="BE44" s="3" t="s">
        <v>533</v>
      </c>
      <c r="BF44" s="3" t="s">
        <v>532</v>
      </c>
      <c r="BG44" s="3" t="s">
        <v>534</v>
      </c>
    </row>
    <row r="45" spans="1:59" ht="58" x14ac:dyDescent="0.35">
      <c r="A45" s="2" t="s">
        <v>59</v>
      </c>
      <c r="B45" s="2" t="s">
        <v>60</v>
      </c>
      <c r="C45" s="2" t="s">
        <v>535</v>
      </c>
      <c r="D45" s="2" t="s">
        <v>536</v>
      </c>
      <c r="E45" s="2" t="s">
        <v>537</v>
      </c>
      <c r="G45" s="3" t="s">
        <v>65</v>
      </c>
      <c r="I45" s="3" t="s">
        <v>65</v>
      </c>
      <c r="J45" s="3" t="s">
        <v>65</v>
      </c>
      <c r="K45" s="3" t="s">
        <v>66</v>
      </c>
      <c r="L45" s="2" t="s">
        <v>538</v>
      </c>
      <c r="M45" s="2" t="s">
        <v>539</v>
      </c>
      <c r="N45" s="3" t="s">
        <v>152</v>
      </c>
      <c r="P45" s="3" t="s">
        <v>140</v>
      </c>
      <c r="Q45" s="2" t="s">
        <v>540</v>
      </c>
      <c r="R45" s="3" t="s">
        <v>71</v>
      </c>
      <c r="S45" s="4">
        <v>0</v>
      </c>
      <c r="T45" s="4">
        <v>0</v>
      </c>
      <c r="W45" s="5" t="s">
        <v>72</v>
      </c>
      <c r="X45" s="5" t="s">
        <v>72</v>
      </c>
      <c r="Y45" s="4">
        <v>39</v>
      </c>
      <c r="Z45" s="4">
        <v>3</v>
      </c>
      <c r="AA45" s="4">
        <v>3</v>
      </c>
      <c r="AB45" s="4">
        <v>1</v>
      </c>
      <c r="AC45" s="4">
        <v>1</v>
      </c>
      <c r="AD45" s="4">
        <v>22</v>
      </c>
      <c r="AE45" s="4">
        <v>22</v>
      </c>
      <c r="AF45" s="4">
        <v>0</v>
      </c>
      <c r="AG45" s="4">
        <v>0</v>
      </c>
      <c r="AH45" s="4">
        <v>21</v>
      </c>
      <c r="AI45" s="4">
        <v>21</v>
      </c>
      <c r="AJ45" s="4">
        <v>1</v>
      </c>
      <c r="AK45" s="4">
        <v>1</v>
      </c>
      <c r="AL45" s="4">
        <v>18</v>
      </c>
      <c r="AM45" s="4">
        <v>18</v>
      </c>
      <c r="AN45" s="4">
        <v>0</v>
      </c>
      <c r="AO45" s="4">
        <v>0</v>
      </c>
      <c r="AP45" s="4">
        <v>1</v>
      </c>
      <c r="AQ45" s="4">
        <v>1</v>
      </c>
      <c r="AR45" s="3" t="s">
        <v>65</v>
      </c>
      <c r="AS45" s="3" t="s">
        <v>65</v>
      </c>
      <c r="AT45" s="3" t="s">
        <v>65</v>
      </c>
      <c r="AV45" s="6" t="str">
        <f>HYPERLINK("http://mcgill.on.worldcat.org/oclc/830363107","Catalog Record")</f>
        <v>Catalog Record</v>
      </c>
      <c r="AW45" s="6" t="str">
        <f>HYPERLINK("http://www.worldcat.org/oclc/830363107","WorldCat Record")</f>
        <v>WorldCat Record</v>
      </c>
      <c r="AX45" s="3" t="s">
        <v>541</v>
      </c>
      <c r="AY45" s="3" t="s">
        <v>542</v>
      </c>
      <c r="AZ45" s="3" t="s">
        <v>543</v>
      </c>
      <c r="BA45" s="3" t="s">
        <v>543</v>
      </c>
      <c r="BB45" s="3" t="s">
        <v>544</v>
      </c>
      <c r="BC45" s="3" t="s">
        <v>77</v>
      </c>
      <c r="BD45" s="3" t="s">
        <v>78</v>
      </c>
      <c r="BE45" s="3" t="s">
        <v>545</v>
      </c>
      <c r="BF45" s="3" t="s">
        <v>544</v>
      </c>
      <c r="BG45" s="3" t="s">
        <v>546</v>
      </c>
    </row>
    <row r="46" spans="1:59" ht="58" x14ac:dyDescent="0.35">
      <c r="A46" s="2" t="s">
        <v>59</v>
      </c>
      <c r="B46" s="2" t="s">
        <v>60</v>
      </c>
      <c r="C46" s="2" t="s">
        <v>547</v>
      </c>
      <c r="D46" s="2" t="s">
        <v>548</v>
      </c>
      <c r="E46" s="2" t="s">
        <v>549</v>
      </c>
      <c r="G46" s="3" t="s">
        <v>65</v>
      </c>
      <c r="I46" s="3" t="s">
        <v>65</v>
      </c>
      <c r="J46" s="3" t="s">
        <v>65</v>
      </c>
      <c r="K46" s="3" t="s">
        <v>66</v>
      </c>
      <c r="L46" s="2" t="s">
        <v>550</v>
      </c>
      <c r="M46" s="2" t="s">
        <v>551</v>
      </c>
      <c r="N46" s="3" t="s">
        <v>552</v>
      </c>
      <c r="P46" s="3" t="s">
        <v>140</v>
      </c>
      <c r="R46" s="3" t="s">
        <v>71</v>
      </c>
      <c r="S46" s="4">
        <v>2</v>
      </c>
      <c r="T46" s="4">
        <v>2</v>
      </c>
      <c r="U46" s="5" t="s">
        <v>553</v>
      </c>
      <c r="V46" s="5" t="s">
        <v>553</v>
      </c>
      <c r="W46" s="5" t="s">
        <v>72</v>
      </c>
      <c r="X46" s="5" t="s">
        <v>72</v>
      </c>
      <c r="Y46" s="4">
        <v>34</v>
      </c>
      <c r="Z46" s="4">
        <v>1</v>
      </c>
      <c r="AA46" s="4">
        <v>1</v>
      </c>
      <c r="AB46" s="4">
        <v>1</v>
      </c>
      <c r="AC46" s="4">
        <v>1</v>
      </c>
      <c r="AD46" s="4">
        <v>24</v>
      </c>
      <c r="AE46" s="4">
        <v>24</v>
      </c>
      <c r="AF46" s="4">
        <v>0</v>
      </c>
      <c r="AG46" s="4">
        <v>0</v>
      </c>
      <c r="AH46" s="4">
        <v>22</v>
      </c>
      <c r="AI46" s="4">
        <v>22</v>
      </c>
      <c r="AJ46" s="4">
        <v>0</v>
      </c>
      <c r="AK46" s="4">
        <v>0</v>
      </c>
      <c r="AL46" s="4">
        <v>22</v>
      </c>
      <c r="AM46" s="4">
        <v>22</v>
      </c>
      <c r="AN46" s="4">
        <v>0</v>
      </c>
      <c r="AO46" s="4">
        <v>0</v>
      </c>
      <c r="AP46" s="4">
        <v>0</v>
      </c>
      <c r="AQ46" s="4">
        <v>0</v>
      </c>
      <c r="AR46" s="3" t="s">
        <v>65</v>
      </c>
      <c r="AS46" s="3" t="s">
        <v>65</v>
      </c>
      <c r="AT46" s="3" t="s">
        <v>209</v>
      </c>
      <c r="AU46" s="6" t="str">
        <f>HYPERLINK("http://catalog.hathitrust.org/Record/003298251","HathiTrust Record")</f>
        <v>HathiTrust Record</v>
      </c>
      <c r="AV46" s="6" t="str">
        <f>HYPERLINK("http://mcgill.on.worldcat.org/oclc/39170732","Catalog Record")</f>
        <v>Catalog Record</v>
      </c>
      <c r="AW46" s="6" t="str">
        <f>HYPERLINK("http://www.worldcat.org/oclc/39170732","WorldCat Record")</f>
        <v>WorldCat Record</v>
      </c>
      <c r="AX46" s="3" t="s">
        <v>554</v>
      </c>
      <c r="AY46" s="3" t="s">
        <v>555</v>
      </c>
      <c r="AZ46" s="3" t="s">
        <v>556</v>
      </c>
      <c r="BA46" s="3" t="s">
        <v>556</v>
      </c>
      <c r="BB46" s="3" t="s">
        <v>557</v>
      </c>
      <c r="BC46" s="3" t="s">
        <v>77</v>
      </c>
      <c r="BD46" s="3" t="s">
        <v>78</v>
      </c>
      <c r="BF46" s="3" t="s">
        <v>557</v>
      </c>
      <c r="BG46" s="3" t="s">
        <v>558</v>
      </c>
    </row>
    <row r="47" spans="1:59" ht="58" x14ac:dyDescent="0.35">
      <c r="A47" s="2" t="s">
        <v>59</v>
      </c>
      <c r="B47" s="2" t="s">
        <v>60</v>
      </c>
      <c r="C47" s="2" t="s">
        <v>559</v>
      </c>
      <c r="D47" s="2" t="s">
        <v>560</v>
      </c>
      <c r="E47" s="2" t="s">
        <v>561</v>
      </c>
      <c r="G47" s="3" t="s">
        <v>65</v>
      </c>
      <c r="I47" s="3" t="s">
        <v>65</v>
      </c>
      <c r="J47" s="3" t="s">
        <v>65</v>
      </c>
      <c r="K47" s="3" t="s">
        <v>66</v>
      </c>
      <c r="L47" s="2" t="s">
        <v>562</v>
      </c>
      <c r="M47" s="2" t="s">
        <v>563</v>
      </c>
      <c r="N47" s="3" t="s">
        <v>564</v>
      </c>
      <c r="P47" s="3" t="s">
        <v>140</v>
      </c>
      <c r="Q47" s="2" t="s">
        <v>565</v>
      </c>
      <c r="R47" s="3" t="s">
        <v>71</v>
      </c>
      <c r="S47" s="4">
        <v>2</v>
      </c>
      <c r="T47" s="4">
        <v>2</v>
      </c>
      <c r="U47" s="5" t="s">
        <v>566</v>
      </c>
      <c r="V47" s="5" t="s">
        <v>566</v>
      </c>
      <c r="W47" s="5" t="s">
        <v>72</v>
      </c>
      <c r="X47" s="5" t="s">
        <v>72</v>
      </c>
      <c r="Y47" s="4">
        <v>89</v>
      </c>
      <c r="Z47" s="4">
        <v>7</v>
      </c>
      <c r="AA47" s="4">
        <v>7</v>
      </c>
      <c r="AB47" s="4">
        <v>1</v>
      </c>
      <c r="AC47" s="4">
        <v>1</v>
      </c>
      <c r="AD47" s="4">
        <v>44</v>
      </c>
      <c r="AE47" s="4">
        <v>44</v>
      </c>
      <c r="AF47" s="4">
        <v>0</v>
      </c>
      <c r="AG47" s="4">
        <v>0</v>
      </c>
      <c r="AH47" s="4">
        <v>40</v>
      </c>
      <c r="AI47" s="4">
        <v>40</v>
      </c>
      <c r="AJ47" s="4">
        <v>4</v>
      </c>
      <c r="AK47" s="4">
        <v>4</v>
      </c>
      <c r="AL47" s="4">
        <v>30</v>
      </c>
      <c r="AM47" s="4">
        <v>30</v>
      </c>
      <c r="AN47" s="4">
        <v>0</v>
      </c>
      <c r="AO47" s="4">
        <v>0</v>
      </c>
      <c r="AP47" s="4">
        <v>4</v>
      </c>
      <c r="AQ47" s="4">
        <v>4</v>
      </c>
      <c r="AR47" s="3" t="s">
        <v>65</v>
      </c>
      <c r="AS47" s="3" t="s">
        <v>65</v>
      </c>
      <c r="AT47" s="3" t="s">
        <v>209</v>
      </c>
      <c r="AU47" s="6" t="str">
        <f>HYPERLINK("http://catalog.hathitrust.org/Record/006681317","HathiTrust Record")</f>
        <v>HathiTrust Record</v>
      </c>
      <c r="AV47" s="6" t="str">
        <f>HYPERLINK("http://mcgill.on.worldcat.org/oclc/610519","Catalog Record")</f>
        <v>Catalog Record</v>
      </c>
      <c r="AW47" s="6" t="str">
        <f>HYPERLINK("http://www.worldcat.org/oclc/610519","WorldCat Record")</f>
        <v>WorldCat Record</v>
      </c>
      <c r="AX47" s="3" t="s">
        <v>567</v>
      </c>
      <c r="AY47" s="3" t="s">
        <v>568</v>
      </c>
      <c r="AZ47" s="3" t="s">
        <v>569</v>
      </c>
      <c r="BA47" s="3" t="s">
        <v>569</v>
      </c>
      <c r="BB47" s="3" t="s">
        <v>570</v>
      </c>
      <c r="BC47" s="3" t="s">
        <v>77</v>
      </c>
      <c r="BD47" s="3" t="s">
        <v>78</v>
      </c>
      <c r="BF47" s="3" t="s">
        <v>570</v>
      </c>
      <c r="BG47" s="3" t="s">
        <v>571</v>
      </c>
    </row>
    <row r="48" spans="1:59" ht="58" x14ac:dyDescent="0.35">
      <c r="A48" s="2" t="s">
        <v>59</v>
      </c>
      <c r="B48" s="2" t="s">
        <v>60</v>
      </c>
      <c r="C48" s="2" t="s">
        <v>572</v>
      </c>
      <c r="D48" s="2" t="s">
        <v>573</v>
      </c>
      <c r="E48" s="2" t="s">
        <v>574</v>
      </c>
      <c r="G48" s="3" t="s">
        <v>65</v>
      </c>
      <c r="I48" s="3" t="s">
        <v>65</v>
      </c>
      <c r="J48" s="3" t="s">
        <v>65</v>
      </c>
      <c r="K48" s="3" t="s">
        <v>66</v>
      </c>
      <c r="L48" s="2" t="s">
        <v>575</v>
      </c>
      <c r="M48" s="2" t="s">
        <v>576</v>
      </c>
      <c r="N48" s="3" t="s">
        <v>577</v>
      </c>
      <c r="P48" s="3" t="s">
        <v>140</v>
      </c>
      <c r="Q48" s="2" t="s">
        <v>578</v>
      </c>
      <c r="R48" s="3" t="s">
        <v>71</v>
      </c>
      <c r="S48" s="4">
        <v>10</v>
      </c>
      <c r="T48" s="4">
        <v>10</v>
      </c>
      <c r="U48" s="5" t="s">
        <v>579</v>
      </c>
      <c r="V48" s="5" t="s">
        <v>579</v>
      </c>
      <c r="W48" s="5" t="s">
        <v>72</v>
      </c>
      <c r="X48" s="5" t="s">
        <v>72</v>
      </c>
      <c r="Y48" s="4">
        <v>121</v>
      </c>
      <c r="Z48" s="4">
        <v>11</v>
      </c>
      <c r="AA48" s="4">
        <v>13</v>
      </c>
      <c r="AB48" s="4">
        <v>1</v>
      </c>
      <c r="AC48" s="4">
        <v>1</v>
      </c>
      <c r="AD48" s="4">
        <v>60</v>
      </c>
      <c r="AE48" s="4">
        <v>62</v>
      </c>
      <c r="AF48" s="4">
        <v>0</v>
      </c>
      <c r="AG48" s="4">
        <v>0</v>
      </c>
      <c r="AH48" s="4">
        <v>54</v>
      </c>
      <c r="AI48" s="4">
        <v>56</v>
      </c>
      <c r="AJ48" s="4">
        <v>8</v>
      </c>
      <c r="AK48" s="4">
        <v>10</v>
      </c>
      <c r="AL48" s="4">
        <v>35</v>
      </c>
      <c r="AM48" s="4">
        <v>35</v>
      </c>
      <c r="AN48" s="4">
        <v>0</v>
      </c>
      <c r="AO48" s="4">
        <v>0</v>
      </c>
      <c r="AP48" s="4">
        <v>9</v>
      </c>
      <c r="AQ48" s="4">
        <v>11</v>
      </c>
      <c r="AR48" s="3" t="s">
        <v>65</v>
      </c>
      <c r="AS48" s="3" t="s">
        <v>65</v>
      </c>
      <c r="AT48" s="3" t="s">
        <v>65</v>
      </c>
      <c r="AV48" s="6" t="str">
        <f>HYPERLINK("http://mcgill.on.worldcat.org/oclc/5735591","Catalog Record")</f>
        <v>Catalog Record</v>
      </c>
      <c r="AW48" s="6" t="str">
        <f>HYPERLINK("http://www.worldcat.org/oclc/5735591","WorldCat Record")</f>
        <v>WorldCat Record</v>
      </c>
      <c r="AX48" s="3" t="s">
        <v>580</v>
      </c>
      <c r="AY48" s="3" t="s">
        <v>581</v>
      </c>
      <c r="AZ48" s="3" t="s">
        <v>582</v>
      </c>
      <c r="BA48" s="3" t="s">
        <v>582</v>
      </c>
      <c r="BB48" s="3" t="s">
        <v>583</v>
      </c>
      <c r="BC48" s="3" t="s">
        <v>77</v>
      </c>
      <c r="BD48" s="3" t="s">
        <v>78</v>
      </c>
      <c r="BE48" s="3" t="s">
        <v>584</v>
      </c>
      <c r="BF48" s="3" t="s">
        <v>583</v>
      </c>
      <c r="BG48" s="3" t="s">
        <v>585</v>
      </c>
    </row>
    <row r="49" spans="1:59" ht="58" x14ac:dyDescent="0.35">
      <c r="A49" s="2" t="s">
        <v>59</v>
      </c>
      <c r="B49" s="2" t="s">
        <v>60</v>
      </c>
      <c r="C49" s="2" t="s">
        <v>586</v>
      </c>
      <c r="D49" s="2" t="s">
        <v>587</v>
      </c>
      <c r="E49" s="2" t="s">
        <v>588</v>
      </c>
      <c r="F49" s="3" t="s">
        <v>245</v>
      </c>
      <c r="G49" s="3" t="s">
        <v>209</v>
      </c>
      <c r="I49" s="3" t="s">
        <v>65</v>
      </c>
      <c r="J49" s="3" t="s">
        <v>65</v>
      </c>
      <c r="K49" s="3" t="s">
        <v>66</v>
      </c>
      <c r="M49" s="2" t="s">
        <v>338</v>
      </c>
      <c r="N49" s="3" t="s">
        <v>113</v>
      </c>
      <c r="O49" s="2" t="s">
        <v>339</v>
      </c>
      <c r="P49" s="3" t="s">
        <v>140</v>
      </c>
      <c r="Q49" s="2" t="s">
        <v>589</v>
      </c>
      <c r="R49" s="3" t="s">
        <v>71</v>
      </c>
      <c r="S49" s="4">
        <v>0</v>
      </c>
      <c r="T49" s="4">
        <v>0</v>
      </c>
      <c r="W49" s="5" t="s">
        <v>72</v>
      </c>
      <c r="X49" s="5" t="s">
        <v>72</v>
      </c>
      <c r="Y49" s="4">
        <v>23</v>
      </c>
      <c r="Z49" s="4">
        <v>3</v>
      </c>
      <c r="AA49" s="4">
        <v>3</v>
      </c>
      <c r="AB49" s="4">
        <v>1</v>
      </c>
      <c r="AC49" s="4">
        <v>1</v>
      </c>
      <c r="AD49" s="4">
        <v>18</v>
      </c>
      <c r="AE49" s="4">
        <v>18</v>
      </c>
      <c r="AF49" s="4">
        <v>0</v>
      </c>
      <c r="AG49" s="4">
        <v>0</v>
      </c>
      <c r="AH49" s="4">
        <v>17</v>
      </c>
      <c r="AI49" s="4">
        <v>17</v>
      </c>
      <c r="AJ49" s="4">
        <v>1</v>
      </c>
      <c r="AK49" s="4">
        <v>1</v>
      </c>
      <c r="AL49" s="4">
        <v>15</v>
      </c>
      <c r="AM49" s="4">
        <v>15</v>
      </c>
      <c r="AN49" s="4">
        <v>0</v>
      </c>
      <c r="AO49" s="4">
        <v>0</v>
      </c>
      <c r="AP49" s="4">
        <v>1</v>
      </c>
      <c r="AQ49" s="4">
        <v>1</v>
      </c>
      <c r="AR49" s="3" t="s">
        <v>65</v>
      </c>
      <c r="AS49" s="3" t="s">
        <v>65</v>
      </c>
      <c r="AT49" s="3" t="s">
        <v>65</v>
      </c>
      <c r="AV49" s="6" t="str">
        <f>HYPERLINK("http://mcgill.on.worldcat.org/oclc/785335966","Catalog Record")</f>
        <v>Catalog Record</v>
      </c>
      <c r="AW49" s="6" t="str">
        <f>HYPERLINK("http://www.worldcat.org/oclc/785335966","WorldCat Record")</f>
        <v>WorldCat Record</v>
      </c>
      <c r="AX49" s="3" t="s">
        <v>590</v>
      </c>
      <c r="AY49" s="3" t="s">
        <v>591</v>
      </c>
      <c r="AZ49" s="3" t="s">
        <v>592</v>
      </c>
      <c r="BA49" s="3" t="s">
        <v>592</v>
      </c>
      <c r="BB49" s="3" t="s">
        <v>593</v>
      </c>
      <c r="BC49" s="3" t="s">
        <v>77</v>
      </c>
      <c r="BD49" s="3" t="s">
        <v>78</v>
      </c>
      <c r="BE49" s="3" t="s">
        <v>594</v>
      </c>
      <c r="BF49" s="3" t="s">
        <v>593</v>
      </c>
      <c r="BG49" s="3" t="s">
        <v>595</v>
      </c>
    </row>
    <row r="50" spans="1:59" ht="58" x14ac:dyDescent="0.35">
      <c r="A50" s="2" t="s">
        <v>59</v>
      </c>
      <c r="B50" s="2" t="s">
        <v>60</v>
      </c>
      <c r="C50" s="2" t="s">
        <v>586</v>
      </c>
      <c r="D50" s="2" t="s">
        <v>587</v>
      </c>
      <c r="E50" s="2" t="s">
        <v>588</v>
      </c>
      <c r="F50" s="3" t="s">
        <v>258</v>
      </c>
      <c r="G50" s="3" t="s">
        <v>209</v>
      </c>
      <c r="I50" s="3" t="s">
        <v>65</v>
      </c>
      <c r="J50" s="3" t="s">
        <v>65</v>
      </c>
      <c r="K50" s="3" t="s">
        <v>66</v>
      </c>
      <c r="M50" s="2" t="s">
        <v>338</v>
      </c>
      <c r="N50" s="3" t="s">
        <v>113</v>
      </c>
      <c r="O50" s="2" t="s">
        <v>339</v>
      </c>
      <c r="P50" s="3" t="s">
        <v>140</v>
      </c>
      <c r="Q50" s="2" t="s">
        <v>589</v>
      </c>
      <c r="R50" s="3" t="s">
        <v>71</v>
      </c>
      <c r="S50" s="4">
        <v>0</v>
      </c>
      <c r="T50" s="4">
        <v>0</v>
      </c>
      <c r="W50" s="5" t="s">
        <v>72</v>
      </c>
      <c r="X50" s="5" t="s">
        <v>72</v>
      </c>
      <c r="Y50" s="4">
        <v>23</v>
      </c>
      <c r="Z50" s="4">
        <v>3</v>
      </c>
      <c r="AA50" s="4">
        <v>3</v>
      </c>
      <c r="AB50" s="4">
        <v>1</v>
      </c>
      <c r="AC50" s="4">
        <v>1</v>
      </c>
      <c r="AD50" s="4">
        <v>18</v>
      </c>
      <c r="AE50" s="4">
        <v>18</v>
      </c>
      <c r="AF50" s="4">
        <v>0</v>
      </c>
      <c r="AG50" s="4">
        <v>0</v>
      </c>
      <c r="AH50" s="4">
        <v>17</v>
      </c>
      <c r="AI50" s="4">
        <v>17</v>
      </c>
      <c r="AJ50" s="4">
        <v>1</v>
      </c>
      <c r="AK50" s="4">
        <v>1</v>
      </c>
      <c r="AL50" s="4">
        <v>15</v>
      </c>
      <c r="AM50" s="4">
        <v>15</v>
      </c>
      <c r="AN50" s="4">
        <v>0</v>
      </c>
      <c r="AO50" s="4">
        <v>0</v>
      </c>
      <c r="AP50" s="4">
        <v>1</v>
      </c>
      <c r="AQ50" s="4">
        <v>1</v>
      </c>
      <c r="AR50" s="3" t="s">
        <v>65</v>
      </c>
      <c r="AS50" s="3" t="s">
        <v>65</v>
      </c>
      <c r="AT50" s="3" t="s">
        <v>65</v>
      </c>
      <c r="AV50" s="6" t="str">
        <f>HYPERLINK("http://mcgill.on.worldcat.org/oclc/785335966","Catalog Record")</f>
        <v>Catalog Record</v>
      </c>
      <c r="AW50" s="6" t="str">
        <f>HYPERLINK("http://www.worldcat.org/oclc/785335966","WorldCat Record")</f>
        <v>WorldCat Record</v>
      </c>
      <c r="AX50" s="3" t="s">
        <v>590</v>
      </c>
      <c r="AY50" s="3" t="s">
        <v>591</v>
      </c>
      <c r="AZ50" s="3" t="s">
        <v>592</v>
      </c>
      <c r="BA50" s="3" t="s">
        <v>592</v>
      </c>
      <c r="BB50" s="3" t="s">
        <v>596</v>
      </c>
      <c r="BC50" s="3" t="s">
        <v>77</v>
      </c>
      <c r="BD50" s="3" t="s">
        <v>78</v>
      </c>
      <c r="BE50" s="3" t="s">
        <v>594</v>
      </c>
      <c r="BF50" s="3" t="s">
        <v>596</v>
      </c>
      <c r="BG50" s="3" t="s">
        <v>597</v>
      </c>
    </row>
    <row r="51" spans="1:59" ht="58" x14ac:dyDescent="0.35">
      <c r="A51" s="2" t="s">
        <v>59</v>
      </c>
      <c r="B51" s="2" t="s">
        <v>60</v>
      </c>
      <c r="C51" s="2" t="s">
        <v>598</v>
      </c>
      <c r="D51" s="2" t="s">
        <v>599</v>
      </c>
      <c r="E51" s="2" t="s">
        <v>600</v>
      </c>
      <c r="G51" s="3" t="s">
        <v>65</v>
      </c>
      <c r="I51" s="3" t="s">
        <v>65</v>
      </c>
      <c r="J51" s="3" t="s">
        <v>65</v>
      </c>
      <c r="K51" s="3" t="s">
        <v>66</v>
      </c>
      <c r="L51" s="2" t="s">
        <v>601</v>
      </c>
      <c r="M51" s="2" t="s">
        <v>602</v>
      </c>
      <c r="N51" s="3" t="s">
        <v>221</v>
      </c>
      <c r="P51" s="3" t="s">
        <v>140</v>
      </c>
      <c r="R51" s="3" t="s">
        <v>71</v>
      </c>
      <c r="S51" s="4">
        <v>3</v>
      </c>
      <c r="T51" s="4">
        <v>3</v>
      </c>
      <c r="U51" s="5" t="s">
        <v>603</v>
      </c>
      <c r="V51" s="5" t="s">
        <v>603</v>
      </c>
      <c r="W51" s="5" t="s">
        <v>72</v>
      </c>
      <c r="X51" s="5" t="s">
        <v>72</v>
      </c>
      <c r="Y51" s="4">
        <v>45</v>
      </c>
      <c r="Z51" s="4">
        <v>3</v>
      </c>
      <c r="AA51" s="4">
        <v>3</v>
      </c>
      <c r="AB51" s="4">
        <v>1</v>
      </c>
      <c r="AC51" s="4">
        <v>1</v>
      </c>
      <c r="AD51" s="4">
        <v>28</v>
      </c>
      <c r="AE51" s="4">
        <v>28</v>
      </c>
      <c r="AF51" s="4">
        <v>0</v>
      </c>
      <c r="AG51" s="4">
        <v>0</v>
      </c>
      <c r="AH51" s="4">
        <v>27</v>
      </c>
      <c r="AI51" s="4">
        <v>27</v>
      </c>
      <c r="AJ51" s="4">
        <v>1</v>
      </c>
      <c r="AK51" s="4">
        <v>1</v>
      </c>
      <c r="AL51" s="4">
        <v>23</v>
      </c>
      <c r="AM51" s="4">
        <v>23</v>
      </c>
      <c r="AN51" s="4">
        <v>0</v>
      </c>
      <c r="AO51" s="4">
        <v>0</v>
      </c>
      <c r="AP51" s="4">
        <v>1</v>
      </c>
      <c r="AQ51" s="4">
        <v>1</v>
      </c>
      <c r="AR51" s="3" t="s">
        <v>65</v>
      </c>
      <c r="AS51" s="3" t="s">
        <v>65</v>
      </c>
      <c r="AT51" s="3" t="s">
        <v>209</v>
      </c>
      <c r="AU51" s="6" t="str">
        <f>HYPERLINK("http://catalog.hathitrust.org/Record/005571427","HathiTrust Record")</f>
        <v>HathiTrust Record</v>
      </c>
      <c r="AV51" s="6" t="str">
        <f>HYPERLINK("http://mcgill.on.worldcat.org/oclc/124073635","Catalog Record")</f>
        <v>Catalog Record</v>
      </c>
      <c r="AW51" s="6" t="str">
        <f>HYPERLINK("http://www.worldcat.org/oclc/124073635","WorldCat Record")</f>
        <v>WorldCat Record</v>
      </c>
      <c r="AX51" s="3" t="s">
        <v>604</v>
      </c>
      <c r="AY51" s="3" t="s">
        <v>605</v>
      </c>
      <c r="AZ51" s="3" t="s">
        <v>606</v>
      </c>
      <c r="BA51" s="3" t="s">
        <v>606</v>
      </c>
      <c r="BB51" s="3" t="s">
        <v>607</v>
      </c>
      <c r="BC51" s="3" t="s">
        <v>77</v>
      </c>
      <c r="BD51" s="3" t="s">
        <v>78</v>
      </c>
      <c r="BE51" s="3" t="s">
        <v>608</v>
      </c>
      <c r="BF51" s="3" t="s">
        <v>607</v>
      </c>
      <c r="BG51" s="3" t="s">
        <v>609</v>
      </c>
    </row>
    <row r="52" spans="1:59" ht="58" x14ac:dyDescent="0.35">
      <c r="A52" s="2" t="s">
        <v>59</v>
      </c>
      <c r="B52" s="2" t="s">
        <v>60</v>
      </c>
      <c r="C52" s="2" t="s">
        <v>610</v>
      </c>
      <c r="D52" s="2" t="s">
        <v>611</v>
      </c>
      <c r="E52" s="2" t="s">
        <v>612</v>
      </c>
      <c r="G52" s="3" t="s">
        <v>65</v>
      </c>
      <c r="I52" s="3" t="s">
        <v>65</v>
      </c>
      <c r="J52" s="3" t="s">
        <v>65</v>
      </c>
      <c r="K52" s="3" t="s">
        <v>66</v>
      </c>
      <c r="L52" s="2" t="s">
        <v>613</v>
      </c>
      <c r="M52" s="2" t="s">
        <v>614</v>
      </c>
      <c r="N52" s="3" t="s">
        <v>615</v>
      </c>
      <c r="P52" s="3" t="s">
        <v>616</v>
      </c>
      <c r="R52" s="3" t="s">
        <v>71</v>
      </c>
      <c r="S52" s="4">
        <v>2</v>
      </c>
      <c r="T52" s="4">
        <v>2</v>
      </c>
      <c r="U52" s="5" t="s">
        <v>617</v>
      </c>
      <c r="V52" s="5" t="s">
        <v>617</v>
      </c>
      <c r="W52" s="5" t="s">
        <v>72</v>
      </c>
      <c r="X52" s="5" t="s">
        <v>72</v>
      </c>
      <c r="Y52" s="4">
        <v>9</v>
      </c>
      <c r="Z52" s="4">
        <v>2</v>
      </c>
      <c r="AA52" s="4">
        <v>5</v>
      </c>
      <c r="AB52" s="4">
        <v>2</v>
      </c>
      <c r="AC52" s="4">
        <v>5</v>
      </c>
      <c r="AD52" s="4">
        <v>2</v>
      </c>
      <c r="AE52" s="4">
        <v>4</v>
      </c>
      <c r="AF52" s="4">
        <v>1</v>
      </c>
      <c r="AG52" s="4">
        <v>3</v>
      </c>
      <c r="AH52" s="4">
        <v>0</v>
      </c>
      <c r="AI52" s="4">
        <v>1</v>
      </c>
      <c r="AJ52" s="4">
        <v>1</v>
      </c>
      <c r="AK52" s="4">
        <v>3</v>
      </c>
      <c r="AL52" s="4">
        <v>1</v>
      </c>
      <c r="AM52" s="4">
        <v>1</v>
      </c>
      <c r="AN52" s="4">
        <v>0</v>
      </c>
      <c r="AO52" s="4">
        <v>0</v>
      </c>
      <c r="AP52" s="4">
        <v>1</v>
      </c>
      <c r="AQ52" s="4">
        <v>3</v>
      </c>
      <c r="AR52" s="3" t="s">
        <v>65</v>
      </c>
      <c r="AS52" s="3" t="s">
        <v>65</v>
      </c>
      <c r="AT52" s="3" t="s">
        <v>65</v>
      </c>
      <c r="AV52" s="6" t="str">
        <f>HYPERLINK("http://mcgill.on.worldcat.org/oclc/22270808","Catalog Record")</f>
        <v>Catalog Record</v>
      </c>
      <c r="AW52" s="6" t="str">
        <f>HYPERLINK("http://www.worldcat.org/oclc/22270808","WorldCat Record")</f>
        <v>WorldCat Record</v>
      </c>
      <c r="AX52" s="3" t="s">
        <v>618</v>
      </c>
      <c r="AY52" s="3" t="s">
        <v>619</v>
      </c>
      <c r="AZ52" s="3" t="s">
        <v>620</v>
      </c>
      <c r="BA52" s="3" t="s">
        <v>620</v>
      </c>
      <c r="BB52" s="3" t="s">
        <v>621</v>
      </c>
      <c r="BC52" s="3" t="s">
        <v>77</v>
      </c>
      <c r="BD52" s="3" t="s">
        <v>78</v>
      </c>
      <c r="BE52" s="3" t="s">
        <v>622</v>
      </c>
      <c r="BF52" s="3" t="s">
        <v>621</v>
      </c>
      <c r="BG52" s="3" t="s">
        <v>623</v>
      </c>
    </row>
    <row r="53" spans="1:59" ht="58" x14ac:dyDescent="0.35">
      <c r="A53" s="2" t="s">
        <v>59</v>
      </c>
      <c r="B53" s="2" t="s">
        <v>60</v>
      </c>
      <c r="C53" s="2" t="s">
        <v>624</v>
      </c>
      <c r="D53" s="2" t="s">
        <v>625</v>
      </c>
      <c r="E53" s="2" t="s">
        <v>626</v>
      </c>
      <c r="G53" s="3" t="s">
        <v>65</v>
      </c>
      <c r="I53" s="3" t="s">
        <v>65</v>
      </c>
      <c r="J53" s="3" t="s">
        <v>65</v>
      </c>
      <c r="K53" s="3" t="s">
        <v>66</v>
      </c>
      <c r="L53" s="2" t="s">
        <v>627</v>
      </c>
      <c r="M53" s="2" t="s">
        <v>628</v>
      </c>
      <c r="N53" s="3" t="s">
        <v>86</v>
      </c>
      <c r="P53" s="3" t="s">
        <v>140</v>
      </c>
      <c r="Q53" s="2" t="s">
        <v>629</v>
      </c>
      <c r="R53" s="3" t="s">
        <v>71</v>
      </c>
      <c r="S53" s="4">
        <v>0</v>
      </c>
      <c r="T53" s="4">
        <v>0</v>
      </c>
      <c r="W53" s="5" t="s">
        <v>630</v>
      </c>
      <c r="X53" s="5" t="s">
        <v>630</v>
      </c>
      <c r="Y53" s="4">
        <v>1</v>
      </c>
      <c r="Z53" s="4">
        <v>1</v>
      </c>
      <c r="AA53" s="4">
        <v>1</v>
      </c>
      <c r="AB53" s="4">
        <v>1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3" t="s">
        <v>65</v>
      </c>
      <c r="AS53" s="3" t="s">
        <v>65</v>
      </c>
      <c r="AT53" s="3" t="s">
        <v>65</v>
      </c>
      <c r="AV53" s="6" t="str">
        <f>HYPERLINK("http://mcgill.on.worldcat.org/oclc/1103324294","Catalog Record")</f>
        <v>Catalog Record</v>
      </c>
      <c r="AW53" s="6" t="str">
        <f>HYPERLINK("http://www.worldcat.org/oclc/1103324294","WorldCat Record")</f>
        <v>WorldCat Record</v>
      </c>
      <c r="AX53" s="3" t="s">
        <v>631</v>
      </c>
      <c r="AY53" s="3" t="s">
        <v>632</v>
      </c>
      <c r="AZ53" s="3" t="s">
        <v>633</v>
      </c>
      <c r="BA53" s="3" t="s">
        <v>633</v>
      </c>
      <c r="BB53" s="3" t="s">
        <v>634</v>
      </c>
      <c r="BC53" s="3" t="s">
        <v>77</v>
      </c>
      <c r="BD53" s="3" t="s">
        <v>78</v>
      </c>
      <c r="BE53" s="3" t="s">
        <v>635</v>
      </c>
      <c r="BF53" s="3" t="s">
        <v>634</v>
      </c>
      <c r="BG53" s="3" t="s">
        <v>636</v>
      </c>
    </row>
    <row r="54" spans="1:59" ht="58" x14ac:dyDescent="0.35">
      <c r="A54" s="2" t="s">
        <v>59</v>
      </c>
      <c r="B54" s="2" t="s">
        <v>60</v>
      </c>
      <c r="C54" s="2" t="s">
        <v>637</v>
      </c>
      <c r="D54" s="2" t="s">
        <v>638</v>
      </c>
      <c r="E54" s="2" t="s">
        <v>639</v>
      </c>
      <c r="G54" s="3" t="s">
        <v>65</v>
      </c>
      <c r="I54" s="3" t="s">
        <v>65</v>
      </c>
      <c r="J54" s="3" t="s">
        <v>65</v>
      </c>
      <c r="K54" s="3" t="s">
        <v>66</v>
      </c>
      <c r="L54" s="2" t="s">
        <v>640</v>
      </c>
      <c r="M54" s="2" t="s">
        <v>641</v>
      </c>
      <c r="N54" s="3" t="s">
        <v>188</v>
      </c>
      <c r="P54" s="3" t="s">
        <v>140</v>
      </c>
      <c r="Q54" s="2" t="s">
        <v>642</v>
      </c>
      <c r="R54" s="3" t="s">
        <v>71</v>
      </c>
      <c r="S54" s="4">
        <v>0</v>
      </c>
      <c r="T54" s="4">
        <v>0</v>
      </c>
      <c r="W54" s="5" t="s">
        <v>72</v>
      </c>
      <c r="X54" s="5" t="s">
        <v>72</v>
      </c>
      <c r="Y54" s="4">
        <v>27</v>
      </c>
      <c r="Z54" s="4">
        <v>1</v>
      </c>
      <c r="AA54" s="4">
        <v>1</v>
      </c>
      <c r="AB54" s="4">
        <v>1</v>
      </c>
      <c r="AC54" s="4">
        <v>1</v>
      </c>
      <c r="AD54" s="4">
        <v>23</v>
      </c>
      <c r="AE54" s="4">
        <v>23</v>
      </c>
      <c r="AF54" s="4">
        <v>0</v>
      </c>
      <c r="AG54" s="4">
        <v>0</v>
      </c>
      <c r="AH54" s="4">
        <v>22</v>
      </c>
      <c r="AI54" s="4">
        <v>22</v>
      </c>
      <c r="AJ54" s="4">
        <v>0</v>
      </c>
      <c r="AK54" s="4">
        <v>0</v>
      </c>
      <c r="AL54" s="4">
        <v>20</v>
      </c>
      <c r="AM54" s="4">
        <v>20</v>
      </c>
      <c r="AN54" s="4">
        <v>0</v>
      </c>
      <c r="AO54" s="4">
        <v>0</v>
      </c>
      <c r="AP54" s="4">
        <v>0</v>
      </c>
      <c r="AQ54" s="4">
        <v>0</v>
      </c>
      <c r="AR54" s="3" t="s">
        <v>65</v>
      </c>
      <c r="AS54" s="3" t="s">
        <v>65</v>
      </c>
      <c r="AT54" s="3" t="s">
        <v>65</v>
      </c>
      <c r="AV54" s="6" t="str">
        <f>HYPERLINK("http://mcgill.on.worldcat.org/oclc/1016397929","Catalog Record")</f>
        <v>Catalog Record</v>
      </c>
      <c r="AW54" s="6" t="str">
        <f>HYPERLINK("http://www.worldcat.org/oclc/1016397929","WorldCat Record")</f>
        <v>WorldCat Record</v>
      </c>
      <c r="AX54" s="3" t="s">
        <v>643</v>
      </c>
      <c r="AY54" s="3" t="s">
        <v>644</v>
      </c>
      <c r="AZ54" s="3" t="s">
        <v>645</v>
      </c>
      <c r="BA54" s="3" t="s">
        <v>645</v>
      </c>
      <c r="BB54" s="3" t="s">
        <v>646</v>
      </c>
      <c r="BC54" s="3" t="s">
        <v>77</v>
      </c>
      <c r="BD54" s="3" t="s">
        <v>78</v>
      </c>
      <c r="BE54" s="3" t="s">
        <v>647</v>
      </c>
      <c r="BF54" s="3" t="s">
        <v>646</v>
      </c>
      <c r="BG54" s="3" t="s">
        <v>648</v>
      </c>
    </row>
    <row r="55" spans="1:59" ht="58" x14ac:dyDescent="0.35">
      <c r="A55" s="2" t="s">
        <v>59</v>
      </c>
      <c r="B55" s="2" t="s">
        <v>60</v>
      </c>
      <c r="C55" s="2" t="s">
        <v>649</v>
      </c>
      <c r="D55" s="2" t="s">
        <v>650</v>
      </c>
      <c r="E55" s="2" t="s">
        <v>651</v>
      </c>
      <c r="G55" s="3" t="s">
        <v>65</v>
      </c>
      <c r="I55" s="3" t="s">
        <v>65</v>
      </c>
      <c r="J55" s="3" t="s">
        <v>65</v>
      </c>
      <c r="K55" s="3" t="s">
        <v>66</v>
      </c>
      <c r="L55" s="2" t="s">
        <v>652</v>
      </c>
      <c r="M55" s="2" t="s">
        <v>653</v>
      </c>
      <c r="N55" s="3" t="s">
        <v>113</v>
      </c>
      <c r="O55" s="2" t="s">
        <v>654</v>
      </c>
      <c r="P55" s="3" t="s">
        <v>140</v>
      </c>
      <c r="Q55" s="2" t="s">
        <v>655</v>
      </c>
      <c r="R55" s="3" t="s">
        <v>71</v>
      </c>
      <c r="S55" s="4">
        <v>0</v>
      </c>
      <c r="T55" s="4">
        <v>0</v>
      </c>
      <c r="W55" s="5" t="s">
        <v>72</v>
      </c>
      <c r="X55" s="5" t="s">
        <v>72</v>
      </c>
      <c r="Y55" s="4">
        <v>48</v>
      </c>
      <c r="Z55" s="4">
        <v>3</v>
      </c>
      <c r="AA55" s="4">
        <v>3</v>
      </c>
      <c r="AB55" s="4">
        <v>1</v>
      </c>
      <c r="AC55" s="4">
        <v>1</v>
      </c>
      <c r="AD55" s="4">
        <v>30</v>
      </c>
      <c r="AE55" s="4">
        <v>30</v>
      </c>
      <c r="AF55" s="4">
        <v>0</v>
      </c>
      <c r="AG55" s="4">
        <v>0</v>
      </c>
      <c r="AH55" s="4">
        <v>29</v>
      </c>
      <c r="AI55" s="4">
        <v>29</v>
      </c>
      <c r="AJ55" s="4">
        <v>1</v>
      </c>
      <c r="AK55" s="4">
        <v>1</v>
      </c>
      <c r="AL55" s="4">
        <v>24</v>
      </c>
      <c r="AM55" s="4">
        <v>24</v>
      </c>
      <c r="AN55" s="4">
        <v>0</v>
      </c>
      <c r="AO55" s="4">
        <v>0</v>
      </c>
      <c r="AP55" s="4">
        <v>1</v>
      </c>
      <c r="AQ55" s="4">
        <v>1</v>
      </c>
      <c r="AR55" s="3" t="s">
        <v>65</v>
      </c>
      <c r="AS55" s="3" t="s">
        <v>65</v>
      </c>
      <c r="AT55" s="3" t="s">
        <v>65</v>
      </c>
      <c r="AV55" s="6" t="str">
        <f>HYPERLINK("http://mcgill.on.worldcat.org/oclc/694058151","Catalog Record")</f>
        <v>Catalog Record</v>
      </c>
      <c r="AW55" s="6" t="str">
        <f>HYPERLINK("http://www.worldcat.org/oclc/694058151","WorldCat Record")</f>
        <v>WorldCat Record</v>
      </c>
      <c r="AX55" s="3" t="s">
        <v>656</v>
      </c>
      <c r="AY55" s="3" t="s">
        <v>657</v>
      </c>
      <c r="AZ55" s="3" t="s">
        <v>658</v>
      </c>
      <c r="BA55" s="3" t="s">
        <v>658</v>
      </c>
      <c r="BB55" s="3" t="s">
        <v>659</v>
      </c>
      <c r="BC55" s="3" t="s">
        <v>77</v>
      </c>
      <c r="BD55" s="3" t="s">
        <v>78</v>
      </c>
      <c r="BE55" s="3" t="s">
        <v>660</v>
      </c>
      <c r="BF55" s="3" t="s">
        <v>659</v>
      </c>
      <c r="BG55" s="3" t="s">
        <v>661</v>
      </c>
    </row>
    <row r="56" spans="1:59" ht="58" x14ac:dyDescent="0.35">
      <c r="A56" s="2" t="s">
        <v>59</v>
      </c>
      <c r="B56" s="2" t="s">
        <v>60</v>
      </c>
      <c r="C56" s="2" t="s">
        <v>662</v>
      </c>
      <c r="D56" s="2" t="s">
        <v>663</v>
      </c>
      <c r="E56" s="2" t="s">
        <v>664</v>
      </c>
      <c r="G56" s="3" t="s">
        <v>65</v>
      </c>
      <c r="I56" s="3" t="s">
        <v>65</v>
      </c>
      <c r="J56" s="3" t="s">
        <v>65</v>
      </c>
      <c r="K56" s="3" t="s">
        <v>66</v>
      </c>
      <c r="L56" s="2" t="s">
        <v>362</v>
      </c>
      <c r="M56" s="2" t="s">
        <v>665</v>
      </c>
      <c r="N56" s="3" t="s">
        <v>152</v>
      </c>
      <c r="P56" s="3" t="s">
        <v>140</v>
      </c>
      <c r="Q56" s="2" t="s">
        <v>666</v>
      </c>
      <c r="R56" s="3" t="s">
        <v>71</v>
      </c>
      <c r="S56" s="4">
        <v>0</v>
      </c>
      <c r="T56" s="4">
        <v>0</v>
      </c>
      <c r="W56" s="5" t="s">
        <v>72</v>
      </c>
      <c r="X56" s="5" t="s">
        <v>72</v>
      </c>
      <c r="Y56" s="4">
        <v>38</v>
      </c>
      <c r="Z56" s="4">
        <v>3</v>
      </c>
      <c r="AA56" s="4">
        <v>3</v>
      </c>
      <c r="AB56" s="4">
        <v>1</v>
      </c>
      <c r="AC56" s="4">
        <v>1</v>
      </c>
      <c r="AD56" s="4">
        <v>26</v>
      </c>
      <c r="AE56" s="4">
        <v>26</v>
      </c>
      <c r="AF56" s="4">
        <v>0</v>
      </c>
      <c r="AG56" s="4">
        <v>0</v>
      </c>
      <c r="AH56" s="4">
        <v>25</v>
      </c>
      <c r="AI56" s="4">
        <v>25</v>
      </c>
      <c r="AJ56" s="4">
        <v>1</v>
      </c>
      <c r="AK56" s="4">
        <v>1</v>
      </c>
      <c r="AL56" s="4">
        <v>22</v>
      </c>
      <c r="AM56" s="4">
        <v>22</v>
      </c>
      <c r="AN56" s="4">
        <v>0</v>
      </c>
      <c r="AO56" s="4">
        <v>0</v>
      </c>
      <c r="AP56" s="4">
        <v>1</v>
      </c>
      <c r="AQ56" s="4">
        <v>1</v>
      </c>
      <c r="AR56" s="3" t="s">
        <v>65</v>
      </c>
      <c r="AS56" s="3" t="s">
        <v>65</v>
      </c>
      <c r="AT56" s="3" t="s">
        <v>65</v>
      </c>
      <c r="AV56" s="6" t="str">
        <f>HYPERLINK("http://mcgill.on.worldcat.org/oclc/852145321","Catalog Record")</f>
        <v>Catalog Record</v>
      </c>
      <c r="AW56" s="6" t="str">
        <f>HYPERLINK("http://www.worldcat.org/oclc/852145321","WorldCat Record")</f>
        <v>WorldCat Record</v>
      </c>
      <c r="AX56" s="3" t="s">
        <v>667</v>
      </c>
      <c r="AY56" s="3" t="s">
        <v>668</v>
      </c>
      <c r="AZ56" s="3" t="s">
        <v>669</v>
      </c>
      <c r="BA56" s="3" t="s">
        <v>669</v>
      </c>
      <c r="BB56" s="3" t="s">
        <v>670</v>
      </c>
      <c r="BC56" s="3" t="s">
        <v>77</v>
      </c>
      <c r="BD56" s="3" t="s">
        <v>78</v>
      </c>
      <c r="BE56" s="3" t="s">
        <v>671</v>
      </c>
      <c r="BF56" s="3" t="s">
        <v>670</v>
      </c>
      <c r="BG56" s="3" t="s">
        <v>672</v>
      </c>
    </row>
    <row r="57" spans="1:59" ht="58" x14ac:dyDescent="0.35">
      <c r="A57" s="2" t="s">
        <v>59</v>
      </c>
      <c r="B57" s="2" t="s">
        <v>60</v>
      </c>
      <c r="C57" s="2" t="s">
        <v>673</v>
      </c>
      <c r="D57" s="2" t="s">
        <v>674</v>
      </c>
      <c r="E57" s="2" t="s">
        <v>675</v>
      </c>
      <c r="F57" s="3" t="s">
        <v>255</v>
      </c>
      <c r="G57" s="3" t="s">
        <v>209</v>
      </c>
      <c r="I57" s="3" t="s">
        <v>65</v>
      </c>
      <c r="J57" s="3" t="s">
        <v>65</v>
      </c>
      <c r="K57" s="3" t="s">
        <v>66</v>
      </c>
      <c r="M57" s="2" t="s">
        <v>676</v>
      </c>
      <c r="N57" s="3" t="s">
        <v>113</v>
      </c>
      <c r="P57" s="3" t="s">
        <v>140</v>
      </c>
      <c r="R57" s="3" t="s">
        <v>71</v>
      </c>
      <c r="S57" s="4">
        <v>0</v>
      </c>
      <c r="T57" s="4">
        <v>0</v>
      </c>
      <c r="W57" s="5" t="s">
        <v>72</v>
      </c>
      <c r="X57" s="5" t="s">
        <v>72</v>
      </c>
      <c r="Y57" s="4">
        <v>88</v>
      </c>
      <c r="Z57" s="4">
        <v>7</v>
      </c>
      <c r="AA57" s="4">
        <v>7</v>
      </c>
      <c r="AB57" s="4">
        <v>1</v>
      </c>
      <c r="AC57" s="4">
        <v>1</v>
      </c>
      <c r="AD57" s="4">
        <v>45</v>
      </c>
      <c r="AE57" s="4">
        <v>45</v>
      </c>
      <c r="AF57" s="4">
        <v>0</v>
      </c>
      <c r="AG57" s="4">
        <v>0</v>
      </c>
      <c r="AH57" s="4">
        <v>43</v>
      </c>
      <c r="AI57" s="4">
        <v>43</v>
      </c>
      <c r="AJ57" s="4">
        <v>5</v>
      </c>
      <c r="AK57" s="4">
        <v>5</v>
      </c>
      <c r="AL57" s="4">
        <v>29</v>
      </c>
      <c r="AM57" s="4">
        <v>29</v>
      </c>
      <c r="AN57" s="4">
        <v>0</v>
      </c>
      <c r="AO57" s="4">
        <v>0</v>
      </c>
      <c r="AP57" s="4">
        <v>5</v>
      </c>
      <c r="AQ57" s="4">
        <v>5</v>
      </c>
      <c r="AR57" s="3" t="s">
        <v>65</v>
      </c>
      <c r="AS57" s="3" t="s">
        <v>65</v>
      </c>
      <c r="AT57" s="3" t="s">
        <v>65</v>
      </c>
      <c r="AV57" s="6" t="str">
        <f>HYPERLINK("http://mcgill.on.worldcat.org/oclc/692270165","Catalog Record")</f>
        <v>Catalog Record</v>
      </c>
      <c r="AW57" s="6" t="str">
        <f>HYPERLINK("http://www.worldcat.org/oclc/692270165","WorldCat Record")</f>
        <v>WorldCat Record</v>
      </c>
      <c r="AX57" s="3" t="s">
        <v>677</v>
      </c>
      <c r="AY57" s="3" t="s">
        <v>678</v>
      </c>
      <c r="AZ57" s="3" t="s">
        <v>679</v>
      </c>
      <c r="BA57" s="3" t="s">
        <v>679</v>
      </c>
      <c r="BB57" s="3" t="s">
        <v>680</v>
      </c>
      <c r="BC57" s="3" t="s">
        <v>77</v>
      </c>
      <c r="BD57" s="3" t="s">
        <v>78</v>
      </c>
      <c r="BE57" s="3" t="s">
        <v>681</v>
      </c>
      <c r="BF57" s="3" t="s">
        <v>680</v>
      </c>
      <c r="BG57" s="3" t="s">
        <v>682</v>
      </c>
    </row>
    <row r="58" spans="1:59" ht="58" x14ac:dyDescent="0.35">
      <c r="A58" s="2" t="s">
        <v>59</v>
      </c>
      <c r="B58" s="2" t="s">
        <v>60</v>
      </c>
      <c r="C58" s="2" t="s">
        <v>673</v>
      </c>
      <c r="D58" s="2" t="s">
        <v>674</v>
      </c>
      <c r="E58" s="2" t="s">
        <v>675</v>
      </c>
      <c r="F58" s="3" t="s">
        <v>258</v>
      </c>
      <c r="G58" s="3" t="s">
        <v>209</v>
      </c>
      <c r="I58" s="3" t="s">
        <v>65</v>
      </c>
      <c r="J58" s="3" t="s">
        <v>65</v>
      </c>
      <c r="K58" s="3" t="s">
        <v>66</v>
      </c>
      <c r="M58" s="2" t="s">
        <v>676</v>
      </c>
      <c r="N58" s="3" t="s">
        <v>113</v>
      </c>
      <c r="P58" s="3" t="s">
        <v>140</v>
      </c>
      <c r="R58" s="3" t="s">
        <v>71</v>
      </c>
      <c r="S58" s="4">
        <v>0</v>
      </c>
      <c r="T58" s="4">
        <v>0</v>
      </c>
      <c r="W58" s="5" t="s">
        <v>72</v>
      </c>
      <c r="X58" s="5" t="s">
        <v>72</v>
      </c>
      <c r="Y58" s="4">
        <v>88</v>
      </c>
      <c r="Z58" s="4">
        <v>7</v>
      </c>
      <c r="AA58" s="4">
        <v>7</v>
      </c>
      <c r="AB58" s="4">
        <v>1</v>
      </c>
      <c r="AC58" s="4">
        <v>1</v>
      </c>
      <c r="AD58" s="4">
        <v>45</v>
      </c>
      <c r="AE58" s="4">
        <v>45</v>
      </c>
      <c r="AF58" s="4">
        <v>0</v>
      </c>
      <c r="AG58" s="4">
        <v>0</v>
      </c>
      <c r="AH58" s="4">
        <v>43</v>
      </c>
      <c r="AI58" s="4">
        <v>43</v>
      </c>
      <c r="AJ58" s="4">
        <v>5</v>
      </c>
      <c r="AK58" s="4">
        <v>5</v>
      </c>
      <c r="AL58" s="4">
        <v>29</v>
      </c>
      <c r="AM58" s="4">
        <v>29</v>
      </c>
      <c r="AN58" s="4">
        <v>0</v>
      </c>
      <c r="AO58" s="4">
        <v>0</v>
      </c>
      <c r="AP58" s="4">
        <v>5</v>
      </c>
      <c r="AQ58" s="4">
        <v>5</v>
      </c>
      <c r="AR58" s="3" t="s">
        <v>65</v>
      </c>
      <c r="AS58" s="3" t="s">
        <v>65</v>
      </c>
      <c r="AT58" s="3" t="s">
        <v>65</v>
      </c>
      <c r="AV58" s="6" t="str">
        <f>HYPERLINK("http://mcgill.on.worldcat.org/oclc/692270165","Catalog Record")</f>
        <v>Catalog Record</v>
      </c>
      <c r="AW58" s="6" t="str">
        <f>HYPERLINK("http://www.worldcat.org/oclc/692270165","WorldCat Record")</f>
        <v>WorldCat Record</v>
      </c>
      <c r="AX58" s="3" t="s">
        <v>677</v>
      </c>
      <c r="AY58" s="3" t="s">
        <v>678</v>
      </c>
      <c r="AZ58" s="3" t="s">
        <v>679</v>
      </c>
      <c r="BA58" s="3" t="s">
        <v>679</v>
      </c>
      <c r="BB58" s="3" t="s">
        <v>683</v>
      </c>
      <c r="BC58" s="3" t="s">
        <v>77</v>
      </c>
      <c r="BD58" s="3" t="s">
        <v>78</v>
      </c>
      <c r="BE58" s="3" t="s">
        <v>681</v>
      </c>
      <c r="BF58" s="3" t="s">
        <v>683</v>
      </c>
      <c r="BG58" s="3" t="s">
        <v>684</v>
      </c>
    </row>
    <row r="59" spans="1:59" ht="58" x14ac:dyDescent="0.35">
      <c r="A59" s="2" t="s">
        <v>59</v>
      </c>
      <c r="B59" s="2" t="s">
        <v>60</v>
      </c>
      <c r="C59" s="2" t="s">
        <v>673</v>
      </c>
      <c r="D59" s="2" t="s">
        <v>674</v>
      </c>
      <c r="E59" s="2" t="s">
        <v>675</v>
      </c>
      <c r="F59" s="3" t="s">
        <v>245</v>
      </c>
      <c r="G59" s="3" t="s">
        <v>209</v>
      </c>
      <c r="I59" s="3" t="s">
        <v>65</v>
      </c>
      <c r="J59" s="3" t="s">
        <v>65</v>
      </c>
      <c r="K59" s="3" t="s">
        <v>66</v>
      </c>
      <c r="M59" s="2" t="s">
        <v>676</v>
      </c>
      <c r="N59" s="3" t="s">
        <v>113</v>
      </c>
      <c r="P59" s="3" t="s">
        <v>140</v>
      </c>
      <c r="R59" s="3" t="s">
        <v>71</v>
      </c>
      <c r="S59" s="4">
        <v>0</v>
      </c>
      <c r="T59" s="4">
        <v>0</v>
      </c>
      <c r="W59" s="5" t="s">
        <v>72</v>
      </c>
      <c r="X59" s="5" t="s">
        <v>72</v>
      </c>
      <c r="Y59" s="4">
        <v>88</v>
      </c>
      <c r="Z59" s="4">
        <v>7</v>
      </c>
      <c r="AA59" s="4">
        <v>7</v>
      </c>
      <c r="AB59" s="4">
        <v>1</v>
      </c>
      <c r="AC59" s="4">
        <v>1</v>
      </c>
      <c r="AD59" s="4">
        <v>45</v>
      </c>
      <c r="AE59" s="4">
        <v>45</v>
      </c>
      <c r="AF59" s="4">
        <v>0</v>
      </c>
      <c r="AG59" s="4">
        <v>0</v>
      </c>
      <c r="AH59" s="4">
        <v>43</v>
      </c>
      <c r="AI59" s="4">
        <v>43</v>
      </c>
      <c r="AJ59" s="4">
        <v>5</v>
      </c>
      <c r="AK59" s="4">
        <v>5</v>
      </c>
      <c r="AL59" s="4">
        <v>29</v>
      </c>
      <c r="AM59" s="4">
        <v>29</v>
      </c>
      <c r="AN59" s="4">
        <v>0</v>
      </c>
      <c r="AO59" s="4">
        <v>0</v>
      </c>
      <c r="AP59" s="4">
        <v>5</v>
      </c>
      <c r="AQ59" s="4">
        <v>5</v>
      </c>
      <c r="AR59" s="3" t="s">
        <v>65</v>
      </c>
      <c r="AS59" s="3" t="s">
        <v>65</v>
      </c>
      <c r="AT59" s="3" t="s">
        <v>65</v>
      </c>
      <c r="AV59" s="6" t="str">
        <f>HYPERLINK("http://mcgill.on.worldcat.org/oclc/692270165","Catalog Record")</f>
        <v>Catalog Record</v>
      </c>
      <c r="AW59" s="6" t="str">
        <f>HYPERLINK("http://www.worldcat.org/oclc/692270165","WorldCat Record")</f>
        <v>WorldCat Record</v>
      </c>
      <c r="AX59" s="3" t="s">
        <v>677</v>
      </c>
      <c r="AY59" s="3" t="s">
        <v>678</v>
      </c>
      <c r="AZ59" s="3" t="s">
        <v>679</v>
      </c>
      <c r="BA59" s="3" t="s">
        <v>679</v>
      </c>
      <c r="BB59" s="3" t="s">
        <v>685</v>
      </c>
      <c r="BC59" s="3" t="s">
        <v>77</v>
      </c>
      <c r="BD59" s="3" t="s">
        <v>78</v>
      </c>
      <c r="BE59" s="3" t="s">
        <v>681</v>
      </c>
      <c r="BF59" s="3" t="s">
        <v>685</v>
      </c>
      <c r="BG59" s="3" t="s">
        <v>686</v>
      </c>
    </row>
    <row r="60" spans="1:59" ht="58" x14ac:dyDescent="0.35">
      <c r="A60" s="2" t="s">
        <v>59</v>
      </c>
      <c r="B60" s="2" t="s">
        <v>60</v>
      </c>
      <c r="C60" s="2" t="s">
        <v>687</v>
      </c>
      <c r="D60" s="2" t="s">
        <v>688</v>
      </c>
      <c r="E60" s="2" t="s">
        <v>689</v>
      </c>
      <c r="G60" s="3" t="s">
        <v>65</v>
      </c>
      <c r="I60" s="3" t="s">
        <v>65</v>
      </c>
      <c r="J60" s="3" t="s">
        <v>65</v>
      </c>
      <c r="K60" s="3" t="s">
        <v>66</v>
      </c>
      <c r="L60" s="2" t="s">
        <v>690</v>
      </c>
      <c r="M60" s="2" t="s">
        <v>691</v>
      </c>
      <c r="N60" s="3" t="s">
        <v>68</v>
      </c>
      <c r="P60" s="3" t="s">
        <v>140</v>
      </c>
      <c r="Q60" s="2" t="s">
        <v>692</v>
      </c>
      <c r="R60" s="3" t="s">
        <v>71</v>
      </c>
      <c r="S60" s="4">
        <v>0</v>
      </c>
      <c r="T60" s="4">
        <v>0</v>
      </c>
      <c r="W60" s="5" t="s">
        <v>72</v>
      </c>
      <c r="X60" s="5" t="s">
        <v>72</v>
      </c>
      <c r="Y60" s="4">
        <v>27</v>
      </c>
      <c r="Z60" s="4">
        <v>1</v>
      </c>
      <c r="AA60" s="4">
        <v>1</v>
      </c>
      <c r="AB60" s="4">
        <v>1</v>
      </c>
      <c r="AC60" s="4">
        <v>1</v>
      </c>
      <c r="AD60" s="4">
        <v>17</v>
      </c>
      <c r="AE60" s="4">
        <v>17</v>
      </c>
      <c r="AF60" s="4">
        <v>0</v>
      </c>
      <c r="AG60" s="4">
        <v>0</v>
      </c>
      <c r="AH60" s="4">
        <v>16</v>
      </c>
      <c r="AI60" s="4">
        <v>16</v>
      </c>
      <c r="AJ60" s="4">
        <v>0</v>
      </c>
      <c r="AK60" s="4">
        <v>0</v>
      </c>
      <c r="AL60" s="4">
        <v>13</v>
      </c>
      <c r="AM60" s="4">
        <v>13</v>
      </c>
      <c r="AN60" s="4">
        <v>0</v>
      </c>
      <c r="AO60" s="4">
        <v>0</v>
      </c>
      <c r="AP60" s="4">
        <v>0</v>
      </c>
      <c r="AQ60" s="4">
        <v>0</v>
      </c>
      <c r="AR60" s="3" t="s">
        <v>65</v>
      </c>
      <c r="AS60" s="3" t="s">
        <v>65</v>
      </c>
      <c r="AT60" s="3" t="s">
        <v>65</v>
      </c>
      <c r="AV60" s="6" t="str">
        <f>HYPERLINK("http://mcgill.on.worldcat.org/oclc/987269066","Catalog Record")</f>
        <v>Catalog Record</v>
      </c>
      <c r="AW60" s="6" t="str">
        <f>HYPERLINK("http://www.worldcat.org/oclc/987269066","WorldCat Record")</f>
        <v>WorldCat Record</v>
      </c>
      <c r="AX60" s="3" t="s">
        <v>693</v>
      </c>
      <c r="AY60" s="3" t="s">
        <v>694</v>
      </c>
      <c r="AZ60" s="3" t="s">
        <v>695</v>
      </c>
      <c r="BA60" s="3" t="s">
        <v>695</v>
      </c>
      <c r="BB60" s="3" t="s">
        <v>696</v>
      </c>
      <c r="BC60" s="3" t="s">
        <v>77</v>
      </c>
      <c r="BD60" s="3" t="s">
        <v>78</v>
      </c>
      <c r="BE60" s="3" t="s">
        <v>697</v>
      </c>
      <c r="BF60" s="3" t="s">
        <v>696</v>
      </c>
      <c r="BG60" s="3" t="s">
        <v>698</v>
      </c>
    </row>
    <row r="61" spans="1:59" ht="58" x14ac:dyDescent="0.35">
      <c r="A61" s="2" t="s">
        <v>59</v>
      </c>
      <c r="B61" s="2" t="s">
        <v>60</v>
      </c>
      <c r="C61" s="2" t="s">
        <v>699</v>
      </c>
      <c r="D61" s="2" t="s">
        <v>700</v>
      </c>
      <c r="E61" s="2" t="s">
        <v>701</v>
      </c>
      <c r="F61" s="3" t="s">
        <v>258</v>
      </c>
      <c r="G61" s="3" t="s">
        <v>209</v>
      </c>
      <c r="I61" s="3" t="s">
        <v>65</v>
      </c>
      <c r="J61" s="3" t="s">
        <v>65</v>
      </c>
      <c r="K61" s="3" t="s">
        <v>66</v>
      </c>
      <c r="L61" s="2" t="s">
        <v>702</v>
      </c>
      <c r="M61" s="2" t="s">
        <v>703</v>
      </c>
      <c r="N61" s="3" t="s">
        <v>247</v>
      </c>
      <c r="P61" s="3" t="s">
        <v>140</v>
      </c>
      <c r="Q61" s="2" t="s">
        <v>704</v>
      </c>
      <c r="R61" s="3" t="s">
        <v>71</v>
      </c>
      <c r="S61" s="4">
        <v>0</v>
      </c>
      <c r="T61" s="4">
        <v>3</v>
      </c>
      <c r="V61" s="5" t="s">
        <v>705</v>
      </c>
      <c r="W61" s="5" t="s">
        <v>72</v>
      </c>
      <c r="X61" s="5" t="s">
        <v>72</v>
      </c>
      <c r="Y61" s="4">
        <v>59</v>
      </c>
      <c r="Z61" s="4">
        <v>6</v>
      </c>
      <c r="AA61" s="4">
        <v>6</v>
      </c>
      <c r="AB61" s="4">
        <v>1</v>
      </c>
      <c r="AC61" s="4">
        <v>1</v>
      </c>
      <c r="AD61" s="4">
        <v>37</v>
      </c>
      <c r="AE61" s="4">
        <v>37</v>
      </c>
      <c r="AF61" s="4">
        <v>0</v>
      </c>
      <c r="AG61" s="4">
        <v>0</v>
      </c>
      <c r="AH61" s="4">
        <v>36</v>
      </c>
      <c r="AI61" s="4">
        <v>36</v>
      </c>
      <c r="AJ61" s="4">
        <v>4</v>
      </c>
      <c r="AK61" s="4">
        <v>4</v>
      </c>
      <c r="AL61" s="4">
        <v>28</v>
      </c>
      <c r="AM61" s="4">
        <v>28</v>
      </c>
      <c r="AN61" s="4">
        <v>0</v>
      </c>
      <c r="AO61" s="4">
        <v>0</v>
      </c>
      <c r="AP61" s="4">
        <v>4</v>
      </c>
      <c r="AQ61" s="4">
        <v>4</v>
      </c>
      <c r="AR61" s="3" t="s">
        <v>65</v>
      </c>
      <c r="AS61" s="3" t="s">
        <v>65</v>
      </c>
      <c r="AT61" s="3" t="s">
        <v>209</v>
      </c>
      <c r="AU61" s="6" t="str">
        <f>HYPERLINK("http://catalog.hathitrust.org/Record/007476347","HathiTrust Record")</f>
        <v>HathiTrust Record</v>
      </c>
      <c r="AV61" s="6" t="str">
        <f>HYPERLINK("http://mcgill.on.worldcat.org/oclc/30661044","Catalog Record")</f>
        <v>Catalog Record</v>
      </c>
      <c r="AW61" s="6" t="str">
        <f>HYPERLINK("http://www.worldcat.org/oclc/30661044","WorldCat Record")</f>
        <v>WorldCat Record</v>
      </c>
      <c r="AX61" s="3" t="s">
        <v>706</v>
      </c>
      <c r="AY61" s="3" t="s">
        <v>707</v>
      </c>
      <c r="AZ61" s="3" t="s">
        <v>708</v>
      </c>
      <c r="BA61" s="3" t="s">
        <v>708</v>
      </c>
      <c r="BB61" s="3" t="s">
        <v>709</v>
      </c>
      <c r="BC61" s="3" t="s">
        <v>77</v>
      </c>
      <c r="BD61" s="3" t="s">
        <v>78</v>
      </c>
      <c r="BE61" s="3" t="s">
        <v>710</v>
      </c>
      <c r="BF61" s="3" t="s">
        <v>709</v>
      </c>
      <c r="BG61" s="3" t="s">
        <v>711</v>
      </c>
    </row>
    <row r="62" spans="1:59" ht="58" x14ac:dyDescent="0.35">
      <c r="A62" s="2" t="s">
        <v>59</v>
      </c>
      <c r="B62" s="2" t="s">
        <v>60</v>
      </c>
      <c r="C62" s="2" t="s">
        <v>699</v>
      </c>
      <c r="D62" s="2" t="s">
        <v>700</v>
      </c>
      <c r="E62" s="2" t="s">
        <v>701</v>
      </c>
      <c r="F62" s="3" t="s">
        <v>245</v>
      </c>
      <c r="G62" s="3" t="s">
        <v>209</v>
      </c>
      <c r="I62" s="3" t="s">
        <v>65</v>
      </c>
      <c r="J62" s="3" t="s">
        <v>65</v>
      </c>
      <c r="K62" s="3" t="s">
        <v>66</v>
      </c>
      <c r="L62" s="2" t="s">
        <v>702</v>
      </c>
      <c r="M62" s="2" t="s">
        <v>703</v>
      </c>
      <c r="N62" s="3" t="s">
        <v>247</v>
      </c>
      <c r="P62" s="3" t="s">
        <v>140</v>
      </c>
      <c r="Q62" s="2" t="s">
        <v>704</v>
      </c>
      <c r="R62" s="3" t="s">
        <v>71</v>
      </c>
      <c r="S62" s="4">
        <v>3</v>
      </c>
      <c r="T62" s="4">
        <v>3</v>
      </c>
      <c r="U62" s="5" t="s">
        <v>705</v>
      </c>
      <c r="V62" s="5" t="s">
        <v>705</v>
      </c>
      <c r="W62" s="5" t="s">
        <v>72</v>
      </c>
      <c r="X62" s="5" t="s">
        <v>72</v>
      </c>
      <c r="Y62" s="4">
        <v>59</v>
      </c>
      <c r="Z62" s="4">
        <v>6</v>
      </c>
      <c r="AA62" s="4">
        <v>6</v>
      </c>
      <c r="AB62" s="4">
        <v>1</v>
      </c>
      <c r="AC62" s="4">
        <v>1</v>
      </c>
      <c r="AD62" s="4">
        <v>37</v>
      </c>
      <c r="AE62" s="4">
        <v>37</v>
      </c>
      <c r="AF62" s="4">
        <v>0</v>
      </c>
      <c r="AG62" s="4">
        <v>0</v>
      </c>
      <c r="AH62" s="4">
        <v>36</v>
      </c>
      <c r="AI62" s="4">
        <v>36</v>
      </c>
      <c r="AJ62" s="4">
        <v>4</v>
      </c>
      <c r="AK62" s="4">
        <v>4</v>
      </c>
      <c r="AL62" s="4">
        <v>28</v>
      </c>
      <c r="AM62" s="4">
        <v>28</v>
      </c>
      <c r="AN62" s="4">
        <v>0</v>
      </c>
      <c r="AO62" s="4">
        <v>0</v>
      </c>
      <c r="AP62" s="4">
        <v>4</v>
      </c>
      <c r="AQ62" s="4">
        <v>4</v>
      </c>
      <c r="AR62" s="3" t="s">
        <v>65</v>
      </c>
      <c r="AS62" s="3" t="s">
        <v>65</v>
      </c>
      <c r="AT62" s="3" t="s">
        <v>209</v>
      </c>
      <c r="AU62" s="6" t="str">
        <f>HYPERLINK("http://catalog.hathitrust.org/Record/007476347","HathiTrust Record")</f>
        <v>HathiTrust Record</v>
      </c>
      <c r="AV62" s="6" t="str">
        <f>HYPERLINK("http://mcgill.on.worldcat.org/oclc/30661044","Catalog Record")</f>
        <v>Catalog Record</v>
      </c>
      <c r="AW62" s="6" t="str">
        <f>HYPERLINK("http://www.worldcat.org/oclc/30661044","WorldCat Record")</f>
        <v>WorldCat Record</v>
      </c>
      <c r="AX62" s="3" t="s">
        <v>706</v>
      </c>
      <c r="AY62" s="3" t="s">
        <v>707</v>
      </c>
      <c r="AZ62" s="3" t="s">
        <v>708</v>
      </c>
      <c r="BA62" s="3" t="s">
        <v>708</v>
      </c>
      <c r="BB62" s="3" t="s">
        <v>712</v>
      </c>
      <c r="BC62" s="3" t="s">
        <v>77</v>
      </c>
      <c r="BD62" s="3" t="s">
        <v>78</v>
      </c>
      <c r="BE62" s="3" t="s">
        <v>710</v>
      </c>
      <c r="BF62" s="3" t="s">
        <v>712</v>
      </c>
      <c r="BG62" s="3" t="s">
        <v>713</v>
      </c>
    </row>
    <row r="63" spans="1:59" ht="58" x14ac:dyDescent="0.35">
      <c r="A63" s="2" t="s">
        <v>59</v>
      </c>
      <c r="B63" s="2" t="s">
        <v>60</v>
      </c>
      <c r="C63" s="2" t="s">
        <v>714</v>
      </c>
      <c r="D63" s="2" t="s">
        <v>715</v>
      </c>
      <c r="E63" s="2" t="s">
        <v>716</v>
      </c>
      <c r="G63" s="3" t="s">
        <v>65</v>
      </c>
      <c r="I63" s="3" t="s">
        <v>65</v>
      </c>
      <c r="J63" s="3" t="s">
        <v>65</v>
      </c>
      <c r="K63" s="3" t="s">
        <v>66</v>
      </c>
      <c r="M63" s="2" t="s">
        <v>717</v>
      </c>
      <c r="N63" s="3" t="s">
        <v>718</v>
      </c>
      <c r="P63" s="3" t="s">
        <v>140</v>
      </c>
      <c r="R63" s="3" t="s">
        <v>71</v>
      </c>
      <c r="S63" s="4">
        <v>1</v>
      </c>
      <c r="T63" s="4">
        <v>1</v>
      </c>
      <c r="U63" s="5" t="s">
        <v>719</v>
      </c>
      <c r="V63" s="5" t="s">
        <v>719</v>
      </c>
      <c r="W63" s="5" t="s">
        <v>72</v>
      </c>
      <c r="X63" s="5" t="s">
        <v>72</v>
      </c>
      <c r="Y63" s="4">
        <v>7</v>
      </c>
      <c r="Z63" s="4">
        <v>2</v>
      </c>
      <c r="AA63" s="4">
        <v>2</v>
      </c>
      <c r="AB63" s="4">
        <v>2</v>
      </c>
      <c r="AC63" s="4">
        <v>2</v>
      </c>
      <c r="AD63" s="4">
        <v>1</v>
      </c>
      <c r="AE63" s="4">
        <v>3</v>
      </c>
      <c r="AF63" s="4">
        <v>0</v>
      </c>
      <c r="AG63" s="4">
        <v>0</v>
      </c>
      <c r="AH63" s="4">
        <v>1</v>
      </c>
      <c r="AI63" s="4">
        <v>2</v>
      </c>
      <c r="AJ63" s="4">
        <v>0</v>
      </c>
      <c r="AK63" s="4">
        <v>0</v>
      </c>
      <c r="AL63" s="4">
        <v>0</v>
      </c>
      <c r="AM63" s="4">
        <v>2</v>
      </c>
      <c r="AN63" s="4">
        <v>0</v>
      </c>
      <c r="AO63" s="4">
        <v>0</v>
      </c>
      <c r="AP63" s="4">
        <v>0</v>
      </c>
      <c r="AQ63" s="4">
        <v>0</v>
      </c>
      <c r="AR63" s="3" t="s">
        <v>65</v>
      </c>
      <c r="AS63" s="3" t="s">
        <v>65</v>
      </c>
      <c r="AT63" s="3" t="s">
        <v>65</v>
      </c>
      <c r="AV63" s="6" t="str">
        <f>HYPERLINK("http://mcgill.on.worldcat.org/oclc/18726917","Catalog Record")</f>
        <v>Catalog Record</v>
      </c>
      <c r="AW63" s="6" t="str">
        <f>HYPERLINK("http://www.worldcat.org/oclc/18726917","WorldCat Record")</f>
        <v>WorldCat Record</v>
      </c>
      <c r="AX63" s="3" t="s">
        <v>720</v>
      </c>
      <c r="AY63" s="3" t="s">
        <v>721</v>
      </c>
      <c r="AZ63" s="3" t="s">
        <v>722</v>
      </c>
      <c r="BA63" s="3" t="s">
        <v>722</v>
      </c>
      <c r="BB63" s="3" t="s">
        <v>723</v>
      </c>
      <c r="BC63" s="3" t="s">
        <v>77</v>
      </c>
      <c r="BD63" s="3" t="s">
        <v>78</v>
      </c>
      <c r="BF63" s="3" t="s">
        <v>723</v>
      </c>
      <c r="BG63" s="3" t="s">
        <v>724</v>
      </c>
    </row>
    <row r="64" spans="1:59" ht="72.5" x14ac:dyDescent="0.35">
      <c r="A64" s="2" t="s">
        <v>59</v>
      </c>
      <c r="B64" s="2" t="s">
        <v>60</v>
      </c>
      <c r="C64" s="2" t="s">
        <v>725</v>
      </c>
      <c r="D64" s="2" t="s">
        <v>726</v>
      </c>
      <c r="E64" s="2" t="s">
        <v>727</v>
      </c>
      <c r="G64" s="3" t="s">
        <v>65</v>
      </c>
      <c r="I64" s="3" t="s">
        <v>65</v>
      </c>
      <c r="J64" s="3" t="s">
        <v>65</v>
      </c>
      <c r="K64" s="3" t="s">
        <v>66</v>
      </c>
      <c r="L64" s="2" t="s">
        <v>728</v>
      </c>
      <c r="M64" s="2" t="s">
        <v>729</v>
      </c>
      <c r="N64" s="3" t="s">
        <v>164</v>
      </c>
      <c r="P64" s="3" t="s">
        <v>140</v>
      </c>
      <c r="Q64" s="2" t="s">
        <v>730</v>
      </c>
      <c r="R64" s="3" t="s">
        <v>71</v>
      </c>
      <c r="S64" s="4">
        <v>0</v>
      </c>
      <c r="T64" s="4">
        <v>0</v>
      </c>
      <c r="W64" s="5" t="s">
        <v>72</v>
      </c>
      <c r="X64" s="5" t="s">
        <v>72</v>
      </c>
      <c r="Y64" s="4">
        <v>30</v>
      </c>
      <c r="Z64" s="4">
        <v>3</v>
      </c>
      <c r="AA64" s="4">
        <v>3</v>
      </c>
      <c r="AB64" s="4">
        <v>1</v>
      </c>
      <c r="AC64" s="4">
        <v>1</v>
      </c>
      <c r="AD64" s="4">
        <v>13</v>
      </c>
      <c r="AE64" s="4">
        <v>13</v>
      </c>
      <c r="AF64" s="4">
        <v>0</v>
      </c>
      <c r="AG64" s="4">
        <v>0</v>
      </c>
      <c r="AH64" s="4">
        <v>12</v>
      </c>
      <c r="AI64" s="4">
        <v>12</v>
      </c>
      <c r="AJ64" s="4">
        <v>1</v>
      </c>
      <c r="AK64" s="4">
        <v>1</v>
      </c>
      <c r="AL64" s="4">
        <v>10</v>
      </c>
      <c r="AM64" s="4">
        <v>10</v>
      </c>
      <c r="AN64" s="4">
        <v>0</v>
      </c>
      <c r="AO64" s="4">
        <v>0</v>
      </c>
      <c r="AP64" s="4">
        <v>1</v>
      </c>
      <c r="AQ64" s="4">
        <v>1</v>
      </c>
      <c r="AR64" s="3" t="s">
        <v>65</v>
      </c>
      <c r="AS64" s="3" t="s">
        <v>65</v>
      </c>
      <c r="AT64" s="3" t="s">
        <v>65</v>
      </c>
      <c r="AV64" s="6" t="str">
        <f>HYPERLINK("http://mcgill.on.worldcat.org/oclc/884732977","Catalog Record")</f>
        <v>Catalog Record</v>
      </c>
      <c r="AW64" s="6" t="str">
        <f>HYPERLINK("http://www.worldcat.org/oclc/884732977","WorldCat Record")</f>
        <v>WorldCat Record</v>
      </c>
      <c r="AX64" s="3" t="s">
        <v>731</v>
      </c>
      <c r="AY64" s="3" t="s">
        <v>732</v>
      </c>
      <c r="AZ64" s="3" t="s">
        <v>733</v>
      </c>
      <c r="BA64" s="3" t="s">
        <v>733</v>
      </c>
      <c r="BB64" s="3" t="s">
        <v>734</v>
      </c>
      <c r="BC64" s="3" t="s">
        <v>77</v>
      </c>
      <c r="BD64" s="3" t="s">
        <v>78</v>
      </c>
      <c r="BE64" s="3" t="s">
        <v>735</v>
      </c>
      <c r="BF64" s="3" t="s">
        <v>734</v>
      </c>
      <c r="BG64" s="3" t="s">
        <v>736</v>
      </c>
    </row>
    <row r="65" spans="1:59" ht="58" x14ac:dyDescent="0.35">
      <c r="A65" s="2" t="s">
        <v>59</v>
      </c>
      <c r="B65" s="2" t="s">
        <v>60</v>
      </c>
      <c r="C65" s="2" t="s">
        <v>737</v>
      </c>
      <c r="D65" s="2" t="s">
        <v>738</v>
      </c>
      <c r="E65" s="2" t="s">
        <v>739</v>
      </c>
      <c r="F65" s="3" t="s">
        <v>245</v>
      </c>
      <c r="G65" s="3" t="s">
        <v>209</v>
      </c>
      <c r="I65" s="3" t="s">
        <v>65</v>
      </c>
      <c r="J65" s="3" t="s">
        <v>65</v>
      </c>
      <c r="K65" s="3" t="s">
        <v>66</v>
      </c>
      <c r="L65" s="2" t="s">
        <v>740</v>
      </c>
      <c r="M65" s="2" t="s">
        <v>741</v>
      </c>
      <c r="N65" s="3" t="s">
        <v>742</v>
      </c>
      <c r="P65" s="3" t="s">
        <v>69</v>
      </c>
      <c r="R65" s="3" t="s">
        <v>71</v>
      </c>
      <c r="S65" s="4">
        <v>0</v>
      </c>
      <c r="T65" s="4">
        <v>2</v>
      </c>
      <c r="V65" s="5" t="s">
        <v>743</v>
      </c>
      <c r="W65" s="5" t="s">
        <v>72</v>
      </c>
      <c r="X65" s="5" t="s">
        <v>72</v>
      </c>
      <c r="Y65" s="4">
        <v>298</v>
      </c>
      <c r="Z65" s="4">
        <v>5</v>
      </c>
      <c r="AA65" s="4">
        <v>5</v>
      </c>
      <c r="AB65" s="4">
        <v>1</v>
      </c>
      <c r="AC65" s="4">
        <v>1</v>
      </c>
      <c r="AD65" s="4">
        <v>73</v>
      </c>
      <c r="AE65" s="4">
        <v>73</v>
      </c>
      <c r="AF65" s="4">
        <v>0</v>
      </c>
      <c r="AG65" s="4">
        <v>0</v>
      </c>
      <c r="AH65" s="4">
        <v>69</v>
      </c>
      <c r="AI65" s="4">
        <v>69</v>
      </c>
      <c r="AJ65" s="4">
        <v>3</v>
      </c>
      <c r="AK65" s="4">
        <v>3</v>
      </c>
      <c r="AL65" s="4">
        <v>45</v>
      </c>
      <c r="AM65" s="4">
        <v>45</v>
      </c>
      <c r="AN65" s="4">
        <v>0</v>
      </c>
      <c r="AO65" s="4">
        <v>0</v>
      </c>
      <c r="AP65" s="4">
        <v>4</v>
      </c>
      <c r="AQ65" s="4">
        <v>4</v>
      </c>
      <c r="AR65" s="3" t="s">
        <v>65</v>
      </c>
      <c r="AS65" s="3" t="s">
        <v>65</v>
      </c>
      <c r="AT65" s="3" t="s">
        <v>209</v>
      </c>
      <c r="AU65" s="6" t="str">
        <f>HYPERLINK("http://catalog.hathitrust.org/Record/001218139","HathiTrust Record")</f>
        <v>HathiTrust Record</v>
      </c>
      <c r="AV65" s="6" t="str">
        <f>HYPERLINK("http://mcgill.on.worldcat.org/oclc/426963","Catalog Record")</f>
        <v>Catalog Record</v>
      </c>
      <c r="AW65" s="6" t="str">
        <f>HYPERLINK("http://www.worldcat.org/oclc/426963","WorldCat Record")</f>
        <v>WorldCat Record</v>
      </c>
      <c r="AX65" s="3" t="s">
        <v>744</v>
      </c>
      <c r="AY65" s="3" t="s">
        <v>745</v>
      </c>
      <c r="AZ65" s="3" t="s">
        <v>746</v>
      </c>
      <c r="BA65" s="3" t="s">
        <v>746</v>
      </c>
      <c r="BB65" s="3" t="s">
        <v>747</v>
      </c>
      <c r="BC65" s="3" t="s">
        <v>77</v>
      </c>
      <c r="BD65" s="3" t="s">
        <v>78</v>
      </c>
      <c r="BF65" s="3" t="s">
        <v>747</v>
      </c>
      <c r="BG65" s="3" t="s">
        <v>748</v>
      </c>
    </row>
    <row r="66" spans="1:59" ht="58" x14ac:dyDescent="0.35">
      <c r="A66" s="2" t="s">
        <v>59</v>
      </c>
      <c r="B66" s="2" t="s">
        <v>60</v>
      </c>
      <c r="C66" s="2" t="s">
        <v>737</v>
      </c>
      <c r="D66" s="2" t="s">
        <v>738</v>
      </c>
      <c r="E66" s="2" t="s">
        <v>739</v>
      </c>
      <c r="F66" s="3" t="s">
        <v>258</v>
      </c>
      <c r="G66" s="3" t="s">
        <v>209</v>
      </c>
      <c r="I66" s="3" t="s">
        <v>65</v>
      </c>
      <c r="J66" s="3" t="s">
        <v>65</v>
      </c>
      <c r="K66" s="3" t="s">
        <v>66</v>
      </c>
      <c r="L66" s="2" t="s">
        <v>740</v>
      </c>
      <c r="M66" s="2" t="s">
        <v>741</v>
      </c>
      <c r="N66" s="3" t="s">
        <v>742</v>
      </c>
      <c r="P66" s="3" t="s">
        <v>69</v>
      </c>
      <c r="R66" s="3" t="s">
        <v>71</v>
      </c>
      <c r="S66" s="4">
        <v>2</v>
      </c>
      <c r="T66" s="4">
        <v>2</v>
      </c>
      <c r="U66" s="5" t="s">
        <v>743</v>
      </c>
      <c r="V66" s="5" t="s">
        <v>743</v>
      </c>
      <c r="W66" s="5" t="s">
        <v>72</v>
      </c>
      <c r="X66" s="5" t="s">
        <v>72</v>
      </c>
      <c r="Y66" s="4">
        <v>298</v>
      </c>
      <c r="Z66" s="4">
        <v>5</v>
      </c>
      <c r="AA66" s="4">
        <v>5</v>
      </c>
      <c r="AB66" s="4">
        <v>1</v>
      </c>
      <c r="AC66" s="4">
        <v>1</v>
      </c>
      <c r="AD66" s="4">
        <v>73</v>
      </c>
      <c r="AE66" s="4">
        <v>73</v>
      </c>
      <c r="AF66" s="4">
        <v>0</v>
      </c>
      <c r="AG66" s="4">
        <v>0</v>
      </c>
      <c r="AH66" s="4">
        <v>69</v>
      </c>
      <c r="AI66" s="4">
        <v>69</v>
      </c>
      <c r="AJ66" s="4">
        <v>3</v>
      </c>
      <c r="AK66" s="4">
        <v>3</v>
      </c>
      <c r="AL66" s="4">
        <v>45</v>
      </c>
      <c r="AM66" s="4">
        <v>45</v>
      </c>
      <c r="AN66" s="4">
        <v>0</v>
      </c>
      <c r="AO66" s="4">
        <v>0</v>
      </c>
      <c r="AP66" s="4">
        <v>4</v>
      </c>
      <c r="AQ66" s="4">
        <v>4</v>
      </c>
      <c r="AR66" s="3" t="s">
        <v>65</v>
      </c>
      <c r="AS66" s="3" t="s">
        <v>65</v>
      </c>
      <c r="AT66" s="3" t="s">
        <v>209</v>
      </c>
      <c r="AU66" s="6" t="str">
        <f>HYPERLINK("http://catalog.hathitrust.org/Record/001218139","HathiTrust Record")</f>
        <v>HathiTrust Record</v>
      </c>
      <c r="AV66" s="6" t="str">
        <f>HYPERLINK("http://mcgill.on.worldcat.org/oclc/426963","Catalog Record")</f>
        <v>Catalog Record</v>
      </c>
      <c r="AW66" s="6" t="str">
        <f>HYPERLINK("http://www.worldcat.org/oclc/426963","WorldCat Record")</f>
        <v>WorldCat Record</v>
      </c>
      <c r="AX66" s="3" t="s">
        <v>744</v>
      </c>
      <c r="AY66" s="3" t="s">
        <v>745</v>
      </c>
      <c r="AZ66" s="3" t="s">
        <v>746</v>
      </c>
      <c r="BA66" s="3" t="s">
        <v>746</v>
      </c>
      <c r="BB66" s="3" t="s">
        <v>749</v>
      </c>
      <c r="BC66" s="3" t="s">
        <v>77</v>
      </c>
      <c r="BD66" s="3" t="s">
        <v>78</v>
      </c>
      <c r="BF66" s="3" t="s">
        <v>749</v>
      </c>
      <c r="BG66" s="3" t="s">
        <v>750</v>
      </c>
    </row>
    <row r="67" spans="1:59" ht="58" x14ac:dyDescent="0.35">
      <c r="A67" s="2" t="s">
        <v>59</v>
      </c>
      <c r="B67" s="2" t="s">
        <v>60</v>
      </c>
      <c r="C67" s="2" t="s">
        <v>751</v>
      </c>
      <c r="D67" s="2" t="s">
        <v>752</v>
      </c>
      <c r="E67" s="2" t="s">
        <v>753</v>
      </c>
      <c r="F67" s="3" t="s">
        <v>258</v>
      </c>
      <c r="G67" s="3" t="s">
        <v>209</v>
      </c>
      <c r="I67" s="3" t="s">
        <v>65</v>
      </c>
      <c r="J67" s="3" t="s">
        <v>65</v>
      </c>
      <c r="K67" s="3" t="s">
        <v>66</v>
      </c>
      <c r="L67" s="2" t="s">
        <v>754</v>
      </c>
      <c r="M67" s="2" t="s">
        <v>755</v>
      </c>
      <c r="N67" s="3" t="s">
        <v>756</v>
      </c>
      <c r="P67" s="3" t="s">
        <v>69</v>
      </c>
      <c r="Q67" s="2" t="s">
        <v>757</v>
      </c>
      <c r="R67" s="3" t="s">
        <v>71</v>
      </c>
      <c r="S67" s="4">
        <v>7</v>
      </c>
      <c r="T67" s="4">
        <v>28</v>
      </c>
      <c r="U67" s="5" t="s">
        <v>480</v>
      </c>
      <c r="V67" s="5" t="s">
        <v>480</v>
      </c>
      <c r="W67" s="5" t="s">
        <v>72</v>
      </c>
      <c r="X67" s="5" t="s">
        <v>72</v>
      </c>
      <c r="Y67" s="4">
        <v>636</v>
      </c>
      <c r="Z67" s="4">
        <v>25</v>
      </c>
      <c r="AA67" s="4">
        <v>26</v>
      </c>
      <c r="AB67" s="4">
        <v>2</v>
      </c>
      <c r="AC67" s="4">
        <v>3</v>
      </c>
      <c r="AD67" s="4">
        <v>112</v>
      </c>
      <c r="AE67" s="4">
        <v>114</v>
      </c>
      <c r="AF67" s="4">
        <v>1</v>
      </c>
      <c r="AG67" s="4">
        <v>2</v>
      </c>
      <c r="AH67" s="4">
        <v>99</v>
      </c>
      <c r="AI67" s="4">
        <v>101</v>
      </c>
      <c r="AJ67" s="4">
        <v>15</v>
      </c>
      <c r="AK67" s="4">
        <v>16</v>
      </c>
      <c r="AL67" s="4">
        <v>53</v>
      </c>
      <c r="AM67" s="4">
        <v>54</v>
      </c>
      <c r="AN67" s="4">
        <v>0</v>
      </c>
      <c r="AO67" s="4">
        <v>0</v>
      </c>
      <c r="AP67" s="4">
        <v>19</v>
      </c>
      <c r="AQ67" s="4">
        <v>20</v>
      </c>
      <c r="AR67" s="3" t="s">
        <v>65</v>
      </c>
      <c r="AS67" s="3" t="s">
        <v>65</v>
      </c>
      <c r="AT67" s="3" t="s">
        <v>209</v>
      </c>
      <c r="AU67" s="6" t="str">
        <f>HYPERLINK("http://catalog.hathitrust.org/Record/001218145","HathiTrust Record")</f>
        <v>HathiTrust Record</v>
      </c>
      <c r="AV67" s="6" t="str">
        <f>HYPERLINK("http://mcgill.on.worldcat.org/oclc/78177","Catalog Record")</f>
        <v>Catalog Record</v>
      </c>
      <c r="AW67" s="6" t="str">
        <f>HYPERLINK("http://www.worldcat.org/oclc/78177","WorldCat Record")</f>
        <v>WorldCat Record</v>
      </c>
      <c r="AX67" s="3" t="s">
        <v>758</v>
      </c>
      <c r="AY67" s="3" t="s">
        <v>759</v>
      </c>
      <c r="AZ67" s="3" t="s">
        <v>760</v>
      </c>
      <c r="BA67" s="3" t="s">
        <v>760</v>
      </c>
      <c r="BB67" s="3" t="s">
        <v>761</v>
      </c>
      <c r="BC67" s="3" t="s">
        <v>77</v>
      </c>
      <c r="BD67" s="3" t="s">
        <v>78</v>
      </c>
      <c r="BF67" s="3" t="s">
        <v>761</v>
      </c>
      <c r="BG67" s="3" t="s">
        <v>762</v>
      </c>
    </row>
    <row r="68" spans="1:59" ht="58" x14ac:dyDescent="0.35">
      <c r="A68" s="2" t="s">
        <v>59</v>
      </c>
      <c r="B68" s="2" t="s">
        <v>60</v>
      </c>
      <c r="C68" s="2" t="s">
        <v>751</v>
      </c>
      <c r="D68" s="2" t="s">
        <v>752</v>
      </c>
      <c r="E68" s="2" t="s">
        <v>753</v>
      </c>
      <c r="F68" s="3" t="s">
        <v>245</v>
      </c>
      <c r="G68" s="3" t="s">
        <v>209</v>
      </c>
      <c r="I68" s="3" t="s">
        <v>65</v>
      </c>
      <c r="J68" s="3" t="s">
        <v>65</v>
      </c>
      <c r="K68" s="3" t="s">
        <v>66</v>
      </c>
      <c r="L68" s="2" t="s">
        <v>754</v>
      </c>
      <c r="M68" s="2" t="s">
        <v>755</v>
      </c>
      <c r="N68" s="3" t="s">
        <v>756</v>
      </c>
      <c r="P68" s="3" t="s">
        <v>69</v>
      </c>
      <c r="Q68" s="2" t="s">
        <v>757</v>
      </c>
      <c r="R68" s="3" t="s">
        <v>71</v>
      </c>
      <c r="S68" s="4">
        <v>21</v>
      </c>
      <c r="T68" s="4">
        <v>28</v>
      </c>
      <c r="U68" s="5" t="s">
        <v>480</v>
      </c>
      <c r="V68" s="5" t="s">
        <v>480</v>
      </c>
      <c r="W68" s="5" t="s">
        <v>72</v>
      </c>
      <c r="X68" s="5" t="s">
        <v>72</v>
      </c>
      <c r="Y68" s="4">
        <v>636</v>
      </c>
      <c r="Z68" s="4">
        <v>25</v>
      </c>
      <c r="AA68" s="4">
        <v>26</v>
      </c>
      <c r="AB68" s="4">
        <v>2</v>
      </c>
      <c r="AC68" s="4">
        <v>3</v>
      </c>
      <c r="AD68" s="4">
        <v>112</v>
      </c>
      <c r="AE68" s="4">
        <v>114</v>
      </c>
      <c r="AF68" s="4">
        <v>1</v>
      </c>
      <c r="AG68" s="4">
        <v>2</v>
      </c>
      <c r="AH68" s="4">
        <v>99</v>
      </c>
      <c r="AI68" s="4">
        <v>101</v>
      </c>
      <c r="AJ68" s="4">
        <v>15</v>
      </c>
      <c r="AK68" s="4">
        <v>16</v>
      </c>
      <c r="AL68" s="4">
        <v>53</v>
      </c>
      <c r="AM68" s="4">
        <v>54</v>
      </c>
      <c r="AN68" s="4">
        <v>0</v>
      </c>
      <c r="AO68" s="4">
        <v>0</v>
      </c>
      <c r="AP68" s="4">
        <v>19</v>
      </c>
      <c r="AQ68" s="4">
        <v>20</v>
      </c>
      <c r="AR68" s="3" t="s">
        <v>65</v>
      </c>
      <c r="AS68" s="3" t="s">
        <v>65</v>
      </c>
      <c r="AT68" s="3" t="s">
        <v>209</v>
      </c>
      <c r="AU68" s="6" t="str">
        <f>HYPERLINK("http://catalog.hathitrust.org/Record/001218145","HathiTrust Record")</f>
        <v>HathiTrust Record</v>
      </c>
      <c r="AV68" s="6" t="str">
        <f>HYPERLINK("http://mcgill.on.worldcat.org/oclc/78177","Catalog Record")</f>
        <v>Catalog Record</v>
      </c>
      <c r="AW68" s="6" t="str">
        <f>HYPERLINK("http://www.worldcat.org/oclc/78177","WorldCat Record")</f>
        <v>WorldCat Record</v>
      </c>
      <c r="AX68" s="3" t="s">
        <v>758</v>
      </c>
      <c r="AY68" s="3" t="s">
        <v>759</v>
      </c>
      <c r="AZ68" s="3" t="s">
        <v>760</v>
      </c>
      <c r="BA68" s="3" t="s">
        <v>760</v>
      </c>
      <c r="BB68" s="3" t="s">
        <v>763</v>
      </c>
      <c r="BC68" s="3" t="s">
        <v>77</v>
      </c>
      <c r="BD68" s="3" t="s">
        <v>78</v>
      </c>
      <c r="BF68" s="3" t="s">
        <v>763</v>
      </c>
      <c r="BG68" s="3" t="s">
        <v>764</v>
      </c>
    </row>
    <row r="69" spans="1:59" ht="58" x14ac:dyDescent="0.35">
      <c r="A69" s="2" t="s">
        <v>59</v>
      </c>
      <c r="B69" s="2" t="s">
        <v>60</v>
      </c>
      <c r="C69" s="2" t="s">
        <v>765</v>
      </c>
      <c r="D69" s="2" t="s">
        <v>766</v>
      </c>
      <c r="E69" s="2" t="s">
        <v>767</v>
      </c>
      <c r="G69" s="3" t="s">
        <v>65</v>
      </c>
      <c r="I69" s="3" t="s">
        <v>65</v>
      </c>
      <c r="J69" s="3" t="s">
        <v>65</v>
      </c>
      <c r="K69" s="3" t="s">
        <v>66</v>
      </c>
      <c r="L69" s="2" t="s">
        <v>768</v>
      </c>
      <c r="M69" s="2" t="s">
        <v>769</v>
      </c>
      <c r="N69" s="3" t="s">
        <v>770</v>
      </c>
      <c r="O69" s="2" t="s">
        <v>365</v>
      </c>
      <c r="P69" s="3" t="s">
        <v>140</v>
      </c>
      <c r="Q69" s="2" t="s">
        <v>771</v>
      </c>
      <c r="R69" s="3" t="s">
        <v>71</v>
      </c>
      <c r="S69" s="4">
        <v>5</v>
      </c>
      <c r="T69" s="4">
        <v>5</v>
      </c>
      <c r="U69" s="5" t="s">
        <v>772</v>
      </c>
      <c r="V69" s="5" t="s">
        <v>772</v>
      </c>
      <c r="W69" s="5" t="s">
        <v>72</v>
      </c>
      <c r="X69" s="5" t="s">
        <v>72</v>
      </c>
      <c r="Y69" s="4">
        <v>84</v>
      </c>
      <c r="Z69" s="4">
        <v>5</v>
      </c>
      <c r="AA69" s="4">
        <v>5</v>
      </c>
      <c r="AB69" s="4">
        <v>1</v>
      </c>
      <c r="AC69" s="4">
        <v>1</v>
      </c>
      <c r="AD69" s="4">
        <v>41</v>
      </c>
      <c r="AE69" s="4">
        <v>41</v>
      </c>
      <c r="AF69" s="4">
        <v>0</v>
      </c>
      <c r="AG69" s="4">
        <v>0</v>
      </c>
      <c r="AH69" s="4">
        <v>38</v>
      </c>
      <c r="AI69" s="4">
        <v>38</v>
      </c>
      <c r="AJ69" s="4">
        <v>3</v>
      </c>
      <c r="AK69" s="4">
        <v>3</v>
      </c>
      <c r="AL69" s="4">
        <v>31</v>
      </c>
      <c r="AM69" s="4">
        <v>31</v>
      </c>
      <c r="AN69" s="4">
        <v>0</v>
      </c>
      <c r="AO69" s="4">
        <v>0</v>
      </c>
      <c r="AP69" s="4">
        <v>3</v>
      </c>
      <c r="AQ69" s="4">
        <v>3</v>
      </c>
      <c r="AR69" s="3" t="s">
        <v>65</v>
      </c>
      <c r="AS69" s="3" t="s">
        <v>65</v>
      </c>
      <c r="AT69" s="3" t="s">
        <v>209</v>
      </c>
      <c r="AU69" s="6" t="str">
        <f>HYPERLINK("http://catalog.hathitrust.org/Record/002553375","HathiTrust Record")</f>
        <v>HathiTrust Record</v>
      </c>
      <c r="AV69" s="6" t="str">
        <f>HYPERLINK("http://mcgill.on.worldcat.org/oclc/28115169","Catalog Record")</f>
        <v>Catalog Record</v>
      </c>
      <c r="AW69" s="6" t="str">
        <f>HYPERLINK("http://www.worldcat.org/oclc/28115169","WorldCat Record")</f>
        <v>WorldCat Record</v>
      </c>
      <c r="AX69" s="3" t="s">
        <v>773</v>
      </c>
      <c r="AY69" s="3" t="s">
        <v>774</v>
      </c>
      <c r="AZ69" s="3" t="s">
        <v>775</v>
      </c>
      <c r="BA69" s="3" t="s">
        <v>775</v>
      </c>
      <c r="BB69" s="3" t="s">
        <v>776</v>
      </c>
      <c r="BC69" s="3" t="s">
        <v>77</v>
      </c>
      <c r="BD69" s="3" t="s">
        <v>78</v>
      </c>
      <c r="BE69" s="3" t="s">
        <v>777</v>
      </c>
      <c r="BF69" s="3" t="s">
        <v>776</v>
      </c>
      <c r="BG69" s="3" t="s">
        <v>778</v>
      </c>
    </row>
    <row r="70" spans="1:59" ht="58" x14ac:dyDescent="0.35">
      <c r="A70" s="2" t="s">
        <v>59</v>
      </c>
      <c r="B70" s="2" t="s">
        <v>60</v>
      </c>
      <c r="C70" s="2" t="s">
        <v>779</v>
      </c>
      <c r="D70" s="2" t="s">
        <v>780</v>
      </c>
      <c r="E70" s="2" t="s">
        <v>781</v>
      </c>
      <c r="F70" s="3" t="s">
        <v>245</v>
      </c>
      <c r="G70" s="3" t="s">
        <v>209</v>
      </c>
      <c r="I70" s="3" t="s">
        <v>65</v>
      </c>
      <c r="J70" s="3" t="s">
        <v>65</v>
      </c>
      <c r="K70" s="3" t="s">
        <v>66</v>
      </c>
      <c r="L70" s="2" t="s">
        <v>782</v>
      </c>
      <c r="M70" s="2" t="s">
        <v>783</v>
      </c>
      <c r="N70" s="3" t="s">
        <v>770</v>
      </c>
      <c r="P70" s="3" t="s">
        <v>140</v>
      </c>
      <c r="R70" s="3" t="s">
        <v>71</v>
      </c>
      <c r="S70" s="4">
        <v>27</v>
      </c>
      <c r="T70" s="4">
        <v>65</v>
      </c>
      <c r="U70" s="5" t="s">
        <v>784</v>
      </c>
      <c r="V70" s="5" t="s">
        <v>785</v>
      </c>
      <c r="W70" s="5" t="s">
        <v>72</v>
      </c>
      <c r="X70" s="5" t="s">
        <v>72</v>
      </c>
      <c r="Y70" s="4">
        <v>87</v>
      </c>
      <c r="Z70" s="4">
        <v>2</v>
      </c>
      <c r="AA70" s="4">
        <v>5</v>
      </c>
      <c r="AB70" s="4">
        <v>1</v>
      </c>
      <c r="AC70" s="4">
        <v>1</v>
      </c>
      <c r="AD70" s="4">
        <v>39</v>
      </c>
      <c r="AE70" s="4">
        <v>52</v>
      </c>
      <c r="AF70" s="4">
        <v>0</v>
      </c>
      <c r="AG70" s="4">
        <v>0</v>
      </c>
      <c r="AH70" s="4">
        <v>38</v>
      </c>
      <c r="AI70" s="4">
        <v>50</v>
      </c>
      <c r="AJ70" s="4">
        <v>1</v>
      </c>
      <c r="AK70" s="4">
        <v>4</v>
      </c>
      <c r="AL70" s="4">
        <v>29</v>
      </c>
      <c r="AM70" s="4">
        <v>36</v>
      </c>
      <c r="AN70" s="4">
        <v>0</v>
      </c>
      <c r="AO70" s="4">
        <v>0</v>
      </c>
      <c r="AP70" s="4">
        <v>1</v>
      </c>
      <c r="AQ70" s="4">
        <v>4</v>
      </c>
      <c r="AR70" s="3" t="s">
        <v>65</v>
      </c>
      <c r="AS70" s="3" t="s">
        <v>65</v>
      </c>
      <c r="AT70" s="3" t="s">
        <v>209</v>
      </c>
      <c r="AU70" s="6" t="str">
        <f>HYPERLINK("http://catalog.hathitrust.org/Record/007139175","HathiTrust Record")</f>
        <v>HathiTrust Record</v>
      </c>
      <c r="AV70" s="6" t="str">
        <f>HYPERLINK("http://mcgill.on.worldcat.org/oclc/25512722","Catalog Record")</f>
        <v>Catalog Record</v>
      </c>
      <c r="AW70" s="6" t="str">
        <f>HYPERLINK("http://www.worldcat.org/oclc/25512722","WorldCat Record")</f>
        <v>WorldCat Record</v>
      </c>
      <c r="AX70" s="3" t="s">
        <v>786</v>
      </c>
      <c r="AY70" s="3" t="s">
        <v>787</v>
      </c>
      <c r="AZ70" s="3" t="s">
        <v>788</v>
      </c>
      <c r="BA70" s="3" t="s">
        <v>788</v>
      </c>
      <c r="BB70" s="3" t="s">
        <v>789</v>
      </c>
      <c r="BC70" s="3" t="s">
        <v>77</v>
      </c>
      <c r="BD70" s="3" t="s">
        <v>78</v>
      </c>
      <c r="BE70" s="3" t="s">
        <v>790</v>
      </c>
      <c r="BF70" s="3" t="s">
        <v>789</v>
      </c>
      <c r="BG70" s="3" t="s">
        <v>791</v>
      </c>
    </row>
    <row r="71" spans="1:59" ht="58" x14ac:dyDescent="0.35">
      <c r="A71" s="2" t="s">
        <v>59</v>
      </c>
      <c r="B71" s="2" t="s">
        <v>60</v>
      </c>
      <c r="C71" s="2" t="s">
        <v>779</v>
      </c>
      <c r="D71" s="2" t="s">
        <v>780</v>
      </c>
      <c r="E71" s="2" t="s">
        <v>781</v>
      </c>
      <c r="F71" s="3" t="s">
        <v>792</v>
      </c>
      <c r="G71" s="3" t="s">
        <v>209</v>
      </c>
      <c r="I71" s="3" t="s">
        <v>65</v>
      </c>
      <c r="J71" s="3" t="s">
        <v>65</v>
      </c>
      <c r="K71" s="3" t="s">
        <v>66</v>
      </c>
      <c r="L71" s="2" t="s">
        <v>782</v>
      </c>
      <c r="M71" s="2" t="s">
        <v>783</v>
      </c>
      <c r="N71" s="3" t="s">
        <v>770</v>
      </c>
      <c r="P71" s="3" t="s">
        <v>140</v>
      </c>
      <c r="R71" s="3" t="s">
        <v>71</v>
      </c>
      <c r="S71" s="4">
        <v>9</v>
      </c>
      <c r="T71" s="4">
        <v>65</v>
      </c>
      <c r="U71" s="5" t="s">
        <v>785</v>
      </c>
      <c r="V71" s="5" t="s">
        <v>785</v>
      </c>
      <c r="W71" s="5" t="s">
        <v>72</v>
      </c>
      <c r="X71" s="5" t="s">
        <v>72</v>
      </c>
      <c r="Y71" s="4">
        <v>87</v>
      </c>
      <c r="Z71" s="4">
        <v>2</v>
      </c>
      <c r="AA71" s="4">
        <v>5</v>
      </c>
      <c r="AB71" s="4">
        <v>1</v>
      </c>
      <c r="AC71" s="4">
        <v>1</v>
      </c>
      <c r="AD71" s="4">
        <v>39</v>
      </c>
      <c r="AE71" s="4">
        <v>52</v>
      </c>
      <c r="AF71" s="4">
        <v>0</v>
      </c>
      <c r="AG71" s="4">
        <v>0</v>
      </c>
      <c r="AH71" s="4">
        <v>38</v>
      </c>
      <c r="AI71" s="4">
        <v>50</v>
      </c>
      <c r="AJ71" s="4">
        <v>1</v>
      </c>
      <c r="AK71" s="4">
        <v>4</v>
      </c>
      <c r="AL71" s="4">
        <v>29</v>
      </c>
      <c r="AM71" s="4">
        <v>36</v>
      </c>
      <c r="AN71" s="4">
        <v>0</v>
      </c>
      <c r="AO71" s="4">
        <v>0</v>
      </c>
      <c r="AP71" s="4">
        <v>1</v>
      </c>
      <c r="AQ71" s="4">
        <v>4</v>
      </c>
      <c r="AR71" s="3" t="s">
        <v>65</v>
      </c>
      <c r="AS71" s="3" t="s">
        <v>65</v>
      </c>
      <c r="AT71" s="3" t="s">
        <v>209</v>
      </c>
      <c r="AU71" s="6" t="str">
        <f>HYPERLINK("http://catalog.hathitrust.org/Record/007139175","HathiTrust Record")</f>
        <v>HathiTrust Record</v>
      </c>
      <c r="AV71" s="6" t="str">
        <f>HYPERLINK("http://mcgill.on.worldcat.org/oclc/25512722","Catalog Record")</f>
        <v>Catalog Record</v>
      </c>
      <c r="AW71" s="6" t="str">
        <f>HYPERLINK("http://www.worldcat.org/oclc/25512722","WorldCat Record")</f>
        <v>WorldCat Record</v>
      </c>
      <c r="AX71" s="3" t="s">
        <v>786</v>
      </c>
      <c r="AY71" s="3" t="s">
        <v>787</v>
      </c>
      <c r="AZ71" s="3" t="s">
        <v>788</v>
      </c>
      <c r="BA71" s="3" t="s">
        <v>788</v>
      </c>
      <c r="BB71" s="3" t="s">
        <v>793</v>
      </c>
      <c r="BC71" s="3" t="s">
        <v>77</v>
      </c>
      <c r="BD71" s="3" t="s">
        <v>78</v>
      </c>
      <c r="BE71" s="3" t="s">
        <v>790</v>
      </c>
      <c r="BF71" s="3" t="s">
        <v>793</v>
      </c>
      <c r="BG71" s="3" t="s">
        <v>794</v>
      </c>
    </row>
    <row r="72" spans="1:59" ht="58" x14ac:dyDescent="0.35">
      <c r="A72" s="2" t="s">
        <v>59</v>
      </c>
      <c r="B72" s="2" t="s">
        <v>60</v>
      </c>
      <c r="C72" s="2" t="s">
        <v>779</v>
      </c>
      <c r="D72" s="2" t="s">
        <v>780</v>
      </c>
      <c r="E72" s="2" t="s">
        <v>781</v>
      </c>
      <c r="F72" s="3" t="s">
        <v>258</v>
      </c>
      <c r="G72" s="3" t="s">
        <v>209</v>
      </c>
      <c r="I72" s="3" t="s">
        <v>65</v>
      </c>
      <c r="J72" s="3" t="s">
        <v>65</v>
      </c>
      <c r="K72" s="3" t="s">
        <v>66</v>
      </c>
      <c r="L72" s="2" t="s">
        <v>782</v>
      </c>
      <c r="M72" s="2" t="s">
        <v>783</v>
      </c>
      <c r="N72" s="3" t="s">
        <v>770</v>
      </c>
      <c r="P72" s="3" t="s">
        <v>140</v>
      </c>
      <c r="R72" s="3" t="s">
        <v>71</v>
      </c>
      <c r="S72" s="4">
        <v>16</v>
      </c>
      <c r="T72" s="4">
        <v>65</v>
      </c>
      <c r="U72" s="5" t="s">
        <v>784</v>
      </c>
      <c r="V72" s="5" t="s">
        <v>785</v>
      </c>
      <c r="W72" s="5" t="s">
        <v>72</v>
      </c>
      <c r="X72" s="5" t="s">
        <v>72</v>
      </c>
      <c r="Y72" s="4">
        <v>87</v>
      </c>
      <c r="Z72" s="4">
        <v>2</v>
      </c>
      <c r="AA72" s="4">
        <v>5</v>
      </c>
      <c r="AB72" s="4">
        <v>1</v>
      </c>
      <c r="AC72" s="4">
        <v>1</v>
      </c>
      <c r="AD72" s="4">
        <v>39</v>
      </c>
      <c r="AE72" s="4">
        <v>52</v>
      </c>
      <c r="AF72" s="4">
        <v>0</v>
      </c>
      <c r="AG72" s="4">
        <v>0</v>
      </c>
      <c r="AH72" s="4">
        <v>38</v>
      </c>
      <c r="AI72" s="4">
        <v>50</v>
      </c>
      <c r="AJ72" s="4">
        <v>1</v>
      </c>
      <c r="AK72" s="4">
        <v>4</v>
      </c>
      <c r="AL72" s="4">
        <v>29</v>
      </c>
      <c r="AM72" s="4">
        <v>36</v>
      </c>
      <c r="AN72" s="4">
        <v>0</v>
      </c>
      <c r="AO72" s="4">
        <v>0</v>
      </c>
      <c r="AP72" s="4">
        <v>1</v>
      </c>
      <c r="AQ72" s="4">
        <v>4</v>
      </c>
      <c r="AR72" s="3" t="s">
        <v>65</v>
      </c>
      <c r="AS72" s="3" t="s">
        <v>65</v>
      </c>
      <c r="AT72" s="3" t="s">
        <v>209</v>
      </c>
      <c r="AU72" s="6" t="str">
        <f>HYPERLINK("http://catalog.hathitrust.org/Record/007139175","HathiTrust Record")</f>
        <v>HathiTrust Record</v>
      </c>
      <c r="AV72" s="6" t="str">
        <f>HYPERLINK("http://mcgill.on.worldcat.org/oclc/25512722","Catalog Record")</f>
        <v>Catalog Record</v>
      </c>
      <c r="AW72" s="6" t="str">
        <f>HYPERLINK("http://www.worldcat.org/oclc/25512722","WorldCat Record")</f>
        <v>WorldCat Record</v>
      </c>
      <c r="AX72" s="3" t="s">
        <v>786</v>
      </c>
      <c r="AY72" s="3" t="s">
        <v>787</v>
      </c>
      <c r="AZ72" s="3" t="s">
        <v>788</v>
      </c>
      <c r="BA72" s="3" t="s">
        <v>788</v>
      </c>
      <c r="BB72" s="3" t="s">
        <v>795</v>
      </c>
      <c r="BC72" s="3" t="s">
        <v>77</v>
      </c>
      <c r="BD72" s="3" t="s">
        <v>78</v>
      </c>
      <c r="BE72" s="3" t="s">
        <v>790</v>
      </c>
      <c r="BF72" s="3" t="s">
        <v>795</v>
      </c>
      <c r="BG72" s="3" t="s">
        <v>796</v>
      </c>
    </row>
    <row r="73" spans="1:59" ht="58" x14ac:dyDescent="0.35">
      <c r="A73" s="2" t="s">
        <v>59</v>
      </c>
      <c r="B73" s="2" t="s">
        <v>60</v>
      </c>
      <c r="C73" s="2" t="s">
        <v>779</v>
      </c>
      <c r="D73" s="2" t="s">
        <v>780</v>
      </c>
      <c r="E73" s="2" t="s">
        <v>781</v>
      </c>
      <c r="F73" s="3" t="s">
        <v>255</v>
      </c>
      <c r="G73" s="3" t="s">
        <v>209</v>
      </c>
      <c r="I73" s="3" t="s">
        <v>65</v>
      </c>
      <c r="J73" s="3" t="s">
        <v>65</v>
      </c>
      <c r="K73" s="3" t="s">
        <v>66</v>
      </c>
      <c r="L73" s="2" t="s">
        <v>782</v>
      </c>
      <c r="M73" s="2" t="s">
        <v>783</v>
      </c>
      <c r="N73" s="3" t="s">
        <v>770</v>
      </c>
      <c r="P73" s="3" t="s">
        <v>140</v>
      </c>
      <c r="R73" s="3" t="s">
        <v>71</v>
      </c>
      <c r="S73" s="4">
        <v>13</v>
      </c>
      <c r="T73" s="4">
        <v>65</v>
      </c>
      <c r="U73" s="5" t="s">
        <v>785</v>
      </c>
      <c r="V73" s="5" t="s">
        <v>785</v>
      </c>
      <c r="W73" s="5" t="s">
        <v>72</v>
      </c>
      <c r="X73" s="5" t="s">
        <v>72</v>
      </c>
      <c r="Y73" s="4">
        <v>87</v>
      </c>
      <c r="Z73" s="4">
        <v>2</v>
      </c>
      <c r="AA73" s="4">
        <v>5</v>
      </c>
      <c r="AB73" s="4">
        <v>1</v>
      </c>
      <c r="AC73" s="4">
        <v>1</v>
      </c>
      <c r="AD73" s="4">
        <v>39</v>
      </c>
      <c r="AE73" s="4">
        <v>52</v>
      </c>
      <c r="AF73" s="4">
        <v>0</v>
      </c>
      <c r="AG73" s="4">
        <v>0</v>
      </c>
      <c r="AH73" s="4">
        <v>38</v>
      </c>
      <c r="AI73" s="4">
        <v>50</v>
      </c>
      <c r="AJ73" s="4">
        <v>1</v>
      </c>
      <c r="AK73" s="4">
        <v>4</v>
      </c>
      <c r="AL73" s="4">
        <v>29</v>
      </c>
      <c r="AM73" s="4">
        <v>36</v>
      </c>
      <c r="AN73" s="4">
        <v>0</v>
      </c>
      <c r="AO73" s="4">
        <v>0</v>
      </c>
      <c r="AP73" s="4">
        <v>1</v>
      </c>
      <c r="AQ73" s="4">
        <v>4</v>
      </c>
      <c r="AR73" s="3" t="s">
        <v>65</v>
      </c>
      <c r="AS73" s="3" t="s">
        <v>65</v>
      </c>
      <c r="AT73" s="3" t="s">
        <v>209</v>
      </c>
      <c r="AU73" s="6" t="str">
        <f>HYPERLINK("http://catalog.hathitrust.org/Record/007139175","HathiTrust Record")</f>
        <v>HathiTrust Record</v>
      </c>
      <c r="AV73" s="6" t="str">
        <f>HYPERLINK("http://mcgill.on.worldcat.org/oclc/25512722","Catalog Record")</f>
        <v>Catalog Record</v>
      </c>
      <c r="AW73" s="6" t="str">
        <f>HYPERLINK("http://www.worldcat.org/oclc/25512722","WorldCat Record")</f>
        <v>WorldCat Record</v>
      </c>
      <c r="AX73" s="3" t="s">
        <v>786</v>
      </c>
      <c r="AY73" s="3" t="s">
        <v>787</v>
      </c>
      <c r="AZ73" s="3" t="s">
        <v>788</v>
      </c>
      <c r="BA73" s="3" t="s">
        <v>788</v>
      </c>
      <c r="BB73" s="3" t="s">
        <v>797</v>
      </c>
      <c r="BC73" s="3" t="s">
        <v>77</v>
      </c>
      <c r="BD73" s="3" t="s">
        <v>78</v>
      </c>
      <c r="BE73" s="3" t="s">
        <v>790</v>
      </c>
      <c r="BF73" s="3" t="s">
        <v>797</v>
      </c>
      <c r="BG73" s="3" t="s">
        <v>798</v>
      </c>
    </row>
    <row r="74" spans="1:59" ht="58" x14ac:dyDescent="0.35">
      <c r="A74" s="2" t="s">
        <v>59</v>
      </c>
      <c r="B74" s="2" t="s">
        <v>60</v>
      </c>
      <c r="C74" s="2" t="s">
        <v>799</v>
      </c>
      <c r="D74" s="2" t="s">
        <v>800</v>
      </c>
      <c r="E74" s="2" t="s">
        <v>801</v>
      </c>
      <c r="G74" s="3" t="s">
        <v>65</v>
      </c>
      <c r="I74" s="3" t="s">
        <v>65</v>
      </c>
      <c r="J74" s="3" t="s">
        <v>65</v>
      </c>
      <c r="K74" s="3" t="s">
        <v>66</v>
      </c>
      <c r="L74" s="2" t="s">
        <v>802</v>
      </c>
      <c r="M74" s="2" t="s">
        <v>803</v>
      </c>
      <c r="N74" s="3" t="s">
        <v>126</v>
      </c>
      <c r="P74" s="3" t="s">
        <v>140</v>
      </c>
      <c r="Q74" s="2" t="s">
        <v>804</v>
      </c>
      <c r="R74" s="3" t="s">
        <v>71</v>
      </c>
      <c r="S74" s="4">
        <v>2</v>
      </c>
      <c r="T74" s="4">
        <v>2</v>
      </c>
      <c r="U74" s="5" t="s">
        <v>805</v>
      </c>
      <c r="V74" s="5" t="s">
        <v>805</v>
      </c>
      <c r="W74" s="5" t="s">
        <v>72</v>
      </c>
      <c r="X74" s="5" t="s">
        <v>72</v>
      </c>
      <c r="Y74" s="4">
        <v>55</v>
      </c>
      <c r="Z74" s="4">
        <v>9</v>
      </c>
      <c r="AA74" s="4">
        <v>9</v>
      </c>
      <c r="AB74" s="4">
        <v>1</v>
      </c>
      <c r="AC74" s="4">
        <v>1</v>
      </c>
      <c r="AD74" s="4">
        <v>31</v>
      </c>
      <c r="AE74" s="4">
        <v>31</v>
      </c>
      <c r="AF74" s="4">
        <v>0</v>
      </c>
      <c r="AG74" s="4">
        <v>0</v>
      </c>
      <c r="AH74" s="4">
        <v>30</v>
      </c>
      <c r="AI74" s="4">
        <v>30</v>
      </c>
      <c r="AJ74" s="4">
        <v>5</v>
      </c>
      <c r="AK74" s="4">
        <v>5</v>
      </c>
      <c r="AL74" s="4">
        <v>23</v>
      </c>
      <c r="AM74" s="4">
        <v>23</v>
      </c>
      <c r="AN74" s="4">
        <v>0</v>
      </c>
      <c r="AO74" s="4">
        <v>0</v>
      </c>
      <c r="AP74" s="4">
        <v>5</v>
      </c>
      <c r="AQ74" s="4">
        <v>5</v>
      </c>
      <c r="AR74" s="3" t="s">
        <v>65</v>
      </c>
      <c r="AS74" s="3" t="s">
        <v>65</v>
      </c>
      <c r="AT74" s="3" t="s">
        <v>65</v>
      </c>
      <c r="AV74" s="6" t="str">
        <f>HYPERLINK("http://mcgill.on.worldcat.org/oclc/724303279","Catalog Record")</f>
        <v>Catalog Record</v>
      </c>
      <c r="AW74" s="6" t="str">
        <f>HYPERLINK("http://www.worldcat.org/oclc/724303279","WorldCat Record")</f>
        <v>WorldCat Record</v>
      </c>
      <c r="AX74" s="3" t="s">
        <v>806</v>
      </c>
      <c r="AY74" s="3" t="s">
        <v>807</v>
      </c>
      <c r="AZ74" s="3" t="s">
        <v>808</v>
      </c>
      <c r="BA74" s="3" t="s">
        <v>808</v>
      </c>
      <c r="BB74" s="3" t="s">
        <v>809</v>
      </c>
      <c r="BC74" s="3" t="s">
        <v>77</v>
      </c>
      <c r="BD74" s="3" t="s">
        <v>78</v>
      </c>
      <c r="BE74" s="3" t="s">
        <v>810</v>
      </c>
      <c r="BF74" s="3" t="s">
        <v>809</v>
      </c>
      <c r="BG74" s="3" t="s">
        <v>811</v>
      </c>
    </row>
    <row r="75" spans="1:59" ht="58" x14ac:dyDescent="0.35">
      <c r="A75" s="2" t="s">
        <v>59</v>
      </c>
      <c r="B75" s="2" t="s">
        <v>60</v>
      </c>
      <c r="C75" s="2" t="s">
        <v>812</v>
      </c>
      <c r="D75" s="2" t="s">
        <v>813</v>
      </c>
      <c r="E75" s="2" t="s">
        <v>814</v>
      </c>
      <c r="G75" s="3" t="s">
        <v>65</v>
      </c>
      <c r="I75" s="3" t="s">
        <v>65</v>
      </c>
      <c r="J75" s="3" t="s">
        <v>65</v>
      </c>
      <c r="K75" s="3" t="s">
        <v>66</v>
      </c>
      <c r="L75" s="2" t="s">
        <v>815</v>
      </c>
      <c r="M75" s="2" t="s">
        <v>816</v>
      </c>
      <c r="N75" s="3" t="s">
        <v>68</v>
      </c>
      <c r="O75" s="2" t="s">
        <v>817</v>
      </c>
      <c r="P75" s="3" t="s">
        <v>140</v>
      </c>
      <c r="Q75" s="2" t="s">
        <v>818</v>
      </c>
      <c r="R75" s="3" t="s">
        <v>71</v>
      </c>
      <c r="S75" s="4">
        <v>1</v>
      </c>
      <c r="T75" s="4">
        <v>1</v>
      </c>
      <c r="U75" s="5" t="s">
        <v>819</v>
      </c>
      <c r="V75" s="5" t="s">
        <v>819</v>
      </c>
      <c r="W75" s="5" t="s">
        <v>72</v>
      </c>
      <c r="X75" s="5" t="s">
        <v>72</v>
      </c>
      <c r="Y75" s="4">
        <v>3</v>
      </c>
      <c r="Z75" s="4">
        <v>1</v>
      </c>
      <c r="AA75" s="4">
        <v>2</v>
      </c>
      <c r="AB75" s="4">
        <v>1</v>
      </c>
      <c r="AC75" s="4">
        <v>1</v>
      </c>
      <c r="AD75" s="4">
        <v>0</v>
      </c>
      <c r="AE75" s="4">
        <v>10</v>
      </c>
      <c r="AF75" s="4">
        <v>0</v>
      </c>
      <c r="AG75" s="4">
        <v>0</v>
      </c>
      <c r="AH75" s="4">
        <v>0</v>
      </c>
      <c r="AI75" s="4">
        <v>10</v>
      </c>
      <c r="AJ75" s="4">
        <v>0</v>
      </c>
      <c r="AK75" s="4">
        <v>1</v>
      </c>
      <c r="AL75" s="4">
        <v>0</v>
      </c>
      <c r="AM75" s="4">
        <v>7</v>
      </c>
      <c r="AN75" s="4">
        <v>0</v>
      </c>
      <c r="AO75" s="4">
        <v>0</v>
      </c>
      <c r="AP75" s="4">
        <v>0</v>
      </c>
      <c r="AQ75" s="4">
        <v>1</v>
      </c>
      <c r="AR75" s="3" t="s">
        <v>65</v>
      </c>
      <c r="AS75" s="3" t="s">
        <v>65</v>
      </c>
      <c r="AT75" s="3" t="s">
        <v>65</v>
      </c>
      <c r="AV75" s="6" t="str">
        <f>HYPERLINK("http://mcgill.on.worldcat.org/oclc/968238702","Catalog Record")</f>
        <v>Catalog Record</v>
      </c>
      <c r="AW75" s="6" t="str">
        <f>HYPERLINK("http://www.worldcat.org/oclc/968238702","WorldCat Record")</f>
        <v>WorldCat Record</v>
      </c>
      <c r="AX75" s="3" t="s">
        <v>820</v>
      </c>
      <c r="AY75" s="3" t="s">
        <v>821</v>
      </c>
      <c r="AZ75" s="3" t="s">
        <v>822</v>
      </c>
      <c r="BA75" s="3" t="s">
        <v>822</v>
      </c>
      <c r="BB75" s="3" t="s">
        <v>823</v>
      </c>
      <c r="BC75" s="3" t="s">
        <v>77</v>
      </c>
      <c r="BD75" s="3" t="s">
        <v>78</v>
      </c>
      <c r="BE75" s="3" t="s">
        <v>824</v>
      </c>
      <c r="BF75" s="3" t="s">
        <v>823</v>
      </c>
      <c r="BG75" s="3" t="s">
        <v>825</v>
      </c>
    </row>
    <row r="76" spans="1:59" ht="58" x14ac:dyDescent="0.35">
      <c r="A76" s="2" t="s">
        <v>59</v>
      </c>
      <c r="B76" s="2" t="s">
        <v>60</v>
      </c>
      <c r="C76" s="2" t="s">
        <v>826</v>
      </c>
      <c r="D76" s="2" t="s">
        <v>827</v>
      </c>
      <c r="E76" s="2" t="s">
        <v>828</v>
      </c>
      <c r="F76" s="3" t="s">
        <v>829</v>
      </c>
      <c r="G76" s="3" t="s">
        <v>209</v>
      </c>
      <c r="I76" s="3" t="s">
        <v>65</v>
      </c>
      <c r="J76" s="3" t="s">
        <v>65</v>
      </c>
      <c r="K76" s="3" t="s">
        <v>66</v>
      </c>
      <c r="M76" s="2" t="s">
        <v>830</v>
      </c>
      <c r="N76" s="3" t="s">
        <v>831</v>
      </c>
      <c r="P76" s="3" t="s">
        <v>140</v>
      </c>
      <c r="R76" s="3" t="s">
        <v>71</v>
      </c>
      <c r="S76" s="4">
        <v>9</v>
      </c>
      <c r="T76" s="4">
        <v>54</v>
      </c>
      <c r="U76" s="5" t="s">
        <v>832</v>
      </c>
      <c r="V76" s="5" t="s">
        <v>833</v>
      </c>
      <c r="W76" s="5" t="s">
        <v>72</v>
      </c>
      <c r="X76" s="5" t="s">
        <v>72</v>
      </c>
      <c r="Y76" s="4">
        <v>26</v>
      </c>
      <c r="Z76" s="4">
        <v>12</v>
      </c>
      <c r="AA76" s="4">
        <v>15</v>
      </c>
      <c r="AB76" s="4">
        <v>1</v>
      </c>
      <c r="AC76" s="4">
        <v>1</v>
      </c>
      <c r="AD76" s="4">
        <v>12</v>
      </c>
      <c r="AE76" s="4">
        <v>87</v>
      </c>
      <c r="AF76" s="4">
        <v>0</v>
      </c>
      <c r="AG76" s="4">
        <v>0</v>
      </c>
      <c r="AH76" s="4">
        <v>11</v>
      </c>
      <c r="AI76" s="4">
        <v>82</v>
      </c>
      <c r="AJ76" s="4">
        <v>8</v>
      </c>
      <c r="AK76" s="4">
        <v>10</v>
      </c>
      <c r="AL76" s="4">
        <v>3</v>
      </c>
      <c r="AM76" s="4">
        <v>52</v>
      </c>
      <c r="AN76" s="4">
        <v>0</v>
      </c>
      <c r="AO76" s="4">
        <v>0</v>
      </c>
      <c r="AP76" s="4">
        <v>8</v>
      </c>
      <c r="AQ76" s="4">
        <v>10</v>
      </c>
      <c r="AR76" s="3" t="s">
        <v>65</v>
      </c>
      <c r="AS76" s="3" t="s">
        <v>65</v>
      </c>
      <c r="AT76" s="3" t="s">
        <v>209</v>
      </c>
      <c r="AU76" s="6" t="str">
        <f t="shared" ref="AU76:AU82" si="0">HYPERLINK("http://catalog.hathitrust.org/Record/000584608","HathiTrust Record")</f>
        <v>HathiTrust Record</v>
      </c>
      <c r="AV76" s="6" t="str">
        <f t="shared" ref="AV76:AV82" si="1">HYPERLINK("http://mcgill.on.worldcat.org/oclc/427013030","Catalog Record")</f>
        <v>Catalog Record</v>
      </c>
      <c r="AW76" s="6" t="str">
        <f t="shared" ref="AW76:AW82" si="2">HYPERLINK("http://www.worldcat.org/oclc/427013030","WorldCat Record")</f>
        <v>WorldCat Record</v>
      </c>
      <c r="AX76" s="3" t="s">
        <v>834</v>
      </c>
      <c r="AY76" s="3" t="s">
        <v>835</v>
      </c>
      <c r="AZ76" s="3" t="s">
        <v>836</v>
      </c>
      <c r="BA76" s="3" t="s">
        <v>836</v>
      </c>
      <c r="BB76" s="3" t="s">
        <v>837</v>
      </c>
      <c r="BC76" s="3" t="s">
        <v>77</v>
      </c>
      <c r="BD76" s="3" t="s">
        <v>78</v>
      </c>
      <c r="BE76" s="3" t="s">
        <v>838</v>
      </c>
      <c r="BF76" s="3" t="s">
        <v>837</v>
      </c>
      <c r="BG76" s="3" t="s">
        <v>839</v>
      </c>
    </row>
    <row r="77" spans="1:59" ht="58" x14ac:dyDescent="0.35">
      <c r="A77" s="2" t="s">
        <v>59</v>
      </c>
      <c r="B77" s="2" t="s">
        <v>60</v>
      </c>
      <c r="C77" s="2" t="s">
        <v>826</v>
      </c>
      <c r="D77" s="2" t="s">
        <v>827</v>
      </c>
      <c r="E77" s="2" t="s">
        <v>828</v>
      </c>
      <c r="F77" s="3" t="s">
        <v>490</v>
      </c>
      <c r="G77" s="3" t="s">
        <v>209</v>
      </c>
      <c r="I77" s="3" t="s">
        <v>65</v>
      </c>
      <c r="J77" s="3" t="s">
        <v>65</v>
      </c>
      <c r="K77" s="3" t="s">
        <v>66</v>
      </c>
      <c r="M77" s="2" t="s">
        <v>830</v>
      </c>
      <c r="N77" s="3" t="s">
        <v>831</v>
      </c>
      <c r="P77" s="3" t="s">
        <v>140</v>
      </c>
      <c r="R77" s="3" t="s">
        <v>71</v>
      </c>
      <c r="S77" s="4">
        <v>8</v>
      </c>
      <c r="T77" s="4">
        <v>54</v>
      </c>
      <c r="U77" s="5" t="s">
        <v>840</v>
      </c>
      <c r="V77" s="5" t="s">
        <v>833</v>
      </c>
      <c r="W77" s="5" t="s">
        <v>72</v>
      </c>
      <c r="X77" s="5" t="s">
        <v>72</v>
      </c>
      <c r="Y77" s="4">
        <v>26</v>
      </c>
      <c r="Z77" s="4">
        <v>12</v>
      </c>
      <c r="AA77" s="4">
        <v>15</v>
      </c>
      <c r="AB77" s="4">
        <v>1</v>
      </c>
      <c r="AC77" s="4">
        <v>1</v>
      </c>
      <c r="AD77" s="4">
        <v>12</v>
      </c>
      <c r="AE77" s="4">
        <v>87</v>
      </c>
      <c r="AF77" s="4">
        <v>0</v>
      </c>
      <c r="AG77" s="4">
        <v>0</v>
      </c>
      <c r="AH77" s="4">
        <v>11</v>
      </c>
      <c r="AI77" s="4">
        <v>82</v>
      </c>
      <c r="AJ77" s="4">
        <v>8</v>
      </c>
      <c r="AK77" s="4">
        <v>10</v>
      </c>
      <c r="AL77" s="4">
        <v>3</v>
      </c>
      <c r="AM77" s="4">
        <v>52</v>
      </c>
      <c r="AN77" s="4">
        <v>0</v>
      </c>
      <c r="AO77" s="4">
        <v>0</v>
      </c>
      <c r="AP77" s="4">
        <v>8</v>
      </c>
      <c r="AQ77" s="4">
        <v>10</v>
      </c>
      <c r="AR77" s="3" t="s">
        <v>65</v>
      </c>
      <c r="AS77" s="3" t="s">
        <v>65</v>
      </c>
      <c r="AT77" s="3" t="s">
        <v>209</v>
      </c>
      <c r="AU77" s="6" t="str">
        <f t="shared" si="0"/>
        <v>HathiTrust Record</v>
      </c>
      <c r="AV77" s="6" t="str">
        <f t="shared" si="1"/>
        <v>Catalog Record</v>
      </c>
      <c r="AW77" s="6" t="str">
        <f t="shared" si="2"/>
        <v>WorldCat Record</v>
      </c>
      <c r="AX77" s="3" t="s">
        <v>834</v>
      </c>
      <c r="AY77" s="3" t="s">
        <v>835</v>
      </c>
      <c r="AZ77" s="3" t="s">
        <v>836</v>
      </c>
      <c r="BA77" s="3" t="s">
        <v>836</v>
      </c>
      <c r="BB77" s="3" t="s">
        <v>841</v>
      </c>
      <c r="BC77" s="3" t="s">
        <v>77</v>
      </c>
      <c r="BD77" s="3" t="s">
        <v>78</v>
      </c>
      <c r="BE77" s="3" t="s">
        <v>838</v>
      </c>
      <c r="BF77" s="3" t="s">
        <v>841</v>
      </c>
      <c r="BG77" s="3" t="s">
        <v>842</v>
      </c>
    </row>
    <row r="78" spans="1:59" ht="58" x14ac:dyDescent="0.35">
      <c r="A78" s="2" t="s">
        <v>59</v>
      </c>
      <c r="B78" s="2" t="s">
        <v>60</v>
      </c>
      <c r="C78" s="2" t="s">
        <v>826</v>
      </c>
      <c r="D78" s="2" t="s">
        <v>827</v>
      </c>
      <c r="E78" s="2" t="s">
        <v>828</v>
      </c>
      <c r="F78" s="3" t="s">
        <v>843</v>
      </c>
      <c r="G78" s="3" t="s">
        <v>209</v>
      </c>
      <c r="I78" s="3" t="s">
        <v>65</v>
      </c>
      <c r="J78" s="3" t="s">
        <v>65</v>
      </c>
      <c r="K78" s="3" t="s">
        <v>66</v>
      </c>
      <c r="M78" s="2" t="s">
        <v>830</v>
      </c>
      <c r="N78" s="3" t="s">
        <v>831</v>
      </c>
      <c r="P78" s="3" t="s">
        <v>140</v>
      </c>
      <c r="R78" s="3" t="s">
        <v>71</v>
      </c>
      <c r="S78" s="4">
        <v>14</v>
      </c>
      <c r="T78" s="4">
        <v>54</v>
      </c>
      <c r="U78" s="5" t="s">
        <v>844</v>
      </c>
      <c r="V78" s="5" t="s">
        <v>833</v>
      </c>
      <c r="W78" s="5" t="s">
        <v>72</v>
      </c>
      <c r="X78" s="5" t="s">
        <v>72</v>
      </c>
      <c r="Y78" s="4">
        <v>26</v>
      </c>
      <c r="Z78" s="4">
        <v>12</v>
      </c>
      <c r="AA78" s="4">
        <v>15</v>
      </c>
      <c r="AB78" s="4">
        <v>1</v>
      </c>
      <c r="AC78" s="4">
        <v>1</v>
      </c>
      <c r="AD78" s="4">
        <v>12</v>
      </c>
      <c r="AE78" s="4">
        <v>87</v>
      </c>
      <c r="AF78" s="4">
        <v>0</v>
      </c>
      <c r="AG78" s="4">
        <v>0</v>
      </c>
      <c r="AH78" s="4">
        <v>11</v>
      </c>
      <c r="AI78" s="4">
        <v>82</v>
      </c>
      <c r="AJ78" s="4">
        <v>8</v>
      </c>
      <c r="AK78" s="4">
        <v>10</v>
      </c>
      <c r="AL78" s="4">
        <v>3</v>
      </c>
      <c r="AM78" s="4">
        <v>52</v>
      </c>
      <c r="AN78" s="4">
        <v>0</v>
      </c>
      <c r="AO78" s="4">
        <v>0</v>
      </c>
      <c r="AP78" s="4">
        <v>8</v>
      </c>
      <c r="AQ78" s="4">
        <v>10</v>
      </c>
      <c r="AR78" s="3" t="s">
        <v>65</v>
      </c>
      <c r="AS78" s="3" t="s">
        <v>65</v>
      </c>
      <c r="AT78" s="3" t="s">
        <v>209</v>
      </c>
      <c r="AU78" s="6" t="str">
        <f t="shared" si="0"/>
        <v>HathiTrust Record</v>
      </c>
      <c r="AV78" s="6" t="str">
        <f t="shared" si="1"/>
        <v>Catalog Record</v>
      </c>
      <c r="AW78" s="6" t="str">
        <f t="shared" si="2"/>
        <v>WorldCat Record</v>
      </c>
      <c r="AX78" s="3" t="s">
        <v>834</v>
      </c>
      <c r="AY78" s="3" t="s">
        <v>835</v>
      </c>
      <c r="AZ78" s="3" t="s">
        <v>836</v>
      </c>
      <c r="BA78" s="3" t="s">
        <v>836</v>
      </c>
      <c r="BB78" s="3" t="s">
        <v>845</v>
      </c>
      <c r="BC78" s="3" t="s">
        <v>77</v>
      </c>
      <c r="BD78" s="3" t="s">
        <v>78</v>
      </c>
      <c r="BE78" s="3" t="s">
        <v>838</v>
      </c>
      <c r="BF78" s="3" t="s">
        <v>845</v>
      </c>
      <c r="BG78" s="3" t="s">
        <v>846</v>
      </c>
    </row>
    <row r="79" spans="1:59" ht="58" x14ac:dyDescent="0.35">
      <c r="A79" s="2" t="s">
        <v>59</v>
      </c>
      <c r="B79" s="2" t="s">
        <v>60</v>
      </c>
      <c r="C79" s="2" t="s">
        <v>826</v>
      </c>
      <c r="D79" s="2" t="s">
        <v>827</v>
      </c>
      <c r="E79" s="2" t="s">
        <v>828</v>
      </c>
      <c r="F79" s="3" t="s">
        <v>847</v>
      </c>
      <c r="G79" s="3" t="s">
        <v>209</v>
      </c>
      <c r="I79" s="3" t="s">
        <v>65</v>
      </c>
      <c r="J79" s="3" t="s">
        <v>65</v>
      </c>
      <c r="K79" s="3" t="s">
        <v>66</v>
      </c>
      <c r="M79" s="2" t="s">
        <v>830</v>
      </c>
      <c r="N79" s="3" t="s">
        <v>831</v>
      </c>
      <c r="P79" s="3" t="s">
        <v>140</v>
      </c>
      <c r="R79" s="3" t="s">
        <v>71</v>
      </c>
      <c r="S79" s="4">
        <v>3</v>
      </c>
      <c r="T79" s="4">
        <v>54</v>
      </c>
      <c r="U79" s="5" t="s">
        <v>840</v>
      </c>
      <c r="V79" s="5" t="s">
        <v>833</v>
      </c>
      <c r="W79" s="5" t="s">
        <v>72</v>
      </c>
      <c r="X79" s="5" t="s">
        <v>72</v>
      </c>
      <c r="Y79" s="4">
        <v>26</v>
      </c>
      <c r="Z79" s="4">
        <v>12</v>
      </c>
      <c r="AA79" s="4">
        <v>15</v>
      </c>
      <c r="AB79" s="4">
        <v>1</v>
      </c>
      <c r="AC79" s="4">
        <v>1</v>
      </c>
      <c r="AD79" s="4">
        <v>12</v>
      </c>
      <c r="AE79" s="4">
        <v>87</v>
      </c>
      <c r="AF79" s="4">
        <v>0</v>
      </c>
      <c r="AG79" s="4">
        <v>0</v>
      </c>
      <c r="AH79" s="4">
        <v>11</v>
      </c>
      <c r="AI79" s="4">
        <v>82</v>
      </c>
      <c r="AJ79" s="4">
        <v>8</v>
      </c>
      <c r="AK79" s="4">
        <v>10</v>
      </c>
      <c r="AL79" s="4">
        <v>3</v>
      </c>
      <c r="AM79" s="4">
        <v>52</v>
      </c>
      <c r="AN79" s="4">
        <v>0</v>
      </c>
      <c r="AO79" s="4">
        <v>0</v>
      </c>
      <c r="AP79" s="4">
        <v>8</v>
      </c>
      <c r="AQ79" s="4">
        <v>10</v>
      </c>
      <c r="AR79" s="3" t="s">
        <v>65</v>
      </c>
      <c r="AS79" s="3" t="s">
        <v>65</v>
      </c>
      <c r="AT79" s="3" t="s">
        <v>209</v>
      </c>
      <c r="AU79" s="6" t="str">
        <f t="shared" si="0"/>
        <v>HathiTrust Record</v>
      </c>
      <c r="AV79" s="6" t="str">
        <f t="shared" si="1"/>
        <v>Catalog Record</v>
      </c>
      <c r="AW79" s="6" t="str">
        <f t="shared" si="2"/>
        <v>WorldCat Record</v>
      </c>
      <c r="AX79" s="3" t="s">
        <v>834</v>
      </c>
      <c r="AY79" s="3" t="s">
        <v>835</v>
      </c>
      <c r="AZ79" s="3" t="s">
        <v>836</v>
      </c>
      <c r="BA79" s="3" t="s">
        <v>836</v>
      </c>
      <c r="BB79" s="3" t="s">
        <v>848</v>
      </c>
      <c r="BC79" s="3" t="s">
        <v>77</v>
      </c>
      <c r="BD79" s="3" t="s">
        <v>78</v>
      </c>
      <c r="BE79" s="3" t="s">
        <v>838</v>
      </c>
      <c r="BF79" s="3" t="s">
        <v>848</v>
      </c>
      <c r="BG79" s="3" t="s">
        <v>849</v>
      </c>
    </row>
    <row r="80" spans="1:59" ht="58" x14ac:dyDescent="0.35">
      <c r="A80" s="2" t="s">
        <v>59</v>
      </c>
      <c r="B80" s="2" t="s">
        <v>60</v>
      </c>
      <c r="C80" s="2" t="s">
        <v>826</v>
      </c>
      <c r="D80" s="2" t="s">
        <v>827</v>
      </c>
      <c r="E80" s="2" t="s">
        <v>828</v>
      </c>
      <c r="F80" s="3" t="s">
        <v>850</v>
      </c>
      <c r="G80" s="3" t="s">
        <v>209</v>
      </c>
      <c r="I80" s="3" t="s">
        <v>65</v>
      </c>
      <c r="J80" s="3" t="s">
        <v>65</v>
      </c>
      <c r="K80" s="3" t="s">
        <v>66</v>
      </c>
      <c r="M80" s="2" t="s">
        <v>830</v>
      </c>
      <c r="N80" s="3" t="s">
        <v>831</v>
      </c>
      <c r="P80" s="3" t="s">
        <v>140</v>
      </c>
      <c r="R80" s="3" t="s">
        <v>71</v>
      </c>
      <c r="S80" s="4">
        <v>13</v>
      </c>
      <c r="T80" s="4">
        <v>54</v>
      </c>
      <c r="U80" s="5" t="s">
        <v>851</v>
      </c>
      <c r="V80" s="5" t="s">
        <v>833</v>
      </c>
      <c r="W80" s="5" t="s">
        <v>72</v>
      </c>
      <c r="X80" s="5" t="s">
        <v>72</v>
      </c>
      <c r="Y80" s="4">
        <v>26</v>
      </c>
      <c r="Z80" s="4">
        <v>12</v>
      </c>
      <c r="AA80" s="4">
        <v>15</v>
      </c>
      <c r="AB80" s="4">
        <v>1</v>
      </c>
      <c r="AC80" s="4">
        <v>1</v>
      </c>
      <c r="AD80" s="4">
        <v>12</v>
      </c>
      <c r="AE80" s="4">
        <v>87</v>
      </c>
      <c r="AF80" s="4">
        <v>0</v>
      </c>
      <c r="AG80" s="4">
        <v>0</v>
      </c>
      <c r="AH80" s="4">
        <v>11</v>
      </c>
      <c r="AI80" s="4">
        <v>82</v>
      </c>
      <c r="AJ80" s="4">
        <v>8</v>
      </c>
      <c r="AK80" s="4">
        <v>10</v>
      </c>
      <c r="AL80" s="4">
        <v>3</v>
      </c>
      <c r="AM80" s="4">
        <v>52</v>
      </c>
      <c r="AN80" s="4">
        <v>0</v>
      </c>
      <c r="AO80" s="4">
        <v>0</v>
      </c>
      <c r="AP80" s="4">
        <v>8</v>
      </c>
      <c r="AQ80" s="4">
        <v>10</v>
      </c>
      <c r="AR80" s="3" t="s">
        <v>65</v>
      </c>
      <c r="AS80" s="3" t="s">
        <v>65</v>
      </c>
      <c r="AT80" s="3" t="s">
        <v>209</v>
      </c>
      <c r="AU80" s="6" t="str">
        <f t="shared" si="0"/>
        <v>HathiTrust Record</v>
      </c>
      <c r="AV80" s="6" t="str">
        <f t="shared" si="1"/>
        <v>Catalog Record</v>
      </c>
      <c r="AW80" s="6" t="str">
        <f t="shared" si="2"/>
        <v>WorldCat Record</v>
      </c>
      <c r="AX80" s="3" t="s">
        <v>834</v>
      </c>
      <c r="AY80" s="3" t="s">
        <v>835</v>
      </c>
      <c r="AZ80" s="3" t="s">
        <v>836</v>
      </c>
      <c r="BA80" s="3" t="s">
        <v>836</v>
      </c>
      <c r="BB80" s="3" t="s">
        <v>852</v>
      </c>
      <c r="BC80" s="3" t="s">
        <v>77</v>
      </c>
      <c r="BD80" s="3" t="s">
        <v>78</v>
      </c>
      <c r="BE80" s="3" t="s">
        <v>838</v>
      </c>
      <c r="BF80" s="3" t="s">
        <v>852</v>
      </c>
      <c r="BG80" s="3" t="s">
        <v>853</v>
      </c>
    </row>
    <row r="81" spans="1:59" ht="58" x14ac:dyDescent="0.35">
      <c r="A81" s="2" t="s">
        <v>59</v>
      </c>
      <c r="B81" s="2" t="s">
        <v>60</v>
      </c>
      <c r="C81" s="2" t="s">
        <v>826</v>
      </c>
      <c r="D81" s="2" t="s">
        <v>827</v>
      </c>
      <c r="E81" s="2" t="s">
        <v>828</v>
      </c>
      <c r="F81" s="3" t="s">
        <v>503</v>
      </c>
      <c r="G81" s="3" t="s">
        <v>209</v>
      </c>
      <c r="I81" s="3" t="s">
        <v>65</v>
      </c>
      <c r="J81" s="3" t="s">
        <v>65</v>
      </c>
      <c r="K81" s="3" t="s">
        <v>66</v>
      </c>
      <c r="M81" s="2" t="s">
        <v>830</v>
      </c>
      <c r="N81" s="3" t="s">
        <v>831</v>
      </c>
      <c r="P81" s="3" t="s">
        <v>140</v>
      </c>
      <c r="R81" s="3" t="s">
        <v>71</v>
      </c>
      <c r="S81" s="4">
        <v>7</v>
      </c>
      <c r="T81" s="4">
        <v>54</v>
      </c>
      <c r="U81" s="5" t="s">
        <v>833</v>
      </c>
      <c r="V81" s="5" t="s">
        <v>833</v>
      </c>
      <c r="W81" s="5" t="s">
        <v>72</v>
      </c>
      <c r="X81" s="5" t="s">
        <v>72</v>
      </c>
      <c r="Y81" s="4">
        <v>26</v>
      </c>
      <c r="Z81" s="4">
        <v>12</v>
      </c>
      <c r="AA81" s="4">
        <v>15</v>
      </c>
      <c r="AB81" s="4">
        <v>1</v>
      </c>
      <c r="AC81" s="4">
        <v>1</v>
      </c>
      <c r="AD81" s="4">
        <v>12</v>
      </c>
      <c r="AE81" s="4">
        <v>87</v>
      </c>
      <c r="AF81" s="4">
        <v>0</v>
      </c>
      <c r="AG81" s="4">
        <v>0</v>
      </c>
      <c r="AH81" s="4">
        <v>11</v>
      </c>
      <c r="AI81" s="4">
        <v>82</v>
      </c>
      <c r="AJ81" s="4">
        <v>8</v>
      </c>
      <c r="AK81" s="4">
        <v>10</v>
      </c>
      <c r="AL81" s="4">
        <v>3</v>
      </c>
      <c r="AM81" s="4">
        <v>52</v>
      </c>
      <c r="AN81" s="4">
        <v>0</v>
      </c>
      <c r="AO81" s="4">
        <v>0</v>
      </c>
      <c r="AP81" s="4">
        <v>8</v>
      </c>
      <c r="AQ81" s="4">
        <v>10</v>
      </c>
      <c r="AR81" s="3" t="s">
        <v>65</v>
      </c>
      <c r="AS81" s="3" t="s">
        <v>65</v>
      </c>
      <c r="AT81" s="3" t="s">
        <v>209</v>
      </c>
      <c r="AU81" s="6" t="str">
        <f t="shared" si="0"/>
        <v>HathiTrust Record</v>
      </c>
      <c r="AV81" s="6" t="str">
        <f t="shared" si="1"/>
        <v>Catalog Record</v>
      </c>
      <c r="AW81" s="6" t="str">
        <f t="shared" si="2"/>
        <v>WorldCat Record</v>
      </c>
      <c r="AX81" s="3" t="s">
        <v>834</v>
      </c>
      <c r="AY81" s="3" t="s">
        <v>835</v>
      </c>
      <c r="AZ81" s="3" t="s">
        <v>836</v>
      </c>
      <c r="BA81" s="3" t="s">
        <v>836</v>
      </c>
      <c r="BB81" s="3" t="s">
        <v>854</v>
      </c>
      <c r="BC81" s="3" t="s">
        <v>77</v>
      </c>
      <c r="BD81" s="3" t="s">
        <v>78</v>
      </c>
      <c r="BE81" s="3" t="s">
        <v>838</v>
      </c>
      <c r="BF81" s="3" t="s">
        <v>854</v>
      </c>
      <c r="BG81" s="3" t="s">
        <v>855</v>
      </c>
    </row>
    <row r="82" spans="1:59" ht="58" x14ac:dyDescent="0.35">
      <c r="A82" s="2" t="s">
        <v>59</v>
      </c>
      <c r="B82" s="2" t="s">
        <v>60</v>
      </c>
      <c r="C82" s="2" t="s">
        <v>826</v>
      </c>
      <c r="D82" s="2" t="s">
        <v>827</v>
      </c>
      <c r="E82" s="2" t="s">
        <v>828</v>
      </c>
      <c r="F82" s="3" t="s">
        <v>856</v>
      </c>
      <c r="G82" s="3" t="s">
        <v>209</v>
      </c>
      <c r="I82" s="3" t="s">
        <v>65</v>
      </c>
      <c r="J82" s="3" t="s">
        <v>65</v>
      </c>
      <c r="K82" s="3" t="s">
        <v>66</v>
      </c>
      <c r="M82" s="2" t="s">
        <v>830</v>
      </c>
      <c r="N82" s="3" t="s">
        <v>831</v>
      </c>
      <c r="P82" s="3" t="s">
        <v>140</v>
      </c>
      <c r="R82" s="3" t="s">
        <v>71</v>
      </c>
      <c r="S82" s="4">
        <v>0</v>
      </c>
      <c r="T82" s="4">
        <v>54</v>
      </c>
      <c r="V82" s="5" t="s">
        <v>833</v>
      </c>
      <c r="W82" s="5" t="s">
        <v>72</v>
      </c>
      <c r="X82" s="5" t="s">
        <v>72</v>
      </c>
      <c r="Y82" s="4">
        <v>26</v>
      </c>
      <c r="Z82" s="4">
        <v>12</v>
      </c>
      <c r="AA82" s="4">
        <v>15</v>
      </c>
      <c r="AB82" s="4">
        <v>1</v>
      </c>
      <c r="AC82" s="4">
        <v>1</v>
      </c>
      <c r="AD82" s="4">
        <v>12</v>
      </c>
      <c r="AE82" s="4">
        <v>87</v>
      </c>
      <c r="AF82" s="4">
        <v>0</v>
      </c>
      <c r="AG82" s="4">
        <v>0</v>
      </c>
      <c r="AH82" s="4">
        <v>11</v>
      </c>
      <c r="AI82" s="4">
        <v>82</v>
      </c>
      <c r="AJ82" s="4">
        <v>8</v>
      </c>
      <c r="AK82" s="4">
        <v>10</v>
      </c>
      <c r="AL82" s="4">
        <v>3</v>
      </c>
      <c r="AM82" s="4">
        <v>52</v>
      </c>
      <c r="AN82" s="4">
        <v>0</v>
      </c>
      <c r="AO82" s="4">
        <v>0</v>
      </c>
      <c r="AP82" s="4">
        <v>8</v>
      </c>
      <c r="AQ82" s="4">
        <v>10</v>
      </c>
      <c r="AR82" s="3" t="s">
        <v>65</v>
      </c>
      <c r="AS82" s="3" t="s">
        <v>65</v>
      </c>
      <c r="AT82" s="3" t="s">
        <v>209</v>
      </c>
      <c r="AU82" s="6" t="str">
        <f t="shared" si="0"/>
        <v>HathiTrust Record</v>
      </c>
      <c r="AV82" s="6" t="str">
        <f t="shared" si="1"/>
        <v>Catalog Record</v>
      </c>
      <c r="AW82" s="6" t="str">
        <f t="shared" si="2"/>
        <v>WorldCat Record</v>
      </c>
      <c r="AX82" s="3" t="s">
        <v>834</v>
      </c>
      <c r="AY82" s="3" t="s">
        <v>835</v>
      </c>
      <c r="AZ82" s="3" t="s">
        <v>836</v>
      </c>
      <c r="BA82" s="3" t="s">
        <v>836</v>
      </c>
      <c r="BB82" s="3" t="s">
        <v>857</v>
      </c>
      <c r="BC82" s="3" t="s">
        <v>77</v>
      </c>
      <c r="BD82" s="3" t="s">
        <v>78</v>
      </c>
      <c r="BE82" s="3" t="s">
        <v>838</v>
      </c>
      <c r="BF82" s="3" t="s">
        <v>857</v>
      </c>
      <c r="BG82" s="3" t="s">
        <v>858</v>
      </c>
    </row>
    <row r="83" spans="1:59" ht="58" x14ac:dyDescent="0.35">
      <c r="A83" s="2" t="s">
        <v>59</v>
      </c>
      <c r="B83" s="2" t="s">
        <v>60</v>
      </c>
      <c r="C83" s="2" t="s">
        <v>859</v>
      </c>
      <c r="D83" s="2" t="s">
        <v>860</v>
      </c>
      <c r="E83" s="2" t="s">
        <v>861</v>
      </c>
      <c r="F83" s="3" t="s">
        <v>245</v>
      </c>
      <c r="G83" s="3" t="s">
        <v>209</v>
      </c>
      <c r="I83" s="3" t="s">
        <v>65</v>
      </c>
      <c r="J83" s="3" t="s">
        <v>65</v>
      </c>
      <c r="K83" s="3" t="s">
        <v>66</v>
      </c>
      <c r="M83" s="2" t="s">
        <v>862</v>
      </c>
      <c r="N83" s="3" t="s">
        <v>863</v>
      </c>
      <c r="P83" s="3" t="s">
        <v>140</v>
      </c>
      <c r="R83" s="3" t="s">
        <v>71</v>
      </c>
      <c r="S83" s="4">
        <v>13</v>
      </c>
      <c r="T83" s="4">
        <v>50</v>
      </c>
      <c r="U83" s="5" t="s">
        <v>864</v>
      </c>
      <c r="V83" s="5" t="s">
        <v>865</v>
      </c>
      <c r="W83" s="5" t="s">
        <v>72</v>
      </c>
      <c r="X83" s="5" t="s">
        <v>72</v>
      </c>
      <c r="Y83" s="4">
        <v>131</v>
      </c>
      <c r="Z83" s="4">
        <v>17</v>
      </c>
      <c r="AA83" s="4">
        <v>18</v>
      </c>
      <c r="AB83" s="4">
        <v>1</v>
      </c>
      <c r="AC83" s="4">
        <v>2</v>
      </c>
      <c r="AD83" s="4">
        <v>66</v>
      </c>
      <c r="AE83" s="4">
        <v>67</v>
      </c>
      <c r="AF83" s="4">
        <v>0</v>
      </c>
      <c r="AG83" s="4">
        <v>1</v>
      </c>
      <c r="AH83" s="4">
        <v>61</v>
      </c>
      <c r="AI83" s="4">
        <v>61</v>
      </c>
      <c r="AJ83" s="4">
        <v>10</v>
      </c>
      <c r="AK83" s="4">
        <v>11</v>
      </c>
      <c r="AL83" s="4">
        <v>38</v>
      </c>
      <c r="AM83" s="4">
        <v>38</v>
      </c>
      <c r="AN83" s="4">
        <v>0</v>
      </c>
      <c r="AO83" s="4">
        <v>0</v>
      </c>
      <c r="AP83" s="4">
        <v>11</v>
      </c>
      <c r="AQ83" s="4">
        <v>11</v>
      </c>
      <c r="AR83" s="3" t="s">
        <v>65</v>
      </c>
      <c r="AS83" s="3" t="s">
        <v>65</v>
      </c>
      <c r="AT83" s="3" t="s">
        <v>209</v>
      </c>
      <c r="AU83" s="6" t="str">
        <f>HYPERLINK("http://catalog.hathitrust.org/Record/002712775","HathiTrust Record")</f>
        <v>HathiTrust Record</v>
      </c>
      <c r="AV83" s="6" t="str">
        <f>HYPERLINK("http://mcgill.on.worldcat.org/oclc/27941247","Catalog Record")</f>
        <v>Catalog Record</v>
      </c>
      <c r="AW83" s="6" t="str">
        <f>HYPERLINK("http://www.worldcat.org/oclc/27941247","WorldCat Record")</f>
        <v>WorldCat Record</v>
      </c>
      <c r="AX83" s="3" t="s">
        <v>866</v>
      </c>
      <c r="AY83" s="3" t="s">
        <v>867</v>
      </c>
      <c r="AZ83" s="3" t="s">
        <v>868</v>
      </c>
      <c r="BA83" s="3" t="s">
        <v>868</v>
      </c>
      <c r="BB83" s="3" t="s">
        <v>869</v>
      </c>
      <c r="BC83" s="3" t="s">
        <v>77</v>
      </c>
      <c r="BD83" s="3" t="s">
        <v>78</v>
      </c>
      <c r="BE83" s="3" t="s">
        <v>870</v>
      </c>
      <c r="BF83" s="3" t="s">
        <v>869</v>
      </c>
      <c r="BG83" s="3" t="s">
        <v>871</v>
      </c>
    </row>
    <row r="84" spans="1:59" ht="58" x14ac:dyDescent="0.35">
      <c r="A84" s="2" t="s">
        <v>59</v>
      </c>
      <c r="B84" s="2" t="s">
        <v>60</v>
      </c>
      <c r="C84" s="2" t="s">
        <v>859</v>
      </c>
      <c r="D84" s="2" t="s">
        <v>860</v>
      </c>
      <c r="E84" s="2" t="s">
        <v>861</v>
      </c>
      <c r="F84" s="3" t="s">
        <v>872</v>
      </c>
      <c r="G84" s="3" t="s">
        <v>209</v>
      </c>
      <c r="I84" s="3" t="s">
        <v>65</v>
      </c>
      <c r="J84" s="3" t="s">
        <v>65</v>
      </c>
      <c r="K84" s="3" t="s">
        <v>66</v>
      </c>
      <c r="M84" s="2" t="s">
        <v>862</v>
      </c>
      <c r="N84" s="3" t="s">
        <v>863</v>
      </c>
      <c r="P84" s="3" t="s">
        <v>140</v>
      </c>
      <c r="R84" s="3" t="s">
        <v>71</v>
      </c>
      <c r="S84" s="4">
        <v>6</v>
      </c>
      <c r="T84" s="4">
        <v>50</v>
      </c>
      <c r="U84" s="5" t="s">
        <v>865</v>
      </c>
      <c r="V84" s="5" t="s">
        <v>865</v>
      </c>
      <c r="W84" s="5" t="s">
        <v>72</v>
      </c>
      <c r="X84" s="5" t="s">
        <v>72</v>
      </c>
      <c r="Y84" s="4">
        <v>131</v>
      </c>
      <c r="Z84" s="4">
        <v>17</v>
      </c>
      <c r="AA84" s="4">
        <v>18</v>
      </c>
      <c r="AB84" s="4">
        <v>1</v>
      </c>
      <c r="AC84" s="4">
        <v>2</v>
      </c>
      <c r="AD84" s="4">
        <v>66</v>
      </c>
      <c r="AE84" s="4">
        <v>67</v>
      </c>
      <c r="AF84" s="4">
        <v>0</v>
      </c>
      <c r="AG84" s="4">
        <v>1</v>
      </c>
      <c r="AH84" s="4">
        <v>61</v>
      </c>
      <c r="AI84" s="4">
        <v>61</v>
      </c>
      <c r="AJ84" s="4">
        <v>10</v>
      </c>
      <c r="AK84" s="4">
        <v>11</v>
      </c>
      <c r="AL84" s="4">
        <v>38</v>
      </c>
      <c r="AM84" s="4">
        <v>38</v>
      </c>
      <c r="AN84" s="4">
        <v>0</v>
      </c>
      <c r="AO84" s="4">
        <v>0</v>
      </c>
      <c r="AP84" s="4">
        <v>11</v>
      </c>
      <c r="AQ84" s="4">
        <v>11</v>
      </c>
      <c r="AR84" s="3" t="s">
        <v>65</v>
      </c>
      <c r="AS84" s="3" t="s">
        <v>65</v>
      </c>
      <c r="AT84" s="3" t="s">
        <v>209</v>
      </c>
      <c r="AU84" s="6" t="str">
        <f>HYPERLINK("http://catalog.hathitrust.org/Record/002712775","HathiTrust Record")</f>
        <v>HathiTrust Record</v>
      </c>
      <c r="AV84" s="6" t="str">
        <f>HYPERLINK("http://mcgill.on.worldcat.org/oclc/27941247","Catalog Record")</f>
        <v>Catalog Record</v>
      </c>
      <c r="AW84" s="6" t="str">
        <f>HYPERLINK("http://www.worldcat.org/oclc/27941247","WorldCat Record")</f>
        <v>WorldCat Record</v>
      </c>
      <c r="AX84" s="3" t="s">
        <v>866</v>
      </c>
      <c r="AY84" s="3" t="s">
        <v>867</v>
      </c>
      <c r="AZ84" s="3" t="s">
        <v>868</v>
      </c>
      <c r="BA84" s="3" t="s">
        <v>868</v>
      </c>
      <c r="BB84" s="3" t="s">
        <v>873</v>
      </c>
      <c r="BC84" s="3" t="s">
        <v>77</v>
      </c>
      <c r="BD84" s="3" t="s">
        <v>78</v>
      </c>
      <c r="BE84" s="3" t="s">
        <v>870</v>
      </c>
      <c r="BF84" s="3" t="s">
        <v>873</v>
      </c>
      <c r="BG84" s="3" t="s">
        <v>874</v>
      </c>
    </row>
    <row r="85" spans="1:59" ht="58" x14ac:dyDescent="0.35">
      <c r="A85" s="2" t="s">
        <v>59</v>
      </c>
      <c r="B85" s="2" t="s">
        <v>60</v>
      </c>
      <c r="C85" s="2" t="s">
        <v>859</v>
      </c>
      <c r="D85" s="2" t="s">
        <v>860</v>
      </c>
      <c r="E85" s="2" t="s">
        <v>861</v>
      </c>
      <c r="F85" s="3" t="s">
        <v>255</v>
      </c>
      <c r="G85" s="3" t="s">
        <v>209</v>
      </c>
      <c r="I85" s="3" t="s">
        <v>65</v>
      </c>
      <c r="J85" s="3" t="s">
        <v>65</v>
      </c>
      <c r="K85" s="3" t="s">
        <v>66</v>
      </c>
      <c r="M85" s="2" t="s">
        <v>862</v>
      </c>
      <c r="N85" s="3" t="s">
        <v>863</v>
      </c>
      <c r="P85" s="3" t="s">
        <v>140</v>
      </c>
      <c r="R85" s="3" t="s">
        <v>71</v>
      </c>
      <c r="S85" s="4">
        <v>8</v>
      </c>
      <c r="T85" s="4">
        <v>50</v>
      </c>
      <c r="U85" s="5" t="s">
        <v>875</v>
      </c>
      <c r="V85" s="5" t="s">
        <v>865</v>
      </c>
      <c r="W85" s="5" t="s">
        <v>72</v>
      </c>
      <c r="X85" s="5" t="s">
        <v>72</v>
      </c>
      <c r="Y85" s="4">
        <v>131</v>
      </c>
      <c r="Z85" s="4">
        <v>17</v>
      </c>
      <c r="AA85" s="4">
        <v>18</v>
      </c>
      <c r="AB85" s="4">
        <v>1</v>
      </c>
      <c r="AC85" s="4">
        <v>2</v>
      </c>
      <c r="AD85" s="4">
        <v>66</v>
      </c>
      <c r="AE85" s="4">
        <v>67</v>
      </c>
      <c r="AF85" s="4">
        <v>0</v>
      </c>
      <c r="AG85" s="4">
        <v>1</v>
      </c>
      <c r="AH85" s="4">
        <v>61</v>
      </c>
      <c r="AI85" s="4">
        <v>61</v>
      </c>
      <c r="AJ85" s="4">
        <v>10</v>
      </c>
      <c r="AK85" s="4">
        <v>11</v>
      </c>
      <c r="AL85" s="4">
        <v>38</v>
      </c>
      <c r="AM85" s="4">
        <v>38</v>
      </c>
      <c r="AN85" s="4">
        <v>0</v>
      </c>
      <c r="AO85" s="4">
        <v>0</v>
      </c>
      <c r="AP85" s="4">
        <v>11</v>
      </c>
      <c r="AQ85" s="4">
        <v>11</v>
      </c>
      <c r="AR85" s="3" t="s">
        <v>65</v>
      </c>
      <c r="AS85" s="3" t="s">
        <v>65</v>
      </c>
      <c r="AT85" s="3" t="s">
        <v>209</v>
      </c>
      <c r="AU85" s="6" t="str">
        <f>HYPERLINK("http://catalog.hathitrust.org/Record/002712775","HathiTrust Record")</f>
        <v>HathiTrust Record</v>
      </c>
      <c r="AV85" s="6" t="str">
        <f>HYPERLINK("http://mcgill.on.worldcat.org/oclc/27941247","Catalog Record")</f>
        <v>Catalog Record</v>
      </c>
      <c r="AW85" s="6" t="str">
        <f>HYPERLINK("http://www.worldcat.org/oclc/27941247","WorldCat Record")</f>
        <v>WorldCat Record</v>
      </c>
      <c r="AX85" s="3" t="s">
        <v>866</v>
      </c>
      <c r="AY85" s="3" t="s">
        <v>867</v>
      </c>
      <c r="AZ85" s="3" t="s">
        <v>868</v>
      </c>
      <c r="BA85" s="3" t="s">
        <v>868</v>
      </c>
      <c r="BB85" s="3" t="s">
        <v>876</v>
      </c>
      <c r="BC85" s="3" t="s">
        <v>77</v>
      </c>
      <c r="BD85" s="3" t="s">
        <v>78</v>
      </c>
      <c r="BE85" s="3" t="s">
        <v>870</v>
      </c>
      <c r="BF85" s="3" t="s">
        <v>876</v>
      </c>
      <c r="BG85" s="3" t="s">
        <v>877</v>
      </c>
    </row>
    <row r="86" spans="1:59" ht="58" x14ac:dyDescent="0.35">
      <c r="A86" s="2" t="s">
        <v>59</v>
      </c>
      <c r="B86" s="2" t="s">
        <v>60</v>
      </c>
      <c r="C86" s="2" t="s">
        <v>859</v>
      </c>
      <c r="D86" s="2" t="s">
        <v>860</v>
      </c>
      <c r="E86" s="2" t="s">
        <v>861</v>
      </c>
      <c r="F86" s="3" t="s">
        <v>258</v>
      </c>
      <c r="G86" s="3" t="s">
        <v>209</v>
      </c>
      <c r="I86" s="3" t="s">
        <v>65</v>
      </c>
      <c r="J86" s="3" t="s">
        <v>65</v>
      </c>
      <c r="K86" s="3" t="s">
        <v>66</v>
      </c>
      <c r="M86" s="2" t="s">
        <v>862</v>
      </c>
      <c r="N86" s="3" t="s">
        <v>863</v>
      </c>
      <c r="P86" s="3" t="s">
        <v>140</v>
      </c>
      <c r="R86" s="3" t="s">
        <v>71</v>
      </c>
      <c r="S86" s="4">
        <v>17</v>
      </c>
      <c r="T86" s="4">
        <v>50</v>
      </c>
      <c r="U86" s="5" t="s">
        <v>878</v>
      </c>
      <c r="V86" s="5" t="s">
        <v>865</v>
      </c>
      <c r="W86" s="5" t="s">
        <v>72</v>
      </c>
      <c r="X86" s="5" t="s">
        <v>72</v>
      </c>
      <c r="Y86" s="4">
        <v>131</v>
      </c>
      <c r="Z86" s="4">
        <v>17</v>
      </c>
      <c r="AA86" s="4">
        <v>18</v>
      </c>
      <c r="AB86" s="4">
        <v>1</v>
      </c>
      <c r="AC86" s="4">
        <v>2</v>
      </c>
      <c r="AD86" s="4">
        <v>66</v>
      </c>
      <c r="AE86" s="4">
        <v>67</v>
      </c>
      <c r="AF86" s="4">
        <v>0</v>
      </c>
      <c r="AG86" s="4">
        <v>1</v>
      </c>
      <c r="AH86" s="4">
        <v>61</v>
      </c>
      <c r="AI86" s="4">
        <v>61</v>
      </c>
      <c r="AJ86" s="4">
        <v>10</v>
      </c>
      <c r="AK86" s="4">
        <v>11</v>
      </c>
      <c r="AL86" s="4">
        <v>38</v>
      </c>
      <c r="AM86" s="4">
        <v>38</v>
      </c>
      <c r="AN86" s="4">
        <v>0</v>
      </c>
      <c r="AO86" s="4">
        <v>0</v>
      </c>
      <c r="AP86" s="4">
        <v>11</v>
      </c>
      <c r="AQ86" s="4">
        <v>11</v>
      </c>
      <c r="AR86" s="3" t="s">
        <v>65</v>
      </c>
      <c r="AS86" s="3" t="s">
        <v>65</v>
      </c>
      <c r="AT86" s="3" t="s">
        <v>209</v>
      </c>
      <c r="AU86" s="6" t="str">
        <f>HYPERLINK("http://catalog.hathitrust.org/Record/002712775","HathiTrust Record")</f>
        <v>HathiTrust Record</v>
      </c>
      <c r="AV86" s="6" t="str">
        <f>HYPERLINK("http://mcgill.on.worldcat.org/oclc/27941247","Catalog Record")</f>
        <v>Catalog Record</v>
      </c>
      <c r="AW86" s="6" t="str">
        <f>HYPERLINK("http://www.worldcat.org/oclc/27941247","WorldCat Record")</f>
        <v>WorldCat Record</v>
      </c>
      <c r="AX86" s="3" t="s">
        <v>866</v>
      </c>
      <c r="AY86" s="3" t="s">
        <v>867</v>
      </c>
      <c r="AZ86" s="3" t="s">
        <v>868</v>
      </c>
      <c r="BA86" s="3" t="s">
        <v>868</v>
      </c>
      <c r="BB86" s="3" t="s">
        <v>879</v>
      </c>
      <c r="BC86" s="3" t="s">
        <v>77</v>
      </c>
      <c r="BD86" s="3" t="s">
        <v>78</v>
      </c>
      <c r="BE86" s="3" t="s">
        <v>870</v>
      </c>
      <c r="BF86" s="3" t="s">
        <v>879</v>
      </c>
      <c r="BG86" s="3" t="s">
        <v>880</v>
      </c>
    </row>
    <row r="87" spans="1:59" ht="58" x14ac:dyDescent="0.35">
      <c r="A87" s="2" t="s">
        <v>59</v>
      </c>
      <c r="B87" s="2" t="s">
        <v>60</v>
      </c>
      <c r="C87" s="2" t="s">
        <v>859</v>
      </c>
      <c r="D87" s="2" t="s">
        <v>860</v>
      </c>
      <c r="E87" s="2" t="s">
        <v>861</v>
      </c>
      <c r="F87" s="3" t="s">
        <v>881</v>
      </c>
      <c r="G87" s="3" t="s">
        <v>209</v>
      </c>
      <c r="I87" s="3" t="s">
        <v>65</v>
      </c>
      <c r="J87" s="3" t="s">
        <v>65</v>
      </c>
      <c r="K87" s="3" t="s">
        <v>66</v>
      </c>
      <c r="M87" s="2" t="s">
        <v>862</v>
      </c>
      <c r="N87" s="3" t="s">
        <v>863</v>
      </c>
      <c r="P87" s="3" t="s">
        <v>140</v>
      </c>
      <c r="R87" s="3" t="s">
        <v>71</v>
      </c>
      <c r="S87" s="4">
        <v>6</v>
      </c>
      <c r="T87" s="4">
        <v>50</v>
      </c>
      <c r="U87" s="5" t="s">
        <v>882</v>
      </c>
      <c r="V87" s="5" t="s">
        <v>865</v>
      </c>
      <c r="W87" s="5" t="s">
        <v>72</v>
      </c>
      <c r="X87" s="5" t="s">
        <v>72</v>
      </c>
      <c r="Y87" s="4">
        <v>131</v>
      </c>
      <c r="Z87" s="4">
        <v>17</v>
      </c>
      <c r="AA87" s="4">
        <v>18</v>
      </c>
      <c r="AB87" s="4">
        <v>1</v>
      </c>
      <c r="AC87" s="4">
        <v>2</v>
      </c>
      <c r="AD87" s="4">
        <v>66</v>
      </c>
      <c r="AE87" s="4">
        <v>67</v>
      </c>
      <c r="AF87" s="4">
        <v>0</v>
      </c>
      <c r="AG87" s="4">
        <v>1</v>
      </c>
      <c r="AH87" s="4">
        <v>61</v>
      </c>
      <c r="AI87" s="4">
        <v>61</v>
      </c>
      <c r="AJ87" s="4">
        <v>10</v>
      </c>
      <c r="AK87" s="4">
        <v>11</v>
      </c>
      <c r="AL87" s="4">
        <v>38</v>
      </c>
      <c r="AM87" s="4">
        <v>38</v>
      </c>
      <c r="AN87" s="4">
        <v>0</v>
      </c>
      <c r="AO87" s="4">
        <v>0</v>
      </c>
      <c r="AP87" s="4">
        <v>11</v>
      </c>
      <c r="AQ87" s="4">
        <v>11</v>
      </c>
      <c r="AR87" s="3" t="s">
        <v>65</v>
      </c>
      <c r="AS87" s="3" t="s">
        <v>65</v>
      </c>
      <c r="AT87" s="3" t="s">
        <v>209</v>
      </c>
      <c r="AU87" s="6" t="str">
        <f>HYPERLINK("http://catalog.hathitrust.org/Record/002712775","HathiTrust Record")</f>
        <v>HathiTrust Record</v>
      </c>
      <c r="AV87" s="6" t="str">
        <f>HYPERLINK("http://mcgill.on.worldcat.org/oclc/27941247","Catalog Record")</f>
        <v>Catalog Record</v>
      </c>
      <c r="AW87" s="6" t="str">
        <f>HYPERLINK("http://www.worldcat.org/oclc/27941247","WorldCat Record")</f>
        <v>WorldCat Record</v>
      </c>
      <c r="AX87" s="3" t="s">
        <v>866</v>
      </c>
      <c r="AY87" s="3" t="s">
        <v>867</v>
      </c>
      <c r="AZ87" s="3" t="s">
        <v>868</v>
      </c>
      <c r="BA87" s="3" t="s">
        <v>868</v>
      </c>
      <c r="BB87" s="3" t="s">
        <v>883</v>
      </c>
      <c r="BC87" s="3" t="s">
        <v>77</v>
      </c>
      <c r="BD87" s="3" t="s">
        <v>78</v>
      </c>
      <c r="BE87" s="3" t="s">
        <v>870</v>
      </c>
      <c r="BF87" s="3" t="s">
        <v>883</v>
      </c>
      <c r="BG87" s="3" t="s">
        <v>884</v>
      </c>
    </row>
    <row r="88" spans="1:59" ht="58" x14ac:dyDescent="0.35">
      <c r="A88" s="2" t="s">
        <v>59</v>
      </c>
      <c r="B88" s="2" t="s">
        <v>60</v>
      </c>
      <c r="C88" s="2" t="s">
        <v>885</v>
      </c>
      <c r="D88" s="2" t="s">
        <v>886</v>
      </c>
      <c r="E88" s="2" t="s">
        <v>887</v>
      </c>
      <c r="F88" s="3" t="s">
        <v>888</v>
      </c>
      <c r="G88" s="3" t="s">
        <v>209</v>
      </c>
      <c r="I88" s="3" t="s">
        <v>65</v>
      </c>
      <c r="J88" s="3" t="s">
        <v>65</v>
      </c>
      <c r="K88" s="3" t="s">
        <v>66</v>
      </c>
      <c r="M88" s="2" t="s">
        <v>889</v>
      </c>
      <c r="N88" s="3" t="s">
        <v>479</v>
      </c>
      <c r="O88" s="2" t="s">
        <v>654</v>
      </c>
      <c r="P88" s="3" t="s">
        <v>140</v>
      </c>
      <c r="Q88" s="2" t="s">
        <v>890</v>
      </c>
      <c r="R88" s="3" t="s">
        <v>71</v>
      </c>
      <c r="S88" s="4">
        <v>0</v>
      </c>
      <c r="T88" s="4">
        <v>1</v>
      </c>
      <c r="V88" s="5" t="s">
        <v>891</v>
      </c>
      <c r="W88" s="5" t="s">
        <v>72</v>
      </c>
      <c r="X88" s="5" t="s">
        <v>72</v>
      </c>
      <c r="Y88" s="4">
        <v>1</v>
      </c>
      <c r="Z88" s="4">
        <v>1</v>
      </c>
      <c r="AA88" s="4">
        <v>1</v>
      </c>
      <c r="AB88" s="4">
        <v>1</v>
      </c>
      <c r="AC88" s="4">
        <v>1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3" t="s">
        <v>65</v>
      </c>
      <c r="AS88" s="3" t="s">
        <v>65</v>
      </c>
      <c r="AT88" s="3" t="s">
        <v>65</v>
      </c>
      <c r="AV88" s="6" t="str">
        <f>HYPERLINK("http://mcgill.on.worldcat.org/oclc/729574960","Catalog Record")</f>
        <v>Catalog Record</v>
      </c>
      <c r="AW88" s="6" t="str">
        <f>HYPERLINK("http://www.worldcat.org/oclc/729574960","WorldCat Record")</f>
        <v>WorldCat Record</v>
      </c>
      <c r="AX88" s="3" t="s">
        <v>892</v>
      </c>
      <c r="AY88" s="3" t="s">
        <v>893</v>
      </c>
      <c r="AZ88" s="3" t="s">
        <v>894</v>
      </c>
      <c r="BA88" s="3" t="s">
        <v>894</v>
      </c>
      <c r="BB88" s="3" t="s">
        <v>895</v>
      </c>
      <c r="BC88" s="3" t="s">
        <v>77</v>
      </c>
      <c r="BD88" s="3" t="s">
        <v>78</v>
      </c>
      <c r="BE88" s="3" t="s">
        <v>896</v>
      </c>
      <c r="BF88" s="3" t="s">
        <v>895</v>
      </c>
      <c r="BG88" s="3" t="s">
        <v>897</v>
      </c>
    </row>
    <row r="89" spans="1:59" ht="58" x14ac:dyDescent="0.35">
      <c r="A89" s="2" t="s">
        <v>59</v>
      </c>
      <c r="B89" s="2" t="s">
        <v>60</v>
      </c>
      <c r="C89" s="2" t="s">
        <v>885</v>
      </c>
      <c r="D89" s="2" t="s">
        <v>886</v>
      </c>
      <c r="E89" s="2" t="s">
        <v>887</v>
      </c>
      <c r="F89" s="3" t="s">
        <v>245</v>
      </c>
      <c r="G89" s="3" t="s">
        <v>209</v>
      </c>
      <c r="I89" s="3" t="s">
        <v>65</v>
      </c>
      <c r="J89" s="3" t="s">
        <v>65</v>
      </c>
      <c r="K89" s="3" t="s">
        <v>66</v>
      </c>
      <c r="M89" s="2" t="s">
        <v>889</v>
      </c>
      <c r="N89" s="3" t="s">
        <v>479</v>
      </c>
      <c r="O89" s="2" t="s">
        <v>654</v>
      </c>
      <c r="P89" s="3" t="s">
        <v>140</v>
      </c>
      <c r="Q89" s="2" t="s">
        <v>890</v>
      </c>
      <c r="R89" s="3" t="s">
        <v>71</v>
      </c>
      <c r="S89" s="4">
        <v>1</v>
      </c>
      <c r="T89" s="4">
        <v>1</v>
      </c>
      <c r="U89" s="5" t="s">
        <v>891</v>
      </c>
      <c r="V89" s="5" t="s">
        <v>891</v>
      </c>
      <c r="W89" s="5" t="s">
        <v>72</v>
      </c>
      <c r="X89" s="5" t="s">
        <v>72</v>
      </c>
      <c r="Y89" s="4">
        <v>1</v>
      </c>
      <c r="Z89" s="4">
        <v>1</v>
      </c>
      <c r="AA89" s="4">
        <v>1</v>
      </c>
      <c r="AB89" s="4">
        <v>1</v>
      </c>
      <c r="AC89" s="4">
        <v>1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0</v>
      </c>
      <c r="AR89" s="3" t="s">
        <v>65</v>
      </c>
      <c r="AS89" s="3" t="s">
        <v>65</v>
      </c>
      <c r="AT89" s="3" t="s">
        <v>65</v>
      </c>
      <c r="AV89" s="6" t="str">
        <f>HYPERLINK("http://mcgill.on.worldcat.org/oclc/729574960","Catalog Record")</f>
        <v>Catalog Record</v>
      </c>
      <c r="AW89" s="6" t="str">
        <f>HYPERLINK("http://www.worldcat.org/oclc/729574960","WorldCat Record")</f>
        <v>WorldCat Record</v>
      </c>
      <c r="AX89" s="3" t="s">
        <v>892</v>
      </c>
      <c r="AY89" s="3" t="s">
        <v>893</v>
      </c>
      <c r="AZ89" s="3" t="s">
        <v>894</v>
      </c>
      <c r="BA89" s="3" t="s">
        <v>894</v>
      </c>
      <c r="BB89" s="3" t="s">
        <v>898</v>
      </c>
      <c r="BC89" s="3" t="s">
        <v>77</v>
      </c>
      <c r="BD89" s="3" t="s">
        <v>78</v>
      </c>
      <c r="BE89" s="3" t="s">
        <v>896</v>
      </c>
      <c r="BF89" s="3" t="s">
        <v>898</v>
      </c>
      <c r="BG89" s="3" t="s">
        <v>899</v>
      </c>
    </row>
    <row r="90" spans="1:59" ht="72.5" x14ac:dyDescent="0.35">
      <c r="A90" s="2" t="s">
        <v>59</v>
      </c>
      <c r="B90" s="2" t="s">
        <v>60</v>
      </c>
      <c r="C90" s="2" t="s">
        <v>900</v>
      </c>
      <c r="D90" s="2" t="s">
        <v>901</v>
      </c>
      <c r="E90" s="2" t="s">
        <v>902</v>
      </c>
      <c r="F90" s="3" t="s">
        <v>903</v>
      </c>
      <c r="G90" s="3" t="s">
        <v>209</v>
      </c>
      <c r="I90" s="3" t="s">
        <v>65</v>
      </c>
      <c r="J90" s="3" t="s">
        <v>65</v>
      </c>
      <c r="K90" s="3" t="s">
        <v>66</v>
      </c>
      <c r="L90" s="2" t="s">
        <v>904</v>
      </c>
      <c r="M90" s="2" t="s">
        <v>905</v>
      </c>
      <c r="N90" s="3" t="s">
        <v>906</v>
      </c>
      <c r="P90" s="3" t="s">
        <v>140</v>
      </c>
      <c r="Q90" s="2" t="s">
        <v>907</v>
      </c>
      <c r="R90" s="3" t="s">
        <v>71</v>
      </c>
      <c r="S90" s="4">
        <v>8</v>
      </c>
      <c r="T90" s="4">
        <v>21</v>
      </c>
      <c r="U90" s="5" t="s">
        <v>908</v>
      </c>
      <c r="V90" s="5" t="s">
        <v>909</v>
      </c>
      <c r="W90" s="5" t="s">
        <v>72</v>
      </c>
      <c r="X90" s="5" t="s">
        <v>72</v>
      </c>
      <c r="Y90" s="4">
        <v>141</v>
      </c>
      <c r="Z90" s="4">
        <v>9</v>
      </c>
      <c r="AA90" s="4">
        <v>9</v>
      </c>
      <c r="AB90" s="4">
        <v>2</v>
      </c>
      <c r="AC90" s="4">
        <v>2</v>
      </c>
      <c r="AD90" s="4">
        <v>68</v>
      </c>
      <c r="AE90" s="4">
        <v>70</v>
      </c>
      <c r="AF90" s="4">
        <v>1</v>
      </c>
      <c r="AG90" s="4">
        <v>1</v>
      </c>
      <c r="AH90" s="4">
        <v>63</v>
      </c>
      <c r="AI90" s="4">
        <v>64</v>
      </c>
      <c r="AJ90" s="4">
        <v>6</v>
      </c>
      <c r="AK90" s="4">
        <v>6</v>
      </c>
      <c r="AL90" s="4">
        <v>45</v>
      </c>
      <c r="AM90" s="4">
        <v>47</v>
      </c>
      <c r="AN90" s="4">
        <v>0</v>
      </c>
      <c r="AO90" s="4">
        <v>0</v>
      </c>
      <c r="AP90" s="4">
        <v>6</v>
      </c>
      <c r="AQ90" s="4">
        <v>6</v>
      </c>
      <c r="AR90" s="3" t="s">
        <v>65</v>
      </c>
      <c r="AS90" s="3" t="s">
        <v>65</v>
      </c>
      <c r="AT90" s="3" t="s">
        <v>209</v>
      </c>
      <c r="AU90" s="6" t="str">
        <f>HYPERLINK("http://catalog.hathitrust.org/Record/000858219","HathiTrust Record")</f>
        <v>HathiTrust Record</v>
      </c>
      <c r="AV90" s="6" t="str">
        <f>HYPERLINK("http://mcgill.on.worldcat.org/oclc/5787829","Catalog Record")</f>
        <v>Catalog Record</v>
      </c>
      <c r="AW90" s="6" t="str">
        <f>HYPERLINK("http://www.worldcat.org/oclc/5787829","WorldCat Record")</f>
        <v>WorldCat Record</v>
      </c>
      <c r="AX90" s="3" t="s">
        <v>910</v>
      </c>
      <c r="AY90" s="3" t="s">
        <v>911</v>
      </c>
      <c r="AZ90" s="3" t="s">
        <v>912</v>
      </c>
      <c r="BA90" s="3" t="s">
        <v>912</v>
      </c>
      <c r="BB90" s="3" t="s">
        <v>913</v>
      </c>
      <c r="BC90" s="3" t="s">
        <v>77</v>
      </c>
      <c r="BD90" s="3" t="s">
        <v>78</v>
      </c>
      <c r="BF90" s="3" t="s">
        <v>913</v>
      </c>
      <c r="BG90" s="3" t="s">
        <v>914</v>
      </c>
    </row>
    <row r="91" spans="1:59" ht="72.5" x14ac:dyDescent="0.35">
      <c r="A91" s="2" t="s">
        <v>59</v>
      </c>
      <c r="B91" s="2" t="s">
        <v>60</v>
      </c>
      <c r="C91" s="2" t="s">
        <v>900</v>
      </c>
      <c r="D91" s="2" t="s">
        <v>901</v>
      </c>
      <c r="E91" s="2" t="s">
        <v>902</v>
      </c>
      <c r="F91" s="3" t="s">
        <v>915</v>
      </c>
      <c r="G91" s="3" t="s">
        <v>209</v>
      </c>
      <c r="I91" s="3" t="s">
        <v>65</v>
      </c>
      <c r="J91" s="3" t="s">
        <v>65</v>
      </c>
      <c r="K91" s="3" t="s">
        <v>66</v>
      </c>
      <c r="L91" s="2" t="s">
        <v>904</v>
      </c>
      <c r="M91" s="2" t="s">
        <v>905</v>
      </c>
      <c r="N91" s="3" t="s">
        <v>906</v>
      </c>
      <c r="P91" s="3" t="s">
        <v>140</v>
      </c>
      <c r="Q91" s="2" t="s">
        <v>907</v>
      </c>
      <c r="R91" s="3" t="s">
        <v>71</v>
      </c>
      <c r="S91" s="4">
        <v>6</v>
      </c>
      <c r="T91" s="4">
        <v>21</v>
      </c>
      <c r="U91" s="5" t="s">
        <v>909</v>
      </c>
      <c r="V91" s="5" t="s">
        <v>909</v>
      </c>
      <c r="W91" s="5" t="s">
        <v>72</v>
      </c>
      <c r="X91" s="5" t="s">
        <v>72</v>
      </c>
      <c r="Y91" s="4">
        <v>141</v>
      </c>
      <c r="Z91" s="4">
        <v>9</v>
      </c>
      <c r="AA91" s="4">
        <v>9</v>
      </c>
      <c r="AB91" s="4">
        <v>2</v>
      </c>
      <c r="AC91" s="4">
        <v>2</v>
      </c>
      <c r="AD91" s="4">
        <v>68</v>
      </c>
      <c r="AE91" s="4">
        <v>70</v>
      </c>
      <c r="AF91" s="4">
        <v>1</v>
      </c>
      <c r="AG91" s="4">
        <v>1</v>
      </c>
      <c r="AH91" s="4">
        <v>63</v>
      </c>
      <c r="AI91" s="4">
        <v>64</v>
      </c>
      <c r="AJ91" s="4">
        <v>6</v>
      </c>
      <c r="AK91" s="4">
        <v>6</v>
      </c>
      <c r="AL91" s="4">
        <v>45</v>
      </c>
      <c r="AM91" s="4">
        <v>47</v>
      </c>
      <c r="AN91" s="4">
        <v>0</v>
      </c>
      <c r="AO91" s="4">
        <v>0</v>
      </c>
      <c r="AP91" s="4">
        <v>6</v>
      </c>
      <c r="AQ91" s="4">
        <v>6</v>
      </c>
      <c r="AR91" s="3" t="s">
        <v>65</v>
      </c>
      <c r="AS91" s="3" t="s">
        <v>65</v>
      </c>
      <c r="AT91" s="3" t="s">
        <v>209</v>
      </c>
      <c r="AU91" s="6" t="str">
        <f>HYPERLINK("http://catalog.hathitrust.org/Record/000858219","HathiTrust Record")</f>
        <v>HathiTrust Record</v>
      </c>
      <c r="AV91" s="6" t="str">
        <f>HYPERLINK("http://mcgill.on.worldcat.org/oclc/5787829","Catalog Record")</f>
        <v>Catalog Record</v>
      </c>
      <c r="AW91" s="6" t="str">
        <f>HYPERLINK("http://www.worldcat.org/oclc/5787829","WorldCat Record")</f>
        <v>WorldCat Record</v>
      </c>
      <c r="AX91" s="3" t="s">
        <v>910</v>
      </c>
      <c r="AY91" s="3" t="s">
        <v>911</v>
      </c>
      <c r="AZ91" s="3" t="s">
        <v>912</v>
      </c>
      <c r="BA91" s="3" t="s">
        <v>912</v>
      </c>
      <c r="BB91" s="3" t="s">
        <v>916</v>
      </c>
      <c r="BC91" s="3" t="s">
        <v>77</v>
      </c>
      <c r="BD91" s="3" t="s">
        <v>78</v>
      </c>
      <c r="BF91" s="3" t="s">
        <v>916</v>
      </c>
      <c r="BG91" s="3" t="s">
        <v>917</v>
      </c>
    </row>
    <row r="92" spans="1:59" ht="72.5" x14ac:dyDescent="0.35">
      <c r="A92" s="2" t="s">
        <v>59</v>
      </c>
      <c r="B92" s="2" t="s">
        <v>60</v>
      </c>
      <c r="C92" s="2" t="s">
        <v>900</v>
      </c>
      <c r="D92" s="2" t="s">
        <v>901</v>
      </c>
      <c r="E92" s="2" t="s">
        <v>902</v>
      </c>
      <c r="F92" s="3" t="s">
        <v>918</v>
      </c>
      <c r="G92" s="3" t="s">
        <v>209</v>
      </c>
      <c r="I92" s="3" t="s">
        <v>65</v>
      </c>
      <c r="J92" s="3" t="s">
        <v>65</v>
      </c>
      <c r="K92" s="3" t="s">
        <v>66</v>
      </c>
      <c r="L92" s="2" t="s">
        <v>904</v>
      </c>
      <c r="M92" s="2" t="s">
        <v>905</v>
      </c>
      <c r="N92" s="3" t="s">
        <v>906</v>
      </c>
      <c r="P92" s="3" t="s">
        <v>140</v>
      </c>
      <c r="Q92" s="2" t="s">
        <v>907</v>
      </c>
      <c r="R92" s="3" t="s">
        <v>71</v>
      </c>
      <c r="S92" s="4">
        <v>7</v>
      </c>
      <c r="T92" s="4">
        <v>21</v>
      </c>
      <c r="U92" s="5" t="s">
        <v>919</v>
      </c>
      <c r="V92" s="5" t="s">
        <v>909</v>
      </c>
      <c r="W92" s="5" t="s">
        <v>72</v>
      </c>
      <c r="X92" s="5" t="s">
        <v>72</v>
      </c>
      <c r="Y92" s="4">
        <v>141</v>
      </c>
      <c r="Z92" s="4">
        <v>9</v>
      </c>
      <c r="AA92" s="4">
        <v>9</v>
      </c>
      <c r="AB92" s="4">
        <v>2</v>
      </c>
      <c r="AC92" s="4">
        <v>2</v>
      </c>
      <c r="AD92" s="4">
        <v>68</v>
      </c>
      <c r="AE92" s="4">
        <v>70</v>
      </c>
      <c r="AF92" s="4">
        <v>1</v>
      </c>
      <c r="AG92" s="4">
        <v>1</v>
      </c>
      <c r="AH92" s="4">
        <v>63</v>
      </c>
      <c r="AI92" s="4">
        <v>64</v>
      </c>
      <c r="AJ92" s="4">
        <v>6</v>
      </c>
      <c r="AK92" s="4">
        <v>6</v>
      </c>
      <c r="AL92" s="4">
        <v>45</v>
      </c>
      <c r="AM92" s="4">
        <v>47</v>
      </c>
      <c r="AN92" s="4">
        <v>0</v>
      </c>
      <c r="AO92" s="4">
        <v>0</v>
      </c>
      <c r="AP92" s="4">
        <v>6</v>
      </c>
      <c r="AQ92" s="4">
        <v>6</v>
      </c>
      <c r="AR92" s="3" t="s">
        <v>65</v>
      </c>
      <c r="AS92" s="3" t="s">
        <v>65</v>
      </c>
      <c r="AT92" s="3" t="s">
        <v>209</v>
      </c>
      <c r="AU92" s="6" t="str">
        <f>HYPERLINK("http://catalog.hathitrust.org/Record/000858219","HathiTrust Record")</f>
        <v>HathiTrust Record</v>
      </c>
      <c r="AV92" s="6" t="str">
        <f>HYPERLINK("http://mcgill.on.worldcat.org/oclc/5787829","Catalog Record")</f>
        <v>Catalog Record</v>
      </c>
      <c r="AW92" s="6" t="str">
        <f>HYPERLINK("http://www.worldcat.org/oclc/5787829","WorldCat Record")</f>
        <v>WorldCat Record</v>
      </c>
      <c r="AX92" s="3" t="s">
        <v>910</v>
      </c>
      <c r="AY92" s="3" t="s">
        <v>911</v>
      </c>
      <c r="AZ92" s="3" t="s">
        <v>912</v>
      </c>
      <c r="BA92" s="3" t="s">
        <v>912</v>
      </c>
      <c r="BB92" s="3" t="s">
        <v>920</v>
      </c>
      <c r="BC92" s="3" t="s">
        <v>77</v>
      </c>
      <c r="BD92" s="3" t="s">
        <v>78</v>
      </c>
      <c r="BF92" s="3" t="s">
        <v>920</v>
      </c>
      <c r="BG92" s="3" t="s">
        <v>921</v>
      </c>
    </row>
    <row r="93" spans="1:59" ht="72.5" x14ac:dyDescent="0.35">
      <c r="A93" s="2" t="s">
        <v>59</v>
      </c>
      <c r="B93" s="2" t="s">
        <v>60</v>
      </c>
      <c r="C93" s="2" t="s">
        <v>922</v>
      </c>
      <c r="D93" s="2" t="s">
        <v>923</v>
      </c>
      <c r="E93" s="2" t="s">
        <v>924</v>
      </c>
      <c r="F93" s="3" t="s">
        <v>925</v>
      </c>
      <c r="G93" s="3" t="s">
        <v>65</v>
      </c>
      <c r="I93" s="3" t="s">
        <v>65</v>
      </c>
      <c r="J93" s="3" t="s">
        <v>65</v>
      </c>
      <c r="K93" s="3" t="s">
        <v>66</v>
      </c>
      <c r="L93" s="2" t="s">
        <v>926</v>
      </c>
      <c r="M93" s="2" t="s">
        <v>927</v>
      </c>
      <c r="N93" s="3" t="s">
        <v>928</v>
      </c>
      <c r="P93" s="3" t="s">
        <v>140</v>
      </c>
      <c r="Q93" s="2" t="s">
        <v>929</v>
      </c>
      <c r="R93" s="3" t="s">
        <v>71</v>
      </c>
      <c r="S93" s="4">
        <v>1</v>
      </c>
      <c r="T93" s="4">
        <v>1</v>
      </c>
      <c r="U93" s="5" t="s">
        <v>930</v>
      </c>
      <c r="V93" s="5" t="s">
        <v>930</v>
      </c>
      <c r="W93" s="5" t="s">
        <v>72</v>
      </c>
      <c r="X93" s="5" t="s">
        <v>72</v>
      </c>
      <c r="Y93" s="4">
        <v>15</v>
      </c>
      <c r="Z93" s="4">
        <v>1</v>
      </c>
      <c r="AA93" s="4">
        <v>1</v>
      </c>
      <c r="AB93" s="4">
        <v>1</v>
      </c>
      <c r="AC93" s="4">
        <v>1</v>
      </c>
      <c r="AD93" s="4">
        <v>1</v>
      </c>
      <c r="AE93" s="4">
        <v>1</v>
      </c>
      <c r="AF93" s="4">
        <v>0</v>
      </c>
      <c r="AG93" s="4">
        <v>0</v>
      </c>
      <c r="AH93" s="4">
        <v>1</v>
      </c>
      <c r="AI93" s="4">
        <v>1</v>
      </c>
      <c r="AJ93" s="4">
        <v>0</v>
      </c>
      <c r="AK93" s="4">
        <v>0</v>
      </c>
      <c r="AL93" s="4">
        <v>1</v>
      </c>
      <c r="AM93" s="4">
        <v>1</v>
      </c>
      <c r="AN93" s="4">
        <v>0</v>
      </c>
      <c r="AO93" s="4">
        <v>0</v>
      </c>
      <c r="AP93" s="4">
        <v>0</v>
      </c>
      <c r="AQ93" s="4">
        <v>0</v>
      </c>
      <c r="AR93" s="3" t="s">
        <v>65</v>
      </c>
      <c r="AS93" s="3" t="s">
        <v>65</v>
      </c>
      <c r="AT93" s="3" t="s">
        <v>65</v>
      </c>
      <c r="AV93" s="6" t="str">
        <f>HYPERLINK("http://mcgill.on.worldcat.org/oclc/20971693","Catalog Record")</f>
        <v>Catalog Record</v>
      </c>
      <c r="AW93" s="6" t="str">
        <f>HYPERLINK("http://www.worldcat.org/oclc/20971693","WorldCat Record")</f>
        <v>WorldCat Record</v>
      </c>
      <c r="AX93" s="3" t="s">
        <v>931</v>
      </c>
      <c r="AY93" s="3" t="s">
        <v>932</v>
      </c>
      <c r="AZ93" s="3" t="s">
        <v>933</v>
      </c>
      <c r="BA93" s="3" t="s">
        <v>933</v>
      </c>
      <c r="BB93" s="3" t="s">
        <v>934</v>
      </c>
      <c r="BC93" s="3" t="s">
        <v>77</v>
      </c>
      <c r="BD93" s="3" t="s">
        <v>78</v>
      </c>
      <c r="BF93" s="3" t="s">
        <v>934</v>
      </c>
      <c r="BG93" s="3" t="s">
        <v>935</v>
      </c>
    </row>
    <row r="94" spans="1:59" ht="72.5" x14ac:dyDescent="0.35">
      <c r="A94" s="2" t="s">
        <v>59</v>
      </c>
      <c r="B94" s="2" t="s">
        <v>60</v>
      </c>
      <c r="C94" s="2" t="s">
        <v>936</v>
      </c>
      <c r="D94" s="2" t="s">
        <v>937</v>
      </c>
      <c r="E94" s="2" t="s">
        <v>938</v>
      </c>
      <c r="F94" s="3" t="s">
        <v>939</v>
      </c>
      <c r="G94" s="3" t="s">
        <v>65</v>
      </c>
      <c r="I94" s="3" t="s">
        <v>65</v>
      </c>
      <c r="J94" s="3" t="s">
        <v>65</v>
      </c>
      <c r="K94" s="3" t="s">
        <v>66</v>
      </c>
      <c r="L94" s="2" t="s">
        <v>940</v>
      </c>
      <c r="M94" s="2" t="s">
        <v>941</v>
      </c>
      <c r="N94" s="3" t="s">
        <v>942</v>
      </c>
      <c r="P94" s="3" t="s">
        <v>140</v>
      </c>
      <c r="Q94" s="2" t="s">
        <v>943</v>
      </c>
      <c r="R94" s="3" t="s">
        <v>71</v>
      </c>
      <c r="S94" s="4">
        <v>2</v>
      </c>
      <c r="T94" s="4">
        <v>2</v>
      </c>
      <c r="U94" s="5" t="s">
        <v>944</v>
      </c>
      <c r="V94" s="5" t="s">
        <v>944</v>
      </c>
      <c r="W94" s="5" t="s">
        <v>72</v>
      </c>
      <c r="X94" s="5" t="s">
        <v>72</v>
      </c>
      <c r="Y94" s="4">
        <v>276</v>
      </c>
      <c r="Z94" s="4">
        <v>13</v>
      </c>
      <c r="AA94" s="4">
        <v>14</v>
      </c>
      <c r="AB94" s="4">
        <v>1</v>
      </c>
      <c r="AC94" s="4">
        <v>1</v>
      </c>
      <c r="AD94" s="4">
        <v>82</v>
      </c>
      <c r="AE94" s="4">
        <v>83</v>
      </c>
      <c r="AF94" s="4">
        <v>0</v>
      </c>
      <c r="AG94" s="4">
        <v>0</v>
      </c>
      <c r="AH94" s="4">
        <v>75</v>
      </c>
      <c r="AI94" s="4">
        <v>76</v>
      </c>
      <c r="AJ94" s="4">
        <v>8</v>
      </c>
      <c r="AK94" s="4">
        <v>8</v>
      </c>
      <c r="AL94" s="4">
        <v>46</v>
      </c>
      <c r="AM94" s="4">
        <v>47</v>
      </c>
      <c r="AN94" s="4">
        <v>0</v>
      </c>
      <c r="AO94" s="4">
        <v>0</v>
      </c>
      <c r="AP94" s="4">
        <v>9</v>
      </c>
      <c r="AQ94" s="4">
        <v>9</v>
      </c>
      <c r="AR94" s="3" t="s">
        <v>65</v>
      </c>
      <c r="AS94" s="3" t="s">
        <v>65</v>
      </c>
      <c r="AT94" s="3" t="s">
        <v>209</v>
      </c>
      <c r="AU94" s="6" t="str">
        <f>HYPERLINK("http://catalog.hathitrust.org/Record/002049140","HathiTrust Record")</f>
        <v>HathiTrust Record</v>
      </c>
      <c r="AV94" s="6" t="str">
        <f>HYPERLINK("http://mcgill.on.worldcat.org/oclc/1969236","Catalog Record")</f>
        <v>Catalog Record</v>
      </c>
      <c r="AW94" s="6" t="str">
        <f>HYPERLINK("http://www.worldcat.org/oclc/1969236","WorldCat Record")</f>
        <v>WorldCat Record</v>
      </c>
      <c r="AX94" s="3" t="s">
        <v>945</v>
      </c>
      <c r="AY94" s="3" t="s">
        <v>946</v>
      </c>
      <c r="AZ94" s="3" t="s">
        <v>947</v>
      </c>
      <c r="BA94" s="3" t="s">
        <v>947</v>
      </c>
      <c r="BB94" s="3" t="s">
        <v>948</v>
      </c>
      <c r="BC94" s="3" t="s">
        <v>77</v>
      </c>
      <c r="BD94" s="3" t="s">
        <v>78</v>
      </c>
      <c r="BF94" s="3" t="s">
        <v>948</v>
      </c>
      <c r="BG94" s="3" t="s">
        <v>949</v>
      </c>
    </row>
    <row r="95" spans="1:59" ht="72.5" x14ac:dyDescent="0.35">
      <c r="A95" s="2" t="s">
        <v>59</v>
      </c>
      <c r="B95" s="2" t="s">
        <v>60</v>
      </c>
      <c r="C95" s="2" t="s">
        <v>950</v>
      </c>
      <c r="D95" s="2" t="s">
        <v>951</v>
      </c>
      <c r="E95" s="2" t="s">
        <v>952</v>
      </c>
      <c r="F95" s="3" t="s">
        <v>953</v>
      </c>
      <c r="G95" s="3" t="s">
        <v>65</v>
      </c>
      <c r="I95" s="3" t="s">
        <v>65</v>
      </c>
      <c r="J95" s="3" t="s">
        <v>65</v>
      </c>
      <c r="K95" s="3" t="s">
        <v>66</v>
      </c>
      <c r="M95" s="2" t="s">
        <v>954</v>
      </c>
      <c r="N95" s="3" t="s">
        <v>955</v>
      </c>
      <c r="P95" s="3" t="s">
        <v>140</v>
      </c>
      <c r="Q95" s="2" t="s">
        <v>956</v>
      </c>
      <c r="R95" s="3" t="s">
        <v>71</v>
      </c>
      <c r="S95" s="4">
        <v>1</v>
      </c>
      <c r="T95" s="4">
        <v>1</v>
      </c>
      <c r="U95" s="5" t="s">
        <v>957</v>
      </c>
      <c r="V95" s="5" t="s">
        <v>957</v>
      </c>
      <c r="W95" s="5" t="s">
        <v>72</v>
      </c>
      <c r="X95" s="5" t="s">
        <v>72</v>
      </c>
      <c r="Y95" s="4">
        <v>90</v>
      </c>
      <c r="Z95" s="4">
        <v>5</v>
      </c>
      <c r="AA95" s="4">
        <v>8</v>
      </c>
      <c r="AB95" s="4">
        <v>1</v>
      </c>
      <c r="AC95" s="4">
        <v>3</v>
      </c>
      <c r="AD95" s="4">
        <v>30</v>
      </c>
      <c r="AE95" s="4">
        <v>34</v>
      </c>
      <c r="AF95" s="4">
        <v>0</v>
      </c>
      <c r="AG95" s="4">
        <v>2</v>
      </c>
      <c r="AH95" s="4">
        <v>27</v>
      </c>
      <c r="AI95" s="4">
        <v>29</v>
      </c>
      <c r="AJ95" s="4">
        <v>2</v>
      </c>
      <c r="AK95" s="4">
        <v>5</v>
      </c>
      <c r="AL95" s="4">
        <v>19</v>
      </c>
      <c r="AM95" s="4">
        <v>19</v>
      </c>
      <c r="AN95" s="4">
        <v>0</v>
      </c>
      <c r="AO95" s="4">
        <v>0</v>
      </c>
      <c r="AP95" s="4">
        <v>2</v>
      </c>
      <c r="AQ95" s="4">
        <v>4</v>
      </c>
      <c r="AR95" s="3" t="s">
        <v>65</v>
      </c>
      <c r="AS95" s="3" t="s">
        <v>65</v>
      </c>
      <c r="AT95" s="3" t="s">
        <v>209</v>
      </c>
      <c r="AU95" s="6" t="str">
        <f>HYPERLINK("http://catalog.hathitrust.org/Record/101903186","HathiTrust Record")</f>
        <v>HathiTrust Record</v>
      </c>
      <c r="AV95" s="6" t="str">
        <f>HYPERLINK("http://mcgill.on.worldcat.org/oclc/7312291","Catalog Record")</f>
        <v>Catalog Record</v>
      </c>
      <c r="AW95" s="6" t="str">
        <f>HYPERLINK("http://www.worldcat.org/oclc/7312291","WorldCat Record")</f>
        <v>WorldCat Record</v>
      </c>
      <c r="AX95" s="3" t="s">
        <v>958</v>
      </c>
      <c r="AY95" s="3" t="s">
        <v>959</v>
      </c>
      <c r="AZ95" s="3" t="s">
        <v>960</v>
      </c>
      <c r="BA95" s="3" t="s">
        <v>960</v>
      </c>
      <c r="BB95" s="3" t="s">
        <v>961</v>
      </c>
      <c r="BC95" s="3" t="s">
        <v>77</v>
      </c>
      <c r="BD95" s="3" t="s">
        <v>78</v>
      </c>
      <c r="BF95" s="3" t="s">
        <v>961</v>
      </c>
      <c r="BG95" s="3" t="s">
        <v>962</v>
      </c>
    </row>
    <row r="96" spans="1:59" ht="72.5" x14ac:dyDescent="0.35">
      <c r="A96" s="2" t="s">
        <v>59</v>
      </c>
      <c r="B96" s="2" t="s">
        <v>60</v>
      </c>
      <c r="C96" s="2" t="s">
        <v>963</v>
      </c>
      <c r="D96" s="2" t="s">
        <v>964</v>
      </c>
      <c r="E96" s="2" t="s">
        <v>965</v>
      </c>
      <c r="F96" s="3" t="s">
        <v>966</v>
      </c>
      <c r="G96" s="3" t="s">
        <v>65</v>
      </c>
      <c r="I96" s="3" t="s">
        <v>65</v>
      </c>
      <c r="J96" s="3" t="s">
        <v>65</v>
      </c>
      <c r="K96" s="3" t="s">
        <v>66</v>
      </c>
      <c r="M96" s="2" t="s">
        <v>967</v>
      </c>
      <c r="N96" s="3" t="s">
        <v>831</v>
      </c>
      <c r="P96" s="3" t="s">
        <v>140</v>
      </c>
      <c r="Q96" s="2" t="s">
        <v>968</v>
      </c>
      <c r="R96" s="3" t="s">
        <v>71</v>
      </c>
      <c r="S96" s="4">
        <v>2</v>
      </c>
      <c r="T96" s="4">
        <v>2</v>
      </c>
      <c r="U96" s="5" t="s">
        <v>969</v>
      </c>
      <c r="V96" s="5" t="s">
        <v>969</v>
      </c>
      <c r="W96" s="5" t="s">
        <v>72</v>
      </c>
      <c r="X96" s="5" t="s">
        <v>72</v>
      </c>
      <c r="Y96" s="4">
        <v>133</v>
      </c>
      <c r="Z96" s="4">
        <v>9</v>
      </c>
      <c r="AA96" s="4">
        <v>9</v>
      </c>
      <c r="AB96" s="4">
        <v>1</v>
      </c>
      <c r="AC96" s="4">
        <v>1</v>
      </c>
      <c r="AD96" s="4">
        <v>58</v>
      </c>
      <c r="AE96" s="4">
        <v>58</v>
      </c>
      <c r="AF96" s="4">
        <v>0</v>
      </c>
      <c r="AG96" s="4">
        <v>0</v>
      </c>
      <c r="AH96" s="4">
        <v>53</v>
      </c>
      <c r="AI96" s="4">
        <v>53</v>
      </c>
      <c r="AJ96" s="4">
        <v>7</v>
      </c>
      <c r="AK96" s="4">
        <v>7</v>
      </c>
      <c r="AL96" s="4">
        <v>34</v>
      </c>
      <c r="AM96" s="4">
        <v>34</v>
      </c>
      <c r="AN96" s="4">
        <v>0</v>
      </c>
      <c r="AO96" s="4">
        <v>0</v>
      </c>
      <c r="AP96" s="4">
        <v>7</v>
      </c>
      <c r="AQ96" s="4">
        <v>7</v>
      </c>
      <c r="AR96" s="3" t="s">
        <v>65</v>
      </c>
      <c r="AS96" s="3" t="s">
        <v>65</v>
      </c>
      <c r="AT96" s="3" t="s">
        <v>65</v>
      </c>
      <c r="AV96" s="6" t="str">
        <f>HYPERLINK("http://mcgill.on.worldcat.org/oclc/9277458","Catalog Record")</f>
        <v>Catalog Record</v>
      </c>
      <c r="AW96" s="6" t="str">
        <f>HYPERLINK("http://www.worldcat.org/oclc/9277458","WorldCat Record")</f>
        <v>WorldCat Record</v>
      </c>
      <c r="AX96" s="3" t="s">
        <v>970</v>
      </c>
      <c r="AY96" s="3" t="s">
        <v>971</v>
      </c>
      <c r="AZ96" s="3" t="s">
        <v>972</v>
      </c>
      <c r="BA96" s="3" t="s">
        <v>972</v>
      </c>
      <c r="BB96" s="3" t="s">
        <v>973</v>
      </c>
      <c r="BC96" s="3" t="s">
        <v>77</v>
      </c>
      <c r="BD96" s="3" t="s">
        <v>78</v>
      </c>
      <c r="BF96" s="3" t="s">
        <v>973</v>
      </c>
      <c r="BG96" s="3" t="s">
        <v>974</v>
      </c>
    </row>
    <row r="97" spans="1:59" ht="72.5" x14ac:dyDescent="0.35">
      <c r="A97" s="2" t="s">
        <v>59</v>
      </c>
      <c r="B97" s="2" t="s">
        <v>60</v>
      </c>
      <c r="C97" s="2" t="s">
        <v>975</v>
      </c>
      <c r="D97" s="2" t="s">
        <v>976</v>
      </c>
      <c r="E97" s="2" t="s">
        <v>977</v>
      </c>
      <c r="F97" s="3" t="s">
        <v>978</v>
      </c>
      <c r="G97" s="3" t="s">
        <v>65</v>
      </c>
      <c r="I97" s="3" t="s">
        <v>65</v>
      </c>
      <c r="J97" s="3" t="s">
        <v>209</v>
      </c>
      <c r="K97" s="3" t="s">
        <v>979</v>
      </c>
      <c r="L97" s="2" t="s">
        <v>904</v>
      </c>
      <c r="M97" s="2" t="s">
        <v>980</v>
      </c>
      <c r="N97" s="3" t="s">
        <v>564</v>
      </c>
      <c r="P97" s="3" t="s">
        <v>140</v>
      </c>
      <c r="Q97" s="2" t="s">
        <v>981</v>
      </c>
      <c r="R97" s="3" t="s">
        <v>71</v>
      </c>
      <c r="S97" s="4">
        <v>3</v>
      </c>
      <c r="T97" s="4">
        <v>3</v>
      </c>
      <c r="U97" s="5" t="s">
        <v>982</v>
      </c>
      <c r="V97" s="5" t="s">
        <v>982</v>
      </c>
      <c r="W97" s="5" t="s">
        <v>72</v>
      </c>
      <c r="X97" s="5" t="s">
        <v>72</v>
      </c>
      <c r="Y97" s="4">
        <v>210</v>
      </c>
      <c r="Z97" s="4">
        <v>9</v>
      </c>
      <c r="AA97" s="4">
        <v>73</v>
      </c>
      <c r="AB97" s="4">
        <v>1</v>
      </c>
      <c r="AC97" s="4">
        <v>11</v>
      </c>
      <c r="AD97" s="4">
        <v>73</v>
      </c>
      <c r="AE97" s="4">
        <v>148</v>
      </c>
      <c r="AF97" s="4">
        <v>0</v>
      </c>
      <c r="AG97" s="4">
        <v>5</v>
      </c>
      <c r="AH97" s="4">
        <v>66</v>
      </c>
      <c r="AI97" s="4">
        <v>116</v>
      </c>
      <c r="AJ97" s="4">
        <v>6</v>
      </c>
      <c r="AK97" s="4">
        <v>26</v>
      </c>
      <c r="AL97" s="4">
        <v>46</v>
      </c>
      <c r="AM97" s="4">
        <v>63</v>
      </c>
      <c r="AN97" s="4">
        <v>0</v>
      </c>
      <c r="AO97" s="4">
        <v>22</v>
      </c>
      <c r="AP97" s="4">
        <v>7</v>
      </c>
      <c r="AQ97" s="4">
        <v>38</v>
      </c>
      <c r="AR97" s="3" t="s">
        <v>65</v>
      </c>
      <c r="AS97" s="3" t="s">
        <v>65</v>
      </c>
      <c r="AT97" s="3" t="s">
        <v>65</v>
      </c>
      <c r="AV97" s="6" t="str">
        <f>HYPERLINK("http://mcgill.on.worldcat.org/oclc/2499212","Catalog Record")</f>
        <v>Catalog Record</v>
      </c>
      <c r="AW97" s="6" t="str">
        <f>HYPERLINK("http://www.worldcat.org/oclc/2499212","WorldCat Record")</f>
        <v>WorldCat Record</v>
      </c>
      <c r="AX97" s="3" t="s">
        <v>983</v>
      </c>
      <c r="AY97" s="3" t="s">
        <v>984</v>
      </c>
      <c r="AZ97" s="3" t="s">
        <v>985</v>
      </c>
      <c r="BA97" s="3" t="s">
        <v>985</v>
      </c>
      <c r="BB97" s="3" t="s">
        <v>986</v>
      </c>
      <c r="BC97" s="3" t="s">
        <v>77</v>
      </c>
      <c r="BD97" s="3" t="s">
        <v>78</v>
      </c>
      <c r="BF97" s="3" t="s">
        <v>986</v>
      </c>
      <c r="BG97" s="3" t="s">
        <v>987</v>
      </c>
    </row>
    <row r="98" spans="1:59" ht="72.5" x14ac:dyDescent="0.35">
      <c r="A98" s="2" t="s">
        <v>59</v>
      </c>
      <c r="B98" s="2" t="s">
        <v>60</v>
      </c>
      <c r="C98" s="2" t="s">
        <v>988</v>
      </c>
      <c r="D98" s="2" t="s">
        <v>989</v>
      </c>
      <c r="E98" s="2" t="s">
        <v>990</v>
      </c>
      <c r="F98" s="3" t="s">
        <v>991</v>
      </c>
      <c r="G98" s="3" t="s">
        <v>209</v>
      </c>
      <c r="I98" s="3" t="s">
        <v>65</v>
      </c>
      <c r="J98" s="3" t="s">
        <v>209</v>
      </c>
      <c r="K98" s="3" t="s">
        <v>66</v>
      </c>
      <c r="L98" s="2" t="s">
        <v>992</v>
      </c>
      <c r="M98" s="2" t="s">
        <v>993</v>
      </c>
      <c r="N98" s="3" t="s">
        <v>955</v>
      </c>
      <c r="P98" s="3" t="s">
        <v>140</v>
      </c>
      <c r="Q98" s="2" t="s">
        <v>994</v>
      </c>
      <c r="R98" s="3" t="s">
        <v>71</v>
      </c>
      <c r="S98" s="4">
        <v>1</v>
      </c>
      <c r="T98" s="4">
        <v>1</v>
      </c>
      <c r="U98" s="5" t="s">
        <v>995</v>
      </c>
      <c r="V98" s="5" t="s">
        <v>995</v>
      </c>
      <c r="W98" s="5" t="s">
        <v>72</v>
      </c>
      <c r="X98" s="5" t="s">
        <v>72</v>
      </c>
      <c r="Y98" s="4">
        <v>126</v>
      </c>
      <c r="Z98" s="4">
        <v>9</v>
      </c>
      <c r="AA98" s="4">
        <v>14</v>
      </c>
      <c r="AB98" s="4">
        <v>1</v>
      </c>
      <c r="AC98" s="4">
        <v>2</v>
      </c>
      <c r="AD98" s="4">
        <v>57</v>
      </c>
      <c r="AE98" s="4">
        <v>72</v>
      </c>
      <c r="AF98" s="4">
        <v>0</v>
      </c>
      <c r="AG98" s="4">
        <v>1</v>
      </c>
      <c r="AH98" s="4">
        <v>54</v>
      </c>
      <c r="AI98" s="4">
        <v>68</v>
      </c>
      <c r="AJ98" s="4">
        <v>6</v>
      </c>
      <c r="AK98" s="4">
        <v>10</v>
      </c>
      <c r="AL98" s="4">
        <v>36</v>
      </c>
      <c r="AM98" s="4">
        <v>43</v>
      </c>
      <c r="AN98" s="4">
        <v>0</v>
      </c>
      <c r="AO98" s="4">
        <v>0</v>
      </c>
      <c r="AP98" s="4">
        <v>6</v>
      </c>
      <c r="AQ98" s="4">
        <v>10</v>
      </c>
      <c r="AR98" s="3" t="s">
        <v>65</v>
      </c>
      <c r="AS98" s="3" t="s">
        <v>65</v>
      </c>
      <c r="AT98" s="3" t="s">
        <v>209</v>
      </c>
      <c r="AU98" s="6" t="str">
        <f>HYPERLINK("http://catalog.hathitrust.org/Record/007558430","HathiTrust Record")</f>
        <v>HathiTrust Record</v>
      </c>
      <c r="AV98" s="6" t="str">
        <f>HYPERLINK("http://mcgill.on.worldcat.org/oclc/6670601","Catalog Record")</f>
        <v>Catalog Record</v>
      </c>
      <c r="AW98" s="6" t="str">
        <f>HYPERLINK("http://www.worldcat.org/oclc/6670601","WorldCat Record")</f>
        <v>WorldCat Record</v>
      </c>
      <c r="AX98" s="3" t="s">
        <v>996</v>
      </c>
      <c r="AY98" s="3" t="s">
        <v>997</v>
      </c>
      <c r="AZ98" s="3" t="s">
        <v>998</v>
      </c>
      <c r="BA98" s="3" t="s">
        <v>998</v>
      </c>
      <c r="BB98" s="3" t="s">
        <v>999</v>
      </c>
      <c r="BC98" s="3" t="s">
        <v>77</v>
      </c>
      <c r="BD98" s="3" t="s">
        <v>78</v>
      </c>
      <c r="BF98" s="3" t="s">
        <v>999</v>
      </c>
      <c r="BG98" s="3" t="s">
        <v>1000</v>
      </c>
    </row>
    <row r="99" spans="1:59" ht="72.5" x14ac:dyDescent="0.35">
      <c r="A99" s="2" t="s">
        <v>59</v>
      </c>
      <c r="B99" s="2" t="s">
        <v>60</v>
      </c>
      <c r="C99" s="2" t="s">
        <v>988</v>
      </c>
      <c r="D99" s="2" t="s">
        <v>989</v>
      </c>
      <c r="E99" s="2" t="s">
        <v>990</v>
      </c>
      <c r="F99" s="3" t="s">
        <v>915</v>
      </c>
      <c r="G99" s="3" t="s">
        <v>209</v>
      </c>
      <c r="I99" s="3" t="s">
        <v>65</v>
      </c>
      <c r="J99" s="3" t="s">
        <v>209</v>
      </c>
      <c r="K99" s="3" t="s">
        <v>66</v>
      </c>
      <c r="L99" s="2" t="s">
        <v>992</v>
      </c>
      <c r="M99" s="2" t="s">
        <v>993</v>
      </c>
      <c r="N99" s="3" t="s">
        <v>955</v>
      </c>
      <c r="P99" s="3" t="s">
        <v>140</v>
      </c>
      <c r="Q99" s="2" t="s">
        <v>994</v>
      </c>
      <c r="R99" s="3" t="s">
        <v>71</v>
      </c>
      <c r="S99" s="4">
        <v>0</v>
      </c>
      <c r="T99" s="4">
        <v>1</v>
      </c>
      <c r="V99" s="5" t="s">
        <v>995</v>
      </c>
      <c r="W99" s="5" t="s">
        <v>72</v>
      </c>
      <c r="X99" s="5" t="s">
        <v>72</v>
      </c>
      <c r="Y99" s="4">
        <v>126</v>
      </c>
      <c r="Z99" s="4">
        <v>9</v>
      </c>
      <c r="AA99" s="4">
        <v>14</v>
      </c>
      <c r="AB99" s="4">
        <v>1</v>
      </c>
      <c r="AC99" s="4">
        <v>2</v>
      </c>
      <c r="AD99" s="4">
        <v>57</v>
      </c>
      <c r="AE99" s="4">
        <v>72</v>
      </c>
      <c r="AF99" s="4">
        <v>0</v>
      </c>
      <c r="AG99" s="4">
        <v>1</v>
      </c>
      <c r="AH99" s="4">
        <v>54</v>
      </c>
      <c r="AI99" s="4">
        <v>68</v>
      </c>
      <c r="AJ99" s="4">
        <v>6</v>
      </c>
      <c r="AK99" s="4">
        <v>10</v>
      </c>
      <c r="AL99" s="4">
        <v>36</v>
      </c>
      <c r="AM99" s="4">
        <v>43</v>
      </c>
      <c r="AN99" s="4">
        <v>0</v>
      </c>
      <c r="AO99" s="4">
        <v>0</v>
      </c>
      <c r="AP99" s="4">
        <v>6</v>
      </c>
      <c r="AQ99" s="4">
        <v>10</v>
      </c>
      <c r="AR99" s="3" t="s">
        <v>65</v>
      </c>
      <c r="AS99" s="3" t="s">
        <v>65</v>
      </c>
      <c r="AT99" s="3" t="s">
        <v>209</v>
      </c>
      <c r="AU99" s="6" t="str">
        <f>HYPERLINK("http://catalog.hathitrust.org/Record/007558430","HathiTrust Record")</f>
        <v>HathiTrust Record</v>
      </c>
      <c r="AV99" s="6" t="str">
        <f>HYPERLINK("http://mcgill.on.worldcat.org/oclc/6670601","Catalog Record")</f>
        <v>Catalog Record</v>
      </c>
      <c r="AW99" s="6" t="str">
        <f>HYPERLINK("http://www.worldcat.org/oclc/6670601","WorldCat Record")</f>
        <v>WorldCat Record</v>
      </c>
      <c r="AX99" s="3" t="s">
        <v>996</v>
      </c>
      <c r="AY99" s="3" t="s">
        <v>997</v>
      </c>
      <c r="AZ99" s="3" t="s">
        <v>998</v>
      </c>
      <c r="BA99" s="3" t="s">
        <v>998</v>
      </c>
      <c r="BB99" s="3" t="s">
        <v>1001</v>
      </c>
      <c r="BC99" s="3" t="s">
        <v>77</v>
      </c>
      <c r="BD99" s="3" t="s">
        <v>78</v>
      </c>
      <c r="BF99" s="3" t="s">
        <v>1001</v>
      </c>
      <c r="BG99" s="3" t="s">
        <v>1002</v>
      </c>
    </row>
    <row r="100" spans="1:59" ht="58" x14ac:dyDescent="0.35">
      <c r="A100" s="2" t="s">
        <v>59</v>
      </c>
      <c r="B100" s="2" t="s">
        <v>60</v>
      </c>
      <c r="C100" s="2" t="s">
        <v>1003</v>
      </c>
      <c r="D100" s="2" t="s">
        <v>1004</v>
      </c>
      <c r="E100" s="2" t="s">
        <v>1005</v>
      </c>
      <c r="G100" s="3" t="s">
        <v>65</v>
      </c>
      <c r="I100" s="3" t="s">
        <v>65</v>
      </c>
      <c r="J100" s="3" t="s">
        <v>65</v>
      </c>
      <c r="K100" s="3" t="s">
        <v>66</v>
      </c>
      <c r="L100" s="2" t="s">
        <v>1006</v>
      </c>
      <c r="M100" s="2" t="s">
        <v>1007</v>
      </c>
      <c r="N100" s="3" t="s">
        <v>68</v>
      </c>
      <c r="P100" s="3" t="s">
        <v>140</v>
      </c>
      <c r="Q100" s="2" t="s">
        <v>1008</v>
      </c>
      <c r="R100" s="3" t="s">
        <v>71</v>
      </c>
      <c r="S100" s="4">
        <v>0</v>
      </c>
      <c r="T100" s="4">
        <v>0</v>
      </c>
      <c r="W100" s="5" t="s">
        <v>72</v>
      </c>
      <c r="X100" s="5" t="s">
        <v>72</v>
      </c>
      <c r="Y100" s="4">
        <v>24</v>
      </c>
      <c r="Z100" s="4">
        <v>1</v>
      </c>
      <c r="AA100" s="4">
        <v>1</v>
      </c>
      <c r="AB100" s="4">
        <v>1</v>
      </c>
      <c r="AC100" s="4">
        <v>1</v>
      </c>
      <c r="AD100" s="4">
        <v>19</v>
      </c>
      <c r="AE100" s="4">
        <v>19</v>
      </c>
      <c r="AF100" s="4">
        <v>0</v>
      </c>
      <c r="AG100" s="4">
        <v>0</v>
      </c>
      <c r="AH100" s="4">
        <v>18</v>
      </c>
      <c r="AI100" s="4">
        <v>18</v>
      </c>
      <c r="AJ100" s="4">
        <v>0</v>
      </c>
      <c r="AK100" s="4">
        <v>0</v>
      </c>
      <c r="AL100" s="4">
        <v>16</v>
      </c>
      <c r="AM100" s="4">
        <v>16</v>
      </c>
      <c r="AN100" s="4">
        <v>0</v>
      </c>
      <c r="AO100" s="4">
        <v>0</v>
      </c>
      <c r="AP100" s="4">
        <v>0</v>
      </c>
      <c r="AQ100" s="4">
        <v>0</v>
      </c>
      <c r="AR100" s="3" t="s">
        <v>65</v>
      </c>
      <c r="AS100" s="3" t="s">
        <v>65</v>
      </c>
      <c r="AT100" s="3" t="s">
        <v>65</v>
      </c>
      <c r="AV100" s="6" t="str">
        <f>HYPERLINK("http://mcgill.on.worldcat.org/oclc/974567370","Catalog Record")</f>
        <v>Catalog Record</v>
      </c>
      <c r="AW100" s="6" t="str">
        <f>HYPERLINK("http://www.worldcat.org/oclc/974567370","WorldCat Record")</f>
        <v>WorldCat Record</v>
      </c>
      <c r="AX100" s="3" t="s">
        <v>1009</v>
      </c>
      <c r="AY100" s="3" t="s">
        <v>1010</v>
      </c>
      <c r="AZ100" s="3" t="s">
        <v>1011</v>
      </c>
      <c r="BA100" s="3" t="s">
        <v>1011</v>
      </c>
      <c r="BB100" s="3" t="s">
        <v>1012</v>
      </c>
      <c r="BC100" s="3" t="s">
        <v>77</v>
      </c>
      <c r="BD100" s="3" t="s">
        <v>78</v>
      </c>
      <c r="BE100" s="3" t="s">
        <v>1013</v>
      </c>
      <c r="BF100" s="3" t="s">
        <v>1012</v>
      </c>
      <c r="BG100" s="3" t="s">
        <v>1014</v>
      </c>
    </row>
    <row r="101" spans="1:59" ht="58" x14ac:dyDescent="0.35">
      <c r="A101" s="2" t="s">
        <v>59</v>
      </c>
      <c r="B101" s="2" t="s">
        <v>60</v>
      </c>
      <c r="C101" s="2" t="s">
        <v>1015</v>
      </c>
      <c r="D101" s="2" t="s">
        <v>1016</v>
      </c>
      <c r="E101" s="2" t="s">
        <v>1017</v>
      </c>
      <c r="G101" s="3" t="s">
        <v>65</v>
      </c>
      <c r="I101" s="3" t="s">
        <v>65</v>
      </c>
      <c r="J101" s="3" t="s">
        <v>65</v>
      </c>
      <c r="K101" s="3" t="s">
        <v>66</v>
      </c>
      <c r="L101" s="2" t="s">
        <v>1018</v>
      </c>
      <c r="M101" s="2" t="s">
        <v>1019</v>
      </c>
      <c r="N101" s="3" t="s">
        <v>126</v>
      </c>
      <c r="O101" s="2" t="s">
        <v>1020</v>
      </c>
      <c r="P101" s="3" t="s">
        <v>140</v>
      </c>
      <c r="Q101" s="2" t="s">
        <v>1021</v>
      </c>
      <c r="R101" s="3" t="s">
        <v>71</v>
      </c>
      <c r="S101" s="4">
        <v>0</v>
      </c>
      <c r="T101" s="4">
        <v>0</v>
      </c>
      <c r="W101" s="5" t="s">
        <v>72</v>
      </c>
      <c r="X101" s="5" t="s">
        <v>72</v>
      </c>
      <c r="Y101" s="4">
        <v>33</v>
      </c>
      <c r="Z101" s="4">
        <v>3</v>
      </c>
      <c r="AA101" s="4">
        <v>3</v>
      </c>
      <c r="AB101" s="4">
        <v>1</v>
      </c>
      <c r="AC101" s="4">
        <v>1</v>
      </c>
      <c r="AD101" s="4">
        <v>20</v>
      </c>
      <c r="AE101" s="4">
        <v>20</v>
      </c>
      <c r="AF101" s="4">
        <v>0</v>
      </c>
      <c r="AG101" s="4">
        <v>0</v>
      </c>
      <c r="AH101" s="4">
        <v>19</v>
      </c>
      <c r="AI101" s="4">
        <v>19</v>
      </c>
      <c r="AJ101" s="4">
        <v>1</v>
      </c>
      <c r="AK101" s="4">
        <v>1</v>
      </c>
      <c r="AL101" s="4">
        <v>12</v>
      </c>
      <c r="AM101" s="4">
        <v>12</v>
      </c>
      <c r="AN101" s="4">
        <v>0</v>
      </c>
      <c r="AO101" s="4">
        <v>0</v>
      </c>
      <c r="AP101" s="4">
        <v>1</v>
      </c>
      <c r="AQ101" s="4">
        <v>1</v>
      </c>
      <c r="AR101" s="3" t="s">
        <v>65</v>
      </c>
      <c r="AS101" s="3" t="s">
        <v>65</v>
      </c>
      <c r="AT101" s="3" t="s">
        <v>65</v>
      </c>
      <c r="AV101" s="6" t="str">
        <f>HYPERLINK("http://mcgill.on.worldcat.org/oclc/768810370","Catalog Record")</f>
        <v>Catalog Record</v>
      </c>
      <c r="AW101" s="6" t="str">
        <f>HYPERLINK("http://www.worldcat.org/oclc/768810370","WorldCat Record")</f>
        <v>WorldCat Record</v>
      </c>
      <c r="AX101" s="3" t="s">
        <v>1022</v>
      </c>
      <c r="AY101" s="3" t="s">
        <v>1023</v>
      </c>
      <c r="AZ101" s="3" t="s">
        <v>1024</v>
      </c>
      <c r="BA101" s="3" t="s">
        <v>1024</v>
      </c>
      <c r="BB101" s="3" t="s">
        <v>1025</v>
      </c>
      <c r="BC101" s="3" t="s">
        <v>77</v>
      </c>
      <c r="BD101" s="3" t="s">
        <v>78</v>
      </c>
      <c r="BE101" s="3" t="s">
        <v>1026</v>
      </c>
      <c r="BF101" s="3" t="s">
        <v>1025</v>
      </c>
      <c r="BG101" s="3" t="s">
        <v>1027</v>
      </c>
    </row>
    <row r="102" spans="1:59" ht="58" x14ac:dyDescent="0.35">
      <c r="A102" s="2" t="s">
        <v>59</v>
      </c>
      <c r="B102" s="2" t="s">
        <v>60</v>
      </c>
      <c r="C102" s="2" t="s">
        <v>1028</v>
      </c>
      <c r="D102" s="2" t="s">
        <v>1029</v>
      </c>
      <c r="E102" s="2" t="s">
        <v>1030</v>
      </c>
      <c r="F102" s="3" t="s">
        <v>245</v>
      </c>
      <c r="G102" s="3" t="s">
        <v>209</v>
      </c>
      <c r="I102" s="3" t="s">
        <v>65</v>
      </c>
      <c r="J102" s="3" t="s">
        <v>65</v>
      </c>
      <c r="K102" s="3" t="s">
        <v>66</v>
      </c>
      <c r="M102" s="2" t="s">
        <v>1031</v>
      </c>
      <c r="N102" s="3" t="s">
        <v>1032</v>
      </c>
      <c r="P102" s="3" t="s">
        <v>140</v>
      </c>
      <c r="R102" s="3" t="s">
        <v>71</v>
      </c>
      <c r="S102" s="4">
        <v>4</v>
      </c>
      <c r="T102" s="4">
        <v>16</v>
      </c>
      <c r="U102" s="5" t="s">
        <v>908</v>
      </c>
      <c r="V102" s="5" t="s">
        <v>1033</v>
      </c>
      <c r="W102" s="5" t="s">
        <v>72</v>
      </c>
      <c r="X102" s="5" t="s">
        <v>72</v>
      </c>
      <c r="Y102" s="4">
        <v>142</v>
      </c>
      <c r="Z102" s="4">
        <v>15</v>
      </c>
      <c r="AA102" s="4">
        <v>15</v>
      </c>
      <c r="AB102" s="4">
        <v>2</v>
      </c>
      <c r="AC102" s="4">
        <v>2</v>
      </c>
      <c r="AD102" s="4">
        <v>74</v>
      </c>
      <c r="AE102" s="4">
        <v>74</v>
      </c>
      <c r="AF102" s="4">
        <v>1</v>
      </c>
      <c r="AG102" s="4">
        <v>1</v>
      </c>
      <c r="AH102" s="4">
        <v>66</v>
      </c>
      <c r="AI102" s="4">
        <v>66</v>
      </c>
      <c r="AJ102" s="4">
        <v>10</v>
      </c>
      <c r="AK102" s="4">
        <v>10</v>
      </c>
      <c r="AL102" s="4">
        <v>47</v>
      </c>
      <c r="AM102" s="4">
        <v>47</v>
      </c>
      <c r="AN102" s="4">
        <v>0</v>
      </c>
      <c r="AO102" s="4">
        <v>0</v>
      </c>
      <c r="AP102" s="4">
        <v>12</v>
      </c>
      <c r="AQ102" s="4">
        <v>12</v>
      </c>
      <c r="AR102" s="3" t="s">
        <v>65</v>
      </c>
      <c r="AS102" s="3" t="s">
        <v>65</v>
      </c>
      <c r="AT102" s="3" t="s">
        <v>209</v>
      </c>
      <c r="AU102" s="6" t="str">
        <f t="shared" ref="AU102:AU115" si="3">HYPERLINK("http://catalog.hathitrust.org/Record/002989718","HathiTrust Record")</f>
        <v>HathiTrust Record</v>
      </c>
      <c r="AV102" s="6" t="str">
        <f t="shared" ref="AV102:AV115" si="4">HYPERLINK("http://mcgill.on.worldcat.org/oclc/34190272","Catalog Record")</f>
        <v>Catalog Record</v>
      </c>
      <c r="AW102" s="6" t="str">
        <f t="shared" ref="AW102:AW115" si="5">HYPERLINK("http://www.worldcat.org/oclc/34190272","WorldCat Record")</f>
        <v>WorldCat Record</v>
      </c>
      <c r="AX102" s="3" t="s">
        <v>1034</v>
      </c>
      <c r="AY102" s="3" t="s">
        <v>1035</v>
      </c>
      <c r="AZ102" s="3" t="s">
        <v>1036</v>
      </c>
      <c r="BA102" s="3" t="s">
        <v>1036</v>
      </c>
      <c r="BB102" s="3" t="s">
        <v>1037</v>
      </c>
      <c r="BC102" s="3" t="s">
        <v>77</v>
      </c>
      <c r="BD102" s="3" t="s">
        <v>78</v>
      </c>
      <c r="BE102" s="3" t="s">
        <v>1038</v>
      </c>
      <c r="BF102" s="3" t="s">
        <v>1037</v>
      </c>
      <c r="BG102" s="3" t="s">
        <v>1039</v>
      </c>
    </row>
    <row r="103" spans="1:59" ht="58" x14ac:dyDescent="0.35">
      <c r="A103" s="2" t="s">
        <v>59</v>
      </c>
      <c r="B103" s="2" t="s">
        <v>60</v>
      </c>
      <c r="C103" s="2" t="s">
        <v>1028</v>
      </c>
      <c r="D103" s="2" t="s">
        <v>1029</v>
      </c>
      <c r="E103" s="2" t="s">
        <v>1030</v>
      </c>
      <c r="F103" s="3" t="s">
        <v>1040</v>
      </c>
      <c r="G103" s="3" t="s">
        <v>209</v>
      </c>
      <c r="I103" s="3" t="s">
        <v>65</v>
      </c>
      <c r="J103" s="3" t="s">
        <v>65</v>
      </c>
      <c r="K103" s="3" t="s">
        <v>66</v>
      </c>
      <c r="M103" s="2" t="s">
        <v>1031</v>
      </c>
      <c r="N103" s="3" t="s">
        <v>1032</v>
      </c>
      <c r="P103" s="3" t="s">
        <v>140</v>
      </c>
      <c r="R103" s="3" t="s">
        <v>71</v>
      </c>
      <c r="S103" s="4">
        <v>0</v>
      </c>
      <c r="T103" s="4">
        <v>16</v>
      </c>
      <c r="V103" s="5" t="s">
        <v>1033</v>
      </c>
      <c r="W103" s="5" t="s">
        <v>72</v>
      </c>
      <c r="X103" s="5" t="s">
        <v>72</v>
      </c>
      <c r="Y103" s="4">
        <v>142</v>
      </c>
      <c r="Z103" s="4">
        <v>15</v>
      </c>
      <c r="AA103" s="4">
        <v>15</v>
      </c>
      <c r="AB103" s="4">
        <v>2</v>
      </c>
      <c r="AC103" s="4">
        <v>2</v>
      </c>
      <c r="AD103" s="4">
        <v>74</v>
      </c>
      <c r="AE103" s="4">
        <v>74</v>
      </c>
      <c r="AF103" s="4">
        <v>1</v>
      </c>
      <c r="AG103" s="4">
        <v>1</v>
      </c>
      <c r="AH103" s="4">
        <v>66</v>
      </c>
      <c r="AI103" s="4">
        <v>66</v>
      </c>
      <c r="AJ103" s="4">
        <v>10</v>
      </c>
      <c r="AK103" s="4">
        <v>10</v>
      </c>
      <c r="AL103" s="4">
        <v>47</v>
      </c>
      <c r="AM103" s="4">
        <v>47</v>
      </c>
      <c r="AN103" s="4">
        <v>0</v>
      </c>
      <c r="AO103" s="4">
        <v>0</v>
      </c>
      <c r="AP103" s="4">
        <v>12</v>
      </c>
      <c r="AQ103" s="4">
        <v>12</v>
      </c>
      <c r="AR103" s="3" t="s">
        <v>65</v>
      </c>
      <c r="AS103" s="3" t="s">
        <v>65</v>
      </c>
      <c r="AT103" s="3" t="s">
        <v>209</v>
      </c>
      <c r="AU103" s="6" t="str">
        <f t="shared" si="3"/>
        <v>HathiTrust Record</v>
      </c>
      <c r="AV103" s="6" t="str">
        <f t="shared" si="4"/>
        <v>Catalog Record</v>
      </c>
      <c r="AW103" s="6" t="str">
        <f t="shared" si="5"/>
        <v>WorldCat Record</v>
      </c>
      <c r="AX103" s="3" t="s">
        <v>1034</v>
      </c>
      <c r="AY103" s="3" t="s">
        <v>1035</v>
      </c>
      <c r="AZ103" s="3" t="s">
        <v>1036</v>
      </c>
      <c r="BA103" s="3" t="s">
        <v>1036</v>
      </c>
      <c r="BB103" s="3" t="s">
        <v>1041</v>
      </c>
      <c r="BC103" s="3" t="s">
        <v>77</v>
      </c>
      <c r="BD103" s="3" t="s">
        <v>78</v>
      </c>
      <c r="BE103" s="3" t="s">
        <v>1038</v>
      </c>
      <c r="BF103" s="3" t="s">
        <v>1041</v>
      </c>
      <c r="BG103" s="3" t="s">
        <v>1042</v>
      </c>
    </row>
    <row r="104" spans="1:59" ht="58" x14ac:dyDescent="0.35">
      <c r="A104" s="2" t="s">
        <v>59</v>
      </c>
      <c r="B104" s="2" t="s">
        <v>60</v>
      </c>
      <c r="C104" s="2" t="s">
        <v>1028</v>
      </c>
      <c r="D104" s="2" t="s">
        <v>1029</v>
      </c>
      <c r="E104" s="2" t="s">
        <v>1030</v>
      </c>
      <c r="F104" s="3" t="s">
        <v>1043</v>
      </c>
      <c r="G104" s="3" t="s">
        <v>209</v>
      </c>
      <c r="I104" s="3" t="s">
        <v>65</v>
      </c>
      <c r="J104" s="3" t="s">
        <v>65</v>
      </c>
      <c r="K104" s="3" t="s">
        <v>66</v>
      </c>
      <c r="M104" s="2" t="s">
        <v>1031</v>
      </c>
      <c r="N104" s="3" t="s">
        <v>1032</v>
      </c>
      <c r="P104" s="3" t="s">
        <v>140</v>
      </c>
      <c r="R104" s="3" t="s">
        <v>71</v>
      </c>
      <c r="S104" s="4">
        <v>0</v>
      </c>
      <c r="T104" s="4">
        <v>16</v>
      </c>
      <c r="V104" s="5" t="s">
        <v>1033</v>
      </c>
      <c r="W104" s="5" t="s">
        <v>72</v>
      </c>
      <c r="X104" s="5" t="s">
        <v>72</v>
      </c>
      <c r="Y104" s="4">
        <v>142</v>
      </c>
      <c r="Z104" s="4">
        <v>15</v>
      </c>
      <c r="AA104" s="4">
        <v>15</v>
      </c>
      <c r="AB104" s="4">
        <v>2</v>
      </c>
      <c r="AC104" s="4">
        <v>2</v>
      </c>
      <c r="AD104" s="4">
        <v>74</v>
      </c>
      <c r="AE104" s="4">
        <v>74</v>
      </c>
      <c r="AF104" s="4">
        <v>1</v>
      </c>
      <c r="AG104" s="4">
        <v>1</v>
      </c>
      <c r="AH104" s="4">
        <v>66</v>
      </c>
      <c r="AI104" s="4">
        <v>66</v>
      </c>
      <c r="AJ104" s="4">
        <v>10</v>
      </c>
      <c r="AK104" s="4">
        <v>10</v>
      </c>
      <c r="AL104" s="4">
        <v>47</v>
      </c>
      <c r="AM104" s="4">
        <v>47</v>
      </c>
      <c r="AN104" s="4">
        <v>0</v>
      </c>
      <c r="AO104" s="4">
        <v>0</v>
      </c>
      <c r="AP104" s="4">
        <v>12</v>
      </c>
      <c r="AQ104" s="4">
        <v>12</v>
      </c>
      <c r="AR104" s="3" t="s">
        <v>65</v>
      </c>
      <c r="AS104" s="3" t="s">
        <v>65</v>
      </c>
      <c r="AT104" s="3" t="s">
        <v>209</v>
      </c>
      <c r="AU104" s="6" t="str">
        <f t="shared" si="3"/>
        <v>HathiTrust Record</v>
      </c>
      <c r="AV104" s="6" t="str">
        <f t="shared" si="4"/>
        <v>Catalog Record</v>
      </c>
      <c r="AW104" s="6" t="str">
        <f t="shared" si="5"/>
        <v>WorldCat Record</v>
      </c>
      <c r="AX104" s="3" t="s">
        <v>1034</v>
      </c>
      <c r="AY104" s="3" t="s">
        <v>1035</v>
      </c>
      <c r="AZ104" s="3" t="s">
        <v>1036</v>
      </c>
      <c r="BA104" s="3" t="s">
        <v>1036</v>
      </c>
      <c r="BB104" s="3" t="s">
        <v>1044</v>
      </c>
      <c r="BC104" s="3" t="s">
        <v>77</v>
      </c>
      <c r="BD104" s="3" t="s">
        <v>78</v>
      </c>
      <c r="BE104" s="3" t="s">
        <v>1038</v>
      </c>
      <c r="BF104" s="3" t="s">
        <v>1044</v>
      </c>
      <c r="BG104" s="3" t="s">
        <v>1045</v>
      </c>
    </row>
    <row r="105" spans="1:59" ht="58" x14ac:dyDescent="0.35">
      <c r="A105" s="2" t="s">
        <v>59</v>
      </c>
      <c r="B105" s="2" t="s">
        <v>60</v>
      </c>
      <c r="C105" s="2" t="s">
        <v>1028</v>
      </c>
      <c r="D105" s="2" t="s">
        <v>1029</v>
      </c>
      <c r="E105" s="2" t="s">
        <v>1030</v>
      </c>
      <c r="F105" s="3" t="s">
        <v>255</v>
      </c>
      <c r="G105" s="3" t="s">
        <v>209</v>
      </c>
      <c r="I105" s="3" t="s">
        <v>65</v>
      </c>
      <c r="J105" s="3" t="s">
        <v>65</v>
      </c>
      <c r="K105" s="3" t="s">
        <v>66</v>
      </c>
      <c r="M105" s="2" t="s">
        <v>1031</v>
      </c>
      <c r="N105" s="3" t="s">
        <v>1032</v>
      </c>
      <c r="P105" s="3" t="s">
        <v>140</v>
      </c>
      <c r="R105" s="3" t="s">
        <v>71</v>
      </c>
      <c r="S105" s="4">
        <v>1</v>
      </c>
      <c r="T105" s="4">
        <v>16</v>
      </c>
      <c r="U105" s="5" t="s">
        <v>1046</v>
      </c>
      <c r="V105" s="5" t="s">
        <v>1033</v>
      </c>
      <c r="W105" s="5" t="s">
        <v>72</v>
      </c>
      <c r="X105" s="5" t="s">
        <v>72</v>
      </c>
      <c r="Y105" s="4">
        <v>142</v>
      </c>
      <c r="Z105" s="4">
        <v>15</v>
      </c>
      <c r="AA105" s="4">
        <v>15</v>
      </c>
      <c r="AB105" s="4">
        <v>2</v>
      </c>
      <c r="AC105" s="4">
        <v>2</v>
      </c>
      <c r="AD105" s="4">
        <v>74</v>
      </c>
      <c r="AE105" s="4">
        <v>74</v>
      </c>
      <c r="AF105" s="4">
        <v>1</v>
      </c>
      <c r="AG105" s="4">
        <v>1</v>
      </c>
      <c r="AH105" s="4">
        <v>66</v>
      </c>
      <c r="AI105" s="4">
        <v>66</v>
      </c>
      <c r="AJ105" s="4">
        <v>10</v>
      </c>
      <c r="AK105" s="4">
        <v>10</v>
      </c>
      <c r="AL105" s="4">
        <v>47</v>
      </c>
      <c r="AM105" s="4">
        <v>47</v>
      </c>
      <c r="AN105" s="4">
        <v>0</v>
      </c>
      <c r="AO105" s="4">
        <v>0</v>
      </c>
      <c r="AP105" s="4">
        <v>12</v>
      </c>
      <c r="AQ105" s="4">
        <v>12</v>
      </c>
      <c r="AR105" s="3" t="s">
        <v>65</v>
      </c>
      <c r="AS105" s="3" t="s">
        <v>65</v>
      </c>
      <c r="AT105" s="3" t="s">
        <v>209</v>
      </c>
      <c r="AU105" s="6" t="str">
        <f t="shared" si="3"/>
        <v>HathiTrust Record</v>
      </c>
      <c r="AV105" s="6" t="str">
        <f t="shared" si="4"/>
        <v>Catalog Record</v>
      </c>
      <c r="AW105" s="6" t="str">
        <f t="shared" si="5"/>
        <v>WorldCat Record</v>
      </c>
      <c r="AX105" s="3" t="s">
        <v>1034</v>
      </c>
      <c r="AY105" s="3" t="s">
        <v>1035</v>
      </c>
      <c r="AZ105" s="3" t="s">
        <v>1036</v>
      </c>
      <c r="BA105" s="3" t="s">
        <v>1036</v>
      </c>
      <c r="BB105" s="3" t="s">
        <v>1047</v>
      </c>
      <c r="BC105" s="3" t="s">
        <v>77</v>
      </c>
      <c r="BD105" s="3" t="s">
        <v>78</v>
      </c>
      <c r="BE105" s="3" t="s">
        <v>1038</v>
      </c>
      <c r="BF105" s="3" t="s">
        <v>1047</v>
      </c>
      <c r="BG105" s="3" t="s">
        <v>1048</v>
      </c>
    </row>
    <row r="106" spans="1:59" ht="58" x14ac:dyDescent="0.35">
      <c r="A106" s="2" t="s">
        <v>59</v>
      </c>
      <c r="B106" s="2" t="s">
        <v>60</v>
      </c>
      <c r="C106" s="2" t="s">
        <v>1028</v>
      </c>
      <c r="D106" s="2" t="s">
        <v>1029</v>
      </c>
      <c r="E106" s="2" t="s">
        <v>1030</v>
      </c>
      <c r="F106" s="3" t="s">
        <v>1049</v>
      </c>
      <c r="G106" s="3" t="s">
        <v>209</v>
      </c>
      <c r="I106" s="3" t="s">
        <v>65</v>
      </c>
      <c r="J106" s="3" t="s">
        <v>65</v>
      </c>
      <c r="K106" s="3" t="s">
        <v>66</v>
      </c>
      <c r="M106" s="2" t="s">
        <v>1031</v>
      </c>
      <c r="N106" s="3" t="s">
        <v>1032</v>
      </c>
      <c r="P106" s="3" t="s">
        <v>140</v>
      </c>
      <c r="R106" s="3" t="s">
        <v>71</v>
      </c>
      <c r="S106" s="4">
        <v>0</v>
      </c>
      <c r="T106" s="4">
        <v>16</v>
      </c>
      <c r="V106" s="5" t="s">
        <v>1033</v>
      </c>
      <c r="W106" s="5" t="s">
        <v>72</v>
      </c>
      <c r="X106" s="5" t="s">
        <v>72</v>
      </c>
      <c r="Y106" s="4">
        <v>142</v>
      </c>
      <c r="Z106" s="4">
        <v>15</v>
      </c>
      <c r="AA106" s="4">
        <v>15</v>
      </c>
      <c r="AB106" s="4">
        <v>2</v>
      </c>
      <c r="AC106" s="4">
        <v>2</v>
      </c>
      <c r="AD106" s="4">
        <v>74</v>
      </c>
      <c r="AE106" s="4">
        <v>74</v>
      </c>
      <c r="AF106" s="4">
        <v>1</v>
      </c>
      <c r="AG106" s="4">
        <v>1</v>
      </c>
      <c r="AH106" s="4">
        <v>66</v>
      </c>
      <c r="AI106" s="4">
        <v>66</v>
      </c>
      <c r="AJ106" s="4">
        <v>10</v>
      </c>
      <c r="AK106" s="4">
        <v>10</v>
      </c>
      <c r="AL106" s="4">
        <v>47</v>
      </c>
      <c r="AM106" s="4">
        <v>47</v>
      </c>
      <c r="AN106" s="4">
        <v>0</v>
      </c>
      <c r="AO106" s="4">
        <v>0</v>
      </c>
      <c r="AP106" s="4">
        <v>12</v>
      </c>
      <c r="AQ106" s="4">
        <v>12</v>
      </c>
      <c r="AR106" s="3" t="s">
        <v>65</v>
      </c>
      <c r="AS106" s="3" t="s">
        <v>65</v>
      </c>
      <c r="AT106" s="3" t="s">
        <v>209</v>
      </c>
      <c r="AU106" s="6" t="str">
        <f t="shared" si="3"/>
        <v>HathiTrust Record</v>
      </c>
      <c r="AV106" s="6" t="str">
        <f t="shared" si="4"/>
        <v>Catalog Record</v>
      </c>
      <c r="AW106" s="6" t="str">
        <f t="shared" si="5"/>
        <v>WorldCat Record</v>
      </c>
      <c r="AX106" s="3" t="s">
        <v>1034</v>
      </c>
      <c r="AY106" s="3" t="s">
        <v>1035</v>
      </c>
      <c r="AZ106" s="3" t="s">
        <v>1036</v>
      </c>
      <c r="BA106" s="3" t="s">
        <v>1036</v>
      </c>
      <c r="BB106" s="3" t="s">
        <v>1050</v>
      </c>
      <c r="BC106" s="3" t="s">
        <v>77</v>
      </c>
      <c r="BD106" s="3" t="s">
        <v>78</v>
      </c>
      <c r="BE106" s="3" t="s">
        <v>1038</v>
      </c>
      <c r="BF106" s="3" t="s">
        <v>1050</v>
      </c>
      <c r="BG106" s="3" t="s">
        <v>1051</v>
      </c>
    </row>
    <row r="107" spans="1:59" ht="58" x14ac:dyDescent="0.35">
      <c r="A107" s="2" t="s">
        <v>59</v>
      </c>
      <c r="B107" s="2" t="s">
        <v>60</v>
      </c>
      <c r="C107" s="2" t="s">
        <v>1028</v>
      </c>
      <c r="D107" s="2" t="s">
        <v>1029</v>
      </c>
      <c r="E107" s="2" t="s">
        <v>1030</v>
      </c>
      <c r="F107" s="3" t="s">
        <v>258</v>
      </c>
      <c r="G107" s="3" t="s">
        <v>209</v>
      </c>
      <c r="I107" s="3" t="s">
        <v>65</v>
      </c>
      <c r="J107" s="3" t="s">
        <v>65</v>
      </c>
      <c r="K107" s="3" t="s">
        <v>66</v>
      </c>
      <c r="M107" s="2" t="s">
        <v>1031</v>
      </c>
      <c r="N107" s="3" t="s">
        <v>1032</v>
      </c>
      <c r="P107" s="3" t="s">
        <v>140</v>
      </c>
      <c r="R107" s="3" t="s">
        <v>71</v>
      </c>
      <c r="S107" s="4">
        <v>5</v>
      </c>
      <c r="T107" s="4">
        <v>16</v>
      </c>
      <c r="U107" s="5" t="s">
        <v>1033</v>
      </c>
      <c r="V107" s="5" t="s">
        <v>1033</v>
      </c>
      <c r="W107" s="5" t="s">
        <v>72</v>
      </c>
      <c r="X107" s="5" t="s">
        <v>72</v>
      </c>
      <c r="Y107" s="4">
        <v>142</v>
      </c>
      <c r="Z107" s="4">
        <v>15</v>
      </c>
      <c r="AA107" s="4">
        <v>15</v>
      </c>
      <c r="AB107" s="4">
        <v>2</v>
      </c>
      <c r="AC107" s="4">
        <v>2</v>
      </c>
      <c r="AD107" s="4">
        <v>74</v>
      </c>
      <c r="AE107" s="4">
        <v>74</v>
      </c>
      <c r="AF107" s="4">
        <v>1</v>
      </c>
      <c r="AG107" s="4">
        <v>1</v>
      </c>
      <c r="AH107" s="4">
        <v>66</v>
      </c>
      <c r="AI107" s="4">
        <v>66</v>
      </c>
      <c r="AJ107" s="4">
        <v>10</v>
      </c>
      <c r="AK107" s="4">
        <v>10</v>
      </c>
      <c r="AL107" s="4">
        <v>47</v>
      </c>
      <c r="AM107" s="4">
        <v>47</v>
      </c>
      <c r="AN107" s="4">
        <v>0</v>
      </c>
      <c r="AO107" s="4">
        <v>0</v>
      </c>
      <c r="AP107" s="4">
        <v>12</v>
      </c>
      <c r="AQ107" s="4">
        <v>12</v>
      </c>
      <c r="AR107" s="3" t="s">
        <v>65</v>
      </c>
      <c r="AS107" s="3" t="s">
        <v>65</v>
      </c>
      <c r="AT107" s="3" t="s">
        <v>209</v>
      </c>
      <c r="AU107" s="6" t="str">
        <f t="shared" si="3"/>
        <v>HathiTrust Record</v>
      </c>
      <c r="AV107" s="6" t="str">
        <f t="shared" si="4"/>
        <v>Catalog Record</v>
      </c>
      <c r="AW107" s="6" t="str">
        <f t="shared" si="5"/>
        <v>WorldCat Record</v>
      </c>
      <c r="AX107" s="3" t="s">
        <v>1034</v>
      </c>
      <c r="AY107" s="3" t="s">
        <v>1035</v>
      </c>
      <c r="AZ107" s="3" t="s">
        <v>1036</v>
      </c>
      <c r="BA107" s="3" t="s">
        <v>1036</v>
      </c>
      <c r="BB107" s="3" t="s">
        <v>1052</v>
      </c>
      <c r="BC107" s="3" t="s">
        <v>77</v>
      </c>
      <c r="BD107" s="3" t="s">
        <v>78</v>
      </c>
      <c r="BE107" s="3" t="s">
        <v>1038</v>
      </c>
      <c r="BF107" s="3" t="s">
        <v>1052</v>
      </c>
      <c r="BG107" s="3" t="s">
        <v>1053</v>
      </c>
    </row>
    <row r="108" spans="1:59" ht="58" x14ac:dyDescent="0.35">
      <c r="A108" s="2" t="s">
        <v>59</v>
      </c>
      <c r="B108" s="2" t="s">
        <v>60</v>
      </c>
      <c r="C108" s="2" t="s">
        <v>1028</v>
      </c>
      <c r="D108" s="2" t="s">
        <v>1029</v>
      </c>
      <c r="E108" s="2" t="s">
        <v>1030</v>
      </c>
      <c r="F108" s="3" t="s">
        <v>1054</v>
      </c>
      <c r="G108" s="3" t="s">
        <v>209</v>
      </c>
      <c r="I108" s="3" t="s">
        <v>65</v>
      </c>
      <c r="J108" s="3" t="s">
        <v>65</v>
      </c>
      <c r="K108" s="3" t="s">
        <v>66</v>
      </c>
      <c r="M108" s="2" t="s">
        <v>1031</v>
      </c>
      <c r="N108" s="3" t="s">
        <v>1032</v>
      </c>
      <c r="P108" s="3" t="s">
        <v>140</v>
      </c>
      <c r="R108" s="3" t="s">
        <v>71</v>
      </c>
      <c r="S108" s="4">
        <v>1</v>
      </c>
      <c r="T108" s="4">
        <v>16</v>
      </c>
      <c r="U108" s="5" t="s">
        <v>1055</v>
      </c>
      <c r="V108" s="5" t="s">
        <v>1033</v>
      </c>
      <c r="W108" s="5" t="s">
        <v>72</v>
      </c>
      <c r="X108" s="5" t="s">
        <v>72</v>
      </c>
      <c r="Y108" s="4">
        <v>142</v>
      </c>
      <c r="Z108" s="4">
        <v>15</v>
      </c>
      <c r="AA108" s="4">
        <v>15</v>
      </c>
      <c r="AB108" s="4">
        <v>2</v>
      </c>
      <c r="AC108" s="4">
        <v>2</v>
      </c>
      <c r="AD108" s="4">
        <v>74</v>
      </c>
      <c r="AE108" s="4">
        <v>74</v>
      </c>
      <c r="AF108" s="4">
        <v>1</v>
      </c>
      <c r="AG108" s="4">
        <v>1</v>
      </c>
      <c r="AH108" s="4">
        <v>66</v>
      </c>
      <c r="AI108" s="4">
        <v>66</v>
      </c>
      <c r="AJ108" s="4">
        <v>10</v>
      </c>
      <c r="AK108" s="4">
        <v>10</v>
      </c>
      <c r="AL108" s="4">
        <v>47</v>
      </c>
      <c r="AM108" s="4">
        <v>47</v>
      </c>
      <c r="AN108" s="4">
        <v>0</v>
      </c>
      <c r="AO108" s="4">
        <v>0</v>
      </c>
      <c r="AP108" s="4">
        <v>12</v>
      </c>
      <c r="AQ108" s="4">
        <v>12</v>
      </c>
      <c r="AR108" s="3" t="s">
        <v>65</v>
      </c>
      <c r="AS108" s="3" t="s">
        <v>65</v>
      </c>
      <c r="AT108" s="3" t="s">
        <v>209</v>
      </c>
      <c r="AU108" s="6" t="str">
        <f t="shared" si="3"/>
        <v>HathiTrust Record</v>
      </c>
      <c r="AV108" s="6" t="str">
        <f t="shared" si="4"/>
        <v>Catalog Record</v>
      </c>
      <c r="AW108" s="6" t="str">
        <f t="shared" si="5"/>
        <v>WorldCat Record</v>
      </c>
      <c r="AX108" s="3" t="s">
        <v>1034</v>
      </c>
      <c r="AY108" s="3" t="s">
        <v>1035</v>
      </c>
      <c r="AZ108" s="3" t="s">
        <v>1036</v>
      </c>
      <c r="BA108" s="3" t="s">
        <v>1036</v>
      </c>
      <c r="BB108" s="3" t="s">
        <v>1056</v>
      </c>
      <c r="BC108" s="3" t="s">
        <v>77</v>
      </c>
      <c r="BD108" s="3" t="s">
        <v>78</v>
      </c>
      <c r="BE108" s="3" t="s">
        <v>1038</v>
      </c>
      <c r="BF108" s="3" t="s">
        <v>1056</v>
      </c>
      <c r="BG108" s="3" t="s">
        <v>1057</v>
      </c>
    </row>
    <row r="109" spans="1:59" ht="58" x14ac:dyDescent="0.35">
      <c r="A109" s="2" t="s">
        <v>59</v>
      </c>
      <c r="B109" s="2" t="s">
        <v>60</v>
      </c>
      <c r="C109" s="2" t="s">
        <v>1028</v>
      </c>
      <c r="D109" s="2" t="s">
        <v>1029</v>
      </c>
      <c r="E109" s="2" t="s">
        <v>1030</v>
      </c>
      <c r="F109" s="3" t="s">
        <v>1058</v>
      </c>
      <c r="G109" s="3" t="s">
        <v>209</v>
      </c>
      <c r="I109" s="3" t="s">
        <v>65</v>
      </c>
      <c r="J109" s="3" t="s">
        <v>65</v>
      </c>
      <c r="K109" s="3" t="s">
        <v>66</v>
      </c>
      <c r="M109" s="2" t="s">
        <v>1031</v>
      </c>
      <c r="N109" s="3" t="s">
        <v>1032</v>
      </c>
      <c r="P109" s="3" t="s">
        <v>140</v>
      </c>
      <c r="R109" s="3" t="s">
        <v>71</v>
      </c>
      <c r="S109" s="4">
        <v>1</v>
      </c>
      <c r="T109" s="4">
        <v>16</v>
      </c>
      <c r="U109" s="5" t="s">
        <v>840</v>
      </c>
      <c r="V109" s="5" t="s">
        <v>1033</v>
      </c>
      <c r="W109" s="5" t="s">
        <v>72</v>
      </c>
      <c r="X109" s="5" t="s">
        <v>72</v>
      </c>
      <c r="Y109" s="4">
        <v>142</v>
      </c>
      <c r="Z109" s="4">
        <v>15</v>
      </c>
      <c r="AA109" s="4">
        <v>15</v>
      </c>
      <c r="AB109" s="4">
        <v>2</v>
      </c>
      <c r="AC109" s="4">
        <v>2</v>
      </c>
      <c r="AD109" s="4">
        <v>74</v>
      </c>
      <c r="AE109" s="4">
        <v>74</v>
      </c>
      <c r="AF109" s="4">
        <v>1</v>
      </c>
      <c r="AG109" s="4">
        <v>1</v>
      </c>
      <c r="AH109" s="4">
        <v>66</v>
      </c>
      <c r="AI109" s="4">
        <v>66</v>
      </c>
      <c r="AJ109" s="4">
        <v>10</v>
      </c>
      <c r="AK109" s="4">
        <v>10</v>
      </c>
      <c r="AL109" s="4">
        <v>47</v>
      </c>
      <c r="AM109" s="4">
        <v>47</v>
      </c>
      <c r="AN109" s="4">
        <v>0</v>
      </c>
      <c r="AO109" s="4">
        <v>0</v>
      </c>
      <c r="AP109" s="4">
        <v>12</v>
      </c>
      <c r="AQ109" s="4">
        <v>12</v>
      </c>
      <c r="AR109" s="3" t="s">
        <v>65</v>
      </c>
      <c r="AS109" s="3" t="s">
        <v>65</v>
      </c>
      <c r="AT109" s="3" t="s">
        <v>209</v>
      </c>
      <c r="AU109" s="6" t="str">
        <f t="shared" si="3"/>
        <v>HathiTrust Record</v>
      </c>
      <c r="AV109" s="6" t="str">
        <f t="shared" si="4"/>
        <v>Catalog Record</v>
      </c>
      <c r="AW109" s="6" t="str">
        <f t="shared" si="5"/>
        <v>WorldCat Record</v>
      </c>
      <c r="AX109" s="3" t="s">
        <v>1034</v>
      </c>
      <c r="AY109" s="3" t="s">
        <v>1035</v>
      </c>
      <c r="AZ109" s="3" t="s">
        <v>1036</v>
      </c>
      <c r="BA109" s="3" t="s">
        <v>1036</v>
      </c>
      <c r="BB109" s="3" t="s">
        <v>1059</v>
      </c>
      <c r="BC109" s="3" t="s">
        <v>77</v>
      </c>
      <c r="BD109" s="3" t="s">
        <v>78</v>
      </c>
      <c r="BE109" s="3" t="s">
        <v>1038</v>
      </c>
      <c r="BF109" s="3" t="s">
        <v>1059</v>
      </c>
      <c r="BG109" s="3" t="s">
        <v>1060</v>
      </c>
    </row>
    <row r="110" spans="1:59" ht="58" x14ac:dyDescent="0.35">
      <c r="A110" s="2" t="s">
        <v>59</v>
      </c>
      <c r="B110" s="2" t="s">
        <v>60</v>
      </c>
      <c r="C110" s="2" t="s">
        <v>1028</v>
      </c>
      <c r="D110" s="2" t="s">
        <v>1029</v>
      </c>
      <c r="E110" s="2" t="s">
        <v>1030</v>
      </c>
      <c r="F110" s="3" t="s">
        <v>1061</v>
      </c>
      <c r="G110" s="3" t="s">
        <v>209</v>
      </c>
      <c r="I110" s="3" t="s">
        <v>65</v>
      </c>
      <c r="J110" s="3" t="s">
        <v>65</v>
      </c>
      <c r="K110" s="3" t="s">
        <v>66</v>
      </c>
      <c r="M110" s="2" t="s">
        <v>1031</v>
      </c>
      <c r="N110" s="3" t="s">
        <v>1032</v>
      </c>
      <c r="P110" s="3" t="s">
        <v>140</v>
      </c>
      <c r="R110" s="3" t="s">
        <v>71</v>
      </c>
      <c r="S110" s="4">
        <v>2</v>
      </c>
      <c r="T110" s="4">
        <v>16</v>
      </c>
      <c r="U110" s="5" t="s">
        <v>1062</v>
      </c>
      <c r="V110" s="5" t="s">
        <v>1033</v>
      </c>
      <c r="W110" s="5" t="s">
        <v>72</v>
      </c>
      <c r="X110" s="5" t="s">
        <v>72</v>
      </c>
      <c r="Y110" s="4">
        <v>142</v>
      </c>
      <c r="Z110" s="4">
        <v>15</v>
      </c>
      <c r="AA110" s="4">
        <v>15</v>
      </c>
      <c r="AB110" s="4">
        <v>2</v>
      </c>
      <c r="AC110" s="4">
        <v>2</v>
      </c>
      <c r="AD110" s="4">
        <v>74</v>
      </c>
      <c r="AE110" s="4">
        <v>74</v>
      </c>
      <c r="AF110" s="4">
        <v>1</v>
      </c>
      <c r="AG110" s="4">
        <v>1</v>
      </c>
      <c r="AH110" s="4">
        <v>66</v>
      </c>
      <c r="AI110" s="4">
        <v>66</v>
      </c>
      <c r="AJ110" s="4">
        <v>10</v>
      </c>
      <c r="AK110" s="4">
        <v>10</v>
      </c>
      <c r="AL110" s="4">
        <v>47</v>
      </c>
      <c r="AM110" s="4">
        <v>47</v>
      </c>
      <c r="AN110" s="4">
        <v>0</v>
      </c>
      <c r="AO110" s="4">
        <v>0</v>
      </c>
      <c r="AP110" s="4">
        <v>12</v>
      </c>
      <c r="AQ110" s="4">
        <v>12</v>
      </c>
      <c r="AR110" s="3" t="s">
        <v>65</v>
      </c>
      <c r="AS110" s="3" t="s">
        <v>65</v>
      </c>
      <c r="AT110" s="3" t="s">
        <v>209</v>
      </c>
      <c r="AU110" s="6" t="str">
        <f t="shared" si="3"/>
        <v>HathiTrust Record</v>
      </c>
      <c r="AV110" s="6" t="str">
        <f t="shared" si="4"/>
        <v>Catalog Record</v>
      </c>
      <c r="AW110" s="6" t="str">
        <f t="shared" si="5"/>
        <v>WorldCat Record</v>
      </c>
      <c r="AX110" s="3" t="s">
        <v>1034</v>
      </c>
      <c r="AY110" s="3" t="s">
        <v>1035</v>
      </c>
      <c r="AZ110" s="3" t="s">
        <v>1036</v>
      </c>
      <c r="BA110" s="3" t="s">
        <v>1036</v>
      </c>
      <c r="BB110" s="3" t="s">
        <v>1063</v>
      </c>
      <c r="BC110" s="3" t="s">
        <v>77</v>
      </c>
      <c r="BD110" s="3" t="s">
        <v>78</v>
      </c>
      <c r="BE110" s="3" t="s">
        <v>1038</v>
      </c>
      <c r="BF110" s="3" t="s">
        <v>1063</v>
      </c>
      <c r="BG110" s="3" t="s">
        <v>1064</v>
      </c>
    </row>
    <row r="111" spans="1:59" ht="58" x14ac:dyDescent="0.35">
      <c r="A111" s="2" t="s">
        <v>59</v>
      </c>
      <c r="B111" s="2" t="s">
        <v>60</v>
      </c>
      <c r="C111" s="2" t="s">
        <v>1028</v>
      </c>
      <c r="D111" s="2" t="s">
        <v>1029</v>
      </c>
      <c r="E111" s="2" t="s">
        <v>1030</v>
      </c>
      <c r="F111" s="3" t="s">
        <v>792</v>
      </c>
      <c r="G111" s="3" t="s">
        <v>209</v>
      </c>
      <c r="I111" s="3" t="s">
        <v>65</v>
      </c>
      <c r="J111" s="3" t="s">
        <v>65</v>
      </c>
      <c r="K111" s="3" t="s">
        <v>66</v>
      </c>
      <c r="M111" s="2" t="s">
        <v>1031</v>
      </c>
      <c r="N111" s="3" t="s">
        <v>1032</v>
      </c>
      <c r="P111" s="3" t="s">
        <v>140</v>
      </c>
      <c r="R111" s="3" t="s">
        <v>71</v>
      </c>
      <c r="S111" s="4">
        <v>0</v>
      </c>
      <c r="T111" s="4">
        <v>16</v>
      </c>
      <c r="V111" s="5" t="s">
        <v>1033</v>
      </c>
      <c r="W111" s="5" t="s">
        <v>72</v>
      </c>
      <c r="X111" s="5" t="s">
        <v>72</v>
      </c>
      <c r="Y111" s="4">
        <v>142</v>
      </c>
      <c r="Z111" s="4">
        <v>15</v>
      </c>
      <c r="AA111" s="4">
        <v>15</v>
      </c>
      <c r="AB111" s="4">
        <v>2</v>
      </c>
      <c r="AC111" s="4">
        <v>2</v>
      </c>
      <c r="AD111" s="4">
        <v>74</v>
      </c>
      <c r="AE111" s="4">
        <v>74</v>
      </c>
      <c r="AF111" s="4">
        <v>1</v>
      </c>
      <c r="AG111" s="4">
        <v>1</v>
      </c>
      <c r="AH111" s="4">
        <v>66</v>
      </c>
      <c r="AI111" s="4">
        <v>66</v>
      </c>
      <c r="AJ111" s="4">
        <v>10</v>
      </c>
      <c r="AK111" s="4">
        <v>10</v>
      </c>
      <c r="AL111" s="4">
        <v>47</v>
      </c>
      <c r="AM111" s="4">
        <v>47</v>
      </c>
      <c r="AN111" s="4">
        <v>0</v>
      </c>
      <c r="AO111" s="4">
        <v>0</v>
      </c>
      <c r="AP111" s="4">
        <v>12</v>
      </c>
      <c r="AQ111" s="4">
        <v>12</v>
      </c>
      <c r="AR111" s="3" t="s">
        <v>65</v>
      </c>
      <c r="AS111" s="3" t="s">
        <v>65</v>
      </c>
      <c r="AT111" s="3" t="s">
        <v>209</v>
      </c>
      <c r="AU111" s="6" t="str">
        <f t="shared" si="3"/>
        <v>HathiTrust Record</v>
      </c>
      <c r="AV111" s="6" t="str">
        <f t="shared" si="4"/>
        <v>Catalog Record</v>
      </c>
      <c r="AW111" s="6" t="str">
        <f t="shared" si="5"/>
        <v>WorldCat Record</v>
      </c>
      <c r="AX111" s="3" t="s">
        <v>1034</v>
      </c>
      <c r="AY111" s="3" t="s">
        <v>1035</v>
      </c>
      <c r="AZ111" s="3" t="s">
        <v>1036</v>
      </c>
      <c r="BA111" s="3" t="s">
        <v>1036</v>
      </c>
      <c r="BB111" s="3" t="s">
        <v>1065</v>
      </c>
      <c r="BC111" s="3" t="s">
        <v>77</v>
      </c>
      <c r="BD111" s="3" t="s">
        <v>78</v>
      </c>
      <c r="BE111" s="3" t="s">
        <v>1038</v>
      </c>
      <c r="BF111" s="3" t="s">
        <v>1065</v>
      </c>
      <c r="BG111" s="3" t="s">
        <v>1066</v>
      </c>
    </row>
    <row r="112" spans="1:59" ht="58" x14ac:dyDescent="0.35">
      <c r="A112" s="2" t="s">
        <v>59</v>
      </c>
      <c r="B112" s="2" t="s">
        <v>60</v>
      </c>
      <c r="C112" s="2" t="s">
        <v>1028</v>
      </c>
      <c r="D112" s="2" t="s">
        <v>1029</v>
      </c>
      <c r="E112" s="2" t="s">
        <v>1030</v>
      </c>
      <c r="F112" s="3" t="s">
        <v>1067</v>
      </c>
      <c r="G112" s="3" t="s">
        <v>209</v>
      </c>
      <c r="I112" s="3" t="s">
        <v>65</v>
      </c>
      <c r="J112" s="3" t="s">
        <v>65</v>
      </c>
      <c r="K112" s="3" t="s">
        <v>66</v>
      </c>
      <c r="M112" s="2" t="s">
        <v>1031</v>
      </c>
      <c r="N112" s="3" t="s">
        <v>1032</v>
      </c>
      <c r="P112" s="3" t="s">
        <v>140</v>
      </c>
      <c r="R112" s="3" t="s">
        <v>71</v>
      </c>
      <c r="S112" s="4">
        <v>1</v>
      </c>
      <c r="T112" s="4">
        <v>16</v>
      </c>
      <c r="U112" s="5" t="s">
        <v>1068</v>
      </c>
      <c r="V112" s="5" t="s">
        <v>1033</v>
      </c>
      <c r="W112" s="5" t="s">
        <v>72</v>
      </c>
      <c r="X112" s="5" t="s">
        <v>72</v>
      </c>
      <c r="Y112" s="4">
        <v>142</v>
      </c>
      <c r="Z112" s="4">
        <v>15</v>
      </c>
      <c r="AA112" s="4">
        <v>15</v>
      </c>
      <c r="AB112" s="4">
        <v>2</v>
      </c>
      <c r="AC112" s="4">
        <v>2</v>
      </c>
      <c r="AD112" s="4">
        <v>74</v>
      </c>
      <c r="AE112" s="4">
        <v>74</v>
      </c>
      <c r="AF112" s="4">
        <v>1</v>
      </c>
      <c r="AG112" s="4">
        <v>1</v>
      </c>
      <c r="AH112" s="4">
        <v>66</v>
      </c>
      <c r="AI112" s="4">
        <v>66</v>
      </c>
      <c r="AJ112" s="4">
        <v>10</v>
      </c>
      <c r="AK112" s="4">
        <v>10</v>
      </c>
      <c r="AL112" s="4">
        <v>47</v>
      </c>
      <c r="AM112" s="4">
        <v>47</v>
      </c>
      <c r="AN112" s="4">
        <v>0</v>
      </c>
      <c r="AO112" s="4">
        <v>0</v>
      </c>
      <c r="AP112" s="4">
        <v>12</v>
      </c>
      <c r="AQ112" s="4">
        <v>12</v>
      </c>
      <c r="AR112" s="3" t="s">
        <v>65</v>
      </c>
      <c r="AS112" s="3" t="s">
        <v>65</v>
      </c>
      <c r="AT112" s="3" t="s">
        <v>209</v>
      </c>
      <c r="AU112" s="6" t="str">
        <f t="shared" si="3"/>
        <v>HathiTrust Record</v>
      </c>
      <c r="AV112" s="6" t="str">
        <f t="shared" si="4"/>
        <v>Catalog Record</v>
      </c>
      <c r="AW112" s="6" t="str">
        <f t="shared" si="5"/>
        <v>WorldCat Record</v>
      </c>
      <c r="AX112" s="3" t="s">
        <v>1034</v>
      </c>
      <c r="AY112" s="3" t="s">
        <v>1035</v>
      </c>
      <c r="AZ112" s="3" t="s">
        <v>1036</v>
      </c>
      <c r="BA112" s="3" t="s">
        <v>1036</v>
      </c>
      <c r="BB112" s="3" t="s">
        <v>1069</v>
      </c>
      <c r="BC112" s="3" t="s">
        <v>77</v>
      </c>
      <c r="BD112" s="3" t="s">
        <v>78</v>
      </c>
      <c r="BE112" s="3" t="s">
        <v>1038</v>
      </c>
      <c r="BF112" s="3" t="s">
        <v>1069</v>
      </c>
      <c r="BG112" s="3" t="s">
        <v>1070</v>
      </c>
    </row>
    <row r="113" spans="1:59" ht="58" x14ac:dyDescent="0.35">
      <c r="A113" s="2" t="s">
        <v>59</v>
      </c>
      <c r="B113" s="2" t="s">
        <v>60</v>
      </c>
      <c r="C113" s="2" t="s">
        <v>1028</v>
      </c>
      <c r="D113" s="2" t="s">
        <v>1029</v>
      </c>
      <c r="E113" s="2" t="s">
        <v>1030</v>
      </c>
      <c r="F113" s="3" t="s">
        <v>1071</v>
      </c>
      <c r="G113" s="3" t="s">
        <v>209</v>
      </c>
      <c r="I113" s="3" t="s">
        <v>65</v>
      </c>
      <c r="J113" s="3" t="s">
        <v>65</v>
      </c>
      <c r="K113" s="3" t="s">
        <v>66</v>
      </c>
      <c r="M113" s="2" t="s">
        <v>1031</v>
      </c>
      <c r="N113" s="3" t="s">
        <v>1032</v>
      </c>
      <c r="P113" s="3" t="s">
        <v>140</v>
      </c>
      <c r="R113" s="3" t="s">
        <v>71</v>
      </c>
      <c r="S113" s="4">
        <v>1</v>
      </c>
      <c r="T113" s="4">
        <v>16</v>
      </c>
      <c r="U113" s="5" t="s">
        <v>1072</v>
      </c>
      <c r="V113" s="5" t="s">
        <v>1033</v>
      </c>
      <c r="W113" s="5" t="s">
        <v>72</v>
      </c>
      <c r="X113" s="5" t="s">
        <v>72</v>
      </c>
      <c r="Y113" s="4">
        <v>142</v>
      </c>
      <c r="Z113" s="4">
        <v>15</v>
      </c>
      <c r="AA113" s="4">
        <v>15</v>
      </c>
      <c r="AB113" s="4">
        <v>2</v>
      </c>
      <c r="AC113" s="4">
        <v>2</v>
      </c>
      <c r="AD113" s="4">
        <v>74</v>
      </c>
      <c r="AE113" s="4">
        <v>74</v>
      </c>
      <c r="AF113" s="4">
        <v>1</v>
      </c>
      <c r="AG113" s="4">
        <v>1</v>
      </c>
      <c r="AH113" s="4">
        <v>66</v>
      </c>
      <c r="AI113" s="4">
        <v>66</v>
      </c>
      <c r="AJ113" s="4">
        <v>10</v>
      </c>
      <c r="AK113" s="4">
        <v>10</v>
      </c>
      <c r="AL113" s="4">
        <v>47</v>
      </c>
      <c r="AM113" s="4">
        <v>47</v>
      </c>
      <c r="AN113" s="4">
        <v>0</v>
      </c>
      <c r="AO113" s="4">
        <v>0</v>
      </c>
      <c r="AP113" s="4">
        <v>12</v>
      </c>
      <c r="AQ113" s="4">
        <v>12</v>
      </c>
      <c r="AR113" s="3" t="s">
        <v>65</v>
      </c>
      <c r="AS113" s="3" t="s">
        <v>65</v>
      </c>
      <c r="AT113" s="3" t="s">
        <v>209</v>
      </c>
      <c r="AU113" s="6" t="str">
        <f t="shared" si="3"/>
        <v>HathiTrust Record</v>
      </c>
      <c r="AV113" s="6" t="str">
        <f t="shared" si="4"/>
        <v>Catalog Record</v>
      </c>
      <c r="AW113" s="6" t="str">
        <f t="shared" si="5"/>
        <v>WorldCat Record</v>
      </c>
      <c r="AX113" s="3" t="s">
        <v>1034</v>
      </c>
      <c r="AY113" s="3" t="s">
        <v>1035</v>
      </c>
      <c r="AZ113" s="3" t="s">
        <v>1036</v>
      </c>
      <c r="BA113" s="3" t="s">
        <v>1036</v>
      </c>
      <c r="BB113" s="3" t="s">
        <v>1073</v>
      </c>
      <c r="BC113" s="3" t="s">
        <v>77</v>
      </c>
      <c r="BD113" s="3" t="s">
        <v>78</v>
      </c>
      <c r="BE113" s="3" t="s">
        <v>1038</v>
      </c>
      <c r="BF113" s="3" t="s">
        <v>1073</v>
      </c>
      <c r="BG113" s="3" t="s">
        <v>1074</v>
      </c>
    </row>
    <row r="114" spans="1:59" ht="58" x14ac:dyDescent="0.35">
      <c r="A114" s="2" t="s">
        <v>59</v>
      </c>
      <c r="B114" s="2" t="s">
        <v>60</v>
      </c>
      <c r="C114" s="2" t="s">
        <v>1028</v>
      </c>
      <c r="D114" s="2" t="s">
        <v>1029</v>
      </c>
      <c r="E114" s="2" t="s">
        <v>1030</v>
      </c>
      <c r="F114" s="3" t="s">
        <v>1075</v>
      </c>
      <c r="G114" s="3" t="s">
        <v>209</v>
      </c>
      <c r="I114" s="3" t="s">
        <v>65</v>
      </c>
      <c r="J114" s="3" t="s">
        <v>65</v>
      </c>
      <c r="K114" s="3" t="s">
        <v>66</v>
      </c>
      <c r="M114" s="2" t="s">
        <v>1031</v>
      </c>
      <c r="N114" s="3" t="s">
        <v>1032</v>
      </c>
      <c r="P114" s="3" t="s">
        <v>140</v>
      </c>
      <c r="R114" s="3" t="s">
        <v>71</v>
      </c>
      <c r="S114" s="4">
        <v>0</v>
      </c>
      <c r="T114" s="4">
        <v>16</v>
      </c>
      <c r="V114" s="5" t="s">
        <v>1033</v>
      </c>
      <c r="W114" s="5" t="s">
        <v>72</v>
      </c>
      <c r="X114" s="5" t="s">
        <v>72</v>
      </c>
      <c r="Y114" s="4">
        <v>142</v>
      </c>
      <c r="Z114" s="4">
        <v>15</v>
      </c>
      <c r="AA114" s="4">
        <v>15</v>
      </c>
      <c r="AB114" s="4">
        <v>2</v>
      </c>
      <c r="AC114" s="4">
        <v>2</v>
      </c>
      <c r="AD114" s="4">
        <v>74</v>
      </c>
      <c r="AE114" s="4">
        <v>74</v>
      </c>
      <c r="AF114" s="4">
        <v>1</v>
      </c>
      <c r="AG114" s="4">
        <v>1</v>
      </c>
      <c r="AH114" s="4">
        <v>66</v>
      </c>
      <c r="AI114" s="4">
        <v>66</v>
      </c>
      <c r="AJ114" s="4">
        <v>10</v>
      </c>
      <c r="AK114" s="4">
        <v>10</v>
      </c>
      <c r="AL114" s="4">
        <v>47</v>
      </c>
      <c r="AM114" s="4">
        <v>47</v>
      </c>
      <c r="AN114" s="4">
        <v>0</v>
      </c>
      <c r="AO114" s="4">
        <v>0</v>
      </c>
      <c r="AP114" s="4">
        <v>12</v>
      </c>
      <c r="AQ114" s="4">
        <v>12</v>
      </c>
      <c r="AR114" s="3" t="s">
        <v>65</v>
      </c>
      <c r="AS114" s="3" t="s">
        <v>65</v>
      </c>
      <c r="AT114" s="3" t="s">
        <v>209</v>
      </c>
      <c r="AU114" s="6" t="str">
        <f t="shared" si="3"/>
        <v>HathiTrust Record</v>
      </c>
      <c r="AV114" s="6" t="str">
        <f t="shared" si="4"/>
        <v>Catalog Record</v>
      </c>
      <c r="AW114" s="6" t="str">
        <f t="shared" si="5"/>
        <v>WorldCat Record</v>
      </c>
      <c r="AX114" s="3" t="s">
        <v>1034</v>
      </c>
      <c r="AY114" s="3" t="s">
        <v>1035</v>
      </c>
      <c r="AZ114" s="3" t="s">
        <v>1036</v>
      </c>
      <c r="BA114" s="3" t="s">
        <v>1036</v>
      </c>
      <c r="BB114" s="3" t="s">
        <v>1076</v>
      </c>
      <c r="BC114" s="3" t="s">
        <v>77</v>
      </c>
      <c r="BD114" s="3" t="s">
        <v>78</v>
      </c>
      <c r="BE114" s="3" t="s">
        <v>1038</v>
      </c>
      <c r="BF114" s="3" t="s">
        <v>1076</v>
      </c>
      <c r="BG114" s="3" t="s">
        <v>1077</v>
      </c>
    </row>
    <row r="115" spans="1:59" ht="58" x14ac:dyDescent="0.35">
      <c r="A115" s="2" t="s">
        <v>59</v>
      </c>
      <c r="B115" s="2" t="s">
        <v>60</v>
      </c>
      <c r="C115" s="2" t="s">
        <v>1028</v>
      </c>
      <c r="D115" s="2" t="s">
        <v>1029</v>
      </c>
      <c r="E115" s="2" t="s">
        <v>1030</v>
      </c>
      <c r="F115" s="3" t="s">
        <v>1078</v>
      </c>
      <c r="G115" s="3" t="s">
        <v>209</v>
      </c>
      <c r="I115" s="3" t="s">
        <v>65</v>
      </c>
      <c r="J115" s="3" t="s">
        <v>65</v>
      </c>
      <c r="K115" s="3" t="s">
        <v>66</v>
      </c>
      <c r="M115" s="2" t="s">
        <v>1031</v>
      </c>
      <c r="N115" s="3" t="s">
        <v>1032</v>
      </c>
      <c r="P115" s="3" t="s">
        <v>140</v>
      </c>
      <c r="R115" s="3" t="s">
        <v>71</v>
      </c>
      <c r="S115" s="4">
        <v>0</v>
      </c>
      <c r="T115" s="4">
        <v>16</v>
      </c>
      <c r="V115" s="5" t="s">
        <v>1033</v>
      </c>
      <c r="W115" s="5" t="s">
        <v>72</v>
      </c>
      <c r="X115" s="5" t="s">
        <v>72</v>
      </c>
      <c r="Y115" s="4">
        <v>142</v>
      </c>
      <c r="Z115" s="4">
        <v>15</v>
      </c>
      <c r="AA115" s="4">
        <v>15</v>
      </c>
      <c r="AB115" s="4">
        <v>2</v>
      </c>
      <c r="AC115" s="4">
        <v>2</v>
      </c>
      <c r="AD115" s="4">
        <v>74</v>
      </c>
      <c r="AE115" s="4">
        <v>74</v>
      </c>
      <c r="AF115" s="4">
        <v>1</v>
      </c>
      <c r="AG115" s="4">
        <v>1</v>
      </c>
      <c r="AH115" s="4">
        <v>66</v>
      </c>
      <c r="AI115" s="4">
        <v>66</v>
      </c>
      <c r="AJ115" s="4">
        <v>10</v>
      </c>
      <c r="AK115" s="4">
        <v>10</v>
      </c>
      <c r="AL115" s="4">
        <v>47</v>
      </c>
      <c r="AM115" s="4">
        <v>47</v>
      </c>
      <c r="AN115" s="4">
        <v>0</v>
      </c>
      <c r="AO115" s="4">
        <v>0</v>
      </c>
      <c r="AP115" s="4">
        <v>12</v>
      </c>
      <c r="AQ115" s="4">
        <v>12</v>
      </c>
      <c r="AR115" s="3" t="s">
        <v>65</v>
      </c>
      <c r="AS115" s="3" t="s">
        <v>65</v>
      </c>
      <c r="AT115" s="3" t="s">
        <v>209</v>
      </c>
      <c r="AU115" s="6" t="str">
        <f t="shared" si="3"/>
        <v>HathiTrust Record</v>
      </c>
      <c r="AV115" s="6" t="str">
        <f t="shared" si="4"/>
        <v>Catalog Record</v>
      </c>
      <c r="AW115" s="6" t="str">
        <f t="shared" si="5"/>
        <v>WorldCat Record</v>
      </c>
      <c r="AX115" s="3" t="s">
        <v>1034</v>
      </c>
      <c r="AY115" s="3" t="s">
        <v>1035</v>
      </c>
      <c r="AZ115" s="3" t="s">
        <v>1036</v>
      </c>
      <c r="BA115" s="3" t="s">
        <v>1036</v>
      </c>
      <c r="BB115" s="3" t="s">
        <v>1079</v>
      </c>
      <c r="BC115" s="3" t="s">
        <v>77</v>
      </c>
      <c r="BD115" s="3" t="s">
        <v>78</v>
      </c>
      <c r="BE115" s="3" t="s">
        <v>1038</v>
      </c>
      <c r="BF115" s="3" t="s">
        <v>1079</v>
      </c>
      <c r="BG115" s="3" t="s">
        <v>1080</v>
      </c>
    </row>
    <row r="116" spans="1:59" ht="58" x14ac:dyDescent="0.35">
      <c r="A116" s="2" t="s">
        <v>59</v>
      </c>
      <c r="B116" s="2" t="s">
        <v>60</v>
      </c>
      <c r="C116" s="2" t="s">
        <v>1081</v>
      </c>
      <c r="D116" s="2" t="s">
        <v>1082</v>
      </c>
      <c r="E116" s="2" t="s">
        <v>1083</v>
      </c>
      <c r="G116" s="3" t="s">
        <v>65</v>
      </c>
      <c r="I116" s="3" t="s">
        <v>65</v>
      </c>
      <c r="J116" s="3" t="s">
        <v>65</v>
      </c>
      <c r="K116" s="3" t="s">
        <v>66</v>
      </c>
      <c r="M116" s="2" t="s">
        <v>1084</v>
      </c>
      <c r="N116" s="3" t="s">
        <v>1085</v>
      </c>
      <c r="P116" s="3" t="s">
        <v>69</v>
      </c>
      <c r="R116" s="3" t="s">
        <v>71</v>
      </c>
      <c r="S116" s="4">
        <v>29</v>
      </c>
      <c r="T116" s="4">
        <v>29</v>
      </c>
      <c r="U116" s="5" t="s">
        <v>480</v>
      </c>
      <c r="V116" s="5" t="s">
        <v>480</v>
      </c>
      <c r="W116" s="5" t="s">
        <v>72</v>
      </c>
      <c r="X116" s="5" t="s">
        <v>72</v>
      </c>
      <c r="Y116" s="4">
        <v>616</v>
      </c>
      <c r="Z116" s="4">
        <v>28</v>
      </c>
      <c r="AA116" s="4">
        <v>39</v>
      </c>
      <c r="AB116" s="4">
        <v>3</v>
      </c>
      <c r="AC116" s="4">
        <v>5</v>
      </c>
      <c r="AD116" s="4">
        <v>111</v>
      </c>
      <c r="AE116" s="4">
        <v>124</v>
      </c>
      <c r="AF116" s="4">
        <v>2</v>
      </c>
      <c r="AG116" s="4">
        <v>4</v>
      </c>
      <c r="AH116" s="4">
        <v>99</v>
      </c>
      <c r="AI116" s="4">
        <v>107</v>
      </c>
      <c r="AJ116" s="4">
        <v>16</v>
      </c>
      <c r="AK116" s="4">
        <v>20</v>
      </c>
      <c r="AL116" s="4">
        <v>56</v>
      </c>
      <c r="AM116" s="4">
        <v>58</v>
      </c>
      <c r="AN116" s="4">
        <v>0</v>
      </c>
      <c r="AO116" s="4">
        <v>0</v>
      </c>
      <c r="AP116" s="4">
        <v>19</v>
      </c>
      <c r="AQ116" s="4">
        <v>25</v>
      </c>
      <c r="AR116" s="3" t="s">
        <v>65</v>
      </c>
      <c r="AS116" s="3" t="s">
        <v>65</v>
      </c>
      <c r="AT116" s="3" t="s">
        <v>65</v>
      </c>
      <c r="AV116" s="6" t="str">
        <f>HYPERLINK("http://mcgill.on.worldcat.org/oclc/33897423","Catalog Record")</f>
        <v>Catalog Record</v>
      </c>
      <c r="AW116" s="6" t="str">
        <f>HYPERLINK("http://www.worldcat.org/oclc/33897423","WorldCat Record")</f>
        <v>WorldCat Record</v>
      </c>
      <c r="AX116" s="3" t="s">
        <v>1086</v>
      </c>
      <c r="AY116" s="3" t="s">
        <v>1087</v>
      </c>
      <c r="AZ116" s="3" t="s">
        <v>1088</v>
      </c>
      <c r="BA116" s="3" t="s">
        <v>1088</v>
      </c>
      <c r="BB116" s="3" t="s">
        <v>1089</v>
      </c>
      <c r="BC116" s="3" t="s">
        <v>77</v>
      </c>
      <c r="BD116" s="3" t="s">
        <v>78</v>
      </c>
      <c r="BE116" s="3" t="s">
        <v>1090</v>
      </c>
      <c r="BF116" s="3" t="s">
        <v>1089</v>
      </c>
      <c r="BG116" s="3" t="s">
        <v>1091</v>
      </c>
    </row>
    <row r="117" spans="1:59" ht="58" x14ac:dyDescent="0.35">
      <c r="A117" s="2" t="s">
        <v>59</v>
      </c>
      <c r="B117" s="2" t="s">
        <v>60</v>
      </c>
      <c r="C117" s="2" t="s">
        <v>1092</v>
      </c>
      <c r="D117" s="2" t="s">
        <v>1093</v>
      </c>
      <c r="E117" s="2" t="s">
        <v>1094</v>
      </c>
      <c r="G117" s="3" t="s">
        <v>65</v>
      </c>
      <c r="I117" s="3" t="s">
        <v>65</v>
      </c>
      <c r="J117" s="3" t="s">
        <v>65</v>
      </c>
      <c r="K117" s="3" t="s">
        <v>66</v>
      </c>
      <c r="L117" s="2" t="s">
        <v>1095</v>
      </c>
      <c r="M117" s="2" t="s">
        <v>1096</v>
      </c>
      <c r="N117" s="3" t="s">
        <v>176</v>
      </c>
      <c r="P117" s="3" t="s">
        <v>69</v>
      </c>
      <c r="R117" s="3" t="s">
        <v>71</v>
      </c>
      <c r="S117" s="4">
        <v>3</v>
      </c>
      <c r="T117" s="4">
        <v>3</v>
      </c>
      <c r="U117" s="5" t="s">
        <v>1097</v>
      </c>
      <c r="V117" s="5" t="s">
        <v>1097</v>
      </c>
      <c r="W117" s="5" t="s">
        <v>72</v>
      </c>
      <c r="X117" s="5" t="s">
        <v>72</v>
      </c>
      <c r="Y117" s="4">
        <v>123</v>
      </c>
      <c r="Z117" s="4">
        <v>13</v>
      </c>
      <c r="AA117" s="4">
        <v>18</v>
      </c>
      <c r="AB117" s="4">
        <v>2</v>
      </c>
      <c r="AC117" s="4">
        <v>4</v>
      </c>
      <c r="AD117" s="4">
        <v>29</v>
      </c>
      <c r="AE117" s="4">
        <v>34</v>
      </c>
      <c r="AF117" s="4">
        <v>0</v>
      </c>
      <c r="AG117" s="4">
        <v>0</v>
      </c>
      <c r="AH117" s="4">
        <v>26</v>
      </c>
      <c r="AI117" s="4">
        <v>31</v>
      </c>
      <c r="AJ117" s="4">
        <v>8</v>
      </c>
      <c r="AK117" s="4">
        <v>8</v>
      </c>
      <c r="AL117" s="4">
        <v>16</v>
      </c>
      <c r="AM117" s="4">
        <v>18</v>
      </c>
      <c r="AN117" s="4">
        <v>0</v>
      </c>
      <c r="AO117" s="4">
        <v>0</v>
      </c>
      <c r="AP117" s="4">
        <v>8</v>
      </c>
      <c r="AQ117" s="4">
        <v>8</v>
      </c>
      <c r="AR117" s="3" t="s">
        <v>65</v>
      </c>
      <c r="AS117" s="3" t="s">
        <v>65</v>
      </c>
      <c r="AT117" s="3" t="s">
        <v>65</v>
      </c>
      <c r="AV117" s="6" t="str">
        <f>HYPERLINK("http://mcgill.on.worldcat.org/oclc/911171264","Catalog Record")</f>
        <v>Catalog Record</v>
      </c>
      <c r="AW117" s="6" t="str">
        <f>HYPERLINK("http://www.worldcat.org/oclc/911171264","WorldCat Record")</f>
        <v>WorldCat Record</v>
      </c>
      <c r="AX117" s="3" t="s">
        <v>1098</v>
      </c>
      <c r="AY117" s="3" t="s">
        <v>1099</v>
      </c>
      <c r="AZ117" s="3" t="s">
        <v>1100</v>
      </c>
      <c r="BA117" s="3" t="s">
        <v>1100</v>
      </c>
      <c r="BB117" s="3" t="s">
        <v>1101</v>
      </c>
      <c r="BC117" s="3" t="s">
        <v>77</v>
      </c>
      <c r="BD117" s="3" t="s">
        <v>78</v>
      </c>
      <c r="BE117" s="3" t="s">
        <v>1102</v>
      </c>
      <c r="BF117" s="3" t="s">
        <v>1101</v>
      </c>
      <c r="BG117" s="3" t="s">
        <v>1103</v>
      </c>
    </row>
    <row r="118" spans="1:59" ht="58" x14ac:dyDescent="0.35">
      <c r="A118" s="2" t="s">
        <v>59</v>
      </c>
      <c r="B118" s="2" t="s">
        <v>60</v>
      </c>
      <c r="C118" s="2" t="s">
        <v>1104</v>
      </c>
      <c r="D118" s="2" t="s">
        <v>1105</v>
      </c>
      <c r="E118" s="2" t="s">
        <v>1106</v>
      </c>
      <c r="G118" s="3" t="s">
        <v>65</v>
      </c>
      <c r="I118" s="3" t="s">
        <v>65</v>
      </c>
      <c r="J118" s="3" t="s">
        <v>209</v>
      </c>
      <c r="K118" s="3" t="s">
        <v>66</v>
      </c>
      <c r="L118" s="2" t="s">
        <v>1107</v>
      </c>
      <c r="M118" s="2" t="s">
        <v>1108</v>
      </c>
      <c r="N118" s="3" t="s">
        <v>1109</v>
      </c>
      <c r="O118" s="2" t="s">
        <v>1110</v>
      </c>
      <c r="P118" s="3" t="s">
        <v>69</v>
      </c>
      <c r="R118" s="3" t="s">
        <v>71</v>
      </c>
      <c r="S118" s="4">
        <v>21</v>
      </c>
      <c r="T118" s="4">
        <v>21</v>
      </c>
      <c r="U118" s="5" t="s">
        <v>480</v>
      </c>
      <c r="V118" s="5" t="s">
        <v>480</v>
      </c>
      <c r="W118" s="5" t="s">
        <v>72</v>
      </c>
      <c r="X118" s="5" t="s">
        <v>72</v>
      </c>
      <c r="Y118" s="4">
        <v>800</v>
      </c>
      <c r="Z118" s="4">
        <v>34</v>
      </c>
      <c r="AA118" s="4">
        <v>64</v>
      </c>
      <c r="AB118" s="4">
        <v>3</v>
      </c>
      <c r="AC118" s="4">
        <v>6</v>
      </c>
      <c r="AD118" s="4">
        <v>113</v>
      </c>
      <c r="AE118" s="4">
        <v>138</v>
      </c>
      <c r="AF118" s="4">
        <v>2</v>
      </c>
      <c r="AG118" s="4">
        <v>3</v>
      </c>
      <c r="AH118" s="4">
        <v>97</v>
      </c>
      <c r="AI118" s="4">
        <v>110</v>
      </c>
      <c r="AJ118" s="4">
        <v>16</v>
      </c>
      <c r="AK118" s="4">
        <v>23</v>
      </c>
      <c r="AL118" s="4">
        <v>51</v>
      </c>
      <c r="AM118" s="4">
        <v>57</v>
      </c>
      <c r="AN118" s="4">
        <v>0</v>
      </c>
      <c r="AO118" s="4">
        <v>0</v>
      </c>
      <c r="AP118" s="4">
        <v>21</v>
      </c>
      <c r="AQ118" s="4">
        <v>34</v>
      </c>
      <c r="AR118" s="3" t="s">
        <v>65</v>
      </c>
      <c r="AS118" s="3" t="s">
        <v>65</v>
      </c>
      <c r="AT118" s="3" t="s">
        <v>209</v>
      </c>
      <c r="AU118" s="6" t="str">
        <f>HYPERLINK("http://catalog.hathitrust.org/Record/001218301","HathiTrust Record")</f>
        <v>HathiTrust Record</v>
      </c>
      <c r="AV118" s="6" t="str">
        <f>HYPERLINK("http://mcgill.on.worldcat.org/oclc/1197422","Catalog Record")</f>
        <v>Catalog Record</v>
      </c>
      <c r="AW118" s="6" t="str">
        <f>HYPERLINK("http://www.worldcat.org/oclc/1197422","WorldCat Record")</f>
        <v>WorldCat Record</v>
      </c>
      <c r="AX118" s="3" t="s">
        <v>1111</v>
      </c>
      <c r="AY118" s="3" t="s">
        <v>1112</v>
      </c>
      <c r="AZ118" s="3" t="s">
        <v>1113</v>
      </c>
      <c r="BA118" s="3" t="s">
        <v>1113</v>
      </c>
      <c r="BB118" s="3" t="s">
        <v>1114</v>
      </c>
      <c r="BC118" s="3" t="s">
        <v>77</v>
      </c>
      <c r="BD118" s="3" t="s">
        <v>78</v>
      </c>
      <c r="BE118" s="3" t="s">
        <v>1115</v>
      </c>
      <c r="BF118" s="3" t="s">
        <v>1114</v>
      </c>
      <c r="BG118" s="3" t="s">
        <v>1116</v>
      </c>
    </row>
    <row r="119" spans="1:59" ht="58" x14ac:dyDescent="0.35">
      <c r="A119" s="2" t="s">
        <v>59</v>
      </c>
      <c r="B119" s="2" t="s">
        <v>60</v>
      </c>
      <c r="C119" s="2" t="s">
        <v>1117</v>
      </c>
      <c r="D119" s="2" t="s">
        <v>1118</v>
      </c>
      <c r="E119" s="2" t="s">
        <v>1119</v>
      </c>
      <c r="F119" s="3" t="s">
        <v>258</v>
      </c>
      <c r="G119" s="3" t="s">
        <v>209</v>
      </c>
      <c r="I119" s="3" t="s">
        <v>65</v>
      </c>
      <c r="J119" s="3" t="s">
        <v>65</v>
      </c>
      <c r="K119" s="3" t="s">
        <v>66</v>
      </c>
      <c r="L119" s="2" t="s">
        <v>1120</v>
      </c>
      <c r="M119" s="2" t="s">
        <v>1121</v>
      </c>
      <c r="N119" s="3" t="s">
        <v>1122</v>
      </c>
      <c r="P119" s="3" t="s">
        <v>140</v>
      </c>
      <c r="Q119" s="2" t="s">
        <v>1123</v>
      </c>
      <c r="R119" s="3" t="s">
        <v>71</v>
      </c>
      <c r="S119" s="4">
        <v>1</v>
      </c>
      <c r="T119" s="4">
        <v>5</v>
      </c>
      <c r="U119" s="5" t="s">
        <v>785</v>
      </c>
      <c r="V119" s="5" t="s">
        <v>785</v>
      </c>
      <c r="W119" s="5" t="s">
        <v>72</v>
      </c>
      <c r="X119" s="5" t="s">
        <v>72</v>
      </c>
      <c r="Y119" s="4">
        <v>84</v>
      </c>
      <c r="Z119" s="4">
        <v>10</v>
      </c>
      <c r="AA119" s="4">
        <v>10</v>
      </c>
      <c r="AB119" s="4">
        <v>3</v>
      </c>
      <c r="AC119" s="4">
        <v>3</v>
      </c>
      <c r="AD119" s="4">
        <v>50</v>
      </c>
      <c r="AE119" s="4">
        <v>50</v>
      </c>
      <c r="AF119" s="4">
        <v>1</v>
      </c>
      <c r="AG119" s="4">
        <v>1</v>
      </c>
      <c r="AH119" s="4">
        <v>47</v>
      </c>
      <c r="AI119" s="4">
        <v>47</v>
      </c>
      <c r="AJ119" s="4">
        <v>6</v>
      </c>
      <c r="AK119" s="4">
        <v>6</v>
      </c>
      <c r="AL119" s="4">
        <v>36</v>
      </c>
      <c r="AM119" s="4">
        <v>36</v>
      </c>
      <c r="AN119" s="4">
        <v>0</v>
      </c>
      <c r="AO119" s="4">
        <v>0</v>
      </c>
      <c r="AP119" s="4">
        <v>6</v>
      </c>
      <c r="AQ119" s="4">
        <v>6</v>
      </c>
      <c r="AR119" s="3" t="s">
        <v>65</v>
      </c>
      <c r="AS119" s="3" t="s">
        <v>65</v>
      </c>
      <c r="AT119" s="3" t="s">
        <v>209</v>
      </c>
      <c r="AU119" s="6" t="str">
        <f>HYPERLINK("http://catalog.hathitrust.org/Record/005984236","HathiTrust Record")</f>
        <v>HathiTrust Record</v>
      </c>
      <c r="AV119" s="6" t="str">
        <f>HYPERLINK("http://mcgill.on.worldcat.org/oclc/311818554","Catalog Record")</f>
        <v>Catalog Record</v>
      </c>
      <c r="AW119" s="6" t="str">
        <f>HYPERLINK("http://www.worldcat.org/oclc/311818554","WorldCat Record")</f>
        <v>WorldCat Record</v>
      </c>
      <c r="AX119" s="3" t="s">
        <v>1124</v>
      </c>
      <c r="AY119" s="3" t="s">
        <v>1125</v>
      </c>
      <c r="AZ119" s="3" t="s">
        <v>1126</v>
      </c>
      <c r="BA119" s="3" t="s">
        <v>1126</v>
      </c>
      <c r="BB119" s="3" t="s">
        <v>1127</v>
      </c>
      <c r="BC119" s="3" t="s">
        <v>77</v>
      </c>
      <c r="BD119" s="3" t="s">
        <v>78</v>
      </c>
      <c r="BE119" s="3" t="s">
        <v>1128</v>
      </c>
      <c r="BF119" s="3" t="s">
        <v>1127</v>
      </c>
      <c r="BG119" s="3" t="s">
        <v>1129</v>
      </c>
    </row>
    <row r="120" spans="1:59" ht="58" x14ac:dyDescent="0.35">
      <c r="A120" s="2" t="s">
        <v>59</v>
      </c>
      <c r="B120" s="2" t="s">
        <v>60</v>
      </c>
      <c r="C120" s="2" t="s">
        <v>1117</v>
      </c>
      <c r="D120" s="2" t="s">
        <v>1118</v>
      </c>
      <c r="E120" s="2" t="s">
        <v>1119</v>
      </c>
      <c r="F120" s="3" t="s">
        <v>255</v>
      </c>
      <c r="G120" s="3" t="s">
        <v>209</v>
      </c>
      <c r="I120" s="3" t="s">
        <v>65</v>
      </c>
      <c r="J120" s="3" t="s">
        <v>65</v>
      </c>
      <c r="K120" s="3" t="s">
        <v>66</v>
      </c>
      <c r="L120" s="2" t="s">
        <v>1120</v>
      </c>
      <c r="M120" s="2" t="s">
        <v>1121</v>
      </c>
      <c r="N120" s="3" t="s">
        <v>1122</v>
      </c>
      <c r="P120" s="3" t="s">
        <v>140</v>
      </c>
      <c r="Q120" s="2" t="s">
        <v>1123</v>
      </c>
      <c r="R120" s="3" t="s">
        <v>71</v>
      </c>
      <c r="S120" s="4">
        <v>4</v>
      </c>
      <c r="T120" s="4">
        <v>5</v>
      </c>
      <c r="U120" s="5" t="s">
        <v>785</v>
      </c>
      <c r="V120" s="5" t="s">
        <v>785</v>
      </c>
      <c r="W120" s="5" t="s">
        <v>72</v>
      </c>
      <c r="X120" s="5" t="s">
        <v>72</v>
      </c>
      <c r="Y120" s="4">
        <v>84</v>
      </c>
      <c r="Z120" s="4">
        <v>10</v>
      </c>
      <c r="AA120" s="4">
        <v>10</v>
      </c>
      <c r="AB120" s="4">
        <v>3</v>
      </c>
      <c r="AC120" s="4">
        <v>3</v>
      </c>
      <c r="AD120" s="4">
        <v>50</v>
      </c>
      <c r="AE120" s="4">
        <v>50</v>
      </c>
      <c r="AF120" s="4">
        <v>1</v>
      </c>
      <c r="AG120" s="4">
        <v>1</v>
      </c>
      <c r="AH120" s="4">
        <v>47</v>
      </c>
      <c r="AI120" s="4">
        <v>47</v>
      </c>
      <c r="AJ120" s="4">
        <v>6</v>
      </c>
      <c r="AK120" s="4">
        <v>6</v>
      </c>
      <c r="AL120" s="4">
        <v>36</v>
      </c>
      <c r="AM120" s="4">
        <v>36</v>
      </c>
      <c r="AN120" s="4">
        <v>0</v>
      </c>
      <c r="AO120" s="4">
        <v>0</v>
      </c>
      <c r="AP120" s="4">
        <v>6</v>
      </c>
      <c r="AQ120" s="4">
        <v>6</v>
      </c>
      <c r="AR120" s="3" t="s">
        <v>65</v>
      </c>
      <c r="AS120" s="3" t="s">
        <v>65</v>
      </c>
      <c r="AT120" s="3" t="s">
        <v>209</v>
      </c>
      <c r="AU120" s="6" t="str">
        <f>HYPERLINK("http://catalog.hathitrust.org/Record/005984236","HathiTrust Record")</f>
        <v>HathiTrust Record</v>
      </c>
      <c r="AV120" s="6" t="str">
        <f>HYPERLINK("http://mcgill.on.worldcat.org/oclc/311818554","Catalog Record")</f>
        <v>Catalog Record</v>
      </c>
      <c r="AW120" s="6" t="str">
        <f>HYPERLINK("http://www.worldcat.org/oclc/311818554","WorldCat Record")</f>
        <v>WorldCat Record</v>
      </c>
      <c r="AX120" s="3" t="s">
        <v>1124</v>
      </c>
      <c r="AY120" s="3" t="s">
        <v>1125</v>
      </c>
      <c r="AZ120" s="3" t="s">
        <v>1126</v>
      </c>
      <c r="BA120" s="3" t="s">
        <v>1126</v>
      </c>
      <c r="BB120" s="3" t="s">
        <v>1130</v>
      </c>
      <c r="BC120" s="3" t="s">
        <v>77</v>
      </c>
      <c r="BD120" s="3" t="s">
        <v>78</v>
      </c>
      <c r="BE120" s="3" t="s">
        <v>1128</v>
      </c>
      <c r="BF120" s="3" t="s">
        <v>1130</v>
      </c>
      <c r="BG120" s="3" t="s">
        <v>1131</v>
      </c>
    </row>
    <row r="121" spans="1:59" ht="58" x14ac:dyDescent="0.35">
      <c r="A121" s="2" t="s">
        <v>59</v>
      </c>
      <c r="B121" s="2" t="s">
        <v>60</v>
      </c>
      <c r="C121" s="2" t="s">
        <v>1117</v>
      </c>
      <c r="D121" s="2" t="s">
        <v>1118</v>
      </c>
      <c r="E121" s="2" t="s">
        <v>1119</v>
      </c>
      <c r="F121" s="3" t="s">
        <v>245</v>
      </c>
      <c r="G121" s="3" t="s">
        <v>209</v>
      </c>
      <c r="I121" s="3" t="s">
        <v>65</v>
      </c>
      <c r="J121" s="3" t="s">
        <v>65</v>
      </c>
      <c r="K121" s="3" t="s">
        <v>66</v>
      </c>
      <c r="L121" s="2" t="s">
        <v>1120</v>
      </c>
      <c r="M121" s="2" t="s">
        <v>1121</v>
      </c>
      <c r="N121" s="3" t="s">
        <v>1122</v>
      </c>
      <c r="P121" s="3" t="s">
        <v>140</v>
      </c>
      <c r="Q121" s="2" t="s">
        <v>1123</v>
      </c>
      <c r="R121" s="3" t="s">
        <v>71</v>
      </c>
      <c r="S121" s="4">
        <v>0</v>
      </c>
      <c r="T121" s="4">
        <v>5</v>
      </c>
      <c r="V121" s="5" t="s">
        <v>785</v>
      </c>
      <c r="W121" s="5" t="s">
        <v>72</v>
      </c>
      <c r="X121" s="5" t="s">
        <v>72</v>
      </c>
      <c r="Y121" s="4">
        <v>84</v>
      </c>
      <c r="Z121" s="4">
        <v>10</v>
      </c>
      <c r="AA121" s="4">
        <v>10</v>
      </c>
      <c r="AB121" s="4">
        <v>3</v>
      </c>
      <c r="AC121" s="4">
        <v>3</v>
      </c>
      <c r="AD121" s="4">
        <v>50</v>
      </c>
      <c r="AE121" s="4">
        <v>50</v>
      </c>
      <c r="AF121" s="4">
        <v>1</v>
      </c>
      <c r="AG121" s="4">
        <v>1</v>
      </c>
      <c r="AH121" s="4">
        <v>47</v>
      </c>
      <c r="AI121" s="4">
        <v>47</v>
      </c>
      <c r="AJ121" s="4">
        <v>6</v>
      </c>
      <c r="AK121" s="4">
        <v>6</v>
      </c>
      <c r="AL121" s="4">
        <v>36</v>
      </c>
      <c r="AM121" s="4">
        <v>36</v>
      </c>
      <c r="AN121" s="4">
        <v>0</v>
      </c>
      <c r="AO121" s="4">
        <v>0</v>
      </c>
      <c r="AP121" s="4">
        <v>6</v>
      </c>
      <c r="AQ121" s="4">
        <v>6</v>
      </c>
      <c r="AR121" s="3" t="s">
        <v>65</v>
      </c>
      <c r="AS121" s="3" t="s">
        <v>65</v>
      </c>
      <c r="AT121" s="3" t="s">
        <v>209</v>
      </c>
      <c r="AU121" s="6" t="str">
        <f>HYPERLINK("http://catalog.hathitrust.org/Record/005984236","HathiTrust Record")</f>
        <v>HathiTrust Record</v>
      </c>
      <c r="AV121" s="6" t="str">
        <f>HYPERLINK("http://mcgill.on.worldcat.org/oclc/311818554","Catalog Record")</f>
        <v>Catalog Record</v>
      </c>
      <c r="AW121" s="6" t="str">
        <f>HYPERLINK("http://www.worldcat.org/oclc/311818554","WorldCat Record")</f>
        <v>WorldCat Record</v>
      </c>
      <c r="AX121" s="3" t="s">
        <v>1124</v>
      </c>
      <c r="AY121" s="3" t="s">
        <v>1125</v>
      </c>
      <c r="AZ121" s="3" t="s">
        <v>1126</v>
      </c>
      <c r="BA121" s="3" t="s">
        <v>1126</v>
      </c>
      <c r="BB121" s="3" t="s">
        <v>1132</v>
      </c>
      <c r="BC121" s="3" t="s">
        <v>77</v>
      </c>
      <c r="BD121" s="3" t="s">
        <v>78</v>
      </c>
      <c r="BE121" s="3" t="s">
        <v>1128</v>
      </c>
      <c r="BF121" s="3" t="s">
        <v>1132</v>
      </c>
      <c r="BG121" s="3" t="s">
        <v>1133</v>
      </c>
    </row>
    <row r="122" spans="1:59" ht="58" x14ac:dyDescent="0.35">
      <c r="A122" s="2" t="s">
        <v>59</v>
      </c>
      <c r="B122" s="2" t="s">
        <v>60</v>
      </c>
      <c r="C122" s="2" t="s">
        <v>1134</v>
      </c>
      <c r="D122" s="2" t="s">
        <v>1135</v>
      </c>
      <c r="E122" s="2" t="s">
        <v>1136</v>
      </c>
      <c r="G122" s="3" t="s">
        <v>65</v>
      </c>
      <c r="I122" s="3" t="s">
        <v>65</v>
      </c>
      <c r="J122" s="3" t="s">
        <v>65</v>
      </c>
      <c r="K122" s="3" t="s">
        <v>66</v>
      </c>
      <c r="L122" s="2" t="s">
        <v>1137</v>
      </c>
      <c r="M122" s="2" t="s">
        <v>1138</v>
      </c>
      <c r="N122" s="3" t="s">
        <v>139</v>
      </c>
      <c r="P122" s="3" t="s">
        <v>69</v>
      </c>
      <c r="Q122" s="2" t="s">
        <v>1139</v>
      </c>
      <c r="R122" s="3" t="s">
        <v>71</v>
      </c>
      <c r="S122" s="4">
        <v>1</v>
      </c>
      <c r="T122" s="4">
        <v>1</v>
      </c>
      <c r="U122" s="5" t="s">
        <v>480</v>
      </c>
      <c r="V122" s="5" t="s">
        <v>480</v>
      </c>
      <c r="W122" s="5" t="s">
        <v>72</v>
      </c>
      <c r="X122" s="5" t="s">
        <v>72</v>
      </c>
      <c r="Y122" s="4">
        <v>266</v>
      </c>
      <c r="Z122" s="4">
        <v>24</v>
      </c>
      <c r="AA122" s="4">
        <v>26</v>
      </c>
      <c r="AB122" s="4">
        <v>3</v>
      </c>
      <c r="AC122" s="4">
        <v>3</v>
      </c>
      <c r="AD122" s="4">
        <v>57</v>
      </c>
      <c r="AE122" s="4">
        <v>61</v>
      </c>
      <c r="AF122" s="4">
        <v>1</v>
      </c>
      <c r="AG122" s="4">
        <v>1</v>
      </c>
      <c r="AH122" s="4">
        <v>49</v>
      </c>
      <c r="AI122" s="4">
        <v>51</v>
      </c>
      <c r="AJ122" s="4">
        <v>14</v>
      </c>
      <c r="AK122" s="4">
        <v>15</v>
      </c>
      <c r="AL122" s="4">
        <v>21</v>
      </c>
      <c r="AM122" s="4">
        <v>23</v>
      </c>
      <c r="AN122" s="4">
        <v>0</v>
      </c>
      <c r="AO122" s="4">
        <v>0</v>
      </c>
      <c r="AP122" s="4">
        <v>17</v>
      </c>
      <c r="AQ122" s="4">
        <v>19</v>
      </c>
      <c r="AR122" s="3" t="s">
        <v>65</v>
      </c>
      <c r="AS122" s="3" t="s">
        <v>65</v>
      </c>
      <c r="AT122" s="3" t="s">
        <v>65</v>
      </c>
      <c r="AV122" s="6" t="str">
        <f>HYPERLINK("http://mcgill.on.worldcat.org/oclc/749871197","Catalog Record")</f>
        <v>Catalog Record</v>
      </c>
      <c r="AW122" s="6" t="str">
        <f>HYPERLINK("http://www.worldcat.org/oclc/749871197","WorldCat Record")</f>
        <v>WorldCat Record</v>
      </c>
      <c r="AX122" s="3" t="s">
        <v>1140</v>
      </c>
      <c r="AY122" s="3" t="s">
        <v>1141</v>
      </c>
      <c r="AZ122" s="3" t="s">
        <v>1142</v>
      </c>
      <c r="BA122" s="3" t="s">
        <v>1142</v>
      </c>
      <c r="BB122" s="3" t="s">
        <v>1143</v>
      </c>
      <c r="BC122" s="3" t="s">
        <v>77</v>
      </c>
      <c r="BD122" s="3" t="s">
        <v>78</v>
      </c>
      <c r="BE122" s="3" t="s">
        <v>1144</v>
      </c>
      <c r="BF122" s="3" t="s">
        <v>1143</v>
      </c>
      <c r="BG122" s="3" t="s">
        <v>1145</v>
      </c>
    </row>
    <row r="123" spans="1:59" ht="58" x14ac:dyDescent="0.35">
      <c r="A123" s="2" t="s">
        <v>59</v>
      </c>
      <c r="B123" s="2" t="s">
        <v>60</v>
      </c>
      <c r="C123" s="2" t="s">
        <v>1146</v>
      </c>
      <c r="D123" s="2" t="s">
        <v>1147</v>
      </c>
      <c r="E123" s="2" t="s">
        <v>1148</v>
      </c>
      <c r="G123" s="3" t="s">
        <v>65</v>
      </c>
      <c r="I123" s="3" t="s">
        <v>65</v>
      </c>
      <c r="J123" s="3" t="s">
        <v>65</v>
      </c>
      <c r="K123" s="3" t="s">
        <v>66</v>
      </c>
      <c r="L123" s="2" t="s">
        <v>1149</v>
      </c>
      <c r="M123" s="2" t="s">
        <v>1150</v>
      </c>
      <c r="N123" s="3" t="s">
        <v>1151</v>
      </c>
      <c r="P123" s="3" t="s">
        <v>140</v>
      </c>
      <c r="Q123" s="2" t="s">
        <v>1152</v>
      </c>
      <c r="R123" s="3" t="s">
        <v>71</v>
      </c>
      <c r="S123" s="4">
        <v>6</v>
      </c>
      <c r="T123" s="4">
        <v>6</v>
      </c>
      <c r="U123" s="5" t="s">
        <v>566</v>
      </c>
      <c r="V123" s="5" t="s">
        <v>566</v>
      </c>
      <c r="W123" s="5" t="s">
        <v>72</v>
      </c>
      <c r="X123" s="5" t="s">
        <v>72</v>
      </c>
      <c r="Y123" s="4">
        <v>19</v>
      </c>
      <c r="Z123" s="4">
        <v>3</v>
      </c>
      <c r="AA123" s="4">
        <v>6</v>
      </c>
      <c r="AB123" s="4">
        <v>1</v>
      </c>
      <c r="AC123" s="4">
        <v>2</v>
      </c>
      <c r="AD123" s="4">
        <v>13</v>
      </c>
      <c r="AE123" s="4">
        <v>22</v>
      </c>
      <c r="AF123" s="4">
        <v>0</v>
      </c>
      <c r="AG123" s="4">
        <v>1</v>
      </c>
      <c r="AH123" s="4">
        <v>13</v>
      </c>
      <c r="AI123" s="4">
        <v>19</v>
      </c>
      <c r="AJ123" s="4">
        <v>2</v>
      </c>
      <c r="AK123" s="4">
        <v>4</v>
      </c>
      <c r="AL123" s="4">
        <v>5</v>
      </c>
      <c r="AM123" s="4">
        <v>11</v>
      </c>
      <c r="AN123" s="4">
        <v>0</v>
      </c>
      <c r="AO123" s="4">
        <v>0</v>
      </c>
      <c r="AP123" s="4">
        <v>2</v>
      </c>
      <c r="AQ123" s="4">
        <v>4</v>
      </c>
      <c r="AR123" s="3" t="s">
        <v>65</v>
      </c>
      <c r="AS123" s="3" t="s">
        <v>65</v>
      </c>
      <c r="AT123" s="3" t="s">
        <v>65</v>
      </c>
      <c r="AV123" s="6" t="str">
        <f>HYPERLINK("http://mcgill.on.worldcat.org/oclc/2403079","Catalog Record")</f>
        <v>Catalog Record</v>
      </c>
      <c r="AW123" s="6" t="str">
        <f>HYPERLINK("http://www.worldcat.org/oclc/2403079","WorldCat Record")</f>
        <v>WorldCat Record</v>
      </c>
      <c r="AX123" s="3" t="s">
        <v>1153</v>
      </c>
      <c r="AY123" s="3" t="s">
        <v>1154</v>
      </c>
      <c r="AZ123" s="3" t="s">
        <v>1155</v>
      </c>
      <c r="BA123" s="3" t="s">
        <v>1155</v>
      </c>
      <c r="BB123" s="3" t="s">
        <v>1156</v>
      </c>
      <c r="BC123" s="3" t="s">
        <v>77</v>
      </c>
      <c r="BD123" s="3" t="s">
        <v>78</v>
      </c>
      <c r="BF123" s="3" t="s">
        <v>1156</v>
      </c>
      <c r="BG123" s="3" t="s">
        <v>1157</v>
      </c>
    </row>
    <row r="124" spans="1:59" ht="58" x14ac:dyDescent="0.35">
      <c r="A124" s="2" t="s">
        <v>59</v>
      </c>
      <c r="B124" s="2" t="s">
        <v>60</v>
      </c>
      <c r="C124" s="2" t="s">
        <v>1158</v>
      </c>
      <c r="D124" s="2" t="s">
        <v>1159</v>
      </c>
      <c r="E124" s="2" t="s">
        <v>1160</v>
      </c>
      <c r="G124" s="3" t="s">
        <v>65</v>
      </c>
      <c r="I124" s="3" t="s">
        <v>65</v>
      </c>
      <c r="J124" s="3" t="s">
        <v>65</v>
      </c>
      <c r="K124" s="3" t="s">
        <v>66</v>
      </c>
      <c r="L124" s="2" t="s">
        <v>1161</v>
      </c>
      <c r="M124" s="2" t="s">
        <v>1162</v>
      </c>
      <c r="N124" s="3" t="s">
        <v>352</v>
      </c>
      <c r="P124" s="3" t="s">
        <v>140</v>
      </c>
      <c r="R124" s="3" t="s">
        <v>71</v>
      </c>
      <c r="S124" s="4">
        <v>1</v>
      </c>
      <c r="T124" s="4">
        <v>1</v>
      </c>
      <c r="U124" s="5" t="s">
        <v>553</v>
      </c>
      <c r="V124" s="5" t="s">
        <v>553</v>
      </c>
      <c r="W124" s="5" t="s">
        <v>72</v>
      </c>
      <c r="X124" s="5" t="s">
        <v>72</v>
      </c>
      <c r="Y124" s="4">
        <v>84</v>
      </c>
      <c r="Z124" s="4">
        <v>5</v>
      </c>
      <c r="AA124" s="4">
        <v>8</v>
      </c>
      <c r="AB124" s="4">
        <v>1</v>
      </c>
      <c r="AC124" s="4">
        <v>2</v>
      </c>
      <c r="AD124" s="4">
        <v>42</v>
      </c>
      <c r="AE124" s="4">
        <v>49</v>
      </c>
      <c r="AF124" s="4">
        <v>0</v>
      </c>
      <c r="AG124" s="4">
        <v>1</v>
      </c>
      <c r="AH124" s="4">
        <v>40</v>
      </c>
      <c r="AI124" s="4">
        <v>46</v>
      </c>
      <c r="AJ124" s="4">
        <v>2</v>
      </c>
      <c r="AK124" s="4">
        <v>5</v>
      </c>
      <c r="AL124" s="4">
        <v>34</v>
      </c>
      <c r="AM124" s="4">
        <v>37</v>
      </c>
      <c r="AN124" s="4">
        <v>0</v>
      </c>
      <c r="AO124" s="4">
        <v>0</v>
      </c>
      <c r="AP124" s="4">
        <v>2</v>
      </c>
      <c r="AQ124" s="4">
        <v>4</v>
      </c>
      <c r="AR124" s="3" t="s">
        <v>65</v>
      </c>
      <c r="AS124" s="3" t="s">
        <v>65</v>
      </c>
      <c r="AT124" s="3" t="s">
        <v>65</v>
      </c>
      <c r="AV124" s="6" t="str">
        <f>HYPERLINK("http://mcgill.on.worldcat.org/oclc/2975175","Catalog Record")</f>
        <v>Catalog Record</v>
      </c>
      <c r="AW124" s="6" t="str">
        <f>HYPERLINK("http://www.worldcat.org/oclc/2975175","WorldCat Record")</f>
        <v>WorldCat Record</v>
      </c>
      <c r="AX124" s="3" t="s">
        <v>1163</v>
      </c>
      <c r="AY124" s="3" t="s">
        <v>1164</v>
      </c>
      <c r="AZ124" s="3" t="s">
        <v>1165</v>
      </c>
      <c r="BA124" s="3" t="s">
        <v>1165</v>
      </c>
      <c r="BB124" s="3" t="s">
        <v>1166</v>
      </c>
      <c r="BC124" s="3" t="s">
        <v>77</v>
      </c>
      <c r="BD124" s="3" t="s">
        <v>78</v>
      </c>
      <c r="BF124" s="3" t="s">
        <v>1166</v>
      </c>
      <c r="BG124" s="3" t="s">
        <v>1167</v>
      </c>
    </row>
    <row r="125" spans="1:59" ht="58" x14ac:dyDescent="0.35">
      <c r="A125" s="2" t="s">
        <v>59</v>
      </c>
      <c r="B125" s="2" t="s">
        <v>60</v>
      </c>
      <c r="C125" s="2" t="s">
        <v>1168</v>
      </c>
      <c r="D125" s="2" t="s">
        <v>1169</v>
      </c>
      <c r="E125" s="2" t="s">
        <v>1170</v>
      </c>
      <c r="G125" s="3" t="s">
        <v>65</v>
      </c>
      <c r="I125" s="3" t="s">
        <v>65</v>
      </c>
      <c r="J125" s="3" t="s">
        <v>65</v>
      </c>
      <c r="K125" s="3" t="s">
        <v>66</v>
      </c>
      <c r="L125" s="2" t="s">
        <v>1171</v>
      </c>
      <c r="M125" s="2" t="s">
        <v>1172</v>
      </c>
      <c r="N125" s="3" t="s">
        <v>1173</v>
      </c>
      <c r="P125" s="3" t="s">
        <v>140</v>
      </c>
      <c r="R125" s="3" t="s">
        <v>71</v>
      </c>
      <c r="S125" s="4">
        <v>1</v>
      </c>
      <c r="T125" s="4">
        <v>1</v>
      </c>
      <c r="U125" s="5" t="s">
        <v>1174</v>
      </c>
      <c r="V125" s="5" t="s">
        <v>1174</v>
      </c>
      <c r="W125" s="5" t="s">
        <v>72</v>
      </c>
      <c r="X125" s="5" t="s">
        <v>72</v>
      </c>
      <c r="Y125" s="4">
        <v>44</v>
      </c>
      <c r="Z125" s="4">
        <v>4</v>
      </c>
      <c r="AA125" s="4">
        <v>5</v>
      </c>
      <c r="AB125" s="4">
        <v>1</v>
      </c>
      <c r="AC125" s="4">
        <v>2</v>
      </c>
      <c r="AD125" s="4">
        <v>25</v>
      </c>
      <c r="AE125" s="4">
        <v>26</v>
      </c>
      <c r="AF125" s="4">
        <v>0</v>
      </c>
      <c r="AG125" s="4">
        <v>1</v>
      </c>
      <c r="AH125" s="4">
        <v>23</v>
      </c>
      <c r="AI125" s="4">
        <v>23</v>
      </c>
      <c r="AJ125" s="4">
        <v>2</v>
      </c>
      <c r="AK125" s="4">
        <v>3</v>
      </c>
      <c r="AL125" s="4">
        <v>17</v>
      </c>
      <c r="AM125" s="4">
        <v>17</v>
      </c>
      <c r="AN125" s="4">
        <v>0</v>
      </c>
      <c r="AO125" s="4">
        <v>0</v>
      </c>
      <c r="AP125" s="4">
        <v>2</v>
      </c>
      <c r="AQ125" s="4">
        <v>2</v>
      </c>
      <c r="AR125" s="3" t="s">
        <v>65</v>
      </c>
      <c r="AS125" s="3" t="s">
        <v>65</v>
      </c>
      <c r="AT125" s="3" t="s">
        <v>209</v>
      </c>
      <c r="AU125" s="6" t="str">
        <f>HYPERLINK("http://catalog.hathitrust.org/Record/009382319","HathiTrust Record")</f>
        <v>HathiTrust Record</v>
      </c>
      <c r="AV125" s="6" t="str">
        <f>HYPERLINK("http://mcgill.on.worldcat.org/oclc/1392631","Catalog Record")</f>
        <v>Catalog Record</v>
      </c>
      <c r="AW125" s="6" t="str">
        <f>HYPERLINK("http://www.worldcat.org/oclc/1392631","WorldCat Record")</f>
        <v>WorldCat Record</v>
      </c>
      <c r="AX125" s="3" t="s">
        <v>1175</v>
      </c>
      <c r="AY125" s="3" t="s">
        <v>1176</v>
      </c>
      <c r="AZ125" s="3" t="s">
        <v>1177</v>
      </c>
      <c r="BA125" s="3" t="s">
        <v>1177</v>
      </c>
      <c r="BB125" s="3" t="s">
        <v>1178</v>
      </c>
      <c r="BC125" s="3" t="s">
        <v>77</v>
      </c>
      <c r="BD125" s="3" t="s">
        <v>78</v>
      </c>
      <c r="BF125" s="3" t="s">
        <v>1178</v>
      </c>
      <c r="BG125" s="3" t="s">
        <v>1179</v>
      </c>
    </row>
    <row r="126" spans="1:59" ht="58" x14ac:dyDescent="0.35">
      <c r="A126" s="2" t="s">
        <v>59</v>
      </c>
      <c r="B126" s="2" t="s">
        <v>60</v>
      </c>
      <c r="C126" s="2" t="s">
        <v>1180</v>
      </c>
      <c r="D126" s="2" t="s">
        <v>1181</v>
      </c>
      <c r="E126" s="2" t="s">
        <v>1182</v>
      </c>
      <c r="G126" s="3" t="s">
        <v>65</v>
      </c>
      <c r="I126" s="3" t="s">
        <v>65</v>
      </c>
      <c r="J126" s="3" t="s">
        <v>65</v>
      </c>
      <c r="K126" s="3" t="s">
        <v>66</v>
      </c>
      <c r="M126" s="2" t="s">
        <v>1183</v>
      </c>
      <c r="N126" s="3" t="s">
        <v>1122</v>
      </c>
      <c r="P126" s="3" t="s">
        <v>140</v>
      </c>
      <c r="R126" s="3" t="s">
        <v>71</v>
      </c>
      <c r="S126" s="4">
        <v>1</v>
      </c>
      <c r="T126" s="4">
        <v>1</v>
      </c>
      <c r="U126" s="5" t="s">
        <v>1184</v>
      </c>
      <c r="V126" s="5" t="s">
        <v>1184</v>
      </c>
      <c r="W126" s="5" t="s">
        <v>72</v>
      </c>
      <c r="X126" s="5" t="s">
        <v>72</v>
      </c>
      <c r="Y126" s="4">
        <v>27</v>
      </c>
      <c r="Z126" s="4">
        <v>16</v>
      </c>
      <c r="AA126" s="4">
        <v>16</v>
      </c>
      <c r="AB126" s="4">
        <v>2</v>
      </c>
      <c r="AC126" s="4">
        <v>2</v>
      </c>
      <c r="AD126" s="4">
        <v>19</v>
      </c>
      <c r="AE126" s="4">
        <v>19</v>
      </c>
      <c r="AF126" s="4">
        <v>0</v>
      </c>
      <c r="AG126" s="4">
        <v>0</v>
      </c>
      <c r="AH126" s="4">
        <v>15</v>
      </c>
      <c r="AI126" s="4">
        <v>15</v>
      </c>
      <c r="AJ126" s="4">
        <v>11</v>
      </c>
      <c r="AK126" s="4">
        <v>11</v>
      </c>
      <c r="AL126" s="4">
        <v>5</v>
      </c>
      <c r="AM126" s="4">
        <v>5</v>
      </c>
      <c r="AN126" s="4">
        <v>0</v>
      </c>
      <c r="AO126" s="4">
        <v>0</v>
      </c>
      <c r="AP126" s="4">
        <v>11</v>
      </c>
      <c r="AQ126" s="4">
        <v>11</v>
      </c>
      <c r="AR126" s="3" t="s">
        <v>209</v>
      </c>
      <c r="AS126" s="3" t="s">
        <v>65</v>
      </c>
      <c r="AT126" s="3" t="s">
        <v>65</v>
      </c>
      <c r="AV126" s="6" t="str">
        <f>HYPERLINK("http://mcgill.on.worldcat.org/oclc/437081466","Catalog Record")</f>
        <v>Catalog Record</v>
      </c>
      <c r="AW126" s="6" t="str">
        <f>HYPERLINK("http://www.worldcat.org/oclc/437081466","WorldCat Record")</f>
        <v>WorldCat Record</v>
      </c>
      <c r="AX126" s="3" t="s">
        <v>1185</v>
      </c>
      <c r="AY126" s="3" t="s">
        <v>1186</v>
      </c>
      <c r="AZ126" s="3" t="s">
        <v>1187</v>
      </c>
      <c r="BA126" s="3" t="s">
        <v>1187</v>
      </c>
      <c r="BB126" s="3" t="s">
        <v>1188</v>
      </c>
      <c r="BC126" s="3" t="s">
        <v>77</v>
      </c>
      <c r="BD126" s="3" t="s">
        <v>78</v>
      </c>
      <c r="BE126" s="3" t="s">
        <v>1189</v>
      </c>
      <c r="BF126" s="3" t="s">
        <v>1188</v>
      </c>
      <c r="BG126" s="3" t="s">
        <v>1190</v>
      </c>
    </row>
    <row r="127" spans="1:59" ht="58" x14ac:dyDescent="0.35">
      <c r="A127" s="2" t="s">
        <v>59</v>
      </c>
      <c r="B127" s="2" t="s">
        <v>60</v>
      </c>
      <c r="C127" s="2" t="s">
        <v>1191</v>
      </c>
      <c r="D127" s="2" t="s">
        <v>1192</v>
      </c>
      <c r="E127" s="2" t="s">
        <v>1193</v>
      </c>
      <c r="G127" s="3" t="s">
        <v>65</v>
      </c>
      <c r="I127" s="3" t="s">
        <v>65</v>
      </c>
      <c r="J127" s="3" t="s">
        <v>65</v>
      </c>
      <c r="K127" s="3" t="s">
        <v>66</v>
      </c>
      <c r="L127" s="2" t="s">
        <v>1194</v>
      </c>
      <c r="M127" s="2" t="s">
        <v>1195</v>
      </c>
      <c r="N127" s="3" t="s">
        <v>1196</v>
      </c>
      <c r="P127" s="3" t="s">
        <v>69</v>
      </c>
      <c r="Q127" s="2" t="s">
        <v>1197</v>
      </c>
      <c r="R127" s="3" t="s">
        <v>71</v>
      </c>
      <c r="S127" s="4">
        <v>11</v>
      </c>
      <c r="T127" s="4">
        <v>11</v>
      </c>
      <c r="U127" s="5" t="s">
        <v>1198</v>
      </c>
      <c r="V127" s="5" t="s">
        <v>1198</v>
      </c>
      <c r="W127" s="5" t="s">
        <v>72</v>
      </c>
      <c r="X127" s="5" t="s">
        <v>72</v>
      </c>
      <c r="Y127" s="4">
        <v>224</v>
      </c>
      <c r="Z127" s="4">
        <v>19</v>
      </c>
      <c r="AA127" s="4">
        <v>119</v>
      </c>
      <c r="AB127" s="4">
        <v>1</v>
      </c>
      <c r="AC127" s="4">
        <v>25</v>
      </c>
      <c r="AD127" s="4">
        <v>89</v>
      </c>
      <c r="AE127" s="4">
        <v>147</v>
      </c>
      <c r="AF127" s="4">
        <v>0</v>
      </c>
      <c r="AG127" s="4">
        <v>9</v>
      </c>
      <c r="AH127" s="4">
        <v>80</v>
      </c>
      <c r="AI127" s="4">
        <v>100</v>
      </c>
      <c r="AJ127" s="4">
        <v>13</v>
      </c>
      <c r="AK127" s="4">
        <v>28</v>
      </c>
      <c r="AL127" s="4">
        <v>49</v>
      </c>
      <c r="AM127" s="4">
        <v>55</v>
      </c>
      <c r="AN127" s="4">
        <v>0</v>
      </c>
      <c r="AO127" s="4">
        <v>0</v>
      </c>
      <c r="AP127" s="4">
        <v>13</v>
      </c>
      <c r="AQ127" s="4">
        <v>54</v>
      </c>
      <c r="AR127" s="3" t="s">
        <v>209</v>
      </c>
      <c r="AS127" s="3" t="s">
        <v>65</v>
      </c>
      <c r="AT127" s="3" t="s">
        <v>65</v>
      </c>
      <c r="AV127" s="6" t="str">
        <f>HYPERLINK("http://mcgill.on.worldcat.org/oclc/59136595","Catalog Record")</f>
        <v>Catalog Record</v>
      </c>
      <c r="AW127" s="6" t="str">
        <f>HYPERLINK("http://www.worldcat.org/oclc/59136595","WorldCat Record")</f>
        <v>WorldCat Record</v>
      </c>
      <c r="AX127" s="3" t="s">
        <v>1199</v>
      </c>
      <c r="AY127" s="3" t="s">
        <v>1200</v>
      </c>
      <c r="AZ127" s="3" t="s">
        <v>1201</v>
      </c>
      <c r="BA127" s="3" t="s">
        <v>1201</v>
      </c>
      <c r="BB127" s="3" t="s">
        <v>1202</v>
      </c>
      <c r="BC127" s="3" t="s">
        <v>77</v>
      </c>
      <c r="BD127" s="3" t="s">
        <v>78</v>
      </c>
      <c r="BE127" s="3" t="s">
        <v>1203</v>
      </c>
      <c r="BF127" s="3" t="s">
        <v>1202</v>
      </c>
      <c r="BG127" s="3" t="s">
        <v>1204</v>
      </c>
    </row>
    <row r="128" spans="1:59" ht="58" x14ac:dyDescent="0.35">
      <c r="A128" s="2" t="s">
        <v>59</v>
      </c>
      <c r="B128" s="2" t="s">
        <v>60</v>
      </c>
      <c r="C128" s="2" t="s">
        <v>1205</v>
      </c>
      <c r="D128" s="2" t="s">
        <v>1206</v>
      </c>
      <c r="E128" s="2" t="s">
        <v>1207</v>
      </c>
      <c r="G128" s="3" t="s">
        <v>65</v>
      </c>
      <c r="I128" s="3" t="s">
        <v>65</v>
      </c>
      <c r="J128" s="3" t="s">
        <v>65</v>
      </c>
      <c r="K128" s="3" t="s">
        <v>66</v>
      </c>
      <c r="L128" s="2" t="s">
        <v>1208</v>
      </c>
      <c r="M128" s="2" t="s">
        <v>1209</v>
      </c>
      <c r="N128" s="3" t="s">
        <v>1032</v>
      </c>
      <c r="P128" s="3" t="s">
        <v>69</v>
      </c>
      <c r="Q128" s="2" t="s">
        <v>1210</v>
      </c>
      <c r="R128" s="3" t="s">
        <v>71</v>
      </c>
      <c r="S128" s="4">
        <v>36</v>
      </c>
      <c r="T128" s="4">
        <v>36</v>
      </c>
      <c r="U128" s="5" t="s">
        <v>1211</v>
      </c>
      <c r="V128" s="5" t="s">
        <v>1211</v>
      </c>
      <c r="W128" s="5" t="s">
        <v>72</v>
      </c>
      <c r="X128" s="5" t="s">
        <v>72</v>
      </c>
      <c r="Y128" s="4">
        <v>477</v>
      </c>
      <c r="Z128" s="4">
        <v>22</v>
      </c>
      <c r="AA128" s="4">
        <v>31</v>
      </c>
      <c r="AB128" s="4">
        <v>2</v>
      </c>
      <c r="AC128" s="4">
        <v>6</v>
      </c>
      <c r="AD128" s="4">
        <v>107</v>
      </c>
      <c r="AE128" s="4">
        <v>117</v>
      </c>
      <c r="AF128" s="4">
        <v>1</v>
      </c>
      <c r="AG128" s="4">
        <v>2</v>
      </c>
      <c r="AH128" s="4">
        <v>95</v>
      </c>
      <c r="AI128" s="4">
        <v>103</v>
      </c>
      <c r="AJ128" s="4">
        <v>12</v>
      </c>
      <c r="AK128" s="4">
        <v>17</v>
      </c>
      <c r="AL128" s="4">
        <v>54</v>
      </c>
      <c r="AM128" s="4">
        <v>55</v>
      </c>
      <c r="AN128" s="4">
        <v>0</v>
      </c>
      <c r="AO128" s="4">
        <v>0</v>
      </c>
      <c r="AP128" s="4">
        <v>17</v>
      </c>
      <c r="AQ128" s="4">
        <v>22</v>
      </c>
      <c r="AR128" s="3" t="s">
        <v>65</v>
      </c>
      <c r="AS128" s="3" t="s">
        <v>65</v>
      </c>
      <c r="AT128" s="3" t="s">
        <v>209</v>
      </c>
      <c r="AU128" s="6" t="str">
        <f>HYPERLINK("http://catalog.hathitrust.org/Record/002999184","HathiTrust Record")</f>
        <v>HathiTrust Record</v>
      </c>
      <c r="AV128" s="6" t="str">
        <f>HYPERLINK("http://mcgill.on.worldcat.org/oclc/30700629","Catalog Record")</f>
        <v>Catalog Record</v>
      </c>
      <c r="AW128" s="6" t="str">
        <f>HYPERLINK("http://www.worldcat.org/oclc/30700629","WorldCat Record")</f>
        <v>WorldCat Record</v>
      </c>
      <c r="AX128" s="3" t="s">
        <v>1212</v>
      </c>
      <c r="AY128" s="3" t="s">
        <v>1213</v>
      </c>
      <c r="AZ128" s="3" t="s">
        <v>1214</v>
      </c>
      <c r="BA128" s="3" t="s">
        <v>1214</v>
      </c>
      <c r="BB128" s="3" t="s">
        <v>1215</v>
      </c>
      <c r="BC128" s="3" t="s">
        <v>77</v>
      </c>
      <c r="BD128" s="3" t="s">
        <v>78</v>
      </c>
      <c r="BE128" s="3" t="s">
        <v>1216</v>
      </c>
      <c r="BF128" s="3" t="s">
        <v>1215</v>
      </c>
      <c r="BG128" s="3" t="s">
        <v>1217</v>
      </c>
    </row>
    <row r="129" spans="1:59" ht="58" x14ac:dyDescent="0.35">
      <c r="A129" s="2" t="s">
        <v>59</v>
      </c>
      <c r="B129" s="2" t="s">
        <v>60</v>
      </c>
      <c r="C129" s="2" t="s">
        <v>1218</v>
      </c>
      <c r="D129" s="2" t="s">
        <v>1219</v>
      </c>
      <c r="E129" s="2" t="s">
        <v>1220</v>
      </c>
      <c r="G129" s="3" t="s">
        <v>65</v>
      </c>
      <c r="I129" s="3" t="s">
        <v>65</v>
      </c>
      <c r="J129" s="3" t="s">
        <v>65</v>
      </c>
      <c r="K129" s="3" t="s">
        <v>66</v>
      </c>
      <c r="M129" s="2" t="s">
        <v>1221</v>
      </c>
      <c r="N129" s="3" t="s">
        <v>152</v>
      </c>
      <c r="P129" s="3" t="s">
        <v>616</v>
      </c>
      <c r="Q129" s="2" t="s">
        <v>1222</v>
      </c>
      <c r="R129" s="3" t="s">
        <v>71</v>
      </c>
      <c r="S129" s="4">
        <v>0</v>
      </c>
      <c r="T129" s="4">
        <v>0</v>
      </c>
      <c r="W129" s="5" t="s">
        <v>72</v>
      </c>
      <c r="X129" s="5" t="s">
        <v>72</v>
      </c>
      <c r="Y129" s="4">
        <v>11</v>
      </c>
      <c r="Z129" s="4">
        <v>1</v>
      </c>
      <c r="AA129" s="4">
        <v>6</v>
      </c>
      <c r="AB129" s="4">
        <v>1</v>
      </c>
      <c r="AC129" s="4">
        <v>5</v>
      </c>
      <c r="AD129" s="4">
        <v>3</v>
      </c>
      <c r="AE129" s="4">
        <v>5</v>
      </c>
      <c r="AF129" s="4">
        <v>0</v>
      </c>
      <c r="AG129" s="4">
        <v>1</v>
      </c>
      <c r="AH129" s="4">
        <v>3</v>
      </c>
      <c r="AI129" s="4">
        <v>4</v>
      </c>
      <c r="AJ129" s="4">
        <v>0</v>
      </c>
      <c r="AK129" s="4">
        <v>2</v>
      </c>
      <c r="AL129" s="4">
        <v>2</v>
      </c>
      <c r="AM129" s="4">
        <v>2</v>
      </c>
      <c r="AN129" s="4">
        <v>0</v>
      </c>
      <c r="AO129" s="4">
        <v>0</v>
      </c>
      <c r="AP129" s="4">
        <v>0</v>
      </c>
      <c r="AQ129" s="4">
        <v>1</v>
      </c>
      <c r="AR129" s="3" t="s">
        <v>65</v>
      </c>
      <c r="AS129" s="3" t="s">
        <v>65</v>
      </c>
      <c r="AT129" s="3" t="s">
        <v>65</v>
      </c>
      <c r="AV129" s="6" t="str">
        <f>HYPERLINK("http://mcgill.on.worldcat.org/oclc/879204684","Catalog Record")</f>
        <v>Catalog Record</v>
      </c>
      <c r="AW129" s="6" t="str">
        <f>HYPERLINK("http://www.worldcat.org/oclc/879204684","WorldCat Record")</f>
        <v>WorldCat Record</v>
      </c>
      <c r="AX129" s="3" t="s">
        <v>1223</v>
      </c>
      <c r="AY129" s="3" t="s">
        <v>1224</v>
      </c>
      <c r="AZ129" s="3" t="s">
        <v>1225</v>
      </c>
      <c r="BA129" s="3" t="s">
        <v>1225</v>
      </c>
      <c r="BB129" s="3" t="s">
        <v>1226</v>
      </c>
      <c r="BC129" s="3" t="s">
        <v>77</v>
      </c>
      <c r="BD129" s="3" t="s">
        <v>78</v>
      </c>
      <c r="BE129" s="3" t="s">
        <v>1227</v>
      </c>
      <c r="BF129" s="3" t="s">
        <v>1226</v>
      </c>
      <c r="BG129" s="3" t="s">
        <v>1228</v>
      </c>
    </row>
    <row r="130" spans="1:59" ht="58" x14ac:dyDescent="0.35">
      <c r="A130" s="2" t="s">
        <v>59</v>
      </c>
      <c r="B130" s="2" t="s">
        <v>60</v>
      </c>
      <c r="C130" s="2" t="s">
        <v>1229</v>
      </c>
      <c r="D130" s="2" t="s">
        <v>1230</v>
      </c>
      <c r="E130" s="2" t="s">
        <v>1231</v>
      </c>
      <c r="G130" s="3" t="s">
        <v>65</v>
      </c>
      <c r="I130" s="3" t="s">
        <v>65</v>
      </c>
      <c r="J130" s="3" t="s">
        <v>65</v>
      </c>
      <c r="K130" s="3" t="s">
        <v>66</v>
      </c>
      <c r="L130" s="2" t="s">
        <v>1232</v>
      </c>
      <c r="M130" s="2" t="s">
        <v>1233</v>
      </c>
      <c r="N130" s="3" t="s">
        <v>176</v>
      </c>
      <c r="P130" s="3" t="s">
        <v>69</v>
      </c>
      <c r="Q130" s="2" t="s">
        <v>1234</v>
      </c>
      <c r="R130" s="3" t="s">
        <v>71</v>
      </c>
      <c r="S130" s="4">
        <v>0</v>
      </c>
      <c r="T130" s="4">
        <v>0</v>
      </c>
      <c r="W130" s="5" t="s">
        <v>72</v>
      </c>
      <c r="X130" s="5" t="s">
        <v>72</v>
      </c>
      <c r="Y130" s="4">
        <v>69</v>
      </c>
      <c r="Z130" s="4">
        <v>7</v>
      </c>
      <c r="AA130" s="4">
        <v>11</v>
      </c>
      <c r="AB130" s="4">
        <v>1</v>
      </c>
      <c r="AC130" s="4">
        <v>4</v>
      </c>
      <c r="AD130" s="4">
        <v>44</v>
      </c>
      <c r="AE130" s="4">
        <v>52</v>
      </c>
      <c r="AF130" s="4">
        <v>0</v>
      </c>
      <c r="AG130" s="4">
        <v>0</v>
      </c>
      <c r="AH130" s="4">
        <v>42</v>
      </c>
      <c r="AI130" s="4">
        <v>50</v>
      </c>
      <c r="AJ130" s="4">
        <v>5</v>
      </c>
      <c r="AK130" s="4">
        <v>6</v>
      </c>
      <c r="AL130" s="4">
        <v>29</v>
      </c>
      <c r="AM130" s="4">
        <v>33</v>
      </c>
      <c r="AN130" s="4">
        <v>0</v>
      </c>
      <c r="AO130" s="4">
        <v>0</v>
      </c>
      <c r="AP130" s="4">
        <v>5</v>
      </c>
      <c r="AQ130" s="4">
        <v>6</v>
      </c>
      <c r="AR130" s="3" t="s">
        <v>65</v>
      </c>
      <c r="AS130" s="3" t="s">
        <v>65</v>
      </c>
      <c r="AT130" s="3" t="s">
        <v>65</v>
      </c>
      <c r="AV130" s="6" t="str">
        <f>HYPERLINK("http://mcgill.on.worldcat.org/oclc/903424813","Catalog Record")</f>
        <v>Catalog Record</v>
      </c>
      <c r="AW130" s="6" t="str">
        <f>HYPERLINK("http://www.worldcat.org/oclc/903424813","WorldCat Record")</f>
        <v>WorldCat Record</v>
      </c>
      <c r="AX130" s="3" t="s">
        <v>1235</v>
      </c>
      <c r="AY130" s="3" t="s">
        <v>1236</v>
      </c>
      <c r="AZ130" s="3" t="s">
        <v>1237</v>
      </c>
      <c r="BA130" s="3" t="s">
        <v>1237</v>
      </c>
      <c r="BB130" s="3" t="s">
        <v>1238</v>
      </c>
      <c r="BC130" s="3" t="s">
        <v>77</v>
      </c>
      <c r="BD130" s="3" t="s">
        <v>78</v>
      </c>
      <c r="BE130" s="3" t="s">
        <v>1239</v>
      </c>
      <c r="BF130" s="3" t="s">
        <v>1238</v>
      </c>
      <c r="BG130" s="3" t="s">
        <v>1240</v>
      </c>
    </row>
    <row r="131" spans="1:59" ht="58" x14ac:dyDescent="0.35">
      <c r="A131" s="2" t="s">
        <v>59</v>
      </c>
      <c r="B131" s="2" t="s">
        <v>60</v>
      </c>
      <c r="C131" s="2" t="s">
        <v>1241</v>
      </c>
      <c r="D131" s="2" t="s">
        <v>1242</v>
      </c>
      <c r="E131" s="2" t="s">
        <v>1243</v>
      </c>
      <c r="G131" s="3" t="s">
        <v>65</v>
      </c>
      <c r="I131" s="3" t="s">
        <v>65</v>
      </c>
      <c r="J131" s="3" t="s">
        <v>65</v>
      </c>
      <c r="K131" s="3" t="s">
        <v>66</v>
      </c>
      <c r="L131" s="2" t="s">
        <v>1244</v>
      </c>
      <c r="M131" s="2" t="s">
        <v>1245</v>
      </c>
      <c r="N131" s="3" t="s">
        <v>113</v>
      </c>
      <c r="P131" s="3" t="s">
        <v>140</v>
      </c>
      <c r="Q131" s="2" t="s">
        <v>1246</v>
      </c>
      <c r="R131" s="3" t="s">
        <v>71</v>
      </c>
      <c r="S131" s="4">
        <v>2</v>
      </c>
      <c r="T131" s="4">
        <v>2</v>
      </c>
      <c r="U131" s="5" t="s">
        <v>1247</v>
      </c>
      <c r="V131" s="5" t="s">
        <v>1247</v>
      </c>
      <c r="W131" s="5" t="s">
        <v>72</v>
      </c>
      <c r="X131" s="5" t="s">
        <v>72</v>
      </c>
      <c r="Y131" s="4">
        <v>34</v>
      </c>
      <c r="Z131" s="4">
        <v>3</v>
      </c>
      <c r="AA131" s="4">
        <v>4</v>
      </c>
      <c r="AB131" s="4">
        <v>1</v>
      </c>
      <c r="AC131" s="4">
        <v>1</v>
      </c>
      <c r="AD131" s="4">
        <v>10</v>
      </c>
      <c r="AE131" s="4">
        <v>11</v>
      </c>
      <c r="AF131" s="4">
        <v>0</v>
      </c>
      <c r="AG131" s="4">
        <v>0</v>
      </c>
      <c r="AH131" s="4">
        <v>9</v>
      </c>
      <c r="AI131" s="4">
        <v>9</v>
      </c>
      <c r="AJ131" s="4">
        <v>2</v>
      </c>
      <c r="AK131" s="4">
        <v>3</v>
      </c>
      <c r="AL131" s="4">
        <v>6</v>
      </c>
      <c r="AM131" s="4">
        <v>6</v>
      </c>
      <c r="AN131" s="4">
        <v>0</v>
      </c>
      <c r="AO131" s="4">
        <v>0</v>
      </c>
      <c r="AP131" s="4">
        <v>2</v>
      </c>
      <c r="AQ131" s="4">
        <v>3</v>
      </c>
      <c r="AR131" s="3" t="s">
        <v>65</v>
      </c>
      <c r="AS131" s="3" t="s">
        <v>65</v>
      </c>
      <c r="AT131" s="3" t="s">
        <v>65</v>
      </c>
      <c r="AV131" s="6" t="str">
        <f>HYPERLINK("http://mcgill.on.worldcat.org/oclc/700399708","Catalog Record")</f>
        <v>Catalog Record</v>
      </c>
      <c r="AW131" s="6" t="str">
        <f>HYPERLINK("http://www.worldcat.org/oclc/700399708","WorldCat Record")</f>
        <v>WorldCat Record</v>
      </c>
      <c r="AX131" s="3" t="s">
        <v>1248</v>
      </c>
      <c r="AY131" s="3" t="s">
        <v>1249</v>
      </c>
      <c r="AZ131" s="3" t="s">
        <v>1250</v>
      </c>
      <c r="BA131" s="3" t="s">
        <v>1250</v>
      </c>
      <c r="BB131" s="3" t="s">
        <v>1251</v>
      </c>
      <c r="BC131" s="3" t="s">
        <v>77</v>
      </c>
      <c r="BD131" s="3" t="s">
        <v>78</v>
      </c>
      <c r="BE131" s="3" t="s">
        <v>1252</v>
      </c>
      <c r="BF131" s="3" t="s">
        <v>1251</v>
      </c>
      <c r="BG131" s="3" t="s">
        <v>1253</v>
      </c>
    </row>
    <row r="132" spans="1:59" ht="58" x14ac:dyDescent="0.35">
      <c r="A132" s="2" t="s">
        <v>59</v>
      </c>
      <c r="B132" s="2" t="s">
        <v>60</v>
      </c>
      <c r="C132" s="2" t="s">
        <v>1254</v>
      </c>
      <c r="D132" s="2" t="s">
        <v>1255</v>
      </c>
      <c r="E132" s="2" t="s">
        <v>1256</v>
      </c>
      <c r="G132" s="3" t="s">
        <v>65</v>
      </c>
      <c r="I132" s="3" t="s">
        <v>65</v>
      </c>
      <c r="J132" s="3" t="s">
        <v>65</v>
      </c>
      <c r="K132" s="3" t="s">
        <v>66</v>
      </c>
      <c r="L132" s="2" t="s">
        <v>1257</v>
      </c>
      <c r="M132" s="2" t="s">
        <v>1258</v>
      </c>
      <c r="N132" s="3" t="s">
        <v>152</v>
      </c>
      <c r="O132" s="2" t="s">
        <v>654</v>
      </c>
      <c r="P132" s="3" t="s">
        <v>140</v>
      </c>
      <c r="Q132" s="2" t="s">
        <v>1259</v>
      </c>
      <c r="R132" s="3" t="s">
        <v>71</v>
      </c>
      <c r="S132" s="4">
        <v>0</v>
      </c>
      <c r="T132" s="4">
        <v>0</v>
      </c>
      <c r="W132" s="5" t="s">
        <v>72</v>
      </c>
      <c r="X132" s="5" t="s">
        <v>72</v>
      </c>
      <c r="Y132" s="4">
        <v>70</v>
      </c>
      <c r="Z132" s="4">
        <v>4</v>
      </c>
      <c r="AA132" s="4">
        <v>6</v>
      </c>
      <c r="AB132" s="4">
        <v>1</v>
      </c>
      <c r="AC132" s="4">
        <v>3</v>
      </c>
      <c r="AD132" s="4">
        <v>35</v>
      </c>
      <c r="AE132" s="4">
        <v>36</v>
      </c>
      <c r="AF132" s="4">
        <v>0</v>
      </c>
      <c r="AG132" s="4">
        <v>1</v>
      </c>
      <c r="AH132" s="4">
        <v>34</v>
      </c>
      <c r="AI132" s="4">
        <v>34</v>
      </c>
      <c r="AJ132" s="4">
        <v>2</v>
      </c>
      <c r="AK132" s="4">
        <v>3</v>
      </c>
      <c r="AL132" s="4">
        <v>28</v>
      </c>
      <c r="AM132" s="4">
        <v>28</v>
      </c>
      <c r="AN132" s="4">
        <v>0</v>
      </c>
      <c r="AO132" s="4">
        <v>0</v>
      </c>
      <c r="AP132" s="4">
        <v>2</v>
      </c>
      <c r="AQ132" s="4">
        <v>2</v>
      </c>
      <c r="AR132" s="3" t="s">
        <v>65</v>
      </c>
      <c r="AS132" s="3" t="s">
        <v>65</v>
      </c>
      <c r="AT132" s="3" t="s">
        <v>65</v>
      </c>
      <c r="AV132" s="6" t="str">
        <f>HYPERLINK("http://mcgill.on.worldcat.org/oclc/841181024","Catalog Record")</f>
        <v>Catalog Record</v>
      </c>
      <c r="AW132" s="6" t="str">
        <f>HYPERLINK("http://www.worldcat.org/oclc/841181024","WorldCat Record")</f>
        <v>WorldCat Record</v>
      </c>
      <c r="AX132" s="3" t="s">
        <v>1260</v>
      </c>
      <c r="AY132" s="3" t="s">
        <v>1261</v>
      </c>
      <c r="AZ132" s="3" t="s">
        <v>1262</v>
      </c>
      <c r="BA132" s="3" t="s">
        <v>1262</v>
      </c>
      <c r="BB132" s="3" t="s">
        <v>1263</v>
      </c>
      <c r="BC132" s="3" t="s">
        <v>77</v>
      </c>
      <c r="BD132" s="3" t="s">
        <v>78</v>
      </c>
      <c r="BE132" s="3" t="s">
        <v>1264</v>
      </c>
      <c r="BF132" s="3" t="s">
        <v>1263</v>
      </c>
      <c r="BG132" s="3" t="s">
        <v>1265</v>
      </c>
    </row>
    <row r="133" spans="1:59" ht="58" x14ac:dyDescent="0.35">
      <c r="A133" s="2" t="s">
        <v>59</v>
      </c>
      <c r="B133" s="2" t="s">
        <v>60</v>
      </c>
      <c r="C133" s="2" t="s">
        <v>1266</v>
      </c>
      <c r="D133" s="2" t="s">
        <v>1267</v>
      </c>
      <c r="E133" s="2" t="s">
        <v>1268</v>
      </c>
      <c r="G133" s="3" t="s">
        <v>65</v>
      </c>
      <c r="I133" s="3" t="s">
        <v>65</v>
      </c>
      <c r="J133" s="3" t="s">
        <v>65</v>
      </c>
      <c r="K133" s="3" t="s">
        <v>66</v>
      </c>
      <c r="L133" s="2" t="s">
        <v>1269</v>
      </c>
      <c r="M133" s="2" t="s">
        <v>1270</v>
      </c>
      <c r="N133" s="3" t="s">
        <v>139</v>
      </c>
      <c r="P133" s="3" t="s">
        <v>140</v>
      </c>
      <c r="Q133" s="2" t="s">
        <v>1271</v>
      </c>
      <c r="R133" s="3" t="s">
        <v>71</v>
      </c>
      <c r="S133" s="4">
        <v>1</v>
      </c>
      <c r="T133" s="4">
        <v>1</v>
      </c>
      <c r="U133" s="5" t="s">
        <v>1272</v>
      </c>
      <c r="V133" s="5" t="s">
        <v>1272</v>
      </c>
      <c r="W133" s="5" t="s">
        <v>72</v>
      </c>
      <c r="X133" s="5" t="s">
        <v>72</v>
      </c>
      <c r="Y133" s="4">
        <v>61</v>
      </c>
      <c r="Z133" s="4">
        <v>6</v>
      </c>
      <c r="AA133" s="4">
        <v>6</v>
      </c>
      <c r="AB133" s="4">
        <v>1</v>
      </c>
      <c r="AC133" s="4">
        <v>1</v>
      </c>
      <c r="AD133" s="4">
        <v>42</v>
      </c>
      <c r="AE133" s="4">
        <v>42</v>
      </c>
      <c r="AF133" s="4">
        <v>0</v>
      </c>
      <c r="AG133" s="4">
        <v>0</v>
      </c>
      <c r="AH133" s="4">
        <v>41</v>
      </c>
      <c r="AI133" s="4">
        <v>41</v>
      </c>
      <c r="AJ133" s="4">
        <v>4</v>
      </c>
      <c r="AK133" s="4">
        <v>4</v>
      </c>
      <c r="AL133" s="4">
        <v>35</v>
      </c>
      <c r="AM133" s="4">
        <v>35</v>
      </c>
      <c r="AN133" s="4">
        <v>0</v>
      </c>
      <c r="AO133" s="4">
        <v>0</v>
      </c>
      <c r="AP133" s="4">
        <v>4</v>
      </c>
      <c r="AQ133" s="4">
        <v>4</v>
      </c>
      <c r="AR133" s="3" t="s">
        <v>65</v>
      </c>
      <c r="AS133" s="3" t="s">
        <v>65</v>
      </c>
      <c r="AT133" s="3" t="s">
        <v>65</v>
      </c>
      <c r="AV133" s="6" t="str">
        <f>HYPERLINK("http://mcgill.on.worldcat.org/oclc/818724890","Catalog Record")</f>
        <v>Catalog Record</v>
      </c>
      <c r="AW133" s="6" t="str">
        <f>HYPERLINK("http://www.worldcat.org/oclc/818724890","WorldCat Record")</f>
        <v>WorldCat Record</v>
      </c>
      <c r="AX133" s="3" t="s">
        <v>1273</v>
      </c>
      <c r="AY133" s="3" t="s">
        <v>1274</v>
      </c>
      <c r="AZ133" s="3" t="s">
        <v>1275</v>
      </c>
      <c r="BA133" s="3" t="s">
        <v>1275</v>
      </c>
      <c r="BB133" s="3" t="s">
        <v>1276</v>
      </c>
      <c r="BC133" s="3" t="s">
        <v>77</v>
      </c>
      <c r="BD133" s="3" t="s">
        <v>78</v>
      </c>
      <c r="BE133" s="3" t="s">
        <v>1277</v>
      </c>
      <c r="BF133" s="3" t="s">
        <v>1276</v>
      </c>
      <c r="BG133" s="3" t="s">
        <v>1278</v>
      </c>
    </row>
    <row r="134" spans="1:59" ht="58" x14ac:dyDescent="0.35">
      <c r="A134" s="2" t="s">
        <v>59</v>
      </c>
      <c r="B134" s="2" t="s">
        <v>60</v>
      </c>
      <c r="C134" s="2" t="s">
        <v>1279</v>
      </c>
      <c r="D134" s="2" t="s">
        <v>1280</v>
      </c>
      <c r="E134" s="2" t="s">
        <v>1281</v>
      </c>
      <c r="F134" s="3" t="s">
        <v>1282</v>
      </c>
      <c r="G134" s="3" t="s">
        <v>209</v>
      </c>
      <c r="I134" s="3" t="s">
        <v>65</v>
      </c>
      <c r="J134" s="3" t="s">
        <v>65</v>
      </c>
      <c r="K134" s="3" t="s">
        <v>66</v>
      </c>
      <c r="L134" s="2" t="s">
        <v>1283</v>
      </c>
      <c r="M134" s="2" t="s">
        <v>1284</v>
      </c>
      <c r="N134" s="3" t="s">
        <v>113</v>
      </c>
      <c r="P134" s="3" t="s">
        <v>140</v>
      </c>
      <c r="Q134" s="2" t="s">
        <v>1285</v>
      </c>
      <c r="R134" s="3" t="s">
        <v>71</v>
      </c>
      <c r="S134" s="4">
        <v>0</v>
      </c>
      <c r="T134" s="4">
        <v>0</v>
      </c>
      <c r="W134" s="5" t="s">
        <v>72</v>
      </c>
      <c r="X134" s="5" t="s">
        <v>72</v>
      </c>
      <c r="Y134" s="4">
        <v>22</v>
      </c>
      <c r="Z134" s="4">
        <v>1</v>
      </c>
      <c r="AA134" s="4">
        <v>1</v>
      </c>
      <c r="AB134" s="4">
        <v>1</v>
      </c>
      <c r="AC134" s="4">
        <v>1</v>
      </c>
      <c r="AD134" s="4">
        <v>18</v>
      </c>
      <c r="AE134" s="4">
        <v>18</v>
      </c>
      <c r="AF134" s="4">
        <v>0</v>
      </c>
      <c r="AG134" s="4">
        <v>0</v>
      </c>
      <c r="AH134" s="4">
        <v>17</v>
      </c>
      <c r="AI134" s="4">
        <v>17</v>
      </c>
      <c r="AJ134" s="4">
        <v>0</v>
      </c>
      <c r="AK134" s="4">
        <v>0</v>
      </c>
      <c r="AL134" s="4">
        <v>14</v>
      </c>
      <c r="AM134" s="4">
        <v>14</v>
      </c>
      <c r="AN134" s="4">
        <v>0</v>
      </c>
      <c r="AO134" s="4">
        <v>0</v>
      </c>
      <c r="AP134" s="4">
        <v>0</v>
      </c>
      <c r="AQ134" s="4">
        <v>0</v>
      </c>
      <c r="AR134" s="3" t="s">
        <v>65</v>
      </c>
      <c r="AS134" s="3" t="s">
        <v>65</v>
      </c>
      <c r="AT134" s="3" t="s">
        <v>65</v>
      </c>
      <c r="AV134" s="6" t="str">
        <f>HYPERLINK("http://mcgill.on.worldcat.org/oclc/927103445","Catalog Record")</f>
        <v>Catalog Record</v>
      </c>
      <c r="AW134" s="6" t="str">
        <f>HYPERLINK("http://www.worldcat.org/oclc/927103445","WorldCat Record")</f>
        <v>WorldCat Record</v>
      </c>
      <c r="AX134" s="3" t="s">
        <v>1286</v>
      </c>
      <c r="AY134" s="3" t="s">
        <v>1287</v>
      </c>
      <c r="AZ134" s="3" t="s">
        <v>1288</v>
      </c>
      <c r="BA134" s="3" t="s">
        <v>1288</v>
      </c>
      <c r="BB134" s="3" t="s">
        <v>1289</v>
      </c>
      <c r="BC134" s="3" t="s">
        <v>77</v>
      </c>
      <c r="BD134" s="3" t="s">
        <v>78</v>
      </c>
      <c r="BE134" s="3" t="s">
        <v>1290</v>
      </c>
      <c r="BF134" s="3" t="s">
        <v>1289</v>
      </c>
      <c r="BG134" s="3" t="s">
        <v>1291</v>
      </c>
    </row>
    <row r="135" spans="1:59" ht="58" x14ac:dyDescent="0.35">
      <c r="A135" s="2" t="s">
        <v>59</v>
      </c>
      <c r="B135" s="2" t="s">
        <v>60</v>
      </c>
      <c r="C135" s="2" t="s">
        <v>1292</v>
      </c>
      <c r="D135" s="2" t="s">
        <v>1280</v>
      </c>
      <c r="E135" s="2" t="s">
        <v>1281</v>
      </c>
      <c r="F135" s="3" t="s">
        <v>1293</v>
      </c>
      <c r="G135" s="3" t="s">
        <v>209</v>
      </c>
      <c r="I135" s="3" t="s">
        <v>65</v>
      </c>
      <c r="J135" s="3" t="s">
        <v>65</v>
      </c>
      <c r="K135" s="3" t="s">
        <v>66</v>
      </c>
      <c r="L135" s="2" t="s">
        <v>1283</v>
      </c>
      <c r="M135" s="2" t="s">
        <v>1284</v>
      </c>
      <c r="N135" s="3" t="s">
        <v>113</v>
      </c>
      <c r="P135" s="3" t="s">
        <v>140</v>
      </c>
      <c r="Q135" s="2" t="s">
        <v>1285</v>
      </c>
      <c r="R135" s="3" t="s">
        <v>71</v>
      </c>
      <c r="S135" s="4">
        <v>0</v>
      </c>
      <c r="T135" s="4">
        <v>0</v>
      </c>
      <c r="W135" s="5" t="s">
        <v>72</v>
      </c>
      <c r="X135" s="5" t="s">
        <v>72</v>
      </c>
      <c r="Y135" s="4">
        <v>22</v>
      </c>
      <c r="Z135" s="4">
        <v>1</v>
      </c>
      <c r="AA135" s="4">
        <v>1</v>
      </c>
      <c r="AB135" s="4">
        <v>1</v>
      </c>
      <c r="AC135" s="4">
        <v>1</v>
      </c>
      <c r="AD135" s="4">
        <v>18</v>
      </c>
      <c r="AE135" s="4">
        <v>18</v>
      </c>
      <c r="AF135" s="4">
        <v>0</v>
      </c>
      <c r="AG135" s="4">
        <v>0</v>
      </c>
      <c r="AH135" s="4">
        <v>17</v>
      </c>
      <c r="AI135" s="4">
        <v>17</v>
      </c>
      <c r="AJ135" s="4">
        <v>0</v>
      </c>
      <c r="AK135" s="4">
        <v>0</v>
      </c>
      <c r="AL135" s="4">
        <v>14</v>
      </c>
      <c r="AM135" s="4">
        <v>14</v>
      </c>
      <c r="AN135" s="4">
        <v>0</v>
      </c>
      <c r="AO135" s="4">
        <v>0</v>
      </c>
      <c r="AP135" s="4">
        <v>0</v>
      </c>
      <c r="AQ135" s="4">
        <v>0</v>
      </c>
      <c r="AR135" s="3" t="s">
        <v>65</v>
      </c>
      <c r="AS135" s="3" t="s">
        <v>65</v>
      </c>
      <c r="AT135" s="3" t="s">
        <v>65</v>
      </c>
      <c r="AV135" s="6" t="str">
        <f>HYPERLINK("http://mcgill.on.worldcat.org/oclc/927103445","Catalog Record")</f>
        <v>Catalog Record</v>
      </c>
      <c r="AW135" s="6" t="str">
        <f>HYPERLINK("http://www.worldcat.org/oclc/927103445","WorldCat Record")</f>
        <v>WorldCat Record</v>
      </c>
      <c r="AX135" s="3" t="s">
        <v>1286</v>
      </c>
      <c r="AY135" s="3" t="s">
        <v>1287</v>
      </c>
      <c r="AZ135" s="3" t="s">
        <v>1288</v>
      </c>
      <c r="BA135" s="3" t="s">
        <v>1288</v>
      </c>
      <c r="BB135" s="3" t="s">
        <v>1294</v>
      </c>
      <c r="BC135" s="3" t="s">
        <v>77</v>
      </c>
      <c r="BD135" s="3" t="s">
        <v>78</v>
      </c>
      <c r="BE135" s="3" t="s">
        <v>1290</v>
      </c>
      <c r="BF135" s="3" t="s">
        <v>1294</v>
      </c>
      <c r="BG135" s="3" t="s">
        <v>1295</v>
      </c>
    </row>
    <row r="136" spans="1:59" ht="58" x14ac:dyDescent="0.35">
      <c r="A136" s="2" t="s">
        <v>59</v>
      </c>
      <c r="B136" s="2" t="s">
        <v>60</v>
      </c>
      <c r="C136" s="2" t="s">
        <v>1296</v>
      </c>
      <c r="D136" s="2" t="s">
        <v>1297</v>
      </c>
      <c r="E136" s="2" t="s">
        <v>1298</v>
      </c>
      <c r="G136" s="3" t="s">
        <v>65</v>
      </c>
      <c r="I136" s="3" t="s">
        <v>65</v>
      </c>
      <c r="J136" s="3" t="s">
        <v>65</v>
      </c>
      <c r="K136" s="3" t="s">
        <v>66</v>
      </c>
      <c r="L136" s="2" t="s">
        <v>1283</v>
      </c>
      <c r="M136" s="2" t="s">
        <v>1299</v>
      </c>
      <c r="N136" s="3" t="s">
        <v>176</v>
      </c>
      <c r="P136" s="3" t="s">
        <v>140</v>
      </c>
      <c r="Q136" s="2" t="s">
        <v>1300</v>
      </c>
      <c r="R136" s="3" t="s">
        <v>71</v>
      </c>
      <c r="S136" s="4">
        <v>0</v>
      </c>
      <c r="T136" s="4">
        <v>0</v>
      </c>
      <c r="W136" s="5" t="s">
        <v>72</v>
      </c>
      <c r="X136" s="5" t="s">
        <v>72</v>
      </c>
      <c r="Y136" s="4">
        <v>5</v>
      </c>
      <c r="Z136" s="4">
        <v>1</v>
      </c>
      <c r="AA136" s="4">
        <v>1</v>
      </c>
      <c r="AB136" s="4">
        <v>1</v>
      </c>
      <c r="AC136" s="4">
        <v>1</v>
      </c>
      <c r="AD136" s="4">
        <v>4</v>
      </c>
      <c r="AE136" s="4">
        <v>4</v>
      </c>
      <c r="AF136" s="4">
        <v>0</v>
      </c>
      <c r="AG136" s="4">
        <v>0</v>
      </c>
      <c r="AH136" s="4">
        <v>4</v>
      </c>
      <c r="AI136" s="4">
        <v>4</v>
      </c>
      <c r="AJ136" s="4">
        <v>0</v>
      </c>
      <c r="AK136" s="4">
        <v>0</v>
      </c>
      <c r="AL136" s="4">
        <v>3</v>
      </c>
      <c r="AM136" s="4">
        <v>3</v>
      </c>
      <c r="AN136" s="4">
        <v>0</v>
      </c>
      <c r="AO136" s="4">
        <v>0</v>
      </c>
      <c r="AP136" s="4">
        <v>0</v>
      </c>
      <c r="AQ136" s="4">
        <v>0</v>
      </c>
      <c r="AR136" s="3" t="s">
        <v>65</v>
      </c>
      <c r="AS136" s="3" t="s">
        <v>65</v>
      </c>
      <c r="AT136" s="3" t="s">
        <v>65</v>
      </c>
      <c r="AV136" s="6" t="str">
        <f>HYPERLINK("http://mcgill.on.worldcat.org/oclc/927407034","Catalog Record")</f>
        <v>Catalog Record</v>
      </c>
      <c r="AW136" s="6" t="str">
        <f>HYPERLINK("http://www.worldcat.org/oclc/927407034","WorldCat Record")</f>
        <v>WorldCat Record</v>
      </c>
      <c r="AX136" s="3" t="s">
        <v>1301</v>
      </c>
      <c r="AY136" s="3" t="s">
        <v>1302</v>
      </c>
      <c r="AZ136" s="3" t="s">
        <v>1303</v>
      </c>
      <c r="BA136" s="3" t="s">
        <v>1303</v>
      </c>
      <c r="BB136" s="3" t="s">
        <v>1304</v>
      </c>
      <c r="BC136" s="3" t="s">
        <v>77</v>
      </c>
      <c r="BD136" s="3" t="s">
        <v>78</v>
      </c>
      <c r="BE136" s="3" t="s">
        <v>1305</v>
      </c>
      <c r="BF136" s="3" t="s">
        <v>1304</v>
      </c>
      <c r="BG136" s="3" t="s">
        <v>1306</v>
      </c>
    </row>
    <row r="137" spans="1:59" ht="58" x14ac:dyDescent="0.35">
      <c r="A137" s="2" t="s">
        <v>59</v>
      </c>
      <c r="B137" s="2" t="s">
        <v>60</v>
      </c>
      <c r="C137" s="2" t="s">
        <v>1307</v>
      </c>
      <c r="D137" s="2" t="s">
        <v>1308</v>
      </c>
      <c r="E137" s="2" t="s">
        <v>1309</v>
      </c>
      <c r="G137" s="3" t="s">
        <v>65</v>
      </c>
      <c r="I137" s="3" t="s">
        <v>65</v>
      </c>
      <c r="J137" s="3" t="s">
        <v>65</v>
      </c>
      <c r="K137" s="3" t="s">
        <v>66</v>
      </c>
      <c r="M137" s="2" t="s">
        <v>1310</v>
      </c>
      <c r="N137" s="3" t="s">
        <v>164</v>
      </c>
      <c r="P137" s="3" t="s">
        <v>69</v>
      </c>
      <c r="Q137" s="2" t="s">
        <v>527</v>
      </c>
      <c r="R137" s="3" t="s">
        <v>71</v>
      </c>
      <c r="S137" s="4">
        <v>1</v>
      </c>
      <c r="T137" s="4">
        <v>1</v>
      </c>
      <c r="U137" s="5" t="s">
        <v>1311</v>
      </c>
      <c r="V137" s="5" t="s">
        <v>1311</v>
      </c>
      <c r="W137" s="5" t="s">
        <v>72</v>
      </c>
      <c r="X137" s="5" t="s">
        <v>72</v>
      </c>
      <c r="Y137" s="4">
        <v>103</v>
      </c>
      <c r="Z137" s="4">
        <v>7</v>
      </c>
      <c r="AA137" s="4">
        <v>15</v>
      </c>
      <c r="AB137" s="4">
        <v>1</v>
      </c>
      <c r="AC137" s="4">
        <v>4</v>
      </c>
      <c r="AD137" s="4">
        <v>58</v>
      </c>
      <c r="AE137" s="4">
        <v>69</v>
      </c>
      <c r="AF137" s="4">
        <v>0</v>
      </c>
      <c r="AG137" s="4">
        <v>1</v>
      </c>
      <c r="AH137" s="4">
        <v>55</v>
      </c>
      <c r="AI137" s="4">
        <v>64</v>
      </c>
      <c r="AJ137" s="4">
        <v>4</v>
      </c>
      <c r="AK137" s="4">
        <v>9</v>
      </c>
      <c r="AL137" s="4">
        <v>37</v>
      </c>
      <c r="AM137" s="4">
        <v>40</v>
      </c>
      <c r="AN137" s="4">
        <v>0</v>
      </c>
      <c r="AO137" s="4">
        <v>0</v>
      </c>
      <c r="AP137" s="4">
        <v>5</v>
      </c>
      <c r="AQ137" s="4">
        <v>11</v>
      </c>
      <c r="AR137" s="3" t="s">
        <v>65</v>
      </c>
      <c r="AS137" s="3" t="s">
        <v>65</v>
      </c>
      <c r="AT137" s="3" t="s">
        <v>65</v>
      </c>
      <c r="AV137" s="6" t="str">
        <f>HYPERLINK("http://mcgill.on.worldcat.org/oclc/881064280","Catalog Record")</f>
        <v>Catalog Record</v>
      </c>
      <c r="AW137" s="6" t="str">
        <f>HYPERLINK("http://www.worldcat.org/oclc/881064280","WorldCat Record")</f>
        <v>WorldCat Record</v>
      </c>
      <c r="AX137" s="3" t="s">
        <v>1312</v>
      </c>
      <c r="AY137" s="3" t="s">
        <v>1313</v>
      </c>
      <c r="AZ137" s="3" t="s">
        <v>1314</v>
      </c>
      <c r="BA137" s="3" t="s">
        <v>1314</v>
      </c>
      <c r="BB137" s="3" t="s">
        <v>1315</v>
      </c>
      <c r="BC137" s="3" t="s">
        <v>77</v>
      </c>
      <c r="BD137" s="3" t="s">
        <v>78</v>
      </c>
      <c r="BE137" s="3" t="s">
        <v>1316</v>
      </c>
      <c r="BF137" s="3" t="s">
        <v>1315</v>
      </c>
      <c r="BG137" s="3" t="s">
        <v>1317</v>
      </c>
    </row>
    <row r="138" spans="1:59" ht="58" x14ac:dyDescent="0.35">
      <c r="A138" s="2" t="s">
        <v>59</v>
      </c>
      <c r="B138" s="2" t="s">
        <v>60</v>
      </c>
      <c r="C138" s="2" t="s">
        <v>1318</v>
      </c>
      <c r="D138" s="2" t="s">
        <v>1319</v>
      </c>
      <c r="E138" s="2" t="s">
        <v>1320</v>
      </c>
      <c r="G138" s="3" t="s">
        <v>65</v>
      </c>
      <c r="I138" s="3" t="s">
        <v>65</v>
      </c>
      <c r="J138" s="3" t="s">
        <v>65</v>
      </c>
      <c r="K138" s="3" t="s">
        <v>66</v>
      </c>
      <c r="L138" s="2" t="s">
        <v>1321</v>
      </c>
      <c r="M138" s="2" t="s">
        <v>1322</v>
      </c>
      <c r="N138" s="3" t="s">
        <v>164</v>
      </c>
      <c r="P138" s="3" t="s">
        <v>140</v>
      </c>
      <c r="Q138" s="2" t="s">
        <v>1323</v>
      </c>
      <c r="R138" s="3" t="s">
        <v>71</v>
      </c>
      <c r="S138" s="4">
        <v>0</v>
      </c>
      <c r="T138" s="4">
        <v>0</v>
      </c>
      <c r="W138" s="5" t="s">
        <v>72</v>
      </c>
      <c r="X138" s="5" t="s">
        <v>72</v>
      </c>
      <c r="Y138" s="4">
        <v>38</v>
      </c>
      <c r="Z138" s="4">
        <v>3</v>
      </c>
      <c r="AA138" s="4">
        <v>3</v>
      </c>
      <c r="AB138" s="4">
        <v>1</v>
      </c>
      <c r="AC138" s="4">
        <v>1</v>
      </c>
      <c r="AD138" s="4">
        <v>25</v>
      </c>
      <c r="AE138" s="4">
        <v>25</v>
      </c>
      <c r="AF138" s="4">
        <v>0</v>
      </c>
      <c r="AG138" s="4">
        <v>0</v>
      </c>
      <c r="AH138" s="4">
        <v>24</v>
      </c>
      <c r="AI138" s="4">
        <v>24</v>
      </c>
      <c r="AJ138" s="4">
        <v>1</v>
      </c>
      <c r="AK138" s="4">
        <v>1</v>
      </c>
      <c r="AL138" s="4">
        <v>20</v>
      </c>
      <c r="AM138" s="4">
        <v>20</v>
      </c>
      <c r="AN138" s="4">
        <v>0</v>
      </c>
      <c r="AO138" s="4">
        <v>0</v>
      </c>
      <c r="AP138" s="4">
        <v>1</v>
      </c>
      <c r="AQ138" s="4">
        <v>1</v>
      </c>
      <c r="AR138" s="3" t="s">
        <v>65</v>
      </c>
      <c r="AS138" s="3" t="s">
        <v>65</v>
      </c>
      <c r="AT138" s="3" t="s">
        <v>65</v>
      </c>
      <c r="AV138" s="6" t="str">
        <f>HYPERLINK("http://mcgill.on.worldcat.org/oclc/874573326","Catalog Record")</f>
        <v>Catalog Record</v>
      </c>
      <c r="AW138" s="6" t="str">
        <f>HYPERLINK("http://www.worldcat.org/oclc/874573326","WorldCat Record")</f>
        <v>WorldCat Record</v>
      </c>
      <c r="AX138" s="3" t="s">
        <v>1324</v>
      </c>
      <c r="AY138" s="3" t="s">
        <v>1325</v>
      </c>
      <c r="AZ138" s="3" t="s">
        <v>1326</v>
      </c>
      <c r="BA138" s="3" t="s">
        <v>1326</v>
      </c>
      <c r="BB138" s="3" t="s">
        <v>1327</v>
      </c>
      <c r="BC138" s="3" t="s">
        <v>77</v>
      </c>
      <c r="BD138" s="3" t="s">
        <v>78</v>
      </c>
      <c r="BE138" s="3" t="s">
        <v>1328</v>
      </c>
      <c r="BF138" s="3" t="s">
        <v>1327</v>
      </c>
      <c r="BG138" s="3" t="s">
        <v>1329</v>
      </c>
    </row>
    <row r="139" spans="1:59" ht="58" x14ac:dyDescent="0.35">
      <c r="A139" s="2" t="s">
        <v>59</v>
      </c>
      <c r="B139" s="2" t="s">
        <v>60</v>
      </c>
      <c r="C139" s="2" t="s">
        <v>1330</v>
      </c>
      <c r="D139" s="2" t="s">
        <v>1331</v>
      </c>
      <c r="E139" s="2" t="s">
        <v>1332</v>
      </c>
      <c r="G139" s="3" t="s">
        <v>65</v>
      </c>
      <c r="I139" s="3" t="s">
        <v>65</v>
      </c>
      <c r="J139" s="3" t="s">
        <v>65</v>
      </c>
      <c r="K139" s="3" t="s">
        <v>66</v>
      </c>
      <c r="M139" s="2" t="s">
        <v>1333</v>
      </c>
      <c r="N139" s="3" t="s">
        <v>164</v>
      </c>
      <c r="P139" s="3" t="s">
        <v>69</v>
      </c>
      <c r="Q139" s="2" t="s">
        <v>1334</v>
      </c>
      <c r="R139" s="3" t="s">
        <v>71</v>
      </c>
      <c r="S139" s="4">
        <v>3</v>
      </c>
      <c r="T139" s="4">
        <v>3</v>
      </c>
      <c r="U139" s="5" t="s">
        <v>1335</v>
      </c>
      <c r="V139" s="5" t="s">
        <v>1335</v>
      </c>
      <c r="W139" s="5" t="s">
        <v>72</v>
      </c>
      <c r="X139" s="5" t="s">
        <v>72</v>
      </c>
      <c r="Y139" s="4">
        <v>147</v>
      </c>
      <c r="Z139" s="4">
        <v>13</v>
      </c>
      <c r="AA139" s="4">
        <v>50</v>
      </c>
      <c r="AB139" s="4">
        <v>2</v>
      </c>
      <c r="AC139" s="4">
        <v>9</v>
      </c>
      <c r="AD139" s="4">
        <v>60</v>
      </c>
      <c r="AE139" s="4">
        <v>102</v>
      </c>
      <c r="AF139" s="4">
        <v>1</v>
      </c>
      <c r="AG139" s="4">
        <v>4</v>
      </c>
      <c r="AH139" s="4">
        <v>54</v>
      </c>
      <c r="AI139" s="4">
        <v>82</v>
      </c>
      <c r="AJ139" s="4">
        <v>8</v>
      </c>
      <c r="AK139" s="4">
        <v>17</v>
      </c>
      <c r="AL139" s="4">
        <v>37</v>
      </c>
      <c r="AM139" s="4">
        <v>50</v>
      </c>
      <c r="AN139" s="4">
        <v>0</v>
      </c>
      <c r="AO139" s="4">
        <v>0</v>
      </c>
      <c r="AP139" s="4">
        <v>10</v>
      </c>
      <c r="AQ139" s="4">
        <v>25</v>
      </c>
      <c r="AR139" s="3" t="s">
        <v>65</v>
      </c>
      <c r="AS139" s="3" t="s">
        <v>65</v>
      </c>
      <c r="AT139" s="3" t="s">
        <v>65</v>
      </c>
      <c r="AV139" s="6" t="str">
        <f>HYPERLINK("http://mcgill.on.worldcat.org/oclc/872415850","Catalog Record")</f>
        <v>Catalog Record</v>
      </c>
      <c r="AW139" s="6" t="str">
        <f>HYPERLINK("http://www.worldcat.org/oclc/872415850","WorldCat Record")</f>
        <v>WorldCat Record</v>
      </c>
      <c r="AX139" s="3" t="s">
        <v>1336</v>
      </c>
      <c r="AY139" s="3" t="s">
        <v>1337</v>
      </c>
      <c r="AZ139" s="3" t="s">
        <v>1338</v>
      </c>
      <c r="BA139" s="3" t="s">
        <v>1338</v>
      </c>
      <c r="BB139" s="3" t="s">
        <v>1339</v>
      </c>
      <c r="BC139" s="3" t="s">
        <v>77</v>
      </c>
      <c r="BD139" s="3" t="s">
        <v>78</v>
      </c>
      <c r="BE139" s="3" t="s">
        <v>1340</v>
      </c>
      <c r="BF139" s="3" t="s">
        <v>1339</v>
      </c>
      <c r="BG139" s="3" t="s">
        <v>1341</v>
      </c>
    </row>
    <row r="140" spans="1:59" ht="58" x14ac:dyDescent="0.35">
      <c r="A140" s="2" t="s">
        <v>59</v>
      </c>
      <c r="B140" s="2" t="s">
        <v>60</v>
      </c>
      <c r="C140" s="2" t="s">
        <v>1342</v>
      </c>
      <c r="D140" s="2" t="s">
        <v>1343</v>
      </c>
      <c r="E140" s="2" t="s">
        <v>1344</v>
      </c>
      <c r="G140" s="3" t="s">
        <v>65</v>
      </c>
      <c r="I140" s="3" t="s">
        <v>65</v>
      </c>
      <c r="J140" s="3" t="s">
        <v>209</v>
      </c>
      <c r="K140" s="3" t="s">
        <v>66</v>
      </c>
      <c r="L140" s="2" t="s">
        <v>1345</v>
      </c>
      <c r="M140" s="2" t="s">
        <v>1346</v>
      </c>
      <c r="N140" s="3" t="s">
        <v>1173</v>
      </c>
      <c r="P140" s="3" t="s">
        <v>69</v>
      </c>
      <c r="R140" s="3" t="s">
        <v>71</v>
      </c>
      <c r="S140" s="4">
        <v>4</v>
      </c>
      <c r="T140" s="4">
        <v>4</v>
      </c>
      <c r="U140" s="5" t="s">
        <v>1335</v>
      </c>
      <c r="V140" s="5" t="s">
        <v>1335</v>
      </c>
      <c r="W140" s="5" t="s">
        <v>72</v>
      </c>
      <c r="X140" s="5" t="s">
        <v>72</v>
      </c>
      <c r="Y140" s="4">
        <v>252</v>
      </c>
      <c r="Z140" s="4">
        <v>16</v>
      </c>
      <c r="AA140" s="4">
        <v>29</v>
      </c>
      <c r="AB140" s="4">
        <v>1</v>
      </c>
      <c r="AC140" s="4">
        <v>3</v>
      </c>
      <c r="AD140" s="4">
        <v>46</v>
      </c>
      <c r="AE140" s="4">
        <v>114</v>
      </c>
      <c r="AF140" s="4">
        <v>0</v>
      </c>
      <c r="AG140" s="4">
        <v>2</v>
      </c>
      <c r="AH140" s="4">
        <v>36</v>
      </c>
      <c r="AI140" s="4">
        <v>99</v>
      </c>
      <c r="AJ140" s="4">
        <v>11</v>
      </c>
      <c r="AK140" s="4">
        <v>19</v>
      </c>
      <c r="AL140" s="4">
        <v>14</v>
      </c>
      <c r="AM140" s="4">
        <v>53</v>
      </c>
      <c r="AN140" s="4">
        <v>5</v>
      </c>
      <c r="AO140" s="4">
        <v>5</v>
      </c>
      <c r="AP140" s="4">
        <v>14</v>
      </c>
      <c r="AQ140" s="4">
        <v>21</v>
      </c>
      <c r="AR140" s="3" t="s">
        <v>65</v>
      </c>
      <c r="AS140" s="3" t="s">
        <v>65</v>
      </c>
      <c r="AT140" s="3" t="s">
        <v>209</v>
      </c>
      <c r="AU140" s="6" t="str">
        <f>HYPERLINK("http://catalog.hathitrust.org/Record/102069246","HathiTrust Record")</f>
        <v>HathiTrust Record</v>
      </c>
      <c r="AV140" s="6" t="str">
        <f>HYPERLINK("http://mcgill.on.worldcat.org/oclc/146642","Catalog Record")</f>
        <v>Catalog Record</v>
      </c>
      <c r="AW140" s="6" t="str">
        <f>HYPERLINK("http://www.worldcat.org/oclc/146642","WorldCat Record")</f>
        <v>WorldCat Record</v>
      </c>
      <c r="AX140" s="3" t="s">
        <v>1347</v>
      </c>
      <c r="AY140" s="3" t="s">
        <v>1348</v>
      </c>
      <c r="AZ140" s="3" t="s">
        <v>1349</v>
      </c>
      <c r="BA140" s="3" t="s">
        <v>1349</v>
      </c>
      <c r="BB140" s="3" t="s">
        <v>1350</v>
      </c>
      <c r="BC140" s="3" t="s">
        <v>77</v>
      </c>
      <c r="BD140" s="3" t="s">
        <v>78</v>
      </c>
      <c r="BE140" s="3" t="s">
        <v>1351</v>
      </c>
      <c r="BF140" s="3" t="s">
        <v>1350</v>
      </c>
      <c r="BG140" s="3" t="s">
        <v>1352</v>
      </c>
    </row>
    <row r="141" spans="1:59" ht="58" x14ac:dyDescent="0.35">
      <c r="A141" s="2" t="s">
        <v>59</v>
      </c>
      <c r="B141" s="2" t="s">
        <v>60</v>
      </c>
      <c r="C141" s="2" t="s">
        <v>1353</v>
      </c>
      <c r="D141" s="2" t="s">
        <v>1354</v>
      </c>
      <c r="E141" s="2" t="s">
        <v>1355</v>
      </c>
      <c r="G141" s="3" t="s">
        <v>65</v>
      </c>
      <c r="I141" s="3" t="s">
        <v>65</v>
      </c>
      <c r="J141" s="3" t="s">
        <v>65</v>
      </c>
      <c r="K141" s="3" t="s">
        <v>66</v>
      </c>
      <c r="L141" s="2" t="s">
        <v>1356</v>
      </c>
      <c r="M141" s="2" t="s">
        <v>1357</v>
      </c>
      <c r="N141" s="3" t="s">
        <v>126</v>
      </c>
      <c r="P141" s="3" t="s">
        <v>140</v>
      </c>
      <c r="R141" s="3" t="s">
        <v>71</v>
      </c>
      <c r="S141" s="4">
        <v>1</v>
      </c>
      <c r="T141" s="4">
        <v>1</v>
      </c>
      <c r="U141" s="5" t="s">
        <v>1358</v>
      </c>
      <c r="V141" s="5" t="s">
        <v>1358</v>
      </c>
      <c r="W141" s="5" t="s">
        <v>72</v>
      </c>
      <c r="X141" s="5" t="s">
        <v>72</v>
      </c>
      <c r="Y141" s="4">
        <v>25</v>
      </c>
      <c r="Z141" s="4">
        <v>3</v>
      </c>
      <c r="AA141" s="4">
        <v>3</v>
      </c>
      <c r="AB141" s="4">
        <v>1</v>
      </c>
      <c r="AC141" s="4">
        <v>1</v>
      </c>
      <c r="AD141" s="4">
        <v>17</v>
      </c>
      <c r="AE141" s="4">
        <v>17</v>
      </c>
      <c r="AF141" s="4">
        <v>0</v>
      </c>
      <c r="AG141" s="4">
        <v>0</v>
      </c>
      <c r="AH141" s="4">
        <v>16</v>
      </c>
      <c r="AI141" s="4">
        <v>16</v>
      </c>
      <c r="AJ141" s="4">
        <v>1</v>
      </c>
      <c r="AK141" s="4">
        <v>1</v>
      </c>
      <c r="AL141" s="4">
        <v>14</v>
      </c>
      <c r="AM141" s="4">
        <v>14</v>
      </c>
      <c r="AN141" s="4">
        <v>0</v>
      </c>
      <c r="AO141" s="4">
        <v>0</v>
      </c>
      <c r="AP141" s="4">
        <v>1</v>
      </c>
      <c r="AQ141" s="4">
        <v>1</v>
      </c>
      <c r="AR141" s="3" t="s">
        <v>65</v>
      </c>
      <c r="AS141" s="3" t="s">
        <v>65</v>
      </c>
      <c r="AT141" s="3" t="s">
        <v>65</v>
      </c>
      <c r="AV141" s="6" t="str">
        <f>HYPERLINK("http://mcgill.on.worldcat.org/oclc/742505206","Catalog Record")</f>
        <v>Catalog Record</v>
      </c>
      <c r="AW141" s="6" t="str">
        <f>HYPERLINK("http://www.worldcat.org/oclc/742505206","WorldCat Record")</f>
        <v>WorldCat Record</v>
      </c>
      <c r="AX141" s="3" t="s">
        <v>1359</v>
      </c>
      <c r="AY141" s="3" t="s">
        <v>1360</v>
      </c>
      <c r="AZ141" s="3" t="s">
        <v>1361</v>
      </c>
      <c r="BA141" s="3" t="s">
        <v>1361</v>
      </c>
      <c r="BB141" s="3" t="s">
        <v>1362</v>
      </c>
      <c r="BC141" s="3" t="s">
        <v>77</v>
      </c>
      <c r="BD141" s="3" t="s">
        <v>78</v>
      </c>
      <c r="BE141" s="3" t="s">
        <v>1363</v>
      </c>
      <c r="BF141" s="3" t="s">
        <v>1362</v>
      </c>
      <c r="BG141" s="3" t="s">
        <v>1364</v>
      </c>
    </row>
    <row r="142" spans="1:59" ht="58" x14ac:dyDescent="0.35">
      <c r="A142" s="2" t="s">
        <v>59</v>
      </c>
      <c r="B142" s="2" t="s">
        <v>60</v>
      </c>
      <c r="C142" s="2" t="s">
        <v>1365</v>
      </c>
      <c r="D142" s="2" t="s">
        <v>1366</v>
      </c>
      <c r="E142" s="2" t="s">
        <v>1367</v>
      </c>
      <c r="G142" s="3" t="s">
        <v>65</v>
      </c>
      <c r="I142" s="3" t="s">
        <v>65</v>
      </c>
      <c r="J142" s="3" t="s">
        <v>65</v>
      </c>
      <c r="K142" s="3" t="s">
        <v>66</v>
      </c>
      <c r="M142" s="2" t="s">
        <v>1368</v>
      </c>
      <c r="N142" s="3" t="s">
        <v>113</v>
      </c>
      <c r="P142" s="3" t="s">
        <v>69</v>
      </c>
      <c r="R142" s="3" t="s">
        <v>71</v>
      </c>
      <c r="S142" s="4">
        <v>11</v>
      </c>
      <c r="T142" s="4">
        <v>11</v>
      </c>
      <c r="U142" s="5" t="s">
        <v>1369</v>
      </c>
      <c r="V142" s="5" t="s">
        <v>1369</v>
      </c>
      <c r="W142" s="5" t="s">
        <v>72</v>
      </c>
      <c r="X142" s="5" t="s">
        <v>72</v>
      </c>
      <c r="Y142" s="4">
        <v>263</v>
      </c>
      <c r="Z142" s="4">
        <v>17</v>
      </c>
      <c r="AA142" s="4">
        <v>17</v>
      </c>
      <c r="AB142" s="4">
        <v>1</v>
      </c>
      <c r="AC142" s="4">
        <v>1</v>
      </c>
      <c r="AD142" s="4">
        <v>91</v>
      </c>
      <c r="AE142" s="4">
        <v>91</v>
      </c>
      <c r="AF142" s="4">
        <v>0</v>
      </c>
      <c r="AG142" s="4">
        <v>0</v>
      </c>
      <c r="AH142" s="4">
        <v>84</v>
      </c>
      <c r="AI142" s="4">
        <v>84</v>
      </c>
      <c r="AJ142" s="4">
        <v>13</v>
      </c>
      <c r="AK142" s="4">
        <v>13</v>
      </c>
      <c r="AL142" s="4">
        <v>49</v>
      </c>
      <c r="AM142" s="4">
        <v>49</v>
      </c>
      <c r="AN142" s="4">
        <v>0</v>
      </c>
      <c r="AO142" s="4">
        <v>0</v>
      </c>
      <c r="AP142" s="4">
        <v>13</v>
      </c>
      <c r="AQ142" s="4">
        <v>13</v>
      </c>
      <c r="AR142" s="3" t="s">
        <v>65</v>
      </c>
      <c r="AS142" s="3" t="s">
        <v>65</v>
      </c>
      <c r="AT142" s="3" t="s">
        <v>65</v>
      </c>
      <c r="AV142" s="6" t="str">
        <f>HYPERLINK("http://mcgill.on.worldcat.org/oclc/320697462","Catalog Record")</f>
        <v>Catalog Record</v>
      </c>
      <c r="AW142" s="6" t="str">
        <f>HYPERLINK("http://www.worldcat.org/oclc/320697462","WorldCat Record")</f>
        <v>WorldCat Record</v>
      </c>
      <c r="AX142" s="3" t="s">
        <v>1370</v>
      </c>
      <c r="AY142" s="3" t="s">
        <v>1371</v>
      </c>
      <c r="AZ142" s="3" t="s">
        <v>1372</v>
      </c>
      <c r="BA142" s="3" t="s">
        <v>1372</v>
      </c>
      <c r="BB142" s="3" t="s">
        <v>1373</v>
      </c>
      <c r="BC142" s="3" t="s">
        <v>77</v>
      </c>
      <c r="BD142" s="3" t="s">
        <v>78</v>
      </c>
      <c r="BE142" s="3" t="s">
        <v>1374</v>
      </c>
      <c r="BF142" s="3" t="s">
        <v>1373</v>
      </c>
      <c r="BG142" s="3" t="s">
        <v>1375</v>
      </c>
    </row>
    <row r="143" spans="1:59" ht="58" x14ac:dyDescent="0.35">
      <c r="A143" s="2" t="s">
        <v>59</v>
      </c>
      <c r="B143" s="2" t="s">
        <v>60</v>
      </c>
      <c r="C143" s="2" t="s">
        <v>1376</v>
      </c>
      <c r="D143" s="2" t="s">
        <v>1377</v>
      </c>
      <c r="E143" s="2" t="s">
        <v>1378</v>
      </c>
      <c r="G143" s="3" t="s">
        <v>65</v>
      </c>
      <c r="I143" s="3" t="s">
        <v>65</v>
      </c>
      <c r="J143" s="3" t="s">
        <v>65</v>
      </c>
      <c r="K143" s="3" t="s">
        <v>66</v>
      </c>
      <c r="L143" s="2" t="s">
        <v>1379</v>
      </c>
      <c r="M143" s="2" t="s">
        <v>1380</v>
      </c>
      <c r="N143" s="3" t="s">
        <v>164</v>
      </c>
      <c r="P143" s="3" t="s">
        <v>140</v>
      </c>
      <c r="Q143" s="2" t="s">
        <v>1381</v>
      </c>
      <c r="R143" s="3" t="s">
        <v>71</v>
      </c>
      <c r="S143" s="4">
        <v>1</v>
      </c>
      <c r="T143" s="4">
        <v>1</v>
      </c>
      <c r="U143" s="5" t="s">
        <v>1382</v>
      </c>
      <c r="V143" s="5" t="s">
        <v>1382</v>
      </c>
      <c r="W143" s="5" t="s">
        <v>72</v>
      </c>
      <c r="X143" s="5" t="s">
        <v>72</v>
      </c>
      <c r="Y143" s="4">
        <v>53</v>
      </c>
      <c r="Z143" s="4">
        <v>3</v>
      </c>
      <c r="AA143" s="4">
        <v>3</v>
      </c>
      <c r="AB143" s="4">
        <v>1</v>
      </c>
      <c r="AC143" s="4">
        <v>1</v>
      </c>
      <c r="AD143" s="4">
        <v>25</v>
      </c>
      <c r="AE143" s="4">
        <v>25</v>
      </c>
      <c r="AF143" s="4">
        <v>0</v>
      </c>
      <c r="AG143" s="4">
        <v>0</v>
      </c>
      <c r="AH143" s="4">
        <v>24</v>
      </c>
      <c r="AI143" s="4">
        <v>24</v>
      </c>
      <c r="AJ143" s="4">
        <v>1</v>
      </c>
      <c r="AK143" s="4">
        <v>1</v>
      </c>
      <c r="AL143" s="4">
        <v>20</v>
      </c>
      <c r="AM143" s="4">
        <v>20</v>
      </c>
      <c r="AN143" s="4">
        <v>0</v>
      </c>
      <c r="AO143" s="4">
        <v>0</v>
      </c>
      <c r="AP143" s="4">
        <v>1</v>
      </c>
      <c r="AQ143" s="4">
        <v>1</v>
      </c>
      <c r="AR143" s="3" t="s">
        <v>65</v>
      </c>
      <c r="AS143" s="3" t="s">
        <v>65</v>
      </c>
      <c r="AT143" s="3" t="s">
        <v>65</v>
      </c>
      <c r="AV143" s="6" t="str">
        <f>HYPERLINK("http://mcgill.on.worldcat.org/oclc/893612111","Catalog Record")</f>
        <v>Catalog Record</v>
      </c>
      <c r="AW143" s="6" t="str">
        <f>HYPERLINK("http://www.worldcat.org/oclc/893612111","WorldCat Record")</f>
        <v>WorldCat Record</v>
      </c>
      <c r="AX143" s="3" t="s">
        <v>1383</v>
      </c>
      <c r="AY143" s="3" t="s">
        <v>1384</v>
      </c>
      <c r="AZ143" s="3" t="s">
        <v>1385</v>
      </c>
      <c r="BA143" s="3" t="s">
        <v>1385</v>
      </c>
      <c r="BB143" s="3" t="s">
        <v>1386</v>
      </c>
      <c r="BC143" s="3" t="s">
        <v>77</v>
      </c>
      <c r="BD143" s="3" t="s">
        <v>78</v>
      </c>
      <c r="BE143" s="3" t="s">
        <v>1387</v>
      </c>
      <c r="BF143" s="3" t="s">
        <v>1386</v>
      </c>
      <c r="BG143" s="3" t="s">
        <v>1388</v>
      </c>
    </row>
    <row r="144" spans="1:59" ht="58" x14ac:dyDescent="0.35">
      <c r="A144" s="2" t="s">
        <v>59</v>
      </c>
      <c r="B144" s="2" t="s">
        <v>60</v>
      </c>
      <c r="C144" s="2" t="s">
        <v>1389</v>
      </c>
      <c r="D144" s="2" t="s">
        <v>1390</v>
      </c>
      <c r="E144" s="2" t="s">
        <v>1391</v>
      </c>
      <c r="F144" s="3" t="s">
        <v>255</v>
      </c>
      <c r="G144" s="3" t="s">
        <v>209</v>
      </c>
      <c r="I144" s="3" t="s">
        <v>65</v>
      </c>
      <c r="J144" s="3" t="s">
        <v>65</v>
      </c>
      <c r="K144" s="3" t="s">
        <v>66</v>
      </c>
      <c r="L144" s="2" t="s">
        <v>1392</v>
      </c>
      <c r="M144" s="2" t="s">
        <v>1393</v>
      </c>
      <c r="N144" s="3" t="s">
        <v>139</v>
      </c>
      <c r="P144" s="3" t="s">
        <v>140</v>
      </c>
      <c r="Q144" s="2" t="s">
        <v>1394</v>
      </c>
      <c r="R144" s="3" t="s">
        <v>71</v>
      </c>
      <c r="S144" s="4">
        <v>0</v>
      </c>
      <c r="T144" s="4">
        <v>0</v>
      </c>
      <c r="W144" s="5" t="s">
        <v>72</v>
      </c>
      <c r="X144" s="5" t="s">
        <v>72</v>
      </c>
      <c r="Y144" s="4">
        <v>29</v>
      </c>
      <c r="Z144" s="4">
        <v>3</v>
      </c>
      <c r="AA144" s="4">
        <v>3</v>
      </c>
      <c r="AB144" s="4">
        <v>1</v>
      </c>
      <c r="AC144" s="4">
        <v>1</v>
      </c>
      <c r="AD144" s="4">
        <v>19</v>
      </c>
      <c r="AE144" s="4">
        <v>24</v>
      </c>
      <c r="AF144" s="4">
        <v>0</v>
      </c>
      <c r="AG144" s="4">
        <v>0</v>
      </c>
      <c r="AH144" s="4">
        <v>18</v>
      </c>
      <c r="AI144" s="4">
        <v>23</v>
      </c>
      <c r="AJ144" s="4">
        <v>1</v>
      </c>
      <c r="AK144" s="4">
        <v>1</v>
      </c>
      <c r="AL144" s="4">
        <v>14</v>
      </c>
      <c r="AM144" s="4">
        <v>19</v>
      </c>
      <c r="AN144" s="4">
        <v>0</v>
      </c>
      <c r="AO144" s="4">
        <v>0</v>
      </c>
      <c r="AP144" s="4">
        <v>1</v>
      </c>
      <c r="AQ144" s="4">
        <v>1</v>
      </c>
      <c r="AR144" s="3" t="s">
        <v>65</v>
      </c>
      <c r="AS144" s="3" t="s">
        <v>65</v>
      </c>
      <c r="AT144" s="3" t="s">
        <v>65</v>
      </c>
      <c r="AV144" s="6" t="str">
        <f>HYPERLINK("http://mcgill.on.worldcat.org/oclc/805054399","Catalog Record")</f>
        <v>Catalog Record</v>
      </c>
      <c r="AW144" s="6" t="str">
        <f>HYPERLINK("http://www.worldcat.org/oclc/805054399","WorldCat Record")</f>
        <v>WorldCat Record</v>
      </c>
      <c r="AX144" s="3" t="s">
        <v>1395</v>
      </c>
      <c r="AY144" s="3" t="s">
        <v>1396</v>
      </c>
      <c r="AZ144" s="3" t="s">
        <v>1397</v>
      </c>
      <c r="BA144" s="3" t="s">
        <v>1397</v>
      </c>
      <c r="BB144" s="3" t="s">
        <v>1398</v>
      </c>
      <c r="BC144" s="3" t="s">
        <v>77</v>
      </c>
      <c r="BD144" s="3" t="s">
        <v>78</v>
      </c>
      <c r="BE144" s="3" t="s">
        <v>1399</v>
      </c>
      <c r="BF144" s="3" t="s">
        <v>1398</v>
      </c>
      <c r="BG144" s="3" t="s">
        <v>1400</v>
      </c>
    </row>
    <row r="145" spans="1:59" ht="58" x14ac:dyDescent="0.35">
      <c r="A145" s="2" t="s">
        <v>59</v>
      </c>
      <c r="B145" s="2" t="s">
        <v>60</v>
      </c>
      <c r="C145" s="2" t="s">
        <v>1389</v>
      </c>
      <c r="D145" s="2" t="s">
        <v>1390</v>
      </c>
      <c r="E145" s="2" t="s">
        <v>1391</v>
      </c>
      <c r="F145" s="3" t="s">
        <v>245</v>
      </c>
      <c r="G145" s="3" t="s">
        <v>209</v>
      </c>
      <c r="I145" s="3" t="s">
        <v>65</v>
      </c>
      <c r="J145" s="3" t="s">
        <v>65</v>
      </c>
      <c r="K145" s="3" t="s">
        <v>66</v>
      </c>
      <c r="L145" s="2" t="s">
        <v>1392</v>
      </c>
      <c r="M145" s="2" t="s">
        <v>1393</v>
      </c>
      <c r="N145" s="3" t="s">
        <v>139</v>
      </c>
      <c r="P145" s="3" t="s">
        <v>140</v>
      </c>
      <c r="Q145" s="2" t="s">
        <v>1394</v>
      </c>
      <c r="R145" s="3" t="s">
        <v>71</v>
      </c>
      <c r="S145" s="4">
        <v>0</v>
      </c>
      <c r="T145" s="4">
        <v>0</v>
      </c>
      <c r="W145" s="5" t="s">
        <v>72</v>
      </c>
      <c r="X145" s="5" t="s">
        <v>72</v>
      </c>
      <c r="Y145" s="4">
        <v>29</v>
      </c>
      <c r="Z145" s="4">
        <v>3</v>
      </c>
      <c r="AA145" s="4">
        <v>3</v>
      </c>
      <c r="AB145" s="4">
        <v>1</v>
      </c>
      <c r="AC145" s="4">
        <v>1</v>
      </c>
      <c r="AD145" s="4">
        <v>19</v>
      </c>
      <c r="AE145" s="4">
        <v>24</v>
      </c>
      <c r="AF145" s="4">
        <v>0</v>
      </c>
      <c r="AG145" s="4">
        <v>0</v>
      </c>
      <c r="AH145" s="4">
        <v>18</v>
      </c>
      <c r="AI145" s="4">
        <v>23</v>
      </c>
      <c r="AJ145" s="4">
        <v>1</v>
      </c>
      <c r="AK145" s="4">
        <v>1</v>
      </c>
      <c r="AL145" s="4">
        <v>14</v>
      </c>
      <c r="AM145" s="4">
        <v>19</v>
      </c>
      <c r="AN145" s="4">
        <v>0</v>
      </c>
      <c r="AO145" s="4">
        <v>0</v>
      </c>
      <c r="AP145" s="4">
        <v>1</v>
      </c>
      <c r="AQ145" s="4">
        <v>1</v>
      </c>
      <c r="AR145" s="3" t="s">
        <v>65</v>
      </c>
      <c r="AS145" s="3" t="s">
        <v>65</v>
      </c>
      <c r="AT145" s="3" t="s">
        <v>65</v>
      </c>
      <c r="AV145" s="6" t="str">
        <f>HYPERLINK("http://mcgill.on.worldcat.org/oclc/805054399","Catalog Record")</f>
        <v>Catalog Record</v>
      </c>
      <c r="AW145" s="6" t="str">
        <f>HYPERLINK("http://www.worldcat.org/oclc/805054399","WorldCat Record")</f>
        <v>WorldCat Record</v>
      </c>
      <c r="AX145" s="3" t="s">
        <v>1395</v>
      </c>
      <c r="AY145" s="3" t="s">
        <v>1396</v>
      </c>
      <c r="AZ145" s="3" t="s">
        <v>1397</v>
      </c>
      <c r="BA145" s="3" t="s">
        <v>1397</v>
      </c>
      <c r="BB145" s="3" t="s">
        <v>1401</v>
      </c>
      <c r="BC145" s="3" t="s">
        <v>77</v>
      </c>
      <c r="BD145" s="3" t="s">
        <v>78</v>
      </c>
      <c r="BE145" s="3" t="s">
        <v>1399</v>
      </c>
      <c r="BF145" s="3" t="s">
        <v>1401</v>
      </c>
      <c r="BG145" s="3" t="s">
        <v>1402</v>
      </c>
    </row>
    <row r="146" spans="1:59" ht="58" x14ac:dyDescent="0.35">
      <c r="A146" s="2" t="s">
        <v>59</v>
      </c>
      <c r="B146" s="2" t="s">
        <v>60</v>
      </c>
      <c r="C146" s="2" t="s">
        <v>1389</v>
      </c>
      <c r="D146" s="2" t="s">
        <v>1390</v>
      </c>
      <c r="E146" s="2" t="s">
        <v>1391</v>
      </c>
      <c r="F146" s="3" t="s">
        <v>258</v>
      </c>
      <c r="G146" s="3" t="s">
        <v>209</v>
      </c>
      <c r="I146" s="3" t="s">
        <v>65</v>
      </c>
      <c r="J146" s="3" t="s">
        <v>65</v>
      </c>
      <c r="K146" s="3" t="s">
        <v>66</v>
      </c>
      <c r="L146" s="2" t="s">
        <v>1392</v>
      </c>
      <c r="M146" s="2" t="s">
        <v>1393</v>
      </c>
      <c r="N146" s="3" t="s">
        <v>139</v>
      </c>
      <c r="P146" s="3" t="s">
        <v>140</v>
      </c>
      <c r="Q146" s="2" t="s">
        <v>1394</v>
      </c>
      <c r="R146" s="3" t="s">
        <v>71</v>
      </c>
      <c r="S146" s="4">
        <v>0</v>
      </c>
      <c r="T146" s="4">
        <v>0</v>
      </c>
      <c r="W146" s="5" t="s">
        <v>72</v>
      </c>
      <c r="X146" s="5" t="s">
        <v>72</v>
      </c>
      <c r="Y146" s="4">
        <v>29</v>
      </c>
      <c r="Z146" s="4">
        <v>3</v>
      </c>
      <c r="AA146" s="4">
        <v>3</v>
      </c>
      <c r="AB146" s="4">
        <v>1</v>
      </c>
      <c r="AC146" s="4">
        <v>1</v>
      </c>
      <c r="AD146" s="4">
        <v>19</v>
      </c>
      <c r="AE146" s="4">
        <v>24</v>
      </c>
      <c r="AF146" s="4">
        <v>0</v>
      </c>
      <c r="AG146" s="4">
        <v>0</v>
      </c>
      <c r="AH146" s="4">
        <v>18</v>
      </c>
      <c r="AI146" s="4">
        <v>23</v>
      </c>
      <c r="AJ146" s="4">
        <v>1</v>
      </c>
      <c r="AK146" s="4">
        <v>1</v>
      </c>
      <c r="AL146" s="4">
        <v>14</v>
      </c>
      <c r="AM146" s="4">
        <v>19</v>
      </c>
      <c r="AN146" s="4">
        <v>0</v>
      </c>
      <c r="AO146" s="4">
        <v>0</v>
      </c>
      <c r="AP146" s="4">
        <v>1</v>
      </c>
      <c r="AQ146" s="4">
        <v>1</v>
      </c>
      <c r="AR146" s="3" t="s">
        <v>65</v>
      </c>
      <c r="AS146" s="3" t="s">
        <v>65</v>
      </c>
      <c r="AT146" s="3" t="s">
        <v>65</v>
      </c>
      <c r="AV146" s="6" t="str">
        <f>HYPERLINK("http://mcgill.on.worldcat.org/oclc/805054399","Catalog Record")</f>
        <v>Catalog Record</v>
      </c>
      <c r="AW146" s="6" t="str">
        <f>HYPERLINK("http://www.worldcat.org/oclc/805054399","WorldCat Record")</f>
        <v>WorldCat Record</v>
      </c>
      <c r="AX146" s="3" t="s">
        <v>1395</v>
      </c>
      <c r="AY146" s="3" t="s">
        <v>1396</v>
      </c>
      <c r="AZ146" s="3" t="s">
        <v>1397</v>
      </c>
      <c r="BA146" s="3" t="s">
        <v>1397</v>
      </c>
      <c r="BB146" s="3" t="s">
        <v>1403</v>
      </c>
      <c r="BC146" s="3" t="s">
        <v>77</v>
      </c>
      <c r="BD146" s="3" t="s">
        <v>78</v>
      </c>
      <c r="BE146" s="3" t="s">
        <v>1399</v>
      </c>
      <c r="BF146" s="3" t="s">
        <v>1403</v>
      </c>
      <c r="BG146" s="3" t="s">
        <v>1404</v>
      </c>
    </row>
    <row r="147" spans="1:59" ht="58" x14ac:dyDescent="0.35">
      <c r="A147" s="2" t="s">
        <v>59</v>
      </c>
      <c r="B147" s="2" t="s">
        <v>60</v>
      </c>
      <c r="C147" s="2" t="s">
        <v>1405</v>
      </c>
      <c r="D147" s="2" t="s">
        <v>1406</v>
      </c>
      <c r="E147" s="2" t="s">
        <v>1407</v>
      </c>
      <c r="G147" s="3" t="s">
        <v>65</v>
      </c>
      <c r="I147" s="3" t="s">
        <v>65</v>
      </c>
      <c r="J147" s="3" t="s">
        <v>65</v>
      </c>
      <c r="K147" s="3" t="s">
        <v>66</v>
      </c>
      <c r="L147" s="2" t="s">
        <v>1408</v>
      </c>
      <c r="M147" s="2" t="s">
        <v>1409</v>
      </c>
      <c r="N147" s="3" t="s">
        <v>176</v>
      </c>
      <c r="O147" s="2" t="s">
        <v>1410</v>
      </c>
      <c r="P147" s="3" t="s">
        <v>140</v>
      </c>
      <c r="Q147" s="2" t="s">
        <v>1411</v>
      </c>
      <c r="R147" s="3" t="s">
        <v>71</v>
      </c>
      <c r="S147" s="4">
        <v>0</v>
      </c>
      <c r="T147" s="4">
        <v>0</v>
      </c>
      <c r="W147" s="5" t="s">
        <v>72</v>
      </c>
      <c r="X147" s="5" t="s">
        <v>72</v>
      </c>
      <c r="Y147" s="4">
        <v>44</v>
      </c>
      <c r="Z147" s="4">
        <v>4</v>
      </c>
      <c r="AA147" s="4">
        <v>4</v>
      </c>
      <c r="AB147" s="4">
        <v>1</v>
      </c>
      <c r="AC147" s="4">
        <v>1</v>
      </c>
      <c r="AD147" s="4">
        <v>32</v>
      </c>
      <c r="AE147" s="4">
        <v>32</v>
      </c>
      <c r="AF147" s="4">
        <v>0</v>
      </c>
      <c r="AG147" s="4">
        <v>0</v>
      </c>
      <c r="AH147" s="4">
        <v>31</v>
      </c>
      <c r="AI147" s="4">
        <v>31</v>
      </c>
      <c r="AJ147" s="4">
        <v>2</v>
      </c>
      <c r="AK147" s="4">
        <v>2</v>
      </c>
      <c r="AL147" s="4">
        <v>23</v>
      </c>
      <c r="AM147" s="4">
        <v>23</v>
      </c>
      <c r="AN147" s="4">
        <v>0</v>
      </c>
      <c r="AO147" s="4">
        <v>0</v>
      </c>
      <c r="AP147" s="4">
        <v>2</v>
      </c>
      <c r="AQ147" s="4">
        <v>2</v>
      </c>
      <c r="AR147" s="3" t="s">
        <v>65</v>
      </c>
      <c r="AS147" s="3" t="s">
        <v>65</v>
      </c>
      <c r="AT147" s="3" t="s">
        <v>65</v>
      </c>
      <c r="AV147" s="6" t="str">
        <f>HYPERLINK("http://mcgill.on.worldcat.org/oclc/909284933","Catalog Record")</f>
        <v>Catalog Record</v>
      </c>
      <c r="AW147" s="6" t="str">
        <f>HYPERLINK("http://www.worldcat.org/oclc/909284933","WorldCat Record")</f>
        <v>WorldCat Record</v>
      </c>
      <c r="AX147" s="3" t="s">
        <v>1412</v>
      </c>
      <c r="AY147" s="3" t="s">
        <v>1413</v>
      </c>
      <c r="AZ147" s="3" t="s">
        <v>1414</v>
      </c>
      <c r="BA147" s="3" t="s">
        <v>1414</v>
      </c>
      <c r="BB147" s="3" t="s">
        <v>1415</v>
      </c>
      <c r="BC147" s="3" t="s">
        <v>77</v>
      </c>
      <c r="BD147" s="3" t="s">
        <v>78</v>
      </c>
      <c r="BE147" s="3" t="s">
        <v>1416</v>
      </c>
      <c r="BF147" s="3" t="s">
        <v>1415</v>
      </c>
      <c r="BG147" s="3" t="s">
        <v>1417</v>
      </c>
    </row>
    <row r="148" spans="1:59" ht="72.5" x14ac:dyDescent="0.35">
      <c r="A148" s="2" t="s">
        <v>59</v>
      </c>
      <c r="B148" s="2" t="s">
        <v>60</v>
      </c>
      <c r="C148" s="2" t="s">
        <v>1418</v>
      </c>
      <c r="D148" s="2" t="s">
        <v>1419</v>
      </c>
      <c r="E148" s="2" t="s">
        <v>1420</v>
      </c>
      <c r="G148" s="3" t="s">
        <v>65</v>
      </c>
      <c r="I148" s="3" t="s">
        <v>65</v>
      </c>
      <c r="J148" s="3" t="s">
        <v>65</v>
      </c>
      <c r="K148" s="3" t="s">
        <v>66</v>
      </c>
      <c r="L148" s="2" t="s">
        <v>1421</v>
      </c>
      <c r="M148" s="2" t="s">
        <v>1422</v>
      </c>
      <c r="N148" s="3" t="s">
        <v>1032</v>
      </c>
      <c r="P148" s="3" t="s">
        <v>140</v>
      </c>
      <c r="R148" s="3" t="s">
        <v>71</v>
      </c>
      <c r="S148" s="4">
        <v>7</v>
      </c>
      <c r="T148" s="4">
        <v>7</v>
      </c>
      <c r="U148" s="5" t="s">
        <v>1423</v>
      </c>
      <c r="V148" s="5" t="s">
        <v>1423</v>
      </c>
      <c r="W148" s="5" t="s">
        <v>72</v>
      </c>
      <c r="X148" s="5" t="s">
        <v>72</v>
      </c>
      <c r="Y148" s="4">
        <v>51</v>
      </c>
      <c r="Z148" s="4">
        <v>4</v>
      </c>
      <c r="AA148" s="4">
        <v>5</v>
      </c>
      <c r="AB148" s="4">
        <v>1</v>
      </c>
      <c r="AC148" s="4">
        <v>2</v>
      </c>
      <c r="AD148" s="4">
        <v>33</v>
      </c>
      <c r="AE148" s="4">
        <v>34</v>
      </c>
      <c r="AF148" s="4">
        <v>0</v>
      </c>
      <c r="AG148" s="4">
        <v>1</v>
      </c>
      <c r="AH148" s="4">
        <v>32</v>
      </c>
      <c r="AI148" s="4">
        <v>32</v>
      </c>
      <c r="AJ148" s="4">
        <v>2</v>
      </c>
      <c r="AK148" s="4">
        <v>3</v>
      </c>
      <c r="AL148" s="4">
        <v>26</v>
      </c>
      <c r="AM148" s="4">
        <v>26</v>
      </c>
      <c r="AN148" s="4">
        <v>0</v>
      </c>
      <c r="AO148" s="4">
        <v>0</v>
      </c>
      <c r="AP148" s="4">
        <v>2</v>
      </c>
      <c r="AQ148" s="4">
        <v>2</v>
      </c>
      <c r="AR148" s="3" t="s">
        <v>65</v>
      </c>
      <c r="AS148" s="3" t="s">
        <v>65</v>
      </c>
      <c r="AT148" s="3" t="s">
        <v>209</v>
      </c>
      <c r="AU148" s="6" t="str">
        <f>HYPERLINK("http://catalog.hathitrust.org/Record/003088925","HathiTrust Record")</f>
        <v>HathiTrust Record</v>
      </c>
      <c r="AV148" s="6" t="str">
        <f>HYPERLINK("http://mcgill.on.worldcat.org/oclc/34137464","Catalog Record")</f>
        <v>Catalog Record</v>
      </c>
      <c r="AW148" s="6" t="str">
        <f>HYPERLINK("http://www.worldcat.org/oclc/34137464","WorldCat Record")</f>
        <v>WorldCat Record</v>
      </c>
      <c r="AX148" s="3" t="s">
        <v>1424</v>
      </c>
      <c r="AY148" s="3" t="s">
        <v>1425</v>
      </c>
      <c r="AZ148" s="3" t="s">
        <v>1426</v>
      </c>
      <c r="BA148" s="3" t="s">
        <v>1426</v>
      </c>
      <c r="BB148" s="3" t="s">
        <v>1427</v>
      </c>
      <c r="BC148" s="3" t="s">
        <v>77</v>
      </c>
      <c r="BD148" s="3" t="s">
        <v>78</v>
      </c>
      <c r="BE148" s="3" t="s">
        <v>1428</v>
      </c>
      <c r="BF148" s="3" t="s">
        <v>1427</v>
      </c>
      <c r="BG148" s="3" t="s">
        <v>1429</v>
      </c>
    </row>
    <row r="149" spans="1:59" ht="58" x14ac:dyDescent="0.35">
      <c r="A149" s="2" t="s">
        <v>59</v>
      </c>
      <c r="B149" s="2" t="s">
        <v>60</v>
      </c>
      <c r="C149" s="2" t="s">
        <v>1430</v>
      </c>
      <c r="D149" s="2" t="s">
        <v>1431</v>
      </c>
      <c r="E149" s="2" t="s">
        <v>1432</v>
      </c>
      <c r="G149" s="3" t="s">
        <v>65</v>
      </c>
      <c r="I149" s="3" t="s">
        <v>65</v>
      </c>
      <c r="J149" s="3" t="s">
        <v>65</v>
      </c>
      <c r="K149" s="3" t="s">
        <v>66</v>
      </c>
      <c r="L149" s="2" t="s">
        <v>1433</v>
      </c>
      <c r="M149" s="2" t="s">
        <v>1434</v>
      </c>
      <c r="N149" s="3" t="s">
        <v>152</v>
      </c>
      <c r="P149" s="3" t="s">
        <v>140</v>
      </c>
      <c r="Q149" s="2" t="s">
        <v>1435</v>
      </c>
      <c r="R149" s="3" t="s">
        <v>71</v>
      </c>
      <c r="S149" s="4">
        <v>1</v>
      </c>
      <c r="T149" s="4">
        <v>1</v>
      </c>
      <c r="U149" s="5" t="s">
        <v>1423</v>
      </c>
      <c r="V149" s="5" t="s">
        <v>1423</v>
      </c>
      <c r="W149" s="5" t="s">
        <v>72</v>
      </c>
      <c r="X149" s="5" t="s">
        <v>72</v>
      </c>
      <c r="Y149" s="4">
        <v>35</v>
      </c>
      <c r="Z149" s="4">
        <v>3</v>
      </c>
      <c r="AA149" s="4">
        <v>3</v>
      </c>
      <c r="AB149" s="4">
        <v>1</v>
      </c>
      <c r="AC149" s="4">
        <v>1</v>
      </c>
      <c r="AD149" s="4">
        <v>24</v>
      </c>
      <c r="AE149" s="4">
        <v>24</v>
      </c>
      <c r="AF149" s="4">
        <v>0</v>
      </c>
      <c r="AG149" s="4">
        <v>0</v>
      </c>
      <c r="AH149" s="4">
        <v>23</v>
      </c>
      <c r="AI149" s="4">
        <v>23</v>
      </c>
      <c r="AJ149" s="4">
        <v>1</v>
      </c>
      <c r="AK149" s="4">
        <v>1</v>
      </c>
      <c r="AL149" s="4">
        <v>20</v>
      </c>
      <c r="AM149" s="4">
        <v>20</v>
      </c>
      <c r="AN149" s="4">
        <v>0</v>
      </c>
      <c r="AO149" s="4">
        <v>0</v>
      </c>
      <c r="AP149" s="4">
        <v>1</v>
      </c>
      <c r="AQ149" s="4">
        <v>1</v>
      </c>
      <c r="AR149" s="3" t="s">
        <v>65</v>
      </c>
      <c r="AS149" s="3" t="s">
        <v>65</v>
      </c>
      <c r="AT149" s="3" t="s">
        <v>65</v>
      </c>
      <c r="AV149" s="6" t="str">
        <f>HYPERLINK("http://mcgill.on.worldcat.org/oclc/841762379","Catalog Record")</f>
        <v>Catalog Record</v>
      </c>
      <c r="AW149" s="6" t="str">
        <f>HYPERLINK("http://www.worldcat.org/oclc/841762379","WorldCat Record")</f>
        <v>WorldCat Record</v>
      </c>
      <c r="AX149" s="3" t="s">
        <v>1436</v>
      </c>
      <c r="AY149" s="3" t="s">
        <v>1437</v>
      </c>
      <c r="AZ149" s="3" t="s">
        <v>1438</v>
      </c>
      <c r="BA149" s="3" t="s">
        <v>1438</v>
      </c>
      <c r="BB149" s="3" t="s">
        <v>1439</v>
      </c>
      <c r="BC149" s="3" t="s">
        <v>77</v>
      </c>
      <c r="BD149" s="3" t="s">
        <v>78</v>
      </c>
      <c r="BE149" s="3" t="s">
        <v>1440</v>
      </c>
      <c r="BF149" s="3" t="s">
        <v>1439</v>
      </c>
      <c r="BG149" s="3" t="s">
        <v>1441</v>
      </c>
    </row>
    <row r="150" spans="1:59" ht="58" x14ac:dyDescent="0.35">
      <c r="A150" s="2" t="s">
        <v>59</v>
      </c>
      <c r="B150" s="2" t="s">
        <v>60</v>
      </c>
      <c r="C150" s="2" t="s">
        <v>1442</v>
      </c>
      <c r="D150" s="2" t="s">
        <v>1443</v>
      </c>
      <c r="E150" s="2" t="s">
        <v>1444</v>
      </c>
      <c r="G150" s="3" t="s">
        <v>65</v>
      </c>
      <c r="I150" s="3" t="s">
        <v>65</v>
      </c>
      <c r="J150" s="3" t="s">
        <v>65</v>
      </c>
      <c r="K150" s="3" t="s">
        <v>66</v>
      </c>
      <c r="L150" s="2" t="s">
        <v>1445</v>
      </c>
      <c r="M150" s="2" t="s">
        <v>1446</v>
      </c>
      <c r="N150" s="3" t="s">
        <v>479</v>
      </c>
      <c r="P150" s="3" t="s">
        <v>140</v>
      </c>
      <c r="Q150" s="2" t="s">
        <v>1447</v>
      </c>
      <c r="R150" s="3" t="s">
        <v>71</v>
      </c>
      <c r="S150" s="4">
        <v>2</v>
      </c>
      <c r="T150" s="4">
        <v>2</v>
      </c>
      <c r="U150" s="5" t="s">
        <v>1448</v>
      </c>
      <c r="V150" s="5" t="s">
        <v>1448</v>
      </c>
      <c r="W150" s="5" t="s">
        <v>72</v>
      </c>
      <c r="X150" s="5" t="s">
        <v>72</v>
      </c>
      <c r="Y150" s="4">
        <v>31</v>
      </c>
      <c r="Z150" s="4">
        <v>3</v>
      </c>
      <c r="AA150" s="4">
        <v>3</v>
      </c>
      <c r="AB150" s="4">
        <v>1</v>
      </c>
      <c r="AC150" s="4">
        <v>1</v>
      </c>
      <c r="AD150" s="4">
        <v>22</v>
      </c>
      <c r="AE150" s="4">
        <v>22</v>
      </c>
      <c r="AF150" s="4">
        <v>0</v>
      </c>
      <c r="AG150" s="4">
        <v>0</v>
      </c>
      <c r="AH150" s="4">
        <v>21</v>
      </c>
      <c r="AI150" s="4">
        <v>21</v>
      </c>
      <c r="AJ150" s="4">
        <v>1</v>
      </c>
      <c r="AK150" s="4">
        <v>1</v>
      </c>
      <c r="AL150" s="4">
        <v>20</v>
      </c>
      <c r="AM150" s="4">
        <v>20</v>
      </c>
      <c r="AN150" s="4">
        <v>0</v>
      </c>
      <c r="AO150" s="4">
        <v>0</v>
      </c>
      <c r="AP150" s="4">
        <v>1</v>
      </c>
      <c r="AQ150" s="4">
        <v>1</v>
      </c>
      <c r="AR150" s="3" t="s">
        <v>65</v>
      </c>
      <c r="AS150" s="3" t="s">
        <v>65</v>
      </c>
      <c r="AT150" s="3" t="s">
        <v>209</v>
      </c>
      <c r="AU150" s="6" t="str">
        <f>HYPERLINK("http://catalog.hathitrust.org/Record/005901091","HathiTrust Record")</f>
        <v>HathiTrust Record</v>
      </c>
      <c r="AV150" s="6" t="str">
        <f>HYPERLINK("http://mcgill.on.worldcat.org/oclc/262884582","Catalog Record")</f>
        <v>Catalog Record</v>
      </c>
      <c r="AW150" s="6" t="str">
        <f>HYPERLINK("http://www.worldcat.org/oclc/262884582","WorldCat Record")</f>
        <v>WorldCat Record</v>
      </c>
      <c r="AX150" s="3" t="s">
        <v>1449</v>
      </c>
      <c r="AY150" s="3" t="s">
        <v>1450</v>
      </c>
      <c r="AZ150" s="3" t="s">
        <v>1451</v>
      </c>
      <c r="BA150" s="3" t="s">
        <v>1451</v>
      </c>
      <c r="BB150" s="3" t="s">
        <v>1452</v>
      </c>
      <c r="BC150" s="3" t="s">
        <v>77</v>
      </c>
      <c r="BD150" s="3" t="s">
        <v>78</v>
      </c>
      <c r="BE150" s="3" t="s">
        <v>1453</v>
      </c>
      <c r="BF150" s="3" t="s">
        <v>1452</v>
      </c>
      <c r="BG150" s="3" t="s">
        <v>1454</v>
      </c>
    </row>
    <row r="151" spans="1:59" ht="58" x14ac:dyDescent="0.35">
      <c r="A151" s="2" t="s">
        <v>59</v>
      </c>
      <c r="B151" s="2" t="s">
        <v>60</v>
      </c>
      <c r="C151" s="2" t="s">
        <v>1455</v>
      </c>
      <c r="D151" s="2" t="s">
        <v>1456</v>
      </c>
      <c r="E151" s="2" t="s">
        <v>1457</v>
      </c>
      <c r="G151" s="3" t="s">
        <v>65</v>
      </c>
      <c r="I151" s="3" t="s">
        <v>65</v>
      </c>
      <c r="J151" s="3" t="s">
        <v>65</v>
      </c>
      <c r="K151" s="3" t="s">
        <v>66</v>
      </c>
      <c r="L151" s="2" t="s">
        <v>1458</v>
      </c>
      <c r="M151" s="2" t="s">
        <v>1459</v>
      </c>
      <c r="N151" s="3" t="s">
        <v>68</v>
      </c>
      <c r="P151" s="3" t="s">
        <v>140</v>
      </c>
      <c r="Q151" s="2" t="s">
        <v>1460</v>
      </c>
      <c r="R151" s="3" t="s">
        <v>71</v>
      </c>
      <c r="S151" s="4">
        <v>0</v>
      </c>
      <c r="T151" s="4">
        <v>0</v>
      </c>
      <c r="W151" s="5" t="s">
        <v>72</v>
      </c>
      <c r="X151" s="5" t="s">
        <v>72</v>
      </c>
      <c r="Y151" s="4">
        <v>35</v>
      </c>
      <c r="Z151" s="4">
        <v>1</v>
      </c>
      <c r="AA151" s="4">
        <v>1</v>
      </c>
      <c r="AB151" s="4">
        <v>1</v>
      </c>
      <c r="AC151" s="4">
        <v>1</v>
      </c>
      <c r="AD151" s="4">
        <v>27</v>
      </c>
      <c r="AE151" s="4">
        <v>27</v>
      </c>
      <c r="AF151" s="4">
        <v>0</v>
      </c>
      <c r="AG151" s="4">
        <v>0</v>
      </c>
      <c r="AH151" s="4">
        <v>26</v>
      </c>
      <c r="AI151" s="4">
        <v>26</v>
      </c>
      <c r="AJ151" s="4">
        <v>0</v>
      </c>
      <c r="AK151" s="4">
        <v>0</v>
      </c>
      <c r="AL151" s="4">
        <v>22</v>
      </c>
      <c r="AM151" s="4">
        <v>22</v>
      </c>
      <c r="AN151" s="4">
        <v>0</v>
      </c>
      <c r="AO151" s="4">
        <v>0</v>
      </c>
      <c r="AP151" s="4">
        <v>0</v>
      </c>
      <c r="AQ151" s="4">
        <v>0</v>
      </c>
      <c r="AR151" s="3" t="s">
        <v>65</v>
      </c>
      <c r="AS151" s="3" t="s">
        <v>65</v>
      </c>
      <c r="AT151" s="3" t="s">
        <v>65</v>
      </c>
      <c r="AV151" s="6" t="str">
        <f>HYPERLINK("http://mcgill.on.worldcat.org/oclc/970769230","Catalog Record")</f>
        <v>Catalog Record</v>
      </c>
      <c r="AW151" s="6" t="str">
        <f>HYPERLINK("http://www.worldcat.org/oclc/970769230","WorldCat Record")</f>
        <v>WorldCat Record</v>
      </c>
      <c r="AX151" s="3" t="s">
        <v>1461</v>
      </c>
      <c r="AY151" s="3" t="s">
        <v>1462</v>
      </c>
      <c r="AZ151" s="3" t="s">
        <v>1463</v>
      </c>
      <c r="BA151" s="3" t="s">
        <v>1463</v>
      </c>
      <c r="BB151" s="3" t="s">
        <v>1464</v>
      </c>
      <c r="BC151" s="3" t="s">
        <v>77</v>
      </c>
      <c r="BD151" s="3" t="s">
        <v>78</v>
      </c>
      <c r="BE151" s="3" t="s">
        <v>1465</v>
      </c>
      <c r="BF151" s="3" t="s">
        <v>1464</v>
      </c>
      <c r="BG151" s="3" t="s">
        <v>1466</v>
      </c>
    </row>
    <row r="152" spans="1:59" ht="58" x14ac:dyDescent="0.35">
      <c r="A152" s="2" t="s">
        <v>59</v>
      </c>
      <c r="B152" s="2" t="s">
        <v>60</v>
      </c>
      <c r="C152" s="2" t="s">
        <v>1467</v>
      </c>
      <c r="D152" s="2" t="s">
        <v>1468</v>
      </c>
      <c r="E152" s="2" t="s">
        <v>1469</v>
      </c>
      <c r="G152" s="3" t="s">
        <v>65</v>
      </c>
      <c r="I152" s="3" t="s">
        <v>65</v>
      </c>
      <c r="J152" s="3" t="s">
        <v>65</v>
      </c>
      <c r="K152" s="3" t="s">
        <v>66</v>
      </c>
      <c r="L152" s="2" t="s">
        <v>1470</v>
      </c>
      <c r="M152" s="2" t="s">
        <v>1471</v>
      </c>
      <c r="N152" s="3" t="s">
        <v>113</v>
      </c>
      <c r="P152" s="3" t="s">
        <v>140</v>
      </c>
      <c r="Q152" s="2" t="s">
        <v>1472</v>
      </c>
      <c r="R152" s="3" t="s">
        <v>71</v>
      </c>
      <c r="S152" s="4">
        <v>0</v>
      </c>
      <c r="T152" s="4">
        <v>0</v>
      </c>
      <c r="W152" s="5" t="s">
        <v>72</v>
      </c>
      <c r="X152" s="5" t="s">
        <v>72</v>
      </c>
      <c r="Y152" s="4">
        <v>36</v>
      </c>
      <c r="Z152" s="4">
        <v>3</v>
      </c>
      <c r="AA152" s="4">
        <v>3</v>
      </c>
      <c r="AB152" s="4">
        <v>1</v>
      </c>
      <c r="AC152" s="4">
        <v>1</v>
      </c>
      <c r="AD152" s="4">
        <v>27</v>
      </c>
      <c r="AE152" s="4">
        <v>27</v>
      </c>
      <c r="AF152" s="4">
        <v>0</v>
      </c>
      <c r="AG152" s="4">
        <v>0</v>
      </c>
      <c r="AH152" s="4">
        <v>26</v>
      </c>
      <c r="AI152" s="4">
        <v>26</v>
      </c>
      <c r="AJ152" s="4">
        <v>1</v>
      </c>
      <c r="AK152" s="4">
        <v>1</v>
      </c>
      <c r="AL152" s="4">
        <v>21</v>
      </c>
      <c r="AM152" s="4">
        <v>21</v>
      </c>
      <c r="AN152" s="4">
        <v>0</v>
      </c>
      <c r="AO152" s="4">
        <v>0</v>
      </c>
      <c r="AP152" s="4">
        <v>1</v>
      </c>
      <c r="AQ152" s="4">
        <v>1</v>
      </c>
      <c r="AR152" s="3" t="s">
        <v>65</v>
      </c>
      <c r="AS152" s="3" t="s">
        <v>65</v>
      </c>
      <c r="AT152" s="3" t="s">
        <v>65</v>
      </c>
      <c r="AV152" s="6" t="str">
        <f>HYPERLINK("http://mcgill.on.worldcat.org/oclc/587030152","Catalog Record")</f>
        <v>Catalog Record</v>
      </c>
      <c r="AW152" s="6" t="str">
        <f>HYPERLINK("http://www.worldcat.org/oclc/587030152","WorldCat Record")</f>
        <v>WorldCat Record</v>
      </c>
      <c r="AX152" s="3" t="s">
        <v>1473</v>
      </c>
      <c r="AY152" s="3" t="s">
        <v>1474</v>
      </c>
      <c r="AZ152" s="3" t="s">
        <v>1475</v>
      </c>
      <c r="BA152" s="3" t="s">
        <v>1475</v>
      </c>
      <c r="BB152" s="3" t="s">
        <v>1476</v>
      </c>
      <c r="BC152" s="3" t="s">
        <v>77</v>
      </c>
      <c r="BD152" s="3" t="s">
        <v>78</v>
      </c>
      <c r="BE152" s="3" t="s">
        <v>1477</v>
      </c>
      <c r="BF152" s="3" t="s">
        <v>1476</v>
      </c>
      <c r="BG152" s="3" t="s">
        <v>1478</v>
      </c>
    </row>
    <row r="153" spans="1:59" ht="58" x14ac:dyDescent="0.35">
      <c r="A153" s="2" t="s">
        <v>59</v>
      </c>
      <c r="B153" s="2" t="s">
        <v>60</v>
      </c>
      <c r="C153" s="2" t="s">
        <v>1479</v>
      </c>
      <c r="D153" s="2" t="s">
        <v>1480</v>
      </c>
      <c r="E153" s="2" t="s">
        <v>1481</v>
      </c>
      <c r="G153" s="3" t="s">
        <v>65</v>
      </c>
      <c r="I153" s="3" t="s">
        <v>65</v>
      </c>
      <c r="J153" s="3" t="s">
        <v>65</v>
      </c>
      <c r="K153" s="3" t="s">
        <v>66</v>
      </c>
      <c r="L153" s="2" t="s">
        <v>1482</v>
      </c>
      <c r="M153" s="2" t="s">
        <v>1483</v>
      </c>
      <c r="N153" s="3" t="s">
        <v>152</v>
      </c>
      <c r="P153" s="3" t="s">
        <v>69</v>
      </c>
      <c r="R153" s="3" t="s">
        <v>71</v>
      </c>
      <c r="S153" s="4">
        <v>3</v>
      </c>
      <c r="T153" s="4">
        <v>3</v>
      </c>
      <c r="W153" s="5" t="s">
        <v>72</v>
      </c>
      <c r="X153" s="5" t="s">
        <v>72</v>
      </c>
      <c r="Y153" s="4">
        <v>212</v>
      </c>
      <c r="Z153" s="4">
        <v>17</v>
      </c>
      <c r="AA153" s="4">
        <v>34</v>
      </c>
      <c r="AB153" s="4">
        <v>1</v>
      </c>
      <c r="AC153" s="4">
        <v>3</v>
      </c>
      <c r="AD153" s="4">
        <v>81</v>
      </c>
      <c r="AE153" s="4">
        <v>112</v>
      </c>
      <c r="AF153" s="4">
        <v>0</v>
      </c>
      <c r="AG153" s="4">
        <v>1</v>
      </c>
      <c r="AH153" s="4">
        <v>75</v>
      </c>
      <c r="AI153" s="4">
        <v>97</v>
      </c>
      <c r="AJ153" s="4">
        <v>12</v>
      </c>
      <c r="AK153" s="4">
        <v>17</v>
      </c>
      <c r="AL153" s="4">
        <v>49</v>
      </c>
      <c r="AM153" s="4">
        <v>56</v>
      </c>
      <c r="AN153" s="4">
        <v>0</v>
      </c>
      <c r="AO153" s="4">
        <v>0</v>
      </c>
      <c r="AP153" s="4">
        <v>12</v>
      </c>
      <c r="AQ153" s="4">
        <v>24</v>
      </c>
      <c r="AR153" s="3" t="s">
        <v>65</v>
      </c>
      <c r="AS153" s="3" t="s">
        <v>65</v>
      </c>
      <c r="AT153" s="3" t="s">
        <v>65</v>
      </c>
      <c r="AV153" s="6" t="str">
        <f>HYPERLINK("http://mcgill.on.worldcat.org/oclc/826859580","Catalog Record")</f>
        <v>Catalog Record</v>
      </c>
      <c r="AW153" s="6" t="str">
        <f>HYPERLINK("http://www.worldcat.org/oclc/826859580","WorldCat Record")</f>
        <v>WorldCat Record</v>
      </c>
      <c r="AX153" s="3" t="s">
        <v>1484</v>
      </c>
      <c r="AY153" s="3" t="s">
        <v>1485</v>
      </c>
      <c r="AZ153" s="3" t="s">
        <v>1486</v>
      </c>
      <c r="BA153" s="3" t="s">
        <v>1486</v>
      </c>
      <c r="BB153" s="3" t="s">
        <v>1487</v>
      </c>
      <c r="BC153" s="3" t="s">
        <v>77</v>
      </c>
      <c r="BD153" s="3" t="s">
        <v>106</v>
      </c>
      <c r="BE153" s="3" t="s">
        <v>1488</v>
      </c>
      <c r="BF153" s="3" t="s">
        <v>1487</v>
      </c>
      <c r="BG153" s="3" t="s">
        <v>1489</v>
      </c>
    </row>
    <row r="154" spans="1:59" ht="58" x14ac:dyDescent="0.35">
      <c r="A154" s="2" t="s">
        <v>59</v>
      </c>
      <c r="B154" s="2" t="s">
        <v>60</v>
      </c>
      <c r="C154" s="2" t="s">
        <v>1490</v>
      </c>
      <c r="D154" s="2" t="s">
        <v>1491</v>
      </c>
      <c r="E154" s="2" t="s">
        <v>1492</v>
      </c>
      <c r="G154" s="3" t="s">
        <v>65</v>
      </c>
      <c r="I154" s="3" t="s">
        <v>65</v>
      </c>
      <c r="J154" s="3" t="s">
        <v>65</v>
      </c>
      <c r="K154" s="3" t="s">
        <v>66</v>
      </c>
      <c r="L154" s="2" t="s">
        <v>1493</v>
      </c>
      <c r="M154" s="2" t="s">
        <v>1494</v>
      </c>
      <c r="N154" s="3" t="s">
        <v>113</v>
      </c>
      <c r="P154" s="3" t="s">
        <v>69</v>
      </c>
      <c r="R154" s="3" t="s">
        <v>71</v>
      </c>
      <c r="S154" s="4">
        <v>2</v>
      </c>
      <c r="T154" s="4">
        <v>2</v>
      </c>
      <c r="U154" s="5" t="s">
        <v>1495</v>
      </c>
      <c r="V154" s="5" t="s">
        <v>1495</v>
      </c>
      <c r="W154" s="5" t="s">
        <v>72</v>
      </c>
      <c r="X154" s="5" t="s">
        <v>72</v>
      </c>
      <c r="Y154" s="4">
        <v>57</v>
      </c>
      <c r="Z154" s="4">
        <v>11</v>
      </c>
      <c r="AA154" s="4">
        <v>79</v>
      </c>
      <c r="AB154" s="4">
        <v>1</v>
      </c>
      <c r="AC154" s="4">
        <v>14</v>
      </c>
      <c r="AD154" s="4">
        <v>36</v>
      </c>
      <c r="AE154" s="4">
        <v>100</v>
      </c>
      <c r="AF154" s="4">
        <v>0</v>
      </c>
      <c r="AG154" s="4">
        <v>8</v>
      </c>
      <c r="AH154" s="4">
        <v>34</v>
      </c>
      <c r="AI154" s="4">
        <v>69</v>
      </c>
      <c r="AJ154" s="4">
        <v>9</v>
      </c>
      <c r="AK154" s="4">
        <v>22</v>
      </c>
      <c r="AL154" s="4">
        <v>21</v>
      </c>
      <c r="AM154" s="4">
        <v>35</v>
      </c>
      <c r="AN154" s="4">
        <v>0</v>
      </c>
      <c r="AO154" s="4">
        <v>0</v>
      </c>
      <c r="AP154" s="4">
        <v>9</v>
      </c>
      <c r="AQ154" s="4">
        <v>42</v>
      </c>
      <c r="AR154" s="3" t="s">
        <v>65</v>
      </c>
      <c r="AS154" s="3" t="s">
        <v>65</v>
      </c>
      <c r="AT154" s="3" t="s">
        <v>65</v>
      </c>
      <c r="AV154" s="6" t="str">
        <f>HYPERLINK("http://mcgill.on.worldcat.org/oclc/666718210","Catalog Record")</f>
        <v>Catalog Record</v>
      </c>
      <c r="AW154" s="6" t="str">
        <f>HYPERLINK("http://www.worldcat.org/oclc/666718210","WorldCat Record")</f>
        <v>WorldCat Record</v>
      </c>
      <c r="AX154" s="3" t="s">
        <v>1496</v>
      </c>
      <c r="AY154" s="3" t="s">
        <v>1497</v>
      </c>
      <c r="AZ154" s="3" t="s">
        <v>1498</v>
      </c>
      <c r="BA154" s="3" t="s">
        <v>1498</v>
      </c>
      <c r="BB154" s="3" t="s">
        <v>1499</v>
      </c>
      <c r="BC154" s="3" t="s">
        <v>77</v>
      </c>
      <c r="BD154" s="3" t="s">
        <v>78</v>
      </c>
      <c r="BE154" s="3" t="s">
        <v>1500</v>
      </c>
      <c r="BF154" s="3" t="s">
        <v>1499</v>
      </c>
      <c r="BG154" s="3" t="s">
        <v>1501</v>
      </c>
    </row>
    <row r="155" spans="1:59" ht="58" x14ac:dyDescent="0.35">
      <c r="A155" s="2" t="s">
        <v>59</v>
      </c>
      <c r="B155" s="2" t="s">
        <v>60</v>
      </c>
      <c r="C155" s="2" t="s">
        <v>1502</v>
      </c>
      <c r="D155" s="2" t="s">
        <v>1503</v>
      </c>
      <c r="E155" s="2" t="s">
        <v>1504</v>
      </c>
      <c r="G155" s="3" t="s">
        <v>65</v>
      </c>
      <c r="I155" s="3" t="s">
        <v>65</v>
      </c>
      <c r="J155" s="3" t="s">
        <v>65</v>
      </c>
      <c r="K155" s="3" t="s">
        <v>66</v>
      </c>
      <c r="L155" s="2" t="s">
        <v>1505</v>
      </c>
      <c r="M155" s="2" t="s">
        <v>1007</v>
      </c>
      <c r="N155" s="3" t="s">
        <v>68</v>
      </c>
      <c r="P155" s="3" t="s">
        <v>140</v>
      </c>
      <c r="Q155" s="2" t="s">
        <v>1506</v>
      </c>
      <c r="R155" s="3" t="s">
        <v>71</v>
      </c>
      <c r="S155" s="4">
        <v>0</v>
      </c>
      <c r="T155" s="4">
        <v>0</v>
      </c>
      <c r="W155" s="5" t="s">
        <v>72</v>
      </c>
      <c r="X155" s="5" t="s">
        <v>72</v>
      </c>
      <c r="Y155" s="4">
        <v>35</v>
      </c>
      <c r="Z155" s="4">
        <v>1</v>
      </c>
      <c r="AA155" s="4">
        <v>1</v>
      </c>
      <c r="AB155" s="4">
        <v>1</v>
      </c>
      <c r="AC155" s="4">
        <v>1</v>
      </c>
      <c r="AD155" s="4">
        <v>21</v>
      </c>
      <c r="AE155" s="4">
        <v>21</v>
      </c>
      <c r="AF155" s="4">
        <v>0</v>
      </c>
      <c r="AG155" s="4">
        <v>0</v>
      </c>
      <c r="AH155" s="4">
        <v>20</v>
      </c>
      <c r="AI155" s="4">
        <v>20</v>
      </c>
      <c r="AJ155" s="4">
        <v>0</v>
      </c>
      <c r="AK155" s="4">
        <v>0</v>
      </c>
      <c r="AL155" s="4">
        <v>18</v>
      </c>
      <c r="AM155" s="4">
        <v>18</v>
      </c>
      <c r="AN155" s="4">
        <v>0</v>
      </c>
      <c r="AO155" s="4">
        <v>0</v>
      </c>
      <c r="AP155" s="4">
        <v>0</v>
      </c>
      <c r="AQ155" s="4">
        <v>0</v>
      </c>
      <c r="AR155" s="3" t="s">
        <v>65</v>
      </c>
      <c r="AS155" s="3" t="s">
        <v>65</v>
      </c>
      <c r="AT155" s="3" t="s">
        <v>65</v>
      </c>
      <c r="AV155" s="6" t="str">
        <f>HYPERLINK("http://mcgill.on.worldcat.org/oclc/981219053","Catalog Record")</f>
        <v>Catalog Record</v>
      </c>
      <c r="AW155" s="6" t="str">
        <f>HYPERLINK("http://www.worldcat.org/oclc/981219053","WorldCat Record")</f>
        <v>WorldCat Record</v>
      </c>
      <c r="AX155" s="3" t="s">
        <v>1507</v>
      </c>
      <c r="AY155" s="3" t="s">
        <v>1508</v>
      </c>
      <c r="AZ155" s="3" t="s">
        <v>1509</v>
      </c>
      <c r="BA155" s="3" t="s">
        <v>1509</v>
      </c>
      <c r="BB155" s="3" t="s">
        <v>1510</v>
      </c>
      <c r="BC155" s="3" t="s">
        <v>77</v>
      </c>
      <c r="BD155" s="3" t="s">
        <v>78</v>
      </c>
      <c r="BE155" s="3" t="s">
        <v>1511</v>
      </c>
      <c r="BF155" s="3" t="s">
        <v>1510</v>
      </c>
      <c r="BG155" s="3" t="s">
        <v>1512</v>
      </c>
    </row>
    <row r="156" spans="1:59" ht="58" x14ac:dyDescent="0.35">
      <c r="A156" s="2" t="s">
        <v>59</v>
      </c>
      <c r="B156" s="2" t="s">
        <v>60</v>
      </c>
      <c r="C156" s="2" t="s">
        <v>1513</v>
      </c>
      <c r="D156" s="2" t="s">
        <v>1514</v>
      </c>
      <c r="E156" s="2" t="s">
        <v>1515</v>
      </c>
      <c r="G156" s="3" t="s">
        <v>65</v>
      </c>
      <c r="I156" s="3" t="s">
        <v>65</v>
      </c>
      <c r="J156" s="3" t="s">
        <v>65</v>
      </c>
      <c r="K156" s="3" t="s">
        <v>66</v>
      </c>
      <c r="L156" s="2" t="s">
        <v>1516</v>
      </c>
      <c r="M156" s="2" t="s">
        <v>1517</v>
      </c>
      <c r="N156" s="3" t="s">
        <v>68</v>
      </c>
      <c r="P156" s="3" t="s">
        <v>69</v>
      </c>
      <c r="Q156" s="2" t="s">
        <v>1197</v>
      </c>
      <c r="R156" s="3" t="s">
        <v>71</v>
      </c>
      <c r="S156" s="4">
        <v>0</v>
      </c>
      <c r="T156" s="4">
        <v>0</v>
      </c>
      <c r="W156" s="5" t="s">
        <v>72</v>
      </c>
      <c r="X156" s="5" t="s">
        <v>72</v>
      </c>
      <c r="Y156" s="4">
        <v>168</v>
      </c>
      <c r="Z156" s="4">
        <v>11</v>
      </c>
      <c r="AA156" s="4">
        <v>82</v>
      </c>
      <c r="AB156" s="4">
        <v>1</v>
      </c>
      <c r="AC156" s="4">
        <v>16</v>
      </c>
      <c r="AD156" s="4">
        <v>74</v>
      </c>
      <c r="AE156" s="4">
        <v>129</v>
      </c>
      <c r="AF156" s="4">
        <v>0</v>
      </c>
      <c r="AG156" s="4">
        <v>8</v>
      </c>
      <c r="AH156" s="4">
        <v>68</v>
      </c>
      <c r="AI156" s="4">
        <v>91</v>
      </c>
      <c r="AJ156" s="4">
        <v>8</v>
      </c>
      <c r="AK156" s="4">
        <v>22</v>
      </c>
      <c r="AL156" s="4">
        <v>47</v>
      </c>
      <c r="AM156" s="4">
        <v>52</v>
      </c>
      <c r="AN156" s="4">
        <v>0</v>
      </c>
      <c r="AO156" s="4">
        <v>0</v>
      </c>
      <c r="AP156" s="4">
        <v>7</v>
      </c>
      <c r="AQ156" s="4">
        <v>45</v>
      </c>
      <c r="AR156" s="3" t="s">
        <v>209</v>
      </c>
      <c r="AS156" s="3" t="s">
        <v>65</v>
      </c>
      <c r="AT156" s="3" t="s">
        <v>65</v>
      </c>
      <c r="AV156" s="6" t="str">
        <f>HYPERLINK("http://mcgill.on.worldcat.org/oclc/950057060","Catalog Record")</f>
        <v>Catalog Record</v>
      </c>
      <c r="AW156" s="6" t="str">
        <f>HYPERLINK("http://www.worldcat.org/oclc/950057060","WorldCat Record")</f>
        <v>WorldCat Record</v>
      </c>
      <c r="AX156" s="3" t="s">
        <v>1518</v>
      </c>
      <c r="AY156" s="3" t="s">
        <v>1519</v>
      </c>
      <c r="AZ156" s="3" t="s">
        <v>1520</v>
      </c>
      <c r="BA156" s="3" t="s">
        <v>1520</v>
      </c>
      <c r="BB156" s="3" t="s">
        <v>1521</v>
      </c>
      <c r="BC156" s="3" t="s">
        <v>77</v>
      </c>
      <c r="BD156" s="3" t="s">
        <v>78</v>
      </c>
      <c r="BE156" s="3" t="s">
        <v>1522</v>
      </c>
      <c r="BF156" s="3" t="s">
        <v>1521</v>
      </c>
      <c r="BG156" s="3" t="s">
        <v>1523</v>
      </c>
    </row>
    <row r="157" spans="1:59" ht="58" x14ac:dyDescent="0.35">
      <c r="A157" s="2" t="s">
        <v>59</v>
      </c>
      <c r="B157" s="2" t="s">
        <v>60</v>
      </c>
      <c r="C157" s="2" t="s">
        <v>1524</v>
      </c>
      <c r="D157" s="2" t="s">
        <v>1525</v>
      </c>
      <c r="E157" s="2" t="s">
        <v>1526</v>
      </c>
      <c r="G157" s="3" t="s">
        <v>65</v>
      </c>
      <c r="I157" s="3" t="s">
        <v>65</v>
      </c>
      <c r="J157" s="3" t="s">
        <v>65</v>
      </c>
      <c r="K157" s="3" t="s">
        <v>66</v>
      </c>
      <c r="L157" s="2" t="s">
        <v>1527</v>
      </c>
      <c r="M157" s="2" t="s">
        <v>1528</v>
      </c>
      <c r="N157" s="3" t="s">
        <v>68</v>
      </c>
      <c r="P157" s="3" t="s">
        <v>140</v>
      </c>
      <c r="Q157" s="2" t="s">
        <v>1529</v>
      </c>
      <c r="R157" s="3" t="s">
        <v>71</v>
      </c>
      <c r="S157" s="4">
        <v>0</v>
      </c>
      <c r="T157" s="4">
        <v>0</v>
      </c>
      <c r="W157" s="5" t="s">
        <v>72</v>
      </c>
      <c r="X157" s="5" t="s">
        <v>72</v>
      </c>
      <c r="Y157" s="4">
        <v>25</v>
      </c>
      <c r="Z157" s="4">
        <v>3</v>
      </c>
      <c r="AA157" s="4">
        <v>3</v>
      </c>
      <c r="AB157" s="4">
        <v>1</v>
      </c>
      <c r="AC157" s="4">
        <v>1</v>
      </c>
      <c r="AD157" s="4">
        <v>17</v>
      </c>
      <c r="AE157" s="4">
        <v>17</v>
      </c>
      <c r="AF157" s="4">
        <v>0</v>
      </c>
      <c r="AG157" s="4">
        <v>0</v>
      </c>
      <c r="AH157" s="4">
        <v>16</v>
      </c>
      <c r="AI157" s="4">
        <v>16</v>
      </c>
      <c r="AJ157" s="4">
        <v>1</v>
      </c>
      <c r="AK157" s="4">
        <v>1</v>
      </c>
      <c r="AL157" s="4">
        <v>14</v>
      </c>
      <c r="AM157" s="4">
        <v>14</v>
      </c>
      <c r="AN157" s="4">
        <v>0</v>
      </c>
      <c r="AO157" s="4">
        <v>0</v>
      </c>
      <c r="AP157" s="4">
        <v>1</v>
      </c>
      <c r="AQ157" s="4">
        <v>1</v>
      </c>
      <c r="AR157" s="3" t="s">
        <v>65</v>
      </c>
      <c r="AS157" s="3" t="s">
        <v>65</v>
      </c>
      <c r="AT157" s="3" t="s">
        <v>65</v>
      </c>
      <c r="AV157" s="6" t="str">
        <f>HYPERLINK("http://mcgill.on.worldcat.org/oclc/950888925","Catalog Record")</f>
        <v>Catalog Record</v>
      </c>
      <c r="AW157" s="6" t="str">
        <f>HYPERLINK("http://www.worldcat.org/oclc/950888925","WorldCat Record")</f>
        <v>WorldCat Record</v>
      </c>
      <c r="AX157" s="3" t="s">
        <v>1530</v>
      </c>
      <c r="AY157" s="3" t="s">
        <v>1531</v>
      </c>
      <c r="AZ157" s="3" t="s">
        <v>1532</v>
      </c>
      <c r="BA157" s="3" t="s">
        <v>1532</v>
      </c>
      <c r="BB157" s="3" t="s">
        <v>1533</v>
      </c>
      <c r="BC157" s="3" t="s">
        <v>77</v>
      </c>
      <c r="BD157" s="3" t="s">
        <v>78</v>
      </c>
      <c r="BE157" s="3" t="s">
        <v>1534</v>
      </c>
      <c r="BF157" s="3" t="s">
        <v>1533</v>
      </c>
      <c r="BG157" s="3" t="s">
        <v>1535</v>
      </c>
    </row>
    <row r="158" spans="1:59" ht="58" x14ac:dyDescent="0.35">
      <c r="A158" s="2" t="s">
        <v>59</v>
      </c>
      <c r="B158" s="2" t="s">
        <v>60</v>
      </c>
      <c r="C158" s="2" t="s">
        <v>1536</v>
      </c>
      <c r="D158" s="2" t="s">
        <v>1537</v>
      </c>
      <c r="E158" s="2" t="s">
        <v>1538</v>
      </c>
      <c r="G158" s="3" t="s">
        <v>65</v>
      </c>
      <c r="I158" s="3" t="s">
        <v>65</v>
      </c>
      <c r="J158" s="3" t="s">
        <v>65</v>
      </c>
      <c r="K158" s="3" t="s">
        <v>66</v>
      </c>
      <c r="L158" s="2" t="s">
        <v>1539</v>
      </c>
      <c r="M158" s="2" t="s">
        <v>1540</v>
      </c>
      <c r="N158" s="3" t="s">
        <v>164</v>
      </c>
      <c r="P158" s="3" t="s">
        <v>140</v>
      </c>
      <c r="Q158" s="2" t="s">
        <v>1541</v>
      </c>
      <c r="R158" s="3" t="s">
        <v>71</v>
      </c>
      <c r="S158" s="4">
        <v>0</v>
      </c>
      <c r="T158" s="4">
        <v>0</v>
      </c>
      <c r="W158" s="5" t="s">
        <v>72</v>
      </c>
      <c r="X158" s="5" t="s">
        <v>72</v>
      </c>
      <c r="Y158" s="4">
        <v>34</v>
      </c>
      <c r="Z158" s="4">
        <v>3</v>
      </c>
      <c r="AA158" s="4">
        <v>3</v>
      </c>
      <c r="AB158" s="4">
        <v>1</v>
      </c>
      <c r="AC158" s="4">
        <v>1</v>
      </c>
      <c r="AD158" s="4">
        <v>22</v>
      </c>
      <c r="AE158" s="4">
        <v>22</v>
      </c>
      <c r="AF158" s="4">
        <v>0</v>
      </c>
      <c r="AG158" s="4">
        <v>0</v>
      </c>
      <c r="AH158" s="4">
        <v>21</v>
      </c>
      <c r="AI158" s="4">
        <v>21</v>
      </c>
      <c r="AJ158" s="4">
        <v>1</v>
      </c>
      <c r="AK158" s="4">
        <v>1</v>
      </c>
      <c r="AL158" s="4">
        <v>18</v>
      </c>
      <c r="AM158" s="4">
        <v>18</v>
      </c>
      <c r="AN158" s="4">
        <v>0</v>
      </c>
      <c r="AO158" s="4">
        <v>0</v>
      </c>
      <c r="AP158" s="4">
        <v>1</v>
      </c>
      <c r="AQ158" s="4">
        <v>1</v>
      </c>
      <c r="AR158" s="3" t="s">
        <v>65</v>
      </c>
      <c r="AS158" s="3" t="s">
        <v>65</v>
      </c>
      <c r="AT158" s="3" t="s">
        <v>65</v>
      </c>
      <c r="AV158" s="6" t="str">
        <f>HYPERLINK("http://mcgill.on.worldcat.org/oclc/908688032","Catalog Record")</f>
        <v>Catalog Record</v>
      </c>
      <c r="AW158" s="6" t="str">
        <f>HYPERLINK("http://www.worldcat.org/oclc/908688032","WorldCat Record")</f>
        <v>WorldCat Record</v>
      </c>
      <c r="AX158" s="3" t="s">
        <v>1542</v>
      </c>
      <c r="AY158" s="3" t="s">
        <v>1543</v>
      </c>
      <c r="AZ158" s="3" t="s">
        <v>1544</v>
      </c>
      <c r="BA158" s="3" t="s">
        <v>1544</v>
      </c>
      <c r="BB158" s="3" t="s">
        <v>1545</v>
      </c>
      <c r="BC158" s="3" t="s">
        <v>77</v>
      </c>
      <c r="BD158" s="3" t="s">
        <v>78</v>
      </c>
      <c r="BE158" s="3" t="s">
        <v>1546</v>
      </c>
      <c r="BF158" s="3" t="s">
        <v>1545</v>
      </c>
      <c r="BG158" s="3" t="s">
        <v>1547</v>
      </c>
    </row>
    <row r="159" spans="1:59" ht="58" x14ac:dyDescent="0.35">
      <c r="A159" s="2" t="s">
        <v>59</v>
      </c>
      <c r="B159" s="2" t="s">
        <v>60</v>
      </c>
      <c r="C159" s="2" t="s">
        <v>1548</v>
      </c>
      <c r="D159" s="2" t="s">
        <v>1549</v>
      </c>
      <c r="E159" s="2" t="s">
        <v>1550</v>
      </c>
      <c r="G159" s="3" t="s">
        <v>65</v>
      </c>
      <c r="I159" s="3" t="s">
        <v>65</v>
      </c>
      <c r="J159" s="3" t="s">
        <v>65</v>
      </c>
      <c r="K159" s="3" t="s">
        <v>66</v>
      </c>
      <c r="L159" s="2" t="s">
        <v>1551</v>
      </c>
      <c r="M159" s="2" t="s">
        <v>1552</v>
      </c>
      <c r="N159" s="3" t="s">
        <v>139</v>
      </c>
      <c r="P159" s="3" t="s">
        <v>140</v>
      </c>
      <c r="R159" s="3" t="s">
        <v>71</v>
      </c>
      <c r="S159" s="4">
        <v>0</v>
      </c>
      <c r="T159" s="4">
        <v>0</v>
      </c>
      <c r="W159" s="5" t="s">
        <v>72</v>
      </c>
      <c r="X159" s="5" t="s">
        <v>72</v>
      </c>
      <c r="Y159" s="4">
        <v>9</v>
      </c>
      <c r="Z159" s="4">
        <v>1</v>
      </c>
      <c r="AA159" s="4">
        <v>1</v>
      </c>
      <c r="AB159" s="4">
        <v>1</v>
      </c>
      <c r="AC159" s="4">
        <v>1</v>
      </c>
      <c r="AD159" s="4">
        <v>4</v>
      </c>
      <c r="AE159" s="4">
        <v>4</v>
      </c>
      <c r="AF159" s="4">
        <v>0</v>
      </c>
      <c r="AG159" s="4">
        <v>0</v>
      </c>
      <c r="AH159" s="4">
        <v>4</v>
      </c>
      <c r="AI159" s="4">
        <v>4</v>
      </c>
      <c r="AJ159" s="4">
        <v>0</v>
      </c>
      <c r="AK159" s="4">
        <v>0</v>
      </c>
      <c r="AL159" s="4">
        <v>2</v>
      </c>
      <c r="AM159" s="4">
        <v>2</v>
      </c>
      <c r="AN159" s="4">
        <v>0</v>
      </c>
      <c r="AO159" s="4">
        <v>0</v>
      </c>
      <c r="AP159" s="4">
        <v>0</v>
      </c>
      <c r="AQ159" s="4">
        <v>0</v>
      </c>
      <c r="AR159" s="3" t="s">
        <v>65</v>
      </c>
      <c r="AS159" s="3" t="s">
        <v>65</v>
      </c>
      <c r="AT159" s="3" t="s">
        <v>65</v>
      </c>
      <c r="AV159" s="6" t="str">
        <f>HYPERLINK("http://mcgill.on.worldcat.org/oclc/833395706","Catalog Record")</f>
        <v>Catalog Record</v>
      </c>
      <c r="AW159" s="6" t="str">
        <f>HYPERLINK("http://www.worldcat.org/oclc/833395706","WorldCat Record")</f>
        <v>WorldCat Record</v>
      </c>
      <c r="AX159" s="3" t="s">
        <v>1553</v>
      </c>
      <c r="AY159" s="3" t="s">
        <v>1554</v>
      </c>
      <c r="AZ159" s="3" t="s">
        <v>1555</v>
      </c>
      <c r="BA159" s="3" t="s">
        <v>1555</v>
      </c>
      <c r="BB159" s="3" t="s">
        <v>1556</v>
      </c>
      <c r="BC159" s="3" t="s">
        <v>77</v>
      </c>
      <c r="BD159" s="3" t="s">
        <v>78</v>
      </c>
      <c r="BE159" s="3" t="s">
        <v>1557</v>
      </c>
      <c r="BF159" s="3" t="s">
        <v>1556</v>
      </c>
      <c r="BG159" s="3" t="s">
        <v>1558</v>
      </c>
    </row>
    <row r="160" spans="1:59" ht="58" x14ac:dyDescent="0.35">
      <c r="A160" s="2" t="s">
        <v>59</v>
      </c>
      <c r="B160" s="2" t="s">
        <v>60</v>
      </c>
      <c r="C160" s="2" t="s">
        <v>1559</v>
      </c>
      <c r="D160" s="2" t="s">
        <v>1560</v>
      </c>
      <c r="E160" s="2" t="s">
        <v>1561</v>
      </c>
      <c r="G160" s="3" t="s">
        <v>65</v>
      </c>
      <c r="I160" s="3" t="s">
        <v>65</v>
      </c>
      <c r="J160" s="3" t="s">
        <v>65</v>
      </c>
      <c r="K160" s="3" t="s">
        <v>66</v>
      </c>
      <c r="L160" s="2" t="s">
        <v>1562</v>
      </c>
      <c r="M160" s="2" t="s">
        <v>1563</v>
      </c>
      <c r="N160" s="3" t="s">
        <v>68</v>
      </c>
      <c r="P160" s="3" t="s">
        <v>69</v>
      </c>
      <c r="Q160" s="2" t="s">
        <v>1564</v>
      </c>
      <c r="R160" s="3" t="s">
        <v>71</v>
      </c>
      <c r="S160" s="4">
        <v>0</v>
      </c>
      <c r="T160" s="4">
        <v>0</v>
      </c>
      <c r="W160" s="5" t="s">
        <v>72</v>
      </c>
      <c r="X160" s="5" t="s">
        <v>72</v>
      </c>
      <c r="Y160" s="4">
        <v>83</v>
      </c>
      <c r="Z160" s="4">
        <v>9</v>
      </c>
      <c r="AA160" s="4">
        <v>19</v>
      </c>
      <c r="AB160" s="4">
        <v>1</v>
      </c>
      <c r="AC160" s="4">
        <v>5</v>
      </c>
      <c r="AD160" s="4">
        <v>54</v>
      </c>
      <c r="AE160" s="4">
        <v>80</v>
      </c>
      <c r="AF160" s="4">
        <v>0</v>
      </c>
      <c r="AG160" s="4">
        <v>2</v>
      </c>
      <c r="AH160" s="4">
        <v>50</v>
      </c>
      <c r="AI160" s="4">
        <v>72</v>
      </c>
      <c r="AJ160" s="4">
        <v>5</v>
      </c>
      <c r="AK160" s="4">
        <v>11</v>
      </c>
      <c r="AL160" s="4">
        <v>37</v>
      </c>
      <c r="AM160" s="4">
        <v>46</v>
      </c>
      <c r="AN160" s="4">
        <v>0</v>
      </c>
      <c r="AO160" s="4">
        <v>0</v>
      </c>
      <c r="AP160" s="4">
        <v>6</v>
      </c>
      <c r="AQ160" s="4">
        <v>14</v>
      </c>
      <c r="AR160" s="3" t="s">
        <v>65</v>
      </c>
      <c r="AS160" s="3" t="s">
        <v>65</v>
      </c>
      <c r="AT160" s="3" t="s">
        <v>65</v>
      </c>
      <c r="AV160" s="6" t="str">
        <f>HYPERLINK("http://mcgill.on.worldcat.org/oclc/930301356","Catalog Record")</f>
        <v>Catalog Record</v>
      </c>
      <c r="AW160" s="6" t="str">
        <f>HYPERLINK("http://www.worldcat.org/oclc/930301356","WorldCat Record")</f>
        <v>WorldCat Record</v>
      </c>
      <c r="AX160" s="3" t="s">
        <v>1565</v>
      </c>
      <c r="AY160" s="3" t="s">
        <v>1566</v>
      </c>
      <c r="AZ160" s="3" t="s">
        <v>1567</v>
      </c>
      <c r="BA160" s="3" t="s">
        <v>1567</v>
      </c>
      <c r="BB160" s="3" t="s">
        <v>1568</v>
      </c>
      <c r="BC160" s="3" t="s">
        <v>77</v>
      </c>
      <c r="BD160" s="3" t="s">
        <v>78</v>
      </c>
      <c r="BE160" s="3" t="s">
        <v>1569</v>
      </c>
      <c r="BF160" s="3" t="s">
        <v>1568</v>
      </c>
      <c r="BG160" s="3" t="s">
        <v>1570</v>
      </c>
    </row>
    <row r="161" spans="1:59" ht="72.5" x14ac:dyDescent="0.35">
      <c r="A161" s="2" t="s">
        <v>59</v>
      </c>
      <c r="B161" s="2" t="s">
        <v>60</v>
      </c>
      <c r="C161" s="2" t="s">
        <v>1571</v>
      </c>
      <c r="D161" s="2" t="s">
        <v>1572</v>
      </c>
      <c r="E161" s="2" t="s">
        <v>1573</v>
      </c>
      <c r="G161" s="3" t="s">
        <v>65</v>
      </c>
      <c r="I161" s="3" t="s">
        <v>65</v>
      </c>
      <c r="J161" s="3" t="s">
        <v>65</v>
      </c>
      <c r="K161" s="3" t="s">
        <v>66</v>
      </c>
      <c r="L161" s="2" t="s">
        <v>1574</v>
      </c>
      <c r="M161" s="2" t="s">
        <v>1575</v>
      </c>
      <c r="N161" s="3" t="s">
        <v>126</v>
      </c>
      <c r="P161" s="3" t="s">
        <v>140</v>
      </c>
      <c r="Q161" s="2" t="s">
        <v>1576</v>
      </c>
      <c r="R161" s="3" t="s">
        <v>71</v>
      </c>
      <c r="S161" s="4">
        <v>0</v>
      </c>
      <c r="T161" s="4">
        <v>0</v>
      </c>
      <c r="W161" s="5" t="s">
        <v>72</v>
      </c>
      <c r="X161" s="5" t="s">
        <v>72</v>
      </c>
      <c r="Y161" s="4">
        <v>45</v>
      </c>
      <c r="Z161" s="4">
        <v>4</v>
      </c>
      <c r="AA161" s="4">
        <v>4</v>
      </c>
      <c r="AB161" s="4">
        <v>1</v>
      </c>
      <c r="AC161" s="4">
        <v>1</v>
      </c>
      <c r="AD161" s="4">
        <v>28</v>
      </c>
      <c r="AE161" s="4">
        <v>28</v>
      </c>
      <c r="AF161" s="4">
        <v>0</v>
      </c>
      <c r="AG161" s="4">
        <v>0</v>
      </c>
      <c r="AH161" s="4">
        <v>27</v>
      </c>
      <c r="AI161" s="4">
        <v>27</v>
      </c>
      <c r="AJ161" s="4">
        <v>2</v>
      </c>
      <c r="AK161" s="4">
        <v>2</v>
      </c>
      <c r="AL161" s="4">
        <v>22</v>
      </c>
      <c r="AM161" s="4">
        <v>22</v>
      </c>
      <c r="AN161" s="4">
        <v>0</v>
      </c>
      <c r="AO161" s="4">
        <v>0</v>
      </c>
      <c r="AP161" s="4">
        <v>2</v>
      </c>
      <c r="AQ161" s="4">
        <v>2</v>
      </c>
      <c r="AR161" s="3" t="s">
        <v>65</v>
      </c>
      <c r="AS161" s="3" t="s">
        <v>65</v>
      </c>
      <c r="AT161" s="3" t="s">
        <v>65</v>
      </c>
      <c r="AV161" s="6" t="str">
        <f>HYPERLINK("http://mcgill.on.worldcat.org/oclc/788360769","Catalog Record")</f>
        <v>Catalog Record</v>
      </c>
      <c r="AW161" s="6" t="str">
        <f>HYPERLINK("http://www.worldcat.org/oclc/788360769","WorldCat Record")</f>
        <v>WorldCat Record</v>
      </c>
      <c r="AX161" s="3" t="s">
        <v>1577</v>
      </c>
      <c r="AY161" s="3" t="s">
        <v>1578</v>
      </c>
      <c r="AZ161" s="3" t="s">
        <v>1579</v>
      </c>
      <c r="BA161" s="3" t="s">
        <v>1579</v>
      </c>
      <c r="BB161" s="3" t="s">
        <v>1580</v>
      </c>
      <c r="BC161" s="3" t="s">
        <v>77</v>
      </c>
      <c r="BD161" s="3" t="s">
        <v>78</v>
      </c>
      <c r="BE161" s="3" t="s">
        <v>1581</v>
      </c>
      <c r="BF161" s="3" t="s">
        <v>1580</v>
      </c>
      <c r="BG161" s="3" t="s">
        <v>1582</v>
      </c>
    </row>
    <row r="162" spans="1:59" ht="58" x14ac:dyDescent="0.35">
      <c r="A162" s="2" t="s">
        <v>59</v>
      </c>
      <c r="B162" s="2" t="s">
        <v>60</v>
      </c>
      <c r="C162" s="2" t="s">
        <v>1583</v>
      </c>
      <c r="D162" s="2" t="s">
        <v>1584</v>
      </c>
      <c r="E162" s="2" t="s">
        <v>1585</v>
      </c>
      <c r="G162" s="3" t="s">
        <v>65</v>
      </c>
      <c r="I162" s="3" t="s">
        <v>65</v>
      </c>
      <c r="J162" s="3" t="s">
        <v>65</v>
      </c>
      <c r="K162" s="3" t="s">
        <v>66</v>
      </c>
      <c r="L162" s="2" t="s">
        <v>1586</v>
      </c>
      <c r="M162" s="2" t="s">
        <v>1587</v>
      </c>
      <c r="N162" s="3" t="s">
        <v>126</v>
      </c>
      <c r="O162" s="2" t="s">
        <v>526</v>
      </c>
      <c r="P162" s="3" t="s">
        <v>69</v>
      </c>
      <c r="R162" s="3" t="s">
        <v>71</v>
      </c>
      <c r="S162" s="4">
        <v>2</v>
      </c>
      <c r="T162" s="4">
        <v>2</v>
      </c>
      <c r="U162" s="5" t="s">
        <v>1588</v>
      </c>
      <c r="V162" s="5" t="s">
        <v>1588</v>
      </c>
      <c r="W162" s="5" t="s">
        <v>72</v>
      </c>
      <c r="X162" s="5" t="s">
        <v>72</v>
      </c>
      <c r="Y162" s="4">
        <v>169</v>
      </c>
      <c r="Z162" s="4">
        <v>20</v>
      </c>
      <c r="AA162" s="4">
        <v>40</v>
      </c>
      <c r="AB162" s="4">
        <v>2</v>
      </c>
      <c r="AC162" s="4">
        <v>4</v>
      </c>
      <c r="AD162" s="4">
        <v>72</v>
      </c>
      <c r="AE162" s="4">
        <v>102</v>
      </c>
      <c r="AF162" s="4">
        <v>1</v>
      </c>
      <c r="AG162" s="4">
        <v>1</v>
      </c>
      <c r="AH162" s="4">
        <v>62</v>
      </c>
      <c r="AI162" s="4">
        <v>83</v>
      </c>
      <c r="AJ162" s="4">
        <v>14</v>
      </c>
      <c r="AK162" s="4">
        <v>19</v>
      </c>
      <c r="AL162" s="4">
        <v>38</v>
      </c>
      <c r="AM162" s="4">
        <v>45</v>
      </c>
      <c r="AN162" s="4">
        <v>0</v>
      </c>
      <c r="AO162" s="4">
        <v>0</v>
      </c>
      <c r="AP162" s="4">
        <v>17</v>
      </c>
      <c r="AQ162" s="4">
        <v>29</v>
      </c>
      <c r="AR162" s="3" t="s">
        <v>65</v>
      </c>
      <c r="AS162" s="3" t="s">
        <v>65</v>
      </c>
      <c r="AT162" s="3" t="s">
        <v>65</v>
      </c>
      <c r="AV162" s="6" t="str">
        <f>HYPERLINK("http://mcgill.on.worldcat.org/oclc/694832801","Catalog Record")</f>
        <v>Catalog Record</v>
      </c>
      <c r="AW162" s="6" t="str">
        <f>HYPERLINK("http://www.worldcat.org/oclc/694832801","WorldCat Record")</f>
        <v>WorldCat Record</v>
      </c>
      <c r="AX162" s="3" t="s">
        <v>1589</v>
      </c>
      <c r="AY162" s="3" t="s">
        <v>1590</v>
      </c>
      <c r="AZ162" s="3" t="s">
        <v>1591</v>
      </c>
      <c r="BA162" s="3" t="s">
        <v>1591</v>
      </c>
      <c r="BB162" s="3" t="s">
        <v>1592</v>
      </c>
      <c r="BC162" s="3" t="s">
        <v>77</v>
      </c>
      <c r="BD162" s="3" t="s">
        <v>78</v>
      </c>
      <c r="BE162" s="3" t="s">
        <v>1593</v>
      </c>
      <c r="BF162" s="3" t="s">
        <v>1592</v>
      </c>
      <c r="BG162" s="3" t="s">
        <v>1594</v>
      </c>
    </row>
    <row r="163" spans="1:59" ht="58" x14ac:dyDescent="0.35">
      <c r="A163" s="2" t="s">
        <v>59</v>
      </c>
      <c r="B163" s="2" t="s">
        <v>60</v>
      </c>
      <c r="C163" s="2" t="s">
        <v>1595</v>
      </c>
      <c r="D163" s="2" t="s">
        <v>1596</v>
      </c>
      <c r="E163" s="2" t="s">
        <v>1597</v>
      </c>
      <c r="G163" s="3" t="s">
        <v>65</v>
      </c>
      <c r="I163" s="3" t="s">
        <v>65</v>
      </c>
      <c r="J163" s="3" t="s">
        <v>65</v>
      </c>
      <c r="K163" s="3" t="s">
        <v>66</v>
      </c>
      <c r="L163" s="2" t="s">
        <v>1598</v>
      </c>
      <c r="M163" s="2" t="s">
        <v>1599</v>
      </c>
      <c r="N163" s="3" t="s">
        <v>176</v>
      </c>
      <c r="P163" s="3" t="s">
        <v>69</v>
      </c>
      <c r="Q163" s="2" t="s">
        <v>1600</v>
      </c>
      <c r="R163" s="3" t="s">
        <v>71</v>
      </c>
      <c r="S163" s="4">
        <v>0</v>
      </c>
      <c r="T163" s="4">
        <v>0</v>
      </c>
      <c r="W163" s="5" t="s">
        <v>72</v>
      </c>
      <c r="X163" s="5" t="s">
        <v>72</v>
      </c>
      <c r="Y163" s="4">
        <v>123</v>
      </c>
      <c r="Z163" s="4">
        <v>10</v>
      </c>
      <c r="AA163" s="4">
        <v>13</v>
      </c>
      <c r="AB163" s="4">
        <v>1</v>
      </c>
      <c r="AC163" s="4">
        <v>3</v>
      </c>
      <c r="AD163" s="4">
        <v>67</v>
      </c>
      <c r="AE163" s="4">
        <v>68</v>
      </c>
      <c r="AF163" s="4">
        <v>0</v>
      </c>
      <c r="AG163" s="4">
        <v>0</v>
      </c>
      <c r="AH163" s="4">
        <v>64</v>
      </c>
      <c r="AI163" s="4">
        <v>65</v>
      </c>
      <c r="AJ163" s="4">
        <v>7</v>
      </c>
      <c r="AK163" s="4">
        <v>8</v>
      </c>
      <c r="AL163" s="4">
        <v>42</v>
      </c>
      <c r="AM163" s="4">
        <v>42</v>
      </c>
      <c r="AN163" s="4">
        <v>0</v>
      </c>
      <c r="AO163" s="4">
        <v>0</v>
      </c>
      <c r="AP163" s="4">
        <v>8</v>
      </c>
      <c r="AQ163" s="4">
        <v>9</v>
      </c>
      <c r="AR163" s="3" t="s">
        <v>65</v>
      </c>
      <c r="AS163" s="3" t="s">
        <v>65</v>
      </c>
      <c r="AT163" s="3" t="s">
        <v>65</v>
      </c>
      <c r="AV163" s="6" t="str">
        <f>HYPERLINK("http://mcgill.on.worldcat.org/oclc/903675135","Catalog Record")</f>
        <v>Catalog Record</v>
      </c>
      <c r="AW163" s="6" t="str">
        <f>HYPERLINK("http://www.worldcat.org/oclc/903675135","WorldCat Record")</f>
        <v>WorldCat Record</v>
      </c>
      <c r="AX163" s="3" t="s">
        <v>1601</v>
      </c>
      <c r="AY163" s="3" t="s">
        <v>1602</v>
      </c>
      <c r="AZ163" s="3" t="s">
        <v>1603</v>
      </c>
      <c r="BA163" s="3" t="s">
        <v>1603</v>
      </c>
      <c r="BB163" s="3" t="s">
        <v>1604</v>
      </c>
      <c r="BC163" s="3" t="s">
        <v>77</v>
      </c>
      <c r="BD163" s="3" t="s">
        <v>78</v>
      </c>
      <c r="BE163" s="3" t="s">
        <v>1605</v>
      </c>
      <c r="BF163" s="3" t="s">
        <v>1604</v>
      </c>
      <c r="BG163" s="3" t="s">
        <v>1606</v>
      </c>
    </row>
    <row r="164" spans="1:59" ht="72.5" x14ac:dyDescent="0.35">
      <c r="A164" s="2" t="s">
        <v>59</v>
      </c>
      <c r="B164" s="2" t="s">
        <v>60</v>
      </c>
      <c r="C164" s="2" t="s">
        <v>1607</v>
      </c>
      <c r="D164" s="2" t="s">
        <v>1608</v>
      </c>
      <c r="E164" s="2" t="s">
        <v>1609</v>
      </c>
      <c r="G164" s="3" t="s">
        <v>65</v>
      </c>
      <c r="I164" s="3" t="s">
        <v>65</v>
      </c>
      <c r="J164" s="3" t="s">
        <v>65</v>
      </c>
      <c r="K164" s="3" t="s">
        <v>66</v>
      </c>
      <c r="L164" s="2" t="s">
        <v>1610</v>
      </c>
      <c r="M164" s="2" t="s">
        <v>1611</v>
      </c>
      <c r="N164" s="3" t="s">
        <v>176</v>
      </c>
      <c r="P164" s="3" t="s">
        <v>69</v>
      </c>
      <c r="Q164" s="2" t="s">
        <v>1612</v>
      </c>
      <c r="R164" s="3" t="s">
        <v>71</v>
      </c>
      <c r="S164" s="4">
        <v>0</v>
      </c>
      <c r="T164" s="4">
        <v>0</v>
      </c>
      <c r="W164" s="5" t="s">
        <v>72</v>
      </c>
      <c r="X164" s="5" t="s">
        <v>72</v>
      </c>
      <c r="Y164" s="4">
        <v>129</v>
      </c>
      <c r="Z164" s="4">
        <v>9</v>
      </c>
      <c r="AA164" s="4">
        <v>87</v>
      </c>
      <c r="AB164" s="4">
        <v>1</v>
      </c>
      <c r="AC164" s="4">
        <v>16</v>
      </c>
      <c r="AD164" s="4">
        <v>61</v>
      </c>
      <c r="AE164" s="4">
        <v>126</v>
      </c>
      <c r="AF164" s="4">
        <v>0</v>
      </c>
      <c r="AG164" s="4">
        <v>8</v>
      </c>
      <c r="AH164" s="4">
        <v>56</v>
      </c>
      <c r="AI164" s="4">
        <v>85</v>
      </c>
      <c r="AJ164" s="4">
        <v>7</v>
      </c>
      <c r="AK164" s="4">
        <v>23</v>
      </c>
      <c r="AL164" s="4">
        <v>37</v>
      </c>
      <c r="AM164" s="4">
        <v>48</v>
      </c>
      <c r="AN164" s="4">
        <v>0</v>
      </c>
      <c r="AO164" s="4">
        <v>0</v>
      </c>
      <c r="AP164" s="4">
        <v>6</v>
      </c>
      <c r="AQ164" s="4">
        <v>48</v>
      </c>
      <c r="AR164" s="3" t="s">
        <v>209</v>
      </c>
      <c r="AS164" s="3" t="s">
        <v>65</v>
      </c>
      <c r="AT164" s="3" t="s">
        <v>65</v>
      </c>
      <c r="AV164" s="6" t="str">
        <f>HYPERLINK("http://mcgill.on.worldcat.org/oclc/907661855","Catalog Record")</f>
        <v>Catalog Record</v>
      </c>
      <c r="AW164" s="6" t="str">
        <f>HYPERLINK("http://www.worldcat.org/oclc/907661855","WorldCat Record")</f>
        <v>WorldCat Record</v>
      </c>
      <c r="AX164" s="3" t="s">
        <v>1613</v>
      </c>
      <c r="AY164" s="3" t="s">
        <v>1614</v>
      </c>
      <c r="AZ164" s="3" t="s">
        <v>1615</v>
      </c>
      <c r="BA164" s="3" t="s">
        <v>1615</v>
      </c>
      <c r="BB164" s="3" t="s">
        <v>1616</v>
      </c>
      <c r="BC164" s="3" t="s">
        <v>77</v>
      </c>
      <c r="BD164" s="3" t="s">
        <v>78</v>
      </c>
      <c r="BE164" s="3" t="s">
        <v>1617</v>
      </c>
      <c r="BF164" s="3" t="s">
        <v>1616</v>
      </c>
      <c r="BG164" s="3" t="s">
        <v>1618</v>
      </c>
    </row>
    <row r="165" spans="1:59" ht="72.5" x14ac:dyDescent="0.35">
      <c r="A165" s="2" t="s">
        <v>59</v>
      </c>
      <c r="B165" s="2" t="s">
        <v>60</v>
      </c>
      <c r="C165" s="2" t="s">
        <v>1619</v>
      </c>
      <c r="D165" s="2" t="s">
        <v>1620</v>
      </c>
      <c r="E165" s="2" t="s">
        <v>1621</v>
      </c>
      <c r="G165" s="3" t="s">
        <v>65</v>
      </c>
      <c r="I165" s="3" t="s">
        <v>65</v>
      </c>
      <c r="J165" s="3" t="s">
        <v>65</v>
      </c>
      <c r="K165" s="3" t="s">
        <v>66</v>
      </c>
      <c r="L165" s="2" t="s">
        <v>1622</v>
      </c>
      <c r="M165" s="2" t="s">
        <v>1623</v>
      </c>
      <c r="N165" s="3" t="s">
        <v>139</v>
      </c>
      <c r="O165" s="2" t="s">
        <v>365</v>
      </c>
      <c r="P165" s="3" t="s">
        <v>140</v>
      </c>
      <c r="Q165" s="2" t="s">
        <v>1624</v>
      </c>
      <c r="R165" s="3" t="s">
        <v>71</v>
      </c>
      <c r="S165" s="4">
        <v>0</v>
      </c>
      <c r="T165" s="4">
        <v>0</v>
      </c>
      <c r="W165" s="5" t="s">
        <v>72</v>
      </c>
      <c r="X165" s="5" t="s">
        <v>72</v>
      </c>
      <c r="Y165" s="4">
        <v>44</v>
      </c>
      <c r="Z165" s="4">
        <v>4</v>
      </c>
      <c r="AA165" s="4">
        <v>4</v>
      </c>
      <c r="AB165" s="4">
        <v>1</v>
      </c>
      <c r="AC165" s="4">
        <v>1</v>
      </c>
      <c r="AD165" s="4">
        <v>32</v>
      </c>
      <c r="AE165" s="4">
        <v>32</v>
      </c>
      <c r="AF165" s="4">
        <v>0</v>
      </c>
      <c r="AG165" s="4">
        <v>0</v>
      </c>
      <c r="AH165" s="4">
        <v>31</v>
      </c>
      <c r="AI165" s="4">
        <v>31</v>
      </c>
      <c r="AJ165" s="4">
        <v>2</v>
      </c>
      <c r="AK165" s="4">
        <v>2</v>
      </c>
      <c r="AL165" s="4">
        <v>25</v>
      </c>
      <c r="AM165" s="4">
        <v>25</v>
      </c>
      <c r="AN165" s="4">
        <v>0</v>
      </c>
      <c r="AO165" s="4">
        <v>0</v>
      </c>
      <c r="AP165" s="4">
        <v>2</v>
      </c>
      <c r="AQ165" s="4">
        <v>2</v>
      </c>
      <c r="AR165" s="3" t="s">
        <v>65</v>
      </c>
      <c r="AS165" s="3" t="s">
        <v>65</v>
      </c>
      <c r="AT165" s="3" t="s">
        <v>65</v>
      </c>
      <c r="AV165" s="6" t="str">
        <f>HYPERLINK("http://mcgill.on.worldcat.org/oclc/798609717","Catalog Record")</f>
        <v>Catalog Record</v>
      </c>
      <c r="AW165" s="6" t="str">
        <f>HYPERLINK("http://www.worldcat.org/oclc/798609717","WorldCat Record")</f>
        <v>WorldCat Record</v>
      </c>
      <c r="AX165" s="3" t="s">
        <v>1625</v>
      </c>
      <c r="AY165" s="3" t="s">
        <v>1626</v>
      </c>
      <c r="AZ165" s="3" t="s">
        <v>1627</v>
      </c>
      <c r="BA165" s="3" t="s">
        <v>1627</v>
      </c>
      <c r="BB165" s="3" t="s">
        <v>1628</v>
      </c>
      <c r="BC165" s="3" t="s">
        <v>77</v>
      </c>
      <c r="BD165" s="3" t="s">
        <v>78</v>
      </c>
      <c r="BE165" s="3" t="s">
        <v>1629</v>
      </c>
      <c r="BF165" s="3" t="s">
        <v>1628</v>
      </c>
      <c r="BG165" s="3" t="s">
        <v>1630</v>
      </c>
    </row>
    <row r="166" spans="1:59" ht="72.5" x14ac:dyDescent="0.35">
      <c r="A166" s="2" t="s">
        <v>59</v>
      </c>
      <c r="B166" s="2" t="s">
        <v>60</v>
      </c>
      <c r="C166" s="2" t="s">
        <v>1631</v>
      </c>
      <c r="D166" s="2" t="s">
        <v>1632</v>
      </c>
      <c r="E166" s="2" t="s">
        <v>1633</v>
      </c>
      <c r="G166" s="3" t="s">
        <v>65</v>
      </c>
      <c r="I166" s="3" t="s">
        <v>65</v>
      </c>
      <c r="J166" s="3" t="s">
        <v>65</v>
      </c>
      <c r="K166" s="3" t="s">
        <v>66</v>
      </c>
      <c r="L166" s="2" t="s">
        <v>1634</v>
      </c>
      <c r="M166" s="2" t="s">
        <v>1635</v>
      </c>
      <c r="N166" s="3" t="s">
        <v>176</v>
      </c>
      <c r="P166" s="3" t="s">
        <v>140</v>
      </c>
      <c r="Q166" s="2" t="s">
        <v>1636</v>
      </c>
      <c r="R166" s="3" t="s">
        <v>71</v>
      </c>
      <c r="S166" s="4">
        <v>0</v>
      </c>
      <c r="T166" s="4">
        <v>0</v>
      </c>
      <c r="W166" s="5" t="s">
        <v>72</v>
      </c>
      <c r="X166" s="5" t="s">
        <v>72</v>
      </c>
      <c r="Y166" s="4">
        <v>46</v>
      </c>
      <c r="Z166" s="4">
        <v>4</v>
      </c>
      <c r="AA166" s="4">
        <v>4</v>
      </c>
      <c r="AB166" s="4">
        <v>1</v>
      </c>
      <c r="AC166" s="4">
        <v>1</v>
      </c>
      <c r="AD166" s="4">
        <v>27</v>
      </c>
      <c r="AE166" s="4">
        <v>27</v>
      </c>
      <c r="AF166" s="4">
        <v>0</v>
      </c>
      <c r="AG166" s="4">
        <v>0</v>
      </c>
      <c r="AH166" s="4">
        <v>26</v>
      </c>
      <c r="AI166" s="4">
        <v>26</v>
      </c>
      <c r="AJ166" s="4">
        <v>1</v>
      </c>
      <c r="AK166" s="4">
        <v>1</v>
      </c>
      <c r="AL166" s="4">
        <v>21</v>
      </c>
      <c r="AM166" s="4">
        <v>21</v>
      </c>
      <c r="AN166" s="4">
        <v>0</v>
      </c>
      <c r="AO166" s="4">
        <v>0</v>
      </c>
      <c r="AP166" s="4">
        <v>1</v>
      </c>
      <c r="AQ166" s="4">
        <v>1</v>
      </c>
      <c r="AR166" s="3" t="s">
        <v>65</v>
      </c>
      <c r="AS166" s="3" t="s">
        <v>65</v>
      </c>
      <c r="AT166" s="3" t="s">
        <v>65</v>
      </c>
      <c r="AV166" s="6" t="str">
        <f>HYPERLINK("http://mcgill.on.worldcat.org/oclc/905553143","Catalog Record")</f>
        <v>Catalog Record</v>
      </c>
      <c r="AW166" s="6" t="str">
        <f>HYPERLINK("http://www.worldcat.org/oclc/905553143","WorldCat Record")</f>
        <v>WorldCat Record</v>
      </c>
      <c r="AX166" s="3" t="s">
        <v>1637</v>
      </c>
      <c r="AY166" s="3" t="s">
        <v>1638</v>
      </c>
      <c r="AZ166" s="3" t="s">
        <v>1639</v>
      </c>
      <c r="BA166" s="3" t="s">
        <v>1639</v>
      </c>
      <c r="BB166" s="3" t="s">
        <v>1640</v>
      </c>
      <c r="BC166" s="3" t="s">
        <v>77</v>
      </c>
      <c r="BD166" s="3" t="s">
        <v>78</v>
      </c>
      <c r="BE166" s="3" t="s">
        <v>1641</v>
      </c>
      <c r="BF166" s="3" t="s">
        <v>1640</v>
      </c>
      <c r="BG166" s="3" t="s">
        <v>1642</v>
      </c>
    </row>
    <row r="167" spans="1:59" ht="58" x14ac:dyDescent="0.35">
      <c r="A167" s="2" t="s">
        <v>59</v>
      </c>
      <c r="B167" s="2" t="s">
        <v>60</v>
      </c>
      <c r="C167" s="2" t="s">
        <v>1643</v>
      </c>
      <c r="D167" s="2" t="s">
        <v>1644</v>
      </c>
      <c r="E167" s="2" t="s">
        <v>1645</v>
      </c>
      <c r="G167" s="3" t="s">
        <v>65</v>
      </c>
      <c r="I167" s="3" t="s">
        <v>65</v>
      </c>
      <c r="J167" s="3" t="s">
        <v>65</v>
      </c>
      <c r="K167" s="3" t="s">
        <v>66</v>
      </c>
      <c r="L167" s="2" t="s">
        <v>1646</v>
      </c>
      <c r="M167" s="2" t="s">
        <v>1647</v>
      </c>
      <c r="N167" s="3" t="s">
        <v>126</v>
      </c>
      <c r="P167" s="3" t="s">
        <v>69</v>
      </c>
      <c r="Q167" s="2" t="s">
        <v>1648</v>
      </c>
      <c r="R167" s="3" t="s">
        <v>71</v>
      </c>
      <c r="S167" s="4">
        <v>1</v>
      </c>
      <c r="T167" s="4">
        <v>1</v>
      </c>
      <c r="U167" s="5" t="s">
        <v>1649</v>
      </c>
      <c r="V167" s="5" t="s">
        <v>1649</v>
      </c>
      <c r="W167" s="5" t="s">
        <v>72</v>
      </c>
      <c r="X167" s="5" t="s">
        <v>72</v>
      </c>
      <c r="Y167" s="4">
        <v>174</v>
      </c>
      <c r="Z167" s="4">
        <v>27</v>
      </c>
      <c r="AA167" s="4">
        <v>106</v>
      </c>
      <c r="AB167" s="4">
        <v>1</v>
      </c>
      <c r="AC167" s="4">
        <v>19</v>
      </c>
      <c r="AD167" s="4">
        <v>97</v>
      </c>
      <c r="AE167" s="4">
        <v>146</v>
      </c>
      <c r="AF167" s="4">
        <v>0</v>
      </c>
      <c r="AG167" s="4">
        <v>8</v>
      </c>
      <c r="AH167" s="4">
        <v>82</v>
      </c>
      <c r="AI167" s="4">
        <v>104</v>
      </c>
      <c r="AJ167" s="4">
        <v>20</v>
      </c>
      <c r="AK167" s="4">
        <v>27</v>
      </c>
      <c r="AL167" s="4">
        <v>50</v>
      </c>
      <c r="AM167" s="4">
        <v>55</v>
      </c>
      <c r="AN167" s="4">
        <v>0</v>
      </c>
      <c r="AO167" s="4">
        <v>0</v>
      </c>
      <c r="AP167" s="4">
        <v>23</v>
      </c>
      <c r="AQ167" s="4">
        <v>51</v>
      </c>
      <c r="AR167" s="3" t="s">
        <v>209</v>
      </c>
      <c r="AS167" s="3" t="s">
        <v>65</v>
      </c>
      <c r="AT167" s="3" t="s">
        <v>65</v>
      </c>
      <c r="AV167" s="6" t="str">
        <f>HYPERLINK("http://mcgill.on.worldcat.org/oclc/669242359","Catalog Record")</f>
        <v>Catalog Record</v>
      </c>
      <c r="AW167" s="6" t="str">
        <f>HYPERLINK("http://www.worldcat.org/oclc/669242359","WorldCat Record")</f>
        <v>WorldCat Record</v>
      </c>
      <c r="AX167" s="3" t="s">
        <v>1650</v>
      </c>
      <c r="AY167" s="3" t="s">
        <v>1651</v>
      </c>
      <c r="AZ167" s="3" t="s">
        <v>1652</v>
      </c>
      <c r="BA167" s="3" t="s">
        <v>1652</v>
      </c>
      <c r="BB167" s="3" t="s">
        <v>1653</v>
      </c>
      <c r="BC167" s="3" t="s">
        <v>77</v>
      </c>
      <c r="BD167" s="3" t="s">
        <v>78</v>
      </c>
      <c r="BE167" s="3" t="s">
        <v>1654</v>
      </c>
      <c r="BF167" s="3" t="s">
        <v>1653</v>
      </c>
      <c r="BG167" s="3" t="s">
        <v>1655</v>
      </c>
    </row>
    <row r="168" spans="1:59" ht="58" x14ac:dyDescent="0.35">
      <c r="A168" s="2" t="s">
        <v>59</v>
      </c>
      <c r="B168" s="2" t="s">
        <v>60</v>
      </c>
      <c r="C168" s="2" t="s">
        <v>1656</v>
      </c>
      <c r="D168" s="2" t="s">
        <v>1657</v>
      </c>
      <c r="E168" s="2" t="s">
        <v>1658</v>
      </c>
      <c r="G168" s="3" t="s">
        <v>65</v>
      </c>
      <c r="I168" s="3" t="s">
        <v>65</v>
      </c>
      <c r="J168" s="3" t="s">
        <v>65</v>
      </c>
      <c r="K168" s="3" t="s">
        <v>66</v>
      </c>
      <c r="M168" s="2" t="s">
        <v>1659</v>
      </c>
      <c r="N168" s="3" t="s">
        <v>139</v>
      </c>
      <c r="P168" s="3" t="s">
        <v>69</v>
      </c>
      <c r="Q168" s="2" t="s">
        <v>1660</v>
      </c>
      <c r="R168" s="3" t="s">
        <v>71</v>
      </c>
      <c r="S168" s="4">
        <v>1</v>
      </c>
      <c r="T168" s="4">
        <v>1</v>
      </c>
      <c r="U168" s="5" t="s">
        <v>1661</v>
      </c>
      <c r="V168" s="5" t="s">
        <v>1661</v>
      </c>
      <c r="W168" s="5" t="s">
        <v>72</v>
      </c>
      <c r="X168" s="5" t="s">
        <v>72</v>
      </c>
      <c r="Y168" s="4">
        <v>20</v>
      </c>
      <c r="Z168" s="4">
        <v>8</v>
      </c>
      <c r="AA168" s="4">
        <v>8</v>
      </c>
      <c r="AB168" s="4">
        <v>1</v>
      </c>
      <c r="AC168" s="4">
        <v>1</v>
      </c>
      <c r="AD168" s="4">
        <v>11</v>
      </c>
      <c r="AE168" s="4">
        <v>15</v>
      </c>
      <c r="AF168" s="4">
        <v>0</v>
      </c>
      <c r="AG168" s="4">
        <v>0</v>
      </c>
      <c r="AH168" s="4">
        <v>9</v>
      </c>
      <c r="AI168" s="4">
        <v>12</v>
      </c>
      <c r="AJ168" s="4">
        <v>5</v>
      </c>
      <c r="AK168" s="4">
        <v>5</v>
      </c>
      <c r="AL168" s="4">
        <v>3</v>
      </c>
      <c r="AM168" s="4">
        <v>7</v>
      </c>
      <c r="AN168" s="4">
        <v>0</v>
      </c>
      <c r="AO168" s="4">
        <v>0</v>
      </c>
      <c r="AP168" s="4">
        <v>4</v>
      </c>
      <c r="AQ168" s="4">
        <v>4</v>
      </c>
      <c r="AR168" s="3" t="s">
        <v>209</v>
      </c>
      <c r="AS168" s="3" t="s">
        <v>65</v>
      </c>
      <c r="AT168" s="3" t="s">
        <v>65</v>
      </c>
      <c r="AV168" s="6" t="str">
        <f>HYPERLINK("http://mcgill.on.worldcat.org/oclc/794618837","Catalog Record")</f>
        <v>Catalog Record</v>
      </c>
      <c r="AW168" s="6" t="str">
        <f>HYPERLINK("http://www.worldcat.org/oclc/794618837","WorldCat Record")</f>
        <v>WorldCat Record</v>
      </c>
      <c r="AX168" s="3" t="s">
        <v>1662</v>
      </c>
      <c r="AY168" s="3" t="s">
        <v>1663</v>
      </c>
      <c r="AZ168" s="3" t="s">
        <v>1664</v>
      </c>
      <c r="BA168" s="3" t="s">
        <v>1664</v>
      </c>
      <c r="BB168" s="3" t="s">
        <v>1665</v>
      </c>
      <c r="BC168" s="3" t="s">
        <v>77</v>
      </c>
      <c r="BD168" s="3" t="s">
        <v>78</v>
      </c>
      <c r="BE168" s="3" t="s">
        <v>1666</v>
      </c>
      <c r="BF168" s="3" t="s">
        <v>1665</v>
      </c>
      <c r="BG168" s="3" t="s">
        <v>1667</v>
      </c>
    </row>
    <row r="169" spans="1:59" ht="58" x14ac:dyDescent="0.35">
      <c r="A169" s="2" t="s">
        <v>59</v>
      </c>
      <c r="B169" s="2" t="s">
        <v>60</v>
      </c>
      <c r="C169" s="2" t="s">
        <v>1668</v>
      </c>
      <c r="D169" s="2" t="s">
        <v>1669</v>
      </c>
      <c r="E169" s="2" t="s">
        <v>1670</v>
      </c>
      <c r="G169" s="3" t="s">
        <v>65</v>
      </c>
      <c r="I169" s="3" t="s">
        <v>65</v>
      </c>
      <c r="J169" s="3" t="s">
        <v>65</v>
      </c>
      <c r="K169" s="3" t="s">
        <v>66</v>
      </c>
      <c r="L169" s="2" t="s">
        <v>1671</v>
      </c>
      <c r="M169" s="2" t="s">
        <v>1672</v>
      </c>
      <c r="N169" s="3" t="s">
        <v>139</v>
      </c>
      <c r="P169" s="3" t="s">
        <v>140</v>
      </c>
      <c r="Q169" s="2" t="s">
        <v>1673</v>
      </c>
      <c r="R169" s="3" t="s">
        <v>71</v>
      </c>
      <c r="S169" s="4">
        <v>0</v>
      </c>
      <c r="T169" s="4">
        <v>0</v>
      </c>
      <c r="W169" s="5" t="s">
        <v>72</v>
      </c>
      <c r="X169" s="5" t="s">
        <v>72</v>
      </c>
      <c r="Y169" s="4">
        <v>41</v>
      </c>
      <c r="Z169" s="4">
        <v>3</v>
      </c>
      <c r="AA169" s="4">
        <v>4</v>
      </c>
      <c r="AB169" s="4">
        <v>1</v>
      </c>
      <c r="AC169" s="4">
        <v>1</v>
      </c>
      <c r="AD169" s="4">
        <v>26</v>
      </c>
      <c r="AE169" s="4">
        <v>29</v>
      </c>
      <c r="AF169" s="4">
        <v>0</v>
      </c>
      <c r="AG169" s="4">
        <v>0</v>
      </c>
      <c r="AH169" s="4">
        <v>25</v>
      </c>
      <c r="AI169" s="4">
        <v>28</v>
      </c>
      <c r="AJ169" s="4">
        <v>1</v>
      </c>
      <c r="AK169" s="4">
        <v>2</v>
      </c>
      <c r="AL169" s="4">
        <v>18</v>
      </c>
      <c r="AM169" s="4">
        <v>19</v>
      </c>
      <c r="AN169" s="4">
        <v>0</v>
      </c>
      <c r="AO169" s="4">
        <v>0</v>
      </c>
      <c r="AP169" s="4">
        <v>1</v>
      </c>
      <c r="AQ169" s="4">
        <v>2</v>
      </c>
      <c r="AR169" s="3" t="s">
        <v>65</v>
      </c>
      <c r="AS169" s="3" t="s">
        <v>65</v>
      </c>
      <c r="AT169" s="3" t="s">
        <v>65</v>
      </c>
      <c r="AV169" s="6" t="str">
        <f>HYPERLINK("http://mcgill.on.worldcat.org/oclc/780946797","Catalog Record")</f>
        <v>Catalog Record</v>
      </c>
      <c r="AW169" s="6" t="str">
        <f>HYPERLINK("http://www.worldcat.org/oclc/780946797","WorldCat Record")</f>
        <v>WorldCat Record</v>
      </c>
      <c r="AX169" s="3" t="s">
        <v>1674</v>
      </c>
      <c r="AY169" s="3" t="s">
        <v>1675</v>
      </c>
      <c r="AZ169" s="3" t="s">
        <v>1676</v>
      </c>
      <c r="BA169" s="3" t="s">
        <v>1676</v>
      </c>
      <c r="BB169" s="3" t="s">
        <v>1677</v>
      </c>
      <c r="BC169" s="3" t="s">
        <v>77</v>
      </c>
      <c r="BD169" s="3" t="s">
        <v>78</v>
      </c>
      <c r="BE169" s="3" t="s">
        <v>1678</v>
      </c>
      <c r="BF169" s="3" t="s">
        <v>1677</v>
      </c>
      <c r="BG169" s="3" t="s">
        <v>1679</v>
      </c>
    </row>
    <row r="170" spans="1:59" ht="58" x14ac:dyDescent="0.35">
      <c r="A170" s="2" t="s">
        <v>59</v>
      </c>
      <c r="B170" s="2" t="s">
        <v>60</v>
      </c>
      <c r="C170" s="2" t="s">
        <v>1680</v>
      </c>
      <c r="D170" s="2" t="s">
        <v>1681</v>
      </c>
      <c r="E170" s="2" t="s">
        <v>1682</v>
      </c>
      <c r="G170" s="3" t="s">
        <v>65</v>
      </c>
      <c r="I170" s="3" t="s">
        <v>65</v>
      </c>
      <c r="J170" s="3" t="s">
        <v>65</v>
      </c>
      <c r="K170" s="3" t="s">
        <v>66</v>
      </c>
      <c r="L170" s="2" t="s">
        <v>1683</v>
      </c>
      <c r="M170" s="2" t="s">
        <v>415</v>
      </c>
      <c r="N170" s="3" t="s">
        <v>126</v>
      </c>
      <c r="P170" s="3" t="s">
        <v>140</v>
      </c>
      <c r="Q170" s="2" t="s">
        <v>1684</v>
      </c>
      <c r="R170" s="3" t="s">
        <v>71</v>
      </c>
      <c r="S170" s="4">
        <v>0</v>
      </c>
      <c r="T170" s="4">
        <v>0</v>
      </c>
      <c r="W170" s="5" t="s">
        <v>72</v>
      </c>
      <c r="X170" s="5" t="s">
        <v>72</v>
      </c>
      <c r="Y170" s="4">
        <v>16</v>
      </c>
      <c r="Z170" s="4">
        <v>1</v>
      </c>
      <c r="AA170" s="4">
        <v>3</v>
      </c>
      <c r="AB170" s="4">
        <v>1</v>
      </c>
      <c r="AC170" s="4">
        <v>1</v>
      </c>
      <c r="AD170" s="4">
        <v>6</v>
      </c>
      <c r="AE170" s="4">
        <v>29</v>
      </c>
      <c r="AF170" s="4">
        <v>0</v>
      </c>
      <c r="AG170" s="4">
        <v>0</v>
      </c>
      <c r="AH170" s="4">
        <v>6</v>
      </c>
      <c r="AI170" s="4">
        <v>28</v>
      </c>
      <c r="AJ170" s="4">
        <v>0</v>
      </c>
      <c r="AK170" s="4">
        <v>1</v>
      </c>
      <c r="AL170" s="4">
        <v>3</v>
      </c>
      <c r="AM170" s="4">
        <v>23</v>
      </c>
      <c r="AN170" s="4">
        <v>0</v>
      </c>
      <c r="AO170" s="4">
        <v>0</v>
      </c>
      <c r="AP170" s="4">
        <v>0</v>
      </c>
      <c r="AQ170" s="4">
        <v>1</v>
      </c>
      <c r="AR170" s="3" t="s">
        <v>65</v>
      </c>
      <c r="AS170" s="3" t="s">
        <v>65</v>
      </c>
      <c r="AT170" s="3" t="s">
        <v>65</v>
      </c>
      <c r="AV170" s="6" t="str">
        <f>HYPERLINK("http://mcgill.on.worldcat.org/oclc/755700579","Catalog Record")</f>
        <v>Catalog Record</v>
      </c>
      <c r="AW170" s="6" t="str">
        <f>HYPERLINK("http://www.worldcat.org/oclc/755700579","WorldCat Record")</f>
        <v>WorldCat Record</v>
      </c>
      <c r="AX170" s="3" t="s">
        <v>1685</v>
      </c>
      <c r="AY170" s="3" t="s">
        <v>1686</v>
      </c>
      <c r="AZ170" s="3" t="s">
        <v>1687</v>
      </c>
      <c r="BA170" s="3" t="s">
        <v>1687</v>
      </c>
      <c r="BB170" s="3" t="s">
        <v>1688</v>
      </c>
      <c r="BC170" s="3" t="s">
        <v>77</v>
      </c>
      <c r="BD170" s="3" t="s">
        <v>78</v>
      </c>
      <c r="BE170" s="3" t="s">
        <v>1689</v>
      </c>
      <c r="BF170" s="3" t="s">
        <v>1688</v>
      </c>
      <c r="BG170" s="3" t="s">
        <v>1690</v>
      </c>
    </row>
    <row r="171" spans="1:59" ht="58" x14ac:dyDescent="0.35">
      <c r="A171" s="2" t="s">
        <v>59</v>
      </c>
      <c r="B171" s="2" t="s">
        <v>60</v>
      </c>
      <c r="C171" s="2" t="s">
        <v>1691</v>
      </c>
      <c r="D171" s="2" t="s">
        <v>1692</v>
      </c>
      <c r="E171" s="2" t="s">
        <v>1693</v>
      </c>
      <c r="G171" s="3" t="s">
        <v>65</v>
      </c>
      <c r="I171" s="3" t="s">
        <v>65</v>
      </c>
      <c r="J171" s="3" t="s">
        <v>65</v>
      </c>
      <c r="K171" s="3" t="s">
        <v>66</v>
      </c>
      <c r="M171" s="2" t="s">
        <v>1611</v>
      </c>
      <c r="N171" s="3" t="s">
        <v>176</v>
      </c>
      <c r="P171" s="3" t="s">
        <v>69</v>
      </c>
      <c r="Q171" s="2" t="s">
        <v>1197</v>
      </c>
      <c r="R171" s="3" t="s">
        <v>71</v>
      </c>
      <c r="S171" s="4">
        <v>1</v>
      </c>
      <c r="T171" s="4">
        <v>1</v>
      </c>
      <c r="U171" s="5" t="s">
        <v>1694</v>
      </c>
      <c r="V171" s="5" t="s">
        <v>1694</v>
      </c>
      <c r="W171" s="5" t="s">
        <v>72</v>
      </c>
      <c r="X171" s="5" t="s">
        <v>72</v>
      </c>
      <c r="Y171" s="4">
        <v>124</v>
      </c>
      <c r="Z171" s="4">
        <v>10</v>
      </c>
      <c r="AA171" s="4">
        <v>94</v>
      </c>
      <c r="AB171" s="4">
        <v>1</v>
      </c>
      <c r="AC171" s="4">
        <v>17</v>
      </c>
      <c r="AD171" s="4">
        <v>61</v>
      </c>
      <c r="AE171" s="4">
        <v>130</v>
      </c>
      <c r="AF171" s="4">
        <v>0</v>
      </c>
      <c r="AG171" s="4">
        <v>8</v>
      </c>
      <c r="AH171" s="4">
        <v>57</v>
      </c>
      <c r="AI171" s="4">
        <v>89</v>
      </c>
      <c r="AJ171" s="4">
        <v>7</v>
      </c>
      <c r="AK171" s="4">
        <v>25</v>
      </c>
      <c r="AL171" s="4">
        <v>38</v>
      </c>
      <c r="AM171" s="4">
        <v>47</v>
      </c>
      <c r="AN171" s="4">
        <v>0</v>
      </c>
      <c r="AO171" s="4">
        <v>0</v>
      </c>
      <c r="AP171" s="4">
        <v>6</v>
      </c>
      <c r="AQ171" s="4">
        <v>49</v>
      </c>
      <c r="AR171" s="3" t="s">
        <v>209</v>
      </c>
      <c r="AS171" s="3" t="s">
        <v>65</v>
      </c>
      <c r="AT171" s="3" t="s">
        <v>65</v>
      </c>
      <c r="AV171" s="6" t="str">
        <f>HYPERLINK("http://mcgill.on.worldcat.org/oclc/888557637","Catalog Record")</f>
        <v>Catalog Record</v>
      </c>
      <c r="AW171" s="6" t="str">
        <f>HYPERLINK("http://www.worldcat.org/oclc/888557637","WorldCat Record")</f>
        <v>WorldCat Record</v>
      </c>
      <c r="AX171" s="3" t="s">
        <v>1695</v>
      </c>
      <c r="AY171" s="3" t="s">
        <v>1696</v>
      </c>
      <c r="AZ171" s="3" t="s">
        <v>1697</v>
      </c>
      <c r="BA171" s="3" t="s">
        <v>1697</v>
      </c>
      <c r="BB171" s="3" t="s">
        <v>1698</v>
      </c>
      <c r="BC171" s="3" t="s">
        <v>77</v>
      </c>
      <c r="BD171" s="3" t="s">
        <v>78</v>
      </c>
      <c r="BE171" s="3" t="s">
        <v>1699</v>
      </c>
      <c r="BF171" s="3" t="s">
        <v>1698</v>
      </c>
      <c r="BG171" s="3" t="s">
        <v>1700</v>
      </c>
    </row>
    <row r="172" spans="1:59" ht="58" x14ac:dyDescent="0.35">
      <c r="A172" s="2" t="s">
        <v>59</v>
      </c>
      <c r="B172" s="2" t="s">
        <v>60</v>
      </c>
      <c r="C172" s="2" t="s">
        <v>1701</v>
      </c>
      <c r="D172" s="2" t="s">
        <v>1702</v>
      </c>
      <c r="E172" s="2" t="s">
        <v>1703</v>
      </c>
      <c r="G172" s="3" t="s">
        <v>65</v>
      </c>
      <c r="H172" s="3" t="s">
        <v>213</v>
      </c>
      <c r="I172" s="3" t="s">
        <v>65</v>
      </c>
      <c r="J172" s="3" t="s">
        <v>65</v>
      </c>
      <c r="K172" s="3" t="s">
        <v>66</v>
      </c>
      <c r="L172" s="2" t="s">
        <v>1704</v>
      </c>
      <c r="M172" s="2" t="s">
        <v>1705</v>
      </c>
      <c r="N172" s="3" t="s">
        <v>86</v>
      </c>
      <c r="P172" s="3" t="s">
        <v>69</v>
      </c>
      <c r="Q172" s="2" t="s">
        <v>1706</v>
      </c>
      <c r="R172" s="3" t="s">
        <v>71</v>
      </c>
      <c r="S172" s="4">
        <v>0</v>
      </c>
      <c r="T172" s="4">
        <v>0</v>
      </c>
      <c r="W172" s="5" t="s">
        <v>1707</v>
      </c>
      <c r="X172" s="5" t="s">
        <v>1707</v>
      </c>
      <c r="Y172" s="4">
        <v>37</v>
      </c>
      <c r="Z172" s="4">
        <v>4</v>
      </c>
      <c r="AA172" s="4">
        <v>8</v>
      </c>
      <c r="AB172" s="4">
        <v>1</v>
      </c>
      <c r="AC172" s="4">
        <v>4</v>
      </c>
      <c r="AD172" s="4">
        <v>23</v>
      </c>
      <c r="AE172" s="4">
        <v>25</v>
      </c>
      <c r="AF172" s="4">
        <v>0</v>
      </c>
      <c r="AG172" s="4">
        <v>1</v>
      </c>
      <c r="AH172" s="4">
        <v>21</v>
      </c>
      <c r="AI172" s="4">
        <v>22</v>
      </c>
      <c r="AJ172" s="4">
        <v>2</v>
      </c>
      <c r="AK172" s="4">
        <v>4</v>
      </c>
      <c r="AL172" s="4">
        <v>13</v>
      </c>
      <c r="AM172" s="4">
        <v>14</v>
      </c>
      <c r="AN172" s="4">
        <v>0</v>
      </c>
      <c r="AO172" s="4">
        <v>0</v>
      </c>
      <c r="AP172" s="4">
        <v>3</v>
      </c>
      <c r="AQ172" s="4">
        <v>4</v>
      </c>
      <c r="AR172" s="3" t="s">
        <v>65</v>
      </c>
      <c r="AS172" s="3" t="s">
        <v>65</v>
      </c>
      <c r="AT172" s="3" t="s">
        <v>65</v>
      </c>
      <c r="AV172" s="6" t="str">
        <f>HYPERLINK("http://mcgill.on.worldcat.org/oclc/1050143663","Catalog Record")</f>
        <v>Catalog Record</v>
      </c>
      <c r="AW172" s="6" t="str">
        <f>HYPERLINK("http://www.worldcat.org/oclc/1050143663","WorldCat Record")</f>
        <v>WorldCat Record</v>
      </c>
      <c r="AX172" s="3" t="s">
        <v>1708</v>
      </c>
      <c r="AY172" s="3" t="s">
        <v>1709</v>
      </c>
      <c r="AZ172" s="3" t="s">
        <v>1710</v>
      </c>
      <c r="BA172" s="3" t="s">
        <v>1710</v>
      </c>
      <c r="BB172" s="3" t="s">
        <v>1711</v>
      </c>
      <c r="BC172" s="3" t="s">
        <v>77</v>
      </c>
      <c r="BD172" s="3" t="s">
        <v>1712</v>
      </c>
      <c r="BE172" s="3" t="s">
        <v>1713</v>
      </c>
      <c r="BF172" s="3" t="s">
        <v>1711</v>
      </c>
      <c r="BG172" s="3" t="s">
        <v>1714</v>
      </c>
    </row>
    <row r="173" spans="1:59" ht="58" x14ac:dyDescent="0.35">
      <c r="A173" s="2" t="s">
        <v>59</v>
      </c>
      <c r="B173" s="2" t="s">
        <v>60</v>
      </c>
      <c r="C173" s="2" t="s">
        <v>1715</v>
      </c>
      <c r="D173" s="2" t="s">
        <v>1716</v>
      </c>
      <c r="E173" s="2" t="s">
        <v>1717</v>
      </c>
      <c r="G173" s="3" t="s">
        <v>65</v>
      </c>
      <c r="I173" s="3" t="s">
        <v>65</v>
      </c>
      <c r="J173" s="3" t="s">
        <v>65</v>
      </c>
      <c r="K173" s="3" t="s">
        <v>66</v>
      </c>
      <c r="L173" s="2" t="s">
        <v>1718</v>
      </c>
      <c r="M173" s="2" t="s">
        <v>1719</v>
      </c>
      <c r="N173" s="3" t="s">
        <v>126</v>
      </c>
      <c r="P173" s="3" t="s">
        <v>140</v>
      </c>
      <c r="Q173" s="2" t="s">
        <v>1720</v>
      </c>
      <c r="R173" s="3" t="s">
        <v>71</v>
      </c>
      <c r="S173" s="4">
        <v>0</v>
      </c>
      <c r="T173" s="4">
        <v>0</v>
      </c>
      <c r="W173" s="5" t="s">
        <v>72</v>
      </c>
      <c r="X173" s="5" t="s">
        <v>72</v>
      </c>
      <c r="Y173" s="4">
        <v>48</v>
      </c>
      <c r="Z173" s="4">
        <v>7</v>
      </c>
      <c r="AA173" s="4">
        <v>7</v>
      </c>
      <c r="AB173" s="4">
        <v>1</v>
      </c>
      <c r="AC173" s="4">
        <v>1</v>
      </c>
      <c r="AD173" s="4">
        <v>33</v>
      </c>
      <c r="AE173" s="4">
        <v>33</v>
      </c>
      <c r="AF173" s="4">
        <v>0</v>
      </c>
      <c r="AG173" s="4">
        <v>0</v>
      </c>
      <c r="AH173" s="4">
        <v>32</v>
      </c>
      <c r="AI173" s="4">
        <v>32</v>
      </c>
      <c r="AJ173" s="4">
        <v>5</v>
      </c>
      <c r="AK173" s="4">
        <v>5</v>
      </c>
      <c r="AL173" s="4">
        <v>23</v>
      </c>
      <c r="AM173" s="4">
        <v>23</v>
      </c>
      <c r="AN173" s="4">
        <v>0</v>
      </c>
      <c r="AO173" s="4">
        <v>0</v>
      </c>
      <c r="AP173" s="4">
        <v>5</v>
      </c>
      <c r="AQ173" s="4">
        <v>5</v>
      </c>
      <c r="AR173" s="3" t="s">
        <v>65</v>
      </c>
      <c r="AS173" s="3" t="s">
        <v>65</v>
      </c>
      <c r="AT173" s="3" t="s">
        <v>65</v>
      </c>
      <c r="AV173" s="6" t="str">
        <f>HYPERLINK("http://mcgill.on.worldcat.org/oclc/724303072","Catalog Record")</f>
        <v>Catalog Record</v>
      </c>
      <c r="AW173" s="6" t="str">
        <f>HYPERLINK("http://www.worldcat.org/oclc/724303072","WorldCat Record")</f>
        <v>WorldCat Record</v>
      </c>
      <c r="AX173" s="3" t="s">
        <v>1721</v>
      </c>
      <c r="AY173" s="3" t="s">
        <v>1722</v>
      </c>
      <c r="AZ173" s="3" t="s">
        <v>1723</v>
      </c>
      <c r="BA173" s="3" t="s">
        <v>1723</v>
      </c>
      <c r="BB173" s="3" t="s">
        <v>1724</v>
      </c>
      <c r="BC173" s="3" t="s">
        <v>77</v>
      </c>
      <c r="BD173" s="3" t="s">
        <v>78</v>
      </c>
      <c r="BE173" s="3" t="s">
        <v>1725</v>
      </c>
      <c r="BF173" s="3" t="s">
        <v>1724</v>
      </c>
      <c r="BG173" s="3" t="s">
        <v>1726</v>
      </c>
    </row>
    <row r="174" spans="1:59" ht="58" x14ac:dyDescent="0.35">
      <c r="A174" s="2" t="s">
        <v>59</v>
      </c>
      <c r="B174" s="2" t="s">
        <v>60</v>
      </c>
      <c r="C174" s="2" t="s">
        <v>1727</v>
      </c>
      <c r="D174" s="2" t="s">
        <v>1728</v>
      </c>
      <c r="E174" s="2" t="s">
        <v>1729</v>
      </c>
      <c r="G174" s="3" t="s">
        <v>65</v>
      </c>
      <c r="I174" s="3" t="s">
        <v>65</v>
      </c>
      <c r="J174" s="3" t="s">
        <v>65</v>
      </c>
      <c r="K174" s="3" t="s">
        <v>66</v>
      </c>
      <c r="L174" s="2" t="s">
        <v>1730</v>
      </c>
      <c r="M174" s="2" t="s">
        <v>1731</v>
      </c>
      <c r="N174" s="3" t="s">
        <v>113</v>
      </c>
      <c r="P174" s="3" t="s">
        <v>140</v>
      </c>
      <c r="Q174" s="2" t="s">
        <v>1732</v>
      </c>
      <c r="R174" s="3" t="s">
        <v>71</v>
      </c>
      <c r="S174" s="4">
        <v>0</v>
      </c>
      <c r="T174" s="4">
        <v>0</v>
      </c>
      <c r="W174" s="5" t="s">
        <v>72</v>
      </c>
      <c r="X174" s="5" t="s">
        <v>72</v>
      </c>
      <c r="Y174" s="4">
        <v>82</v>
      </c>
      <c r="Z174" s="4">
        <v>8</v>
      </c>
      <c r="AA174" s="4">
        <v>8</v>
      </c>
      <c r="AB174" s="4">
        <v>2</v>
      </c>
      <c r="AC174" s="4">
        <v>2</v>
      </c>
      <c r="AD174" s="4">
        <v>44</v>
      </c>
      <c r="AE174" s="4">
        <v>44</v>
      </c>
      <c r="AF174" s="4">
        <v>1</v>
      </c>
      <c r="AG174" s="4">
        <v>1</v>
      </c>
      <c r="AH174" s="4">
        <v>42</v>
      </c>
      <c r="AI174" s="4">
        <v>42</v>
      </c>
      <c r="AJ174" s="4">
        <v>5</v>
      </c>
      <c r="AK174" s="4">
        <v>5</v>
      </c>
      <c r="AL174" s="4">
        <v>34</v>
      </c>
      <c r="AM174" s="4">
        <v>34</v>
      </c>
      <c r="AN174" s="4">
        <v>0</v>
      </c>
      <c r="AO174" s="4">
        <v>0</v>
      </c>
      <c r="AP174" s="4">
        <v>5</v>
      </c>
      <c r="AQ174" s="4">
        <v>5</v>
      </c>
      <c r="AR174" s="3" t="s">
        <v>65</v>
      </c>
      <c r="AS174" s="3" t="s">
        <v>65</v>
      </c>
      <c r="AT174" s="3" t="s">
        <v>65</v>
      </c>
      <c r="AV174" s="6" t="str">
        <f>HYPERLINK("http://mcgill.on.worldcat.org/oclc/669907106","Catalog Record")</f>
        <v>Catalog Record</v>
      </c>
      <c r="AW174" s="6" t="str">
        <f>HYPERLINK("http://www.worldcat.org/oclc/669907106","WorldCat Record")</f>
        <v>WorldCat Record</v>
      </c>
      <c r="AX174" s="3" t="s">
        <v>1733</v>
      </c>
      <c r="AY174" s="3" t="s">
        <v>1734</v>
      </c>
      <c r="AZ174" s="3" t="s">
        <v>1735</v>
      </c>
      <c r="BA174" s="3" t="s">
        <v>1735</v>
      </c>
      <c r="BB174" s="3" t="s">
        <v>1736</v>
      </c>
      <c r="BC174" s="3" t="s">
        <v>77</v>
      </c>
      <c r="BD174" s="3" t="s">
        <v>78</v>
      </c>
      <c r="BE174" s="3" t="s">
        <v>1737</v>
      </c>
      <c r="BF174" s="3" t="s">
        <v>1736</v>
      </c>
      <c r="BG174" s="3" t="s">
        <v>1738</v>
      </c>
    </row>
    <row r="175" spans="1:59" ht="72.5" x14ac:dyDescent="0.35">
      <c r="A175" s="2" t="s">
        <v>59</v>
      </c>
      <c r="B175" s="2" t="s">
        <v>60</v>
      </c>
      <c r="C175" s="2" t="s">
        <v>1739</v>
      </c>
      <c r="D175" s="2" t="s">
        <v>1740</v>
      </c>
      <c r="E175" s="2" t="s">
        <v>1741</v>
      </c>
      <c r="G175" s="3" t="s">
        <v>65</v>
      </c>
      <c r="I175" s="3" t="s">
        <v>65</v>
      </c>
      <c r="J175" s="3" t="s">
        <v>65</v>
      </c>
      <c r="K175" s="3" t="s">
        <v>66</v>
      </c>
      <c r="M175" s="2" t="s">
        <v>1742</v>
      </c>
      <c r="N175" s="3" t="s">
        <v>164</v>
      </c>
      <c r="P175" s="3" t="s">
        <v>140</v>
      </c>
      <c r="Q175" s="2" t="s">
        <v>1743</v>
      </c>
      <c r="R175" s="3" t="s">
        <v>71</v>
      </c>
      <c r="S175" s="4">
        <v>0</v>
      </c>
      <c r="T175" s="4">
        <v>0</v>
      </c>
      <c r="W175" s="5" t="s">
        <v>72</v>
      </c>
      <c r="X175" s="5" t="s">
        <v>72</v>
      </c>
      <c r="Y175" s="4">
        <v>31</v>
      </c>
      <c r="Z175" s="4">
        <v>3</v>
      </c>
      <c r="AA175" s="4">
        <v>3</v>
      </c>
      <c r="AB175" s="4">
        <v>1</v>
      </c>
      <c r="AC175" s="4">
        <v>1</v>
      </c>
      <c r="AD175" s="4">
        <v>23</v>
      </c>
      <c r="AE175" s="4">
        <v>23</v>
      </c>
      <c r="AF175" s="4">
        <v>0</v>
      </c>
      <c r="AG175" s="4">
        <v>0</v>
      </c>
      <c r="AH175" s="4">
        <v>22</v>
      </c>
      <c r="AI175" s="4">
        <v>22</v>
      </c>
      <c r="AJ175" s="4">
        <v>1</v>
      </c>
      <c r="AK175" s="4">
        <v>1</v>
      </c>
      <c r="AL175" s="4">
        <v>19</v>
      </c>
      <c r="AM175" s="4">
        <v>19</v>
      </c>
      <c r="AN175" s="4">
        <v>0</v>
      </c>
      <c r="AO175" s="4">
        <v>0</v>
      </c>
      <c r="AP175" s="4">
        <v>1</v>
      </c>
      <c r="AQ175" s="4">
        <v>1</v>
      </c>
      <c r="AR175" s="3" t="s">
        <v>65</v>
      </c>
      <c r="AS175" s="3" t="s">
        <v>65</v>
      </c>
      <c r="AT175" s="3" t="s">
        <v>65</v>
      </c>
      <c r="AV175" s="6" t="str">
        <f>HYPERLINK("http://mcgill.on.worldcat.org/oclc/914253331","Catalog Record")</f>
        <v>Catalog Record</v>
      </c>
      <c r="AW175" s="6" t="str">
        <f>HYPERLINK("http://www.worldcat.org/oclc/914253331","WorldCat Record")</f>
        <v>WorldCat Record</v>
      </c>
      <c r="AX175" s="3" t="s">
        <v>1744</v>
      </c>
      <c r="AY175" s="3" t="s">
        <v>1745</v>
      </c>
      <c r="AZ175" s="3" t="s">
        <v>1746</v>
      </c>
      <c r="BA175" s="3" t="s">
        <v>1746</v>
      </c>
      <c r="BB175" s="3" t="s">
        <v>1747</v>
      </c>
      <c r="BC175" s="3" t="s">
        <v>77</v>
      </c>
      <c r="BD175" s="3" t="s">
        <v>78</v>
      </c>
      <c r="BE175" s="3" t="s">
        <v>1748</v>
      </c>
      <c r="BF175" s="3" t="s">
        <v>1747</v>
      </c>
      <c r="BG175" s="3" t="s">
        <v>1749</v>
      </c>
    </row>
    <row r="176" spans="1:59" ht="58" x14ac:dyDescent="0.35">
      <c r="A176" s="2" t="s">
        <v>59</v>
      </c>
      <c r="B176" s="2" t="s">
        <v>60</v>
      </c>
      <c r="C176" s="2" t="s">
        <v>1750</v>
      </c>
      <c r="D176" s="2" t="s">
        <v>1751</v>
      </c>
      <c r="E176" s="2" t="s">
        <v>1752</v>
      </c>
      <c r="G176" s="3" t="s">
        <v>65</v>
      </c>
      <c r="I176" s="3" t="s">
        <v>65</v>
      </c>
      <c r="J176" s="3" t="s">
        <v>65</v>
      </c>
      <c r="K176" s="3" t="s">
        <v>66</v>
      </c>
      <c r="M176" s="2" t="s">
        <v>1753</v>
      </c>
      <c r="N176" s="3" t="s">
        <v>364</v>
      </c>
      <c r="P176" s="3" t="s">
        <v>69</v>
      </c>
      <c r="R176" s="3" t="s">
        <v>71</v>
      </c>
      <c r="S176" s="4">
        <v>23</v>
      </c>
      <c r="T176" s="4">
        <v>23</v>
      </c>
      <c r="U176" s="5" t="s">
        <v>1754</v>
      </c>
      <c r="V176" s="5" t="s">
        <v>1754</v>
      </c>
      <c r="W176" s="5" t="s">
        <v>72</v>
      </c>
      <c r="X176" s="5" t="s">
        <v>72</v>
      </c>
      <c r="Y176" s="4">
        <v>187</v>
      </c>
      <c r="Z176" s="4">
        <v>12</v>
      </c>
      <c r="AA176" s="4">
        <v>12</v>
      </c>
      <c r="AB176" s="4">
        <v>2</v>
      </c>
      <c r="AC176" s="4">
        <v>2</v>
      </c>
      <c r="AD176" s="4">
        <v>95</v>
      </c>
      <c r="AE176" s="4">
        <v>95</v>
      </c>
      <c r="AF176" s="4">
        <v>0</v>
      </c>
      <c r="AG176" s="4">
        <v>0</v>
      </c>
      <c r="AH176" s="4">
        <v>88</v>
      </c>
      <c r="AI176" s="4">
        <v>88</v>
      </c>
      <c r="AJ176" s="4">
        <v>9</v>
      </c>
      <c r="AK176" s="4">
        <v>9</v>
      </c>
      <c r="AL176" s="4">
        <v>55</v>
      </c>
      <c r="AM176" s="4">
        <v>55</v>
      </c>
      <c r="AN176" s="4">
        <v>0</v>
      </c>
      <c r="AO176" s="4">
        <v>0</v>
      </c>
      <c r="AP176" s="4">
        <v>9</v>
      </c>
      <c r="AQ176" s="4">
        <v>9</v>
      </c>
      <c r="AR176" s="3" t="s">
        <v>65</v>
      </c>
      <c r="AS176" s="3" t="s">
        <v>65</v>
      </c>
      <c r="AT176" s="3" t="s">
        <v>209</v>
      </c>
      <c r="AU176" s="6" t="str">
        <f>HYPERLINK("http://catalog.hathitrust.org/Record/004197841","HathiTrust Record")</f>
        <v>HathiTrust Record</v>
      </c>
      <c r="AV176" s="6" t="str">
        <f>HYPERLINK("http://mcgill.on.worldcat.org/oclc/45420460","Catalog Record")</f>
        <v>Catalog Record</v>
      </c>
      <c r="AW176" s="6" t="str">
        <f>HYPERLINK("http://www.worldcat.org/oclc/45420460","WorldCat Record")</f>
        <v>WorldCat Record</v>
      </c>
      <c r="AX176" s="3" t="s">
        <v>1755</v>
      </c>
      <c r="AY176" s="3" t="s">
        <v>1756</v>
      </c>
      <c r="AZ176" s="3" t="s">
        <v>1757</v>
      </c>
      <c r="BA176" s="3" t="s">
        <v>1757</v>
      </c>
      <c r="BB176" s="3" t="s">
        <v>1758</v>
      </c>
      <c r="BC176" s="3" t="s">
        <v>77</v>
      </c>
      <c r="BD176" s="3" t="s">
        <v>78</v>
      </c>
      <c r="BE176" s="3" t="s">
        <v>1759</v>
      </c>
      <c r="BF176" s="3" t="s">
        <v>1758</v>
      </c>
      <c r="BG176" s="3" t="s">
        <v>1760</v>
      </c>
    </row>
    <row r="177" spans="1:59" ht="58" x14ac:dyDescent="0.35">
      <c r="A177" s="2" t="s">
        <v>59</v>
      </c>
      <c r="B177" s="2" t="s">
        <v>60</v>
      </c>
      <c r="C177" s="2" t="s">
        <v>1761</v>
      </c>
      <c r="D177" s="2" t="s">
        <v>1762</v>
      </c>
      <c r="E177" s="2" t="s">
        <v>1763</v>
      </c>
      <c r="G177" s="3" t="s">
        <v>65</v>
      </c>
      <c r="I177" s="3" t="s">
        <v>65</v>
      </c>
      <c r="J177" s="3" t="s">
        <v>65</v>
      </c>
      <c r="K177" s="3" t="s">
        <v>66</v>
      </c>
      <c r="L177" s="2" t="s">
        <v>1764</v>
      </c>
      <c r="M177" s="2" t="s">
        <v>1765</v>
      </c>
      <c r="N177" s="3" t="s">
        <v>164</v>
      </c>
      <c r="P177" s="3" t="s">
        <v>69</v>
      </c>
      <c r="R177" s="3" t="s">
        <v>71</v>
      </c>
      <c r="S177" s="4">
        <v>0</v>
      </c>
      <c r="T177" s="4">
        <v>0</v>
      </c>
      <c r="W177" s="5" t="s">
        <v>72</v>
      </c>
      <c r="X177" s="5" t="s">
        <v>72</v>
      </c>
      <c r="Y177" s="4">
        <v>88</v>
      </c>
      <c r="Z177" s="4">
        <v>11</v>
      </c>
      <c r="AA177" s="4">
        <v>30</v>
      </c>
      <c r="AB177" s="4">
        <v>1</v>
      </c>
      <c r="AC177" s="4">
        <v>4</v>
      </c>
      <c r="AD177" s="4">
        <v>47</v>
      </c>
      <c r="AE177" s="4">
        <v>55</v>
      </c>
      <c r="AF177" s="4">
        <v>0</v>
      </c>
      <c r="AG177" s="4">
        <v>0</v>
      </c>
      <c r="AH177" s="4">
        <v>44</v>
      </c>
      <c r="AI177" s="4">
        <v>49</v>
      </c>
      <c r="AJ177" s="4">
        <v>8</v>
      </c>
      <c r="AK177" s="4">
        <v>9</v>
      </c>
      <c r="AL177" s="4">
        <v>31</v>
      </c>
      <c r="AM177" s="4">
        <v>34</v>
      </c>
      <c r="AN177" s="4">
        <v>0</v>
      </c>
      <c r="AO177" s="4">
        <v>0</v>
      </c>
      <c r="AP177" s="4">
        <v>8</v>
      </c>
      <c r="AQ177" s="4">
        <v>12</v>
      </c>
      <c r="AR177" s="3" t="s">
        <v>65</v>
      </c>
      <c r="AS177" s="3" t="s">
        <v>65</v>
      </c>
      <c r="AT177" s="3" t="s">
        <v>65</v>
      </c>
      <c r="AV177" s="6" t="str">
        <f>HYPERLINK("http://mcgill.on.worldcat.org/oclc/862399417","Catalog Record")</f>
        <v>Catalog Record</v>
      </c>
      <c r="AW177" s="6" t="str">
        <f>HYPERLINK("http://www.worldcat.org/oclc/862399417","WorldCat Record")</f>
        <v>WorldCat Record</v>
      </c>
      <c r="AX177" s="3" t="s">
        <v>1766</v>
      </c>
      <c r="AY177" s="3" t="s">
        <v>1767</v>
      </c>
      <c r="AZ177" s="3" t="s">
        <v>1768</v>
      </c>
      <c r="BA177" s="3" t="s">
        <v>1768</v>
      </c>
      <c r="BB177" s="3" t="s">
        <v>1769</v>
      </c>
      <c r="BC177" s="3" t="s">
        <v>77</v>
      </c>
      <c r="BD177" s="3" t="s">
        <v>78</v>
      </c>
      <c r="BE177" s="3" t="s">
        <v>1770</v>
      </c>
      <c r="BF177" s="3" t="s">
        <v>1769</v>
      </c>
      <c r="BG177" s="3" t="s">
        <v>1771</v>
      </c>
    </row>
    <row r="178" spans="1:59" ht="58" x14ac:dyDescent="0.35">
      <c r="A178" s="2" t="s">
        <v>59</v>
      </c>
      <c r="B178" s="2" t="s">
        <v>60</v>
      </c>
      <c r="C178" s="2" t="s">
        <v>1772</v>
      </c>
      <c r="D178" s="2" t="s">
        <v>1773</v>
      </c>
      <c r="E178" s="2" t="s">
        <v>1774</v>
      </c>
      <c r="G178" s="3" t="s">
        <v>65</v>
      </c>
      <c r="I178" s="3" t="s">
        <v>65</v>
      </c>
      <c r="J178" s="3" t="s">
        <v>65</v>
      </c>
      <c r="K178" s="3" t="s">
        <v>66</v>
      </c>
      <c r="L178" s="2" t="s">
        <v>1775</v>
      </c>
      <c r="M178" s="2" t="s">
        <v>1776</v>
      </c>
      <c r="N178" s="3" t="s">
        <v>188</v>
      </c>
      <c r="O178" s="2" t="s">
        <v>235</v>
      </c>
      <c r="P178" s="3" t="s">
        <v>140</v>
      </c>
      <c r="Q178" s="2" t="s">
        <v>1777</v>
      </c>
      <c r="R178" s="3" t="s">
        <v>71</v>
      </c>
      <c r="S178" s="4">
        <v>0</v>
      </c>
      <c r="T178" s="4">
        <v>0</v>
      </c>
      <c r="W178" s="5" t="s">
        <v>72</v>
      </c>
      <c r="X178" s="5" t="s">
        <v>72</v>
      </c>
      <c r="Y178" s="4">
        <v>11</v>
      </c>
      <c r="Z178" s="4">
        <v>1</v>
      </c>
      <c r="AA178" s="4">
        <v>1</v>
      </c>
      <c r="AB178" s="4">
        <v>1</v>
      </c>
      <c r="AC178" s="4">
        <v>1</v>
      </c>
      <c r="AD178" s="4">
        <v>6</v>
      </c>
      <c r="AE178" s="4">
        <v>6</v>
      </c>
      <c r="AF178" s="4">
        <v>0</v>
      </c>
      <c r="AG178" s="4">
        <v>0</v>
      </c>
      <c r="AH178" s="4">
        <v>6</v>
      </c>
      <c r="AI178" s="4">
        <v>6</v>
      </c>
      <c r="AJ178" s="4">
        <v>0</v>
      </c>
      <c r="AK178" s="4">
        <v>0</v>
      </c>
      <c r="AL178" s="4">
        <v>5</v>
      </c>
      <c r="AM178" s="4">
        <v>5</v>
      </c>
      <c r="AN178" s="4">
        <v>0</v>
      </c>
      <c r="AO178" s="4">
        <v>0</v>
      </c>
      <c r="AP178" s="4">
        <v>0</v>
      </c>
      <c r="AQ178" s="4">
        <v>0</v>
      </c>
      <c r="AR178" s="3" t="s">
        <v>65</v>
      </c>
      <c r="AS178" s="3" t="s">
        <v>65</v>
      </c>
      <c r="AT178" s="3" t="s">
        <v>65</v>
      </c>
      <c r="AV178" s="6" t="str">
        <f>HYPERLINK("http://mcgill.on.worldcat.org/oclc/1002095233","Catalog Record")</f>
        <v>Catalog Record</v>
      </c>
      <c r="AW178" s="6" t="str">
        <f>HYPERLINK("http://www.worldcat.org/oclc/1002095233","WorldCat Record")</f>
        <v>WorldCat Record</v>
      </c>
      <c r="AX178" s="3" t="s">
        <v>1778</v>
      </c>
      <c r="AY178" s="3" t="s">
        <v>1779</v>
      </c>
      <c r="AZ178" s="3" t="s">
        <v>1780</v>
      </c>
      <c r="BA178" s="3" t="s">
        <v>1780</v>
      </c>
      <c r="BB178" s="3" t="s">
        <v>1781</v>
      </c>
      <c r="BC178" s="3" t="s">
        <v>77</v>
      </c>
      <c r="BD178" s="3" t="s">
        <v>78</v>
      </c>
      <c r="BE178" s="3" t="s">
        <v>1782</v>
      </c>
      <c r="BF178" s="3" t="s">
        <v>1781</v>
      </c>
      <c r="BG178" s="3" t="s">
        <v>1783</v>
      </c>
    </row>
    <row r="179" spans="1:59" ht="72.5" x14ac:dyDescent="0.35">
      <c r="A179" s="2" t="s">
        <v>59</v>
      </c>
      <c r="B179" s="2" t="s">
        <v>60</v>
      </c>
      <c r="C179" s="2" t="s">
        <v>1784</v>
      </c>
      <c r="D179" s="2" t="s">
        <v>1785</v>
      </c>
      <c r="E179" s="2" t="s">
        <v>1786</v>
      </c>
      <c r="G179" s="3" t="s">
        <v>65</v>
      </c>
      <c r="I179" s="3" t="s">
        <v>65</v>
      </c>
      <c r="J179" s="3" t="s">
        <v>65</v>
      </c>
      <c r="K179" s="3" t="s">
        <v>66</v>
      </c>
      <c r="L179" s="2" t="s">
        <v>1787</v>
      </c>
      <c r="M179" s="2" t="s">
        <v>1788</v>
      </c>
      <c r="N179" s="3" t="s">
        <v>176</v>
      </c>
      <c r="P179" s="3" t="s">
        <v>140</v>
      </c>
      <c r="Q179" s="2" t="s">
        <v>1789</v>
      </c>
      <c r="R179" s="3" t="s">
        <v>71</v>
      </c>
      <c r="S179" s="4">
        <v>0</v>
      </c>
      <c r="T179" s="4">
        <v>0</v>
      </c>
      <c r="W179" s="5" t="s">
        <v>72</v>
      </c>
      <c r="X179" s="5" t="s">
        <v>72</v>
      </c>
      <c r="Y179" s="4">
        <v>32</v>
      </c>
      <c r="Z179" s="4">
        <v>3</v>
      </c>
      <c r="AA179" s="4">
        <v>3</v>
      </c>
      <c r="AB179" s="4">
        <v>1</v>
      </c>
      <c r="AC179" s="4">
        <v>1</v>
      </c>
      <c r="AD179" s="4">
        <v>24</v>
      </c>
      <c r="AE179" s="4">
        <v>24</v>
      </c>
      <c r="AF179" s="4">
        <v>0</v>
      </c>
      <c r="AG179" s="4">
        <v>0</v>
      </c>
      <c r="AH179" s="4">
        <v>23</v>
      </c>
      <c r="AI179" s="4">
        <v>23</v>
      </c>
      <c r="AJ179" s="4">
        <v>1</v>
      </c>
      <c r="AK179" s="4">
        <v>1</v>
      </c>
      <c r="AL179" s="4">
        <v>19</v>
      </c>
      <c r="AM179" s="4">
        <v>19</v>
      </c>
      <c r="AN179" s="4">
        <v>0</v>
      </c>
      <c r="AO179" s="4">
        <v>0</v>
      </c>
      <c r="AP179" s="4">
        <v>1</v>
      </c>
      <c r="AQ179" s="4">
        <v>1</v>
      </c>
      <c r="AR179" s="3" t="s">
        <v>65</v>
      </c>
      <c r="AS179" s="3" t="s">
        <v>65</v>
      </c>
      <c r="AT179" s="3" t="s">
        <v>65</v>
      </c>
      <c r="AV179" s="6" t="str">
        <f>HYPERLINK("http://mcgill.on.worldcat.org/oclc/929450840","Catalog Record")</f>
        <v>Catalog Record</v>
      </c>
      <c r="AW179" s="6" t="str">
        <f>HYPERLINK("http://www.worldcat.org/oclc/929450840","WorldCat Record")</f>
        <v>WorldCat Record</v>
      </c>
      <c r="AX179" s="3" t="s">
        <v>1790</v>
      </c>
      <c r="AY179" s="3" t="s">
        <v>1791</v>
      </c>
      <c r="AZ179" s="3" t="s">
        <v>1792</v>
      </c>
      <c r="BA179" s="3" t="s">
        <v>1792</v>
      </c>
      <c r="BB179" s="3" t="s">
        <v>1793</v>
      </c>
      <c r="BC179" s="3" t="s">
        <v>77</v>
      </c>
      <c r="BD179" s="3" t="s">
        <v>78</v>
      </c>
      <c r="BE179" s="3" t="s">
        <v>1794</v>
      </c>
      <c r="BF179" s="3" t="s">
        <v>1793</v>
      </c>
      <c r="BG179" s="3" t="s">
        <v>1795</v>
      </c>
    </row>
    <row r="180" spans="1:59" ht="58" x14ac:dyDescent="0.35">
      <c r="A180" s="2" t="s">
        <v>59</v>
      </c>
      <c r="B180" s="2" t="s">
        <v>60</v>
      </c>
      <c r="C180" s="2" t="s">
        <v>1796</v>
      </c>
      <c r="D180" s="2" t="s">
        <v>1797</v>
      </c>
      <c r="E180" s="2" t="s">
        <v>1798</v>
      </c>
      <c r="G180" s="3" t="s">
        <v>65</v>
      </c>
      <c r="I180" s="3" t="s">
        <v>65</v>
      </c>
      <c r="J180" s="3" t="s">
        <v>65</v>
      </c>
      <c r="K180" s="3" t="s">
        <v>66</v>
      </c>
      <c r="L180" s="2" t="s">
        <v>1799</v>
      </c>
      <c r="M180" s="2" t="s">
        <v>1800</v>
      </c>
      <c r="N180" s="3" t="s">
        <v>68</v>
      </c>
      <c r="P180" s="3" t="s">
        <v>140</v>
      </c>
      <c r="Q180" s="2" t="s">
        <v>1801</v>
      </c>
      <c r="R180" s="3" t="s">
        <v>71</v>
      </c>
      <c r="S180" s="4">
        <v>0</v>
      </c>
      <c r="T180" s="4">
        <v>0</v>
      </c>
      <c r="W180" s="5" t="s">
        <v>72</v>
      </c>
      <c r="X180" s="5" t="s">
        <v>72</v>
      </c>
      <c r="Y180" s="4">
        <v>23</v>
      </c>
      <c r="Z180" s="4">
        <v>1</v>
      </c>
      <c r="AA180" s="4">
        <v>1</v>
      </c>
      <c r="AB180" s="4">
        <v>1</v>
      </c>
      <c r="AC180" s="4">
        <v>1</v>
      </c>
      <c r="AD180" s="4">
        <v>16</v>
      </c>
      <c r="AE180" s="4">
        <v>16</v>
      </c>
      <c r="AF180" s="4">
        <v>0</v>
      </c>
      <c r="AG180" s="4">
        <v>0</v>
      </c>
      <c r="AH180" s="4">
        <v>15</v>
      </c>
      <c r="AI180" s="4">
        <v>15</v>
      </c>
      <c r="AJ180" s="4">
        <v>0</v>
      </c>
      <c r="AK180" s="4">
        <v>0</v>
      </c>
      <c r="AL180" s="4">
        <v>13</v>
      </c>
      <c r="AM180" s="4">
        <v>13</v>
      </c>
      <c r="AN180" s="4">
        <v>0</v>
      </c>
      <c r="AO180" s="4">
        <v>0</v>
      </c>
      <c r="AP180" s="4">
        <v>0</v>
      </c>
      <c r="AQ180" s="4">
        <v>0</v>
      </c>
      <c r="AR180" s="3" t="s">
        <v>65</v>
      </c>
      <c r="AS180" s="3" t="s">
        <v>65</v>
      </c>
      <c r="AT180" s="3" t="s">
        <v>65</v>
      </c>
      <c r="AV180" s="6" t="str">
        <f>HYPERLINK("http://mcgill.on.worldcat.org/oclc/974708741","Catalog Record")</f>
        <v>Catalog Record</v>
      </c>
      <c r="AW180" s="6" t="str">
        <f>HYPERLINK("http://www.worldcat.org/oclc/974708741","WorldCat Record")</f>
        <v>WorldCat Record</v>
      </c>
      <c r="AX180" s="3" t="s">
        <v>1802</v>
      </c>
      <c r="AY180" s="3" t="s">
        <v>1803</v>
      </c>
      <c r="AZ180" s="3" t="s">
        <v>1804</v>
      </c>
      <c r="BA180" s="3" t="s">
        <v>1804</v>
      </c>
      <c r="BB180" s="3" t="s">
        <v>1805</v>
      </c>
      <c r="BC180" s="3" t="s">
        <v>77</v>
      </c>
      <c r="BD180" s="3" t="s">
        <v>78</v>
      </c>
      <c r="BE180" s="3" t="s">
        <v>1806</v>
      </c>
      <c r="BF180" s="3" t="s">
        <v>1805</v>
      </c>
      <c r="BG180" s="3" t="s">
        <v>1807</v>
      </c>
    </row>
    <row r="181" spans="1:59" ht="58" x14ac:dyDescent="0.35">
      <c r="A181" s="2" t="s">
        <v>59</v>
      </c>
      <c r="B181" s="2" t="s">
        <v>60</v>
      </c>
      <c r="C181" s="2" t="s">
        <v>1808</v>
      </c>
      <c r="D181" s="2" t="s">
        <v>1809</v>
      </c>
      <c r="E181" s="2" t="s">
        <v>1810</v>
      </c>
      <c r="G181" s="3" t="s">
        <v>65</v>
      </c>
      <c r="I181" s="3" t="s">
        <v>65</v>
      </c>
      <c r="J181" s="3" t="s">
        <v>65</v>
      </c>
      <c r="K181" s="3" t="s">
        <v>66</v>
      </c>
      <c r="L181" s="2" t="s">
        <v>1321</v>
      </c>
      <c r="M181" s="2" t="s">
        <v>1322</v>
      </c>
      <c r="N181" s="3" t="s">
        <v>164</v>
      </c>
      <c r="P181" s="3" t="s">
        <v>140</v>
      </c>
      <c r="Q181" s="2" t="s">
        <v>1811</v>
      </c>
      <c r="R181" s="3" t="s">
        <v>71</v>
      </c>
      <c r="S181" s="4">
        <v>0</v>
      </c>
      <c r="T181" s="4">
        <v>0</v>
      </c>
      <c r="W181" s="5" t="s">
        <v>72</v>
      </c>
      <c r="X181" s="5" t="s">
        <v>72</v>
      </c>
      <c r="Y181" s="4">
        <v>40</v>
      </c>
      <c r="Z181" s="4">
        <v>3</v>
      </c>
      <c r="AA181" s="4">
        <v>3</v>
      </c>
      <c r="AB181" s="4">
        <v>1</v>
      </c>
      <c r="AC181" s="4">
        <v>1</v>
      </c>
      <c r="AD181" s="4">
        <v>28</v>
      </c>
      <c r="AE181" s="4">
        <v>28</v>
      </c>
      <c r="AF181" s="4">
        <v>0</v>
      </c>
      <c r="AG181" s="4">
        <v>0</v>
      </c>
      <c r="AH181" s="4">
        <v>27</v>
      </c>
      <c r="AI181" s="4">
        <v>27</v>
      </c>
      <c r="AJ181" s="4">
        <v>1</v>
      </c>
      <c r="AK181" s="4">
        <v>1</v>
      </c>
      <c r="AL181" s="4">
        <v>22</v>
      </c>
      <c r="AM181" s="4">
        <v>22</v>
      </c>
      <c r="AN181" s="4">
        <v>0</v>
      </c>
      <c r="AO181" s="4">
        <v>0</v>
      </c>
      <c r="AP181" s="4">
        <v>1</v>
      </c>
      <c r="AQ181" s="4">
        <v>1</v>
      </c>
      <c r="AR181" s="3" t="s">
        <v>65</v>
      </c>
      <c r="AS181" s="3" t="s">
        <v>65</v>
      </c>
      <c r="AT181" s="3" t="s">
        <v>65</v>
      </c>
      <c r="AV181" s="6" t="str">
        <f>HYPERLINK("http://mcgill.on.worldcat.org/oclc/881825472","Catalog Record")</f>
        <v>Catalog Record</v>
      </c>
      <c r="AW181" s="6" t="str">
        <f>HYPERLINK("http://www.worldcat.org/oclc/881825472","WorldCat Record")</f>
        <v>WorldCat Record</v>
      </c>
      <c r="AX181" s="3" t="s">
        <v>1812</v>
      </c>
      <c r="AY181" s="3" t="s">
        <v>1813</v>
      </c>
      <c r="AZ181" s="3" t="s">
        <v>1814</v>
      </c>
      <c r="BA181" s="3" t="s">
        <v>1814</v>
      </c>
      <c r="BB181" s="3" t="s">
        <v>1815</v>
      </c>
      <c r="BC181" s="3" t="s">
        <v>77</v>
      </c>
      <c r="BD181" s="3" t="s">
        <v>78</v>
      </c>
      <c r="BE181" s="3" t="s">
        <v>1816</v>
      </c>
      <c r="BF181" s="3" t="s">
        <v>1815</v>
      </c>
      <c r="BG181" s="3" t="s">
        <v>1817</v>
      </c>
    </row>
    <row r="182" spans="1:59" ht="58" x14ac:dyDescent="0.35">
      <c r="A182" s="2" t="s">
        <v>59</v>
      </c>
      <c r="B182" s="2" t="s">
        <v>60</v>
      </c>
      <c r="C182" s="2" t="s">
        <v>1818</v>
      </c>
      <c r="D182" s="2" t="s">
        <v>1819</v>
      </c>
      <c r="E182" s="2" t="s">
        <v>1820</v>
      </c>
      <c r="G182" s="3" t="s">
        <v>65</v>
      </c>
      <c r="I182" s="3" t="s">
        <v>65</v>
      </c>
      <c r="J182" s="3" t="s">
        <v>65</v>
      </c>
      <c r="K182" s="3" t="s">
        <v>66</v>
      </c>
      <c r="L182" s="2" t="s">
        <v>1821</v>
      </c>
      <c r="M182" s="2" t="s">
        <v>1822</v>
      </c>
      <c r="N182" s="3" t="s">
        <v>139</v>
      </c>
      <c r="P182" s="3" t="s">
        <v>140</v>
      </c>
      <c r="Q182" s="2" t="s">
        <v>1823</v>
      </c>
      <c r="R182" s="3" t="s">
        <v>71</v>
      </c>
      <c r="S182" s="4">
        <v>0</v>
      </c>
      <c r="T182" s="4">
        <v>0</v>
      </c>
      <c r="W182" s="5" t="s">
        <v>72</v>
      </c>
      <c r="X182" s="5" t="s">
        <v>72</v>
      </c>
      <c r="Y182" s="4">
        <v>18</v>
      </c>
      <c r="Z182" s="4">
        <v>3</v>
      </c>
      <c r="AA182" s="4">
        <v>4</v>
      </c>
      <c r="AB182" s="4">
        <v>1</v>
      </c>
      <c r="AC182" s="4">
        <v>1</v>
      </c>
      <c r="AD182" s="4">
        <v>15</v>
      </c>
      <c r="AE182" s="4">
        <v>18</v>
      </c>
      <c r="AF182" s="4">
        <v>0</v>
      </c>
      <c r="AG182" s="4">
        <v>0</v>
      </c>
      <c r="AH182" s="4">
        <v>15</v>
      </c>
      <c r="AI182" s="4">
        <v>18</v>
      </c>
      <c r="AJ182" s="4">
        <v>1</v>
      </c>
      <c r="AK182" s="4">
        <v>2</v>
      </c>
      <c r="AL182" s="4">
        <v>11</v>
      </c>
      <c r="AM182" s="4">
        <v>12</v>
      </c>
      <c r="AN182" s="4">
        <v>0</v>
      </c>
      <c r="AO182" s="4">
        <v>0</v>
      </c>
      <c r="AP182" s="4">
        <v>1</v>
      </c>
      <c r="AQ182" s="4">
        <v>2</v>
      </c>
      <c r="AR182" s="3" t="s">
        <v>65</v>
      </c>
      <c r="AS182" s="3" t="s">
        <v>65</v>
      </c>
      <c r="AT182" s="3" t="s">
        <v>65</v>
      </c>
      <c r="AV182" s="6" t="str">
        <f>HYPERLINK("http://mcgill.on.worldcat.org/oclc/812362211","Catalog Record")</f>
        <v>Catalog Record</v>
      </c>
      <c r="AW182" s="6" t="str">
        <f>HYPERLINK("http://www.worldcat.org/oclc/812362211","WorldCat Record")</f>
        <v>WorldCat Record</v>
      </c>
      <c r="AX182" s="3" t="s">
        <v>1824</v>
      </c>
      <c r="AY182" s="3" t="s">
        <v>1825</v>
      </c>
      <c r="AZ182" s="3" t="s">
        <v>1826</v>
      </c>
      <c r="BA182" s="3" t="s">
        <v>1826</v>
      </c>
      <c r="BB182" s="3" t="s">
        <v>1827</v>
      </c>
      <c r="BC182" s="3" t="s">
        <v>77</v>
      </c>
      <c r="BD182" s="3" t="s">
        <v>78</v>
      </c>
      <c r="BE182" s="3" t="s">
        <v>1828</v>
      </c>
      <c r="BF182" s="3" t="s">
        <v>1827</v>
      </c>
      <c r="BG182" s="3" t="s">
        <v>1829</v>
      </c>
    </row>
    <row r="183" spans="1:59" ht="58" x14ac:dyDescent="0.35">
      <c r="A183" s="2" t="s">
        <v>59</v>
      </c>
      <c r="B183" s="2" t="s">
        <v>60</v>
      </c>
      <c r="C183" s="2" t="s">
        <v>1830</v>
      </c>
      <c r="D183" s="2" t="s">
        <v>1831</v>
      </c>
      <c r="E183" s="2" t="s">
        <v>1832</v>
      </c>
      <c r="G183" s="3" t="s">
        <v>65</v>
      </c>
      <c r="I183" s="3" t="s">
        <v>65</v>
      </c>
      <c r="J183" s="3" t="s">
        <v>65</v>
      </c>
      <c r="K183" s="3" t="s">
        <v>66</v>
      </c>
      <c r="L183" s="2" t="s">
        <v>1833</v>
      </c>
      <c r="M183" s="2" t="s">
        <v>1834</v>
      </c>
      <c r="N183" s="3" t="s">
        <v>1835</v>
      </c>
      <c r="P183" s="3" t="s">
        <v>69</v>
      </c>
      <c r="Q183" s="2" t="s">
        <v>1836</v>
      </c>
      <c r="R183" s="3" t="s">
        <v>71</v>
      </c>
      <c r="S183" s="4">
        <v>6</v>
      </c>
      <c r="T183" s="4">
        <v>6</v>
      </c>
      <c r="U183" s="5" t="s">
        <v>1837</v>
      </c>
      <c r="V183" s="5" t="s">
        <v>1837</v>
      </c>
      <c r="W183" s="5" t="s">
        <v>72</v>
      </c>
      <c r="X183" s="5" t="s">
        <v>72</v>
      </c>
      <c r="Y183" s="4">
        <v>136</v>
      </c>
      <c r="Z183" s="4">
        <v>14</v>
      </c>
      <c r="AA183" s="4">
        <v>14</v>
      </c>
      <c r="AB183" s="4">
        <v>3</v>
      </c>
      <c r="AC183" s="4">
        <v>3</v>
      </c>
      <c r="AD183" s="4">
        <v>74</v>
      </c>
      <c r="AE183" s="4">
        <v>74</v>
      </c>
      <c r="AF183" s="4">
        <v>2</v>
      </c>
      <c r="AG183" s="4">
        <v>2</v>
      </c>
      <c r="AH183" s="4">
        <v>68</v>
      </c>
      <c r="AI183" s="4">
        <v>68</v>
      </c>
      <c r="AJ183" s="4">
        <v>10</v>
      </c>
      <c r="AK183" s="4">
        <v>10</v>
      </c>
      <c r="AL183" s="4">
        <v>43</v>
      </c>
      <c r="AM183" s="4">
        <v>43</v>
      </c>
      <c r="AN183" s="4">
        <v>0</v>
      </c>
      <c r="AO183" s="4">
        <v>0</v>
      </c>
      <c r="AP183" s="4">
        <v>11</v>
      </c>
      <c r="AQ183" s="4">
        <v>11</v>
      </c>
      <c r="AR183" s="3" t="s">
        <v>65</v>
      </c>
      <c r="AS183" s="3" t="s">
        <v>65</v>
      </c>
      <c r="AT183" s="3" t="s">
        <v>65</v>
      </c>
      <c r="AV183" s="6" t="str">
        <f>HYPERLINK("http://mcgill.on.worldcat.org/oclc/11315957","Catalog Record")</f>
        <v>Catalog Record</v>
      </c>
      <c r="AW183" s="6" t="str">
        <f>HYPERLINK("http://www.worldcat.org/oclc/11315957","WorldCat Record")</f>
        <v>WorldCat Record</v>
      </c>
      <c r="AX183" s="3" t="s">
        <v>1838</v>
      </c>
      <c r="AY183" s="3" t="s">
        <v>1839</v>
      </c>
      <c r="AZ183" s="3" t="s">
        <v>1840</v>
      </c>
      <c r="BA183" s="3" t="s">
        <v>1840</v>
      </c>
      <c r="BB183" s="3" t="s">
        <v>1841</v>
      </c>
      <c r="BC183" s="3" t="s">
        <v>77</v>
      </c>
      <c r="BD183" s="3" t="s">
        <v>78</v>
      </c>
      <c r="BF183" s="3" t="s">
        <v>1841</v>
      </c>
      <c r="BG183" s="3" t="s">
        <v>1842</v>
      </c>
    </row>
    <row r="184" spans="1:59" ht="58" x14ac:dyDescent="0.35">
      <c r="A184" s="2" t="s">
        <v>59</v>
      </c>
      <c r="B184" s="2" t="s">
        <v>60</v>
      </c>
      <c r="C184" s="2" t="s">
        <v>1843</v>
      </c>
      <c r="D184" s="2" t="s">
        <v>1844</v>
      </c>
      <c r="E184" s="2" t="s">
        <v>1845</v>
      </c>
      <c r="G184" s="3" t="s">
        <v>65</v>
      </c>
      <c r="I184" s="3" t="s">
        <v>65</v>
      </c>
      <c r="J184" s="3" t="s">
        <v>65</v>
      </c>
      <c r="K184" s="3" t="s">
        <v>66</v>
      </c>
      <c r="L184" s="2" t="s">
        <v>1846</v>
      </c>
      <c r="M184" s="2" t="s">
        <v>1847</v>
      </c>
      <c r="N184" s="3" t="s">
        <v>479</v>
      </c>
      <c r="P184" s="3" t="s">
        <v>69</v>
      </c>
      <c r="Q184" s="2" t="s">
        <v>1197</v>
      </c>
      <c r="R184" s="3" t="s">
        <v>71</v>
      </c>
      <c r="S184" s="4">
        <v>2</v>
      </c>
      <c r="T184" s="4">
        <v>2</v>
      </c>
      <c r="U184" s="5" t="s">
        <v>1848</v>
      </c>
      <c r="V184" s="5" t="s">
        <v>1848</v>
      </c>
      <c r="W184" s="5" t="s">
        <v>72</v>
      </c>
      <c r="X184" s="5" t="s">
        <v>72</v>
      </c>
      <c r="Y184" s="4">
        <v>185</v>
      </c>
      <c r="Z184" s="4">
        <v>28</v>
      </c>
      <c r="AA184" s="4">
        <v>108</v>
      </c>
      <c r="AB184" s="4">
        <v>3</v>
      </c>
      <c r="AC184" s="4">
        <v>19</v>
      </c>
      <c r="AD184" s="4">
        <v>100</v>
      </c>
      <c r="AE184" s="4">
        <v>142</v>
      </c>
      <c r="AF184" s="4">
        <v>2</v>
      </c>
      <c r="AG184" s="4">
        <v>8</v>
      </c>
      <c r="AH184" s="4">
        <v>83</v>
      </c>
      <c r="AI184" s="4">
        <v>99</v>
      </c>
      <c r="AJ184" s="4">
        <v>20</v>
      </c>
      <c r="AK184" s="4">
        <v>27</v>
      </c>
      <c r="AL184" s="4">
        <v>51</v>
      </c>
      <c r="AM184" s="4">
        <v>55</v>
      </c>
      <c r="AN184" s="4">
        <v>0</v>
      </c>
      <c r="AO184" s="4">
        <v>0</v>
      </c>
      <c r="AP184" s="4">
        <v>23</v>
      </c>
      <c r="AQ184" s="4">
        <v>51</v>
      </c>
      <c r="AR184" s="3" t="s">
        <v>209</v>
      </c>
      <c r="AS184" s="3" t="s">
        <v>65</v>
      </c>
      <c r="AT184" s="3" t="s">
        <v>65</v>
      </c>
      <c r="AV184" s="6" t="str">
        <f>HYPERLINK("http://mcgill.on.worldcat.org/oclc/225773383","Catalog Record")</f>
        <v>Catalog Record</v>
      </c>
      <c r="AW184" s="6" t="str">
        <f>HYPERLINK("http://www.worldcat.org/oclc/225773383","WorldCat Record")</f>
        <v>WorldCat Record</v>
      </c>
      <c r="AX184" s="3" t="s">
        <v>1849</v>
      </c>
      <c r="AY184" s="3" t="s">
        <v>1850</v>
      </c>
      <c r="AZ184" s="3" t="s">
        <v>1851</v>
      </c>
      <c r="BA184" s="3" t="s">
        <v>1851</v>
      </c>
      <c r="BB184" s="3" t="s">
        <v>1852</v>
      </c>
      <c r="BC184" s="3" t="s">
        <v>77</v>
      </c>
      <c r="BD184" s="3" t="s">
        <v>78</v>
      </c>
      <c r="BE184" s="3" t="s">
        <v>1853</v>
      </c>
      <c r="BF184" s="3" t="s">
        <v>1852</v>
      </c>
      <c r="BG184" s="3" t="s">
        <v>1854</v>
      </c>
    </row>
    <row r="185" spans="1:59" ht="58" x14ac:dyDescent="0.35">
      <c r="A185" s="2" t="s">
        <v>59</v>
      </c>
      <c r="B185" s="2" t="s">
        <v>60</v>
      </c>
      <c r="C185" s="2" t="s">
        <v>1855</v>
      </c>
      <c r="D185" s="2" t="s">
        <v>1856</v>
      </c>
      <c r="E185" s="2" t="s">
        <v>1857</v>
      </c>
      <c r="G185" s="3" t="s">
        <v>65</v>
      </c>
      <c r="I185" s="3" t="s">
        <v>65</v>
      </c>
      <c r="J185" s="3" t="s">
        <v>65</v>
      </c>
      <c r="K185" s="3" t="s">
        <v>66</v>
      </c>
      <c r="L185" s="2" t="s">
        <v>1858</v>
      </c>
      <c r="M185" s="2" t="s">
        <v>1409</v>
      </c>
      <c r="N185" s="3" t="s">
        <v>176</v>
      </c>
      <c r="O185" s="2" t="s">
        <v>1410</v>
      </c>
      <c r="P185" s="3" t="s">
        <v>140</v>
      </c>
      <c r="Q185" s="2" t="s">
        <v>1859</v>
      </c>
      <c r="R185" s="3" t="s">
        <v>71</v>
      </c>
      <c r="S185" s="4">
        <v>0</v>
      </c>
      <c r="T185" s="4">
        <v>0</v>
      </c>
      <c r="W185" s="5" t="s">
        <v>72</v>
      </c>
      <c r="X185" s="5" t="s">
        <v>72</v>
      </c>
      <c r="Y185" s="4">
        <v>46</v>
      </c>
      <c r="Z185" s="4">
        <v>4</v>
      </c>
      <c r="AA185" s="4">
        <v>4</v>
      </c>
      <c r="AB185" s="4">
        <v>1</v>
      </c>
      <c r="AC185" s="4">
        <v>1</v>
      </c>
      <c r="AD185" s="4">
        <v>32</v>
      </c>
      <c r="AE185" s="4">
        <v>32</v>
      </c>
      <c r="AF185" s="4">
        <v>0</v>
      </c>
      <c r="AG185" s="4">
        <v>0</v>
      </c>
      <c r="AH185" s="4">
        <v>31</v>
      </c>
      <c r="AI185" s="4">
        <v>31</v>
      </c>
      <c r="AJ185" s="4">
        <v>2</v>
      </c>
      <c r="AK185" s="4">
        <v>2</v>
      </c>
      <c r="AL185" s="4">
        <v>23</v>
      </c>
      <c r="AM185" s="4">
        <v>23</v>
      </c>
      <c r="AN185" s="4">
        <v>0</v>
      </c>
      <c r="AO185" s="4">
        <v>0</v>
      </c>
      <c r="AP185" s="4">
        <v>2</v>
      </c>
      <c r="AQ185" s="4">
        <v>2</v>
      </c>
      <c r="AR185" s="3" t="s">
        <v>65</v>
      </c>
      <c r="AS185" s="3" t="s">
        <v>65</v>
      </c>
      <c r="AT185" s="3" t="s">
        <v>65</v>
      </c>
      <c r="AV185" s="6" t="str">
        <f>HYPERLINK("http://mcgill.on.worldcat.org/oclc/908687976","Catalog Record")</f>
        <v>Catalog Record</v>
      </c>
      <c r="AW185" s="6" t="str">
        <f>HYPERLINK("http://www.worldcat.org/oclc/908687976","WorldCat Record")</f>
        <v>WorldCat Record</v>
      </c>
      <c r="AX185" s="3" t="s">
        <v>1860</v>
      </c>
      <c r="AY185" s="3" t="s">
        <v>1861</v>
      </c>
      <c r="AZ185" s="3" t="s">
        <v>1862</v>
      </c>
      <c r="BA185" s="3" t="s">
        <v>1862</v>
      </c>
      <c r="BB185" s="3" t="s">
        <v>1863</v>
      </c>
      <c r="BC185" s="3" t="s">
        <v>77</v>
      </c>
      <c r="BD185" s="3" t="s">
        <v>78</v>
      </c>
      <c r="BE185" s="3" t="s">
        <v>1864</v>
      </c>
      <c r="BF185" s="3" t="s">
        <v>1863</v>
      </c>
      <c r="BG185" s="3" t="s">
        <v>1865</v>
      </c>
    </row>
    <row r="186" spans="1:59" ht="58" x14ac:dyDescent="0.35">
      <c r="A186" s="2" t="s">
        <v>59</v>
      </c>
      <c r="B186" s="2" t="s">
        <v>60</v>
      </c>
      <c r="C186" s="2" t="s">
        <v>1866</v>
      </c>
      <c r="D186" s="2" t="s">
        <v>1867</v>
      </c>
      <c r="E186" s="2" t="s">
        <v>1868</v>
      </c>
      <c r="F186" s="3" t="s">
        <v>258</v>
      </c>
      <c r="G186" s="3" t="s">
        <v>209</v>
      </c>
      <c r="I186" s="3" t="s">
        <v>65</v>
      </c>
      <c r="J186" s="3" t="s">
        <v>65</v>
      </c>
      <c r="K186" s="3" t="s">
        <v>66</v>
      </c>
      <c r="M186" s="2" t="s">
        <v>1869</v>
      </c>
      <c r="N186" s="3" t="s">
        <v>1085</v>
      </c>
      <c r="P186" s="3" t="s">
        <v>140</v>
      </c>
      <c r="Q186" s="2" t="s">
        <v>1870</v>
      </c>
      <c r="R186" s="3" t="s">
        <v>71</v>
      </c>
      <c r="S186" s="4">
        <v>2</v>
      </c>
      <c r="T186" s="4">
        <v>2</v>
      </c>
      <c r="U186" s="5" t="s">
        <v>1871</v>
      </c>
      <c r="V186" s="5" t="s">
        <v>1871</v>
      </c>
      <c r="W186" s="5" t="s">
        <v>72</v>
      </c>
      <c r="X186" s="5" t="s">
        <v>72</v>
      </c>
      <c r="Y186" s="4">
        <v>44</v>
      </c>
      <c r="Z186" s="4">
        <v>4</v>
      </c>
      <c r="AA186" s="4">
        <v>4</v>
      </c>
      <c r="AB186" s="4">
        <v>1</v>
      </c>
      <c r="AC186" s="4">
        <v>1</v>
      </c>
      <c r="AD186" s="4">
        <v>27</v>
      </c>
      <c r="AE186" s="4">
        <v>27</v>
      </c>
      <c r="AF186" s="4">
        <v>0</v>
      </c>
      <c r="AG186" s="4">
        <v>0</v>
      </c>
      <c r="AH186" s="4">
        <v>26</v>
      </c>
      <c r="AI186" s="4">
        <v>26</v>
      </c>
      <c r="AJ186" s="4">
        <v>2</v>
      </c>
      <c r="AK186" s="4">
        <v>2</v>
      </c>
      <c r="AL186" s="4">
        <v>24</v>
      </c>
      <c r="AM186" s="4">
        <v>24</v>
      </c>
      <c r="AN186" s="4">
        <v>0</v>
      </c>
      <c r="AO186" s="4">
        <v>0</v>
      </c>
      <c r="AP186" s="4">
        <v>2</v>
      </c>
      <c r="AQ186" s="4">
        <v>2</v>
      </c>
      <c r="AR186" s="3" t="s">
        <v>65</v>
      </c>
      <c r="AS186" s="3" t="s">
        <v>65</v>
      </c>
      <c r="AT186" s="3" t="s">
        <v>209</v>
      </c>
      <c r="AU186" s="6" t="str">
        <f>HYPERLINK("http://catalog.hathitrust.org/Record/003152458","HathiTrust Record")</f>
        <v>HathiTrust Record</v>
      </c>
      <c r="AV186" s="6" t="str">
        <f>HYPERLINK("http://mcgill.on.worldcat.org/oclc/37132612","Catalog Record")</f>
        <v>Catalog Record</v>
      </c>
      <c r="AW186" s="6" t="str">
        <f>HYPERLINK("http://www.worldcat.org/oclc/37132612","WorldCat Record")</f>
        <v>WorldCat Record</v>
      </c>
      <c r="AX186" s="3" t="s">
        <v>1872</v>
      </c>
      <c r="AY186" s="3" t="s">
        <v>1873</v>
      </c>
      <c r="AZ186" s="3" t="s">
        <v>1874</v>
      </c>
      <c r="BA186" s="3" t="s">
        <v>1874</v>
      </c>
      <c r="BB186" s="3" t="s">
        <v>1875</v>
      </c>
      <c r="BC186" s="3" t="s">
        <v>77</v>
      </c>
      <c r="BD186" s="3" t="s">
        <v>78</v>
      </c>
      <c r="BF186" s="3" t="s">
        <v>1875</v>
      </c>
      <c r="BG186" s="3" t="s">
        <v>1876</v>
      </c>
    </row>
    <row r="187" spans="1:59" ht="58" x14ac:dyDescent="0.35">
      <c r="A187" s="2" t="s">
        <v>59</v>
      </c>
      <c r="B187" s="2" t="s">
        <v>60</v>
      </c>
      <c r="C187" s="2" t="s">
        <v>1866</v>
      </c>
      <c r="D187" s="2" t="s">
        <v>1867</v>
      </c>
      <c r="E187" s="2" t="s">
        <v>1868</v>
      </c>
      <c r="F187" s="3" t="s">
        <v>245</v>
      </c>
      <c r="G187" s="3" t="s">
        <v>209</v>
      </c>
      <c r="I187" s="3" t="s">
        <v>65</v>
      </c>
      <c r="J187" s="3" t="s">
        <v>65</v>
      </c>
      <c r="K187" s="3" t="s">
        <v>66</v>
      </c>
      <c r="M187" s="2" t="s">
        <v>1869</v>
      </c>
      <c r="N187" s="3" t="s">
        <v>1085</v>
      </c>
      <c r="P187" s="3" t="s">
        <v>140</v>
      </c>
      <c r="Q187" s="2" t="s">
        <v>1870</v>
      </c>
      <c r="R187" s="3" t="s">
        <v>71</v>
      </c>
      <c r="S187" s="4">
        <v>0</v>
      </c>
      <c r="T187" s="4">
        <v>2</v>
      </c>
      <c r="V187" s="5" t="s">
        <v>1871</v>
      </c>
      <c r="W187" s="5" t="s">
        <v>72</v>
      </c>
      <c r="X187" s="5" t="s">
        <v>72</v>
      </c>
      <c r="Y187" s="4">
        <v>44</v>
      </c>
      <c r="Z187" s="4">
        <v>4</v>
      </c>
      <c r="AA187" s="4">
        <v>4</v>
      </c>
      <c r="AB187" s="4">
        <v>1</v>
      </c>
      <c r="AC187" s="4">
        <v>1</v>
      </c>
      <c r="AD187" s="4">
        <v>27</v>
      </c>
      <c r="AE187" s="4">
        <v>27</v>
      </c>
      <c r="AF187" s="4">
        <v>0</v>
      </c>
      <c r="AG187" s="4">
        <v>0</v>
      </c>
      <c r="AH187" s="4">
        <v>26</v>
      </c>
      <c r="AI187" s="4">
        <v>26</v>
      </c>
      <c r="AJ187" s="4">
        <v>2</v>
      </c>
      <c r="AK187" s="4">
        <v>2</v>
      </c>
      <c r="AL187" s="4">
        <v>24</v>
      </c>
      <c r="AM187" s="4">
        <v>24</v>
      </c>
      <c r="AN187" s="4">
        <v>0</v>
      </c>
      <c r="AO187" s="4">
        <v>0</v>
      </c>
      <c r="AP187" s="4">
        <v>2</v>
      </c>
      <c r="AQ187" s="4">
        <v>2</v>
      </c>
      <c r="AR187" s="3" t="s">
        <v>65</v>
      </c>
      <c r="AS187" s="3" t="s">
        <v>65</v>
      </c>
      <c r="AT187" s="3" t="s">
        <v>209</v>
      </c>
      <c r="AU187" s="6" t="str">
        <f>HYPERLINK("http://catalog.hathitrust.org/Record/003152458","HathiTrust Record")</f>
        <v>HathiTrust Record</v>
      </c>
      <c r="AV187" s="6" t="str">
        <f>HYPERLINK("http://mcgill.on.worldcat.org/oclc/37132612","Catalog Record")</f>
        <v>Catalog Record</v>
      </c>
      <c r="AW187" s="6" t="str">
        <f>HYPERLINK("http://www.worldcat.org/oclc/37132612","WorldCat Record")</f>
        <v>WorldCat Record</v>
      </c>
      <c r="AX187" s="3" t="s">
        <v>1872</v>
      </c>
      <c r="AY187" s="3" t="s">
        <v>1873</v>
      </c>
      <c r="AZ187" s="3" t="s">
        <v>1874</v>
      </c>
      <c r="BA187" s="3" t="s">
        <v>1874</v>
      </c>
      <c r="BB187" s="3" t="s">
        <v>1877</v>
      </c>
      <c r="BC187" s="3" t="s">
        <v>77</v>
      </c>
      <c r="BD187" s="3" t="s">
        <v>78</v>
      </c>
      <c r="BF187" s="3" t="s">
        <v>1877</v>
      </c>
      <c r="BG187" s="3" t="s">
        <v>1878</v>
      </c>
    </row>
    <row r="188" spans="1:59" ht="72.5" x14ac:dyDescent="0.35">
      <c r="A188" s="2" t="s">
        <v>59</v>
      </c>
      <c r="B188" s="2" t="s">
        <v>60</v>
      </c>
      <c r="C188" s="2" t="s">
        <v>1879</v>
      </c>
      <c r="D188" s="2" t="s">
        <v>1880</v>
      </c>
      <c r="E188" s="2" t="s">
        <v>1881</v>
      </c>
      <c r="G188" s="3" t="s">
        <v>65</v>
      </c>
      <c r="I188" s="3" t="s">
        <v>65</v>
      </c>
      <c r="J188" s="3" t="s">
        <v>65</v>
      </c>
      <c r="K188" s="3" t="s">
        <v>66</v>
      </c>
      <c r="M188" s="2" t="s">
        <v>1882</v>
      </c>
      <c r="N188" s="3" t="s">
        <v>1085</v>
      </c>
      <c r="P188" s="3" t="s">
        <v>69</v>
      </c>
      <c r="Q188" s="2" t="s">
        <v>1883</v>
      </c>
      <c r="R188" s="3" t="s">
        <v>71</v>
      </c>
      <c r="S188" s="4">
        <v>30</v>
      </c>
      <c r="T188" s="4">
        <v>30</v>
      </c>
      <c r="U188" s="5" t="s">
        <v>1661</v>
      </c>
      <c r="V188" s="5" t="s">
        <v>1661</v>
      </c>
      <c r="W188" s="5" t="s">
        <v>72</v>
      </c>
      <c r="X188" s="5" t="s">
        <v>72</v>
      </c>
      <c r="Y188" s="4">
        <v>186</v>
      </c>
      <c r="Z188" s="4">
        <v>12</v>
      </c>
      <c r="AA188" s="4">
        <v>29</v>
      </c>
      <c r="AB188" s="4">
        <v>2</v>
      </c>
      <c r="AC188" s="4">
        <v>5</v>
      </c>
      <c r="AD188" s="4">
        <v>85</v>
      </c>
      <c r="AE188" s="4">
        <v>94</v>
      </c>
      <c r="AF188" s="4">
        <v>1</v>
      </c>
      <c r="AG188" s="4">
        <v>2</v>
      </c>
      <c r="AH188" s="4">
        <v>80</v>
      </c>
      <c r="AI188" s="4">
        <v>82</v>
      </c>
      <c r="AJ188" s="4">
        <v>8</v>
      </c>
      <c r="AK188" s="4">
        <v>9</v>
      </c>
      <c r="AL188" s="4">
        <v>47</v>
      </c>
      <c r="AM188" s="4">
        <v>48</v>
      </c>
      <c r="AN188" s="4">
        <v>0</v>
      </c>
      <c r="AO188" s="4">
        <v>0</v>
      </c>
      <c r="AP188" s="4">
        <v>10</v>
      </c>
      <c r="AQ188" s="4">
        <v>16</v>
      </c>
      <c r="AR188" s="3" t="s">
        <v>65</v>
      </c>
      <c r="AS188" s="3" t="s">
        <v>65</v>
      </c>
      <c r="AT188" s="3" t="s">
        <v>209</v>
      </c>
      <c r="AU188" s="6" t="str">
        <f>HYPERLINK("http://catalog.hathitrust.org/Record/003077593","HathiTrust Record")</f>
        <v>HathiTrust Record</v>
      </c>
      <c r="AV188" s="6" t="str">
        <f>HYPERLINK("http://mcgill.on.worldcat.org/oclc/33009825","Catalog Record")</f>
        <v>Catalog Record</v>
      </c>
      <c r="AW188" s="6" t="str">
        <f>HYPERLINK("http://www.worldcat.org/oclc/33009825","WorldCat Record")</f>
        <v>WorldCat Record</v>
      </c>
      <c r="AX188" s="3" t="s">
        <v>1884</v>
      </c>
      <c r="AY188" s="3" t="s">
        <v>1885</v>
      </c>
      <c r="AZ188" s="3" t="s">
        <v>1886</v>
      </c>
      <c r="BA188" s="3" t="s">
        <v>1886</v>
      </c>
      <c r="BB188" s="3" t="s">
        <v>1887</v>
      </c>
      <c r="BC188" s="3" t="s">
        <v>77</v>
      </c>
      <c r="BD188" s="3" t="s">
        <v>78</v>
      </c>
      <c r="BE188" s="3" t="s">
        <v>1888</v>
      </c>
      <c r="BF188" s="3" t="s">
        <v>1887</v>
      </c>
      <c r="BG188" s="3" t="s">
        <v>1889</v>
      </c>
    </row>
    <row r="189" spans="1:59" ht="72.5" x14ac:dyDescent="0.35">
      <c r="A189" s="2" t="s">
        <v>59</v>
      </c>
      <c r="B189" s="2" t="s">
        <v>60</v>
      </c>
      <c r="C189" s="2" t="s">
        <v>1890</v>
      </c>
      <c r="D189" s="2" t="s">
        <v>1891</v>
      </c>
      <c r="E189" s="2" t="s">
        <v>1892</v>
      </c>
      <c r="G189" s="3" t="s">
        <v>65</v>
      </c>
      <c r="I189" s="3" t="s">
        <v>65</v>
      </c>
      <c r="J189" s="3" t="s">
        <v>65</v>
      </c>
      <c r="K189" s="3" t="s">
        <v>66</v>
      </c>
      <c r="L189" s="2" t="s">
        <v>1893</v>
      </c>
      <c r="M189" s="2" t="s">
        <v>1894</v>
      </c>
      <c r="N189" s="3" t="s">
        <v>1895</v>
      </c>
      <c r="P189" s="3" t="s">
        <v>69</v>
      </c>
      <c r="R189" s="3" t="s">
        <v>71</v>
      </c>
      <c r="S189" s="4">
        <v>27</v>
      </c>
      <c r="T189" s="4">
        <v>27</v>
      </c>
      <c r="U189" s="5" t="s">
        <v>1896</v>
      </c>
      <c r="V189" s="5" t="s">
        <v>1896</v>
      </c>
      <c r="W189" s="5" t="s">
        <v>72</v>
      </c>
      <c r="X189" s="5" t="s">
        <v>72</v>
      </c>
      <c r="Y189" s="4">
        <v>342</v>
      </c>
      <c r="Z189" s="4">
        <v>23</v>
      </c>
      <c r="AA189" s="4">
        <v>28</v>
      </c>
      <c r="AB189" s="4">
        <v>1</v>
      </c>
      <c r="AC189" s="4">
        <v>4</v>
      </c>
      <c r="AD189" s="4">
        <v>115</v>
      </c>
      <c r="AE189" s="4">
        <v>120</v>
      </c>
      <c r="AF189" s="4">
        <v>0</v>
      </c>
      <c r="AG189" s="4">
        <v>1</v>
      </c>
      <c r="AH189" s="4">
        <v>105</v>
      </c>
      <c r="AI189" s="4">
        <v>107</v>
      </c>
      <c r="AJ189" s="4">
        <v>17</v>
      </c>
      <c r="AK189" s="4">
        <v>19</v>
      </c>
      <c r="AL189" s="4">
        <v>55</v>
      </c>
      <c r="AM189" s="4">
        <v>56</v>
      </c>
      <c r="AN189" s="4">
        <v>0</v>
      </c>
      <c r="AO189" s="4">
        <v>0</v>
      </c>
      <c r="AP189" s="4">
        <v>20</v>
      </c>
      <c r="AQ189" s="4">
        <v>22</v>
      </c>
      <c r="AR189" s="3" t="s">
        <v>65</v>
      </c>
      <c r="AS189" s="3" t="s">
        <v>65</v>
      </c>
      <c r="AT189" s="3" t="s">
        <v>209</v>
      </c>
      <c r="AU189" s="6" t="str">
        <f>HYPERLINK("http://catalog.hathitrust.org/Record/003981439","HathiTrust Record")</f>
        <v>HathiTrust Record</v>
      </c>
      <c r="AV189" s="6" t="str">
        <f>HYPERLINK("http://mcgill.on.worldcat.org/oclc/37864501","Catalog Record")</f>
        <v>Catalog Record</v>
      </c>
      <c r="AW189" s="6" t="str">
        <f>HYPERLINK("http://www.worldcat.org/oclc/37864501","WorldCat Record")</f>
        <v>WorldCat Record</v>
      </c>
      <c r="AX189" s="3" t="s">
        <v>1897</v>
      </c>
      <c r="AY189" s="3" t="s">
        <v>1898</v>
      </c>
      <c r="AZ189" s="3" t="s">
        <v>1899</v>
      </c>
      <c r="BA189" s="3" t="s">
        <v>1899</v>
      </c>
      <c r="BB189" s="3" t="s">
        <v>1900</v>
      </c>
      <c r="BC189" s="3" t="s">
        <v>77</v>
      </c>
      <c r="BD189" s="3" t="s">
        <v>106</v>
      </c>
      <c r="BE189" s="3" t="s">
        <v>1901</v>
      </c>
      <c r="BF189" s="3" t="s">
        <v>1900</v>
      </c>
      <c r="BG189" s="3" t="s">
        <v>1902</v>
      </c>
    </row>
    <row r="190" spans="1:59" ht="58" x14ac:dyDescent="0.35">
      <c r="A190" s="2" t="s">
        <v>59</v>
      </c>
      <c r="B190" s="2" t="s">
        <v>60</v>
      </c>
      <c r="C190" s="2" t="s">
        <v>1903</v>
      </c>
      <c r="D190" s="2" t="s">
        <v>1904</v>
      </c>
      <c r="E190" s="2" t="s">
        <v>1905</v>
      </c>
      <c r="G190" s="3" t="s">
        <v>65</v>
      </c>
      <c r="I190" s="3" t="s">
        <v>65</v>
      </c>
      <c r="J190" s="3" t="s">
        <v>65</v>
      </c>
      <c r="K190" s="3" t="s">
        <v>66</v>
      </c>
      <c r="L190" s="2" t="s">
        <v>1906</v>
      </c>
      <c r="M190" s="2" t="s">
        <v>1907</v>
      </c>
      <c r="N190" s="3" t="s">
        <v>152</v>
      </c>
      <c r="P190" s="3" t="s">
        <v>69</v>
      </c>
      <c r="Q190" s="2" t="s">
        <v>1197</v>
      </c>
      <c r="R190" s="3" t="s">
        <v>71</v>
      </c>
      <c r="S190" s="4">
        <v>1</v>
      </c>
      <c r="T190" s="4">
        <v>1</v>
      </c>
      <c r="U190" s="5" t="s">
        <v>1908</v>
      </c>
      <c r="V190" s="5" t="s">
        <v>1908</v>
      </c>
      <c r="W190" s="5" t="s">
        <v>72</v>
      </c>
      <c r="X190" s="5" t="s">
        <v>72</v>
      </c>
      <c r="Y190" s="4">
        <v>164</v>
      </c>
      <c r="Z190" s="4">
        <v>22</v>
      </c>
      <c r="AA190" s="4">
        <v>93</v>
      </c>
      <c r="AB190" s="4">
        <v>1</v>
      </c>
      <c r="AC190" s="4">
        <v>16</v>
      </c>
      <c r="AD190" s="4">
        <v>86</v>
      </c>
      <c r="AE190" s="4">
        <v>138</v>
      </c>
      <c r="AF190" s="4">
        <v>0</v>
      </c>
      <c r="AG190" s="4">
        <v>8</v>
      </c>
      <c r="AH190" s="4">
        <v>73</v>
      </c>
      <c r="AI190" s="4">
        <v>96</v>
      </c>
      <c r="AJ190" s="4">
        <v>16</v>
      </c>
      <c r="AK190" s="4">
        <v>26</v>
      </c>
      <c r="AL190" s="4">
        <v>46</v>
      </c>
      <c r="AM190" s="4">
        <v>50</v>
      </c>
      <c r="AN190" s="4">
        <v>0</v>
      </c>
      <c r="AO190" s="4">
        <v>0</v>
      </c>
      <c r="AP190" s="4">
        <v>17</v>
      </c>
      <c r="AQ190" s="4">
        <v>50</v>
      </c>
      <c r="AR190" s="3" t="s">
        <v>209</v>
      </c>
      <c r="AS190" s="3" t="s">
        <v>65</v>
      </c>
      <c r="AT190" s="3" t="s">
        <v>65</v>
      </c>
      <c r="AV190" s="6" t="str">
        <f>HYPERLINK("http://mcgill.on.worldcat.org/oclc/854469421","Catalog Record")</f>
        <v>Catalog Record</v>
      </c>
      <c r="AW190" s="6" t="str">
        <f>HYPERLINK("http://www.worldcat.org/oclc/854469421","WorldCat Record")</f>
        <v>WorldCat Record</v>
      </c>
      <c r="AX190" s="3" t="s">
        <v>1909</v>
      </c>
      <c r="AY190" s="3" t="s">
        <v>1910</v>
      </c>
      <c r="AZ190" s="3" t="s">
        <v>1911</v>
      </c>
      <c r="BA190" s="3" t="s">
        <v>1911</v>
      </c>
      <c r="BB190" s="3" t="s">
        <v>1912</v>
      </c>
      <c r="BC190" s="3" t="s">
        <v>77</v>
      </c>
      <c r="BD190" s="3" t="s">
        <v>78</v>
      </c>
      <c r="BE190" s="3" t="s">
        <v>1913</v>
      </c>
      <c r="BF190" s="3" t="s">
        <v>1912</v>
      </c>
      <c r="BG190" s="3" t="s">
        <v>1914</v>
      </c>
    </row>
    <row r="191" spans="1:59" ht="72.5" x14ac:dyDescent="0.35">
      <c r="A191" s="2" t="s">
        <v>59</v>
      </c>
      <c r="B191" s="2" t="s">
        <v>60</v>
      </c>
      <c r="C191" s="2" t="s">
        <v>1915</v>
      </c>
      <c r="D191" s="2" t="s">
        <v>1916</v>
      </c>
      <c r="E191" s="2" t="s">
        <v>1917</v>
      </c>
      <c r="G191" s="3" t="s">
        <v>65</v>
      </c>
      <c r="I191" s="3" t="s">
        <v>65</v>
      </c>
      <c r="J191" s="3" t="s">
        <v>65</v>
      </c>
      <c r="K191" s="3" t="s">
        <v>66</v>
      </c>
      <c r="L191" s="2" t="s">
        <v>1918</v>
      </c>
      <c r="M191" s="2" t="s">
        <v>1919</v>
      </c>
      <c r="N191" s="3" t="s">
        <v>139</v>
      </c>
      <c r="P191" s="3" t="s">
        <v>140</v>
      </c>
      <c r="Q191" s="2" t="s">
        <v>1920</v>
      </c>
      <c r="R191" s="3" t="s">
        <v>71</v>
      </c>
      <c r="S191" s="4">
        <v>1</v>
      </c>
      <c r="T191" s="4">
        <v>1</v>
      </c>
      <c r="U191" s="5" t="s">
        <v>1921</v>
      </c>
      <c r="V191" s="5" t="s">
        <v>1921</v>
      </c>
      <c r="W191" s="5" t="s">
        <v>72</v>
      </c>
      <c r="X191" s="5" t="s">
        <v>72</v>
      </c>
      <c r="Y191" s="4">
        <v>45</v>
      </c>
      <c r="Z191" s="4">
        <v>4</v>
      </c>
      <c r="AA191" s="4">
        <v>4</v>
      </c>
      <c r="AB191" s="4">
        <v>1</v>
      </c>
      <c r="AC191" s="4">
        <v>1</v>
      </c>
      <c r="AD191" s="4">
        <v>31</v>
      </c>
      <c r="AE191" s="4">
        <v>31</v>
      </c>
      <c r="AF191" s="4">
        <v>0</v>
      </c>
      <c r="AG191" s="4">
        <v>0</v>
      </c>
      <c r="AH191" s="4">
        <v>30</v>
      </c>
      <c r="AI191" s="4">
        <v>30</v>
      </c>
      <c r="AJ191" s="4">
        <v>2</v>
      </c>
      <c r="AK191" s="4">
        <v>2</v>
      </c>
      <c r="AL191" s="4">
        <v>23</v>
      </c>
      <c r="AM191" s="4">
        <v>23</v>
      </c>
      <c r="AN191" s="4">
        <v>0</v>
      </c>
      <c r="AO191" s="4">
        <v>0</v>
      </c>
      <c r="AP191" s="4">
        <v>2</v>
      </c>
      <c r="AQ191" s="4">
        <v>2</v>
      </c>
      <c r="AR191" s="3" t="s">
        <v>65</v>
      </c>
      <c r="AS191" s="3" t="s">
        <v>65</v>
      </c>
      <c r="AT191" s="3" t="s">
        <v>65</v>
      </c>
      <c r="AV191" s="6" t="str">
        <f>HYPERLINK("http://mcgill.on.worldcat.org/oclc/794703871","Catalog Record")</f>
        <v>Catalog Record</v>
      </c>
      <c r="AW191" s="6" t="str">
        <f>HYPERLINK("http://www.worldcat.org/oclc/794703871","WorldCat Record")</f>
        <v>WorldCat Record</v>
      </c>
      <c r="AX191" s="3" t="s">
        <v>1922</v>
      </c>
      <c r="AY191" s="3" t="s">
        <v>1923</v>
      </c>
      <c r="AZ191" s="3" t="s">
        <v>1924</v>
      </c>
      <c r="BA191" s="3" t="s">
        <v>1924</v>
      </c>
      <c r="BB191" s="3" t="s">
        <v>1925</v>
      </c>
      <c r="BC191" s="3" t="s">
        <v>77</v>
      </c>
      <c r="BD191" s="3" t="s">
        <v>78</v>
      </c>
      <c r="BE191" s="3" t="s">
        <v>1926</v>
      </c>
      <c r="BF191" s="3" t="s">
        <v>1925</v>
      </c>
      <c r="BG191" s="3" t="s">
        <v>1927</v>
      </c>
    </row>
    <row r="192" spans="1:59" ht="72.5" x14ac:dyDescent="0.35">
      <c r="A192" s="2" t="s">
        <v>59</v>
      </c>
      <c r="B192" s="2" t="s">
        <v>60</v>
      </c>
      <c r="C192" s="2" t="s">
        <v>1928</v>
      </c>
      <c r="D192" s="2" t="s">
        <v>1929</v>
      </c>
      <c r="E192" s="2" t="s">
        <v>1930</v>
      </c>
      <c r="G192" s="3" t="s">
        <v>65</v>
      </c>
      <c r="I192" s="3" t="s">
        <v>65</v>
      </c>
      <c r="J192" s="3" t="s">
        <v>65</v>
      </c>
      <c r="K192" s="3" t="s">
        <v>66</v>
      </c>
      <c r="M192" s="2" t="s">
        <v>1931</v>
      </c>
      <c r="N192" s="3" t="s">
        <v>1932</v>
      </c>
      <c r="P192" s="3" t="s">
        <v>616</v>
      </c>
      <c r="R192" s="3" t="s">
        <v>71</v>
      </c>
      <c r="S192" s="4">
        <v>11</v>
      </c>
      <c r="T192" s="4">
        <v>11</v>
      </c>
      <c r="U192" s="5" t="s">
        <v>1933</v>
      </c>
      <c r="V192" s="5" t="s">
        <v>1933</v>
      </c>
      <c r="W192" s="5" t="s">
        <v>72</v>
      </c>
      <c r="X192" s="5" t="s">
        <v>72</v>
      </c>
      <c r="Y192" s="4">
        <v>79</v>
      </c>
      <c r="Z192" s="4">
        <v>4</v>
      </c>
      <c r="AA192" s="4">
        <v>4</v>
      </c>
      <c r="AB192" s="4">
        <v>1</v>
      </c>
      <c r="AC192" s="4">
        <v>1</v>
      </c>
      <c r="AD192" s="4">
        <v>36</v>
      </c>
      <c r="AE192" s="4">
        <v>36</v>
      </c>
      <c r="AF192" s="4">
        <v>0</v>
      </c>
      <c r="AG192" s="4">
        <v>0</v>
      </c>
      <c r="AH192" s="4">
        <v>35</v>
      </c>
      <c r="AI192" s="4">
        <v>35</v>
      </c>
      <c r="AJ192" s="4">
        <v>2</v>
      </c>
      <c r="AK192" s="4">
        <v>2</v>
      </c>
      <c r="AL192" s="4">
        <v>28</v>
      </c>
      <c r="AM192" s="4">
        <v>28</v>
      </c>
      <c r="AN192" s="4">
        <v>5</v>
      </c>
      <c r="AO192" s="4">
        <v>5</v>
      </c>
      <c r="AP192" s="4">
        <v>2</v>
      </c>
      <c r="AQ192" s="4">
        <v>2</v>
      </c>
      <c r="AR192" s="3" t="s">
        <v>65</v>
      </c>
      <c r="AS192" s="3" t="s">
        <v>65</v>
      </c>
      <c r="AT192" s="3" t="s">
        <v>209</v>
      </c>
      <c r="AU192" s="6" t="str">
        <f>HYPERLINK("http://catalog.hathitrust.org/Record/002980793","HathiTrust Record")</f>
        <v>HathiTrust Record</v>
      </c>
      <c r="AV192" s="6" t="str">
        <f>HYPERLINK("http://mcgill.on.worldcat.org/oclc/32166658","Catalog Record")</f>
        <v>Catalog Record</v>
      </c>
      <c r="AW192" s="6" t="str">
        <f>HYPERLINK("http://www.worldcat.org/oclc/32166658","WorldCat Record")</f>
        <v>WorldCat Record</v>
      </c>
      <c r="AX192" s="3" t="s">
        <v>1934</v>
      </c>
      <c r="AY192" s="3" t="s">
        <v>1935</v>
      </c>
      <c r="AZ192" s="3" t="s">
        <v>1936</v>
      </c>
      <c r="BA192" s="3" t="s">
        <v>1936</v>
      </c>
      <c r="BB192" s="3" t="s">
        <v>1937</v>
      </c>
      <c r="BC192" s="3" t="s">
        <v>77</v>
      </c>
      <c r="BD192" s="3" t="s">
        <v>78</v>
      </c>
      <c r="BE192" s="3" t="s">
        <v>1938</v>
      </c>
      <c r="BF192" s="3" t="s">
        <v>1937</v>
      </c>
      <c r="BG192" s="3" t="s">
        <v>1939</v>
      </c>
    </row>
    <row r="193" spans="1:59" ht="72.5" x14ac:dyDescent="0.35">
      <c r="A193" s="2" t="s">
        <v>59</v>
      </c>
      <c r="B193" s="2" t="s">
        <v>60</v>
      </c>
      <c r="C193" s="2" t="s">
        <v>1940</v>
      </c>
      <c r="D193" s="2" t="s">
        <v>1941</v>
      </c>
      <c r="E193" s="2" t="s">
        <v>1942</v>
      </c>
      <c r="G193" s="3" t="s">
        <v>65</v>
      </c>
      <c r="I193" s="3" t="s">
        <v>65</v>
      </c>
      <c r="J193" s="3" t="s">
        <v>65</v>
      </c>
      <c r="K193" s="3" t="s">
        <v>66</v>
      </c>
      <c r="M193" s="2" t="s">
        <v>1943</v>
      </c>
      <c r="N193" s="3" t="s">
        <v>1944</v>
      </c>
      <c r="P193" s="3" t="s">
        <v>69</v>
      </c>
      <c r="R193" s="3" t="s">
        <v>71</v>
      </c>
      <c r="S193" s="4">
        <v>24</v>
      </c>
      <c r="T193" s="4">
        <v>24</v>
      </c>
      <c r="U193" s="5" t="s">
        <v>1945</v>
      </c>
      <c r="V193" s="5" t="s">
        <v>1945</v>
      </c>
      <c r="W193" s="5" t="s">
        <v>72</v>
      </c>
      <c r="X193" s="5" t="s">
        <v>72</v>
      </c>
      <c r="Y193" s="4">
        <v>413</v>
      </c>
      <c r="Z193" s="4">
        <v>22</v>
      </c>
      <c r="AA193" s="4">
        <v>24</v>
      </c>
      <c r="AB193" s="4">
        <v>2</v>
      </c>
      <c r="AC193" s="4">
        <v>4</v>
      </c>
      <c r="AD193" s="4">
        <v>110</v>
      </c>
      <c r="AE193" s="4">
        <v>112</v>
      </c>
      <c r="AF193" s="4">
        <v>1</v>
      </c>
      <c r="AG193" s="4">
        <v>3</v>
      </c>
      <c r="AH193" s="4">
        <v>98</v>
      </c>
      <c r="AI193" s="4">
        <v>99</v>
      </c>
      <c r="AJ193" s="4">
        <v>14</v>
      </c>
      <c r="AK193" s="4">
        <v>16</v>
      </c>
      <c r="AL193" s="4">
        <v>57</v>
      </c>
      <c r="AM193" s="4">
        <v>57</v>
      </c>
      <c r="AN193" s="4">
        <v>0</v>
      </c>
      <c r="AO193" s="4">
        <v>0</v>
      </c>
      <c r="AP193" s="4">
        <v>16</v>
      </c>
      <c r="AQ193" s="4">
        <v>17</v>
      </c>
      <c r="AR193" s="3" t="s">
        <v>65</v>
      </c>
      <c r="AS193" s="3" t="s">
        <v>65</v>
      </c>
      <c r="AT193" s="3" t="s">
        <v>65</v>
      </c>
      <c r="AV193" s="6" t="str">
        <f>HYPERLINK("http://mcgill.on.worldcat.org/oclc/43811269","Catalog Record")</f>
        <v>Catalog Record</v>
      </c>
      <c r="AW193" s="6" t="str">
        <f>HYPERLINK("http://www.worldcat.org/oclc/43811269","WorldCat Record")</f>
        <v>WorldCat Record</v>
      </c>
      <c r="AX193" s="3" t="s">
        <v>1946</v>
      </c>
      <c r="AY193" s="3" t="s">
        <v>1947</v>
      </c>
      <c r="AZ193" s="3" t="s">
        <v>1948</v>
      </c>
      <c r="BA193" s="3" t="s">
        <v>1948</v>
      </c>
      <c r="BB193" s="3" t="s">
        <v>1949</v>
      </c>
      <c r="BC193" s="3" t="s">
        <v>77</v>
      </c>
      <c r="BD193" s="3" t="s">
        <v>106</v>
      </c>
      <c r="BE193" s="3" t="s">
        <v>1950</v>
      </c>
      <c r="BF193" s="3" t="s">
        <v>1949</v>
      </c>
      <c r="BG193" s="3" t="s">
        <v>1951</v>
      </c>
    </row>
    <row r="194" spans="1:59" ht="72.5" x14ac:dyDescent="0.35">
      <c r="A194" s="2" t="s">
        <v>59</v>
      </c>
      <c r="B194" s="2" t="s">
        <v>60</v>
      </c>
      <c r="C194" s="2" t="s">
        <v>1952</v>
      </c>
      <c r="D194" s="2" t="s">
        <v>1953</v>
      </c>
      <c r="E194" s="2" t="s">
        <v>1954</v>
      </c>
      <c r="G194" s="3" t="s">
        <v>65</v>
      </c>
      <c r="I194" s="3" t="s">
        <v>65</v>
      </c>
      <c r="J194" s="3" t="s">
        <v>65</v>
      </c>
      <c r="K194" s="3" t="s">
        <v>66</v>
      </c>
      <c r="M194" s="2" t="s">
        <v>1955</v>
      </c>
      <c r="N194" s="3" t="s">
        <v>126</v>
      </c>
      <c r="P194" s="3" t="s">
        <v>69</v>
      </c>
      <c r="Q194" s="2" t="s">
        <v>1956</v>
      </c>
      <c r="R194" s="3" t="s">
        <v>71</v>
      </c>
      <c r="S194" s="4">
        <v>4</v>
      </c>
      <c r="T194" s="4">
        <v>4</v>
      </c>
      <c r="U194" s="5" t="s">
        <v>1369</v>
      </c>
      <c r="V194" s="5" t="s">
        <v>1369</v>
      </c>
      <c r="W194" s="5" t="s">
        <v>72</v>
      </c>
      <c r="X194" s="5" t="s">
        <v>72</v>
      </c>
      <c r="Y194" s="4">
        <v>80</v>
      </c>
      <c r="Z194" s="4">
        <v>17</v>
      </c>
      <c r="AA194" s="4">
        <v>22</v>
      </c>
      <c r="AB194" s="4">
        <v>1</v>
      </c>
      <c r="AC194" s="4">
        <v>1</v>
      </c>
      <c r="AD194" s="4">
        <v>44</v>
      </c>
      <c r="AE194" s="4">
        <v>51</v>
      </c>
      <c r="AF194" s="4">
        <v>0</v>
      </c>
      <c r="AG194" s="4">
        <v>0</v>
      </c>
      <c r="AH194" s="4">
        <v>36</v>
      </c>
      <c r="AI194" s="4">
        <v>39</v>
      </c>
      <c r="AJ194" s="4">
        <v>12</v>
      </c>
      <c r="AK194" s="4">
        <v>14</v>
      </c>
      <c r="AL194" s="4">
        <v>21</v>
      </c>
      <c r="AM194" s="4">
        <v>22</v>
      </c>
      <c r="AN194" s="4">
        <v>0</v>
      </c>
      <c r="AO194" s="4">
        <v>0</v>
      </c>
      <c r="AP194" s="4">
        <v>13</v>
      </c>
      <c r="AQ194" s="4">
        <v>18</v>
      </c>
      <c r="AR194" s="3" t="s">
        <v>209</v>
      </c>
      <c r="AS194" s="3" t="s">
        <v>65</v>
      </c>
      <c r="AT194" s="3" t="s">
        <v>65</v>
      </c>
      <c r="AV194" s="6" t="str">
        <f>HYPERLINK("http://mcgill.on.worldcat.org/oclc/727455291","Catalog Record")</f>
        <v>Catalog Record</v>
      </c>
      <c r="AW194" s="6" t="str">
        <f>HYPERLINK("http://www.worldcat.org/oclc/727455291","WorldCat Record")</f>
        <v>WorldCat Record</v>
      </c>
      <c r="AX194" s="3" t="s">
        <v>1957</v>
      </c>
      <c r="AY194" s="3" t="s">
        <v>1958</v>
      </c>
      <c r="AZ194" s="3" t="s">
        <v>1959</v>
      </c>
      <c r="BA194" s="3" t="s">
        <v>1959</v>
      </c>
      <c r="BB194" s="3" t="s">
        <v>1960</v>
      </c>
      <c r="BC194" s="3" t="s">
        <v>77</v>
      </c>
      <c r="BD194" s="3" t="s">
        <v>78</v>
      </c>
      <c r="BE194" s="3" t="s">
        <v>1961</v>
      </c>
      <c r="BF194" s="3" t="s">
        <v>1960</v>
      </c>
      <c r="BG194" s="3" t="s">
        <v>1962</v>
      </c>
    </row>
    <row r="195" spans="1:59" ht="72.5" x14ac:dyDescent="0.35">
      <c r="A195" s="2" t="s">
        <v>59</v>
      </c>
      <c r="B195" s="2" t="s">
        <v>60</v>
      </c>
      <c r="C195" s="2" t="s">
        <v>1963</v>
      </c>
      <c r="D195" s="2" t="s">
        <v>1964</v>
      </c>
      <c r="E195" s="2" t="s">
        <v>1965</v>
      </c>
      <c r="G195" s="3" t="s">
        <v>65</v>
      </c>
      <c r="I195" s="3" t="s">
        <v>65</v>
      </c>
      <c r="J195" s="3" t="s">
        <v>65</v>
      </c>
      <c r="K195" s="3" t="s">
        <v>66</v>
      </c>
      <c r="M195" s="2" t="s">
        <v>1966</v>
      </c>
      <c r="N195" s="3" t="s">
        <v>1967</v>
      </c>
      <c r="P195" s="3" t="s">
        <v>69</v>
      </c>
      <c r="R195" s="3" t="s">
        <v>71</v>
      </c>
      <c r="S195" s="4">
        <v>23</v>
      </c>
      <c r="T195" s="4">
        <v>23</v>
      </c>
      <c r="U195" s="5" t="s">
        <v>1369</v>
      </c>
      <c r="V195" s="5" t="s">
        <v>1369</v>
      </c>
      <c r="W195" s="5" t="s">
        <v>72</v>
      </c>
      <c r="X195" s="5" t="s">
        <v>72</v>
      </c>
      <c r="Y195" s="4">
        <v>236</v>
      </c>
      <c r="Z195" s="4">
        <v>19</v>
      </c>
      <c r="AA195" s="4">
        <v>21</v>
      </c>
      <c r="AB195" s="4">
        <v>1</v>
      </c>
      <c r="AC195" s="4">
        <v>3</v>
      </c>
      <c r="AD195" s="4">
        <v>105</v>
      </c>
      <c r="AE195" s="4">
        <v>106</v>
      </c>
      <c r="AF195" s="4">
        <v>0</v>
      </c>
      <c r="AG195" s="4">
        <v>1</v>
      </c>
      <c r="AH195" s="4">
        <v>96</v>
      </c>
      <c r="AI195" s="4">
        <v>97</v>
      </c>
      <c r="AJ195" s="4">
        <v>14</v>
      </c>
      <c r="AK195" s="4">
        <v>15</v>
      </c>
      <c r="AL195" s="4">
        <v>56</v>
      </c>
      <c r="AM195" s="4">
        <v>56</v>
      </c>
      <c r="AN195" s="4">
        <v>0</v>
      </c>
      <c r="AO195" s="4">
        <v>0</v>
      </c>
      <c r="AP195" s="4">
        <v>15</v>
      </c>
      <c r="AQ195" s="4">
        <v>16</v>
      </c>
      <c r="AR195" s="3" t="s">
        <v>65</v>
      </c>
      <c r="AS195" s="3" t="s">
        <v>65</v>
      </c>
      <c r="AT195" s="3" t="s">
        <v>209</v>
      </c>
      <c r="AU195" s="6" t="str">
        <f>HYPERLINK("http://catalog.hathitrust.org/Record/004307413","HathiTrust Record")</f>
        <v>HathiTrust Record</v>
      </c>
      <c r="AV195" s="6" t="str">
        <f>HYPERLINK("http://mcgill.on.worldcat.org/oclc/50079897","Catalog Record")</f>
        <v>Catalog Record</v>
      </c>
      <c r="AW195" s="6" t="str">
        <f>HYPERLINK("http://www.worldcat.org/oclc/50079897","WorldCat Record")</f>
        <v>WorldCat Record</v>
      </c>
      <c r="AX195" s="3" t="s">
        <v>1968</v>
      </c>
      <c r="AY195" s="3" t="s">
        <v>1969</v>
      </c>
      <c r="AZ195" s="3" t="s">
        <v>1970</v>
      </c>
      <c r="BA195" s="3" t="s">
        <v>1970</v>
      </c>
      <c r="BB195" s="3" t="s">
        <v>1971</v>
      </c>
      <c r="BC195" s="3" t="s">
        <v>77</v>
      </c>
      <c r="BD195" s="3" t="s">
        <v>78</v>
      </c>
      <c r="BE195" s="3" t="s">
        <v>1972</v>
      </c>
      <c r="BF195" s="3" t="s">
        <v>1971</v>
      </c>
      <c r="BG195" s="3" t="s">
        <v>1973</v>
      </c>
    </row>
    <row r="196" spans="1:59" ht="72.5" x14ac:dyDescent="0.35">
      <c r="A196" s="2" t="s">
        <v>59</v>
      </c>
      <c r="B196" s="2" t="s">
        <v>60</v>
      </c>
      <c r="C196" s="2" t="s">
        <v>1974</v>
      </c>
      <c r="D196" s="2" t="s">
        <v>1975</v>
      </c>
      <c r="E196" s="2" t="s">
        <v>1976</v>
      </c>
      <c r="G196" s="3" t="s">
        <v>65</v>
      </c>
      <c r="I196" s="3" t="s">
        <v>65</v>
      </c>
      <c r="J196" s="3" t="s">
        <v>65</v>
      </c>
      <c r="K196" s="3" t="s">
        <v>66</v>
      </c>
      <c r="L196" s="2" t="s">
        <v>1977</v>
      </c>
      <c r="M196" s="2" t="s">
        <v>1847</v>
      </c>
      <c r="N196" s="3" t="s">
        <v>479</v>
      </c>
      <c r="P196" s="3" t="s">
        <v>69</v>
      </c>
      <c r="Q196" s="2" t="s">
        <v>1197</v>
      </c>
      <c r="R196" s="3" t="s">
        <v>71</v>
      </c>
      <c r="S196" s="4">
        <v>8</v>
      </c>
      <c r="T196" s="4">
        <v>8</v>
      </c>
      <c r="U196" s="5" t="s">
        <v>1978</v>
      </c>
      <c r="V196" s="5" t="s">
        <v>1978</v>
      </c>
      <c r="W196" s="5" t="s">
        <v>72</v>
      </c>
      <c r="X196" s="5" t="s">
        <v>72</v>
      </c>
      <c r="Y196" s="4">
        <v>210</v>
      </c>
      <c r="Z196" s="4">
        <v>24</v>
      </c>
      <c r="AA196" s="4">
        <v>105</v>
      </c>
      <c r="AB196" s="4">
        <v>1</v>
      </c>
      <c r="AC196" s="4">
        <v>19</v>
      </c>
      <c r="AD196" s="4">
        <v>99</v>
      </c>
      <c r="AE196" s="4">
        <v>141</v>
      </c>
      <c r="AF196" s="4">
        <v>0</v>
      </c>
      <c r="AG196" s="4">
        <v>8</v>
      </c>
      <c r="AH196" s="4">
        <v>84</v>
      </c>
      <c r="AI196" s="4">
        <v>98</v>
      </c>
      <c r="AJ196" s="4">
        <v>17</v>
      </c>
      <c r="AK196" s="4">
        <v>26</v>
      </c>
      <c r="AL196" s="4">
        <v>51</v>
      </c>
      <c r="AM196" s="4">
        <v>54</v>
      </c>
      <c r="AN196" s="4">
        <v>0</v>
      </c>
      <c r="AO196" s="4">
        <v>0</v>
      </c>
      <c r="AP196" s="4">
        <v>19</v>
      </c>
      <c r="AQ196" s="4">
        <v>50</v>
      </c>
      <c r="AR196" s="3" t="s">
        <v>209</v>
      </c>
      <c r="AS196" s="3" t="s">
        <v>65</v>
      </c>
      <c r="AT196" s="3" t="s">
        <v>65</v>
      </c>
      <c r="AV196" s="6" t="str">
        <f>HYPERLINK("http://mcgill.on.worldcat.org/oclc/181602804","Catalog Record")</f>
        <v>Catalog Record</v>
      </c>
      <c r="AW196" s="6" t="str">
        <f>HYPERLINK("http://www.worldcat.org/oclc/181602804","WorldCat Record")</f>
        <v>WorldCat Record</v>
      </c>
      <c r="AX196" s="3" t="s">
        <v>1979</v>
      </c>
      <c r="AY196" s="3" t="s">
        <v>1980</v>
      </c>
      <c r="AZ196" s="3" t="s">
        <v>1981</v>
      </c>
      <c r="BA196" s="3" t="s">
        <v>1981</v>
      </c>
      <c r="BB196" s="3" t="s">
        <v>1982</v>
      </c>
      <c r="BC196" s="3" t="s">
        <v>77</v>
      </c>
      <c r="BD196" s="3" t="s">
        <v>106</v>
      </c>
      <c r="BE196" s="3" t="s">
        <v>1983</v>
      </c>
      <c r="BF196" s="3" t="s">
        <v>1982</v>
      </c>
      <c r="BG196" s="3" t="s">
        <v>1984</v>
      </c>
    </row>
    <row r="197" spans="1:59" ht="72.5" x14ac:dyDescent="0.35">
      <c r="A197" s="2" t="s">
        <v>59</v>
      </c>
      <c r="B197" s="2" t="s">
        <v>60</v>
      </c>
      <c r="C197" s="2" t="s">
        <v>1985</v>
      </c>
      <c r="D197" s="2" t="s">
        <v>1986</v>
      </c>
      <c r="E197" s="2" t="s">
        <v>1987</v>
      </c>
      <c r="G197" s="3" t="s">
        <v>65</v>
      </c>
      <c r="I197" s="3" t="s">
        <v>65</v>
      </c>
      <c r="J197" s="3" t="s">
        <v>65</v>
      </c>
      <c r="K197" s="3" t="s">
        <v>66</v>
      </c>
      <c r="L197" s="2" t="s">
        <v>1988</v>
      </c>
      <c r="M197" s="2" t="s">
        <v>1989</v>
      </c>
      <c r="N197" s="3" t="s">
        <v>86</v>
      </c>
      <c r="P197" s="3" t="s">
        <v>69</v>
      </c>
      <c r="Q197" s="2" t="s">
        <v>1197</v>
      </c>
      <c r="R197" s="3" t="s">
        <v>71</v>
      </c>
      <c r="S197" s="4">
        <v>0</v>
      </c>
      <c r="T197" s="4">
        <v>0</v>
      </c>
      <c r="W197" s="5" t="s">
        <v>72</v>
      </c>
      <c r="X197" s="5" t="s">
        <v>72</v>
      </c>
      <c r="Y197" s="4">
        <v>105</v>
      </c>
      <c r="Z197" s="4">
        <v>7</v>
      </c>
      <c r="AA197" s="4">
        <v>46</v>
      </c>
      <c r="AB197" s="4">
        <v>2</v>
      </c>
      <c r="AC197" s="4">
        <v>10</v>
      </c>
      <c r="AD197" s="4">
        <v>61</v>
      </c>
      <c r="AE197" s="4">
        <v>93</v>
      </c>
      <c r="AF197" s="4">
        <v>1</v>
      </c>
      <c r="AG197" s="4">
        <v>4</v>
      </c>
      <c r="AH197" s="4">
        <v>56</v>
      </c>
      <c r="AI197" s="4">
        <v>69</v>
      </c>
      <c r="AJ197" s="4">
        <v>6</v>
      </c>
      <c r="AK197" s="4">
        <v>16</v>
      </c>
      <c r="AL197" s="4">
        <v>40</v>
      </c>
      <c r="AM197" s="4">
        <v>43</v>
      </c>
      <c r="AN197" s="4">
        <v>0</v>
      </c>
      <c r="AO197" s="4">
        <v>0</v>
      </c>
      <c r="AP197" s="4">
        <v>5</v>
      </c>
      <c r="AQ197" s="4">
        <v>29</v>
      </c>
      <c r="AR197" s="3" t="s">
        <v>209</v>
      </c>
      <c r="AS197" s="3" t="s">
        <v>65</v>
      </c>
      <c r="AT197" s="3" t="s">
        <v>65</v>
      </c>
      <c r="AV197" s="6" t="str">
        <f>HYPERLINK("http://mcgill.on.worldcat.org/oclc/1005105237","Catalog Record")</f>
        <v>Catalog Record</v>
      </c>
      <c r="AW197" s="6" t="str">
        <f>HYPERLINK("http://www.worldcat.org/oclc/1005105237","WorldCat Record")</f>
        <v>WorldCat Record</v>
      </c>
      <c r="AX197" s="3" t="s">
        <v>1990</v>
      </c>
      <c r="AY197" s="3" t="s">
        <v>1991</v>
      </c>
      <c r="AZ197" s="3" t="s">
        <v>1992</v>
      </c>
      <c r="BA197" s="3" t="s">
        <v>1992</v>
      </c>
      <c r="BB197" s="3" t="s">
        <v>1993</v>
      </c>
      <c r="BC197" s="3" t="s">
        <v>77</v>
      </c>
      <c r="BD197" s="3" t="s">
        <v>78</v>
      </c>
      <c r="BE197" s="3" t="s">
        <v>1994</v>
      </c>
      <c r="BF197" s="3" t="s">
        <v>1993</v>
      </c>
      <c r="BG197" s="3" t="s">
        <v>1995</v>
      </c>
    </row>
    <row r="198" spans="1:59" ht="72.5" x14ac:dyDescent="0.35">
      <c r="A198" s="2" t="s">
        <v>59</v>
      </c>
      <c r="B198" s="2" t="s">
        <v>60</v>
      </c>
      <c r="C198" s="2" t="s">
        <v>1996</v>
      </c>
      <c r="D198" s="2" t="s">
        <v>1997</v>
      </c>
      <c r="E198" s="2" t="s">
        <v>1998</v>
      </c>
      <c r="G198" s="3" t="s">
        <v>65</v>
      </c>
      <c r="I198" s="3" t="s">
        <v>65</v>
      </c>
      <c r="J198" s="3" t="s">
        <v>65</v>
      </c>
      <c r="K198" s="3" t="s">
        <v>66</v>
      </c>
      <c r="L198" s="2" t="s">
        <v>1194</v>
      </c>
      <c r="M198" s="2" t="s">
        <v>1999</v>
      </c>
      <c r="N198" s="3" t="s">
        <v>1085</v>
      </c>
      <c r="P198" s="3" t="s">
        <v>69</v>
      </c>
      <c r="R198" s="3" t="s">
        <v>71</v>
      </c>
      <c r="S198" s="4">
        <v>14</v>
      </c>
      <c r="T198" s="4">
        <v>14</v>
      </c>
      <c r="U198" s="5" t="s">
        <v>2000</v>
      </c>
      <c r="V198" s="5" t="s">
        <v>2000</v>
      </c>
      <c r="W198" s="5" t="s">
        <v>72</v>
      </c>
      <c r="X198" s="5" t="s">
        <v>72</v>
      </c>
      <c r="Y198" s="4">
        <v>266</v>
      </c>
      <c r="Z198" s="4">
        <v>15</v>
      </c>
      <c r="AA198" s="4">
        <v>37</v>
      </c>
      <c r="AB198" s="4">
        <v>1</v>
      </c>
      <c r="AC198" s="4">
        <v>7</v>
      </c>
      <c r="AD198" s="4">
        <v>105</v>
      </c>
      <c r="AE198" s="4">
        <v>120</v>
      </c>
      <c r="AF198" s="4">
        <v>0</v>
      </c>
      <c r="AG198" s="4">
        <v>2</v>
      </c>
      <c r="AH198" s="4">
        <v>100</v>
      </c>
      <c r="AI198" s="4">
        <v>107</v>
      </c>
      <c r="AJ198" s="4">
        <v>11</v>
      </c>
      <c r="AK198" s="4">
        <v>15</v>
      </c>
      <c r="AL198" s="4">
        <v>55</v>
      </c>
      <c r="AM198" s="4">
        <v>56</v>
      </c>
      <c r="AN198" s="4">
        <v>0</v>
      </c>
      <c r="AO198" s="4">
        <v>0</v>
      </c>
      <c r="AP198" s="4">
        <v>12</v>
      </c>
      <c r="AQ198" s="4">
        <v>23</v>
      </c>
      <c r="AR198" s="3" t="s">
        <v>65</v>
      </c>
      <c r="AS198" s="3" t="s">
        <v>65</v>
      </c>
      <c r="AT198" s="3" t="s">
        <v>65</v>
      </c>
      <c r="AV198" s="6" t="str">
        <f>HYPERLINK("http://mcgill.on.worldcat.org/oclc/33334007","Catalog Record")</f>
        <v>Catalog Record</v>
      </c>
      <c r="AW198" s="6" t="str">
        <f>HYPERLINK("http://www.worldcat.org/oclc/33334007","WorldCat Record")</f>
        <v>WorldCat Record</v>
      </c>
      <c r="AX198" s="3" t="s">
        <v>2001</v>
      </c>
      <c r="AY198" s="3" t="s">
        <v>2002</v>
      </c>
      <c r="AZ198" s="3" t="s">
        <v>2003</v>
      </c>
      <c r="BA198" s="3" t="s">
        <v>2003</v>
      </c>
      <c r="BB198" s="3" t="s">
        <v>2004</v>
      </c>
      <c r="BC198" s="3" t="s">
        <v>77</v>
      </c>
      <c r="BD198" s="3" t="s">
        <v>106</v>
      </c>
      <c r="BE198" s="3" t="s">
        <v>2005</v>
      </c>
      <c r="BF198" s="3" t="s">
        <v>2004</v>
      </c>
      <c r="BG198" s="3" t="s">
        <v>2006</v>
      </c>
    </row>
    <row r="199" spans="1:59" ht="72.5" x14ac:dyDescent="0.35">
      <c r="A199" s="2" t="s">
        <v>59</v>
      </c>
      <c r="B199" s="2" t="s">
        <v>60</v>
      </c>
      <c r="C199" s="2" t="s">
        <v>2007</v>
      </c>
      <c r="D199" s="2" t="s">
        <v>2008</v>
      </c>
      <c r="E199" s="2" t="s">
        <v>2009</v>
      </c>
      <c r="G199" s="3" t="s">
        <v>65</v>
      </c>
      <c r="I199" s="3" t="s">
        <v>65</v>
      </c>
      <c r="J199" s="3" t="s">
        <v>65</v>
      </c>
      <c r="K199" s="3" t="s">
        <v>66</v>
      </c>
      <c r="L199" s="2" t="s">
        <v>2010</v>
      </c>
      <c r="M199" s="2" t="s">
        <v>2011</v>
      </c>
      <c r="N199" s="3" t="s">
        <v>86</v>
      </c>
      <c r="P199" s="3" t="s">
        <v>69</v>
      </c>
      <c r="Q199" s="2" t="s">
        <v>1600</v>
      </c>
      <c r="R199" s="3" t="s">
        <v>71</v>
      </c>
      <c r="S199" s="4">
        <v>1</v>
      </c>
      <c r="T199" s="4">
        <v>1</v>
      </c>
      <c r="W199" s="5" t="s">
        <v>72</v>
      </c>
      <c r="X199" s="5" t="s">
        <v>72</v>
      </c>
      <c r="Y199" s="4">
        <v>86</v>
      </c>
      <c r="Z199" s="4">
        <v>4</v>
      </c>
      <c r="AA199" s="4">
        <v>9</v>
      </c>
      <c r="AB199" s="4">
        <v>1</v>
      </c>
      <c r="AC199" s="4">
        <v>3</v>
      </c>
      <c r="AD199" s="4">
        <v>54</v>
      </c>
      <c r="AE199" s="4">
        <v>59</v>
      </c>
      <c r="AF199" s="4">
        <v>0</v>
      </c>
      <c r="AG199" s="4">
        <v>0</v>
      </c>
      <c r="AH199" s="4">
        <v>52</v>
      </c>
      <c r="AI199" s="4">
        <v>57</v>
      </c>
      <c r="AJ199" s="4">
        <v>3</v>
      </c>
      <c r="AK199" s="4">
        <v>6</v>
      </c>
      <c r="AL199" s="4">
        <v>36</v>
      </c>
      <c r="AM199" s="4">
        <v>38</v>
      </c>
      <c r="AN199" s="4">
        <v>0</v>
      </c>
      <c r="AO199" s="4">
        <v>0</v>
      </c>
      <c r="AP199" s="4">
        <v>3</v>
      </c>
      <c r="AQ199" s="4">
        <v>6</v>
      </c>
      <c r="AR199" s="3" t="s">
        <v>209</v>
      </c>
      <c r="AS199" s="3" t="s">
        <v>65</v>
      </c>
      <c r="AT199" s="3" t="s">
        <v>65</v>
      </c>
      <c r="AV199" s="6" t="str">
        <f>HYPERLINK("http://mcgill.on.worldcat.org/oclc/1005683820","Catalog Record")</f>
        <v>Catalog Record</v>
      </c>
      <c r="AW199" s="6" t="str">
        <f>HYPERLINK("http://www.worldcat.org/oclc/1005683820","WorldCat Record")</f>
        <v>WorldCat Record</v>
      </c>
      <c r="AX199" s="3" t="s">
        <v>2012</v>
      </c>
      <c r="AY199" s="3" t="s">
        <v>2013</v>
      </c>
      <c r="AZ199" s="3" t="s">
        <v>2014</v>
      </c>
      <c r="BA199" s="3" t="s">
        <v>2014</v>
      </c>
      <c r="BB199" s="3" t="s">
        <v>2015</v>
      </c>
      <c r="BC199" s="3" t="s">
        <v>77</v>
      </c>
      <c r="BD199" s="3" t="s">
        <v>106</v>
      </c>
      <c r="BE199" s="3" t="s">
        <v>2016</v>
      </c>
      <c r="BF199" s="3" t="s">
        <v>2015</v>
      </c>
      <c r="BG199" s="3" t="s">
        <v>2017</v>
      </c>
    </row>
    <row r="200" spans="1:59" ht="72.5" x14ac:dyDescent="0.35">
      <c r="A200" s="2" t="s">
        <v>59</v>
      </c>
      <c r="B200" s="2" t="s">
        <v>60</v>
      </c>
      <c r="C200" s="2" t="s">
        <v>2018</v>
      </c>
      <c r="D200" s="2" t="s">
        <v>2019</v>
      </c>
      <c r="E200" s="2" t="s">
        <v>2020</v>
      </c>
      <c r="G200" s="3" t="s">
        <v>65</v>
      </c>
      <c r="I200" s="3" t="s">
        <v>65</v>
      </c>
      <c r="J200" s="3" t="s">
        <v>65</v>
      </c>
      <c r="K200" s="3" t="s">
        <v>66</v>
      </c>
      <c r="L200" s="2" t="s">
        <v>2021</v>
      </c>
      <c r="M200" s="2" t="s">
        <v>2022</v>
      </c>
      <c r="N200" s="3" t="s">
        <v>176</v>
      </c>
      <c r="P200" s="3" t="s">
        <v>69</v>
      </c>
      <c r="Q200" s="2" t="s">
        <v>2023</v>
      </c>
      <c r="R200" s="3" t="s">
        <v>71</v>
      </c>
      <c r="S200" s="4">
        <v>2</v>
      </c>
      <c r="T200" s="4">
        <v>2</v>
      </c>
      <c r="U200" s="5" t="s">
        <v>2024</v>
      </c>
      <c r="V200" s="5" t="s">
        <v>2024</v>
      </c>
      <c r="W200" s="5" t="s">
        <v>72</v>
      </c>
      <c r="X200" s="5" t="s">
        <v>72</v>
      </c>
      <c r="Y200" s="4">
        <v>53</v>
      </c>
      <c r="Z200" s="4">
        <v>6</v>
      </c>
      <c r="AA200" s="4">
        <v>23</v>
      </c>
      <c r="AB200" s="4">
        <v>1</v>
      </c>
      <c r="AC200" s="4">
        <v>5</v>
      </c>
      <c r="AD200" s="4">
        <v>25</v>
      </c>
      <c r="AE200" s="4">
        <v>33</v>
      </c>
      <c r="AF200" s="4">
        <v>0</v>
      </c>
      <c r="AG200" s="4">
        <v>1</v>
      </c>
      <c r="AH200" s="4">
        <v>24</v>
      </c>
      <c r="AI200" s="4">
        <v>25</v>
      </c>
      <c r="AJ200" s="4">
        <v>5</v>
      </c>
      <c r="AK200" s="4">
        <v>8</v>
      </c>
      <c r="AL200" s="4">
        <v>13</v>
      </c>
      <c r="AM200" s="4">
        <v>13</v>
      </c>
      <c r="AN200" s="4">
        <v>0</v>
      </c>
      <c r="AO200" s="4">
        <v>0</v>
      </c>
      <c r="AP200" s="4">
        <v>5</v>
      </c>
      <c r="AQ200" s="4">
        <v>12</v>
      </c>
      <c r="AR200" s="3" t="s">
        <v>65</v>
      </c>
      <c r="AS200" s="3" t="s">
        <v>65</v>
      </c>
      <c r="AT200" s="3" t="s">
        <v>65</v>
      </c>
      <c r="AV200" s="6" t="str">
        <f>HYPERLINK("http://mcgill.on.worldcat.org/oclc/898717321","Catalog Record")</f>
        <v>Catalog Record</v>
      </c>
      <c r="AW200" s="6" t="str">
        <f>HYPERLINK("http://www.worldcat.org/oclc/898717321","WorldCat Record")</f>
        <v>WorldCat Record</v>
      </c>
      <c r="AX200" s="3" t="s">
        <v>2025</v>
      </c>
      <c r="AY200" s="3" t="s">
        <v>2026</v>
      </c>
      <c r="AZ200" s="3" t="s">
        <v>2027</v>
      </c>
      <c r="BA200" s="3" t="s">
        <v>2027</v>
      </c>
      <c r="BB200" s="3" t="s">
        <v>2028</v>
      </c>
      <c r="BC200" s="3" t="s">
        <v>77</v>
      </c>
      <c r="BD200" s="3" t="s">
        <v>78</v>
      </c>
      <c r="BE200" s="3" t="s">
        <v>2029</v>
      </c>
      <c r="BF200" s="3" t="s">
        <v>2028</v>
      </c>
      <c r="BG200" s="3" t="s">
        <v>2030</v>
      </c>
    </row>
    <row r="201" spans="1:59" ht="72.5" x14ac:dyDescent="0.35">
      <c r="A201" s="2" t="s">
        <v>59</v>
      </c>
      <c r="B201" s="2" t="s">
        <v>60</v>
      </c>
      <c r="C201" s="2" t="s">
        <v>2031</v>
      </c>
      <c r="D201" s="2" t="s">
        <v>2032</v>
      </c>
      <c r="E201" s="2" t="s">
        <v>2033</v>
      </c>
      <c r="G201" s="3" t="s">
        <v>65</v>
      </c>
      <c r="I201" s="3" t="s">
        <v>65</v>
      </c>
      <c r="J201" s="3" t="s">
        <v>65</v>
      </c>
      <c r="K201" s="3" t="s">
        <v>66</v>
      </c>
      <c r="L201" s="2" t="s">
        <v>2034</v>
      </c>
      <c r="M201" s="2" t="s">
        <v>2035</v>
      </c>
      <c r="N201" s="3" t="s">
        <v>1032</v>
      </c>
      <c r="P201" s="3" t="s">
        <v>69</v>
      </c>
      <c r="Q201" s="2" t="s">
        <v>2036</v>
      </c>
      <c r="R201" s="3" t="s">
        <v>71</v>
      </c>
      <c r="S201" s="4">
        <v>21</v>
      </c>
      <c r="T201" s="4">
        <v>21</v>
      </c>
      <c r="U201" s="5" t="s">
        <v>1978</v>
      </c>
      <c r="V201" s="5" t="s">
        <v>1978</v>
      </c>
      <c r="W201" s="5" t="s">
        <v>72</v>
      </c>
      <c r="X201" s="5" t="s">
        <v>72</v>
      </c>
      <c r="Y201" s="4">
        <v>339</v>
      </c>
      <c r="Z201" s="4">
        <v>20</v>
      </c>
      <c r="AA201" s="4">
        <v>20</v>
      </c>
      <c r="AB201" s="4">
        <v>2</v>
      </c>
      <c r="AC201" s="4">
        <v>2</v>
      </c>
      <c r="AD201" s="4">
        <v>100</v>
      </c>
      <c r="AE201" s="4">
        <v>100</v>
      </c>
      <c r="AF201" s="4">
        <v>1</v>
      </c>
      <c r="AG201" s="4">
        <v>1</v>
      </c>
      <c r="AH201" s="4">
        <v>93</v>
      </c>
      <c r="AI201" s="4">
        <v>93</v>
      </c>
      <c r="AJ201" s="4">
        <v>13</v>
      </c>
      <c r="AK201" s="4">
        <v>13</v>
      </c>
      <c r="AL201" s="4">
        <v>52</v>
      </c>
      <c r="AM201" s="4">
        <v>52</v>
      </c>
      <c r="AN201" s="4">
        <v>0</v>
      </c>
      <c r="AO201" s="4">
        <v>0</v>
      </c>
      <c r="AP201" s="4">
        <v>15</v>
      </c>
      <c r="AQ201" s="4">
        <v>15</v>
      </c>
      <c r="AR201" s="3" t="s">
        <v>65</v>
      </c>
      <c r="AS201" s="3" t="s">
        <v>65</v>
      </c>
      <c r="AT201" s="3" t="s">
        <v>209</v>
      </c>
      <c r="AU201" s="6" t="str">
        <f>HYPERLINK("http://catalog.hathitrust.org/Record/003056972","HathiTrust Record")</f>
        <v>HathiTrust Record</v>
      </c>
      <c r="AV201" s="6" t="str">
        <f>HYPERLINK("http://mcgill.on.worldcat.org/oclc/33009924","Catalog Record")</f>
        <v>Catalog Record</v>
      </c>
      <c r="AW201" s="6" t="str">
        <f>HYPERLINK("http://www.worldcat.org/oclc/33009924","WorldCat Record")</f>
        <v>WorldCat Record</v>
      </c>
      <c r="AX201" s="3" t="s">
        <v>2037</v>
      </c>
      <c r="AY201" s="3" t="s">
        <v>2038</v>
      </c>
      <c r="AZ201" s="3" t="s">
        <v>2039</v>
      </c>
      <c r="BA201" s="3" t="s">
        <v>2039</v>
      </c>
      <c r="BB201" s="3" t="s">
        <v>2040</v>
      </c>
      <c r="BC201" s="3" t="s">
        <v>77</v>
      </c>
      <c r="BD201" s="3" t="s">
        <v>106</v>
      </c>
      <c r="BE201" s="3" t="s">
        <v>2041</v>
      </c>
      <c r="BF201" s="3" t="s">
        <v>2040</v>
      </c>
      <c r="BG201" s="3" t="s">
        <v>2042</v>
      </c>
    </row>
    <row r="202" spans="1:59" ht="58" x14ac:dyDescent="0.35">
      <c r="A202" s="2" t="s">
        <v>59</v>
      </c>
      <c r="B202" s="2" t="s">
        <v>60</v>
      </c>
      <c r="C202" s="2" t="s">
        <v>2043</v>
      </c>
      <c r="D202" s="2" t="s">
        <v>2044</v>
      </c>
      <c r="E202" s="2" t="s">
        <v>2045</v>
      </c>
      <c r="G202" s="3" t="s">
        <v>65</v>
      </c>
      <c r="I202" s="3" t="s">
        <v>65</v>
      </c>
      <c r="J202" s="3" t="s">
        <v>65</v>
      </c>
      <c r="K202" s="3" t="s">
        <v>66</v>
      </c>
      <c r="L202" s="2" t="s">
        <v>2046</v>
      </c>
      <c r="M202" s="2" t="s">
        <v>2047</v>
      </c>
      <c r="N202" s="3" t="s">
        <v>152</v>
      </c>
      <c r="P202" s="3" t="s">
        <v>69</v>
      </c>
      <c r="R202" s="3" t="s">
        <v>71</v>
      </c>
      <c r="S202" s="4">
        <v>1</v>
      </c>
      <c r="T202" s="4">
        <v>1</v>
      </c>
      <c r="U202" s="5" t="s">
        <v>2048</v>
      </c>
      <c r="V202" s="5" t="s">
        <v>2048</v>
      </c>
      <c r="W202" s="5" t="s">
        <v>72</v>
      </c>
      <c r="X202" s="5" t="s">
        <v>72</v>
      </c>
      <c r="Y202" s="4">
        <v>87</v>
      </c>
      <c r="Z202" s="4">
        <v>13</v>
      </c>
      <c r="AA202" s="4">
        <v>17</v>
      </c>
      <c r="AB202" s="4">
        <v>1</v>
      </c>
      <c r="AC202" s="4">
        <v>3</v>
      </c>
      <c r="AD202" s="4">
        <v>42</v>
      </c>
      <c r="AE202" s="4">
        <v>54</v>
      </c>
      <c r="AF202" s="4">
        <v>0</v>
      </c>
      <c r="AG202" s="4">
        <v>0</v>
      </c>
      <c r="AH202" s="4">
        <v>41</v>
      </c>
      <c r="AI202" s="4">
        <v>53</v>
      </c>
      <c r="AJ202" s="4">
        <v>9</v>
      </c>
      <c r="AK202" s="4">
        <v>10</v>
      </c>
      <c r="AL202" s="4">
        <v>24</v>
      </c>
      <c r="AM202" s="4">
        <v>32</v>
      </c>
      <c r="AN202" s="4">
        <v>0</v>
      </c>
      <c r="AO202" s="4">
        <v>0</v>
      </c>
      <c r="AP202" s="4">
        <v>9</v>
      </c>
      <c r="AQ202" s="4">
        <v>10</v>
      </c>
      <c r="AR202" s="3" t="s">
        <v>65</v>
      </c>
      <c r="AS202" s="3" t="s">
        <v>65</v>
      </c>
      <c r="AT202" s="3" t="s">
        <v>65</v>
      </c>
      <c r="AV202" s="6" t="str">
        <f>HYPERLINK("http://mcgill.on.worldcat.org/oclc/861273796","Catalog Record")</f>
        <v>Catalog Record</v>
      </c>
      <c r="AW202" s="6" t="str">
        <f>HYPERLINK("http://www.worldcat.org/oclc/861273796","WorldCat Record")</f>
        <v>WorldCat Record</v>
      </c>
      <c r="AX202" s="3" t="s">
        <v>2049</v>
      </c>
      <c r="AY202" s="3" t="s">
        <v>2050</v>
      </c>
      <c r="AZ202" s="3" t="s">
        <v>2051</v>
      </c>
      <c r="BA202" s="3" t="s">
        <v>2051</v>
      </c>
      <c r="BB202" s="3" t="s">
        <v>2052</v>
      </c>
      <c r="BC202" s="3" t="s">
        <v>77</v>
      </c>
      <c r="BD202" s="3" t="s">
        <v>78</v>
      </c>
      <c r="BE202" s="3" t="s">
        <v>2053</v>
      </c>
      <c r="BF202" s="3" t="s">
        <v>2052</v>
      </c>
      <c r="BG202" s="3" t="s">
        <v>2054</v>
      </c>
    </row>
    <row r="203" spans="1:59" ht="58" x14ac:dyDescent="0.35">
      <c r="A203" s="2" t="s">
        <v>59</v>
      </c>
      <c r="B203" s="2" t="s">
        <v>60</v>
      </c>
      <c r="C203" s="2" t="s">
        <v>2055</v>
      </c>
      <c r="D203" s="2" t="s">
        <v>2056</v>
      </c>
      <c r="E203" s="2" t="s">
        <v>2057</v>
      </c>
      <c r="G203" s="3" t="s">
        <v>65</v>
      </c>
      <c r="I203" s="3" t="s">
        <v>65</v>
      </c>
      <c r="J203" s="3" t="s">
        <v>65</v>
      </c>
      <c r="K203" s="3" t="s">
        <v>66</v>
      </c>
      <c r="L203" s="2" t="s">
        <v>2058</v>
      </c>
      <c r="M203" s="2" t="s">
        <v>2059</v>
      </c>
      <c r="N203" s="3" t="s">
        <v>139</v>
      </c>
      <c r="O203" s="2" t="s">
        <v>379</v>
      </c>
      <c r="P203" s="3" t="s">
        <v>140</v>
      </c>
      <c r="Q203" s="2" t="s">
        <v>2060</v>
      </c>
      <c r="R203" s="3" t="s">
        <v>71</v>
      </c>
      <c r="S203" s="4">
        <v>0</v>
      </c>
      <c r="T203" s="4">
        <v>0</v>
      </c>
      <c r="U203" s="5" t="s">
        <v>2061</v>
      </c>
      <c r="V203" s="5" t="s">
        <v>2061</v>
      </c>
      <c r="W203" s="5" t="s">
        <v>72</v>
      </c>
      <c r="X203" s="5" t="s">
        <v>72</v>
      </c>
      <c r="Y203" s="4">
        <v>43</v>
      </c>
      <c r="Z203" s="4">
        <v>4</v>
      </c>
      <c r="AA203" s="4">
        <v>4</v>
      </c>
      <c r="AB203" s="4">
        <v>1</v>
      </c>
      <c r="AC203" s="4">
        <v>1</v>
      </c>
      <c r="AD203" s="4">
        <v>28</v>
      </c>
      <c r="AE203" s="4">
        <v>28</v>
      </c>
      <c r="AF203" s="4">
        <v>0</v>
      </c>
      <c r="AG203" s="4">
        <v>0</v>
      </c>
      <c r="AH203" s="4">
        <v>27</v>
      </c>
      <c r="AI203" s="4">
        <v>27</v>
      </c>
      <c r="AJ203" s="4">
        <v>2</v>
      </c>
      <c r="AK203" s="4">
        <v>2</v>
      </c>
      <c r="AL203" s="4">
        <v>21</v>
      </c>
      <c r="AM203" s="4">
        <v>21</v>
      </c>
      <c r="AN203" s="4">
        <v>0</v>
      </c>
      <c r="AO203" s="4">
        <v>0</v>
      </c>
      <c r="AP203" s="4">
        <v>2</v>
      </c>
      <c r="AQ203" s="4">
        <v>2</v>
      </c>
      <c r="AR203" s="3" t="s">
        <v>65</v>
      </c>
      <c r="AS203" s="3" t="s">
        <v>65</v>
      </c>
      <c r="AT203" s="3" t="s">
        <v>65</v>
      </c>
      <c r="AV203" s="6" t="str">
        <f>HYPERLINK("http://mcgill.on.worldcat.org/oclc/834493974","Catalog Record")</f>
        <v>Catalog Record</v>
      </c>
      <c r="AW203" s="6" t="str">
        <f>HYPERLINK("http://www.worldcat.org/oclc/834493974","WorldCat Record")</f>
        <v>WorldCat Record</v>
      </c>
      <c r="AX203" s="3" t="s">
        <v>2062</v>
      </c>
      <c r="AY203" s="3" t="s">
        <v>2063</v>
      </c>
      <c r="AZ203" s="3" t="s">
        <v>2064</v>
      </c>
      <c r="BA203" s="3" t="s">
        <v>2064</v>
      </c>
      <c r="BB203" s="3" t="s">
        <v>2065</v>
      </c>
      <c r="BC203" s="3" t="s">
        <v>77</v>
      </c>
      <c r="BD203" s="3" t="s">
        <v>78</v>
      </c>
      <c r="BE203" s="3" t="s">
        <v>2066</v>
      </c>
      <c r="BF203" s="3" t="s">
        <v>2065</v>
      </c>
      <c r="BG203" s="3" t="s">
        <v>2067</v>
      </c>
    </row>
    <row r="204" spans="1:59" ht="87" x14ac:dyDescent="0.35">
      <c r="A204" s="2" t="s">
        <v>208</v>
      </c>
      <c r="B204" s="2" t="s">
        <v>2068</v>
      </c>
      <c r="C204" s="2" t="s">
        <v>2069</v>
      </c>
      <c r="D204" s="2" t="s">
        <v>2070</v>
      </c>
      <c r="E204" s="2" t="s">
        <v>2071</v>
      </c>
      <c r="G204" s="3" t="s">
        <v>65</v>
      </c>
      <c r="I204" s="3" t="s">
        <v>65</v>
      </c>
      <c r="J204" s="3" t="s">
        <v>65</v>
      </c>
      <c r="K204" s="3" t="s">
        <v>66</v>
      </c>
      <c r="L204" s="2" t="s">
        <v>2072</v>
      </c>
      <c r="M204" s="2" t="s">
        <v>2073</v>
      </c>
      <c r="N204" s="3" t="s">
        <v>214</v>
      </c>
      <c r="O204" s="2" t="s">
        <v>2074</v>
      </c>
      <c r="P204" s="3" t="s">
        <v>140</v>
      </c>
      <c r="Q204" s="2" t="s">
        <v>2075</v>
      </c>
      <c r="R204" s="3" t="s">
        <v>71</v>
      </c>
      <c r="S204" s="4">
        <v>2</v>
      </c>
      <c r="T204" s="4">
        <v>2</v>
      </c>
      <c r="U204" s="5" t="s">
        <v>2076</v>
      </c>
      <c r="V204" s="5" t="s">
        <v>2076</v>
      </c>
      <c r="W204" s="5" t="s">
        <v>72</v>
      </c>
      <c r="X204" s="5" t="s">
        <v>72</v>
      </c>
      <c r="Y204" s="4">
        <v>106</v>
      </c>
      <c r="Z204" s="4">
        <v>12</v>
      </c>
      <c r="AA204" s="4">
        <v>12</v>
      </c>
      <c r="AB204" s="4">
        <v>1</v>
      </c>
      <c r="AC204" s="4">
        <v>1</v>
      </c>
      <c r="AD204" s="4">
        <v>52</v>
      </c>
      <c r="AE204" s="4">
        <v>52</v>
      </c>
      <c r="AF204" s="4">
        <v>0</v>
      </c>
      <c r="AG204" s="4">
        <v>0</v>
      </c>
      <c r="AH204" s="4">
        <v>49</v>
      </c>
      <c r="AI204" s="4">
        <v>49</v>
      </c>
      <c r="AJ204" s="4">
        <v>8</v>
      </c>
      <c r="AK204" s="4">
        <v>8</v>
      </c>
      <c r="AL204" s="4">
        <v>35</v>
      </c>
      <c r="AM204" s="4">
        <v>35</v>
      </c>
      <c r="AN204" s="4">
        <v>0</v>
      </c>
      <c r="AO204" s="4">
        <v>0</v>
      </c>
      <c r="AP204" s="4">
        <v>8</v>
      </c>
      <c r="AQ204" s="4">
        <v>8</v>
      </c>
      <c r="AR204" s="3" t="s">
        <v>65</v>
      </c>
      <c r="AS204" s="3" t="s">
        <v>65</v>
      </c>
      <c r="AT204" s="3" t="s">
        <v>209</v>
      </c>
      <c r="AU204" s="6" t="str">
        <f>HYPERLINK("http://catalog.hathitrust.org/Record/006708836","HathiTrust Record")</f>
        <v>HathiTrust Record</v>
      </c>
      <c r="AV204" s="6" t="str">
        <f>HYPERLINK("http://mcgill.on.worldcat.org/oclc/11313883","Catalog Record")</f>
        <v>Catalog Record</v>
      </c>
      <c r="AW204" s="6" t="str">
        <f>HYPERLINK("http://www.worldcat.org/oclc/11313883","WorldCat Record")</f>
        <v>WorldCat Record</v>
      </c>
      <c r="AX204" s="3" t="s">
        <v>2077</v>
      </c>
      <c r="AY204" s="3" t="s">
        <v>2078</v>
      </c>
      <c r="AZ204" s="3" t="s">
        <v>2079</v>
      </c>
      <c r="BA204" s="3" t="s">
        <v>2079</v>
      </c>
      <c r="BB204" s="3" t="s">
        <v>2080</v>
      </c>
      <c r="BC204" s="3" t="s">
        <v>77</v>
      </c>
      <c r="BD204" s="3" t="s">
        <v>78</v>
      </c>
      <c r="BF204" s="3" t="s">
        <v>2080</v>
      </c>
      <c r="BG204" s="3" t="s">
        <v>2081</v>
      </c>
    </row>
    <row r="205" spans="1:59" ht="58" x14ac:dyDescent="0.35">
      <c r="A205" s="2" t="s">
        <v>59</v>
      </c>
      <c r="B205" s="2" t="s">
        <v>60</v>
      </c>
      <c r="C205" s="2" t="s">
        <v>2082</v>
      </c>
      <c r="D205" s="2" t="s">
        <v>2083</v>
      </c>
      <c r="E205" s="2" t="s">
        <v>2084</v>
      </c>
      <c r="G205" s="3" t="s">
        <v>65</v>
      </c>
      <c r="I205" s="3" t="s">
        <v>65</v>
      </c>
      <c r="J205" s="3" t="s">
        <v>65</v>
      </c>
      <c r="K205" s="3" t="s">
        <v>66</v>
      </c>
      <c r="M205" s="2" t="s">
        <v>2085</v>
      </c>
      <c r="N205" s="3" t="s">
        <v>525</v>
      </c>
      <c r="O205" s="2" t="s">
        <v>2086</v>
      </c>
      <c r="P205" s="3" t="s">
        <v>69</v>
      </c>
      <c r="Q205" s="2" t="s">
        <v>2087</v>
      </c>
      <c r="R205" s="3" t="s">
        <v>71</v>
      </c>
      <c r="S205" s="4">
        <v>4</v>
      </c>
      <c r="T205" s="4">
        <v>4</v>
      </c>
      <c r="U205" s="5" t="s">
        <v>2088</v>
      </c>
      <c r="V205" s="5" t="s">
        <v>2088</v>
      </c>
      <c r="W205" s="5" t="s">
        <v>72</v>
      </c>
      <c r="X205" s="5" t="s">
        <v>72</v>
      </c>
      <c r="Y205" s="4">
        <v>202</v>
      </c>
      <c r="Z205" s="4">
        <v>12</v>
      </c>
      <c r="AA205" s="4">
        <v>12</v>
      </c>
      <c r="AB205" s="4">
        <v>1</v>
      </c>
      <c r="AC205" s="4">
        <v>1</v>
      </c>
      <c r="AD205" s="4">
        <v>91</v>
      </c>
      <c r="AE205" s="4">
        <v>91</v>
      </c>
      <c r="AF205" s="4">
        <v>0</v>
      </c>
      <c r="AG205" s="4">
        <v>0</v>
      </c>
      <c r="AH205" s="4">
        <v>86</v>
      </c>
      <c r="AI205" s="4">
        <v>86</v>
      </c>
      <c r="AJ205" s="4">
        <v>8</v>
      </c>
      <c r="AK205" s="4">
        <v>8</v>
      </c>
      <c r="AL205" s="4">
        <v>53</v>
      </c>
      <c r="AM205" s="4">
        <v>53</v>
      </c>
      <c r="AN205" s="4">
        <v>0</v>
      </c>
      <c r="AO205" s="4">
        <v>0</v>
      </c>
      <c r="AP205" s="4">
        <v>9</v>
      </c>
      <c r="AQ205" s="4">
        <v>9</v>
      </c>
      <c r="AR205" s="3" t="s">
        <v>65</v>
      </c>
      <c r="AS205" s="3" t="s">
        <v>65</v>
      </c>
      <c r="AT205" s="3" t="s">
        <v>209</v>
      </c>
      <c r="AU205" s="6" t="str">
        <f>HYPERLINK("http://catalog.hathitrust.org/Record/004950534","HathiTrust Record")</f>
        <v>HathiTrust Record</v>
      </c>
      <c r="AV205" s="6" t="str">
        <f>HYPERLINK("http://mcgill.on.worldcat.org/oclc/57530014","Catalog Record")</f>
        <v>Catalog Record</v>
      </c>
      <c r="AW205" s="6" t="str">
        <f>HYPERLINK("http://www.worldcat.org/oclc/57530014","WorldCat Record")</f>
        <v>WorldCat Record</v>
      </c>
      <c r="AX205" s="3" t="s">
        <v>2089</v>
      </c>
      <c r="AY205" s="3" t="s">
        <v>2090</v>
      </c>
      <c r="AZ205" s="3" t="s">
        <v>2091</v>
      </c>
      <c r="BA205" s="3" t="s">
        <v>2091</v>
      </c>
      <c r="BB205" s="3" t="s">
        <v>2092</v>
      </c>
      <c r="BC205" s="3" t="s">
        <v>77</v>
      </c>
      <c r="BD205" s="3" t="s">
        <v>78</v>
      </c>
      <c r="BE205" s="3" t="s">
        <v>2093</v>
      </c>
      <c r="BF205" s="3" t="s">
        <v>2092</v>
      </c>
      <c r="BG205" s="3" t="s">
        <v>2094</v>
      </c>
    </row>
    <row r="206" spans="1:59" ht="58" x14ac:dyDescent="0.35">
      <c r="A206" s="2" t="s">
        <v>59</v>
      </c>
      <c r="B206" s="2" t="s">
        <v>60</v>
      </c>
      <c r="C206" s="2" t="s">
        <v>2095</v>
      </c>
      <c r="D206" s="2" t="s">
        <v>2096</v>
      </c>
      <c r="E206" s="2" t="s">
        <v>2097</v>
      </c>
      <c r="G206" s="3" t="s">
        <v>65</v>
      </c>
      <c r="I206" s="3" t="s">
        <v>65</v>
      </c>
      <c r="J206" s="3" t="s">
        <v>65</v>
      </c>
      <c r="K206" s="3" t="s">
        <v>66</v>
      </c>
      <c r="L206" s="2" t="s">
        <v>2098</v>
      </c>
      <c r="M206" s="2" t="s">
        <v>2099</v>
      </c>
      <c r="N206" s="3" t="s">
        <v>139</v>
      </c>
      <c r="P206" s="3" t="s">
        <v>140</v>
      </c>
      <c r="Q206" s="2" t="s">
        <v>565</v>
      </c>
      <c r="R206" s="3" t="s">
        <v>71</v>
      </c>
      <c r="S206" s="4">
        <v>0</v>
      </c>
      <c r="T206" s="4">
        <v>0</v>
      </c>
      <c r="W206" s="5" t="s">
        <v>72</v>
      </c>
      <c r="X206" s="5" t="s">
        <v>72</v>
      </c>
      <c r="Y206" s="4">
        <v>50</v>
      </c>
      <c r="Z206" s="4">
        <v>4</v>
      </c>
      <c r="AA206" s="4">
        <v>4</v>
      </c>
      <c r="AB206" s="4">
        <v>1</v>
      </c>
      <c r="AC206" s="4">
        <v>1</v>
      </c>
      <c r="AD206" s="4">
        <v>36</v>
      </c>
      <c r="AE206" s="4">
        <v>36</v>
      </c>
      <c r="AF206" s="4">
        <v>0</v>
      </c>
      <c r="AG206" s="4">
        <v>0</v>
      </c>
      <c r="AH206" s="4">
        <v>35</v>
      </c>
      <c r="AI206" s="4">
        <v>35</v>
      </c>
      <c r="AJ206" s="4">
        <v>2</v>
      </c>
      <c r="AK206" s="4">
        <v>2</v>
      </c>
      <c r="AL206" s="4">
        <v>28</v>
      </c>
      <c r="AM206" s="4">
        <v>28</v>
      </c>
      <c r="AN206" s="4">
        <v>0</v>
      </c>
      <c r="AO206" s="4">
        <v>0</v>
      </c>
      <c r="AP206" s="4">
        <v>2</v>
      </c>
      <c r="AQ206" s="4">
        <v>2</v>
      </c>
      <c r="AR206" s="3" t="s">
        <v>65</v>
      </c>
      <c r="AS206" s="3" t="s">
        <v>65</v>
      </c>
      <c r="AT206" s="3" t="s">
        <v>65</v>
      </c>
      <c r="AV206" s="6" t="str">
        <f>HYPERLINK("http://mcgill.on.worldcat.org/oclc/813005141","Catalog Record")</f>
        <v>Catalog Record</v>
      </c>
      <c r="AW206" s="6" t="str">
        <f>HYPERLINK("http://www.worldcat.org/oclc/813005141","WorldCat Record")</f>
        <v>WorldCat Record</v>
      </c>
      <c r="AX206" s="3" t="s">
        <v>2100</v>
      </c>
      <c r="AY206" s="3" t="s">
        <v>2101</v>
      </c>
      <c r="AZ206" s="3" t="s">
        <v>2102</v>
      </c>
      <c r="BA206" s="3" t="s">
        <v>2102</v>
      </c>
      <c r="BB206" s="3" t="s">
        <v>2103</v>
      </c>
      <c r="BC206" s="3" t="s">
        <v>77</v>
      </c>
      <c r="BD206" s="3" t="s">
        <v>78</v>
      </c>
      <c r="BE206" s="3" t="s">
        <v>2104</v>
      </c>
      <c r="BF206" s="3" t="s">
        <v>2103</v>
      </c>
      <c r="BG206" s="3" t="s">
        <v>2105</v>
      </c>
    </row>
    <row r="207" spans="1:59" ht="58" x14ac:dyDescent="0.35">
      <c r="A207" s="2" t="s">
        <v>59</v>
      </c>
      <c r="B207" s="2" t="s">
        <v>60</v>
      </c>
      <c r="C207" s="2" t="s">
        <v>2106</v>
      </c>
      <c r="D207" s="2" t="s">
        <v>2107</v>
      </c>
      <c r="E207" s="2" t="s">
        <v>2108</v>
      </c>
      <c r="G207" s="3" t="s">
        <v>65</v>
      </c>
      <c r="I207" s="3" t="s">
        <v>65</v>
      </c>
      <c r="J207" s="3" t="s">
        <v>65</v>
      </c>
      <c r="K207" s="3" t="s">
        <v>66</v>
      </c>
      <c r="L207" s="2" t="s">
        <v>2109</v>
      </c>
      <c r="M207" s="2" t="s">
        <v>2110</v>
      </c>
      <c r="N207" s="3" t="s">
        <v>126</v>
      </c>
      <c r="P207" s="3" t="s">
        <v>69</v>
      </c>
      <c r="R207" s="3" t="s">
        <v>71</v>
      </c>
      <c r="S207" s="4">
        <v>5</v>
      </c>
      <c r="T207" s="4">
        <v>5</v>
      </c>
      <c r="U207" s="5" t="s">
        <v>2000</v>
      </c>
      <c r="V207" s="5" t="s">
        <v>2000</v>
      </c>
      <c r="W207" s="5" t="s">
        <v>72</v>
      </c>
      <c r="X207" s="5" t="s">
        <v>72</v>
      </c>
      <c r="Y207" s="4">
        <v>229</v>
      </c>
      <c r="Z207" s="4">
        <v>21</v>
      </c>
      <c r="AA207" s="4">
        <v>102</v>
      </c>
      <c r="AB207" s="4">
        <v>2</v>
      </c>
      <c r="AC207" s="4">
        <v>17</v>
      </c>
      <c r="AD207" s="4">
        <v>94</v>
      </c>
      <c r="AE207" s="4">
        <v>137</v>
      </c>
      <c r="AF207" s="4">
        <v>1</v>
      </c>
      <c r="AG207" s="4">
        <v>8</v>
      </c>
      <c r="AH207" s="4">
        <v>83</v>
      </c>
      <c r="AI207" s="4">
        <v>101</v>
      </c>
      <c r="AJ207" s="4">
        <v>16</v>
      </c>
      <c r="AK207" s="4">
        <v>22</v>
      </c>
      <c r="AL207" s="4">
        <v>52</v>
      </c>
      <c r="AM207" s="4">
        <v>56</v>
      </c>
      <c r="AN207" s="4">
        <v>0</v>
      </c>
      <c r="AO207" s="4">
        <v>0</v>
      </c>
      <c r="AP207" s="4">
        <v>18</v>
      </c>
      <c r="AQ207" s="4">
        <v>44</v>
      </c>
      <c r="AR207" s="3" t="s">
        <v>65</v>
      </c>
      <c r="AS207" s="3" t="s">
        <v>65</v>
      </c>
      <c r="AT207" s="3" t="s">
        <v>65</v>
      </c>
      <c r="AV207" s="6" t="str">
        <f>HYPERLINK("http://mcgill.on.worldcat.org/oclc/688559457","Catalog Record")</f>
        <v>Catalog Record</v>
      </c>
      <c r="AW207" s="6" t="str">
        <f>HYPERLINK("http://www.worldcat.org/oclc/688559457","WorldCat Record")</f>
        <v>WorldCat Record</v>
      </c>
      <c r="AX207" s="3" t="s">
        <v>2111</v>
      </c>
      <c r="AY207" s="3" t="s">
        <v>2112</v>
      </c>
      <c r="AZ207" s="3" t="s">
        <v>2113</v>
      </c>
      <c r="BA207" s="3" t="s">
        <v>2113</v>
      </c>
      <c r="BB207" s="3" t="s">
        <v>2114</v>
      </c>
      <c r="BC207" s="3" t="s">
        <v>77</v>
      </c>
      <c r="BD207" s="3" t="s">
        <v>106</v>
      </c>
      <c r="BE207" s="3" t="s">
        <v>2115</v>
      </c>
      <c r="BF207" s="3" t="s">
        <v>2114</v>
      </c>
      <c r="BG207" s="3" t="s">
        <v>2116</v>
      </c>
    </row>
    <row r="208" spans="1:59" ht="58" x14ac:dyDescent="0.35">
      <c r="A208" s="2" t="s">
        <v>59</v>
      </c>
      <c r="B208" s="2" t="s">
        <v>60</v>
      </c>
      <c r="C208" s="2" t="s">
        <v>2117</v>
      </c>
      <c r="D208" s="2" t="s">
        <v>2118</v>
      </c>
      <c r="E208" s="2" t="s">
        <v>2119</v>
      </c>
      <c r="G208" s="3" t="s">
        <v>65</v>
      </c>
      <c r="I208" s="3" t="s">
        <v>65</v>
      </c>
      <c r="J208" s="3" t="s">
        <v>65</v>
      </c>
      <c r="K208" s="3" t="s">
        <v>66</v>
      </c>
      <c r="L208" s="2" t="s">
        <v>2109</v>
      </c>
      <c r="M208" s="2" t="s">
        <v>2120</v>
      </c>
      <c r="N208" s="3" t="s">
        <v>479</v>
      </c>
      <c r="P208" s="3" t="s">
        <v>69</v>
      </c>
      <c r="R208" s="3" t="s">
        <v>71</v>
      </c>
      <c r="S208" s="4">
        <v>9</v>
      </c>
      <c r="T208" s="4">
        <v>9</v>
      </c>
      <c r="U208" s="5" t="s">
        <v>2121</v>
      </c>
      <c r="V208" s="5" t="s">
        <v>2121</v>
      </c>
      <c r="W208" s="5" t="s">
        <v>72</v>
      </c>
      <c r="X208" s="5" t="s">
        <v>72</v>
      </c>
      <c r="Y208" s="4">
        <v>413</v>
      </c>
      <c r="Z208" s="4">
        <v>26</v>
      </c>
      <c r="AA208" s="4">
        <v>98</v>
      </c>
      <c r="AB208" s="4">
        <v>3</v>
      </c>
      <c r="AC208" s="4">
        <v>16</v>
      </c>
      <c r="AD208" s="4">
        <v>112</v>
      </c>
      <c r="AE208" s="4">
        <v>152</v>
      </c>
      <c r="AF208" s="4">
        <v>2</v>
      </c>
      <c r="AG208" s="4">
        <v>8</v>
      </c>
      <c r="AH208" s="4">
        <v>98</v>
      </c>
      <c r="AI208" s="4">
        <v>111</v>
      </c>
      <c r="AJ208" s="4">
        <v>14</v>
      </c>
      <c r="AK208" s="4">
        <v>23</v>
      </c>
      <c r="AL208" s="4">
        <v>55</v>
      </c>
      <c r="AM208" s="4">
        <v>59</v>
      </c>
      <c r="AN208" s="4">
        <v>0</v>
      </c>
      <c r="AO208" s="4">
        <v>0</v>
      </c>
      <c r="AP208" s="4">
        <v>21</v>
      </c>
      <c r="AQ208" s="4">
        <v>49</v>
      </c>
      <c r="AR208" s="3" t="s">
        <v>65</v>
      </c>
      <c r="AS208" s="3" t="s">
        <v>65</v>
      </c>
      <c r="AT208" s="3" t="s">
        <v>65</v>
      </c>
      <c r="AV208" s="6" t="str">
        <f>HYPERLINK("http://mcgill.on.worldcat.org/oclc/167518437","Catalog Record")</f>
        <v>Catalog Record</v>
      </c>
      <c r="AW208" s="6" t="str">
        <f>HYPERLINK("http://www.worldcat.org/oclc/167518437","WorldCat Record")</f>
        <v>WorldCat Record</v>
      </c>
      <c r="AX208" s="3" t="s">
        <v>2122</v>
      </c>
      <c r="AY208" s="3" t="s">
        <v>2123</v>
      </c>
      <c r="AZ208" s="3" t="s">
        <v>2124</v>
      </c>
      <c r="BA208" s="3" t="s">
        <v>2124</v>
      </c>
      <c r="BB208" s="3" t="s">
        <v>2125</v>
      </c>
      <c r="BC208" s="3" t="s">
        <v>77</v>
      </c>
      <c r="BD208" s="3" t="s">
        <v>78</v>
      </c>
      <c r="BE208" s="3" t="s">
        <v>2126</v>
      </c>
      <c r="BF208" s="3" t="s">
        <v>2125</v>
      </c>
      <c r="BG208" s="3" t="s">
        <v>2127</v>
      </c>
    </row>
    <row r="209" spans="1:59" ht="58" x14ac:dyDescent="0.35">
      <c r="A209" s="2" t="s">
        <v>59</v>
      </c>
      <c r="B209" s="2" t="s">
        <v>60</v>
      </c>
      <c r="C209" s="2" t="s">
        <v>2128</v>
      </c>
      <c r="D209" s="2" t="s">
        <v>2129</v>
      </c>
      <c r="E209" s="2" t="s">
        <v>2130</v>
      </c>
      <c r="G209" s="3" t="s">
        <v>65</v>
      </c>
      <c r="I209" s="3" t="s">
        <v>65</v>
      </c>
      <c r="J209" s="3" t="s">
        <v>65</v>
      </c>
      <c r="K209" s="3" t="s">
        <v>66</v>
      </c>
      <c r="L209" s="2" t="s">
        <v>2131</v>
      </c>
      <c r="M209" s="2" t="s">
        <v>2132</v>
      </c>
      <c r="N209" s="3" t="s">
        <v>86</v>
      </c>
      <c r="P209" s="3" t="s">
        <v>69</v>
      </c>
      <c r="Q209" s="2" t="s">
        <v>2133</v>
      </c>
      <c r="R209" s="3" t="s">
        <v>71</v>
      </c>
      <c r="S209" s="4">
        <v>0</v>
      </c>
      <c r="T209" s="4">
        <v>0</v>
      </c>
      <c r="W209" s="5" t="s">
        <v>72</v>
      </c>
      <c r="X209" s="5" t="s">
        <v>72</v>
      </c>
      <c r="Y209" s="4">
        <v>117</v>
      </c>
      <c r="Z209" s="4">
        <v>12</v>
      </c>
      <c r="AA209" s="4">
        <v>15</v>
      </c>
      <c r="AB209" s="4">
        <v>1</v>
      </c>
      <c r="AC209" s="4">
        <v>3</v>
      </c>
      <c r="AD209" s="4">
        <v>66</v>
      </c>
      <c r="AE209" s="4">
        <v>69</v>
      </c>
      <c r="AF209" s="4">
        <v>0</v>
      </c>
      <c r="AG209" s="4">
        <v>0</v>
      </c>
      <c r="AH209" s="4">
        <v>61</v>
      </c>
      <c r="AI209" s="4">
        <v>64</v>
      </c>
      <c r="AJ209" s="4">
        <v>8</v>
      </c>
      <c r="AK209" s="4">
        <v>9</v>
      </c>
      <c r="AL209" s="4">
        <v>41</v>
      </c>
      <c r="AM209" s="4">
        <v>42</v>
      </c>
      <c r="AN209" s="4">
        <v>0</v>
      </c>
      <c r="AO209" s="4">
        <v>0</v>
      </c>
      <c r="AP209" s="4">
        <v>10</v>
      </c>
      <c r="AQ209" s="4">
        <v>11</v>
      </c>
      <c r="AR209" s="3" t="s">
        <v>65</v>
      </c>
      <c r="AS209" s="3" t="s">
        <v>65</v>
      </c>
      <c r="AT209" s="3" t="s">
        <v>65</v>
      </c>
      <c r="AV209" s="6" t="str">
        <f>HYPERLINK("http://mcgill.on.worldcat.org/oclc/1002681128","Catalog Record")</f>
        <v>Catalog Record</v>
      </c>
      <c r="AW209" s="6" t="str">
        <f>HYPERLINK("http://www.worldcat.org/oclc/1002681128","WorldCat Record")</f>
        <v>WorldCat Record</v>
      </c>
      <c r="AX209" s="3" t="s">
        <v>2134</v>
      </c>
      <c r="AY209" s="3" t="s">
        <v>2135</v>
      </c>
      <c r="AZ209" s="3" t="s">
        <v>2136</v>
      </c>
      <c r="BA209" s="3" t="s">
        <v>2136</v>
      </c>
      <c r="BB209" s="3" t="s">
        <v>2137</v>
      </c>
      <c r="BC209" s="3" t="s">
        <v>77</v>
      </c>
      <c r="BD209" s="3" t="s">
        <v>78</v>
      </c>
      <c r="BE209" s="3" t="s">
        <v>2138</v>
      </c>
      <c r="BF209" s="3" t="s">
        <v>2137</v>
      </c>
      <c r="BG209" s="3" t="s">
        <v>2139</v>
      </c>
    </row>
    <row r="210" spans="1:59" ht="58" x14ac:dyDescent="0.35">
      <c r="A210" s="2" t="s">
        <v>59</v>
      </c>
      <c r="B210" s="2" t="s">
        <v>60</v>
      </c>
      <c r="C210" s="2" t="s">
        <v>2140</v>
      </c>
      <c r="D210" s="2" t="s">
        <v>2141</v>
      </c>
      <c r="E210" s="2" t="s">
        <v>2142</v>
      </c>
      <c r="G210" s="3" t="s">
        <v>65</v>
      </c>
      <c r="I210" s="3" t="s">
        <v>65</v>
      </c>
      <c r="J210" s="3" t="s">
        <v>65</v>
      </c>
      <c r="K210" s="3" t="s">
        <v>66</v>
      </c>
      <c r="M210" s="2" t="s">
        <v>2143</v>
      </c>
      <c r="N210" s="3" t="s">
        <v>552</v>
      </c>
      <c r="P210" s="3" t="s">
        <v>69</v>
      </c>
      <c r="R210" s="3" t="s">
        <v>71</v>
      </c>
      <c r="S210" s="4">
        <v>2</v>
      </c>
      <c r="T210" s="4">
        <v>2</v>
      </c>
      <c r="U210" s="5" t="s">
        <v>1978</v>
      </c>
      <c r="V210" s="5" t="s">
        <v>1978</v>
      </c>
      <c r="W210" s="5" t="s">
        <v>72</v>
      </c>
      <c r="X210" s="5" t="s">
        <v>72</v>
      </c>
      <c r="Y210" s="4">
        <v>274</v>
      </c>
      <c r="Z210" s="4">
        <v>22</v>
      </c>
      <c r="AA210" s="4">
        <v>103</v>
      </c>
      <c r="AB210" s="4">
        <v>4</v>
      </c>
      <c r="AC210" s="4">
        <v>17</v>
      </c>
      <c r="AD210" s="4">
        <v>104</v>
      </c>
      <c r="AE210" s="4">
        <v>143</v>
      </c>
      <c r="AF210" s="4">
        <v>2</v>
      </c>
      <c r="AG210" s="4">
        <v>8</v>
      </c>
      <c r="AH210" s="4">
        <v>95</v>
      </c>
      <c r="AI210" s="4">
        <v>106</v>
      </c>
      <c r="AJ210" s="4">
        <v>15</v>
      </c>
      <c r="AK210" s="4">
        <v>26</v>
      </c>
      <c r="AL210" s="4">
        <v>53</v>
      </c>
      <c r="AM210" s="4">
        <v>55</v>
      </c>
      <c r="AN210" s="4">
        <v>0</v>
      </c>
      <c r="AO210" s="4">
        <v>0</v>
      </c>
      <c r="AP210" s="4">
        <v>17</v>
      </c>
      <c r="AQ210" s="4">
        <v>48</v>
      </c>
      <c r="AR210" s="3" t="s">
        <v>65</v>
      </c>
      <c r="AS210" s="3" t="s">
        <v>65</v>
      </c>
      <c r="AT210" s="3" t="s">
        <v>209</v>
      </c>
      <c r="AU210" s="6" t="str">
        <f>HYPERLINK("http://catalog.hathitrust.org/Record/003193928","HathiTrust Record")</f>
        <v>HathiTrust Record</v>
      </c>
      <c r="AV210" s="6" t="str">
        <f>HYPERLINK("http://mcgill.on.worldcat.org/oclc/35558956","Catalog Record")</f>
        <v>Catalog Record</v>
      </c>
      <c r="AW210" s="6" t="str">
        <f>HYPERLINK("http://www.worldcat.org/oclc/35558956","WorldCat Record")</f>
        <v>WorldCat Record</v>
      </c>
      <c r="AX210" s="3" t="s">
        <v>2144</v>
      </c>
      <c r="AY210" s="3" t="s">
        <v>2145</v>
      </c>
      <c r="AZ210" s="3" t="s">
        <v>2146</v>
      </c>
      <c r="BA210" s="3" t="s">
        <v>2146</v>
      </c>
      <c r="BB210" s="3" t="s">
        <v>2147</v>
      </c>
      <c r="BC210" s="3" t="s">
        <v>77</v>
      </c>
      <c r="BD210" s="3" t="s">
        <v>78</v>
      </c>
      <c r="BE210" s="3" t="s">
        <v>2148</v>
      </c>
      <c r="BF210" s="3" t="s">
        <v>2147</v>
      </c>
      <c r="BG210" s="3" t="s">
        <v>2149</v>
      </c>
    </row>
    <row r="211" spans="1:59" ht="58" x14ac:dyDescent="0.35">
      <c r="A211" s="2" t="s">
        <v>59</v>
      </c>
      <c r="B211" s="2" t="s">
        <v>60</v>
      </c>
      <c r="C211" s="2" t="s">
        <v>2150</v>
      </c>
      <c r="D211" s="2" t="s">
        <v>2151</v>
      </c>
      <c r="E211" s="2" t="s">
        <v>2152</v>
      </c>
      <c r="G211" s="3" t="s">
        <v>65</v>
      </c>
      <c r="I211" s="3" t="s">
        <v>65</v>
      </c>
      <c r="J211" s="3" t="s">
        <v>65</v>
      </c>
      <c r="K211" s="3" t="s">
        <v>66</v>
      </c>
      <c r="L211" s="2" t="s">
        <v>2153</v>
      </c>
      <c r="M211" s="2" t="s">
        <v>2154</v>
      </c>
      <c r="N211" s="3" t="s">
        <v>188</v>
      </c>
      <c r="P211" s="3" t="s">
        <v>140</v>
      </c>
      <c r="R211" s="3" t="s">
        <v>71</v>
      </c>
      <c r="S211" s="4">
        <v>0</v>
      </c>
      <c r="T211" s="4">
        <v>0</v>
      </c>
      <c r="W211" s="5" t="s">
        <v>72</v>
      </c>
      <c r="X211" s="5" t="s">
        <v>72</v>
      </c>
      <c r="Y211" s="4">
        <v>12</v>
      </c>
      <c r="Z211" s="4">
        <v>1</v>
      </c>
      <c r="AA211" s="4">
        <v>1</v>
      </c>
      <c r="AB211" s="4">
        <v>1</v>
      </c>
      <c r="AC211" s="4">
        <v>1</v>
      </c>
      <c r="AD211" s="4">
        <v>8</v>
      </c>
      <c r="AE211" s="4">
        <v>8</v>
      </c>
      <c r="AF211" s="4">
        <v>0</v>
      </c>
      <c r="AG211" s="4">
        <v>0</v>
      </c>
      <c r="AH211" s="4">
        <v>8</v>
      </c>
      <c r="AI211" s="4">
        <v>8</v>
      </c>
      <c r="AJ211" s="4">
        <v>0</v>
      </c>
      <c r="AK211" s="4">
        <v>0</v>
      </c>
      <c r="AL211" s="4">
        <v>6</v>
      </c>
      <c r="AM211" s="4">
        <v>6</v>
      </c>
      <c r="AN211" s="4">
        <v>0</v>
      </c>
      <c r="AO211" s="4">
        <v>0</v>
      </c>
      <c r="AP211" s="4">
        <v>0</v>
      </c>
      <c r="AQ211" s="4">
        <v>0</v>
      </c>
      <c r="AR211" s="3" t="s">
        <v>65</v>
      </c>
      <c r="AS211" s="3" t="s">
        <v>65</v>
      </c>
      <c r="AT211" s="3" t="s">
        <v>65</v>
      </c>
      <c r="AV211" s="6" t="str">
        <f>HYPERLINK("http://mcgill.on.worldcat.org/oclc/983210222","Catalog Record")</f>
        <v>Catalog Record</v>
      </c>
      <c r="AW211" s="6" t="str">
        <f>HYPERLINK("http://www.worldcat.org/oclc/983210222","WorldCat Record")</f>
        <v>WorldCat Record</v>
      </c>
      <c r="AX211" s="3" t="s">
        <v>2155</v>
      </c>
      <c r="AY211" s="3" t="s">
        <v>2156</v>
      </c>
      <c r="AZ211" s="3" t="s">
        <v>2157</v>
      </c>
      <c r="BA211" s="3" t="s">
        <v>2157</v>
      </c>
      <c r="BB211" s="3" t="s">
        <v>2158</v>
      </c>
      <c r="BC211" s="3" t="s">
        <v>77</v>
      </c>
      <c r="BD211" s="3" t="s">
        <v>78</v>
      </c>
      <c r="BE211" s="3" t="s">
        <v>2159</v>
      </c>
      <c r="BF211" s="3" t="s">
        <v>2158</v>
      </c>
      <c r="BG211" s="3" t="s">
        <v>2160</v>
      </c>
    </row>
    <row r="212" spans="1:59" ht="58" x14ac:dyDescent="0.35">
      <c r="A212" s="2" t="s">
        <v>59</v>
      </c>
      <c r="B212" s="2" t="s">
        <v>60</v>
      </c>
      <c r="C212" s="2" t="s">
        <v>2161</v>
      </c>
      <c r="D212" s="2" t="s">
        <v>2162</v>
      </c>
      <c r="E212" s="2" t="s">
        <v>2163</v>
      </c>
      <c r="G212" s="3" t="s">
        <v>65</v>
      </c>
      <c r="I212" s="3" t="s">
        <v>65</v>
      </c>
      <c r="J212" s="3" t="s">
        <v>65</v>
      </c>
      <c r="K212" s="3" t="s">
        <v>66</v>
      </c>
      <c r="L212" s="2" t="s">
        <v>2164</v>
      </c>
      <c r="M212" s="2" t="s">
        <v>2165</v>
      </c>
      <c r="N212" s="3" t="s">
        <v>68</v>
      </c>
      <c r="O212" s="2" t="s">
        <v>379</v>
      </c>
      <c r="P212" s="3" t="s">
        <v>140</v>
      </c>
      <c r="Q212" s="2" t="s">
        <v>2166</v>
      </c>
      <c r="R212" s="3" t="s">
        <v>71</v>
      </c>
      <c r="S212" s="4">
        <v>0</v>
      </c>
      <c r="T212" s="4">
        <v>0</v>
      </c>
      <c r="W212" s="5" t="s">
        <v>72</v>
      </c>
      <c r="X212" s="5" t="s">
        <v>72</v>
      </c>
      <c r="Y212" s="4">
        <v>17</v>
      </c>
      <c r="Z212" s="4">
        <v>1</v>
      </c>
      <c r="AA212" s="4">
        <v>1</v>
      </c>
      <c r="AB212" s="4">
        <v>1</v>
      </c>
      <c r="AC212" s="4">
        <v>1</v>
      </c>
      <c r="AD212" s="4">
        <v>11</v>
      </c>
      <c r="AE212" s="4">
        <v>11</v>
      </c>
      <c r="AF212" s="4">
        <v>0</v>
      </c>
      <c r="AG212" s="4">
        <v>0</v>
      </c>
      <c r="AH212" s="4">
        <v>10</v>
      </c>
      <c r="AI212" s="4">
        <v>10</v>
      </c>
      <c r="AJ212" s="4">
        <v>0</v>
      </c>
      <c r="AK212" s="4">
        <v>0</v>
      </c>
      <c r="AL212" s="4">
        <v>10</v>
      </c>
      <c r="AM212" s="4">
        <v>10</v>
      </c>
      <c r="AN212" s="4">
        <v>0</v>
      </c>
      <c r="AO212" s="4">
        <v>0</v>
      </c>
      <c r="AP212" s="4">
        <v>0</v>
      </c>
      <c r="AQ212" s="4">
        <v>0</v>
      </c>
      <c r="AR212" s="3" t="s">
        <v>65</v>
      </c>
      <c r="AS212" s="3" t="s">
        <v>65</v>
      </c>
      <c r="AT212" s="3" t="s">
        <v>65</v>
      </c>
      <c r="AV212" s="6" t="str">
        <f>HYPERLINK("http://mcgill.on.worldcat.org/oclc/927413775","Catalog Record")</f>
        <v>Catalog Record</v>
      </c>
      <c r="AW212" s="6" t="str">
        <f>HYPERLINK("http://www.worldcat.org/oclc/927413775","WorldCat Record")</f>
        <v>WorldCat Record</v>
      </c>
      <c r="AX212" s="3" t="s">
        <v>2167</v>
      </c>
      <c r="AY212" s="3" t="s">
        <v>2168</v>
      </c>
      <c r="AZ212" s="3" t="s">
        <v>2169</v>
      </c>
      <c r="BA212" s="3" t="s">
        <v>2169</v>
      </c>
      <c r="BB212" s="3" t="s">
        <v>2170</v>
      </c>
      <c r="BC212" s="3" t="s">
        <v>77</v>
      </c>
      <c r="BD212" s="3" t="s">
        <v>78</v>
      </c>
      <c r="BE212" s="3" t="s">
        <v>2171</v>
      </c>
      <c r="BF212" s="3" t="s">
        <v>2170</v>
      </c>
      <c r="BG212" s="3" t="s">
        <v>2172</v>
      </c>
    </row>
    <row r="213" spans="1:59" ht="58" x14ac:dyDescent="0.35">
      <c r="A213" s="2" t="s">
        <v>59</v>
      </c>
      <c r="B213" s="2" t="s">
        <v>60</v>
      </c>
      <c r="C213" s="2" t="s">
        <v>2173</v>
      </c>
      <c r="D213" s="2" t="s">
        <v>2174</v>
      </c>
      <c r="E213" s="2" t="s">
        <v>2175</v>
      </c>
      <c r="G213" s="3" t="s">
        <v>65</v>
      </c>
      <c r="I213" s="3" t="s">
        <v>65</v>
      </c>
      <c r="J213" s="3" t="s">
        <v>65</v>
      </c>
      <c r="K213" s="3" t="s">
        <v>66</v>
      </c>
      <c r="M213" s="2" t="s">
        <v>2176</v>
      </c>
      <c r="N213" s="3" t="s">
        <v>126</v>
      </c>
      <c r="P213" s="3" t="s">
        <v>69</v>
      </c>
      <c r="R213" s="3" t="s">
        <v>71</v>
      </c>
      <c r="S213" s="4">
        <v>0</v>
      </c>
      <c r="T213" s="4">
        <v>0</v>
      </c>
      <c r="W213" s="5" t="s">
        <v>72</v>
      </c>
      <c r="X213" s="5" t="s">
        <v>72</v>
      </c>
      <c r="Y213" s="4">
        <v>72</v>
      </c>
      <c r="Z213" s="4">
        <v>12</v>
      </c>
      <c r="AA213" s="4">
        <v>78</v>
      </c>
      <c r="AB213" s="4">
        <v>1</v>
      </c>
      <c r="AC213" s="4">
        <v>14</v>
      </c>
      <c r="AD213" s="4">
        <v>46</v>
      </c>
      <c r="AE213" s="4">
        <v>103</v>
      </c>
      <c r="AF213" s="4">
        <v>0</v>
      </c>
      <c r="AG213" s="4">
        <v>8</v>
      </c>
      <c r="AH213" s="4">
        <v>43</v>
      </c>
      <c r="AI213" s="4">
        <v>70</v>
      </c>
      <c r="AJ213" s="4">
        <v>9</v>
      </c>
      <c r="AK213" s="4">
        <v>20</v>
      </c>
      <c r="AL213" s="4">
        <v>25</v>
      </c>
      <c r="AM213" s="4">
        <v>36</v>
      </c>
      <c r="AN213" s="4">
        <v>0</v>
      </c>
      <c r="AO213" s="4">
        <v>0</v>
      </c>
      <c r="AP213" s="4">
        <v>10</v>
      </c>
      <c r="AQ213" s="4">
        <v>41</v>
      </c>
      <c r="AR213" s="3" t="s">
        <v>65</v>
      </c>
      <c r="AS213" s="3" t="s">
        <v>65</v>
      </c>
      <c r="AT213" s="3" t="s">
        <v>65</v>
      </c>
      <c r="AV213" s="6" t="str">
        <f>HYPERLINK("http://mcgill.on.worldcat.org/oclc/697774481","Catalog Record")</f>
        <v>Catalog Record</v>
      </c>
      <c r="AW213" s="6" t="str">
        <f>HYPERLINK("http://www.worldcat.org/oclc/697774481","WorldCat Record")</f>
        <v>WorldCat Record</v>
      </c>
      <c r="AX213" s="3" t="s">
        <v>2177</v>
      </c>
      <c r="AY213" s="3" t="s">
        <v>2178</v>
      </c>
      <c r="AZ213" s="3" t="s">
        <v>2179</v>
      </c>
      <c r="BA213" s="3" t="s">
        <v>2179</v>
      </c>
      <c r="BB213" s="3" t="s">
        <v>2180</v>
      </c>
      <c r="BC213" s="3" t="s">
        <v>77</v>
      </c>
      <c r="BD213" s="3" t="s">
        <v>78</v>
      </c>
      <c r="BE213" s="3" t="s">
        <v>2181</v>
      </c>
      <c r="BF213" s="3" t="s">
        <v>2180</v>
      </c>
      <c r="BG213" s="3" t="s">
        <v>2182</v>
      </c>
    </row>
    <row r="214" spans="1:59" ht="58" x14ac:dyDescent="0.35">
      <c r="A214" s="2" t="s">
        <v>59</v>
      </c>
      <c r="B214" s="2" t="s">
        <v>60</v>
      </c>
      <c r="C214" s="2" t="s">
        <v>2183</v>
      </c>
      <c r="D214" s="2" t="s">
        <v>2184</v>
      </c>
      <c r="E214" s="2" t="s">
        <v>2185</v>
      </c>
      <c r="G214" s="3" t="s">
        <v>65</v>
      </c>
      <c r="I214" s="3" t="s">
        <v>65</v>
      </c>
      <c r="J214" s="3" t="s">
        <v>65</v>
      </c>
      <c r="K214" s="3" t="s">
        <v>66</v>
      </c>
      <c r="M214" s="2" t="s">
        <v>2186</v>
      </c>
      <c r="N214" s="3" t="s">
        <v>1932</v>
      </c>
      <c r="P214" s="3" t="s">
        <v>69</v>
      </c>
      <c r="R214" s="3" t="s">
        <v>71</v>
      </c>
      <c r="S214" s="4">
        <v>3</v>
      </c>
      <c r="T214" s="4">
        <v>3</v>
      </c>
      <c r="U214" s="5" t="s">
        <v>2187</v>
      </c>
      <c r="V214" s="5" t="s">
        <v>2187</v>
      </c>
      <c r="W214" s="5" t="s">
        <v>72</v>
      </c>
      <c r="X214" s="5" t="s">
        <v>72</v>
      </c>
      <c r="Y214" s="4">
        <v>307</v>
      </c>
      <c r="Z214" s="4">
        <v>20</v>
      </c>
      <c r="AA214" s="4">
        <v>21</v>
      </c>
      <c r="AB214" s="4">
        <v>3</v>
      </c>
      <c r="AC214" s="4">
        <v>4</v>
      </c>
      <c r="AD214" s="4">
        <v>106</v>
      </c>
      <c r="AE214" s="4">
        <v>107</v>
      </c>
      <c r="AF214" s="4">
        <v>2</v>
      </c>
      <c r="AG214" s="4">
        <v>3</v>
      </c>
      <c r="AH214" s="4">
        <v>96</v>
      </c>
      <c r="AI214" s="4">
        <v>96</v>
      </c>
      <c r="AJ214" s="4">
        <v>14</v>
      </c>
      <c r="AK214" s="4">
        <v>15</v>
      </c>
      <c r="AL214" s="4">
        <v>55</v>
      </c>
      <c r="AM214" s="4">
        <v>55</v>
      </c>
      <c r="AN214" s="4">
        <v>0</v>
      </c>
      <c r="AO214" s="4">
        <v>0</v>
      </c>
      <c r="AP214" s="4">
        <v>15</v>
      </c>
      <c r="AQ214" s="4">
        <v>15</v>
      </c>
      <c r="AR214" s="3" t="s">
        <v>65</v>
      </c>
      <c r="AS214" s="3" t="s">
        <v>65</v>
      </c>
      <c r="AT214" s="3" t="s">
        <v>65</v>
      </c>
      <c r="AV214" s="6" t="str">
        <f>HYPERLINK("http://mcgill.on.worldcat.org/oclc/29598655","Catalog Record")</f>
        <v>Catalog Record</v>
      </c>
      <c r="AW214" s="6" t="str">
        <f>HYPERLINK("http://www.worldcat.org/oclc/29598655","WorldCat Record")</f>
        <v>WorldCat Record</v>
      </c>
      <c r="AX214" s="3" t="s">
        <v>2188</v>
      </c>
      <c r="AY214" s="3" t="s">
        <v>2189</v>
      </c>
      <c r="AZ214" s="3" t="s">
        <v>2190</v>
      </c>
      <c r="BA214" s="3" t="s">
        <v>2190</v>
      </c>
      <c r="BB214" s="3" t="s">
        <v>2191</v>
      </c>
      <c r="BC214" s="3" t="s">
        <v>77</v>
      </c>
      <c r="BD214" s="3" t="s">
        <v>78</v>
      </c>
      <c r="BE214" s="3" t="s">
        <v>2192</v>
      </c>
      <c r="BF214" s="3" t="s">
        <v>2191</v>
      </c>
      <c r="BG214" s="3" t="s">
        <v>2193</v>
      </c>
    </row>
    <row r="215" spans="1:59" ht="58" x14ac:dyDescent="0.35">
      <c r="A215" s="2" t="s">
        <v>59</v>
      </c>
      <c r="B215" s="2" t="s">
        <v>60</v>
      </c>
      <c r="C215" s="2" t="s">
        <v>2194</v>
      </c>
      <c r="D215" s="2" t="s">
        <v>2195</v>
      </c>
      <c r="E215" s="2" t="s">
        <v>2196</v>
      </c>
      <c r="G215" s="3" t="s">
        <v>65</v>
      </c>
      <c r="I215" s="3" t="s">
        <v>65</v>
      </c>
      <c r="J215" s="3" t="s">
        <v>65</v>
      </c>
      <c r="K215" s="3" t="s">
        <v>66</v>
      </c>
      <c r="M215" s="2" t="s">
        <v>2197</v>
      </c>
      <c r="N215" s="3" t="s">
        <v>1085</v>
      </c>
      <c r="P215" s="3" t="s">
        <v>69</v>
      </c>
      <c r="R215" s="3" t="s">
        <v>71</v>
      </c>
      <c r="S215" s="4">
        <v>50</v>
      </c>
      <c r="T215" s="4">
        <v>50</v>
      </c>
      <c r="U215" s="5" t="s">
        <v>1335</v>
      </c>
      <c r="V215" s="5" t="s">
        <v>1335</v>
      </c>
      <c r="W215" s="5" t="s">
        <v>72</v>
      </c>
      <c r="X215" s="5" t="s">
        <v>72</v>
      </c>
      <c r="Y215" s="4">
        <v>415</v>
      </c>
      <c r="Z215" s="4">
        <v>28</v>
      </c>
      <c r="AA215" s="4">
        <v>28</v>
      </c>
      <c r="AB215" s="4">
        <v>2</v>
      </c>
      <c r="AC215" s="4">
        <v>2</v>
      </c>
      <c r="AD215" s="4">
        <v>113</v>
      </c>
      <c r="AE215" s="4">
        <v>113</v>
      </c>
      <c r="AF215" s="4">
        <v>1</v>
      </c>
      <c r="AG215" s="4">
        <v>1</v>
      </c>
      <c r="AH215" s="4">
        <v>102</v>
      </c>
      <c r="AI215" s="4">
        <v>102</v>
      </c>
      <c r="AJ215" s="4">
        <v>17</v>
      </c>
      <c r="AK215" s="4">
        <v>17</v>
      </c>
      <c r="AL215" s="4">
        <v>55</v>
      </c>
      <c r="AM215" s="4">
        <v>55</v>
      </c>
      <c r="AN215" s="4">
        <v>0</v>
      </c>
      <c r="AO215" s="4">
        <v>0</v>
      </c>
      <c r="AP215" s="4">
        <v>20</v>
      </c>
      <c r="AQ215" s="4">
        <v>20</v>
      </c>
      <c r="AR215" s="3" t="s">
        <v>65</v>
      </c>
      <c r="AS215" s="3" t="s">
        <v>65</v>
      </c>
      <c r="AT215" s="3" t="s">
        <v>209</v>
      </c>
      <c r="AU215" s="6" t="str">
        <f>HYPERLINK("http://catalog.hathitrust.org/Record/003100577","HathiTrust Record")</f>
        <v>HathiTrust Record</v>
      </c>
      <c r="AV215" s="6" t="str">
        <f>HYPERLINK("http://mcgill.on.worldcat.org/oclc/32311666","Catalog Record")</f>
        <v>Catalog Record</v>
      </c>
      <c r="AW215" s="6" t="str">
        <f>HYPERLINK("http://www.worldcat.org/oclc/32311666","WorldCat Record")</f>
        <v>WorldCat Record</v>
      </c>
      <c r="AX215" s="3" t="s">
        <v>2198</v>
      </c>
      <c r="AY215" s="3" t="s">
        <v>2199</v>
      </c>
      <c r="AZ215" s="3" t="s">
        <v>2200</v>
      </c>
      <c r="BA215" s="3" t="s">
        <v>2200</v>
      </c>
      <c r="BB215" s="3" t="s">
        <v>2201</v>
      </c>
      <c r="BC215" s="3" t="s">
        <v>77</v>
      </c>
      <c r="BD215" s="3" t="s">
        <v>78</v>
      </c>
      <c r="BE215" s="3" t="s">
        <v>2202</v>
      </c>
      <c r="BF215" s="3" t="s">
        <v>2201</v>
      </c>
      <c r="BG215" s="3" t="s">
        <v>2203</v>
      </c>
    </row>
    <row r="216" spans="1:59" ht="58" x14ac:dyDescent="0.35">
      <c r="A216" s="2" t="s">
        <v>59</v>
      </c>
      <c r="B216" s="2" t="s">
        <v>60</v>
      </c>
      <c r="C216" s="2" t="s">
        <v>2204</v>
      </c>
      <c r="D216" s="2" t="s">
        <v>2205</v>
      </c>
      <c r="E216" s="2" t="s">
        <v>2206</v>
      </c>
      <c r="F216" s="3" t="s">
        <v>2207</v>
      </c>
      <c r="G216" s="3" t="s">
        <v>65</v>
      </c>
      <c r="I216" s="3" t="s">
        <v>65</v>
      </c>
      <c r="J216" s="3" t="s">
        <v>65</v>
      </c>
      <c r="K216" s="3" t="s">
        <v>66</v>
      </c>
      <c r="L216" s="2" t="s">
        <v>2208</v>
      </c>
      <c r="M216" s="2" t="s">
        <v>2209</v>
      </c>
      <c r="N216" s="3" t="s">
        <v>2210</v>
      </c>
      <c r="O216" s="2" t="s">
        <v>526</v>
      </c>
      <c r="P216" s="3" t="s">
        <v>69</v>
      </c>
      <c r="R216" s="3" t="s">
        <v>71</v>
      </c>
      <c r="S216" s="4">
        <v>16</v>
      </c>
      <c r="T216" s="4">
        <v>16</v>
      </c>
      <c r="U216" s="5" t="s">
        <v>2187</v>
      </c>
      <c r="V216" s="5" t="s">
        <v>2187</v>
      </c>
      <c r="W216" s="5" t="s">
        <v>72</v>
      </c>
      <c r="X216" s="5" t="s">
        <v>72</v>
      </c>
      <c r="Y216" s="4">
        <v>381</v>
      </c>
      <c r="Z216" s="4">
        <v>27</v>
      </c>
      <c r="AA216" s="4">
        <v>39</v>
      </c>
      <c r="AB216" s="4">
        <v>4</v>
      </c>
      <c r="AC216" s="4">
        <v>8</v>
      </c>
      <c r="AD216" s="4">
        <v>102</v>
      </c>
      <c r="AE216" s="4">
        <v>112</v>
      </c>
      <c r="AF216" s="4">
        <v>2</v>
      </c>
      <c r="AG216" s="4">
        <v>5</v>
      </c>
      <c r="AH216" s="4">
        <v>88</v>
      </c>
      <c r="AI216" s="4">
        <v>92</v>
      </c>
      <c r="AJ216" s="4">
        <v>14</v>
      </c>
      <c r="AK216" s="4">
        <v>18</v>
      </c>
      <c r="AL216" s="4">
        <v>48</v>
      </c>
      <c r="AM216" s="4">
        <v>51</v>
      </c>
      <c r="AN216" s="4">
        <v>0</v>
      </c>
      <c r="AO216" s="4">
        <v>0</v>
      </c>
      <c r="AP216" s="4">
        <v>20</v>
      </c>
      <c r="AQ216" s="4">
        <v>25</v>
      </c>
      <c r="AR216" s="3" t="s">
        <v>65</v>
      </c>
      <c r="AS216" s="3" t="s">
        <v>65</v>
      </c>
      <c r="AT216" s="3" t="s">
        <v>65</v>
      </c>
      <c r="AV216" s="6" t="str">
        <f>HYPERLINK("http://mcgill.on.worldcat.org/oclc/48469219","Catalog Record")</f>
        <v>Catalog Record</v>
      </c>
      <c r="AW216" s="6" t="str">
        <f>HYPERLINK("http://www.worldcat.org/oclc/48469219","WorldCat Record")</f>
        <v>WorldCat Record</v>
      </c>
      <c r="AX216" s="3" t="s">
        <v>2211</v>
      </c>
      <c r="AY216" s="3" t="s">
        <v>2212</v>
      </c>
      <c r="AZ216" s="3" t="s">
        <v>2213</v>
      </c>
      <c r="BA216" s="3" t="s">
        <v>2213</v>
      </c>
      <c r="BB216" s="3" t="s">
        <v>2214</v>
      </c>
      <c r="BC216" s="3" t="s">
        <v>77</v>
      </c>
      <c r="BD216" s="3" t="s">
        <v>78</v>
      </c>
      <c r="BE216" s="3" t="s">
        <v>2215</v>
      </c>
      <c r="BF216" s="3" t="s">
        <v>2214</v>
      </c>
      <c r="BG216" s="3" t="s">
        <v>2216</v>
      </c>
    </row>
    <row r="217" spans="1:59" ht="58" x14ac:dyDescent="0.35">
      <c r="A217" s="2" t="s">
        <v>59</v>
      </c>
      <c r="B217" s="2" t="s">
        <v>60</v>
      </c>
      <c r="C217" s="2" t="s">
        <v>2217</v>
      </c>
      <c r="D217" s="2" t="s">
        <v>2218</v>
      </c>
      <c r="E217" s="2" t="s">
        <v>2219</v>
      </c>
      <c r="G217" s="3" t="s">
        <v>65</v>
      </c>
      <c r="I217" s="3" t="s">
        <v>65</v>
      </c>
      <c r="J217" s="3" t="s">
        <v>65</v>
      </c>
      <c r="K217" s="3" t="s">
        <v>66</v>
      </c>
      <c r="L217" s="2" t="s">
        <v>2220</v>
      </c>
      <c r="M217" s="2" t="s">
        <v>2221</v>
      </c>
      <c r="N217" s="3" t="s">
        <v>1085</v>
      </c>
      <c r="P217" s="3" t="s">
        <v>140</v>
      </c>
      <c r="Q217" s="2" t="s">
        <v>2222</v>
      </c>
      <c r="R217" s="3" t="s">
        <v>71</v>
      </c>
      <c r="S217" s="4">
        <v>4</v>
      </c>
      <c r="T217" s="4">
        <v>4</v>
      </c>
      <c r="U217" s="5" t="s">
        <v>840</v>
      </c>
      <c r="V217" s="5" t="s">
        <v>840</v>
      </c>
      <c r="W217" s="5" t="s">
        <v>72</v>
      </c>
      <c r="X217" s="5" t="s">
        <v>72</v>
      </c>
      <c r="Y217" s="4">
        <v>58</v>
      </c>
      <c r="Z217" s="4">
        <v>5</v>
      </c>
      <c r="AA217" s="4">
        <v>5</v>
      </c>
      <c r="AB217" s="4">
        <v>1</v>
      </c>
      <c r="AC217" s="4">
        <v>1</v>
      </c>
      <c r="AD217" s="4">
        <v>27</v>
      </c>
      <c r="AE217" s="4">
        <v>27</v>
      </c>
      <c r="AF217" s="4">
        <v>0</v>
      </c>
      <c r="AG217" s="4">
        <v>0</v>
      </c>
      <c r="AH217" s="4">
        <v>25</v>
      </c>
      <c r="AI217" s="4">
        <v>25</v>
      </c>
      <c r="AJ217" s="4">
        <v>3</v>
      </c>
      <c r="AK217" s="4">
        <v>3</v>
      </c>
      <c r="AL217" s="4">
        <v>22</v>
      </c>
      <c r="AM217" s="4">
        <v>22</v>
      </c>
      <c r="AN217" s="4">
        <v>0</v>
      </c>
      <c r="AO217" s="4">
        <v>0</v>
      </c>
      <c r="AP217" s="4">
        <v>3</v>
      </c>
      <c r="AQ217" s="4">
        <v>3</v>
      </c>
      <c r="AR217" s="3" t="s">
        <v>65</v>
      </c>
      <c r="AS217" s="3" t="s">
        <v>65</v>
      </c>
      <c r="AT217" s="3" t="s">
        <v>209</v>
      </c>
      <c r="AU217" s="6" t="str">
        <f>HYPERLINK("http://catalog.hathitrust.org/Record/003137803","HathiTrust Record")</f>
        <v>HathiTrust Record</v>
      </c>
      <c r="AV217" s="6" t="str">
        <f>HYPERLINK("http://mcgill.on.worldcat.org/oclc/35232877","Catalog Record")</f>
        <v>Catalog Record</v>
      </c>
      <c r="AW217" s="6" t="str">
        <f>HYPERLINK("http://www.worldcat.org/oclc/35232877","WorldCat Record")</f>
        <v>WorldCat Record</v>
      </c>
      <c r="AX217" s="3" t="s">
        <v>2223</v>
      </c>
      <c r="AY217" s="3" t="s">
        <v>2224</v>
      </c>
      <c r="AZ217" s="3" t="s">
        <v>2225</v>
      </c>
      <c r="BA217" s="3" t="s">
        <v>2225</v>
      </c>
      <c r="BB217" s="3" t="s">
        <v>2226</v>
      </c>
      <c r="BC217" s="3" t="s">
        <v>77</v>
      </c>
      <c r="BD217" s="3" t="s">
        <v>78</v>
      </c>
      <c r="BE217" s="3" t="s">
        <v>2227</v>
      </c>
      <c r="BF217" s="3" t="s">
        <v>2226</v>
      </c>
      <c r="BG217" s="3" t="s">
        <v>2228</v>
      </c>
    </row>
    <row r="218" spans="1:59" ht="72.5" x14ac:dyDescent="0.35">
      <c r="A218" s="2" t="s">
        <v>59</v>
      </c>
      <c r="B218" s="2" t="s">
        <v>60</v>
      </c>
      <c r="C218" s="2" t="s">
        <v>2229</v>
      </c>
      <c r="D218" s="2" t="s">
        <v>2230</v>
      </c>
      <c r="E218" s="2" t="s">
        <v>2231</v>
      </c>
      <c r="G218" s="3" t="s">
        <v>65</v>
      </c>
      <c r="I218" s="3" t="s">
        <v>65</v>
      </c>
      <c r="J218" s="3" t="s">
        <v>65</v>
      </c>
      <c r="K218" s="3" t="s">
        <v>66</v>
      </c>
      <c r="L218" s="2" t="s">
        <v>2232</v>
      </c>
      <c r="M218" s="2" t="s">
        <v>653</v>
      </c>
      <c r="N218" s="3" t="s">
        <v>113</v>
      </c>
      <c r="O218" s="2" t="s">
        <v>2233</v>
      </c>
      <c r="P218" s="3" t="s">
        <v>140</v>
      </c>
      <c r="Q218" s="2" t="s">
        <v>2234</v>
      </c>
      <c r="R218" s="3" t="s">
        <v>71</v>
      </c>
      <c r="S218" s="4">
        <v>0</v>
      </c>
      <c r="T218" s="4">
        <v>0</v>
      </c>
      <c r="W218" s="5" t="s">
        <v>72</v>
      </c>
      <c r="X218" s="5" t="s">
        <v>72</v>
      </c>
      <c r="Y218" s="4">
        <v>26</v>
      </c>
      <c r="Z218" s="4">
        <v>1</v>
      </c>
      <c r="AA218" s="4">
        <v>1</v>
      </c>
      <c r="AB218" s="4">
        <v>1</v>
      </c>
      <c r="AC218" s="4">
        <v>1</v>
      </c>
      <c r="AD218" s="4">
        <v>15</v>
      </c>
      <c r="AE218" s="4">
        <v>15</v>
      </c>
      <c r="AF218" s="4">
        <v>0</v>
      </c>
      <c r="AG218" s="4">
        <v>0</v>
      </c>
      <c r="AH218" s="4">
        <v>14</v>
      </c>
      <c r="AI218" s="4">
        <v>14</v>
      </c>
      <c r="AJ218" s="4">
        <v>0</v>
      </c>
      <c r="AK218" s="4">
        <v>0</v>
      </c>
      <c r="AL218" s="4">
        <v>11</v>
      </c>
      <c r="AM218" s="4">
        <v>11</v>
      </c>
      <c r="AN218" s="4">
        <v>0</v>
      </c>
      <c r="AO218" s="4">
        <v>0</v>
      </c>
      <c r="AP218" s="4">
        <v>0</v>
      </c>
      <c r="AQ218" s="4">
        <v>0</v>
      </c>
      <c r="AR218" s="3" t="s">
        <v>65</v>
      </c>
      <c r="AS218" s="3" t="s">
        <v>65</v>
      </c>
      <c r="AT218" s="3" t="s">
        <v>65</v>
      </c>
      <c r="AV218" s="6" t="str">
        <f>HYPERLINK("http://mcgill.on.worldcat.org/oclc/682881336","Catalog Record")</f>
        <v>Catalog Record</v>
      </c>
      <c r="AW218" s="6" t="str">
        <f>HYPERLINK("http://www.worldcat.org/oclc/682881336","WorldCat Record")</f>
        <v>WorldCat Record</v>
      </c>
      <c r="AX218" s="3" t="s">
        <v>2235</v>
      </c>
      <c r="AY218" s="3" t="s">
        <v>2236</v>
      </c>
      <c r="AZ218" s="3" t="s">
        <v>2237</v>
      </c>
      <c r="BA218" s="3" t="s">
        <v>2237</v>
      </c>
      <c r="BB218" s="3" t="s">
        <v>2238</v>
      </c>
      <c r="BC218" s="3" t="s">
        <v>77</v>
      </c>
      <c r="BD218" s="3" t="s">
        <v>78</v>
      </c>
      <c r="BE218" s="3" t="s">
        <v>2239</v>
      </c>
      <c r="BF218" s="3" t="s">
        <v>2238</v>
      </c>
      <c r="BG218" s="3" t="s">
        <v>2240</v>
      </c>
    </row>
    <row r="219" spans="1:59" ht="72.5" x14ac:dyDescent="0.35">
      <c r="A219" s="2" t="s">
        <v>59</v>
      </c>
      <c r="B219" s="2" t="s">
        <v>60</v>
      </c>
      <c r="C219" s="2" t="s">
        <v>2241</v>
      </c>
      <c r="D219" s="2" t="s">
        <v>2242</v>
      </c>
      <c r="E219" s="2" t="s">
        <v>2243</v>
      </c>
      <c r="G219" s="3" t="s">
        <v>65</v>
      </c>
      <c r="I219" s="3" t="s">
        <v>65</v>
      </c>
      <c r="J219" s="3" t="s">
        <v>65</v>
      </c>
      <c r="K219" s="3" t="s">
        <v>66</v>
      </c>
      <c r="M219" s="2" t="s">
        <v>2244</v>
      </c>
      <c r="N219" s="3" t="s">
        <v>164</v>
      </c>
      <c r="P219" s="3" t="s">
        <v>69</v>
      </c>
      <c r="Q219" s="2" t="s">
        <v>2245</v>
      </c>
      <c r="R219" s="3" t="s">
        <v>71</v>
      </c>
      <c r="S219" s="4">
        <v>4</v>
      </c>
      <c r="T219" s="4">
        <v>4</v>
      </c>
      <c r="U219" s="5" t="s">
        <v>2246</v>
      </c>
      <c r="V219" s="5" t="s">
        <v>2246</v>
      </c>
      <c r="W219" s="5" t="s">
        <v>72</v>
      </c>
      <c r="X219" s="5" t="s">
        <v>72</v>
      </c>
      <c r="Y219" s="4">
        <v>79</v>
      </c>
      <c r="Z219" s="4">
        <v>13</v>
      </c>
      <c r="AA219" s="4">
        <v>14</v>
      </c>
      <c r="AB219" s="4">
        <v>2</v>
      </c>
      <c r="AC219" s="4">
        <v>3</v>
      </c>
      <c r="AD219" s="4">
        <v>41</v>
      </c>
      <c r="AE219" s="4">
        <v>42</v>
      </c>
      <c r="AF219" s="4">
        <v>1</v>
      </c>
      <c r="AG219" s="4">
        <v>2</v>
      </c>
      <c r="AH219" s="4">
        <v>37</v>
      </c>
      <c r="AI219" s="4">
        <v>37</v>
      </c>
      <c r="AJ219" s="4">
        <v>11</v>
      </c>
      <c r="AK219" s="4">
        <v>12</v>
      </c>
      <c r="AL219" s="4">
        <v>22</v>
      </c>
      <c r="AM219" s="4">
        <v>22</v>
      </c>
      <c r="AN219" s="4">
        <v>0</v>
      </c>
      <c r="AO219" s="4">
        <v>0</v>
      </c>
      <c r="AP219" s="4">
        <v>12</v>
      </c>
      <c r="AQ219" s="4">
        <v>12</v>
      </c>
      <c r="AR219" s="3" t="s">
        <v>65</v>
      </c>
      <c r="AS219" s="3" t="s">
        <v>65</v>
      </c>
      <c r="AT219" s="3" t="s">
        <v>65</v>
      </c>
      <c r="AV219" s="6" t="str">
        <f>HYPERLINK("http://mcgill.on.worldcat.org/oclc/883515178","Catalog Record")</f>
        <v>Catalog Record</v>
      </c>
      <c r="AW219" s="6" t="str">
        <f>HYPERLINK("http://www.worldcat.org/oclc/883515178","WorldCat Record")</f>
        <v>WorldCat Record</v>
      </c>
      <c r="AX219" s="3" t="s">
        <v>2247</v>
      </c>
      <c r="AY219" s="3" t="s">
        <v>2248</v>
      </c>
      <c r="AZ219" s="3" t="s">
        <v>2249</v>
      </c>
      <c r="BA219" s="3" t="s">
        <v>2249</v>
      </c>
      <c r="BB219" s="3" t="s">
        <v>2250</v>
      </c>
      <c r="BC219" s="3" t="s">
        <v>77</v>
      </c>
      <c r="BD219" s="3" t="s">
        <v>106</v>
      </c>
      <c r="BE219" s="3" t="s">
        <v>2251</v>
      </c>
      <c r="BF219" s="3" t="s">
        <v>2250</v>
      </c>
      <c r="BG219" s="3" t="s">
        <v>2252</v>
      </c>
    </row>
    <row r="220" spans="1:59" ht="58" x14ac:dyDescent="0.35">
      <c r="A220" s="2" t="s">
        <v>59</v>
      </c>
      <c r="B220" s="2" t="s">
        <v>60</v>
      </c>
      <c r="C220" s="2" t="s">
        <v>2253</v>
      </c>
      <c r="D220" s="2" t="s">
        <v>2254</v>
      </c>
      <c r="E220" s="2" t="s">
        <v>2255</v>
      </c>
      <c r="G220" s="3" t="s">
        <v>65</v>
      </c>
      <c r="I220" s="3" t="s">
        <v>65</v>
      </c>
      <c r="J220" s="3" t="s">
        <v>65</v>
      </c>
      <c r="K220" s="3" t="s">
        <v>66</v>
      </c>
      <c r="L220" s="2" t="s">
        <v>362</v>
      </c>
      <c r="M220" s="2" t="s">
        <v>2256</v>
      </c>
      <c r="N220" s="3" t="s">
        <v>126</v>
      </c>
      <c r="P220" s="3" t="s">
        <v>140</v>
      </c>
      <c r="Q220" s="2" t="s">
        <v>2257</v>
      </c>
      <c r="R220" s="3" t="s">
        <v>71</v>
      </c>
      <c r="S220" s="4">
        <v>0</v>
      </c>
      <c r="T220" s="4">
        <v>0</v>
      </c>
      <c r="W220" s="5" t="s">
        <v>72</v>
      </c>
      <c r="X220" s="5" t="s">
        <v>72</v>
      </c>
      <c r="Y220" s="4">
        <v>15</v>
      </c>
      <c r="Z220" s="4">
        <v>1</v>
      </c>
      <c r="AA220" s="4">
        <v>3</v>
      </c>
      <c r="AB220" s="4">
        <v>1</v>
      </c>
      <c r="AC220" s="4">
        <v>1</v>
      </c>
      <c r="AD220" s="4">
        <v>7</v>
      </c>
      <c r="AE220" s="4">
        <v>36</v>
      </c>
      <c r="AF220" s="4">
        <v>0</v>
      </c>
      <c r="AG220" s="4">
        <v>0</v>
      </c>
      <c r="AH220" s="4">
        <v>7</v>
      </c>
      <c r="AI220" s="4">
        <v>35</v>
      </c>
      <c r="AJ220" s="4">
        <v>0</v>
      </c>
      <c r="AK220" s="4">
        <v>1</v>
      </c>
      <c r="AL220" s="4">
        <v>5</v>
      </c>
      <c r="AM220" s="4">
        <v>28</v>
      </c>
      <c r="AN220" s="4">
        <v>0</v>
      </c>
      <c r="AO220" s="4">
        <v>0</v>
      </c>
      <c r="AP220" s="4">
        <v>0</v>
      </c>
      <c r="AQ220" s="4">
        <v>1</v>
      </c>
      <c r="AR220" s="3" t="s">
        <v>65</v>
      </c>
      <c r="AS220" s="3" t="s">
        <v>65</v>
      </c>
      <c r="AT220" s="3" t="s">
        <v>65</v>
      </c>
      <c r="AV220" s="6" t="str">
        <f>HYPERLINK("http://mcgill.on.worldcat.org/oclc/707459731","Catalog Record")</f>
        <v>Catalog Record</v>
      </c>
      <c r="AW220" s="6" t="str">
        <f>HYPERLINK("http://www.worldcat.org/oclc/707459731","WorldCat Record")</f>
        <v>WorldCat Record</v>
      </c>
      <c r="AX220" s="3" t="s">
        <v>2258</v>
      </c>
      <c r="AY220" s="3" t="s">
        <v>2259</v>
      </c>
      <c r="AZ220" s="3" t="s">
        <v>2260</v>
      </c>
      <c r="BA220" s="3" t="s">
        <v>2260</v>
      </c>
      <c r="BB220" s="3" t="s">
        <v>2261</v>
      </c>
      <c r="BC220" s="3" t="s">
        <v>77</v>
      </c>
      <c r="BD220" s="3" t="s">
        <v>78</v>
      </c>
      <c r="BE220" s="3" t="s">
        <v>2262</v>
      </c>
      <c r="BF220" s="3" t="s">
        <v>2261</v>
      </c>
      <c r="BG220" s="3" t="s">
        <v>2263</v>
      </c>
    </row>
    <row r="221" spans="1:59" ht="58" x14ac:dyDescent="0.35">
      <c r="A221" s="2" t="s">
        <v>59</v>
      </c>
      <c r="B221" s="2" t="s">
        <v>60</v>
      </c>
      <c r="C221" s="2" t="s">
        <v>2264</v>
      </c>
      <c r="D221" s="2" t="s">
        <v>2265</v>
      </c>
      <c r="E221" s="2" t="s">
        <v>2266</v>
      </c>
      <c r="G221" s="3" t="s">
        <v>65</v>
      </c>
      <c r="I221" s="3" t="s">
        <v>65</v>
      </c>
      <c r="J221" s="3" t="s">
        <v>65</v>
      </c>
      <c r="K221" s="3" t="s">
        <v>66</v>
      </c>
      <c r="L221" s="2" t="s">
        <v>2267</v>
      </c>
      <c r="M221" s="2" t="s">
        <v>2268</v>
      </c>
      <c r="N221" s="3" t="s">
        <v>113</v>
      </c>
      <c r="P221" s="3" t="s">
        <v>140</v>
      </c>
      <c r="Q221" s="2" t="s">
        <v>2269</v>
      </c>
      <c r="R221" s="3" t="s">
        <v>71</v>
      </c>
      <c r="S221" s="4">
        <v>0</v>
      </c>
      <c r="T221" s="4">
        <v>0</v>
      </c>
      <c r="W221" s="5" t="s">
        <v>72</v>
      </c>
      <c r="X221" s="5" t="s">
        <v>72</v>
      </c>
      <c r="Y221" s="4">
        <v>40</v>
      </c>
      <c r="Z221" s="4">
        <v>7</v>
      </c>
      <c r="AA221" s="4">
        <v>12</v>
      </c>
      <c r="AB221" s="4">
        <v>1</v>
      </c>
      <c r="AC221" s="4">
        <v>3</v>
      </c>
      <c r="AD221" s="4">
        <v>33</v>
      </c>
      <c r="AE221" s="4">
        <v>43</v>
      </c>
      <c r="AF221" s="4">
        <v>0</v>
      </c>
      <c r="AG221" s="4">
        <v>1</v>
      </c>
      <c r="AH221" s="4">
        <v>31</v>
      </c>
      <c r="AI221" s="4">
        <v>38</v>
      </c>
      <c r="AJ221" s="4">
        <v>5</v>
      </c>
      <c r="AK221" s="4">
        <v>8</v>
      </c>
      <c r="AL221" s="4">
        <v>23</v>
      </c>
      <c r="AM221" s="4">
        <v>26</v>
      </c>
      <c r="AN221" s="4">
        <v>0</v>
      </c>
      <c r="AO221" s="4">
        <v>0</v>
      </c>
      <c r="AP221" s="4">
        <v>5</v>
      </c>
      <c r="AQ221" s="4">
        <v>9</v>
      </c>
      <c r="AR221" s="3" t="s">
        <v>65</v>
      </c>
      <c r="AS221" s="3" t="s">
        <v>65</v>
      </c>
      <c r="AT221" s="3" t="s">
        <v>65</v>
      </c>
      <c r="AV221" s="6" t="str">
        <f>HYPERLINK("http://mcgill.on.worldcat.org/oclc/797003451","Catalog Record")</f>
        <v>Catalog Record</v>
      </c>
      <c r="AW221" s="6" t="str">
        <f>HYPERLINK("http://www.worldcat.org/oclc/797003451","WorldCat Record")</f>
        <v>WorldCat Record</v>
      </c>
      <c r="AX221" s="3" t="s">
        <v>2270</v>
      </c>
      <c r="AY221" s="3" t="s">
        <v>2271</v>
      </c>
      <c r="AZ221" s="3" t="s">
        <v>2272</v>
      </c>
      <c r="BA221" s="3" t="s">
        <v>2272</v>
      </c>
      <c r="BB221" s="3" t="s">
        <v>2273</v>
      </c>
      <c r="BC221" s="3" t="s">
        <v>77</v>
      </c>
      <c r="BD221" s="3" t="s">
        <v>78</v>
      </c>
      <c r="BE221" s="3" t="s">
        <v>2274</v>
      </c>
      <c r="BF221" s="3" t="s">
        <v>2273</v>
      </c>
      <c r="BG221" s="3" t="s">
        <v>2275</v>
      </c>
    </row>
    <row r="222" spans="1:59" ht="58" x14ac:dyDescent="0.35">
      <c r="A222" s="2" t="s">
        <v>59</v>
      </c>
      <c r="B222" s="2" t="s">
        <v>60</v>
      </c>
      <c r="C222" s="2" t="s">
        <v>2276</v>
      </c>
      <c r="D222" s="2" t="s">
        <v>2277</v>
      </c>
      <c r="E222" s="2" t="s">
        <v>2278</v>
      </c>
      <c r="G222" s="3" t="s">
        <v>65</v>
      </c>
      <c r="I222" s="3" t="s">
        <v>65</v>
      </c>
      <c r="J222" s="3" t="s">
        <v>65</v>
      </c>
      <c r="K222" s="3" t="s">
        <v>66</v>
      </c>
      <c r="L222" s="2" t="s">
        <v>2279</v>
      </c>
      <c r="M222" s="2" t="s">
        <v>2280</v>
      </c>
      <c r="N222" s="3" t="s">
        <v>126</v>
      </c>
      <c r="P222" s="3" t="s">
        <v>140</v>
      </c>
      <c r="Q222" s="2" t="s">
        <v>2281</v>
      </c>
      <c r="R222" s="3" t="s">
        <v>71</v>
      </c>
      <c r="S222" s="4">
        <v>0</v>
      </c>
      <c r="T222" s="4">
        <v>0</v>
      </c>
      <c r="W222" s="5" t="s">
        <v>72</v>
      </c>
      <c r="X222" s="5" t="s">
        <v>72</v>
      </c>
      <c r="Y222" s="4">
        <v>39</v>
      </c>
      <c r="Z222" s="4">
        <v>3</v>
      </c>
      <c r="AA222" s="4">
        <v>3</v>
      </c>
      <c r="AB222" s="4">
        <v>1</v>
      </c>
      <c r="AC222" s="4">
        <v>1</v>
      </c>
      <c r="AD222" s="4">
        <v>23</v>
      </c>
      <c r="AE222" s="4">
        <v>23</v>
      </c>
      <c r="AF222" s="4">
        <v>0</v>
      </c>
      <c r="AG222" s="4">
        <v>0</v>
      </c>
      <c r="AH222" s="4">
        <v>22</v>
      </c>
      <c r="AI222" s="4">
        <v>22</v>
      </c>
      <c r="AJ222" s="4">
        <v>1</v>
      </c>
      <c r="AK222" s="4">
        <v>1</v>
      </c>
      <c r="AL222" s="4">
        <v>19</v>
      </c>
      <c r="AM222" s="4">
        <v>19</v>
      </c>
      <c r="AN222" s="4">
        <v>0</v>
      </c>
      <c r="AO222" s="4">
        <v>0</v>
      </c>
      <c r="AP222" s="4">
        <v>1</v>
      </c>
      <c r="AQ222" s="4">
        <v>1</v>
      </c>
      <c r="AR222" s="3" t="s">
        <v>65</v>
      </c>
      <c r="AS222" s="3" t="s">
        <v>65</v>
      </c>
      <c r="AT222" s="3" t="s">
        <v>65</v>
      </c>
      <c r="AV222" s="6" t="str">
        <f>HYPERLINK("http://mcgill.on.worldcat.org/oclc/807032127","Catalog Record")</f>
        <v>Catalog Record</v>
      </c>
      <c r="AW222" s="6" t="str">
        <f>HYPERLINK("http://www.worldcat.org/oclc/807032127","WorldCat Record")</f>
        <v>WorldCat Record</v>
      </c>
      <c r="AX222" s="3" t="s">
        <v>2282</v>
      </c>
      <c r="AY222" s="3" t="s">
        <v>2283</v>
      </c>
      <c r="AZ222" s="3" t="s">
        <v>2284</v>
      </c>
      <c r="BA222" s="3" t="s">
        <v>2284</v>
      </c>
      <c r="BB222" s="3" t="s">
        <v>2285</v>
      </c>
      <c r="BC222" s="3" t="s">
        <v>77</v>
      </c>
      <c r="BD222" s="3" t="s">
        <v>78</v>
      </c>
      <c r="BE222" s="3" t="s">
        <v>2286</v>
      </c>
      <c r="BF222" s="3" t="s">
        <v>2285</v>
      </c>
      <c r="BG222" s="3" t="s">
        <v>2287</v>
      </c>
    </row>
    <row r="223" spans="1:59" ht="58" x14ac:dyDescent="0.35">
      <c r="A223" s="2" t="s">
        <v>59</v>
      </c>
      <c r="B223" s="2" t="s">
        <v>60</v>
      </c>
      <c r="C223" s="2" t="s">
        <v>2288</v>
      </c>
      <c r="D223" s="2" t="s">
        <v>2289</v>
      </c>
      <c r="E223" s="2" t="s">
        <v>2290</v>
      </c>
      <c r="G223" s="3" t="s">
        <v>65</v>
      </c>
      <c r="I223" s="3" t="s">
        <v>65</v>
      </c>
      <c r="J223" s="3" t="s">
        <v>65</v>
      </c>
      <c r="K223" s="3" t="s">
        <v>66</v>
      </c>
      <c r="L223" s="2" t="s">
        <v>2291</v>
      </c>
      <c r="M223" s="2" t="s">
        <v>2292</v>
      </c>
      <c r="N223" s="3" t="s">
        <v>113</v>
      </c>
      <c r="O223" s="2" t="s">
        <v>365</v>
      </c>
      <c r="P223" s="3" t="s">
        <v>140</v>
      </c>
      <c r="Q223" s="2" t="s">
        <v>2293</v>
      </c>
      <c r="R223" s="3" t="s">
        <v>71</v>
      </c>
      <c r="S223" s="4">
        <v>1</v>
      </c>
      <c r="T223" s="4">
        <v>1</v>
      </c>
      <c r="U223" s="5" t="s">
        <v>2294</v>
      </c>
      <c r="V223" s="5" t="s">
        <v>2294</v>
      </c>
      <c r="W223" s="5" t="s">
        <v>72</v>
      </c>
      <c r="X223" s="5" t="s">
        <v>72</v>
      </c>
      <c r="Y223" s="4">
        <v>42</v>
      </c>
      <c r="Z223" s="4">
        <v>5</v>
      </c>
      <c r="AA223" s="4">
        <v>5</v>
      </c>
      <c r="AB223" s="4">
        <v>1</v>
      </c>
      <c r="AC223" s="4">
        <v>1</v>
      </c>
      <c r="AD223" s="4">
        <v>28</v>
      </c>
      <c r="AE223" s="4">
        <v>28</v>
      </c>
      <c r="AF223" s="4">
        <v>0</v>
      </c>
      <c r="AG223" s="4">
        <v>0</v>
      </c>
      <c r="AH223" s="4">
        <v>26</v>
      </c>
      <c r="AI223" s="4">
        <v>26</v>
      </c>
      <c r="AJ223" s="4">
        <v>3</v>
      </c>
      <c r="AK223" s="4">
        <v>3</v>
      </c>
      <c r="AL223" s="4">
        <v>20</v>
      </c>
      <c r="AM223" s="4">
        <v>20</v>
      </c>
      <c r="AN223" s="4">
        <v>0</v>
      </c>
      <c r="AO223" s="4">
        <v>0</v>
      </c>
      <c r="AP223" s="4">
        <v>3</v>
      </c>
      <c r="AQ223" s="4">
        <v>3</v>
      </c>
      <c r="AR223" s="3" t="s">
        <v>65</v>
      </c>
      <c r="AS223" s="3" t="s">
        <v>65</v>
      </c>
      <c r="AT223" s="3" t="s">
        <v>65</v>
      </c>
      <c r="AV223" s="6" t="str">
        <f>HYPERLINK("http://mcgill.on.worldcat.org/oclc/688495743","Catalog Record")</f>
        <v>Catalog Record</v>
      </c>
      <c r="AW223" s="6" t="str">
        <f>HYPERLINK("http://www.worldcat.org/oclc/688495743","WorldCat Record")</f>
        <v>WorldCat Record</v>
      </c>
      <c r="AX223" s="3" t="s">
        <v>2295</v>
      </c>
      <c r="AY223" s="3" t="s">
        <v>2296</v>
      </c>
      <c r="AZ223" s="3" t="s">
        <v>2297</v>
      </c>
      <c r="BA223" s="3" t="s">
        <v>2297</v>
      </c>
      <c r="BB223" s="3" t="s">
        <v>2298</v>
      </c>
      <c r="BC223" s="3" t="s">
        <v>77</v>
      </c>
      <c r="BD223" s="3" t="s">
        <v>78</v>
      </c>
      <c r="BE223" s="3" t="s">
        <v>2299</v>
      </c>
      <c r="BF223" s="3" t="s">
        <v>2298</v>
      </c>
      <c r="BG223" s="3" t="s">
        <v>2300</v>
      </c>
    </row>
    <row r="224" spans="1:59" ht="58" x14ac:dyDescent="0.35">
      <c r="A224" s="2" t="s">
        <v>59</v>
      </c>
      <c r="B224" s="2" t="s">
        <v>60</v>
      </c>
      <c r="C224" s="2" t="s">
        <v>2301</v>
      </c>
      <c r="D224" s="2" t="s">
        <v>2302</v>
      </c>
      <c r="E224" s="2" t="s">
        <v>2303</v>
      </c>
      <c r="G224" s="3" t="s">
        <v>65</v>
      </c>
      <c r="I224" s="3" t="s">
        <v>65</v>
      </c>
      <c r="J224" s="3" t="s">
        <v>65</v>
      </c>
      <c r="K224" s="3" t="s">
        <v>66</v>
      </c>
      <c r="M224" s="2" t="s">
        <v>2304</v>
      </c>
      <c r="N224" s="3" t="s">
        <v>615</v>
      </c>
      <c r="P224" s="3" t="s">
        <v>140</v>
      </c>
      <c r="Q224" s="2" t="s">
        <v>2305</v>
      </c>
      <c r="R224" s="3" t="s">
        <v>71</v>
      </c>
      <c r="S224" s="4">
        <v>1</v>
      </c>
      <c r="T224" s="4">
        <v>1</v>
      </c>
      <c r="U224" s="5" t="s">
        <v>2306</v>
      </c>
      <c r="V224" s="5" t="s">
        <v>2306</v>
      </c>
      <c r="W224" s="5" t="s">
        <v>72</v>
      </c>
      <c r="X224" s="5" t="s">
        <v>72</v>
      </c>
      <c r="Y224" s="4">
        <v>64</v>
      </c>
      <c r="Z224" s="4">
        <v>2</v>
      </c>
      <c r="AA224" s="4">
        <v>2</v>
      </c>
      <c r="AB224" s="4">
        <v>1</v>
      </c>
      <c r="AC224" s="4">
        <v>1</v>
      </c>
      <c r="AD224" s="4">
        <v>37</v>
      </c>
      <c r="AE224" s="4">
        <v>37</v>
      </c>
      <c r="AF224" s="4">
        <v>0</v>
      </c>
      <c r="AG224" s="4">
        <v>0</v>
      </c>
      <c r="AH224" s="4">
        <v>35</v>
      </c>
      <c r="AI224" s="4">
        <v>35</v>
      </c>
      <c r="AJ224" s="4">
        <v>1</v>
      </c>
      <c r="AK224" s="4">
        <v>1</v>
      </c>
      <c r="AL224" s="4">
        <v>29</v>
      </c>
      <c r="AM224" s="4">
        <v>29</v>
      </c>
      <c r="AN224" s="4">
        <v>0</v>
      </c>
      <c r="AO224" s="4">
        <v>0</v>
      </c>
      <c r="AP224" s="4">
        <v>1</v>
      </c>
      <c r="AQ224" s="4">
        <v>1</v>
      </c>
      <c r="AR224" s="3" t="s">
        <v>65</v>
      </c>
      <c r="AS224" s="3" t="s">
        <v>65</v>
      </c>
      <c r="AT224" s="3" t="s">
        <v>209</v>
      </c>
      <c r="AU224" s="6" t="str">
        <f>HYPERLINK("http://catalog.hathitrust.org/Record/000871821","HathiTrust Record")</f>
        <v>HathiTrust Record</v>
      </c>
      <c r="AV224" s="6" t="str">
        <f>HYPERLINK("http://mcgill.on.worldcat.org/oclc/13009725","Catalog Record")</f>
        <v>Catalog Record</v>
      </c>
      <c r="AW224" s="6" t="str">
        <f>HYPERLINK("http://www.worldcat.org/oclc/13009725","WorldCat Record")</f>
        <v>WorldCat Record</v>
      </c>
      <c r="AX224" s="3" t="s">
        <v>2307</v>
      </c>
      <c r="AY224" s="3" t="s">
        <v>2308</v>
      </c>
      <c r="AZ224" s="3" t="s">
        <v>2309</v>
      </c>
      <c r="BA224" s="3" t="s">
        <v>2309</v>
      </c>
      <c r="BB224" s="3" t="s">
        <v>2310</v>
      </c>
      <c r="BC224" s="3" t="s">
        <v>77</v>
      </c>
      <c r="BD224" s="3" t="s">
        <v>78</v>
      </c>
      <c r="BF224" s="3" t="s">
        <v>2310</v>
      </c>
      <c r="BG224" s="3" t="s">
        <v>2311</v>
      </c>
    </row>
    <row r="225" spans="1:59" ht="58" x14ac:dyDescent="0.35">
      <c r="A225" s="2" t="s">
        <v>59</v>
      </c>
      <c r="B225" s="2" t="s">
        <v>60</v>
      </c>
      <c r="C225" s="2" t="s">
        <v>2312</v>
      </c>
      <c r="D225" s="2" t="s">
        <v>2313</v>
      </c>
      <c r="E225" s="2" t="s">
        <v>2314</v>
      </c>
      <c r="G225" s="3" t="s">
        <v>65</v>
      </c>
      <c r="I225" s="3" t="s">
        <v>65</v>
      </c>
      <c r="J225" s="3" t="s">
        <v>65</v>
      </c>
      <c r="K225" s="3" t="s">
        <v>66</v>
      </c>
      <c r="L225" s="2" t="s">
        <v>2315</v>
      </c>
      <c r="M225" s="2" t="s">
        <v>2316</v>
      </c>
      <c r="N225" s="3" t="s">
        <v>68</v>
      </c>
      <c r="P225" s="3" t="s">
        <v>140</v>
      </c>
      <c r="Q225" s="2" t="s">
        <v>2317</v>
      </c>
      <c r="R225" s="3" t="s">
        <v>71</v>
      </c>
      <c r="S225" s="4">
        <v>0</v>
      </c>
      <c r="T225" s="4">
        <v>0</v>
      </c>
      <c r="W225" s="5" t="s">
        <v>72</v>
      </c>
      <c r="X225" s="5" t="s">
        <v>72</v>
      </c>
      <c r="Y225" s="4">
        <v>32</v>
      </c>
      <c r="Z225" s="4">
        <v>1</v>
      </c>
      <c r="AA225" s="4">
        <v>1</v>
      </c>
      <c r="AB225" s="4">
        <v>1</v>
      </c>
      <c r="AC225" s="4">
        <v>1</v>
      </c>
      <c r="AD225" s="4">
        <v>19</v>
      </c>
      <c r="AE225" s="4">
        <v>19</v>
      </c>
      <c r="AF225" s="4">
        <v>0</v>
      </c>
      <c r="AG225" s="4">
        <v>0</v>
      </c>
      <c r="AH225" s="4">
        <v>18</v>
      </c>
      <c r="AI225" s="4">
        <v>18</v>
      </c>
      <c r="AJ225" s="4">
        <v>0</v>
      </c>
      <c r="AK225" s="4">
        <v>0</v>
      </c>
      <c r="AL225" s="4">
        <v>14</v>
      </c>
      <c r="AM225" s="4">
        <v>14</v>
      </c>
      <c r="AN225" s="4">
        <v>0</v>
      </c>
      <c r="AO225" s="4">
        <v>0</v>
      </c>
      <c r="AP225" s="4">
        <v>0</v>
      </c>
      <c r="AQ225" s="4">
        <v>0</v>
      </c>
      <c r="AR225" s="3" t="s">
        <v>65</v>
      </c>
      <c r="AS225" s="3" t="s">
        <v>65</v>
      </c>
      <c r="AT225" s="3" t="s">
        <v>65</v>
      </c>
      <c r="AV225" s="6" t="str">
        <f>HYPERLINK("http://mcgill.on.worldcat.org/oclc/967674326","Catalog Record")</f>
        <v>Catalog Record</v>
      </c>
      <c r="AW225" s="6" t="str">
        <f>HYPERLINK("http://www.worldcat.org/oclc/967674326","WorldCat Record")</f>
        <v>WorldCat Record</v>
      </c>
      <c r="AX225" s="3" t="s">
        <v>2318</v>
      </c>
      <c r="AY225" s="3" t="s">
        <v>2319</v>
      </c>
      <c r="AZ225" s="3" t="s">
        <v>2320</v>
      </c>
      <c r="BA225" s="3" t="s">
        <v>2320</v>
      </c>
      <c r="BB225" s="3" t="s">
        <v>2321</v>
      </c>
      <c r="BC225" s="3" t="s">
        <v>77</v>
      </c>
      <c r="BD225" s="3" t="s">
        <v>78</v>
      </c>
      <c r="BE225" s="3" t="s">
        <v>2322</v>
      </c>
      <c r="BF225" s="3" t="s">
        <v>2321</v>
      </c>
      <c r="BG225" s="3" t="s">
        <v>2323</v>
      </c>
    </row>
    <row r="226" spans="1:59" ht="58" x14ac:dyDescent="0.35">
      <c r="A226" s="2" t="s">
        <v>59</v>
      </c>
      <c r="B226" s="2" t="s">
        <v>60</v>
      </c>
      <c r="C226" s="2" t="s">
        <v>2324</v>
      </c>
      <c r="D226" s="2" t="s">
        <v>2325</v>
      </c>
      <c r="E226" s="2" t="s">
        <v>2326</v>
      </c>
      <c r="G226" s="3" t="s">
        <v>65</v>
      </c>
      <c r="I226" s="3" t="s">
        <v>65</v>
      </c>
      <c r="J226" s="3" t="s">
        <v>65</v>
      </c>
      <c r="K226" s="3" t="s">
        <v>66</v>
      </c>
      <c r="M226" s="2" t="s">
        <v>2327</v>
      </c>
      <c r="N226" s="3" t="s">
        <v>113</v>
      </c>
      <c r="P226" s="3" t="s">
        <v>140</v>
      </c>
      <c r="Q226" s="2" t="s">
        <v>2328</v>
      </c>
      <c r="R226" s="3" t="s">
        <v>71</v>
      </c>
      <c r="S226" s="4">
        <v>0</v>
      </c>
      <c r="T226" s="4">
        <v>0</v>
      </c>
      <c r="W226" s="5" t="s">
        <v>72</v>
      </c>
      <c r="X226" s="5" t="s">
        <v>72</v>
      </c>
      <c r="Y226" s="4">
        <v>49</v>
      </c>
      <c r="Z226" s="4">
        <v>3</v>
      </c>
      <c r="AA226" s="4">
        <v>3</v>
      </c>
      <c r="AB226" s="4">
        <v>1</v>
      </c>
      <c r="AC226" s="4">
        <v>1</v>
      </c>
      <c r="AD226" s="4">
        <v>32</v>
      </c>
      <c r="AE226" s="4">
        <v>32</v>
      </c>
      <c r="AF226" s="4">
        <v>0</v>
      </c>
      <c r="AG226" s="4">
        <v>0</v>
      </c>
      <c r="AH226" s="4">
        <v>31</v>
      </c>
      <c r="AI226" s="4">
        <v>31</v>
      </c>
      <c r="AJ226" s="4">
        <v>1</v>
      </c>
      <c r="AK226" s="4">
        <v>1</v>
      </c>
      <c r="AL226" s="4">
        <v>28</v>
      </c>
      <c r="AM226" s="4">
        <v>28</v>
      </c>
      <c r="AN226" s="4">
        <v>0</v>
      </c>
      <c r="AO226" s="4">
        <v>0</v>
      </c>
      <c r="AP226" s="4">
        <v>1</v>
      </c>
      <c r="AQ226" s="4">
        <v>1</v>
      </c>
      <c r="AR226" s="3" t="s">
        <v>65</v>
      </c>
      <c r="AS226" s="3" t="s">
        <v>65</v>
      </c>
      <c r="AT226" s="3" t="s">
        <v>65</v>
      </c>
      <c r="AV226" s="6" t="str">
        <f>HYPERLINK("http://mcgill.on.worldcat.org/oclc/587030054","Catalog Record")</f>
        <v>Catalog Record</v>
      </c>
      <c r="AW226" s="6" t="str">
        <f>HYPERLINK("http://www.worldcat.org/oclc/587030054","WorldCat Record")</f>
        <v>WorldCat Record</v>
      </c>
      <c r="AX226" s="3" t="s">
        <v>2329</v>
      </c>
      <c r="AY226" s="3" t="s">
        <v>2330</v>
      </c>
      <c r="AZ226" s="3" t="s">
        <v>2331</v>
      </c>
      <c r="BA226" s="3" t="s">
        <v>2331</v>
      </c>
      <c r="BB226" s="3" t="s">
        <v>2332</v>
      </c>
      <c r="BC226" s="3" t="s">
        <v>77</v>
      </c>
      <c r="BD226" s="3" t="s">
        <v>78</v>
      </c>
      <c r="BE226" s="3" t="s">
        <v>2333</v>
      </c>
      <c r="BF226" s="3" t="s">
        <v>2332</v>
      </c>
      <c r="BG226" s="3" t="s">
        <v>2334</v>
      </c>
    </row>
    <row r="227" spans="1:59" ht="58" x14ac:dyDescent="0.35">
      <c r="A227" s="2" t="s">
        <v>59</v>
      </c>
      <c r="B227" s="2" t="s">
        <v>60</v>
      </c>
      <c r="C227" s="2" t="s">
        <v>2335</v>
      </c>
      <c r="D227" s="2" t="s">
        <v>2336</v>
      </c>
      <c r="E227" s="2" t="s">
        <v>2337</v>
      </c>
      <c r="G227" s="3" t="s">
        <v>65</v>
      </c>
      <c r="I227" s="3" t="s">
        <v>65</v>
      </c>
      <c r="J227" s="3" t="s">
        <v>65</v>
      </c>
      <c r="K227" s="3" t="s">
        <v>66</v>
      </c>
      <c r="L227" s="2" t="s">
        <v>2338</v>
      </c>
      <c r="M227" s="2" t="s">
        <v>2339</v>
      </c>
      <c r="N227" s="3" t="s">
        <v>152</v>
      </c>
      <c r="P227" s="3" t="s">
        <v>140</v>
      </c>
      <c r="Q227" s="2" t="s">
        <v>2340</v>
      </c>
      <c r="R227" s="3" t="s">
        <v>71</v>
      </c>
      <c r="S227" s="4">
        <v>1</v>
      </c>
      <c r="T227" s="4">
        <v>1</v>
      </c>
      <c r="U227" s="5" t="s">
        <v>2341</v>
      </c>
      <c r="V227" s="5" t="s">
        <v>2341</v>
      </c>
      <c r="W227" s="5" t="s">
        <v>72</v>
      </c>
      <c r="X227" s="5" t="s">
        <v>72</v>
      </c>
      <c r="Y227" s="4">
        <v>45</v>
      </c>
      <c r="Z227" s="4">
        <v>5</v>
      </c>
      <c r="AA227" s="4">
        <v>5</v>
      </c>
      <c r="AB227" s="4">
        <v>1</v>
      </c>
      <c r="AC227" s="4">
        <v>1</v>
      </c>
      <c r="AD227" s="4">
        <v>25</v>
      </c>
      <c r="AE227" s="4">
        <v>25</v>
      </c>
      <c r="AF227" s="4">
        <v>0</v>
      </c>
      <c r="AG227" s="4">
        <v>0</v>
      </c>
      <c r="AH227" s="4">
        <v>24</v>
      </c>
      <c r="AI227" s="4">
        <v>24</v>
      </c>
      <c r="AJ227" s="4">
        <v>2</v>
      </c>
      <c r="AK227" s="4">
        <v>2</v>
      </c>
      <c r="AL227" s="4">
        <v>19</v>
      </c>
      <c r="AM227" s="4">
        <v>19</v>
      </c>
      <c r="AN227" s="4">
        <v>0</v>
      </c>
      <c r="AO227" s="4">
        <v>0</v>
      </c>
      <c r="AP227" s="4">
        <v>2</v>
      </c>
      <c r="AQ227" s="4">
        <v>2</v>
      </c>
      <c r="AR227" s="3" t="s">
        <v>65</v>
      </c>
      <c r="AS227" s="3" t="s">
        <v>65</v>
      </c>
      <c r="AT227" s="3" t="s">
        <v>65</v>
      </c>
      <c r="AV227" s="6" t="str">
        <f>HYPERLINK("http://mcgill.on.worldcat.org/oclc/840403812","Catalog Record")</f>
        <v>Catalog Record</v>
      </c>
      <c r="AW227" s="6" t="str">
        <f>HYPERLINK("http://www.worldcat.org/oclc/840403812","WorldCat Record")</f>
        <v>WorldCat Record</v>
      </c>
      <c r="AX227" s="3" t="s">
        <v>2342</v>
      </c>
      <c r="AY227" s="3" t="s">
        <v>2343</v>
      </c>
      <c r="AZ227" s="3" t="s">
        <v>2344</v>
      </c>
      <c r="BA227" s="3" t="s">
        <v>2344</v>
      </c>
      <c r="BB227" s="3" t="s">
        <v>2345</v>
      </c>
      <c r="BC227" s="3" t="s">
        <v>77</v>
      </c>
      <c r="BD227" s="3" t="s">
        <v>78</v>
      </c>
      <c r="BE227" s="3" t="s">
        <v>2346</v>
      </c>
      <c r="BF227" s="3" t="s">
        <v>2345</v>
      </c>
      <c r="BG227" s="3" t="s">
        <v>2347</v>
      </c>
    </row>
    <row r="228" spans="1:59" ht="58" x14ac:dyDescent="0.35">
      <c r="A228" s="2" t="s">
        <v>59</v>
      </c>
      <c r="B228" s="2" t="s">
        <v>60</v>
      </c>
      <c r="C228" s="2" t="s">
        <v>2348</v>
      </c>
      <c r="D228" s="2" t="s">
        <v>2349</v>
      </c>
      <c r="E228" s="2" t="s">
        <v>2350</v>
      </c>
      <c r="G228" s="3" t="s">
        <v>65</v>
      </c>
      <c r="I228" s="3" t="s">
        <v>65</v>
      </c>
      <c r="J228" s="3" t="s">
        <v>65</v>
      </c>
      <c r="K228" s="3" t="s">
        <v>66</v>
      </c>
      <c r="L228" s="2" t="s">
        <v>2351</v>
      </c>
      <c r="M228" s="2" t="s">
        <v>2352</v>
      </c>
      <c r="N228" s="3" t="s">
        <v>1196</v>
      </c>
      <c r="P228" s="3" t="s">
        <v>140</v>
      </c>
      <c r="Q228" s="2" t="s">
        <v>2353</v>
      </c>
      <c r="R228" s="3" t="s">
        <v>71</v>
      </c>
      <c r="S228" s="4">
        <v>14</v>
      </c>
      <c r="T228" s="4">
        <v>14</v>
      </c>
      <c r="U228" s="5" t="s">
        <v>2354</v>
      </c>
      <c r="V228" s="5" t="s">
        <v>2354</v>
      </c>
      <c r="W228" s="5" t="s">
        <v>72</v>
      </c>
      <c r="X228" s="5" t="s">
        <v>72</v>
      </c>
      <c r="Y228" s="4">
        <v>40</v>
      </c>
      <c r="Z228" s="4">
        <v>4</v>
      </c>
      <c r="AA228" s="4">
        <v>4</v>
      </c>
      <c r="AB228" s="4">
        <v>2</v>
      </c>
      <c r="AC228" s="4">
        <v>2</v>
      </c>
      <c r="AD228" s="4">
        <v>15</v>
      </c>
      <c r="AE228" s="4">
        <v>15</v>
      </c>
      <c r="AF228" s="4">
        <v>0</v>
      </c>
      <c r="AG228" s="4">
        <v>0</v>
      </c>
      <c r="AH228" s="4">
        <v>15</v>
      </c>
      <c r="AI228" s="4">
        <v>15</v>
      </c>
      <c r="AJ228" s="4">
        <v>2</v>
      </c>
      <c r="AK228" s="4">
        <v>2</v>
      </c>
      <c r="AL228" s="4">
        <v>9</v>
      </c>
      <c r="AM228" s="4">
        <v>9</v>
      </c>
      <c r="AN228" s="4">
        <v>0</v>
      </c>
      <c r="AO228" s="4">
        <v>0</v>
      </c>
      <c r="AP228" s="4">
        <v>2</v>
      </c>
      <c r="AQ228" s="4">
        <v>2</v>
      </c>
      <c r="AR228" s="3" t="s">
        <v>65</v>
      </c>
      <c r="AS228" s="3" t="s">
        <v>65</v>
      </c>
      <c r="AT228" s="3" t="s">
        <v>65</v>
      </c>
      <c r="AV228" s="6" t="str">
        <f>HYPERLINK("http://mcgill.on.worldcat.org/oclc/63808577","Catalog Record")</f>
        <v>Catalog Record</v>
      </c>
      <c r="AW228" s="6" t="str">
        <f>HYPERLINK("http://www.worldcat.org/oclc/63808577","WorldCat Record")</f>
        <v>WorldCat Record</v>
      </c>
      <c r="AX228" s="3" t="s">
        <v>2355</v>
      </c>
      <c r="AY228" s="3" t="s">
        <v>2356</v>
      </c>
      <c r="AZ228" s="3" t="s">
        <v>2357</v>
      </c>
      <c r="BA228" s="3" t="s">
        <v>2357</v>
      </c>
      <c r="BB228" s="3" t="s">
        <v>2358</v>
      </c>
      <c r="BC228" s="3" t="s">
        <v>77</v>
      </c>
      <c r="BD228" s="3" t="s">
        <v>78</v>
      </c>
      <c r="BE228" s="3" t="s">
        <v>2359</v>
      </c>
      <c r="BF228" s="3" t="s">
        <v>2358</v>
      </c>
      <c r="BG228" s="3" t="s">
        <v>2360</v>
      </c>
    </row>
    <row r="229" spans="1:59" ht="58" x14ac:dyDescent="0.35">
      <c r="A229" s="2" t="s">
        <v>59</v>
      </c>
      <c r="B229" s="2" t="s">
        <v>60</v>
      </c>
      <c r="C229" s="2" t="s">
        <v>2361</v>
      </c>
      <c r="D229" s="2" t="s">
        <v>2362</v>
      </c>
      <c r="E229" s="2" t="s">
        <v>2363</v>
      </c>
      <c r="G229" s="3" t="s">
        <v>65</v>
      </c>
      <c r="I229" s="3" t="s">
        <v>65</v>
      </c>
      <c r="J229" s="3" t="s">
        <v>65</v>
      </c>
      <c r="K229" s="3" t="s">
        <v>66</v>
      </c>
      <c r="L229" s="2" t="s">
        <v>2364</v>
      </c>
      <c r="M229" s="2" t="s">
        <v>2365</v>
      </c>
      <c r="N229" s="3" t="s">
        <v>68</v>
      </c>
      <c r="P229" s="3" t="s">
        <v>69</v>
      </c>
      <c r="Q229" s="2" t="s">
        <v>2366</v>
      </c>
      <c r="R229" s="3" t="s">
        <v>71</v>
      </c>
      <c r="S229" s="4">
        <v>0</v>
      </c>
      <c r="T229" s="4">
        <v>0</v>
      </c>
      <c r="W229" s="5" t="s">
        <v>72</v>
      </c>
      <c r="X229" s="5" t="s">
        <v>72</v>
      </c>
      <c r="Y229" s="4">
        <v>67</v>
      </c>
      <c r="Z229" s="4">
        <v>7</v>
      </c>
      <c r="AA229" s="4">
        <v>11</v>
      </c>
      <c r="AB229" s="4">
        <v>1</v>
      </c>
      <c r="AC229" s="4">
        <v>3</v>
      </c>
      <c r="AD229" s="4">
        <v>30</v>
      </c>
      <c r="AE229" s="4">
        <v>41</v>
      </c>
      <c r="AF229" s="4">
        <v>0</v>
      </c>
      <c r="AG229" s="4">
        <v>0</v>
      </c>
      <c r="AH229" s="4">
        <v>28</v>
      </c>
      <c r="AI229" s="4">
        <v>37</v>
      </c>
      <c r="AJ229" s="4">
        <v>5</v>
      </c>
      <c r="AK229" s="4">
        <v>7</v>
      </c>
      <c r="AL229" s="4">
        <v>18</v>
      </c>
      <c r="AM229" s="4">
        <v>24</v>
      </c>
      <c r="AN229" s="4">
        <v>0</v>
      </c>
      <c r="AO229" s="4">
        <v>0</v>
      </c>
      <c r="AP229" s="4">
        <v>5</v>
      </c>
      <c r="AQ229" s="4">
        <v>7</v>
      </c>
      <c r="AR229" s="3" t="s">
        <v>65</v>
      </c>
      <c r="AS229" s="3" t="s">
        <v>65</v>
      </c>
      <c r="AT229" s="3" t="s">
        <v>65</v>
      </c>
      <c r="AV229" s="6" t="str">
        <f>HYPERLINK("http://mcgill.on.worldcat.org/oclc/925782522","Catalog Record")</f>
        <v>Catalog Record</v>
      </c>
      <c r="AW229" s="6" t="str">
        <f>HYPERLINK("http://www.worldcat.org/oclc/925782522","WorldCat Record")</f>
        <v>WorldCat Record</v>
      </c>
      <c r="AX229" s="3" t="s">
        <v>2367</v>
      </c>
      <c r="AY229" s="3" t="s">
        <v>2368</v>
      </c>
      <c r="AZ229" s="3" t="s">
        <v>2369</v>
      </c>
      <c r="BA229" s="3" t="s">
        <v>2369</v>
      </c>
      <c r="BB229" s="3" t="s">
        <v>2370</v>
      </c>
      <c r="BC229" s="3" t="s">
        <v>77</v>
      </c>
      <c r="BD229" s="3" t="s">
        <v>78</v>
      </c>
      <c r="BE229" s="3" t="s">
        <v>2371</v>
      </c>
      <c r="BF229" s="3" t="s">
        <v>2370</v>
      </c>
      <c r="BG229" s="3" t="s">
        <v>2372</v>
      </c>
    </row>
    <row r="230" spans="1:59" ht="58" x14ac:dyDescent="0.35">
      <c r="A230" s="2" t="s">
        <v>59</v>
      </c>
      <c r="B230" s="2" t="s">
        <v>60</v>
      </c>
      <c r="C230" s="2" t="s">
        <v>2373</v>
      </c>
      <c r="D230" s="2" t="s">
        <v>2374</v>
      </c>
      <c r="E230" s="2" t="s">
        <v>2375</v>
      </c>
      <c r="G230" s="3" t="s">
        <v>65</v>
      </c>
      <c r="I230" s="3" t="s">
        <v>65</v>
      </c>
      <c r="J230" s="3" t="s">
        <v>65</v>
      </c>
      <c r="K230" s="3" t="s">
        <v>66</v>
      </c>
      <c r="M230" s="2" t="s">
        <v>2376</v>
      </c>
      <c r="N230" s="3" t="s">
        <v>2377</v>
      </c>
      <c r="P230" s="3" t="s">
        <v>140</v>
      </c>
      <c r="Q230" s="2" t="s">
        <v>2378</v>
      </c>
      <c r="R230" s="3" t="s">
        <v>71</v>
      </c>
      <c r="S230" s="4">
        <v>2</v>
      </c>
      <c r="T230" s="4">
        <v>2</v>
      </c>
      <c r="U230" s="5" t="s">
        <v>2379</v>
      </c>
      <c r="V230" s="5" t="s">
        <v>2379</v>
      </c>
      <c r="W230" s="5" t="s">
        <v>72</v>
      </c>
      <c r="X230" s="5" t="s">
        <v>72</v>
      </c>
      <c r="Y230" s="4">
        <v>36</v>
      </c>
      <c r="Z230" s="4">
        <v>3</v>
      </c>
      <c r="AA230" s="4">
        <v>3</v>
      </c>
      <c r="AB230" s="4">
        <v>1</v>
      </c>
      <c r="AC230" s="4">
        <v>1</v>
      </c>
      <c r="AD230" s="4">
        <v>13</v>
      </c>
      <c r="AE230" s="4">
        <v>13</v>
      </c>
      <c r="AF230" s="4">
        <v>0</v>
      </c>
      <c r="AG230" s="4">
        <v>0</v>
      </c>
      <c r="AH230" s="4">
        <v>12</v>
      </c>
      <c r="AI230" s="4">
        <v>12</v>
      </c>
      <c r="AJ230" s="4">
        <v>1</v>
      </c>
      <c r="AK230" s="4">
        <v>1</v>
      </c>
      <c r="AL230" s="4">
        <v>12</v>
      </c>
      <c r="AM230" s="4">
        <v>12</v>
      </c>
      <c r="AN230" s="4">
        <v>5</v>
      </c>
      <c r="AO230" s="4">
        <v>5</v>
      </c>
      <c r="AP230" s="4">
        <v>1</v>
      </c>
      <c r="AQ230" s="4">
        <v>1</v>
      </c>
      <c r="AR230" s="3" t="s">
        <v>65</v>
      </c>
      <c r="AS230" s="3" t="s">
        <v>65</v>
      </c>
      <c r="AT230" s="3" t="s">
        <v>209</v>
      </c>
      <c r="AU230" s="6" t="str">
        <f>HYPERLINK("http://catalog.hathitrust.org/Record/102166553","HathiTrust Record")</f>
        <v>HathiTrust Record</v>
      </c>
      <c r="AV230" s="6" t="str">
        <f>HYPERLINK("http://mcgill.on.worldcat.org/oclc/24459125","Catalog Record")</f>
        <v>Catalog Record</v>
      </c>
      <c r="AW230" s="6" t="str">
        <f>HYPERLINK("http://www.worldcat.org/oclc/24459125","WorldCat Record")</f>
        <v>WorldCat Record</v>
      </c>
      <c r="AX230" s="3" t="s">
        <v>2380</v>
      </c>
      <c r="AY230" s="3" t="s">
        <v>2381</v>
      </c>
      <c r="AZ230" s="3" t="s">
        <v>2382</v>
      </c>
      <c r="BA230" s="3" t="s">
        <v>2382</v>
      </c>
      <c r="BB230" s="3" t="s">
        <v>2383</v>
      </c>
      <c r="BC230" s="3" t="s">
        <v>77</v>
      </c>
      <c r="BD230" s="3" t="s">
        <v>78</v>
      </c>
      <c r="BF230" s="3" t="s">
        <v>2383</v>
      </c>
      <c r="BG230" s="3" t="s">
        <v>2384</v>
      </c>
    </row>
    <row r="231" spans="1:59" ht="58" x14ac:dyDescent="0.35">
      <c r="A231" s="2" t="s">
        <v>59</v>
      </c>
      <c r="B231" s="2" t="s">
        <v>60</v>
      </c>
      <c r="C231" s="2" t="s">
        <v>2385</v>
      </c>
      <c r="D231" s="2" t="s">
        <v>2386</v>
      </c>
      <c r="E231" s="2" t="s">
        <v>2387</v>
      </c>
      <c r="G231" s="3" t="s">
        <v>65</v>
      </c>
      <c r="I231" s="3" t="s">
        <v>65</v>
      </c>
      <c r="J231" s="3" t="s">
        <v>65</v>
      </c>
      <c r="K231" s="3" t="s">
        <v>66</v>
      </c>
      <c r="L231" s="2" t="s">
        <v>2388</v>
      </c>
      <c r="M231" s="2" t="s">
        <v>2389</v>
      </c>
      <c r="N231" s="3" t="s">
        <v>863</v>
      </c>
      <c r="P231" s="3" t="s">
        <v>140</v>
      </c>
      <c r="Q231" s="2" t="s">
        <v>2390</v>
      </c>
      <c r="R231" s="3" t="s">
        <v>71</v>
      </c>
      <c r="S231" s="4">
        <v>2</v>
      </c>
      <c r="T231" s="4">
        <v>2</v>
      </c>
      <c r="U231" s="5" t="s">
        <v>2391</v>
      </c>
      <c r="V231" s="5" t="s">
        <v>2391</v>
      </c>
      <c r="W231" s="5" t="s">
        <v>72</v>
      </c>
      <c r="X231" s="5" t="s">
        <v>72</v>
      </c>
      <c r="Y231" s="4">
        <v>69</v>
      </c>
      <c r="Z231" s="4">
        <v>5</v>
      </c>
      <c r="AA231" s="4">
        <v>5</v>
      </c>
      <c r="AB231" s="4">
        <v>1</v>
      </c>
      <c r="AC231" s="4">
        <v>1</v>
      </c>
      <c r="AD231" s="4">
        <v>33</v>
      </c>
      <c r="AE231" s="4">
        <v>33</v>
      </c>
      <c r="AF231" s="4">
        <v>0</v>
      </c>
      <c r="AG231" s="4">
        <v>0</v>
      </c>
      <c r="AH231" s="4">
        <v>32</v>
      </c>
      <c r="AI231" s="4">
        <v>32</v>
      </c>
      <c r="AJ231" s="4">
        <v>2</v>
      </c>
      <c r="AK231" s="4">
        <v>2</v>
      </c>
      <c r="AL231" s="4">
        <v>25</v>
      </c>
      <c r="AM231" s="4">
        <v>25</v>
      </c>
      <c r="AN231" s="4">
        <v>0</v>
      </c>
      <c r="AO231" s="4">
        <v>0</v>
      </c>
      <c r="AP231" s="4">
        <v>2</v>
      </c>
      <c r="AQ231" s="4">
        <v>2</v>
      </c>
      <c r="AR231" s="3" t="s">
        <v>65</v>
      </c>
      <c r="AS231" s="3" t="s">
        <v>65</v>
      </c>
      <c r="AT231" s="3" t="s">
        <v>65</v>
      </c>
      <c r="AV231" s="6" t="str">
        <f>HYPERLINK("http://mcgill.on.worldcat.org/oclc/28715152","Catalog Record")</f>
        <v>Catalog Record</v>
      </c>
      <c r="AW231" s="6" t="str">
        <f>HYPERLINK("http://www.worldcat.org/oclc/28715152","WorldCat Record")</f>
        <v>WorldCat Record</v>
      </c>
      <c r="AX231" s="3" t="s">
        <v>2392</v>
      </c>
      <c r="AY231" s="3" t="s">
        <v>2393</v>
      </c>
      <c r="AZ231" s="3" t="s">
        <v>2394</v>
      </c>
      <c r="BA231" s="3" t="s">
        <v>2394</v>
      </c>
      <c r="BB231" s="3" t="s">
        <v>2395</v>
      </c>
      <c r="BC231" s="3" t="s">
        <v>77</v>
      </c>
      <c r="BD231" s="3" t="s">
        <v>78</v>
      </c>
      <c r="BE231" s="3" t="s">
        <v>2396</v>
      </c>
      <c r="BF231" s="3" t="s">
        <v>2395</v>
      </c>
      <c r="BG231" s="3" t="s">
        <v>2397</v>
      </c>
    </row>
    <row r="232" spans="1:59" ht="58" x14ac:dyDescent="0.35">
      <c r="A232" s="2" t="s">
        <v>59</v>
      </c>
      <c r="B232" s="2" t="s">
        <v>60</v>
      </c>
      <c r="C232" s="2" t="s">
        <v>2398</v>
      </c>
      <c r="D232" s="2" t="s">
        <v>2399</v>
      </c>
      <c r="E232" s="2" t="s">
        <v>2400</v>
      </c>
      <c r="G232" s="3" t="s">
        <v>65</v>
      </c>
      <c r="I232" s="3" t="s">
        <v>65</v>
      </c>
      <c r="J232" s="3" t="s">
        <v>65</v>
      </c>
      <c r="K232" s="3" t="s">
        <v>66</v>
      </c>
      <c r="L232" s="2" t="s">
        <v>2401</v>
      </c>
      <c r="M232" s="2" t="s">
        <v>1007</v>
      </c>
      <c r="N232" s="3" t="s">
        <v>68</v>
      </c>
      <c r="P232" s="3" t="s">
        <v>140</v>
      </c>
      <c r="Q232" s="2" t="s">
        <v>2402</v>
      </c>
      <c r="R232" s="3" t="s">
        <v>71</v>
      </c>
      <c r="S232" s="4">
        <v>0</v>
      </c>
      <c r="T232" s="4">
        <v>0</v>
      </c>
      <c r="W232" s="5" t="s">
        <v>72</v>
      </c>
      <c r="X232" s="5" t="s">
        <v>72</v>
      </c>
      <c r="Y232" s="4">
        <v>46</v>
      </c>
      <c r="Z232" s="4">
        <v>3</v>
      </c>
      <c r="AA232" s="4">
        <v>3</v>
      </c>
      <c r="AB232" s="4">
        <v>1</v>
      </c>
      <c r="AC232" s="4">
        <v>1</v>
      </c>
      <c r="AD232" s="4">
        <v>29</v>
      </c>
      <c r="AE232" s="4">
        <v>29</v>
      </c>
      <c r="AF232" s="4">
        <v>0</v>
      </c>
      <c r="AG232" s="4">
        <v>0</v>
      </c>
      <c r="AH232" s="4">
        <v>28</v>
      </c>
      <c r="AI232" s="4">
        <v>28</v>
      </c>
      <c r="AJ232" s="4">
        <v>1</v>
      </c>
      <c r="AK232" s="4">
        <v>1</v>
      </c>
      <c r="AL232" s="4">
        <v>24</v>
      </c>
      <c r="AM232" s="4">
        <v>24</v>
      </c>
      <c r="AN232" s="4">
        <v>0</v>
      </c>
      <c r="AO232" s="4">
        <v>0</v>
      </c>
      <c r="AP232" s="4">
        <v>1</v>
      </c>
      <c r="AQ232" s="4">
        <v>1</v>
      </c>
      <c r="AR232" s="3" t="s">
        <v>65</v>
      </c>
      <c r="AS232" s="3" t="s">
        <v>65</v>
      </c>
      <c r="AT232" s="3" t="s">
        <v>65</v>
      </c>
      <c r="AV232" s="6" t="str">
        <f>HYPERLINK("http://mcgill.on.worldcat.org/oclc/957465802","Catalog Record")</f>
        <v>Catalog Record</v>
      </c>
      <c r="AW232" s="6" t="str">
        <f>HYPERLINK("http://www.worldcat.org/oclc/957465802","WorldCat Record")</f>
        <v>WorldCat Record</v>
      </c>
      <c r="AX232" s="3" t="s">
        <v>2403</v>
      </c>
      <c r="AY232" s="3" t="s">
        <v>2404</v>
      </c>
      <c r="AZ232" s="3" t="s">
        <v>2405</v>
      </c>
      <c r="BA232" s="3" t="s">
        <v>2405</v>
      </c>
      <c r="BB232" s="3" t="s">
        <v>2406</v>
      </c>
      <c r="BC232" s="3" t="s">
        <v>77</v>
      </c>
      <c r="BD232" s="3" t="s">
        <v>78</v>
      </c>
      <c r="BE232" s="3" t="s">
        <v>2407</v>
      </c>
      <c r="BF232" s="3" t="s">
        <v>2406</v>
      </c>
      <c r="BG232" s="3" t="s">
        <v>2408</v>
      </c>
    </row>
    <row r="233" spans="1:59" ht="58" x14ac:dyDescent="0.35">
      <c r="A233" s="2" t="s">
        <v>59</v>
      </c>
      <c r="B233" s="2" t="s">
        <v>60</v>
      </c>
      <c r="C233" s="2" t="s">
        <v>2409</v>
      </c>
      <c r="D233" s="2" t="s">
        <v>2410</v>
      </c>
      <c r="E233" s="2" t="s">
        <v>2411</v>
      </c>
      <c r="G233" s="3" t="s">
        <v>65</v>
      </c>
      <c r="I233" s="3" t="s">
        <v>209</v>
      </c>
      <c r="J233" s="3" t="s">
        <v>65</v>
      </c>
      <c r="K233" s="3" t="s">
        <v>66</v>
      </c>
      <c r="L233" s="2" t="s">
        <v>2412</v>
      </c>
      <c r="M233" s="2" t="s">
        <v>2413</v>
      </c>
      <c r="N233" s="3" t="s">
        <v>2414</v>
      </c>
      <c r="P233" s="3" t="s">
        <v>69</v>
      </c>
      <c r="R233" s="3" t="s">
        <v>71</v>
      </c>
      <c r="S233" s="4">
        <v>14</v>
      </c>
      <c r="T233" s="4">
        <v>14</v>
      </c>
      <c r="U233" s="5" t="s">
        <v>2415</v>
      </c>
      <c r="V233" s="5" t="s">
        <v>2415</v>
      </c>
      <c r="W233" s="5" t="s">
        <v>72</v>
      </c>
      <c r="X233" s="5" t="s">
        <v>72</v>
      </c>
      <c r="Y233" s="4">
        <v>34</v>
      </c>
      <c r="Z233" s="4">
        <v>3</v>
      </c>
      <c r="AA233" s="4">
        <v>4</v>
      </c>
      <c r="AB233" s="4">
        <v>1</v>
      </c>
      <c r="AC233" s="4">
        <v>1</v>
      </c>
      <c r="AD233" s="4">
        <v>8</v>
      </c>
      <c r="AE233" s="4">
        <v>10</v>
      </c>
      <c r="AF233" s="4">
        <v>0</v>
      </c>
      <c r="AG233" s="4">
        <v>0</v>
      </c>
      <c r="AH233" s="4">
        <v>6</v>
      </c>
      <c r="AI233" s="4">
        <v>7</v>
      </c>
      <c r="AJ233" s="4">
        <v>1</v>
      </c>
      <c r="AK233" s="4">
        <v>1</v>
      </c>
      <c r="AL233" s="4">
        <v>4</v>
      </c>
      <c r="AM233" s="4">
        <v>4</v>
      </c>
      <c r="AN233" s="4">
        <v>0</v>
      </c>
      <c r="AO233" s="4">
        <v>0</v>
      </c>
      <c r="AP233" s="4">
        <v>1</v>
      </c>
      <c r="AQ233" s="4">
        <v>2</v>
      </c>
      <c r="AR233" s="3" t="s">
        <v>65</v>
      </c>
      <c r="AS233" s="3" t="s">
        <v>65</v>
      </c>
      <c r="AT233" s="3" t="s">
        <v>65</v>
      </c>
      <c r="AU233" s="6" t="str">
        <f>HYPERLINK("http://catalog.hathitrust.org/Record/001803914","HathiTrust Record")</f>
        <v>HathiTrust Record</v>
      </c>
      <c r="AV233" s="6" t="str">
        <f>HYPERLINK("http://mcgill.on.worldcat.org/oclc/39376113","Catalog Record")</f>
        <v>Catalog Record</v>
      </c>
      <c r="AW233" s="6" t="str">
        <f>HYPERLINK("http://www.worldcat.org/oclc/39376113","WorldCat Record")</f>
        <v>WorldCat Record</v>
      </c>
      <c r="AX233" s="3" t="s">
        <v>2416</v>
      </c>
      <c r="AY233" s="3" t="s">
        <v>2417</v>
      </c>
      <c r="AZ233" s="3" t="s">
        <v>2418</v>
      </c>
      <c r="BA233" s="3" t="s">
        <v>2418</v>
      </c>
      <c r="BB233" s="3" t="s">
        <v>2419</v>
      </c>
      <c r="BC233" s="3" t="s">
        <v>77</v>
      </c>
      <c r="BD233" s="3" t="s">
        <v>78</v>
      </c>
      <c r="BF233" s="3" t="s">
        <v>2419</v>
      </c>
      <c r="BG233" s="3" t="s">
        <v>2420</v>
      </c>
    </row>
    <row r="234" spans="1:59" ht="58" x14ac:dyDescent="0.35">
      <c r="A234" s="2" t="s">
        <v>59</v>
      </c>
      <c r="B234" s="2" t="s">
        <v>60</v>
      </c>
      <c r="C234" s="2" t="s">
        <v>2409</v>
      </c>
      <c r="D234" s="2" t="s">
        <v>2410</v>
      </c>
      <c r="E234" s="2" t="s">
        <v>2411</v>
      </c>
      <c r="G234" s="3" t="s">
        <v>65</v>
      </c>
      <c r="I234" s="3" t="s">
        <v>209</v>
      </c>
      <c r="J234" s="3" t="s">
        <v>65</v>
      </c>
      <c r="K234" s="3" t="s">
        <v>66</v>
      </c>
      <c r="L234" s="2" t="s">
        <v>2412</v>
      </c>
      <c r="M234" s="2" t="s">
        <v>2413</v>
      </c>
      <c r="N234" s="3" t="s">
        <v>2414</v>
      </c>
      <c r="P234" s="3" t="s">
        <v>69</v>
      </c>
      <c r="R234" s="3" t="s">
        <v>71</v>
      </c>
      <c r="S234" s="4">
        <v>0</v>
      </c>
      <c r="T234" s="4">
        <v>14</v>
      </c>
      <c r="V234" s="5" t="s">
        <v>2415</v>
      </c>
      <c r="W234" s="5" t="s">
        <v>72</v>
      </c>
      <c r="X234" s="5" t="s">
        <v>72</v>
      </c>
      <c r="Y234" s="4">
        <v>34</v>
      </c>
      <c r="Z234" s="4">
        <v>3</v>
      </c>
      <c r="AA234" s="4">
        <v>4</v>
      </c>
      <c r="AB234" s="4">
        <v>1</v>
      </c>
      <c r="AC234" s="4">
        <v>1</v>
      </c>
      <c r="AD234" s="4">
        <v>8</v>
      </c>
      <c r="AE234" s="4">
        <v>10</v>
      </c>
      <c r="AF234" s="4">
        <v>0</v>
      </c>
      <c r="AG234" s="4">
        <v>0</v>
      </c>
      <c r="AH234" s="4">
        <v>6</v>
      </c>
      <c r="AI234" s="4">
        <v>7</v>
      </c>
      <c r="AJ234" s="4">
        <v>1</v>
      </c>
      <c r="AK234" s="4">
        <v>1</v>
      </c>
      <c r="AL234" s="4">
        <v>4</v>
      </c>
      <c r="AM234" s="4">
        <v>4</v>
      </c>
      <c r="AN234" s="4">
        <v>0</v>
      </c>
      <c r="AO234" s="4">
        <v>0</v>
      </c>
      <c r="AP234" s="4">
        <v>1</v>
      </c>
      <c r="AQ234" s="4">
        <v>2</v>
      </c>
      <c r="AR234" s="3" t="s">
        <v>65</v>
      </c>
      <c r="AS234" s="3" t="s">
        <v>65</v>
      </c>
      <c r="AT234" s="3" t="s">
        <v>65</v>
      </c>
      <c r="AU234" s="6" t="str">
        <f>HYPERLINK("http://catalog.hathitrust.org/Record/001803914","HathiTrust Record")</f>
        <v>HathiTrust Record</v>
      </c>
      <c r="AV234" s="6" t="str">
        <f>HYPERLINK("http://mcgill.on.worldcat.org/oclc/39376113","Catalog Record")</f>
        <v>Catalog Record</v>
      </c>
      <c r="AW234" s="6" t="str">
        <f>HYPERLINK("http://www.worldcat.org/oclc/39376113","WorldCat Record")</f>
        <v>WorldCat Record</v>
      </c>
      <c r="AX234" s="3" t="s">
        <v>2416</v>
      </c>
      <c r="AY234" s="3" t="s">
        <v>2417</v>
      </c>
      <c r="AZ234" s="3" t="s">
        <v>2418</v>
      </c>
      <c r="BA234" s="3" t="s">
        <v>2418</v>
      </c>
      <c r="BB234" s="3" t="s">
        <v>2421</v>
      </c>
      <c r="BC234" s="3" t="s">
        <v>77</v>
      </c>
      <c r="BD234" s="3" t="s">
        <v>78</v>
      </c>
      <c r="BF234" s="3" t="s">
        <v>2421</v>
      </c>
      <c r="BG234" s="3" t="s">
        <v>2422</v>
      </c>
    </row>
    <row r="235" spans="1:59" ht="58" x14ac:dyDescent="0.35">
      <c r="A235" s="2" t="s">
        <v>59</v>
      </c>
      <c r="B235" s="2" t="s">
        <v>60</v>
      </c>
      <c r="C235" s="2" t="s">
        <v>2423</v>
      </c>
      <c r="D235" s="2" t="s">
        <v>2424</v>
      </c>
      <c r="E235" s="2" t="s">
        <v>2425</v>
      </c>
      <c r="G235" s="3" t="s">
        <v>65</v>
      </c>
      <c r="I235" s="3" t="s">
        <v>65</v>
      </c>
      <c r="J235" s="3" t="s">
        <v>65</v>
      </c>
      <c r="K235" s="3" t="s">
        <v>66</v>
      </c>
      <c r="L235" s="2" t="s">
        <v>2426</v>
      </c>
      <c r="M235" s="2" t="s">
        <v>2352</v>
      </c>
      <c r="N235" s="3" t="s">
        <v>1196</v>
      </c>
      <c r="P235" s="3" t="s">
        <v>140</v>
      </c>
      <c r="Q235" s="2" t="s">
        <v>2353</v>
      </c>
      <c r="R235" s="3" t="s">
        <v>71</v>
      </c>
      <c r="S235" s="4">
        <v>8</v>
      </c>
      <c r="T235" s="4">
        <v>8</v>
      </c>
      <c r="U235" s="5" t="s">
        <v>367</v>
      </c>
      <c r="V235" s="5" t="s">
        <v>367</v>
      </c>
      <c r="W235" s="5" t="s">
        <v>72</v>
      </c>
      <c r="X235" s="5" t="s">
        <v>72</v>
      </c>
      <c r="Y235" s="4">
        <v>43</v>
      </c>
      <c r="Z235" s="4">
        <v>4</v>
      </c>
      <c r="AA235" s="4">
        <v>4</v>
      </c>
      <c r="AB235" s="4">
        <v>2</v>
      </c>
      <c r="AC235" s="4">
        <v>2</v>
      </c>
      <c r="AD235" s="4">
        <v>13</v>
      </c>
      <c r="AE235" s="4">
        <v>13</v>
      </c>
      <c r="AF235" s="4">
        <v>0</v>
      </c>
      <c r="AG235" s="4">
        <v>0</v>
      </c>
      <c r="AH235" s="4">
        <v>13</v>
      </c>
      <c r="AI235" s="4">
        <v>13</v>
      </c>
      <c r="AJ235" s="4">
        <v>2</v>
      </c>
      <c r="AK235" s="4">
        <v>2</v>
      </c>
      <c r="AL235" s="4">
        <v>9</v>
      </c>
      <c r="AM235" s="4">
        <v>9</v>
      </c>
      <c r="AN235" s="4">
        <v>0</v>
      </c>
      <c r="AO235" s="4">
        <v>0</v>
      </c>
      <c r="AP235" s="4">
        <v>2</v>
      </c>
      <c r="AQ235" s="4">
        <v>2</v>
      </c>
      <c r="AR235" s="3" t="s">
        <v>65</v>
      </c>
      <c r="AS235" s="3" t="s">
        <v>65</v>
      </c>
      <c r="AT235" s="3" t="s">
        <v>65</v>
      </c>
      <c r="AV235" s="6" t="str">
        <f>HYPERLINK("http://mcgill.on.worldcat.org/oclc/64118563","Catalog Record")</f>
        <v>Catalog Record</v>
      </c>
      <c r="AW235" s="6" t="str">
        <f>HYPERLINK("http://www.worldcat.org/oclc/64118563","WorldCat Record")</f>
        <v>WorldCat Record</v>
      </c>
      <c r="AX235" s="3" t="s">
        <v>2427</v>
      </c>
      <c r="AY235" s="3" t="s">
        <v>2428</v>
      </c>
      <c r="AZ235" s="3" t="s">
        <v>2429</v>
      </c>
      <c r="BA235" s="3" t="s">
        <v>2429</v>
      </c>
      <c r="BB235" s="3" t="s">
        <v>2430</v>
      </c>
      <c r="BC235" s="3" t="s">
        <v>77</v>
      </c>
      <c r="BD235" s="3" t="s">
        <v>78</v>
      </c>
      <c r="BE235" s="3" t="s">
        <v>2431</v>
      </c>
      <c r="BF235" s="3" t="s">
        <v>2430</v>
      </c>
      <c r="BG235" s="3" t="s">
        <v>2432</v>
      </c>
    </row>
    <row r="236" spans="1:59" ht="58" x14ac:dyDescent="0.35">
      <c r="A236" s="2" t="s">
        <v>59</v>
      </c>
      <c r="B236" s="2" t="s">
        <v>60</v>
      </c>
      <c r="C236" s="2" t="s">
        <v>2433</v>
      </c>
      <c r="D236" s="2" t="s">
        <v>2434</v>
      </c>
      <c r="E236" s="2" t="s">
        <v>2435</v>
      </c>
      <c r="G236" s="3" t="s">
        <v>65</v>
      </c>
      <c r="I236" s="3" t="s">
        <v>65</v>
      </c>
      <c r="J236" s="3" t="s">
        <v>65</v>
      </c>
      <c r="K236" s="3" t="s">
        <v>66</v>
      </c>
      <c r="L236" s="2" t="s">
        <v>2436</v>
      </c>
      <c r="M236" s="2" t="s">
        <v>2437</v>
      </c>
      <c r="N236" s="3" t="s">
        <v>152</v>
      </c>
      <c r="O236" s="2" t="s">
        <v>2438</v>
      </c>
      <c r="P236" s="3" t="s">
        <v>69</v>
      </c>
      <c r="R236" s="3" t="s">
        <v>71</v>
      </c>
      <c r="S236" s="4">
        <v>0</v>
      </c>
      <c r="T236" s="4">
        <v>0</v>
      </c>
      <c r="W236" s="5" t="s">
        <v>72</v>
      </c>
      <c r="X236" s="5" t="s">
        <v>72</v>
      </c>
      <c r="Y236" s="4">
        <v>214</v>
      </c>
      <c r="Z236" s="4">
        <v>18</v>
      </c>
      <c r="AA236" s="4">
        <v>49</v>
      </c>
      <c r="AB236" s="4">
        <v>1</v>
      </c>
      <c r="AC236" s="4">
        <v>8</v>
      </c>
      <c r="AD236" s="4">
        <v>75</v>
      </c>
      <c r="AE236" s="4">
        <v>110</v>
      </c>
      <c r="AF236" s="4">
        <v>0</v>
      </c>
      <c r="AG236" s="4">
        <v>3</v>
      </c>
      <c r="AH236" s="4">
        <v>69</v>
      </c>
      <c r="AI236" s="4">
        <v>90</v>
      </c>
      <c r="AJ236" s="4">
        <v>13</v>
      </c>
      <c r="AK236" s="4">
        <v>19</v>
      </c>
      <c r="AL236" s="4">
        <v>42</v>
      </c>
      <c r="AM236" s="4">
        <v>51</v>
      </c>
      <c r="AN236" s="4">
        <v>0</v>
      </c>
      <c r="AO236" s="4">
        <v>0</v>
      </c>
      <c r="AP236" s="4">
        <v>14</v>
      </c>
      <c r="AQ236" s="4">
        <v>28</v>
      </c>
      <c r="AR236" s="3" t="s">
        <v>65</v>
      </c>
      <c r="AS236" s="3" t="s">
        <v>65</v>
      </c>
      <c r="AT236" s="3" t="s">
        <v>65</v>
      </c>
      <c r="AV236" s="6" t="str">
        <f>HYPERLINK("http://mcgill.on.worldcat.org/oclc/826859599","Catalog Record")</f>
        <v>Catalog Record</v>
      </c>
      <c r="AW236" s="6" t="str">
        <f>HYPERLINK("http://www.worldcat.org/oclc/826859599","WorldCat Record")</f>
        <v>WorldCat Record</v>
      </c>
      <c r="AX236" s="3" t="s">
        <v>2439</v>
      </c>
      <c r="AY236" s="3" t="s">
        <v>2440</v>
      </c>
      <c r="AZ236" s="3" t="s">
        <v>2441</v>
      </c>
      <c r="BA236" s="3" t="s">
        <v>2441</v>
      </c>
      <c r="BB236" s="3" t="s">
        <v>2442</v>
      </c>
      <c r="BC236" s="3" t="s">
        <v>77</v>
      </c>
      <c r="BD236" s="3" t="s">
        <v>78</v>
      </c>
      <c r="BE236" s="3" t="s">
        <v>2443</v>
      </c>
      <c r="BF236" s="3" t="s">
        <v>2442</v>
      </c>
      <c r="BG236" s="3" t="s">
        <v>2444</v>
      </c>
    </row>
    <row r="237" spans="1:59" ht="58" x14ac:dyDescent="0.35">
      <c r="A237" s="2" t="s">
        <v>59</v>
      </c>
      <c r="B237" s="2" t="s">
        <v>60</v>
      </c>
      <c r="C237" s="2" t="s">
        <v>2445</v>
      </c>
      <c r="D237" s="2" t="s">
        <v>2446</v>
      </c>
      <c r="E237" s="2" t="s">
        <v>2447</v>
      </c>
      <c r="G237" s="3" t="s">
        <v>65</v>
      </c>
      <c r="I237" s="3" t="s">
        <v>65</v>
      </c>
      <c r="J237" s="3" t="s">
        <v>65</v>
      </c>
      <c r="K237" s="3" t="s">
        <v>66</v>
      </c>
      <c r="M237" s="2" t="s">
        <v>2448</v>
      </c>
      <c r="N237" s="3" t="s">
        <v>1122</v>
      </c>
      <c r="P237" s="3" t="s">
        <v>69</v>
      </c>
      <c r="R237" s="3" t="s">
        <v>71</v>
      </c>
      <c r="S237" s="4">
        <v>3</v>
      </c>
      <c r="T237" s="4">
        <v>3</v>
      </c>
      <c r="U237" s="5" t="s">
        <v>2449</v>
      </c>
      <c r="V237" s="5" t="s">
        <v>2449</v>
      </c>
      <c r="W237" s="5" t="s">
        <v>72</v>
      </c>
      <c r="X237" s="5" t="s">
        <v>72</v>
      </c>
      <c r="Y237" s="4">
        <v>220</v>
      </c>
      <c r="Z237" s="4">
        <v>20</v>
      </c>
      <c r="AA237" s="4">
        <v>24</v>
      </c>
      <c r="AB237" s="4">
        <v>3</v>
      </c>
      <c r="AC237" s="4">
        <v>5</v>
      </c>
      <c r="AD237" s="4">
        <v>78</v>
      </c>
      <c r="AE237" s="4">
        <v>84</v>
      </c>
      <c r="AF237" s="4">
        <v>1</v>
      </c>
      <c r="AG237" s="4">
        <v>1</v>
      </c>
      <c r="AH237" s="4">
        <v>70</v>
      </c>
      <c r="AI237" s="4">
        <v>76</v>
      </c>
      <c r="AJ237" s="4">
        <v>14</v>
      </c>
      <c r="AK237" s="4">
        <v>15</v>
      </c>
      <c r="AL237" s="4">
        <v>43</v>
      </c>
      <c r="AM237" s="4">
        <v>44</v>
      </c>
      <c r="AN237" s="4">
        <v>0</v>
      </c>
      <c r="AO237" s="4">
        <v>0</v>
      </c>
      <c r="AP237" s="4">
        <v>16</v>
      </c>
      <c r="AQ237" s="4">
        <v>17</v>
      </c>
      <c r="AR237" s="3" t="s">
        <v>65</v>
      </c>
      <c r="AS237" s="3" t="s">
        <v>65</v>
      </c>
      <c r="AT237" s="3" t="s">
        <v>65</v>
      </c>
      <c r="AV237" s="6" t="str">
        <f>HYPERLINK("http://mcgill.on.worldcat.org/oclc/214307397","Catalog Record")</f>
        <v>Catalog Record</v>
      </c>
      <c r="AW237" s="6" t="str">
        <f>HYPERLINK("http://www.worldcat.org/oclc/214307397","WorldCat Record")</f>
        <v>WorldCat Record</v>
      </c>
      <c r="AX237" s="3" t="s">
        <v>2450</v>
      </c>
      <c r="AY237" s="3" t="s">
        <v>2451</v>
      </c>
      <c r="AZ237" s="3" t="s">
        <v>2452</v>
      </c>
      <c r="BA237" s="3" t="s">
        <v>2452</v>
      </c>
      <c r="BB237" s="3" t="s">
        <v>2453</v>
      </c>
      <c r="BC237" s="3" t="s">
        <v>77</v>
      </c>
      <c r="BD237" s="3" t="s">
        <v>78</v>
      </c>
      <c r="BE237" s="3" t="s">
        <v>2454</v>
      </c>
      <c r="BF237" s="3" t="s">
        <v>2453</v>
      </c>
      <c r="BG237" s="3" t="s">
        <v>2455</v>
      </c>
    </row>
    <row r="238" spans="1:59" ht="58" x14ac:dyDescent="0.35">
      <c r="A238" s="2" t="s">
        <v>59</v>
      </c>
      <c r="B238" s="2" t="s">
        <v>60</v>
      </c>
      <c r="C238" s="2" t="s">
        <v>2456</v>
      </c>
      <c r="D238" s="2" t="s">
        <v>2457</v>
      </c>
      <c r="E238" s="2" t="s">
        <v>2458</v>
      </c>
      <c r="G238" s="3" t="s">
        <v>65</v>
      </c>
      <c r="I238" s="3" t="s">
        <v>65</v>
      </c>
      <c r="J238" s="3" t="s">
        <v>65</v>
      </c>
      <c r="K238" s="3" t="s">
        <v>66</v>
      </c>
      <c r="M238" s="2" t="s">
        <v>2459</v>
      </c>
      <c r="N238" s="3" t="s">
        <v>2460</v>
      </c>
      <c r="P238" s="3" t="s">
        <v>69</v>
      </c>
      <c r="R238" s="3" t="s">
        <v>71</v>
      </c>
      <c r="S238" s="4">
        <v>13</v>
      </c>
      <c r="T238" s="4">
        <v>13</v>
      </c>
      <c r="U238" s="5" t="s">
        <v>2461</v>
      </c>
      <c r="V238" s="5" t="s">
        <v>2461</v>
      </c>
      <c r="W238" s="5" t="s">
        <v>72</v>
      </c>
      <c r="X238" s="5" t="s">
        <v>72</v>
      </c>
      <c r="Y238" s="4">
        <v>281</v>
      </c>
      <c r="Z238" s="4">
        <v>17</v>
      </c>
      <c r="AA238" s="4">
        <v>19</v>
      </c>
      <c r="AB238" s="4">
        <v>2</v>
      </c>
      <c r="AC238" s="4">
        <v>2</v>
      </c>
      <c r="AD238" s="4">
        <v>104</v>
      </c>
      <c r="AE238" s="4">
        <v>106</v>
      </c>
      <c r="AF238" s="4">
        <v>0</v>
      </c>
      <c r="AG238" s="4">
        <v>0</v>
      </c>
      <c r="AH238" s="4">
        <v>95</v>
      </c>
      <c r="AI238" s="4">
        <v>96</v>
      </c>
      <c r="AJ238" s="4">
        <v>12</v>
      </c>
      <c r="AK238" s="4">
        <v>14</v>
      </c>
      <c r="AL238" s="4">
        <v>56</v>
      </c>
      <c r="AM238" s="4">
        <v>56</v>
      </c>
      <c r="AN238" s="4">
        <v>0</v>
      </c>
      <c r="AO238" s="4">
        <v>0</v>
      </c>
      <c r="AP238" s="4">
        <v>13</v>
      </c>
      <c r="AQ238" s="4">
        <v>15</v>
      </c>
      <c r="AR238" s="3" t="s">
        <v>65</v>
      </c>
      <c r="AS238" s="3" t="s">
        <v>65</v>
      </c>
      <c r="AT238" s="3" t="s">
        <v>209</v>
      </c>
      <c r="AU238" s="6" t="str">
        <f>HYPERLINK("http://catalog.hathitrust.org/Record/000905947","HathiTrust Record")</f>
        <v>HathiTrust Record</v>
      </c>
      <c r="AV238" s="6" t="str">
        <f>HYPERLINK("http://mcgill.on.worldcat.org/oclc/15631339","Catalog Record")</f>
        <v>Catalog Record</v>
      </c>
      <c r="AW238" s="6" t="str">
        <f>HYPERLINK("http://www.worldcat.org/oclc/15631339","WorldCat Record")</f>
        <v>WorldCat Record</v>
      </c>
      <c r="AX238" s="3" t="s">
        <v>2462</v>
      </c>
      <c r="AY238" s="3" t="s">
        <v>2463</v>
      </c>
      <c r="AZ238" s="3" t="s">
        <v>2464</v>
      </c>
      <c r="BA238" s="3" t="s">
        <v>2464</v>
      </c>
      <c r="BB238" s="3" t="s">
        <v>2465</v>
      </c>
      <c r="BC238" s="3" t="s">
        <v>77</v>
      </c>
      <c r="BD238" s="3" t="s">
        <v>78</v>
      </c>
      <c r="BE238" s="3" t="s">
        <v>2466</v>
      </c>
      <c r="BF238" s="3" t="s">
        <v>2465</v>
      </c>
      <c r="BG238" s="3" t="s">
        <v>2467</v>
      </c>
    </row>
    <row r="239" spans="1:59" ht="58" x14ac:dyDescent="0.35">
      <c r="A239" s="2" t="s">
        <v>59</v>
      </c>
      <c r="B239" s="2" t="s">
        <v>60</v>
      </c>
      <c r="C239" s="2" t="s">
        <v>2468</v>
      </c>
      <c r="D239" s="2" t="s">
        <v>2469</v>
      </c>
      <c r="E239" s="2" t="s">
        <v>2470</v>
      </c>
      <c r="G239" s="3" t="s">
        <v>65</v>
      </c>
      <c r="I239" s="3" t="s">
        <v>65</v>
      </c>
      <c r="J239" s="3" t="s">
        <v>65</v>
      </c>
      <c r="K239" s="3" t="s">
        <v>66</v>
      </c>
      <c r="L239" s="2" t="s">
        <v>2471</v>
      </c>
      <c r="M239" s="2" t="s">
        <v>2472</v>
      </c>
      <c r="N239" s="3" t="s">
        <v>1032</v>
      </c>
      <c r="P239" s="3" t="s">
        <v>69</v>
      </c>
      <c r="Q239" s="2" t="s">
        <v>2473</v>
      </c>
      <c r="R239" s="3" t="s">
        <v>71</v>
      </c>
      <c r="S239" s="4">
        <v>23</v>
      </c>
      <c r="T239" s="4">
        <v>23</v>
      </c>
      <c r="U239" s="5" t="s">
        <v>2474</v>
      </c>
      <c r="V239" s="5" t="s">
        <v>2474</v>
      </c>
      <c r="W239" s="5" t="s">
        <v>72</v>
      </c>
      <c r="X239" s="5" t="s">
        <v>72</v>
      </c>
      <c r="Y239" s="4">
        <v>290</v>
      </c>
      <c r="Z239" s="4">
        <v>21</v>
      </c>
      <c r="AA239" s="4">
        <v>25</v>
      </c>
      <c r="AB239" s="4">
        <v>2</v>
      </c>
      <c r="AC239" s="4">
        <v>4</v>
      </c>
      <c r="AD239" s="4">
        <v>109</v>
      </c>
      <c r="AE239" s="4">
        <v>113</v>
      </c>
      <c r="AF239" s="4">
        <v>1</v>
      </c>
      <c r="AG239" s="4">
        <v>2</v>
      </c>
      <c r="AH239" s="4">
        <v>101</v>
      </c>
      <c r="AI239" s="4">
        <v>102</v>
      </c>
      <c r="AJ239" s="4">
        <v>14</v>
      </c>
      <c r="AK239" s="4">
        <v>15</v>
      </c>
      <c r="AL239" s="4">
        <v>55</v>
      </c>
      <c r="AM239" s="4">
        <v>56</v>
      </c>
      <c r="AN239" s="4">
        <v>0</v>
      </c>
      <c r="AO239" s="4">
        <v>0</v>
      </c>
      <c r="AP239" s="4">
        <v>16</v>
      </c>
      <c r="AQ239" s="4">
        <v>19</v>
      </c>
      <c r="AR239" s="3" t="s">
        <v>65</v>
      </c>
      <c r="AS239" s="3" t="s">
        <v>65</v>
      </c>
      <c r="AT239" s="3" t="s">
        <v>209</v>
      </c>
      <c r="AU239" s="6" t="str">
        <f>HYPERLINK("http://catalog.hathitrust.org/Record/003085420","HathiTrust Record")</f>
        <v>HathiTrust Record</v>
      </c>
      <c r="AV239" s="6" t="str">
        <f>HYPERLINK("http://mcgill.on.worldcat.org/oclc/32396512","Catalog Record")</f>
        <v>Catalog Record</v>
      </c>
      <c r="AW239" s="6" t="str">
        <f>HYPERLINK("http://www.worldcat.org/oclc/32396512","WorldCat Record")</f>
        <v>WorldCat Record</v>
      </c>
      <c r="AX239" s="3" t="s">
        <v>2475</v>
      </c>
      <c r="AY239" s="3" t="s">
        <v>2476</v>
      </c>
      <c r="AZ239" s="3" t="s">
        <v>2477</v>
      </c>
      <c r="BA239" s="3" t="s">
        <v>2477</v>
      </c>
      <c r="BB239" s="3" t="s">
        <v>2478</v>
      </c>
      <c r="BC239" s="3" t="s">
        <v>77</v>
      </c>
      <c r="BD239" s="3" t="s">
        <v>78</v>
      </c>
      <c r="BE239" s="3" t="s">
        <v>2479</v>
      </c>
      <c r="BF239" s="3" t="s">
        <v>2478</v>
      </c>
      <c r="BG239" s="3" t="s">
        <v>2480</v>
      </c>
    </row>
    <row r="240" spans="1:59" ht="58" x14ac:dyDescent="0.35">
      <c r="A240" s="2" t="s">
        <v>59</v>
      </c>
      <c r="B240" s="2" t="s">
        <v>60</v>
      </c>
      <c r="C240" s="2" t="s">
        <v>2481</v>
      </c>
      <c r="D240" s="2" t="s">
        <v>2482</v>
      </c>
      <c r="E240" s="2" t="s">
        <v>2483</v>
      </c>
      <c r="G240" s="3" t="s">
        <v>65</v>
      </c>
      <c r="I240" s="3" t="s">
        <v>65</v>
      </c>
      <c r="J240" s="3" t="s">
        <v>65</v>
      </c>
      <c r="K240" s="3" t="s">
        <v>66</v>
      </c>
      <c r="M240" s="2" t="s">
        <v>2484</v>
      </c>
      <c r="N240" s="3" t="s">
        <v>139</v>
      </c>
      <c r="P240" s="3" t="s">
        <v>69</v>
      </c>
      <c r="Q240" s="2" t="s">
        <v>2485</v>
      </c>
      <c r="R240" s="3" t="s">
        <v>71</v>
      </c>
      <c r="S240" s="4">
        <v>4</v>
      </c>
      <c r="T240" s="4">
        <v>4</v>
      </c>
      <c r="U240" s="5" t="s">
        <v>2486</v>
      </c>
      <c r="V240" s="5" t="s">
        <v>2486</v>
      </c>
      <c r="W240" s="5" t="s">
        <v>72</v>
      </c>
      <c r="X240" s="5" t="s">
        <v>72</v>
      </c>
      <c r="Y240" s="4">
        <v>86</v>
      </c>
      <c r="Z240" s="4">
        <v>11</v>
      </c>
      <c r="AA240" s="4">
        <v>78</v>
      </c>
      <c r="AB240" s="4">
        <v>2</v>
      </c>
      <c r="AC240" s="4">
        <v>15</v>
      </c>
      <c r="AD240" s="4">
        <v>43</v>
      </c>
      <c r="AE240" s="4">
        <v>115</v>
      </c>
      <c r="AF240" s="4">
        <v>0</v>
      </c>
      <c r="AG240" s="4">
        <v>8</v>
      </c>
      <c r="AH240" s="4">
        <v>40</v>
      </c>
      <c r="AI240" s="4">
        <v>83</v>
      </c>
      <c r="AJ240" s="4">
        <v>7</v>
      </c>
      <c r="AK240" s="4">
        <v>22</v>
      </c>
      <c r="AL240" s="4">
        <v>25</v>
      </c>
      <c r="AM240" s="4">
        <v>45</v>
      </c>
      <c r="AN240" s="4">
        <v>0</v>
      </c>
      <c r="AO240" s="4">
        <v>0</v>
      </c>
      <c r="AP240" s="4">
        <v>8</v>
      </c>
      <c r="AQ240" s="4">
        <v>40</v>
      </c>
      <c r="AR240" s="3" t="s">
        <v>65</v>
      </c>
      <c r="AS240" s="3" t="s">
        <v>65</v>
      </c>
      <c r="AT240" s="3" t="s">
        <v>65</v>
      </c>
      <c r="AV240" s="6" t="str">
        <f>HYPERLINK("http://mcgill.on.worldcat.org/oclc/793494105","Catalog Record")</f>
        <v>Catalog Record</v>
      </c>
      <c r="AW240" s="6" t="str">
        <f>HYPERLINK("http://www.worldcat.org/oclc/793494105","WorldCat Record")</f>
        <v>WorldCat Record</v>
      </c>
      <c r="AX240" s="3" t="s">
        <v>2487</v>
      </c>
      <c r="AY240" s="3" t="s">
        <v>2488</v>
      </c>
      <c r="AZ240" s="3" t="s">
        <v>2489</v>
      </c>
      <c r="BA240" s="3" t="s">
        <v>2489</v>
      </c>
      <c r="BB240" s="3" t="s">
        <v>2490</v>
      </c>
      <c r="BC240" s="3" t="s">
        <v>77</v>
      </c>
      <c r="BD240" s="3" t="s">
        <v>78</v>
      </c>
      <c r="BE240" s="3" t="s">
        <v>2491</v>
      </c>
      <c r="BF240" s="3" t="s">
        <v>2490</v>
      </c>
      <c r="BG240" s="3" t="s">
        <v>2492</v>
      </c>
    </row>
    <row r="241" spans="1:59" ht="58" x14ac:dyDescent="0.35">
      <c r="A241" s="2" t="s">
        <v>59</v>
      </c>
      <c r="B241" s="2" t="s">
        <v>60</v>
      </c>
      <c r="C241" s="2" t="s">
        <v>2493</v>
      </c>
      <c r="D241" s="2" t="s">
        <v>2494</v>
      </c>
      <c r="E241" s="2" t="s">
        <v>2495</v>
      </c>
      <c r="G241" s="3" t="s">
        <v>65</v>
      </c>
      <c r="I241" s="3" t="s">
        <v>65</v>
      </c>
      <c r="J241" s="3" t="s">
        <v>65</v>
      </c>
      <c r="K241" s="3" t="s">
        <v>66</v>
      </c>
      <c r="L241" s="2" t="s">
        <v>2496</v>
      </c>
      <c r="M241" s="2" t="s">
        <v>2497</v>
      </c>
      <c r="N241" s="3" t="s">
        <v>1122</v>
      </c>
      <c r="P241" s="3" t="s">
        <v>69</v>
      </c>
      <c r="R241" s="3" t="s">
        <v>71</v>
      </c>
      <c r="S241" s="4">
        <v>10</v>
      </c>
      <c r="T241" s="4">
        <v>10</v>
      </c>
      <c r="U241" s="5" t="s">
        <v>2498</v>
      </c>
      <c r="V241" s="5" t="s">
        <v>2498</v>
      </c>
      <c r="W241" s="5" t="s">
        <v>72</v>
      </c>
      <c r="X241" s="5" t="s">
        <v>72</v>
      </c>
      <c r="Y241" s="4">
        <v>202</v>
      </c>
      <c r="Z241" s="4">
        <v>16</v>
      </c>
      <c r="AA241" s="4">
        <v>17</v>
      </c>
      <c r="AB241" s="4">
        <v>3</v>
      </c>
      <c r="AC241" s="4">
        <v>3</v>
      </c>
      <c r="AD241" s="4">
        <v>92</v>
      </c>
      <c r="AE241" s="4">
        <v>92</v>
      </c>
      <c r="AF241" s="4">
        <v>1</v>
      </c>
      <c r="AG241" s="4">
        <v>1</v>
      </c>
      <c r="AH241" s="4">
        <v>86</v>
      </c>
      <c r="AI241" s="4">
        <v>86</v>
      </c>
      <c r="AJ241" s="4">
        <v>11</v>
      </c>
      <c r="AK241" s="4">
        <v>11</v>
      </c>
      <c r="AL241" s="4">
        <v>54</v>
      </c>
      <c r="AM241" s="4">
        <v>54</v>
      </c>
      <c r="AN241" s="4">
        <v>0</v>
      </c>
      <c r="AO241" s="4">
        <v>0</v>
      </c>
      <c r="AP241" s="4">
        <v>11</v>
      </c>
      <c r="AQ241" s="4">
        <v>11</v>
      </c>
      <c r="AR241" s="3" t="s">
        <v>65</v>
      </c>
      <c r="AS241" s="3" t="s">
        <v>65</v>
      </c>
      <c r="AT241" s="3" t="s">
        <v>65</v>
      </c>
      <c r="AV241" s="6" t="str">
        <f>HYPERLINK("http://mcgill.on.worldcat.org/oclc/430344509","Catalog Record")</f>
        <v>Catalog Record</v>
      </c>
      <c r="AW241" s="6" t="str">
        <f>HYPERLINK("http://www.worldcat.org/oclc/430344509","WorldCat Record")</f>
        <v>WorldCat Record</v>
      </c>
      <c r="AX241" s="3" t="s">
        <v>2499</v>
      </c>
      <c r="AY241" s="3" t="s">
        <v>2500</v>
      </c>
      <c r="AZ241" s="3" t="s">
        <v>2501</v>
      </c>
      <c r="BA241" s="3" t="s">
        <v>2501</v>
      </c>
      <c r="BB241" s="3" t="s">
        <v>2502</v>
      </c>
      <c r="BC241" s="3" t="s">
        <v>77</v>
      </c>
      <c r="BD241" s="3" t="s">
        <v>78</v>
      </c>
      <c r="BE241" s="3" t="s">
        <v>2503</v>
      </c>
      <c r="BF241" s="3" t="s">
        <v>2502</v>
      </c>
      <c r="BG241" s="3" t="s">
        <v>2504</v>
      </c>
    </row>
    <row r="242" spans="1:59" ht="58" x14ac:dyDescent="0.35">
      <c r="A242" s="2" t="s">
        <v>59</v>
      </c>
      <c r="B242" s="2" t="s">
        <v>60</v>
      </c>
      <c r="C242" s="2" t="s">
        <v>2505</v>
      </c>
      <c r="D242" s="2" t="s">
        <v>2506</v>
      </c>
      <c r="E242" s="2" t="s">
        <v>2507</v>
      </c>
      <c r="G242" s="3" t="s">
        <v>65</v>
      </c>
      <c r="I242" s="3" t="s">
        <v>65</v>
      </c>
      <c r="J242" s="3" t="s">
        <v>65</v>
      </c>
      <c r="K242" s="3" t="s">
        <v>66</v>
      </c>
      <c r="L242" s="2" t="s">
        <v>2508</v>
      </c>
      <c r="M242" s="2" t="s">
        <v>2509</v>
      </c>
      <c r="N242" s="3" t="s">
        <v>718</v>
      </c>
      <c r="P242" s="3" t="s">
        <v>69</v>
      </c>
      <c r="R242" s="3" t="s">
        <v>71</v>
      </c>
      <c r="S242" s="4">
        <v>26</v>
      </c>
      <c r="T242" s="4">
        <v>26</v>
      </c>
      <c r="U242" s="5" t="s">
        <v>2510</v>
      </c>
      <c r="V242" s="5" t="s">
        <v>2510</v>
      </c>
      <c r="W242" s="5" t="s">
        <v>72</v>
      </c>
      <c r="X242" s="5" t="s">
        <v>72</v>
      </c>
      <c r="Y242" s="4">
        <v>8</v>
      </c>
      <c r="Z242" s="4">
        <v>3</v>
      </c>
      <c r="AA242" s="4">
        <v>50</v>
      </c>
      <c r="AB242" s="4">
        <v>1</v>
      </c>
      <c r="AC242" s="4">
        <v>4</v>
      </c>
      <c r="AD242" s="4">
        <v>2</v>
      </c>
      <c r="AE242" s="4">
        <v>133</v>
      </c>
      <c r="AF242" s="4">
        <v>0</v>
      </c>
      <c r="AG242" s="4">
        <v>3</v>
      </c>
      <c r="AH242" s="4">
        <v>1</v>
      </c>
      <c r="AI242" s="4">
        <v>106</v>
      </c>
      <c r="AJ242" s="4">
        <v>2</v>
      </c>
      <c r="AK242" s="4">
        <v>22</v>
      </c>
      <c r="AL242" s="4">
        <v>0</v>
      </c>
      <c r="AM242" s="4">
        <v>57</v>
      </c>
      <c r="AN242" s="4">
        <v>0</v>
      </c>
      <c r="AO242" s="4">
        <v>0</v>
      </c>
      <c r="AP242" s="4">
        <v>2</v>
      </c>
      <c r="AQ242" s="4">
        <v>33</v>
      </c>
      <c r="AR242" s="3" t="s">
        <v>65</v>
      </c>
      <c r="AS242" s="3" t="s">
        <v>65</v>
      </c>
      <c r="AT242" s="3" t="s">
        <v>209</v>
      </c>
      <c r="AU242" s="6" t="str">
        <f>HYPERLINK("http://catalog.hathitrust.org/Record/001218252","HathiTrust Record")</f>
        <v>HathiTrust Record</v>
      </c>
      <c r="AV242" s="6" t="str">
        <f>HYPERLINK("http://mcgill.on.worldcat.org/oclc/223147346","Catalog Record")</f>
        <v>Catalog Record</v>
      </c>
      <c r="AW242" s="6" t="str">
        <f>HYPERLINK("http://www.worldcat.org/oclc/223147346","WorldCat Record")</f>
        <v>WorldCat Record</v>
      </c>
      <c r="AX242" s="3" t="s">
        <v>2511</v>
      </c>
      <c r="AY242" s="3" t="s">
        <v>2512</v>
      </c>
      <c r="AZ242" s="3" t="s">
        <v>2513</v>
      </c>
      <c r="BA242" s="3" t="s">
        <v>2513</v>
      </c>
      <c r="BB242" s="3" t="s">
        <v>2514</v>
      </c>
      <c r="BC242" s="3" t="s">
        <v>77</v>
      </c>
      <c r="BD242" s="3" t="s">
        <v>78</v>
      </c>
      <c r="BF242" s="3" t="s">
        <v>2514</v>
      </c>
      <c r="BG242" s="3" t="s">
        <v>2515</v>
      </c>
    </row>
    <row r="243" spans="1:59" ht="58" x14ac:dyDescent="0.35">
      <c r="A243" s="2" t="s">
        <v>59</v>
      </c>
      <c r="B243" s="2" t="s">
        <v>60</v>
      </c>
      <c r="C243" s="2" t="s">
        <v>2516</v>
      </c>
      <c r="D243" s="2" t="s">
        <v>2517</v>
      </c>
      <c r="E243" s="2" t="s">
        <v>2518</v>
      </c>
      <c r="G243" s="3" t="s">
        <v>65</v>
      </c>
      <c r="I243" s="3" t="s">
        <v>65</v>
      </c>
      <c r="J243" s="3" t="s">
        <v>65</v>
      </c>
      <c r="K243" s="3" t="s">
        <v>66</v>
      </c>
      <c r="L243" s="2" t="s">
        <v>2519</v>
      </c>
      <c r="M243" s="2" t="s">
        <v>2520</v>
      </c>
      <c r="N243" s="3" t="s">
        <v>68</v>
      </c>
      <c r="O243" s="2" t="s">
        <v>235</v>
      </c>
      <c r="P243" s="3" t="s">
        <v>140</v>
      </c>
      <c r="Q243" s="2" t="s">
        <v>565</v>
      </c>
      <c r="R243" s="3" t="s">
        <v>71</v>
      </c>
      <c r="S243" s="4">
        <v>1</v>
      </c>
      <c r="T243" s="4">
        <v>1</v>
      </c>
      <c r="U243" s="5" t="s">
        <v>2498</v>
      </c>
      <c r="V243" s="5" t="s">
        <v>2498</v>
      </c>
      <c r="W243" s="5" t="s">
        <v>72</v>
      </c>
      <c r="X243" s="5" t="s">
        <v>72</v>
      </c>
      <c r="Y243" s="4">
        <v>42</v>
      </c>
      <c r="Z243" s="4">
        <v>1</v>
      </c>
      <c r="AA243" s="4">
        <v>2</v>
      </c>
      <c r="AB243" s="4">
        <v>1</v>
      </c>
      <c r="AC243" s="4">
        <v>1</v>
      </c>
      <c r="AD243" s="4">
        <v>27</v>
      </c>
      <c r="AE243" s="4">
        <v>27</v>
      </c>
      <c r="AF243" s="4">
        <v>0</v>
      </c>
      <c r="AG243" s="4">
        <v>0</v>
      </c>
      <c r="AH243" s="4">
        <v>26</v>
      </c>
      <c r="AI243" s="4">
        <v>26</v>
      </c>
      <c r="AJ243" s="4">
        <v>0</v>
      </c>
      <c r="AK243" s="4">
        <v>0</v>
      </c>
      <c r="AL243" s="4">
        <v>21</v>
      </c>
      <c r="AM243" s="4">
        <v>21</v>
      </c>
      <c r="AN243" s="4">
        <v>0</v>
      </c>
      <c r="AO243" s="4">
        <v>0</v>
      </c>
      <c r="AP243" s="4">
        <v>0</v>
      </c>
      <c r="AQ243" s="4">
        <v>0</v>
      </c>
      <c r="AR243" s="3" t="s">
        <v>65</v>
      </c>
      <c r="AS243" s="3" t="s">
        <v>65</v>
      </c>
      <c r="AT243" s="3" t="s">
        <v>65</v>
      </c>
      <c r="AV243" s="6" t="str">
        <f>HYPERLINK("http://mcgill.on.worldcat.org/oclc/970789881","Catalog Record")</f>
        <v>Catalog Record</v>
      </c>
      <c r="AW243" s="6" t="str">
        <f>HYPERLINK("http://www.worldcat.org/oclc/970789881","WorldCat Record")</f>
        <v>WorldCat Record</v>
      </c>
      <c r="AX243" s="3" t="s">
        <v>2521</v>
      </c>
      <c r="AY243" s="3" t="s">
        <v>2522</v>
      </c>
      <c r="AZ243" s="3" t="s">
        <v>2523</v>
      </c>
      <c r="BA243" s="3" t="s">
        <v>2523</v>
      </c>
      <c r="BB243" s="3" t="s">
        <v>2524</v>
      </c>
      <c r="BC243" s="3" t="s">
        <v>77</v>
      </c>
      <c r="BD243" s="3" t="s">
        <v>78</v>
      </c>
      <c r="BE243" s="3" t="s">
        <v>2525</v>
      </c>
      <c r="BF243" s="3" t="s">
        <v>2524</v>
      </c>
      <c r="BG243" s="3" t="s">
        <v>2526</v>
      </c>
    </row>
    <row r="244" spans="1:59" ht="58" x14ac:dyDescent="0.35">
      <c r="A244" s="2" t="s">
        <v>59</v>
      </c>
      <c r="B244" s="2" t="s">
        <v>60</v>
      </c>
      <c r="C244" s="2" t="s">
        <v>2527</v>
      </c>
      <c r="D244" s="2" t="s">
        <v>2528</v>
      </c>
      <c r="E244" s="2" t="s">
        <v>2529</v>
      </c>
      <c r="G244" s="3" t="s">
        <v>65</v>
      </c>
      <c r="I244" s="3" t="s">
        <v>65</v>
      </c>
      <c r="J244" s="3" t="s">
        <v>65</v>
      </c>
      <c r="K244" s="3" t="s">
        <v>66</v>
      </c>
      <c r="L244" s="2" t="s">
        <v>2530</v>
      </c>
      <c r="M244" s="2" t="s">
        <v>2531</v>
      </c>
      <c r="N244" s="3" t="s">
        <v>176</v>
      </c>
      <c r="P244" s="3" t="s">
        <v>69</v>
      </c>
      <c r="Q244" s="2" t="s">
        <v>1197</v>
      </c>
      <c r="R244" s="3" t="s">
        <v>71</v>
      </c>
      <c r="S244" s="4">
        <v>1</v>
      </c>
      <c r="T244" s="4">
        <v>1</v>
      </c>
      <c r="U244" s="5" t="s">
        <v>2532</v>
      </c>
      <c r="V244" s="5" t="s">
        <v>2532</v>
      </c>
      <c r="W244" s="5" t="s">
        <v>72</v>
      </c>
      <c r="X244" s="5" t="s">
        <v>72</v>
      </c>
      <c r="Y244" s="4">
        <v>112</v>
      </c>
      <c r="Z244" s="4">
        <v>15</v>
      </c>
      <c r="AA244" s="4">
        <v>95</v>
      </c>
      <c r="AB244" s="4">
        <v>1</v>
      </c>
      <c r="AC244" s="4">
        <v>16</v>
      </c>
      <c r="AD244" s="4">
        <v>62</v>
      </c>
      <c r="AE244" s="4">
        <v>127</v>
      </c>
      <c r="AF244" s="4">
        <v>0</v>
      </c>
      <c r="AG244" s="4">
        <v>8</v>
      </c>
      <c r="AH244" s="4">
        <v>54</v>
      </c>
      <c r="AI244" s="4">
        <v>85</v>
      </c>
      <c r="AJ244" s="4">
        <v>11</v>
      </c>
      <c r="AK244" s="4">
        <v>26</v>
      </c>
      <c r="AL244" s="4">
        <v>37</v>
      </c>
      <c r="AM244" s="4">
        <v>45</v>
      </c>
      <c r="AN244" s="4">
        <v>0</v>
      </c>
      <c r="AO244" s="4">
        <v>0</v>
      </c>
      <c r="AP244" s="4">
        <v>10</v>
      </c>
      <c r="AQ244" s="4">
        <v>50</v>
      </c>
      <c r="AR244" s="3" t="s">
        <v>209</v>
      </c>
      <c r="AS244" s="3" t="s">
        <v>65</v>
      </c>
      <c r="AT244" s="3" t="s">
        <v>65</v>
      </c>
      <c r="AV244" s="6" t="str">
        <f>HYPERLINK("http://mcgill.on.worldcat.org/oclc/903423020","Catalog Record")</f>
        <v>Catalog Record</v>
      </c>
      <c r="AW244" s="6" t="str">
        <f>HYPERLINK("http://www.worldcat.org/oclc/903423020","WorldCat Record")</f>
        <v>WorldCat Record</v>
      </c>
      <c r="AX244" s="3" t="s">
        <v>2533</v>
      </c>
      <c r="AY244" s="3" t="s">
        <v>2534</v>
      </c>
      <c r="AZ244" s="3" t="s">
        <v>2535</v>
      </c>
      <c r="BA244" s="3" t="s">
        <v>2535</v>
      </c>
      <c r="BB244" s="3" t="s">
        <v>2536</v>
      </c>
      <c r="BC244" s="3" t="s">
        <v>77</v>
      </c>
      <c r="BD244" s="3" t="s">
        <v>78</v>
      </c>
      <c r="BE244" s="3" t="s">
        <v>2537</v>
      </c>
      <c r="BF244" s="3" t="s">
        <v>2536</v>
      </c>
      <c r="BG244" s="3" t="s">
        <v>2538</v>
      </c>
    </row>
    <row r="245" spans="1:59" ht="58" x14ac:dyDescent="0.35">
      <c r="A245" s="2" t="s">
        <v>59</v>
      </c>
      <c r="B245" s="2" t="s">
        <v>60</v>
      </c>
      <c r="C245" s="2" t="s">
        <v>2539</v>
      </c>
      <c r="D245" s="2" t="s">
        <v>2540</v>
      </c>
      <c r="E245" s="2" t="s">
        <v>2541</v>
      </c>
      <c r="G245" s="3" t="s">
        <v>65</v>
      </c>
      <c r="I245" s="3" t="s">
        <v>65</v>
      </c>
      <c r="J245" s="3" t="s">
        <v>65</v>
      </c>
      <c r="K245" s="3" t="s">
        <v>66</v>
      </c>
      <c r="L245" s="2" t="s">
        <v>2542</v>
      </c>
      <c r="M245" s="2" t="s">
        <v>2543</v>
      </c>
      <c r="N245" s="3" t="s">
        <v>552</v>
      </c>
      <c r="P245" s="3" t="s">
        <v>140</v>
      </c>
      <c r="Q245" s="2" t="s">
        <v>2544</v>
      </c>
      <c r="R245" s="3" t="s">
        <v>71</v>
      </c>
      <c r="S245" s="4">
        <v>2</v>
      </c>
      <c r="T245" s="4">
        <v>2</v>
      </c>
      <c r="U245" s="5" t="s">
        <v>2545</v>
      </c>
      <c r="V245" s="5" t="s">
        <v>2545</v>
      </c>
      <c r="W245" s="5" t="s">
        <v>72</v>
      </c>
      <c r="X245" s="5" t="s">
        <v>72</v>
      </c>
      <c r="Y245" s="4">
        <v>100</v>
      </c>
      <c r="Z245" s="4">
        <v>7</v>
      </c>
      <c r="AA245" s="4">
        <v>7</v>
      </c>
      <c r="AB245" s="4">
        <v>1</v>
      </c>
      <c r="AC245" s="4">
        <v>1</v>
      </c>
      <c r="AD245" s="4">
        <v>47</v>
      </c>
      <c r="AE245" s="4">
        <v>47</v>
      </c>
      <c r="AF245" s="4">
        <v>0</v>
      </c>
      <c r="AG245" s="4">
        <v>0</v>
      </c>
      <c r="AH245" s="4">
        <v>44</v>
      </c>
      <c r="AI245" s="4">
        <v>44</v>
      </c>
      <c r="AJ245" s="4">
        <v>3</v>
      </c>
      <c r="AK245" s="4">
        <v>3</v>
      </c>
      <c r="AL245" s="4">
        <v>36</v>
      </c>
      <c r="AM245" s="4">
        <v>36</v>
      </c>
      <c r="AN245" s="4">
        <v>0</v>
      </c>
      <c r="AO245" s="4">
        <v>0</v>
      </c>
      <c r="AP245" s="4">
        <v>4</v>
      </c>
      <c r="AQ245" s="4">
        <v>4</v>
      </c>
      <c r="AR245" s="3" t="s">
        <v>65</v>
      </c>
      <c r="AS245" s="3" t="s">
        <v>65</v>
      </c>
      <c r="AT245" s="3" t="s">
        <v>209</v>
      </c>
      <c r="AU245" s="6" t="str">
        <f>HYPERLINK("http://catalog.hathitrust.org/Record/003165926","HathiTrust Record")</f>
        <v>HathiTrust Record</v>
      </c>
      <c r="AV245" s="6" t="str">
        <f>HYPERLINK("http://mcgill.on.worldcat.org/oclc/36885176","Catalog Record")</f>
        <v>Catalog Record</v>
      </c>
      <c r="AW245" s="6" t="str">
        <f>HYPERLINK("http://www.worldcat.org/oclc/36885176","WorldCat Record")</f>
        <v>WorldCat Record</v>
      </c>
      <c r="AX245" s="3" t="s">
        <v>2546</v>
      </c>
      <c r="AY245" s="3" t="s">
        <v>2547</v>
      </c>
      <c r="AZ245" s="3" t="s">
        <v>2548</v>
      </c>
      <c r="BA245" s="3" t="s">
        <v>2548</v>
      </c>
      <c r="BB245" s="3" t="s">
        <v>2549</v>
      </c>
      <c r="BC245" s="3" t="s">
        <v>77</v>
      </c>
      <c r="BD245" s="3" t="s">
        <v>78</v>
      </c>
      <c r="BE245" s="3" t="s">
        <v>2550</v>
      </c>
      <c r="BF245" s="3" t="s">
        <v>2549</v>
      </c>
      <c r="BG245" s="3" t="s">
        <v>2551</v>
      </c>
    </row>
    <row r="246" spans="1:59" ht="58" x14ac:dyDescent="0.35">
      <c r="A246" s="2" t="s">
        <v>59</v>
      </c>
      <c r="B246" s="2" t="s">
        <v>60</v>
      </c>
      <c r="C246" s="2" t="s">
        <v>2552</v>
      </c>
      <c r="D246" s="2" t="s">
        <v>2553</v>
      </c>
      <c r="E246" s="2" t="s">
        <v>2554</v>
      </c>
      <c r="G246" s="3" t="s">
        <v>65</v>
      </c>
      <c r="I246" s="3" t="s">
        <v>65</v>
      </c>
      <c r="J246" s="3" t="s">
        <v>65</v>
      </c>
      <c r="K246" s="3" t="s">
        <v>66</v>
      </c>
      <c r="L246" s="2" t="s">
        <v>2555</v>
      </c>
      <c r="M246" s="2" t="s">
        <v>2556</v>
      </c>
      <c r="N246" s="3" t="s">
        <v>188</v>
      </c>
      <c r="O246" s="2" t="s">
        <v>235</v>
      </c>
      <c r="P246" s="3" t="s">
        <v>140</v>
      </c>
      <c r="Q246" s="2" t="s">
        <v>2557</v>
      </c>
      <c r="R246" s="3" t="s">
        <v>71</v>
      </c>
      <c r="S246" s="4">
        <v>0</v>
      </c>
      <c r="T246" s="4">
        <v>0</v>
      </c>
      <c r="W246" s="5" t="s">
        <v>72</v>
      </c>
      <c r="X246" s="5" t="s">
        <v>72</v>
      </c>
      <c r="Y246" s="4">
        <v>37</v>
      </c>
      <c r="Z246" s="4">
        <v>1</v>
      </c>
      <c r="AA246" s="4">
        <v>1</v>
      </c>
      <c r="AB246" s="4">
        <v>1</v>
      </c>
      <c r="AC246" s="4">
        <v>1</v>
      </c>
      <c r="AD246" s="4">
        <v>24</v>
      </c>
      <c r="AE246" s="4">
        <v>24</v>
      </c>
      <c r="AF246" s="4">
        <v>0</v>
      </c>
      <c r="AG246" s="4">
        <v>0</v>
      </c>
      <c r="AH246" s="4">
        <v>23</v>
      </c>
      <c r="AI246" s="4">
        <v>23</v>
      </c>
      <c r="AJ246" s="4">
        <v>0</v>
      </c>
      <c r="AK246" s="4">
        <v>0</v>
      </c>
      <c r="AL246" s="4">
        <v>20</v>
      </c>
      <c r="AM246" s="4">
        <v>20</v>
      </c>
      <c r="AN246" s="4">
        <v>0</v>
      </c>
      <c r="AO246" s="4">
        <v>0</v>
      </c>
      <c r="AP246" s="4">
        <v>0</v>
      </c>
      <c r="AQ246" s="4">
        <v>0</v>
      </c>
      <c r="AR246" s="3" t="s">
        <v>65</v>
      </c>
      <c r="AS246" s="3" t="s">
        <v>65</v>
      </c>
      <c r="AT246" s="3" t="s">
        <v>65</v>
      </c>
      <c r="AV246" s="6" t="str">
        <f>HYPERLINK("http://mcgill.on.worldcat.org/oclc/989893840","Catalog Record")</f>
        <v>Catalog Record</v>
      </c>
      <c r="AW246" s="6" t="str">
        <f>HYPERLINK("http://www.worldcat.org/oclc/989893840","WorldCat Record")</f>
        <v>WorldCat Record</v>
      </c>
      <c r="AX246" s="3" t="s">
        <v>2558</v>
      </c>
      <c r="AY246" s="3" t="s">
        <v>2559</v>
      </c>
      <c r="AZ246" s="3" t="s">
        <v>2560</v>
      </c>
      <c r="BA246" s="3" t="s">
        <v>2560</v>
      </c>
      <c r="BB246" s="3" t="s">
        <v>2561</v>
      </c>
      <c r="BC246" s="3" t="s">
        <v>77</v>
      </c>
      <c r="BD246" s="3" t="s">
        <v>78</v>
      </c>
      <c r="BE246" s="3" t="s">
        <v>2562</v>
      </c>
      <c r="BF246" s="3" t="s">
        <v>2561</v>
      </c>
      <c r="BG246" s="3" t="s">
        <v>2563</v>
      </c>
    </row>
    <row r="247" spans="1:59" ht="58" x14ac:dyDescent="0.35">
      <c r="A247" s="2" t="s">
        <v>59</v>
      </c>
      <c r="B247" s="2" t="s">
        <v>60</v>
      </c>
      <c r="C247" s="2" t="s">
        <v>2564</v>
      </c>
      <c r="D247" s="2" t="s">
        <v>2565</v>
      </c>
      <c r="E247" s="2" t="s">
        <v>2566</v>
      </c>
      <c r="G247" s="3" t="s">
        <v>65</v>
      </c>
      <c r="I247" s="3" t="s">
        <v>65</v>
      </c>
      <c r="J247" s="3" t="s">
        <v>65</v>
      </c>
      <c r="K247" s="3" t="s">
        <v>66</v>
      </c>
      <c r="M247" s="2" t="s">
        <v>2567</v>
      </c>
      <c r="N247" s="3" t="s">
        <v>68</v>
      </c>
      <c r="P247" s="3" t="s">
        <v>140</v>
      </c>
      <c r="Q247" s="2" t="s">
        <v>2568</v>
      </c>
      <c r="R247" s="3" t="s">
        <v>71</v>
      </c>
      <c r="S247" s="4">
        <v>0</v>
      </c>
      <c r="T247" s="4">
        <v>0</v>
      </c>
      <c r="W247" s="5" t="s">
        <v>72</v>
      </c>
      <c r="X247" s="5" t="s">
        <v>72</v>
      </c>
      <c r="Y247" s="4">
        <v>35</v>
      </c>
      <c r="Z247" s="4">
        <v>1</v>
      </c>
      <c r="AA247" s="4">
        <v>1</v>
      </c>
      <c r="AB247" s="4">
        <v>1</v>
      </c>
      <c r="AC247" s="4">
        <v>1</v>
      </c>
      <c r="AD247" s="4">
        <v>23</v>
      </c>
      <c r="AE247" s="4">
        <v>23</v>
      </c>
      <c r="AF247" s="4">
        <v>0</v>
      </c>
      <c r="AG247" s="4">
        <v>0</v>
      </c>
      <c r="AH247" s="4">
        <v>22</v>
      </c>
      <c r="AI247" s="4">
        <v>22</v>
      </c>
      <c r="AJ247" s="4">
        <v>0</v>
      </c>
      <c r="AK247" s="4">
        <v>0</v>
      </c>
      <c r="AL247" s="4">
        <v>19</v>
      </c>
      <c r="AM247" s="4">
        <v>19</v>
      </c>
      <c r="AN247" s="4">
        <v>0</v>
      </c>
      <c r="AO247" s="4">
        <v>0</v>
      </c>
      <c r="AP247" s="4">
        <v>0</v>
      </c>
      <c r="AQ247" s="4">
        <v>0</v>
      </c>
      <c r="AR247" s="3" t="s">
        <v>65</v>
      </c>
      <c r="AS247" s="3" t="s">
        <v>65</v>
      </c>
      <c r="AT247" s="3" t="s">
        <v>65</v>
      </c>
      <c r="AV247" s="6" t="str">
        <f>HYPERLINK("http://mcgill.on.worldcat.org/oclc/973885838","Catalog Record")</f>
        <v>Catalog Record</v>
      </c>
      <c r="AW247" s="6" t="str">
        <f>HYPERLINK("http://www.worldcat.org/oclc/973885838","WorldCat Record")</f>
        <v>WorldCat Record</v>
      </c>
      <c r="AX247" s="3" t="s">
        <v>2569</v>
      </c>
      <c r="AY247" s="3" t="s">
        <v>2570</v>
      </c>
      <c r="AZ247" s="3" t="s">
        <v>2571</v>
      </c>
      <c r="BA247" s="3" t="s">
        <v>2571</v>
      </c>
      <c r="BB247" s="3" t="s">
        <v>2572</v>
      </c>
      <c r="BC247" s="3" t="s">
        <v>77</v>
      </c>
      <c r="BD247" s="3" t="s">
        <v>78</v>
      </c>
      <c r="BE247" s="3" t="s">
        <v>2573</v>
      </c>
      <c r="BF247" s="3" t="s">
        <v>2572</v>
      </c>
      <c r="BG247" s="3" t="s">
        <v>2574</v>
      </c>
    </row>
    <row r="248" spans="1:59" ht="58" x14ac:dyDescent="0.35">
      <c r="A248" s="2" t="s">
        <v>59</v>
      </c>
      <c r="B248" s="2" t="s">
        <v>60</v>
      </c>
      <c r="C248" s="2" t="s">
        <v>2575</v>
      </c>
      <c r="D248" s="2" t="s">
        <v>2576</v>
      </c>
      <c r="E248" s="2" t="s">
        <v>2577</v>
      </c>
      <c r="G248" s="3" t="s">
        <v>65</v>
      </c>
      <c r="I248" s="3" t="s">
        <v>65</v>
      </c>
      <c r="J248" s="3" t="s">
        <v>65</v>
      </c>
      <c r="K248" s="3" t="s">
        <v>66</v>
      </c>
      <c r="L248" s="2" t="s">
        <v>2578</v>
      </c>
      <c r="M248" s="2" t="s">
        <v>2579</v>
      </c>
      <c r="N248" s="3" t="s">
        <v>126</v>
      </c>
      <c r="P248" s="3" t="s">
        <v>140</v>
      </c>
      <c r="Q248" s="2" t="s">
        <v>2580</v>
      </c>
      <c r="R248" s="3" t="s">
        <v>71</v>
      </c>
      <c r="S248" s="4">
        <v>0</v>
      </c>
      <c r="T248" s="4">
        <v>0</v>
      </c>
      <c r="W248" s="5" t="s">
        <v>72</v>
      </c>
      <c r="X248" s="5" t="s">
        <v>72</v>
      </c>
      <c r="Y248" s="4">
        <v>39</v>
      </c>
      <c r="Z248" s="4">
        <v>2</v>
      </c>
      <c r="AA248" s="4">
        <v>2</v>
      </c>
      <c r="AB248" s="4">
        <v>1</v>
      </c>
      <c r="AC248" s="4">
        <v>1</v>
      </c>
      <c r="AD248" s="4">
        <v>30</v>
      </c>
      <c r="AE248" s="4">
        <v>30</v>
      </c>
      <c r="AF248" s="4">
        <v>0</v>
      </c>
      <c r="AG248" s="4">
        <v>0</v>
      </c>
      <c r="AH248" s="4">
        <v>29</v>
      </c>
      <c r="AI248" s="4">
        <v>29</v>
      </c>
      <c r="AJ248" s="4">
        <v>1</v>
      </c>
      <c r="AK248" s="4">
        <v>1</v>
      </c>
      <c r="AL248" s="4">
        <v>22</v>
      </c>
      <c r="AM248" s="4">
        <v>22</v>
      </c>
      <c r="AN248" s="4">
        <v>0</v>
      </c>
      <c r="AO248" s="4">
        <v>0</v>
      </c>
      <c r="AP248" s="4">
        <v>1</v>
      </c>
      <c r="AQ248" s="4">
        <v>1</v>
      </c>
      <c r="AR248" s="3" t="s">
        <v>65</v>
      </c>
      <c r="AS248" s="3" t="s">
        <v>65</v>
      </c>
      <c r="AT248" s="3" t="s">
        <v>65</v>
      </c>
      <c r="AV248" s="6" t="str">
        <f>HYPERLINK("http://mcgill.on.worldcat.org/oclc/777474712","Catalog Record")</f>
        <v>Catalog Record</v>
      </c>
      <c r="AW248" s="6" t="str">
        <f>HYPERLINK("http://www.worldcat.org/oclc/777474712","WorldCat Record")</f>
        <v>WorldCat Record</v>
      </c>
      <c r="AX248" s="3" t="s">
        <v>2581</v>
      </c>
      <c r="AY248" s="3" t="s">
        <v>2582</v>
      </c>
      <c r="AZ248" s="3" t="s">
        <v>2583</v>
      </c>
      <c r="BA248" s="3" t="s">
        <v>2583</v>
      </c>
      <c r="BB248" s="3" t="s">
        <v>2584</v>
      </c>
      <c r="BC248" s="3" t="s">
        <v>77</v>
      </c>
      <c r="BD248" s="3" t="s">
        <v>78</v>
      </c>
      <c r="BE248" s="3" t="s">
        <v>2585</v>
      </c>
      <c r="BF248" s="3" t="s">
        <v>2584</v>
      </c>
      <c r="BG248" s="3" t="s">
        <v>2586</v>
      </c>
    </row>
    <row r="249" spans="1:59" ht="58" x14ac:dyDescent="0.35">
      <c r="A249" s="2" t="s">
        <v>59</v>
      </c>
      <c r="B249" s="2" t="s">
        <v>60</v>
      </c>
      <c r="C249" s="2" t="s">
        <v>2587</v>
      </c>
      <c r="D249" s="2" t="s">
        <v>2588</v>
      </c>
      <c r="E249" s="2" t="s">
        <v>2589</v>
      </c>
      <c r="G249" s="3" t="s">
        <v>65</v>
      </c>
      <c r="I249" s="3" t="s">
        <v>65</v>
      </c>
      <c r="J249" s="3" t="s">
        <v>65</v>
      </c>
      <c r="K249" s="3" t="s">
        <v>66</v>
      </c>
      <c r="M249" s="2" t="s">
        <v>2590</v>
      </c>
      <c r="N249" s="3" t="s">
        <v>525</v>
      </c>
      <c r="P249" s="3" t="s">
        <v>140</v>
      </c>
      <c r="Q249" s="2" t="s">
        <v>2591</v>
      </c>
      <c r="R249" s="3" t="s">
        <v>71</v>
      </c>
      <c r="S249" s="4">
        <v>16</v>
      </c>
      <c r="T249" s="4">
        <v>16</v>
      </c>
      <c r="U249" s="5" t="s">
        <v>2592</v>
      </c>
      <c r="V249" s="5" t="s">
        <v>2592</v>
      </c>
      <c r="W249" s="5" t="s">
        <v>72</v>
      </c>
      <c r="X249" s="5" t="s">
        <v>72</v>
      </c>
      <c r="Y249" s="4">
        <v>21</v>
      </c>
      <c r="Z249" s="4">
        <v>2</v>
      </c>
      <c r="AA249" s="4">
        <v>2</v>
      </c>
      <c r="AB249" s="4">
        <v>2</v>
      </c>
      <c r="AC249" s="4">
        <v>2</v>
      </c>
      <c r="AD249" s="4">
        <v>10</v>
      </c>
      <c r="AE249" s="4">
        <v>10</v>
      </c>
      <c r="AF249" s="4">
        <v>0</v>
      </c>
      <c r="AG249" s="4">
        <v>0</v>
      </c>
      <c r="AH249" s="4">
        <v>9</v>
      </c>
      <c r="AI249" s="4">
        <v>9</v>
      </c>
      <c r="AJ249" s="4">
        <v>0</v>
      </c>
      <c r="AK249" s="4">
        <v>0</v>
      </c>
      <c r="AL249" s="4">
        <v>9</v>
      </c>
      <c r="AM249" s="4">
        <v>9</v>
      </c>
      <c r="AN249" s="4">
        <v>0</v>
      </c>
      <c r="AO249" s="4">
        <v>0</v>
      </c>
      <c r="AP249" s="4">
        <v>0</v>
      </c>
      <c r="AQ249" s="4">
        <v>0</v>
      </c>
      <c r="AR249" s="3" t="s">
        <v>65</v>
      </c>
      <c r="AS249" s="3" t="s">
        <v>65</v>
      </c>
      <c r="AT249" s="3" t="s">
        <v>65</v>
      </c>
      <c r="AV249" s="6" t="str">
        <f>HYPERLINK("http://mcgill.on.worldcat.org/oclc/54473729","Catalog Record")</f>
        <v>Catalog Record</v>
      </c>
      <c r="AW249" s="6" t="str">
        <f>HYPERLINK("http://www.worldcat.org/oclc/54473729","WorldCat Record")</f>
        <v>WorldCat Record</v>
      </c>
      <c r="AX249" s="3" t="s">
        <v>2593</v>
      </c>
      <c r="AY249" s="3" t="s">
        <v>2594</v>
      </c>
      <c r="AZ249" s="3" t="s">
        <v>2595</v>
      </c>
      <c r="BA249" s="3" t="s">
        <v>2595</v>
      </c>
      <c r="BB249" s="3" t="s">
        <v>2596</v>
      </c>
      <c r="BC249" s="3" t="s">
        <v>77</v>
      </c>
      <c r="BD249" s="3" t="s">
        <v>78</v>
      </c>
      <c r="BE249" s="3" t="s">
        <v>2597</v>
      </c>
      <c r="BF249" s="3" t="s">
        <v>2596</v>
      </c>
      <c r="BG249" s="3" t="s">
        <v>2598</v>
      </c>
    </row>
    <row r="250" spans="1:59" ht="58" x14ac:dyDescent="0.35">
      <c r="A250" s="2" t="s">
        <v>59</v>
      </c>
      <c r="B250" s="2" t="s">
        <v>60</v>
      </c>
      <c r="C250" s="2" t="s">
        <v>2599</v>
      </c>
      <c r="D250" s="2" t="s">
        <v>2600</v>
      </c>
      <c r="E250" s="2" t="s">
        <v>2601</v>
      </c>
      <c r="G250" s="3" t="s">
        <v>65</v>
      </c>
      <c r="I250" s="3" t="s">
        <v>65</v>
      </c>
      <c r="J250" s="3" t="s">
        <v>65</v>
      </c>
      <c r="K250" s="3" t="s">
        <v>66</v>
      </c>
      <c r="L250" s="2" t="s">
        <v>2602</v>
      </c>
      <c r="M250" s="2" t="s">
        <v>2603</v>
      </c>
      <c r="N250" s="3" t="s">
        <v>139</v>
      </c>
      <c r="O250" s="2" t="s">
        <v>365</v>
      </c>
      <c r="P250" s="3" t="s">
        <v>140</v>
      </c>
      <c r="Q250" s="2" t="s">
        <v>2604</v>
      </c>
      <c r="R250" s="3" t="s">
        <v>71</v>
      </c>
      <c r="S250" s="4">
        <v>0</v>
      </c>
      <c r="T250" s="4">
        <v>0</v>
      </c>
      <c r="W250" s="5" t="s">
        <v>72</v>
      </c>
      <c r="X250" s="5" t="s">
        <v>72</v>
      </c>
      <c r="Y250" s="4">
        <v>25</v>
      </c>
      <c r="Z250" s="4">
        <v>3</v>
      </c>
      <c r="AA250" s="4">
        <v>3</v>
      </c>
      <c r="AB250" s="4">
        <v>1</v>
      </c>
      <c r="AC250" s="4">
        <v>1</v>
      </c>
      <c r="AD250" s="4">
        <v>15</v>
      </c>
      <c r="AE250" s="4">
        <v>15</v>
      </c>
      <c r="AF250" s="4">
        <v>0</v>
      </c>
      <c r="AG250" s="4">
        <v>0</v>
      </c>
      <c r="AH250" s="4">
        <v>14</v>
      </c>
      <c r="AI250" s="4">
        <v>14</v>
      </c>
      <c r="AJ250" s="4">
        <v>1</v>
      </c>
      <c r="AK250" s="4">
        <v>1</v>
      </c>
      <c r="AL250" s="4">
        <v>13</v>
      </c>
      <c r="AM250" s="4">
        <v>13</v>
      </c>
      <c r="AN250" s="4">
        <v>0</v>
      </c>
      <c r="AO250" s="4">
        <v>0</v>
      </c>
      <c r="AP250" s="4">
        <v>1</v>
      </c>
      <c r="AQ250" s="4">
        <v>1</v>
      </c>
      <c r="AR250" s="3" t="s">
        <v>65</v>
      </c>
      <c r="AS250" s="3" t="s">
        <v>65</v>
      </c>
      <c r="AT250" s="3" t="s">
        <v>65</v>
      </c>
      <c r="AV250" s="6" t="str">
        <f>HYPERLINK("http://mcgill.on.worldcat.org/oclc/825554680","Catalog Record")</f>
        <v>Catalog Record</v>
      </c>
      <c r="AW250" s="6" t="str">
        <f>HYPERLINK("http://www.worldcat.org/oclc/825554680","WorldCat Record")</f>
        <v>WorldCat Record</v>
      </c>
      <c r="AX250" s="3" t="s">
        <v>2605</v>
      </c>
      <c r="AY250" s="3" t="s">
        <v>2606</v>
      </c>
      <c r="AZ250" s="3" t="s">
        <v>2607</v>
      </c>
      <c r="BA250" s="3" t="s">
        <v>2607</v>
      </c>
      <c r="BB250" s="3" t="s">
        <v>2608</v>
      </c>
      <c r="BC250" s="3" t="s">
        <v>77</v>
      </c>
      <c r="BD250" s="3" t="s">
        <v>78</v>
      </c>
      <c r="BE250" s="3" t="s">
        <v>2609</v>
      </c>
      <c r="BF250" s="3" t="s">
        <v>2608</v>
      </c>
      <c r="BG250" s="3" t="s">
        <v>2610</v>
      </c>
    </row>
    <row r="251" spans="1:59" ht="58" x14ac:dyDescent="0.35">
      <c r="A251" s="2" t="s">
        <v>59</v>
      </c>
      <c r="B251" s="2" t="s">
        <v>60</v>
      </c>
      <c r="C251" s="2" t="s">
        <v>2611</v>
      </c>
      <c r="D251" s="2" t="s">
        <v>2612</v>
      </c>
      <c r="E251" s="2" t="s">
        <v>2613</v>
      </c>
      <c r="G251" s="3" t="s">
        <v>65</v>
      </c>
      <c r="I251" s="3" t="s">
        <v>65</v>
      </c>
      <c r="J251" s="3" t="s">
        <v>65</v>
      </c>
      <c r="K251" s="3" t="s">
        <v>66</v>
      </c>
      <c r="L251" s="2" t="s">
        <v>2614</v>
      </c>
      <c r="M251" s="2" t="s">
        <v>2615</v>
      </c>
      <c r="N251" s="3" t="s">
        <v>1932</v>
      </c>
      <c r="P251" s="3" t="s">
        <v>140</v>
      </c>
      <c r="Q251" s="2" t="s">
        <v>2616</v>
      </c>
      <c r="R251" s="3" t="s">
        <v>71</v>
      </c>
      <c r="S251" s="4">
        <v>11</v>
      </c>
      <c r="T251" s="4">
        <v>11</v>
      </c>
      <c r="U251" s="5" t="s">
        <v>2617</v>
      </c>
      <c r="V251" s="5" t="s">
        <v>2617</v>
      </c>
      <c r="W251" s="5" t="s">
        <v>72</v>
      </c>
      <c r="X251" s="5" t="s">
        <v>72</v>
      </c>
      <c r="Y251" s="4">
        <v>85</v>
      </c>
      <c r="Z251" s="4">
        <v>6</v>
      </c>
      <c r="AA251" s="4">
        <v>6</v>
      </c>
      <c r="AB251" s="4">
        <v>2</v>
      </c>
      <c r="AC251" s="4">
        <v>2</v>
      </c>
      <c r="AD251" s="4">
        <v>39</v>
      </c>
      <c r="AE251" s="4">
        <v>39</v>
      </c>
      <c r="AF251" s="4">
        <v>1</v>
      </c>
      <c r="AG251" s="4">
        <v>1</v>
      </c>
      <c r="AH251" s="4">
        <v>37</v>
      </c>
      <c r="AI251" s="4">
        <v>37</v>
      </c>
      <c r="AJ251" s="4">
        <v>4</v>
      </c>
      <c r="AK251" s="4">
        <v>4</v>
      </c>
      <c r="AL251" s="4">
        <v>31</v>
      </c>
      <c r="AM251" s="4">
        <v>31</v>
      </c>
      <c r="AN251" s="4">
        <v>0</v>
      </c>
      <c r="AO251" s="4">
        <v>0</v>
      </c>
      <c r="AP251" s="4">
        <v>4</v>
      </c>
      <c r="AQ251" s="4">
        <v>4</v>
      </c>
      <c r="AR251" s="3" t="s">
        <v>65</v>
      </c>
      <c r="AS251" s="3" t="s">
        <v>65</v>
      </c>
      <c r="AT251" s="3" t="s">
        <v>209</v>
      </c>
      <c r="AU251" s="6" t="str">
        <f>HYPERLINK("http://catalog.hathitrust.org/Record/002935411","HathiTrust Record")</f>
        <v>HathiTrust Record</v>
      </c>
      <c r="AV251" s="6" t="str">
        <f>HYPERLINK("http://mcgill.on.worldcat.org/oclc/31702292","Catalog Record")</f>
        <v>Catalog Record</v>
      </c>
      <c r="AW251" s="6" t="str">
        <f>HYPERLINK("http://www.worldcat.org/oclc/31702292","WorldCat Record")</f>
        <v>WorldCat Record</v>
      </c>
      <c r="AX251" s="3" t="s">
        <v>2618</v>
      </c>
      <c r="AY251" s="3" t="s">
        <v>2619</v>
      </c>
      <c r="AZ251" s="3" t="s">
        <v>2620</v>
      </c>
      <c r="BA251" s="3" t="s">
        <v>2620</v>
      </c>
      <c r="BB251" s="3" t="s">
        <v>2621</v>
      </c>
      <c r="BC251" s="3" t="s">
        <v>77</v>
      </c>
      <c r="BD251" s="3" t="s">
        <v>106</v>
      </c>
      <c r="BE251" s="3" t="s">
        <v>2622</v>
      </c>
      <c r="BF251" s="3" t="s">
        <v>2621</v>
      </c>
      <c r="BG251" s="3" t="s">
        <v>2623</v>
      </c>
    </row>
    <row r="252" spans="1:59" ht="58" x14ac:dyDescent="0.35">
      <c r="A252" s="2" t="s">
        <v>59</v>
      </c>
      <c r="B252" s="2" t="s">
        <v>60</v>
      </c>
      <c r="C252" s="2" t="s">
        <v>2624</v>
      </c>
      <c r="D252" s="2" t="s">
        <v>2625</v>
      </c>
      <c r="E252" s="2" t="s">
        <v>2626</v>
      </c>
      <c r="G252" s="3" t="s">
        <v>65</v>
      </c>
      <c r="I252" s="3" t="s">
        <v>65</v>
      </c>
      <c r="J252" s="3" t="s">
        <v>65</v>
      </c>
      <c r="K252" s="3" t="s">
        <v>66</v>
      </c>
      <c r="L252" s="2" t="s">
        <v>2627</v>
      </c>
      <c r="M252" s="2" t="s">
        <v>2628</v>
      </c>
      <c r="N252" s="3" t="s">
        <v>1109</v>
      </c>
      <c r="O252" s="2" t="s">
        <v>2629</v>
      </c>
      <c r="P252" s="3" t="s">
        <v>140</v>
      </c>
      <c r="Q252" s="2" t="s">
        <v>2630</v>
      </c>
      <c r="R252" s="3" t="s">
        <v>71</v>
      </c>
      <c r="S252" s="4">
        <v>6</v>
      </c>
      <c r="T252" s="4">
        <v>6</v>
      </c>
      <c r="U252" s="5" t="s">
        <v>2631</v>
      </c>
      <c r="V252" s="5" t="s">
        <v>2631</v>
      </c>
      <c r="W252" s="5" t="s">
        <v>72</v>
      </c>
      <c r="X252" s="5" t="s">
        <v>72</v>
      </c>
      <c r="Y252" s="4">
        <v>108</v>
      </c>
      <c r="Z252" s="4">
        <v>13</v>
      </c>
      <c r="AA252" s="4">
        <v>17</v>
      </c>
      <c r="AB252" s="4">
        <v>2</v>
      </c>
      <c r="AC252" s="4">
        <v>3</v>
      </c>
      <c r="AD252" s="4">
        <v>53</v>
      </c>
      <c r="AE252" s="4">
        <v>71</v>
      </c>
      <c r="AF252" s="4">
        <v>1</v>
      </c>
      <c r="AG252" s="4">
        <v>2</v>
      </c>
      <c r="AH252" s="4">
        <v>46</v>
      </c>
      <c r="AI252" s="4">
        <v>63</v>
      </c>
      <c r="AJ252" s="4">
        <v>9</v>
      </c>
      <c r="AK252" s="4">
        <v>12</v>
      </c>
      <c r="AL252" s="4">
        <v>31</v>
      </c>
      <c r="AM252" s="4">
        <v>42</v>
      </c>
      <c r="AN252" s="4">
        <v>0</v>
      </c>
      <c r="AO252" s="4">
        <v>0</v>
      </c>
      <c r="AP252" s="4">
        <v>8</v>
      </c>
      <c r="AQ252" s="4">
        <v>10</v>
      </c>
      <c r="AR252" s="3" t="s">
        <v>65</v>
      </c>
      <c r="AS252" s="3" t="s">
        <v>65</v>
      </c>
      <c r="AT252" s="3" t="s">
        <v>209</v>
      </c>
      <c r="AU252" s="6" t="str">
        <f>HYPERLINK("http://catalog.hathitrust.org/Record/002243034","HathiTrust Record")</f>
        <v>HathiTrust Record</v>
      </c>
      <c r="AV252" s="6" t="str">
        <f>HYPERLINK("http://mcgill.on.worldcat.org/oclc/1345663","Catalog Record")</f>
        <v>Catalog Record</v>
      </c>
      <c r="AW252" s="6" t="str">
        <f>HYPERLINK("http://www.worldcat.org/oclc/1345663","WorldCat Record")</f>
        <v>WorldCat Record</v>
      </c>
      <c r="AX252" s="3" t="s">
        <v>2632</v>
      </c>
      <c r="AY252" s="3" t="s">
        <v>2633</v>
      </c>
      <c r="AZ252" s="3" t="s">
        <v>2634</v>
      </c>
      <c r="BA252" s="3" t="s">
        <v>2634</v>
      </c>
      <c r="BB252" s="3" t="s">
        <v>2635</v>
      </c>
      <c r="BC252" s="3" t="s">
        <v>77</v>
      </c>
      <c r="BD252" s="3" t="s">
        <v>106</v>
      </c>
      <c r="BF252" s="3" t="s">
        <v>2635</v>
      </c>
      <c r="BG252" s="3" t="s">
        <v>2636</v>
      </c>
    </row>
    <row r="253" spans="1:59" ht="58" x14ac:dyDescent="0.35">
      <c r="A253" s="2" t="s">
        <v>59</v>
      </c>
      <c r="B253" s="2" t="s">
        <v>60</v>
      </c>
      <c r="C253" s="2" t="s">
        <v>2637</v>
      </c>
      <c r="D253" s="2" t="s">
        <v>2638</v>
      </c>
      <c r="E253" s="2" t="s">
        <v>2639</v>
      </c>
      <c r="G253" s="3" t="s">
        <v>65</v>
      </c>
      <c r="I253" s="3" t="s">
        <v>65</v>
      </c>
      <c r="J253" s="3" t="s">
        <v>65</v>
      </c>
      <c r="K253" s="3" t="s">
        <v>66</v>
      </c>
      <c r="L253" s="2" t="s">
        <v>2640</v>
      </c>
      <c r="M253" s="2" t="s">
        <v>2641</v>
      </c>
      <c r="N253" s="3" t="s">
        <v>479</v>
      </c>
      <c r="P253" s="3" t="s">
        <v>140</v>
      </c>
      <c r="Q253" s="2" t="s">
        <v>2642</v>
      </c>
      <c r="R253" s="3" t="s">
        <v>71</v>
      </c>
      <c r="S253" s="4">
        <v>3</v>
      </c>
      <c r="T253" s="4">
        <v>3</v>
      </c>
      <c r="U253" s="5" t="s">
        <v>2631</v>
      </c>
      <c r="V253" s="5" t="s">
        <v>2631</v>
      </c>
      <c r="W253" s="5" t="s">
        <v>72</v>
      </c>
      <c r="X253" s="5" t="s">
        <v>72</v>
      </c>
      <c r="Y253" s="4">
        <v>62</v>
      </c>
      <c r="Z253" s="4">
        <v>4</v>
      </c>
      <c r="AA253" s="4">
        <v>4</v>
      </c>
      <c r="AB253" s="4">
        <v>1</v>
      </c>
      <c r="AC253" s="4">
        <v>1</v>
      </c>
      <c r="AD253" s="4">
        <v>38</v>
      </c>
      <c r="AE253" s="4">
        <v>38</v>
      </c>
      <c r="AF253" s="4">
        <v>0</v>
      </c>
      <c r="AG253" s="4">
        <v>0</v>
      </c>
      <c r="AH253" s="4">
        <v>37</v>
      </c>
      <c r="AI253" s="4">
        <v>37</v>
      </c>
      <c r="AJ253" s="4">
        <v>2</v>
      </c>
      <c r="AK253" s="4">
        <v>2</v>
      </c>
      <c r="AL253" s="4">
        <v>28</v>
      </c>
      <c r="AM253" s="4">
        <v>28</v>
      </c>
      <c r="AN253" s="4">
        <v>0</v>
      </c>
      <c r="AO253" s="4">
        <v>0</v>
      </c>
      <c r="AP253" s="4">
        <v>2</v>
      </c>
      <c r="AQ253" s="4">
        <v>2</v>
      </c>
      <c r="AR253" s="3" t="s">
        <v>65</v>
      </c>
      <c r="AS253" s="3" t="s">
        <v>65</v>
      </c>
      <c r="AT253" s="3" t="s">
        <v>65</v>
      </c>
      <c r="AV253" s="6" t="str">
        <f>HYPERLINK("http://mcgill.on.worldcat.org/oclc/232963493","Catalog Record")</f>
        <v>Catalog Record</v>
      </c>
      <c r="AW253" s="6" t="str">
        <f>HYPERLINK("http://www.worldcat.org/oclc/232963493","WorldCat Record")</f>
        <v>WorldCat Record</v>
      </c>
      <c r="AX253" s="3" t="s">
        <v>2643</v>
      </c>
      <c r="AY253" s="3" t="s">
        <v>2644</v>
      </c>
      <c r="AZ253" s="3" t="s">
        <v>2645</v>
      </c>
      <c r="BA253" s="3" t="s">
        <v>2645</v>
      </c>
      <c r="BB253" s="3" t="s">
        <v>2646</v>
      </c>
      <c r="BC253" s="3" t="s">
        <v>77</v>
      </c>
      <c r="BD253" s="3" t="s">
        <v>106</v>
      </c>
      <c r="BE253" s="3" t="s">
        <v>2647</v>
      </c>
      <c r="BF253" s="3" t="s">
        <v>2646</v>
      </c>
      <c r="BG253" s="3" t="s">
        <v>2648</v>
      </c>
    </row>
    <row r="254" spans="1:59" ht="58" x14ac:dyDescent="0.35">
      <c r="A254" s="2" t="s">
        <v>59</v>
      </c>
      <c r="B254" s="2" t="s">
        <v>60</v>
      </c>
      <c r="C254" s="2" t="s">
        <v>2649</v>
      </c>
      <c r="D254" s="2" t="s">
        <v>2650</v>
      </c>
      <c r="E254" s="2" t="s">
        <v>2651</v>
      </c>
      <c r="G254" s="3" t="s">
        <v>65</v>
      </c>
      <c r="I254" s="3" t="s">
        <v>65</v>
      </c>
      <c r="J254" s="3" t="s">
        <v>65</v>
      </c>
      <c r="K254" s="3" t="s">
        <v>66</v>
      </c>
      <c r="L254" s="2" t="s">
        <v>2652</v>
      </c>
      <c r="M254" s="2" t="s">
        <v>2653</v>
      </c>
      <c r="N254" s="3" t="s">
        <v>1944</v>
      </c>
      <c r="P254" s="3" t="s">
        <v>69</v>
      </c>
      <c r="R254" s="3" t="s">
        <v>71</v>
      </c>
      <c r="S254" s="4">
        <v>20</v>
      </c>
      <c r="T254" s="4">
        <v>20</v>
      </c>
      <c r="U254" s="5" t="s">
        <v>2654</v>
      </c>
      <c r="V254" s="5" t="s">
        <v>2654</v>
      </c>
      <c r="W254" s="5" t="s">
        <v>72</v>
      </c>
      <c r="X254" s="5" t="s">
        <v>72</v>
      </c>
      <c r="Y254" s="4">
        <v>345</v>
      </c>
      <c r="Z254" s="4">
        <v>21</v>
      </c>
      <c r="AA254" s="4">
        <v>27</v>
      </c>
      <c r="AB254" s="4">
        <v>2</v>
      </c>
      <c r="AC254" s="4">
        <v>3</v>
      </c>
      <c r="AD254" s="4">
        <v>109</v>
      </c>
      <c r="AE254" s="4">
        <v>110</v>
      </c>
      <c r="AF254" s="4">
        <v>1</v>
      </c>
      <c r="AG254" s="4">
        <v>1</v>
      </c>
      <c r="AH254" s="4">
        <v>99</v>
      </c>
      <c r="AI254" s="4">
        <v>100</v>
      </c>
      <c r="AJ254" s="4">
        <v>12</v>
      </c>
      <c r="AK254" s="4">
        <v>13</v>
      </c>
      <c r="AL254" s="4">
        <v>57</v>
      </c>
      <c r="AM254" s="4">
        <v>57</v>
      </c>
      <c r="AN254" s="4">
        <v>0</v>
      </c>
      <c r="AO254" s="4">
        <v>0</v>
      </c>
      <c r="AP254" s="4">
        <v>15</v>
      </c>
      <c r="AQ254" s="4">
        <v>16</v>
      </c>
      <c r="AR254" s="3" t="s">
        <v>65</v>
      </c>
      <c r="AS254" s="3" t="s">
        <v>65</v>
      </c>
      <c r="AT254" s="3" t="s">
        <v>65</v>
      </c>
      <c r="AV254" s="6" t="str">
        <f>HYPERLINK("http://mcgill.on.worldcat.org/oclc/43656921","Catalog Record")</f>
        <v>Catalog Record</v>
      </c>
      <c r="AW254" s="6" t="str">
        <f>HYPERLINK("http://www.worldcat.org/oclc/43656921","WorldCat Record")</f>
        <v>WorldCat Record</v>
      </c>
      <c r="AX254" s="3" t="s">
        <v>2655</v>
      </c>
      <c r="AY254" s="3" t="s">
        <v>2656</v>
      </c>
      <c r="AZ254" s="3" t="s">
        <v>2657</v>
      </c>
      <c r="BA254" s="3" t="s">
        <v>2657</v>
      </c>
      <c r="BB254" s="3" t="s">
        <v>2658</v>
      </c>
      <c r="BC254" s="3" t="s">
        <v>77</v>
      </c>
      <c r="BD254" s="3" t="s">
        <v>78</v>
      </c>
      <c r="BE254" s="3" t="s">
        <v>2659</v>
      </c>
      <c r="BF254" s="3" t="s">
        <v>2658</v>
      </c>
      <c r="BG254" s="3" t="s">
        <v>2660</v>
      </c>
    </row>
    <row r="255" spans="1:59" ht="87" x14ac:dyDescent="0.35">
      <c r="A255" s="2" t="s">
        <v>59</v>
      </c>
      <c r="B255" s="2" t="s">
        <v>60</v>
      </c>
      <c r="C255" s="2" t="s">
        <v>2661</v>
      </c>
      <c r="D255" s="2" t="s">
        <v>2662</v>
      </c>
      <c r="E255" s="2" t="s">
        <v>2663</v>
      </c>
      <c r="G255" s="3" t="s">
        <v>65</v>
      </c>
      <c r="I255" s="3" t="s">
        <v>65</v>
      </c>
      <c r="J255" s="3" t="s">
        <v>65</v>
      </c>
      <c r="K255" s="3" t="s">
        <v>66</v>
      </c>
      <c r="M255" s="2" t="s">
        <v>2664</v>
      </c>
      <c r="N255" s="3" t="s">
        <v>113</v>
      </c>
      <c r="P255" s="3" t="s">
        <v>616</v>
      </c>
      <c r="Q255" s="2" t="s">
        <v>2665</v>
      </c>
      <c r="R255" s="3" t="s">
        <v>71</v>
      </c>
      <c r="S255" s="4">
        <v>0</v>
      </c>
      <c r="T255" s="4">
        <v>0</v>
      </c>
      <c r="W255" s="5" t="s">
        <v>72</v>
      </c>
      <c r="X255" s="5" t="s">
        <v>72</v>
      </c>
      <c r="Y255" s="4">
        <v>8</v>
      </c>
      <c r="Z255" s="4">
        <v>2</v>
      </c>
      <c r="AA255" s="4">
        <v>4</v>
      </c>
      <c r="AB255" s="4">
        <v>1</v>
      </c>
      <c r="AC255" s="4">
        <v>2</v>
      </c>
      <c r="AD255" s="4">
        <v>4</v>
      </c>
      <c r="AE255" s="4">
        <v>6</v>
      </c>
      <c r="AF255" s="4">
        <v>0</v>
      </c>
      <c r="AG255" s="4">
        <v>1</v>
      </c>
      <c r="AH255" s="4">
        <v>4</v>
      </c>
      <c r="AI255" s="4">
        <v>5</v>
      </c>
      <c r="AJ255" s="4">
        <v>1</v>
      </c>
      <c r="AK255" s="4">
        <v>3</v>
      </c>
      <c r="AL255" s="4">
        <v>3</v>
      </c>
      <c r="AM255" s="4">
        <v>3</v>
      </c>
      <c r="AN255" s="4">
        <v>0</v>
      </c>
      <c r="AO255" s="4">
        <v>0</v>
      </c>
      <c r="AP255" s="4">
        <v>1</v>
      </c>
      <c r="AQ255" s="4">
        <v>2</v>
      </c>
      <c r="AR255" s="3" t="s">
        <v>65</v>
      </c>
      <c r="AS255" s="3" t="s">
        <v>65</v>
      </c>
      <c r="AT255" s="3" t="s">
        <v>65</v>
      </c>
      <c r="AV255" s="6" t="str">
        <f>HYPERLINK("http://mcgill.on.worldcat.org/oclc/716094469","Catalog Record")</f>
        <v>Catalog Record</v>
      </c>
      <c r="AW255" s="6" t="str">
        <f>HYPERLINK("http://www.worldcat.org/oclc/716094469","WorldCat Record")</f>
        <v>WorldCat Record</v>
      </c>
      <c r="AX255" s="3" t="s">
        <v>2666</v>
      </c>
      <c r="AY255" s="3" t="s">
        <v>2667</v>
      </c>
      <c r="AZ255" s="3" t="s">
        <v>2668</v>
      </c>
      <c r="BA255" s="3" t="s">
        <v>2668</v>
      </c>
      <c r="BB255" s="3" t="s">
        <v>2669</v>
      </c>
      <c r="BC255" s="3" t="s">
        <v>77</v>
      </c>
      <c r="BD255" s="3" t="s">
        <v>78</v>
      </c>
      <c r="BE255" s="3" t="s">
        <v>2670</v>
      </c>
      <c r="BF255" s="3" t="s">
        <v>2669</v>
      </c>
      <c r="BG255" s="3" t="s">
        <v>2671</v>
      </c>
    </row>
    <row r="256" spans="1:59" ht="58" x14ac:dyDescent="0.35">
      <c r="A256" s="2" t="s">
        <v>59</v>
      </c>
      <c r="B256" s="2" t="s">
        <v>60</v>
      </c>
      <c r="C256" s="2" t="s">
        <v>2672</v>
      </c>
      <c r="D256" s="2" t="s">
        <v>2673</v>
      </c>
      <c r="E256" s="2" t="s">
        <v>2674</v>
      </c>
      <c r="G256" s="3" t="s">
        <v>65</v>
      </c>
      <c r="I256" s="3" t="s">
        <v>65</v>
      </c>
      <c r="J256" s="3" t="s">
        <v>65</v>
      </c>
      <c r="K256" s="3" t="s">
        <v>66</v>
      </c>
      <c r="L256" s="2" t="s">
        <v>2675</v>
      </c>
      <c r="M256" s="2" t="s">
        <v>2676</v>
      </c>
      <c r="N256" s="3" t="s">
        <v>525</v>
      </c>
      <c r="P256" s="3" t="s">
        <v>140</v>
      </c>
      <c r="Q256" s="2" t="s">
        <v>2677</v>
      </c>
      <c r="R256" s="3" t="s">
        <v>71</v>
      </c>
      <c r="S256" s="4">
        <v>5</v>
      </c>
      <c r="T256" s="4">
        <v>5</v>
      </c>
      <c r="U256" s="5" t="s">
        <v>2678</v>
      </c>
      <c r="V256" s="5" t="s">
        <v>2678</v>
      </c>
      <c r="W256" s="5" t="s">
        <v>72</v>
      </c>
      <c r="X256" s="5" t="s">
        <v>72</v>
      </c>
      <c r="Y256" s="4">
        <v>76</v>
      </c>
      <c r="Z256" s="4">
        <v>4</v>
      </c>
      <c r="AA256" s="4">
        <v>4</v>
      </c>
      <c r="AB256" s="4">
        <v>1</v>
      </c>
      <c r="AC256" s="4">
        <v>1</v>
      </c>
      <c r="AD256" s="4">
        <v>38</v>
      </c>
      <c r="AE256" s="4">
        <v>38</v>
      </c>
      <c r="AF256" s="4">
        <v>0</v>
      </c>
      <c r="AG256" s="4">
        <v>0</v>
      </c>
      <c r="AH256" s="4">
        <v>37</v>
      </c>
      <c r="AI256" s="4">
        <v>37</v>
      </c>
      <c r="AJ256" s="4">
        <v>2</v>
      </c>
      <c r="AK256" s="4">
        <v>2</v>
      </c>
      <c r="AL256" s="4">
        <v>28</v>
      </c>
      <c r="AM256" s="4">
        <v>28</v>
      </c>
      <c r="AN256" s="4">
        <v>1</v>
      </c>
      <c r="AO256" s="4">
        <v>1</v>
      </c>
      <c r="AP256" s="4">
        <v>2</v>
      </c>
      <c r="AQ256" s="4">
        <v>2</v>
      </c>
      <c r="AR256" s="3" t="s">
        <v>65</v>
      </c>
      <c r="AS256" s="3" t="s">
        <v>65</v>
      </c>
      <c r="AT256" s="3" t="s">
        <v>209</v>
      </c>
      <c r="AU256" s="6" t="str">
        <f>HYPERLINK("http://catalog.hathitrust.org/Record/005038240","HathiTrust Record")</f>
        <v>HathiTrust Record</v>
      </c>
      <c r="AV256" s="6" t="str">
        <f>HYPERLINK("http://mcgill.on.worldcat.org/oclc/57515042","Catalog Record")</f>
        <v>Catalog Record</v>
      </c>
      <c r="AW256" s="6" t="str">
        <f>HYPERLINK("http://www.worldcat.org/oclc/57515042","WorldCat Record")</f>
        <v>WorldCat Record</v>
      </c>
      <c r="AX256" s="3" t="s">
        <v>2679</v>
      </c>
      <c r="AY256" s="3" t="s">
        <v>2680</v>
      </c>
      <c r="AZ256" s="3" t="s">
        <v>2681</v>
      </c>
      <c r="BA256" s="3" t="s">
        <v>2681</v>
      </c>
      <c r="BB256" s="3" t="s">
        <v>2682</v>
      </c>
      <c r="BC256" s="3" t="s">
        <v>77</v>
      </c>
      <c r="BD256" s="3" t="s">
        <v>78</v>
      </c>
      <c r="BE256" s="3" t="s">
        <v>2683</v>
      </c>
      <c r="BF256" s="3" t="s">
        <v>2682</v>
      </c>
      <c r="BG256" s="3" t="s">
        <v>2684</v>
      </c>
    </row>
    <row r="257" spans="1:59" ht="58" x14ac:dyDescent="0.35">
      <c r="A257" s="2" t="s">
        <v>59</v>
      </c>
      <c r="B257" s="2" t="s">
        <v>60</v>
      </c>
      <c r="C257" s="2" t="s">
        <v>2685</v>
      </c>
      <c r="D257" s="2" t="s">
        <v>2686</v>
      </c>
      <c r="E257" s="2" t="s">
        <v>2687</v>
      </c>
      <c r="G257" s="3" t="s">
        <v>65</v>
      </c>
      <c r="I257" s="3" t="s">
        <v>65</v>
      </c>
      <c r="J257" s="3" t="s">
        <v>65</v>
      </c>
      <c r="K257" s="3" t="s">
        <v>66</v>
      </c>
      <c r="L257" s="2" t="s">
        <v>2688</v>
      </c>
      <c r="M257" s="2" t="s">
        <v>2689</v>
      </c>
      <c r="N257" s="3" t="s">
        <v>525</v>
      </c>
      <c r="P257" s="3" t="s">
        <v>616</v>
      </c>
      <c r="Q257" s="2" t="s">
        <v>2690</v>
      </c>
      <c r="R257" s="3" t="s">
        <v>71</v>
      </c>
      <c r="S257" s="4">
        <v>2</v>
      </c>
      <c r="T257" s="4">
        <v>2</v>
      </c>
      <c r="U257" s="5" t="s">
        <v>2691</v>
      </c>
      <c r="V257" s="5" t="s">
        <v>2691</v>
      </c>
      <c r="W257" s="5" t="s">
        <v>72</v>
      </c>
      <c r="X257" s="5" t="s">
        <v>72</v>
      </c>
      <c r="Y257" s="4">
        <v>35</v>
      </c>
      <c r="Z257" s="4">
        <v>4</v>
      </c>
      <c r="AA257" s="4">
        <v>4</v>
      </c>
      <c r="AB257" s="4">
        <v>1</v>
      </c>
      <c r="AC257" s="4">
        <v>1</v>
      </c>
      <c r="AD257" s="4">
        <v>21</v>
      </c>
      <c r="AE257" s="4">
        <v>21</v>
      </c>
      <c r="AF257" s="4">
        <v>0</v>
      </c>
      <c r="AG257" s="4">
        <v>0</v>
      </c>
      <c r="AH257" s="4">
        <v>20</v>
      </c>
      <c r="AI257" s="4">
        <v>20</v>
      </c>
      <c r="AJ257" s="4">
        <v>1</v>
      </c>
      <c r="AK257" s="4">
        <v>1</v>
      </c>
      <c r="AL257" s="4">
        <v>16</v>
      </c>
      <c r="AM257" s="4">
        <v>16</v>
      </c>
      <c r="AN257" s="4">
        <v>0</v>
      </c>
      <c r="AO257" s="4">
        <v>0</v>
      </c>
      <c r="AP257" s="4">
        <v>1</v>
      </c>
      <c r="AQ257" s="4">
        <v>1</v>
      </c>
      <c r="AR257" s="3" t="s">
        <v>65</v>
      </c>
      <c r="AS257" s="3" t="s">
        <v>65</v>
      </c>
      <c r="AT257" s="3" t="s">
        <v>65</v>
      </c>
      <c r="AV257" s="6" t="str">
        <f>HYPERLINK("http://mcgill.on.worldcat.org/oclc/62283535","Catalog Record")</f>
        <v>Catalog Record</v>
      </c>
      <c r="AW257" s="6" t="str">
        <f>HYPERLINK("http://www.worldcat.org/oclc/62283535","WorldCat Record")</f>
        <v>WorldCat Record</v>
      </c>
      <c r="AX257" s="3" t="s">
        <v>2692</v>
      </c>
      <c r="AY257" s="3" t="s">
        <v>2693</v>
      </c>
      <c r="AZ257" s="3" t="s">
        <v>2694</v>
      </c>
      <c r="BA257" s="3" t="s">
        <v>2694</v>
      </c>
      <c r="BB257" s="3" t="s">
        <v>2695</v>
      </c>
      <c r="BC257" s="3" t="s">
        <v>77</v>
      </c>
      <c r="BD257" s="3" t="s">
        <v>78</v>
      </c>
      <c r="BE257" s="3" t="s">
        <v>2696</v>
      </c>
      <c r="BF257" s="3" t="s">
        <v>2695</v>
      </c>
      <c r="BG257" s="3" t="s">
        <v>2697</v>
      </c>
    </row>
    <row r="258" spans="1:59" ht="87" x14ac:dyDescent="0.35">
      <c r="A258" s="2" t="s">
        <v>59</v>
      </c>
      <c r="B258" s="2" t="s">
        <v>60</v>
      </c>
      <c r="C258" s="2" t="s">
        <v>2698</v>
      </c>
      <c r="D258" s="2" t="s">
        <v>2699</v>
      </c>
      <c r="E258" s="2" t="s">
        <v>2700</v>
      </c>
      <c r="G258" s="3" t="s">
        <v>65</v>
      </c>
      <c r="I258" s="3" t="s">
        <v>65</v>
      </c>
      <c r="J258" s="3" t="s">
        <v>65</v>
      </c>
      <c r="K258" s="3" t="s">
        <v>66</v>
      </c>
      <c r="L258" s="2" t="s">
        <v>2701</v>
      </c>
      <c r="M258" s="2" t="s">
        <v>2702</v>
      </c>
      <c r="N258" s="3" t="s">
        <v>113</v>
      </c>
      <c r="P258" s="3" t="s">
        <v>140</v>
      </c>
      <c r="Q258" s="2" t="s">
        <v>2703</v>
      </c>
      <c r="R258" s="3" t="s">
        <v>71</v>
      </c>
      <c r="S258" s="4">
        <v>0</v>
      </c>
      <c r="T258" s="4">
        <v>0</v>
      </c>
      <c r="W258" s="5" t="s">
        <v>72</v>
      </c>
      <c r="X258" s="5" t="s">
        <v>72</v>
      </c>
      <c r="Y258" s="4">
        <v>40</v>
      </c>
      <c r="Z258" s="4">
        <v>3</v>
      </c>
      <c r="AA258" s="4">
        <v>3</v>
      </c>
      <c r="AB258" s="4">
        <v>1</v>
      </c>
      <c r="AC258" s="4">
        <v>1</v>
      </c>
      <c r="AD258" s="4">
        <v>24</v>
      </c>
      <c r="AE258" s="4">
        <v>24</v>
      </c>
      <c r="AF258" s="4">
        <v>0</v>
      </c>
      <c r="AG258" s="4">
        <v>0</v>
      </c>
      <c r="AH258" s="4">
        <v>23</v>
      </c>
      <c r="AI258" s="4">
        <v>23</v>
      </c>
      <c r="AJ258" s="4">
        <v>1</v>
      </c>
      <c r="AK258" s="4">
        <v>1</v>
      </c>
      <c r="AL258" s="4">
        <v>19</v>
      </c>
      <c r="AM258" s="4">
        <v>19</v>
      </c>
      <c r="AN258" s="4">
        <v>0</v>
      </c>
      <c r="AO258" s="4">
        <v>0</v>
      </c>
      <c r="AP258" s="4">
        <v>1</v>
      </c>
      <c r="AQ258" s="4">
        <v>1</v>
      </c>
      <c r="AR258" s="3" t="s">
        <v>65</v>
      </c>
      <c r="AS258" s="3" t="s">
        <v>65</v>
      </c>
      <c r="AT258" s="3" t="s">
        <v>65</v>
      </c>
      <c r="AV258" s="6" t="str">
        <f>HYPERLINK("http://mcgill.on.worldcat.org/oclc/659712107","Catalog Record")</f>
        <v>Catalog Record</v>
      </c>
      <c r="AW258" s="6" t="str">
        <f>HYPERLINK("http://www.worldcat.org/oclc/659712107","WorldCat Record")</f>
        <v>WorldCat Record</v>
      </c>
      <c r="AX258" s="3" t="s">
        <v>2704</v>
      </c>
      <c r="AY258" s="3" t="s">
        <v>2705</v>
      </c>
      <c r="AZ258" s="3" t="s">
        <v>2706</v>
      </c>
      <c r="BA258" s="3" t="s">
        <v>2706</v>
      </c>
      <c r="BB258" s="3" t="s">
        <v>2707</v>
      </c>
      <c r="BC258" s="3" t="s">
        <v>77</v>
      </c>
      <c r="BD258" s="3" t="s">
        <v>78</v>
      </c>
      <c r="BE258" s="3" t="s">
        <v>2708</v>
      </c>
      <c r="BF258" s="3" t="s">
        <v>2707</v>
      </c>
      <c r="BG258" s="3" t="s">
        <v>2709</v>
      </c>
    </row>
    <row r="259" spans="1:59" ht="58" x14ac:dyDescent="0.35">
      <c r="A259" s="2" t="s">
        <v>59</v>
      </c>
      <c r="B259" s="2" t="s">
        <v>60</v>
      </c>
      <c r="C259" s="2" t="s">
        <v>2710</v>
      </c>
      <c r="D259" s="2" t="s">
        <v>2711</v>
      </c>
      <c r="E259" s="2" t="s">
        <v>2712</v>
      </c>
      <c r="G259" s="3" t="s">
        <v>65</v>
      </c>
      <c r="I259" s="3" t="s">
        <v>65</v>
      </c>
      <c r="J259" s="3" t="s">
        <v>65</v>
      </c>
      <c r="K259" s="3" t="s">
        <v>66</v>
      </c>
      <c r="M259" s="2" t="s">
        <v>2713</v>
      </c>
      <c r="N259" s="3" t="s">
        <v>68</v>
      </c>
      <c r="P259" s="3" t="s">
        <v>69</v>
      </c>
      <c r="R259" s="3" t="s">
        <v>71</v>
      </c>
      <c r="S259" s="4">
        <v>6</v>
      </c>
      <c r="T259" s="4">
        <v>6</v>
      </c>
      <c r="U259" s="5" t="s">
        <v>2631</v>
      </c>
      <c r="V259" s="5" t="s">
        <v>2631</v>
      </c>
      <c r="W259" s="5" t="s">
        <v>72</v>
      </c>
      <c r="X259" s="5" t="s">
        <v>72</v>
      </c>
      <c r="Y259" s="4">
        <v>37</v>
      </c>
      <c r="Z259" s="4">
        <v>2</v>
      </c>
      <c r="AA259" s="4">
        <v>13</v>
      </c>
      <c r="AB259" s="4">
        <v>1</v>
      </c>
      <c r="AC259" s="4">
        <v>6</v>
      </c>
      <c r="AD259" s="4">
        <v>16</v>
      </c>
      <c r="AE259" s="4">
        <v>48</v>
      </c>
      <c r="AF259" s="4">
        <v>0</v>
      </c>
      <c r="AG259" s="4">
        <v>1</v>
      </c>
      <c r="AH259" s="4">
        <v>16</v>
      </c>
      <c r="AI259" s="4">
        <v>44</v>
      </c>
      <c r="AJ259" s="4">
        <v>1</v>
      </c>
      <c r="AK259" s="4">
        <v>6</v>
      </c>
      <c r="AL259" s="4">
        <v>10</v>
      </c>
      <c r="AM259" s="4">
        <v>32</v>
      </c>
      <c r="AN259" s="4">
        <v>0</v>
      </c>
      <c r="AO259" s="4">
        <v>0</v>
      </c>
      <c r="AP259" s="4">
        <v>1</v>
      </c>
      <c r="AQ259" s="4">
        <v>6</v>
      </c>
      <c r="AR259" s="3" t="s">
        <v>65</v>
      </c>
      <c r="AS259" s="3" t="s">
        <v>65</v>
      </c>
      <c r="AT259" s="3" t="s">
        <v>65</v>
      </c>
      <c r="AV259" s="6" t="str">
        <f>HYPERLINK("http://mcgill.on.worldcat.org/oclc/927618407","Catalog Record")</f>
        <v>Catalog Record</v>
      </c>
      <c r="AW259" s="6" t="str">
        <f>HYPERLINK("http://www.worldcat.org/oclc/927618407","WorldCat Record")</f>
        <v>WorldCat Record</v>
      </c>
      <c r="AX259" s="3" t="s">
        <v>2714</v>
      </c>
      <c r="AY259" s="3" t="s">
        <v>2715</v>
      </c>
      <c r="AZ259" s="3" t="s">
        <v>2716</v>
      </c>
      <c r="BA259" s="3" t="s">
        <v>2716</v>
      </c>
      <c r="BB259" s="3" t="s">
        <v>2717</v>
      </c>
      <c r="BC259" s="3" t="s">
        <v>77</v>
      </c>
      <c r="BD259" s="3" t="s">
        <v>106</v>
      </c>
      <c r="BE259" s="3" t="s">
        <v>2718</v>
      </c>
      <c r="BF259" s="3" t="s">
        <v>2717</v>
      </c>
      <c r="BG259" s="3" t="s">
        <v>2719</v>
      </c>
    </row>
    <row r="260" spans="1:59" ht="58" x14ac:dyDescent="0.35">
      <c r="A260" s="2" t="s">
        <v>59</v>
      </c>
      <c r="B260" s="2" t="s">
        <v>60</v>
      </c>
      <c r="C260" s="2" t="s">
        <v>2720</v>
      </c>
      <c r="D260" s="2" t="s">
        <v>2721</v>
      </c>
      <c r="E260" s="2" t="s">
        <v>2722</v>
      </c>
      <c r="G260" s="3" t="s">
        <v>65</v>
      </c>
      <c r="I260" s="3" t="s">
        <v>65</v>
      </c>
      <c r="J260" s="3" t="s">
        <v>65</v>
      </c>
      <c r="K260" s="3" t="s">
        <v>66</v>
      </c>
      <c r="L260" s="2" t="s">
        <v>2723</v>
      </c>
      <c r="M260" s="2" t="s">
        <v>2724</v>
      </c>
      <c r="N260" s="3" t="s">
        <v>126</v>
      </c>
      <c r="P260" s="3" t="s">
        <v>69</v>
      </c>
      <c r="Q260" s="2" t="s">
        <v>2725</v>
      </c>
      <c r="R260" s="3" t="s">
        <v>71</v>
      </c>
      <c r="S260" s="4">
        <v>0</v>
      </c>
      <c r="T260" s="4">
        <v>0</v>
      </c>
      <c r="W260" s="5" t="s">
        <v>72</v>
      </c>
      <c r="X260" s="5" t="s">
        <v>72</v>
      </c>
      <c r="Y260" s="4">
        <v>121</v>
      </c>
      <c r="Z260" s="4">
        <v>12</v>
      </c>
      <c r="AA260" s="4">
        <v>97</v>
      </c>
      <c r="AB260" s="4">
        <v>1</v>
      </c>
      <c r="AC260" s="4">
        <v>18</v>
      </c>
      <c r="AD260" s="4">
        <v>67</v>
      </c>
      <c r="AE260" s="4">
        <v>138</v>
      </c>
      <c r="AF260" s="4">
        <v>0</v>
      </c>
      <c r="AG260" s="4">
        <v>8</v>
      </c>
      <c r="AH260" s="4">
        <v>62</v>
      </c>
      <c r="AI260" s="4">
        <v>101</v>
      </c>
      <c r="AJ260" s="4">
        <v>10</v>
      </c>
      <c r="AK260" s="4">
        <v>23</v>
      </c>
      <c r="AL260" s="4">
        <v>40</v>
      </c>
      <c r="AM260" s="4">
        <v>58</v>
      </c>
      <c r="AN260" s="4">
        <v>0</v>
      </c>
      <c r="AO260" s="4">
        <v>0</v>
      </c>
      <c r="AP260" s="4">
        <v>10</v>
      </c>
      <c r="AQ260" s="4">
        <v>44</v>
      </c>
      <c r="AR260" s="3" t="s">
        <v>65</v>
      </c>
      <c r="AS260" s="3" t="s">
        <v>65</v>
      </c>
      <c r="AT260" s="3" t="s">
        <v>65</v>
      </c>
      <c r="AV260" s="6" t="str">
        <f>HYPERLINK("http://mcgill.on.worldcat.org/oclc/703870932","Catalog Record")</f>
        <v>Catalog Record</v>
      </c>
      <c r="AW260" s="6" t="str">
        <f>HYPERLINK("http://www.worldcat.org/oclc/703870932","WorldCat Record")</f>
        <v>WorldCat Record</v>
      </c>
      <c r="AX260" s="3" t="s">
        <v>2726</v>
      </c>
      <c r="AY260" s="3" t="s">
        <v>2727</v>
      </c>
      <c r="AZ260" s="3" t="s">
        <v>2728</v>
      </c>
      <c r="BA260" s="3" t="s">
        <v>2728</v>
      </c>
      <c r="BB260" s="3" t="s">
        <v>2729</v>
      </c>
      <c r="BC260" s="3" t="s">
        <v>77</v>
      </c>
      <c r="BD260" s="3" t="s">
        <v>78</v>
      </c>
      <c r="BE260" s="3" t="s">
        <v>2730</v>
      </c>
      <c r="BF260" s="3" t="s">
        <v>2729</v>
      </c>
      <c r="BG260" s="3" t="s">
        <v>2731</v>
      </c>
    </row>
    <row r="261" spans="1:59" ht="58" x14ac:dyDescent="0.35">
      <c r="A261" s="2" t="s">
        <v>59</v>
      </c>
      <c r="B261" s="2" t="s">
        <v>60</v>
      </c>
      <c r="C261" s="2" t="s">
        <v>2732</v>
      </c>
      <c r="D261" s="2" t="s">
        <v>2733</v>
      </c>
      <c r="E261" s="2" t="s">
        <v>2734</v>
      </c>
      <c r="G261" s="3" t="s">
        <v>65</v>
      </c>
      <c r="I261" s="3" t="s">
        <v>65</v>
      </c>
      <c r="J261" s="3" t="s">
        <v>65</v>
      </c>
      <c r="K261" s="3" t="s">
        <v>66</v>
      </c>
      <c r="L261" s="2" t="s">
        <v>2735</v>
      </c>
      <c r="M261" s="2" t="s">
        <v>2736</v>
      </c>
      <c r="N261" s="3" t="s">
        <v>1196</v>
      </c>
      <c r="P261" s="3" t="s">
        <v>69</v>
      </c>
      <c r="Q261" s="2" t="s">
        <v>2737</v>
      </c>
      <c r="R261" s="3" t="s">
        <v>71</v>
      </c>
      <c r="S261" s="4">
        <v>19</v>
      </c>
      <c r="T261" s="4">
        <v>19</v>
      </c>
      <c r="U261" s="5" t="s">
        <v>2738</v>
      </c>
      <c r="V261" s="5" t="s">
        <v>2738</v>
      </c>
      <c r="W261" s="5" t="s">
        <v>72</v>
      </c>
      <c r="X261" s="5" t="s">
        <v>72</v>
      </c>
      <c r="Y261" s="4">
        <v>197</v>
      </c>
      <c r="Z261" s="4">
        <v>19</v>
      </c>
      <c r="AA261" s="4">
        <v>20</v>
      </c>
      <c r="AB261" s="4">
        <v>1</v>
      </c>
      <c r="AC261" s="4">
        <v>2</v>
      </c>
      <c r="AD261" s="4">
        <v>79</v>
      </c>
      <c r="AE261" s="4">
        <v>79</v>
      </c>
      <c r="AF261" s="4">
        <v>0</v>
      </c>
      <c r="AG261" s="4">
        <v>0</v>
      </c>
      <c r="AH261" s="4">
        <v>72</v>
      </c>
      <c r="AI261" s="4">
        <v>72</v>
      </c>
      <c r="AJ261" s="4">
        <v>14</v>
      </c>
      <c r="AK261" s="4">
        <v>14</v>
      </c>
      <c r="AL261" s="4">
        <v>43</v>
      </c>
      <c r="AM261" s="4">
        <v>43</v>
      </c>
      <c r="AN261" s="4">
        <v>0</v>
      </c>
      <c r="AO261" s="4">
        <v>0</v>
      </c>
      <c r="AP261" s="4">
        <v>14</v>
      </c>
      <c r="AQ261" s="4">
        <v>14</v>
      </c>
      <c r="AR261" s="3" t="s">
        <v>65</v>
      </c>
      <c r="AS261" s="3" t="s">
        <v>65</v>
      </c>
      <c r="AT261" s="3" t="s">
        <v>209</v>
      </c>
      <c r="AU261" s="6" t="str">
        <f>HYPERLINK("http://catalog.hathitrust.org/Record/005543632","HathiTrust Record")</f>
        <v>HathiTrust Record</v>
      </c>
      <c r="AV261" s="6" t="str">
        <f>HYPERLINK("http://mcgill.on.worldcat.org/oclc/60611862","Catalog Record")</f>
        <v>Catalog Record</v>
      </c>
      <c r="AW261" s="6" t="str">
        <f>HYPERLINK("http://www.worldcat.org/oclc/60611862","WorldCat Record")</f>
        <v>WorldCat Record</v>
      </c>
      <c r="AX261" s="3" t="s">
        <v>2739</v>
      </c>
      <c r="AY261" s="3" t="s">
        <v>2740</v>
      </c>
      <c r="AZ261" s="3" t="s">
        <v>2741</v>
      </c>
      <c r="BA261" s="3" t="s">
        <v>2741</v>
      </c>
      <c r="BB261" s="3" t="s">
        <v>2742</v>
      </c>
      <c r="BC261" s="3" t="s">
        <v>77</v>
      </c>
      <c r="BD261" s="3" t="s">
        <v>106</v>
      </c>
      <c r="BE261" s="3" t="s">
        <v>2743</v>
      </c>
      <c r="BF261" s="3" t="s">
        <v>2742</v>
      </c>
      <c r="BG261" s="3" t="s">
        <v>2744</v>
      </c>
    </row>
    <row r="262" spans="1:59" ht="58" x14ac:dyDescent="0.35">
      <c r="A262" s="2" t="s">
        <v>59</v>
      </c>
      <c r="B262" s="2" t="s">
        <v>60</v>
      </c>
      <c r="C262" s="2" t="s">
        <v>2745</v>
      </c>
      <c r="D262" s="2" t="s">
        <v>2746</v>
      </c>
      <c r="E262" s="2" t="s">
        <v>2747</v>
      </c>
      <c r="G262" s="3" t="s">
        <v>65</v>
      </c>
      <c r="I262" s="3" t="s">
        <v>65</v>
      </c>
      <c r="J262" s="3" t="s">
        <v>65</v>
      </c>
      <c r="K262" s="3" t="s">
        <v>66</v>
      </c>
      <c r="L262" s="2" t="s">
        <v>2748</v>
      </c>
      <c r="M262" s="2" t="s">
        <v>2749</v>
      </c>
      <c r="N262" s="3" t="s">
        <v>2750</v>
      </c>
      <c r="P262" s="3" t="s">
        <v>140</v>
      </c>
      <c r="Q262" s="2" t="s">
        <v>2751</v>
      </c>
      <c r="R262" s="3" t="s">
        <v>71</v>
      </c>
      <c r="S262" s="4">
        <v>6</v>
      </c>
      <c r="T262" s="4">
        <v>6</v>
      </c>
      <c r="U262" s="5" t="s">
        <v>2631</v>
      </c>
      <c r="V262" s="5" t="s">
        <v>2631</v>
      </c>
      <c r="W262" s="5" t="s">
        <v>72</v>
      </c>
      <c r="X262" s="5" t="s">
        <v>72</v>
      </c>
      <c r="Y262" s="4">
        <v>117</v>
      </c>
      <c r="Z262" s="4">
        <v>10</v>
      </c>
      <c r="AA262" s="4">
        <v>10</v>
      </c>
      <c r="AB262" s="4">
        <v>2</v>
      </c>
      <c r="AC262" s="4">
        <v>2</v>
      </c>
      <c r="AD262" s="4">
        <v>54</v>
      </c>
      <c r="AE262" s="4">
        <v>54</v>
      </c>
      <c r="AF262" s="4">
        <v>1</v>
      </c>
      <c r="AG262" s="4">
        <v>1</v>
      </c>
      <c r="AH262" s="4">
        <v>49</v>
      </c>
      <c r="AI262" s="4">
        <v>49</v>
      </c>
      <c r="AJ262" s="4">
        <v>8</v>
      </c>
      <c r="AK262" s="4">
        <v>8</v>
      </c>
      <c r="AL262" s="4">
        <v>33</v>
      </c>
      <c r="AM262" s="4">
        <v>33</v>
      </c>
      <c r="AN262" s="4">
        <v>0</v>
      </c>
      <c r="AO262" s="4">
        <v>0</v>
      </c>
      <c r="AP262" s="4">
        <v>7</v>
      </c>
      <c r="AQ262" s="4">
        <v>7</v>
      </c>
      <c r="AR262" s="3" t="s">
        <v>65</v>
      </c>
      <c r="AS262" s="3" t="s">
        <v>65</v>
      </c>
      <c r="AT262" s="3" t="s">
        <v>209</v>
      </c>
      <c r="AU262" s="6" t="str">
        <f>HYPERLINK("http://catalog.hathitrust.org/Record/000734345","HathiTrust Record")</f>
        <v>HathiTrust Record</v>
      </c>
      <c r="AV262" s="6" t="str">
        <f>HYPERLINK("http://mcgill.on.worldcat.org/oclc/2543960","Catalog Record")</f>
        <v>Catalog Record</v>
      </c>
      <c r="AW262" s="6" t="str">
        <f>HYPERLINK("http://www.worldcat.org/oclc/2543960","WorldCat Record")</f>
        <v>WorldCat Record</v>
      </c>
      <c r="AX262" s="3" t="s">
        <v>2752</v>
      </c>
      <c r="AY262" s="3" t="s">
        <v>2753</v>
      </c>
      <c r="AZ262" s="3" t="s">
        <v>2754</v>
      </c>
      <c r="BA262" s="3" t="s">
        <v>2754</v>
      </c>
      <c r="BB262" s="3" t="s">
        <v>2755</v>
      </c>
      <c r="BC262" s="3" t="s">
        <v>77</v>
      </c>
      <c r="BD262" s="3" t="s">
        <v>106</v>
      </c>
      <c r="BF262" s="3" t="s">
        <v>2755</v>
      </c>
      <c r="BG262" s="3" t="s">
        <v>2756</v>
      </c>
    </row>
    <row r="263" spans="1:59" ht="58" x14ac:dyDescent="0.35">
      <c r="A263" s="2" t="s">
        <v>59</v>
      </c>
      <c r="B263" s="2" t="s">
        <v>60</v>
      </c>
      <c r="C263" s="2" t="s">
        <v>2757</v>
      </c>
      <c r="D263" s="2" t="s">
        <v>2758</v>
      </c>
      <c r="E263" s="2" t="s">
        <v>2759</v>
      </c>
      <c r="G263" s="3" t="s">
        <v>65</v>
      </c>
      <c r="I263" s="3" t="s">
        <v>65</v>
      </c>
      <c r="J263" s="3" t="s">
        <v>65</v>
      </c>
      <c r="K263" s="3" t="s">
        <v>66</v>
      </c>
      <c r="M263" s="2" t="s">
        <v>2760</v>
      </c>
      <c r="N263" s="3" t="s">
        <v>113</v>
      </c>
      <c r="P263" s="3" t="s">
        <v>69</v>
      </c>
      <c r="Q263" s="2" t="s">
        <v>2761</v>
      </c>
      <c r="R263" s="3" t="s">
        <v>71</v>
      </c>
      <c r="S263" s="4">
        <v>6</v>
      </c>
      <c r="T263" s="4">
        <v>6</v>
      </c>
      <c r="U263" s="5" t="s">
        <v>579</v>
      </c>
      <c r="V263" s="5" t="s">
        <v>579</v>
      </c>
      <c r="W263" s="5" t="s">
        <v>72</v>
      </c>
      <c r="X263" s="5" t="s">
        <v>72</v>
      </c>
      <c r="Y263" s="4">
        <v>89</v>
      </c>
      <c r="Z263" s="4">
        <v>23</v>
      </c>
      <c r="AA263" s="4">
        <v>24</v>
      </c>
      <c r="AB263" s="4">
        <v>1</v>
      </c>
      <c r="AC263" s="4">
        <v>1</v>
      </c>
      <c r="AD263" s="4">
        <v>45</v>
      </c>
      <c r="AE263" s="4">
        <v>48</v>
      </c>
      <c r="AF263" s="4">
        <v>0</v>
      </c>
      <c r="AG263" s="4">
        <v>0</v>
      </c>
      <c r="AH263" s="4">
        <v>35</v>
      </c>
      <c r="AI263" s="4">
        <v>37</v>
      </c>
      <c r="AJ263" s="4">
        <v>16</v>
      </c>
      <c r="AK263" s="4">
        <v>16</v>
      </c>
      <c r="AL263" s="4">
        <v>20</v>
      </c>
      <c r="AM263" s="4">
        <v>21</v>
      </c>
      <c r="AN263" s="4">
        <v>0</v>
      </c>
      <c r="AO263" s="4">
        <v>0</v>
      </c>
      <c r="AP263" s="4">
        <v>18</v>
      </c>
      <c r="AQ263" s="4">
        <v>19</v>
      </c>
      <c r="AR263" s="3" t="s">
        <v>209</v>
      </c>
      <c r="AS263" s="3" t="s">
        <v>65</v>
      </c>
      <c r="AT263" s="3" t="s">
        <v>65</v>
      </c>
      <c r="AV263" s="6" t="str">
        <f>HYPERLINK("http://mcgill.on.worldcat.org/oclc/607611060","Catalog Record")</f>
        <v>Catalog Record</v>
      </c>
      <c r="AW263" s="6" t="str">
        <f>HYPERLINK("http://www.worldcat.org/oclc/607611060","WorldCat Record")</f>
        <v>WorldCat Record</v>
      </c>
      <c r="AX263" s="3" t="s">
        <v>2762</v>
      </c>
      <c r="AY263" s="3" t="s">
        <v>2763</v>
      </c>
      <c r="AZ263" s="3" t="s">
        <v>2764</v>
      </c>
      <c r="BA263" s="3" t="s">
        <v>2764</v>
      </c>
      <c r="BB263" s="3" t="s">
        <v>2765</v>
      </c>
      <c r="BC263" s="3" t="s">
        <v>77</v>
      </c>
      <c r="BD263" s="3" t="s">
        <v>78</v>
      </c>
      <c r="BE263" s="3" t="s">
        <v>2766</v>
      </c>
      <c r="BF263" s="3" t="s">
        <v>2765</v>
      </c>
      <c r="BG263" s="3" t="s">
        <v>2767</v>
      </c>
    </row>
    <row r="264" spans="1:59" ht="87" x14ac:dyDescent="0.35">
      <c r="A264" s="2" t="s">
        <v>59</v>
      </c>
      <c r="B264" s="2" t="s">
        <v>60</v>
      </c>
      <c r="C264" s="2" t="s">
        <v>2768</v>
      </c>
      <c r="D264" s="2" t="s">
        <v>2769</v>
      </c>
      <c r="E264" s="2" t="s">
        <v>2770</v>
      </c>
      <c r="G264" s="3" t="s">
        <v>65</v>
      </c>
      <c r="I264" s="3" t="s">
        <v>65</v>
      </c>
      <c r="J264" s="3" t="s">
        <v>65</v>
      </c>
      <c r="K264" s="3" t="s">
        <v>66</v>
      </c>
      <c r="M264" s="2" t="s">
        <v>2771</v>
      </c>
      <c r="N264" s="3" t="s">
        <v>1196</v>
      </c>
      <c r="P264" s="3" t="s">
        <v>140</v>
      </c>
      <c r="Q264" s="2" t="s">
        <v>2772</v>
      </c>
      <c r="R264" s="3" t="s">
        <v>71</v>
      </c>
      <c r="S264" s="4">
        <v>1</v>
      </c>
      <c r="T264" s="4">
        <v>1</v>
      </c>
      <c r="U264" s="5" t="s">
        <v>2773</v>
      </c>
      <c r="V264" s="5" t="s">
        <v>2773</v>
      </c>
      <c r="W264" s="5" t="s">
        <v>72</v>
      </c>
      <c r="X264" s="5" t="s">
        <v>72</v>
      </c>
      <c r="Y264" s="4">
        <v>55</v>
      </c>
      <c r="Z264" s="4">
        <v>4</v>
      </c>
      <c r="AA264" s="4">
        <v>4</v>
      </c>
      <c r="AB264" s="4">
        <v>1</v>
      </c>
      <c r="AC264" s="4">
        <v>1</v>
      </c>
      <c r="AD264" s="4">
        <v>32</v>
      </c>
      <c r="AE264" s="4">
        <v>32</v>
      </c>
      <c r="AF264" s="4">
        <v>0</v>
      </c>
      <c r="AG264" s="4">
        <v>0</v>
      </c>
      <c r="AH264" s="4">
        <v>31</v>
      </c>
      <c r="AI264" s="4">
        <v>31</v>
      </c>
      <c r="AJ264" s="4">
        <v>2</v>
      </c>
      <c r="AK264" s="4">
        <v>2</v>
      </c>
      <c r="AL264" s="4">
        <v>23</v>
      </c>
      <c r="AM264" s="4">
        <v>23</v>
      </c>
      <c r="AN264" s="4">
        <v>0</v>
      </c>
      <c r="AO264" s="4">
        <v>0</v>
      </c>
      <c r="AP264" s="4">
        <v>2</v>
      </c>
      <c r="AQ264" s="4">
        <v>2</v>
      </c>
      <c r="AR264" s="3" t="s">
        <v>65</v>
      </c>
      <c r="AS264" s="3" t="s">
        <v>65</v>
      </c>
      <c r="AT264" s="3" t="s">
        <v>209</v>
      </c>
      <c r="AU264" s="6" t="str">
        <f>HYPERLINK("http://catalog.hathitrust.org/Record/005122712","HathiTrust Record")</f>
        <v>HathiTrust Record</v>
      </c>
      <c r="AV264" s="6" t="str">
        <f>HYPERLINK("http://mcgill.on.worldcat.org/oclc/62487493","Catalog Record")</f>
        <v>Catalog Record</v>
      </c>
      <c r="AW264" s="6" t="str">
        <f>HYPERLINK("http://www.worldcat.org/oclc/62487493","WorldCat Record")</f>
        <v>WorldCat Record</v>
      </c>
      <c r="AX264" s="3" t="s">
        <v>2774</v>
      </c>
      <c r="AY264" s="3" t="s">
        <v>2775</v>
      </c>
      <c r="AZ264" s="3" t="s">
        <v>2776</v>
      </c>
      <c r="BA264" s="3" t="s">
        <v>2776</v>
      </c>
      <c r="BB264" s="3" t="s">
        <v>2777</v>
      </c>
      <c r="BC264" s="3" t="s">
        <v>77</v>
      </c>
      <c r="BD264" s="3" t="s">
        <v>78</v>
      </c>
      <c r="BE264" s="3" t="s">
        <v>2778</v>
      </c>
      <c r="BF264" s="3" t="s">
        <v>2777</v>
      </c>
      <c r="BG264" s="3" t="s">
        <v>2779</v>
      </c>
    </row>
    <row r="265" spans="1:59" ht="58" x14ac:dyDescent="0.35">
      <c r="A265" s="2" t="s">
        <v>59</v>
      </c>
      <c r="B265" s="2" t="s">
        <v>60</v>
      </c>
      <c r="C265" s="2" t="s">
        <v>2780</v>
      </c>
      <c r="D265" s="2" t="s">
        <v>2781</v>
      </c>
      <c r="E265" s="2" t="s">
        <v>2782</v>
      </c>
      <c r="G265" s="3" t="s">
        <v>65</v>
      </c>
      <c r="I265" s="3" t="s">
        <v>65</v>
      </c>
      <c r="J265" s="3" t="s">
        <v>65</v>
      </c>
      <c r="K265" s="3" t="s">
        <v>66</v>
      </c>
      <c r="L265" s="2" t="s">
        <v>2783</v>
      </c>
      <c r="M265" s="2" t="s">
        <v>2784</v>
      </c>
      <c r="N265" s="3" t="s">
        <v>525</v>
      </c>
      <c r="P265" s="3" t="s">
        <v>69</v>
      </c>
      <c r="R265" s="3" t="s">
        <v>71</v>
      </c>
      <c r="S265" s="4">
        <v>13</v>
      </c>
      <c r="T265" s="4">
        <v>13</v>
      </c>
      <c r="U265" s="5" t="s">
        <v>2631</v>
      </c>
      <c r="V265" s="5" t="s">
        <v>2631</v>
      </c>
      <c r="W265" s="5" t="s">
        <v>72</v>
      </c>
      <c r="X265" s="5" t="s">
        <v>72</v>
      </c>
      <c r="Y265" s="4">
        <v>151</v>
      </c>
      <c r="Z265" s="4">
        <v>13</v>
      </c>
      <c r="AA265" s="4">
        <v>14</v>
      </c>
      <c r="AB265" s="4">
        <v>1</v>
      </c>
      <c r="AC265" s="4">
        <v>2</v>
      </c>
      <c r="AD265" s="4">
        <v>82</v>
      </c>
      <c r="AE265" s="4">
        <v>84</v>
      </c>
      <c r="AF265" s="4">
        <v>0</v>
      </c>
      <c r="AG265" s="4">
        <v>1</v>
      </c>
      <c r="AH265" s="4">
        <v>75</v>
      </c>
      <c r="AI265" s="4">
        <v>76</v>
      </c>
      <c r="AJ265" s="4">
        <v>10</v>
      </c>
      <c r="AK265" s="4">
        <v>11</v>
      </c>
      <c r="AL265" s="4">
        <v>45</v>
      </c>
      <c r="AM265" s="4">
        <v>46</v>
      </c>
      <c r="AN265" s="4">
        <v>0</v>
      </c>
      <c r="AO265" s="4">
        <v>0</v>
      </c>
      <c r="AP265" s="4">
        <v>10</v>
      </c>
      <c r="AQ265" s="4">
        <v>10</v>
      </c>
      <c r="AR265" s="3" t="s">
        <v>65</v>
      </c>
      <c r="AS265" s="3" t="s">
        <v>65</v>
      </c>
      <c r="AT265" s="3" t="s">
        <v>65</v>
      </c>
      <c r="AV265" s="6" t="str">
        <f>HYPERLINK("http://mcgill.on.worldcat.org/oclc/55015071","Catalog Record")</f>
        <v>Catalog Record</v>
      </c>
      <c r="AW265" s="6" t="str">
        <f>HYPERLINK("http://www.worldcat.org/oclc/55015071","WorldCat Record")</f>
        <v>WorldCat Record</v>
      </c>
      <c r="AX265" s="3" t="s">
        <v>2785</v>
      </c>
      <c r="AY265" s="3" t="s">
        <v>2786</v>
      </c>
      <c r="AZ265" s="3" t="s">
        <v>2787</v>
      </c>
      <c r="BA265" s="3" t="s">
        <v>2787</v>
      </c>
      <c r="BB265" s="3" t="s">
        <v>2788</v>
      </c>
      <c r="BC265" s="3" t="s">
        <v>77</v>
      </c>
      <c r="BD265" s="3" t="s">
        <v>106</v>
      </c>
      <c r="BE265" s="3" t="s">
        <v>2789</v>
      </c>
      <c r="BF265" s="3" t="s">
        <v>2788</v>
      </c>
      <c r="BG265" s="3" t="s">
        <v>2790</v>
      </c>
    </row>
    <row r="266" spans="1:59" ht="58" x14ac:dyDescent="0.35">
      <c r="A266" s="2" t="s">
        <v>59</v>
      </c>
      <c r="B266" s="2" t="s">
        <v>60</v>
      </c>
      <c r="C266" s="2" t="s">
        <v>2791</v>
      </c>
      <c r="D266" s="2" t="s">
        <v>2792</v>
      </c>
      <c r="E266" s="2" t="s">
        <v>2793</v>
      </c>
      <c r="G266" s="3" t="s">
        <v>65</v>
      </c>
      <c r="I266" s="3" t="s">
        <v>65</v>
      </c>
      <c r="J266" s="3" t="s">
        <v>65</v>
      </c>
      <c r="K266" s="3" t="s">
        <v>66</v>
      </c>
      <c r="L266" s="2" t="s">
        <v>2794</v>
      </c>
      <c r="M266" s="2" t="s">
        <v>2352</v>
      </c>
      <c r="N266" s="3" t="s">
        <v>1196</v>
      </c>
      <c r="P266" s="3" t="s">
        <v>140</v>
      </c>
      <c r="Q266" s="2" t="s">
        <v>2353</v>
      </c>
      <c r="R266" s="3" t="s">
        <v>71</v>
      </c>
      <c r="S266" s="4">
        <v>13</v>
      </c>
      <c r="T266" s="4">
        <v>13</v>
      </c>
      <c r="U266" s="5" t="s">
        <v>367</v>
      </c>
      <c r="V266" s="5" t="s">
        <v>367</v>
      </c>
      <c r="W266" s="5" t="s">
        <v>72</v>
      </c>
      <c r="X266" s="5" t="s">
        <v>72</v>
      </c>
      <c r="Y266" s="4">
        <v>43</v>
      </c>
      <c r="Z266" s="4">
        <v>4</v>
      </c>
      <c r="AA266" s="4">
        <v>4</v>
      </c>
      <c r="AB266" s="4">
        <v>2</v>
      </c>
      <c r="AC266" s="4">
        <v>2</v>
      </c>
      <c r="AD266" s="4">
        <v>16</v>
      </c>
      <c r="AE266" s="4">
        <v>16</v>
      </c>
      <c r="AF266" s="4">
        <v>0</v>
      </c>
      <c r="AG266" s="4">
        <v>0</v>
      </c>
      <c r="AH266" s="4">
        <v>16</v>
      </c>
      <c r="AI266" s="4">
        <v>16</v>
      </c>
      <c r="AJ266" s="4">
        <v>2</v>
      </c>
      <c r="AK266" s="4">
        <v>2</v>
      </c>
      <c r="AL266" s="4">
        <v>10</v>
      </c>
      <c r="AM266" s="4">
        <v>10</v>
      </c>
      <c r="AN266" s="4">
        <v>0</v>
      </c>
      <c r="AO266" s="4">
        <v>0</v>
      </c>
      <c r="AP266" s="4">
        <v>2</v>
      </c>
      <c r="AQ266" s="4">
        <v>2</v>
      </c>
      <c r="AR266" s="3" t="s">
        <v>65</v>
      </c>
      <c r="AS266" s="3" t="s">
        <v>65</v>
      </c>
      <c r="AT266" s="3" t="s">
        <v>209</v>
      </c>
      <c r="AU266" s="6" t="str">
        <f>HYPERLINK("http://catalog.hathitrust.org/Record/007558112","HathiTrust Record")</f>
        <v>HathiTrust Record</v>
      </c>
      <c r="AV266" s="6" t="str">
        <f>HYPERLINK("http://mcgill.on.worldcat.org/oclc/64118565","Catalog Record")</f>
        <v>Catalog Record</v>
      </c>
      <c r="AW266" s="6" t="str">
        <f>HYPERLINK("http://www.worldcat.org/oclc/64118565","WorldCat Record")</f>
        <v>WorldCat Record</v>
      </c>
      <c r="AX266" s="3" t="s">
        <v>2795</v>
      </c>
      <c r="AY266" s="3" t="s">
        <v>2796</v>
      </c>
      <c r="AZ266" s="3" t="s">
        <v>2797</v>
      </c>
      <c r="BA266" s="3" t="s">
        <v>2797</v>
      </c>
      <c r="BB266" s="3" t="s">
        <v>2798</v>
      </c>
      <c r="BC266" s="3" t="s">
        <v>77</v>
      </c>
      <c r="BD266" s="3" t="s">
        <v>78</v>
      </c>
      <c r="BE266" s="3" t="s">
        <v>2799</v>
      </c>
      <c r="BF266" s="3" t="s">
        <v>2798</v>
      </c>
      <c r="BG266" s="3" t="s">
        <v>2800</v>
      </c>
    </row>
    <row r="267" spans="1:59" ht="58" x14ac:dyDescent="0.35">
      <c r="A267" s="2" t="s">
        <v>59</v>
      </c>
      <c r="B267" s="2" t="s">
        <v>60</v>
      </c>
      <c r="C267" s="2" t="s">
        <v>2801</v>
      </c>
      <c r="D267" s="2" t="s">
        <v>2802</v>
      </c>
      <c r="E267" s="2" t="s">
        <v>2803</v>
      </c>
      <c r="G267" s="3" t="s">
        <v>65</v>
      </c>
      <c r="I267" s="3" t="s">
        <v>65</v>
      </c>
      <c r="J267" s="3" t="s">
        <v>65</v>
      </c>
      <c r="K267" s="3" t="s">
        <v>66</v>
      </c>
      <c r="L267" s="2" t="s">
        <v>2804</v>
      </c>
      <c r="M267" s="2" t="s">
        <v>2805</v>
      </c>
      <c r="N267" s="3" t="s">
        <v>188</v>
      </c>
      <c r="O267" s="2" t="s">
        <v>379</v>
      </c>
      <c r="P267" s="3" t="s">
        <v>140</v>
      </c>
      <c r="Q267" s="2" t="s">
        <v>565</v>
      </c>
      <c r="R267" s="3" t="s">
        <v>71</v>
      </c>
      <c r="S267" s="4">
        <v>1</v>
      </c>
      <c r="T267" s="4">
        <v>1</v>
      </c>
      <c r="U267" s="5" t="s">
        <v>2806</v>
      </c>
      <c r="V267" s="5" t="s">
        <v>2806</v>
      </c>
      <c r="W267" s="5" t="s">
        <v>72</v>
      </c>
      <c r="X267" s="5" t="s">
        <v>72</v>
      </c>
      <c r="Y267" s="4">
        <v>23</v>
      </c>
      <c r="Z267" s="4">
        <v>1</v>
      </c>
      <c r="AA267" s="4">
        <v>1</v>
      </c>
      <c r="AB267" s="4">
        <v>1</v>
      </c>
      <c r="AC267" s="4">
        <v>1</v>
      </c>
      <c r="AD267" s="4">
        <v>17</v>
      </c>
      <c r="AE267" s="4">
        <v>17</v>
      </c>
      <c r="AF267" s="4">
        <v>0</v>
      </c>
      <c r="AG267" s="4">
        <v>0</v>
      </c>
      <c r="AH267" s="4">
        <v>16</v>
      </c>
      <c r="AI267" s="4">
        <v>16</v>
      </c>
      <c r="AJ267" s="4">
        <v>0</v>
      </c>
      <c r="AK267" s="4">
        <v>0</v>
      </c>
      <c r="AL267" s="4">
        <v>15</v>
      </c>
      <c r="AM267" s="4">
        <v>15</v>
      </c>
      <c r="AN267" s="4">
        <v>0</v>
      </c>
      <c r="AO267" s="4">
        <v>0</v>
      </c>
      <c r="AP267" s="4">
        <v>0</v>
      </c>
      <c r="AQ267" s="4">
        <v>0</v>
      </c>
      <c r="AR267" s="3" t="s">
        <v>65</v>
      </c>
      <c r="AS267" s="3" t="s">
        <v>65</v>
      </c>
      <c r="AT267" s="3" t="s">
        <v>65</v>
      </c>
      <c r="AV267" s="6" t="str">
        <f>HYPERLINK("http://mcgill.on.worldcat.org/oclc/987270937","Catalog Record")</f>
        <v>Catalog Record</v>
      </c>
      <c r="AW267" s="6" t="str">
        <f>HYPERLINK("http://www.worldcat.org/oclc/987270937","WorldCat Record")</f>
        <v>WorldCat Record</v>
      </c>
      <c r="AX267" s="3" t="s">
        <v>2807</v>
      </c>
      <c r="AY267" s="3" t="s">
        <v>2808</v>
      </c>
      <c r="AZ267" s="3" t="s">
        <v>2809</v>
      </c>
      <c r="BA267" s="3" t="s">
        <v>2809</v>
      </c>
      <c r="BB267" s="3" t="s">
        <v>2810</v>
      </c>
      <c r="BC267" s="3" t="s">
        <v>77</v>
      </c>
      <c r="BD267" s="3" t="s">
        <v>78</v>
      </c>
      <c r="BE267" s="3" t="s">
        <v>2811</v>
      </c>
      <c r="BF267" s="3" t="s">
        <v>2810</v>
      </c>
      <c r="BG267" s="3" t="s">
        <v>2812</v>
      </c>
    </row>
    <row r="268" spans="1:59" ht="58" x14ac:dyDescent="0.35">
      <c r="A268" s="2" t="s">
        <v>59</v>
      </c>
      <c r="B268" s="2" t="s">
        <v>60</v>
      </c>
      <c r="C268" s="2" t="s">
        <v>2813</v>
      </c>
      <c r="D268" s="2" t="s">
        <v>2814</v>
      </c>
      <c r="E268" s="2" t="s">
        <v>2815</v>
      </c>
      <c r="G268" s="3" t="s">
        <v>65</v>
      </c>
      <c r="I268" s="3" t="s">
        <v>209</v>
      </c>
      <c r="J268" s="3" t="s">
        <v>65</v>
      </c>
      <c r="K268" s="3" t="s">
        <v>66</v>
      </c>
      <c r="L268" s="2" t="s">
        <v>2816</v>
      </c>
      <c r="M268" s="2" t="s">
        <v>2817</v>
      </c>
      <c r="N268" s="3" t="s">
        <v>2818</v>
      </c>
      <c r="P268" s="3" t="s">
        <v>140</v>
      </c>
      <c r="Q268" s="2" t="s">
        <v>2819</v>
      </c>
      <c r="R268" s="3" t="s">
        <v>71</v>
      </c>
      <c r="S268" s="4">
        <v>3</v>
      </c>
      <c r="T268" s="4">
        <v>4</v>
      </c>
      <c r="U268" s="5" t="s">
        <v>2820</v>
      </c>
      <c r="V268" s="5" t="s">
        <v>2821</v>
      </c>
      <c r="W268" s="5" t="s">
        <v>72</v>
      </c>
      <c r="X268" s="5" t="s">
        <v>72</v>
      </c>
      <c r="Y268" s="4">
        <v>14</v>
      </c>
      <c r="Z268" s="4">
        <v>2</v>
      </c>
      <c r="AA268" s="4">
        <v>9</v>
      </c>
      <c r="AB268" s="4">
        <v>2</v>
      </c>
      <c r="AC268" s="4">
        <v>4</v>
      </c>
      <c r="AD268" s="4">
        <v>5</v>
      </c>
      <c r="AE268" s="4">
        <v>51</v>
      </c>
      <c r="AF268" s="4">
        <v>1</v>
      </c>
      <c r="AG268" s="4">
        <v>2</v>
      </c>
      <c r="AH268" s="4">
        <v>4</v>
      </c>
      <c r="AI268" s="4">
        <v>48</v>
      </c>
      <c r="AJ268" s="4">
        <v>1</v>
      </c>
      <c r="AK268" s="4">
        <v>6</v>
      </c>
      <c r="AL268" s="4">
        <v>2</v>
      </c>
      <c r="AM268" s="4">
        <v>29</v>
      </c>
      <c r="AN268" s="4">
        <v>0</v>
      </c>
      <c r="AO268" s="4">
        <v>0</v>
      </c>
      <c r="AP268" s="4">
        <v>1</v>
      </c>
      <c r="AQ268" s="4">
        <v>6</v>
      </c>
      <c r="AR268" s="3" t="s">
        <v>65</v>
      </c>
      <c r="AS268" s="3" t="s">
        <v>65</v>
      </c>
      <c r="AT268" s="3" t="s">
        <v>65</v>
      </c>
      <c r="AV268" s="6" t="str">
        <f>HYPERLINK("http://mcgill.on.worldcat.org/oclc/13056519","Catalog Record")</f>
        <v>Catalog Record</v>
      </c>
      <c r="AW268" s="6" t="str">
        <f>HYPERLINK("http://www.worldcat.org/oclc/13056519","WorldCat Record")</f>
        <v>WorldCat Record</v>
      </c>
      <c r="AX268" s="3" t="s">
        <v>2822</v>
      </c>
      <c r="AY268" s="3" t="s">
        <v>2823</v>
      </c>
      <c r="AZ268" s="3" t="s">
        <v>2824</v>
      </c>
      <c r="BA268" s="3" t="s">
        <v>2824</v>
      </c>
      <c r="BB268" s="3" t="s">
        <v>2825</v>
      </c>
      <c r="BC268" s="3" t="s">
        <v>77</v>
      </c>
      <c r="BD268" s="3" t="s">
        <v>78</v>
      </c>
      <c r="BF268" s="3" t="s">
        <v>2825</v>
      </c>
      <c r="BG268" s="3" t="s">
        <v>2826</v>
      </c>
    </row>
    <row r="269" spans="1:59" ht="58" x14ac:dyDescent="0.35">
      <c r="A269" s="2" t="s">
        <v>59</v>
      </c>
      <c r="B269" s="2" t="s">
        <v>60</v>
      </c>
      <c r="C269" s="2" t="s">
        <v>2813</v>
      </c>
      <c r="D269" s="2" t="s">
        <v>2814</v>
      </c>
      <c r="E269" s="2" t="s">
        <v>2815</v>
      </c>
      <c r="G269" s="3" t="s">
        <v>65</v>
      </c>
      <c r="I269" s="3" t="s">
        <v>209</v>
      </c>
      <c r="J269" s="3" t="s">
        <v>65</v>
      </c>
      <c r="K269" s="3" t="s">
        <v>66</v>
      </c>
      <c r="L269" s="2" t="s">
        <v>2816</v>
      </c>
      <c r="M269" s="2" t="s">
        <v>2817</v>
      </c>
      <c r="N269" s="3" t="s">
        <v>2818</v>
      </c>
      <c r="P269" s="3" t="s">
        <v>140</v>
      </c>
      <c r="Q269" s="2" t="s">
        <v>2819</v>
      </c>
      <c r="R269" s="3" t="s">
        <v>71</v>
      </c>
      <c r="S269" s="4">
        <v>1</v>
      </c>
      <c r="T269" s="4">
        <v>4</v>
      </c>
      <c r="U269" s="5" t="s">
        <v>2821</v>
      </c>
      <c r="V269" s="5" t="s">
        <v>2821</v>
      </c>
      <c r="W269" s="5" t="s">
        <v>72</v>
      </c>
      <c r="X269" s="5" t="s">
        <v>72</v>
      </c>
      <c r="Y269" s="4">
        <v>14</v>
      </c>
      <c r="Z269" s="4">
        <v>2</v>
      </c>
      <c r="AA269" s="4">
        <v>9</v>
      </c>
      <c r="AB269" s="4">
        <v>2</v>
      </c>
      <c r="AC269" s="4">
        <v>4</v>
      </c>
      <c r="AD269" s="4">
        <v>5</v>
      </c>
      <c r="AE269" s="4">
        <v>51</v>
      </c>
      <c r="AF269" s="4">
        <v>1</v>
      </c>
      <c r="AG269" s="4">
        <v>2</v>
      </c>
      <c r="AH269" s="4">
        <v>4</v>
      </c>
      <c r="AI269" s="4">
        <v>48</v>
      </c>
      <c r="AJ269" s="4">
        <v>1</v>
      </c>
      <c r="AK269" s="4">
        <v>6</v>
      </c>
      <c r="AL269" s="4">
        <v>2</v>
      </c>
      <c r="AM269" s="4">
        <v>29</v>
      </c>
      <c r="AN269" s="4">
        <v>0</v>
      </c>
      <c r="AO269" s="4">
        <v>0</v>
      </c>
      <c r="AP269" s="4">
        <v>1</v>
      </c>
      <c r="AQ269" s="4">
        <v>6</v>
      </c>
      <c r="AR269" s="3" t="s">
        <v>65</v>
      </c>
      <c r="AS269" s="3" t="s">
        <v>65</v>
      </c>
      <c r="AT269" s="3" t="s">
        <v>65</v>
      </c>
      <c r="AV269" s="6" t="str">
        <f>HYPERLINK("http://mcgill.on.worldcat.org/oclc/13056519","Catalog Record")</f>
        <v>Catalog Record</v>
      </c>
      <c r="AW269" s="6" t="str">
        <f>HYPERLINK("http://www.worldcat.org/oclc/13056519","WorldCat Record")</f>
        <v>WorldCat Record</v>
      </c>
      <c r="AX269" s="3" t="s">
        <v>2822</v>
      </c>
      <c r="AY269" s="3" t="s">
        <v>2823</v>
      </c>
      <c r="AZ269" s="3" t="s">
        <v>2824</v>
      </c>
      <c r="BA269" s="3" t="s">
        <v>2824</v>
      </c>
      <c r="BB269" s="3" t="s">
        <v>2827</v>
      </c>
      <c r="BC269" s="3" t="s">
        <v>77</v>
      </c>
      <c r="BD269" s="3" t="s">
        <v>78</v>
      </c>
      <c r="BF269" s="3" t="s">
        <v>2827</v>
      </c>
      <c r="BG269" s="3" t="s">
        <v>2828</v>
      </c>
    </row>
    <row r="270" spans="1:59" ht="58" x14ac:dyDescent="0.35">
      <c r="A270" s="2" t="s">
        <v>59</v>
      </c>
      <c r="B270" s="2" t="s">
        <v>60</v>
      </c>
      <c r="C270" s="2" t="s">
        <v>2829</v>
      </c>
      <c r="D270" s="2" t="s">
        <v>2830</v>
      </c>
      <c r="E270" s="2" t="s">
        <v>2831</v>
      </c>
      <c r="G270" s="3" t="s">
        <v>65</v>
      </c>
      <c r="I270" s="3" t="s">
        <v>65</v>
      </c>
      <c r="J270" s="3" t="s">
        <v>65</v>
      </c>
      <c r="K270" s="3" t="s">
        <v>66</v>
      </c>
      <c r="L270" s="2" t="s">
        <v>2832</v>
      </c>
      <c r="M270" s="2" t="s">
        <v>2833</v>
      </c>
      <c r="N270" s="3" t="s">
        <v>113</v>
      </c>
      <c r="P270" s="3" t="s">
        <v>140</v>
      </c>
      <c r="Q270" s="2" t="s">
        <v>2834</v>
      </c>
      <c r="R270" s="3" t="s">
        <v>71</v>
      </c>
      <c r="S270" s="4">
        <v>0</v>
      </c>
      <c r="T270" s="4">
        <v>0</v>
      </c>
      <c r="W270" s="5" t="s">
        <v>72</v>
      </c>
      <c r="X270" s="5" t="s">
        <v>72</v>
      </c>
      <c r="Y270" s="4">
        <v>37</v>
      </c>
      <c r="Z270" s="4">
        <v>3</v>
      </c>
      <c r="AA270" s="4">
        <v>3</v>
      </c>
      <c r="AB270" s="4">
        <v>1</v>
      </c>
      <c r="AC270" s="4">
        <v>1</v>
      </c>
      <c r="AD270" s="4">
        <v>23</v>
      </c>
      <c r="AE270" s="4">
        <v>23</v>
      </c>
      <c r="AF270" s="4">
        <v>0</v>
      </c>
      <c r="AG270" s="4">
        <v>0</v>
      </c>
      <c r="AH270" s="4">
        <v>22</v>
      </c>
      <c r="AI270" s="4">
        <v>22</v>
      </c>
      <c r="AJ270" s="4">
        <v>1</v>
      </c>
      <c r="AK270" s="4">
        <v>1</v>
      </c>
      <c r="AL270" s="4">
        <v>19</v>
      </c>
      <c r="AM270" s="4">
        <v>19</v>
      </c>
      <c r="AN270" s="4">
        <v>0</v>
      </c>
      <c r="AO270" s="4">
        <v>0</v>
      </c>
      <c r="AP270" s="4">
        <v>1</v>
      </c>
      <c r="AQ270" s="4">
        <v>1</v>
      </c>
      <c r="AR270" s="3" t="s">
        <v>65</v>
      </c>
      <c r="AS270" s="3" t="s">
        <v>65</v>
      </c>
      <c r="AT270" s="3" t="s">
        <v>65</v>
      </c>
      <c r="AV270" s="6" t="str">
        <f>HYPERLINK("http://mcgill.on.worldcat.org/oclc/704509717","Catalog Record")</f>
        <v>Catalog Record</v>
      </c>
      <c r="AW270" s="6" t="str">
        <f>HYPERLINK("http://www.worldcat.org/oclc/704509717","WorldCat Record")</f>
        <v>WorldCat Record</v>
      </c>
      <c r="AX270" s="3" t="s">
        <v>2835</v>
      </c>
      <c r="AY270" s="3" t="s">
        <v>2836</v>
      </c>
      <c r="AZ270" s="3" t="s">
        <v>2837</v>
      </c>
      <c r="BA270" s="3" t="s">
        <v>2837</v>
      </c>
      <c r="BB270" s="3" t="s">
        <v>2838</v>
      </c>
      <c r="BC270" s="3" t="s">
        <v>77</v>
      </c>
      <c r="BD270" s="3" t="s">
        <v>78</v>
      </c>
      <c r="BE270" s="3" t="s">
        <v>2839</v>
      </c>
      <c r="BF270" s="3" t="s">
        <v>2838</v>
      </c>
      <c r="BG270" s="3" t="s">
        <v>2840</v>
      </c>
    </row>
    <row r="271" spans="1:59" ht="58" x14ac:dyDescent="0.35">
      <c r="A271" s="2" t="s">
        <v>59</v>
      </c>
      <c r="B271" s="2" t="s">
        <v>60</v>
      </c>
      <c r="C271" s="2" t="s">
        <v>2841</v>
      </c>
      <c r="D271" s="2" t="s">
        <v>2842</v>
      </c>
      <c r="E271" s="2" t="s">
        <v>2843</v>
      </c>
      <c r="G271" s="3" t="s">
        <v>65</v>
      </c>
      <c r="I271" s="3" t="s">
        <v>65</v>
      </c>
      <c r="J271" s="3" t="s">
        <v>65</v>
      </c>
      <c r="K271" s="3" t="s">
        <v>66</v>
      </c>
      <c r="M271" s="2" t="s">
        <v>2844</v>
      </c>
      <c r="N271" s="3" t="s">
        <v>188</v>
      </c>
      <c r="P271" s="3" t="s">
        <v>140</v>
      </c>
      <c r="Q271" s="2" t="s">
        <v>2845</v>
      </c>
      <c r="R271" s="3" t="s">
        <v>71</v>
      </c>
      <c r="S271" s="4">
        <v>0</v>
      </c>
      <c r="T271" s="4">
        <v>0</v>
      </c>
      <c r="W271" s="5" t="s">
        <v>72</v>
      </c>
      <c r="X271" s="5" t="s">
        <v>72</v>
      </c>
      <c r="Y271" s="4">
        <v>25</v>
      </c>
      <c r="Z271" s="4">
        <v>1</v>
      </c>
      <c r="AA271" s="4">
        <v>1</v>
      </c>
      <c r="AB271" s="4">
        <v>1</v>
      </c>
      <c r="AC271" s="4">
        <v>1</v>
      </c>
      <c r="AD271" s="4">
        <v>16</v>
      </c>
      <c r="AE271" s="4">
        <v>16</v>
      </c>
      <c r="AF271" s="4">
        <v>0</v>
      </c>
      <c r="AG271" s="4">
        <v>0</v>
      </c>
      <c r="AH271" s="4">
        <v>15</v>
      </c>
      <c r="AI271" s="4">
        <v>15</v>
      </c>
      <c r="AJ271" s="4">
        <v>0</v>
      </c>
      <c r="AK271" s="4">
        <v>0</v>
      </c>
      <c r="AL271" s="4">
        <v>13</v>
      </c>
      <c r="AM271" s="4">
        <v>13</v>
      </c>
      <c r="AN271" s="4">
        <v>0</v>
      </c>
      <c r="AO271" s="4">
        <v>0</v>
      </c>
      <c r="AP271" s="4">
        <v>0</v>
      </c>
      <c r="AQ271" s="4">
        <v>0</v>
      </c>
      <c r="AR271" s="3" t="s">
        <v>65</v>
      </c>
      <c r="AS271" s="3" t="s">
        <v>65</v>
      </c>
      <c r="AT271" s="3" t="s">
        <v>65</v>
      </c>
      <c r="AV271" s="6" t="str">
        <f>HYPERLINK("http://mcgill.on.worldcat.org/oclc/999364654","Catalog Record")</f>
        <v>Catalog Record</v>
      </c>
      <c r="AW271" s="6" t="str">
        <f>HYPERLINK("http://www.worldcat.org/oclc/999364654","WorldCat Record")</f>
        <v>WorldCat Record</v>
      </c>
      <c r="AX271" s="3" t="s">
        <v>2846</v>
      </c>
      <c r="AY271" s="3" t="s">
        <v>2847</v>
      </c>
      <c r="AZ271" s="3" t="s">
        <v>2848</v>
      </c>
      <c r="BA271" s="3" t="s">
        <v>2848</v>
      </c>
      <c r="BB271" s="3" t="s">
        <v>2849</v>
      </c>
      <c r="BC271" s="3" t="s">
        <v>77</v>
      </c>
      <c r="BD271" s="3" t="s">
        <v>78</v>
      </c>
      <c r="BE271" s="3" t="s">
        <v>2850</v>
      </c>
      <c r="BF271" s="3" t="s">
        <v>2849</v>
      </c>
      <c r="BG271" s="3" t="s">
        <v>2851</v>
      </c>
    </row>
    <row r="272" spans="1:59" ht="58" x14ac:dyDescent="0.35">
      <c r="A272" s="2" t="s">
        <v>59</v>
      </c>
      <c r="B272" s="2" t="s">
        <v>60</v>
      </c>
      <c r="C272" s="2" t="s">
        <v>2852</v>
      </c>
      <c r="D272" s="2" t="s">
        <v>2853</v>
      </c>
      <c r="E272" s="2" t="s">
        <v>2854</v>
      </c>
      <c r="G272" s="3" t="s">
        <v>65</v>
      </c>
      <c r="I272" s="3" t="s">
        <v>65</v>
      </c>
      <c r="J272" s="3" t="s">
        <v>65</v>
      </c>
      <c r="K272" s="3" t="s">
        <v>66</v>
      </c>
      <c r="L272" s="2" t="s">
        <v>2855</v>
      </c>
      <c r="M272" s="2" t="s">
        <v>2856</v>
      </c>
      <c r="N272" s="3" t="s">
        <v>152</v>
      </c>
      <c r="P272" s="3" t="s">
        <v>140</v>
      </c>
      <c r="R272" s="3" t="s">
        <v>71</v>
      </c>
      <c r="S272" s="4">
        <v>0</v>
      </c>
      <c r="T272" s="4">
        <v>0</v>
      </c>
      <c r="W272" s="5" t="s">
        <v>72</v>
      </c>
      <c r="X272" s="5" t="s">
        <v>72</v>
      </c>
      <c r="Y272" s="4">
        <v>30</v>
      </c>
      <c r="Z272" s="4">
        <v>3</v>
      </c>
      <c r="AA272" s="4">
        <v>3</v>
      </c>
      <c r="AB272" s="4">
        <v>1</v>
      </c>
      <c r="AC272" s="4">
        <v>1</v>
      </c>
      <c r="AD272" s="4">
        <v>24</v>
      </c>
      <c r="AE272" s="4">
        <v>24</v>
      </c>
      <c r="AF272" s="4">
        <v>0</v>
      </c>
      <c r="AG272" s="4">
        <v>0</v>
      </c>
      <c r="AH272" s="4">
        <v>23</v>
      </c>
      <c r="AI272" s="4">
        <v>23</v>
      </c>
      <c r="AJ272" s="4">
        <v>1</v>
      </c>
      <c r="AK272" s="4">
        <v>1</v>
      </c>
      <c r="AL272" s="4">
        <v>21</v>
      </c>
      <c r="AM272" s="4">
        <v>21</v>
      </c>
      <c r="AN272" s="4">
        <v>0</v>
      </c>
      <c r="AO272" s="4">
        <v>0</v>
      </c>
      <c r="AP272" s="4">
        <v>1</v>
      </c>
      <c r="AQ272" s="4">
        <v>1</v>
      </c>
      <c r="AR272" s="3" t="s">
        <v>65</v>
      </c>
      <c r="AS272" s="3" t="s">
        <v>65</v>
      </c>
      <c r="AT272" s="3" t="s">
        <v>65</v>
      </c>
      <c r="AV272" s="6" t="str">
        <f>HYPERLINK("http://mcgill.on.worldcat.org/oclc/910505706","Catalog Record")</f>
        <v>Catalog Record</v>
      </c>
      <c r="AW272" s="6" t="str">
        <f>HYPERLINK("http://www.worldcat.org/oclc/910505706","WorldCat Record")</f>
        <v>WorldCat Record</v>
      </c>
      <c r="AX272" s="3" t="s">
        <v>2857</v>
      </c>
      <c r="AY272" s="3" t="s">
        <v>2858</v>
      </c>
      <c r="AZ272" s="3" t="s">
        <v>2859</v>
      </c>
      <c r="BA272" s="3" t="s">
        <v>2859</v>
      </c>
      <c r="BB272" s="3" t="s">
        <v>2860</v>
      </c>
      <c r="BC272" s="3" t="s">
        <v>77</v>
      </c>
      <c r="BD272" s="3" t="s">
        <v>78</v>
      </c>
      <c r="BE272" s="3" t="s">
        <v>2861</v>
      </c>
      <c r="BF272" s="3" t="s">
        <v>2860</v>
      </c>
      <c r="BG272" s="3" t="s">
        <v>2862</v>
      </c>
    </row>
    <row r="273" spans="1:59" ht="58" x14ac:dyDescent="0.35">
      <c r="A273" s="2" t="s">
        <v>59</v>
      </c>
      <c r="B273" s="2" t="s">
        <v>60</v>
      </c>
      <c r="C273" s="2" t="s">
        <v>2863</v>
      </c>
      <c r="D273" s="2" t="s">
        <v>2864</v>
      </c>
      <c r="E273" s="2" t="s">
        <v>2865</v>
      </c>
      <c r="G273" s="3" t="s">
        <v>65</v>
      </c>
      <c r="I273" s="3" t="s">
        <v>65</v>
      </c>
      <c r="J273" s="3" t="s">
        <v>65</v>
      </c>
      <c r="K273" s="3" t="s">
        <v>66</v>
      </c>
      <c r="L273" s="2" t="s">
        <v>2866</v>
      </c>
      <c r="M273" s="2" t="s">
        <v>2867</v>
      </c>
      <c r="N273" s="3" t="s">
        <v>176</v>
      </c>
      <c r="O273" s="2" t="s">
        <v>379</v>
      </c>
      <c r="P273" s="3" t="s">
        <v>140</v>
      </c>
      <c r="Q273" s="2" t="s">
        <v>2868</v>
      </c>
      <c r="R273" s="3" t="s">
        <v>71</v>
      </c>
      <c r="S273" s="4">
        <v>0</v>
      </c>
      <c r="T273" s="4">
        <v>0</v>
      </c>
      <c r="W273" s="5" t="s">
        <v>72</v>
      </c>
      <c r="X273" s="5" t="s">
        <v>72</v>
      </c>
      <c r="Y273" s="4">
        <v>39</v>
      </c>
      <c r="Z273" s="4">
        <v>3</v>
      </c>
      <c r="AA273" s="4">
        <v>3</v>
      </c>
      <c r="AB273" s="4">
        <v>1</v>
      </c>
      <c r="AC273" s="4">
        <v>1</v>
      </c>
      <c r="AD273" s="4">
        <v>28</v>
      </c>
      <c r="AE273" s="4">
        <v>28</v>
      </c>
      <c r="AF273" s="4">
        <v>0</v>
      </c>
      <c r="AG273" s="4">
        <v>0</v>
      </c>
      <c r="AH273" s="4">
        <v>27</v>
      </c>
      <c r="AI273" s="4">
        <v>27</v>
      </c>
      <c r="AJ273" s="4">
        <v>1</v>
      </c>
      <c r="AK273" s="4">
        <v>1</v>
      </c>
      <c r="AL273" s="4">
        <v>21</v>
      </c>
      <c r="AM273" s="4">
        <v>21</v>
      </c>
      <c r="AN273" s="4">
        <v>0</v>
      </c>
      <c r="AO273" s="4">
        <v>0</v>
      </c>
      <c r="AP273" s="4">
        <v>1</v>
      </c>
      <c r="AQ273" s="4">
        <v>1</v>
      </c>
      <c r="AR273" s="3" t="s">
        <v>65</v>
      </c>
      <c r="AS273" s="3" t="s">
        <v>65</v>
      </c>
      <c r="AT273" s="3" t="s">
        <v>65</v>
      </c>
      <c r="AV273" s="6" t="str">
        <f>HYPERLINK("http://mcgill.on.worldcat.org/oclc/911267305","Catalog Record")</f>
        <v>Catalog Record</v>
      </c>
      <c r="AW273" s="6" t="str">
        <f>HYPERLINK("http://www.worldcat.org/oclc/911267305","WorldCat Record")</f>
        <v>WorldCat Record</v>
      </c>
      <c r="AX273" s="3" t="s">
        <v>2869</v>
      </c>
      <c r="AY273" s="3" t="s">
        <v>2870</v>
      </c>
      <c r="AZ273" s="3" t="s">
        <v>2871</v>
      </c>
      <c r="BA273" s="3" t="s">
        <v>2871</v>
      </c>
      <c r="BB273" s="3" t="s">
        <v>2872</v>
      </c>
      <c r="BC273" s="3" t="s">
        <v>77</v>
      </c>
      <c r="BD273" s="3" t="s">
        <v>78</v>
      </c>
      <c r="BE273" s="3" t="s">
        <v>2873</v>
      </c>
      <c r="BF273" s="3" t="s">
        <v>2872</v>
      </c>
      <c r="BG273" s="3" t="s">
        <v>2874</v>
      </c>
    </row>
    <row r="274" spans="1:59" ht="58" x14ac:dyDescent="0.35">
      <c r="A274" s="2" t="s">
        <v>59</v>
      </c>
      <c r="B274" s="2" t="s">
        <v>60</v>
      </c>
      <c r="C274" s="2" t="s">
        <v>2875</v>
      </c>
      <c r="D274" s="2" t="s">
        <v>2876</v>
      </c>
      <c r="E274" s="2" t="s">
        <v>2877</v>
      </c>
      <c r="G274" s="3" t="s">
        <v>65</v>
      </c>
      <c r="I274" s="3" t="s">
        <v>65</v>
      </c>
      <c r="J274" s="3" t="s">
        <v>65</v>
      </c>
      <c r="K274" s="3" t="s">
        <v>66</v>
      </c>
      <c r="L274" s="2" t="s">
        <v>2878</v>
      </c>
      <c r="M274" s="2" t="s">
        <v>2879</v>
      </c>
      <c r="N274" s="3" t="s">
        <v>188</v>
      </c>
      <c r="O274" s="2" t="s">
        <v>1410</v>
      </c>
      <c r="P274" s="3" t="s">
        <v>140</v>
      </c>
      <c r="Q274" s="2" t="s">
        <v>2880</v>
      </c>
      <c r="R274" s="3" t="s">
        <v>71</v>
      </c>
      <c r="S274" s="4">
        <v>0</v>
      </c>
      <c r="T274" s="4">
        <v>0</v>
      </c>
      <c r="W274" s="5" t="s">
        <v>72</v>
      </c>
      <c r="X274" s="5" t="s">
        <v>72</v>
      </c>
      <c r="Y274" s="4">
        <v>43</v>
      </c>
      <c r="Z274" s="4">
        <v>2</v>
      </c>
      <c r="AA274" s="4">
        <v>2</v>
      </c>
      <c r="AB274" s="4">
        <v>1</v>
      </c>
      <c r="AC274" s="4">
        <v>1</v>
      </c>
      <c r="AD274" s="4">
        <v>30</v>
      </c>
      <c r="AE274" s="4">
        <v>30</v>
      </c>
      <c r="AF274" s="4">
        <v>0</v>
      </c>
      <c r="AG274" s="4">
        <v>0</v>
      </c>
      <c r="AH274" s="4">
        <v>29</v>
      </c>
      <c r="AI274" s="4">
        <v>29</v>
      </c>
      <c r="AJ274" s="4">
        <v>1</v>
      </c>
      <c r="AK274" s="4">
        <v>1</v>
      </c>
      <c r="AL274" s="4">
        <v>22</v>
      </c>
      <c r="AM274" s="4">
        <v>22</v>
      </c>
      <c r="AN274" s="4">
        <v>0</v>
      </c>
      <c r="AO274" s="4">
        <v>0</v>
      </c>
      <c r="AP274" s="4">
        <v>1</v>
      </c>
      <c r="AQ274" s="4">
        <v>1</v>
      </c>
      <c r="AR274" s="3" t="s">
        <v>65</v>
      </c>
      <c r="AS274" s="3" t="s">
        <v>65</v>
      </c>
      <c r="AT274" s="3" t="s">
        <v>65</v>
      </c>
      <c r="AV274" s="6" t="str">
        <f>HYPERLINK("http://mcgill.on.worldcat.org/oclc/982448694","Catalog Record")</f>
        <v>Catalog Record</v>
      </c>
      <c r="AW274" s="6" t="str">
        <f>HYPERLINK("http://www.worldcat.org/oclc/982448694","WorldCat Record")</f>
        <v>WorldCat Record</v>
      </c>
      <c r="AX274" s="3" t="s">
        <v>2881</v>
      </c>
      <c r="AY274" s="3" t="s">
        <v>2882</v>
      </c>
      <c r="AZ274" s="3" t="s">
        <v>2883</v>
      </c>
      <c r="BA274" s="3" t="s">
        <v>2883</v>
      </c>
      <c r="BB274" s="3" t="s">
        <v>2884</v>
      </c>
      <c r="BC274" s="3" t="s">
        <v>77</v>
      </c>
      <c r="BD274" s="3" t="s">
        <v>78</v>
      </c>
      <c r="BE274" s="3" t="s">
        <v>2885</v>
      </c>
      <c r="BF274" s="3" t="s">
        <v>2884</v>
      </c>
      <c r="BG274" s="3" t="s">
        <v>2886</v>
      </c>
    </row>
    <row r="275" spans="1:59" ht="58" x14ac:dyDescent="0.35">
      <c r="A275" s="2" t="s">
        <v>59</v>
      </c>
      <c r="B275" s="2" t="s">
        <v>60</v>
      </c>
      <c r="C275" s="2" t="s">
        <v>2887</v>
      </c>
      <c r="D275" s="2" t="s">
        <v>2888</v>
      </c>
      <c r="E275" s="2" t="s">
        <v>2889</v>
      </c>
      <c r="G275" s="3" t="s">
        <v>65</v>
      </c>
      <c r="I275" s="3" t="s">
        <v>65</v>
      </c>
      <c r="J275" s="3" t="s">
        <v>65</v>
      </c>
      <c r="K275" s="3" t="s">
        <v>66</v>
      </c>
      <c r="L275" s="2" t="s">
        <v>2890</v>
      </c>
      <c r="M275" s="2" t="s">
        <v>2352</v>
      </c>
      <c r="N275" s="3" t="s">
        <v>1196</v>
      </c>
      <c r="P275" s="3" t="s">
        <v>140</v>
      </c>
      <c r="Q275" s="2" t="s">
        <v>2353</v>
      </c>
      <c r="R275" s="3" t="s">
        <v>71</v>
      </c>
      <c r="S275" s="4">
        <v>12</v>
      </c>
      <c r="T275" s="4">
        <v>12</v>
      </c>
      <c r="U275" s="5" t="s">
        <v>2891</v>
      </c>
      <c r="V275" s="5" t="s">
        <v>2891</v>
      </c>
      <c r="W275" s="5" t="s">
        <v>72</v>
      </c>
      <c r="X275" s="5" t="s">
        <v>72</v>
      </c>
      <c r="Y275" s="4">
        <v>44</v>
      </c>
      <c r="Z275" s="4">
        <v>4</v>
      </c>
      <c r="AA275" s="4">
        <v>4</v>
      </c>
      <c r="AB275" s="4">
        <v>2</v>
      </c>
      <c r="AC275" s="4">
        <v>2</v>
      </c>
      <c r="AD275" s="4">
        <v>15</v>
      </c>
      <c r="AE275" s="4">
        <v>19</v>
      </c>
      <c r="AF275" s="4">
        <v>0</v>
      </c>
      <c r="AG275" s="4">
        <v>0</v>
      </c>
      <c r="AH275" s="4">
        <v>15</v>
      </c>
      <c r="AI275" s="4">
        <v>19</v>
      </c>
      <c r="AJ275" s="4">
        <v>2</v>
      </c>
      <c r="AK275" s="4">
        <v>2</v>
      </c>
      <c r="AL275" s="4">
        <v>10</v>
      </c>
      <c r="AM275" s="4">
        <v>12</v>
      </c>
      <c r="AN275" s="4">
        <v>0</v>
      </c>
      <c r="AO275" s="4">
        <v>0</v>
      </c>
      <c r="AP275" s="4">
        <v>2</v>
      </c>
      <c r="AQ275" s="4">
        <v>2</v>
      </c>
      <c r="AR275" s="3" t="s">
        <v>65</v>
      </c>
      <c r="AS275" s="3" t="s">
        <v>65</v>
      </c>
      <c r="AT275" s="3" t="s">
        <v>209</v>
      </c>
      <c r="AU275" s="6" t="str">
        <f>HYPERLINK("http://catalog.hathitrust.org/Record/007558126","HathiTrust Record")</f>
        <v>HathiTrust Record</v>
      </c>
      <c r="AV275" s="6" t="str">
        <f>HYPERLINK("http://mcgill.on.worldcat.org/oclc/64665887","Catalog Record")</f>
        <v>Catalog Record</v>
      </c>
      <c r="AW275" s="6" t="str">
        <f>HYPERLINK("http://www.worldcat.org/oclc/64665887","WorldCat Record")</f>
        <v>WorldCat Record</v>
      </c>
      <c r="AX275" s="3" t="s">
        <v>2892</v>
      </c>
      <c r="AY275" s="3" t="s">
        <v>2893</v>
      </c>
      <c r="AZ275" s="3" t="s">
        <v>2894</v>
      </c>
      <c r="BA275" s="3" t="s">
        <v>2894</v>
      </c>
      <c r="BB275" s="3" t="s">
        <v>2895</v>
      </c>
      <c r="BC275" s="3" t="s">
        <v>77</v>
      </c>
      <c r="BD275" s="3" t="s">
        <v>78</v>
      </c>
      <c r="BE275" s="3" t="s">
        <v>2896</v>
      </c>
      <c r="BF275" s="3" t="s">
        <v>2895</v>
      </c>
      <c r="BG275" s="3" t="s">
        <v>2897</v>
      </c>
    </row>
    <row r="276" spans="1:59" ht="58" x14ac:dyDescent="0.35">
      <c r="A276" s="2" t="s">
        <v>59</v>
      </c>
      <c r="B276" s="2" t="s">
        <v>60</v>
      </c>
      <c r="C276" s="2" t="s">
        <v>2898</v>
      </c>
      <c r="D276" s="2" t="s">
        <v>2899</v>
      </c>
      <c r="E276" s="2" t="s">
        <v>2900</v>
      </c>
      <c r="G276" s="3" t="s">
        <v>65</v>
      </c>
      <c r="I276" s="3" t="s">
        <v>65</v>
      </c>
      <c r="J276" s="3" t="s">
        <v>65</v>
      </c>
      <c r="K276" s="3" t="s">
        <v>66</v>
      </c>
      <c r="L276" s="2" t="s">
        <v>2901</v>
      </c>
      <c r="M276" s="2" t="s">
        <v>2902</v>
      </c>
      <c r="N276" s="3" t="s">
        <v>221</v>
      </c>
      <c r="P276" s="3" t="s">
        <v>69</v>
      </c>
      <c r="Q276" s="2" t="s">
        <v>2903</v>
      </c>
      <c r="R276" s="3" t="s">
        <v>71</v>
      </c>
      <c r="S276" s="4">
        <v>6</v>
      </c>
      <c r="T276" s="4">
        <v>6</v>
      </c>
      <c r="U276" s="5" t="s">
        <v>1754</v>
      </c>
      <c r="V276" s="5" t="s">
        <v>1754</v>
      </c>
      <c r="W276" s="5" t="s">
        <v>72</v>
      </c>
      <c r="X276" s="5" t="s">
        <v>72</v>
      </c>
      <c r="Y276" s="4">
        <v>244</v>
      </c>
      <c r="Z276" s="4">
        <v>15</v>
      </c>
      <c r="AA276" s="4">
        <v>16</v>
      </c>
      <c r="AB276" s="4">
        <v>1</v>
      </c>
      <c r="AC276" s="4">
        <v>2</v>
      </c>
      <c r="AD276" s="4">
        <v>90</v>
      </c>
      <c r="AE276" s="4">
        <v>91</v>
      </c>
      <c r="AF276" s="4">
        <v>0</v>
      </c>
      <c r="AG276" s="4">
        <v>1</v>
      </c>
      <c r="AH276" s="4">
        <v>82</v>
      </c>
      <c r="AI276" s="4">
        <v>82</v>
      </c>
      <c r="AJ276" s="4">
        <v>10</v>
      </c>
      <c r="AK276" s="4">
        <v>11</v>
      </c>
      <c r="AL276" s="4">
        <v>47</v>
      </c>
      <c r="AM276" s="4">
        <v>47</v>
      </c>
      <c r="AN276" s="4">
        <v>0</v>
      </c>
      <c r="AO276" s="4">
        <v>0</v>
      </c>
      <c r="AP276" s="4">
        <v>12</v>
      </c>
      <c r="AQ276" s="4">
        <v>12</v>
      </c>
      <c r="AR276" s="3" t="s">
        <v>65</v>
      </c>
      <c r="AS276" s="3" t="s">
        <v>65</v>
      </c>
      <c r="AT276" s="3" t="s">
        <v>209</v>
      </c>
      <c r="AU276" s="6" t="str">
        <f>HYPERLINK("http://catalog.hathitrust.org/Record/005605610","HathiTrust Record")</f>
        <v>HathiTrust Record</v>
      </c>
      <c r="AV276" s="6" t="str">
        <f>HYPERLINK("http://mcgill.on.worldcat.org/oclc/166281771","Catalog Record")</f>
        <v>Catalog Record</v>
      </c>
      <c r="AW276" s="6" t="str">
        <f>HYPERLINK("http://www.worldcat.org/oclc/166281771","WorldCat Record")</f>
        <v>WorldCat Record</v>
      </c>
      <c r="AX276" s="3" t="s">
        <v>2904</v>
      </c>
      <c r="AY276" s="3" t="s">
        <v>2905</v>
      </c>
      <c r="AZ276" s="3" t="s">
        <v>2906</v>
      </c>
      <c r="BA276" s="3" t="s">
        <v>2906</v>
      </c>
      <c r="BB276" s="3" t="s">
        <v>2907</v>
      </c>
      <c r="BC276" s="3" t="s">
        <v>77</v>
      </c>
      <c r="BD276" s="3" t="s">
        <v>78</v>
      </c>
      <c r="BE276" s="3" t="s">
        <v>2908</v>
      </c>
      <c r="BF276" s="3" t="s">
        <v>2907</v>
      </c>
      <c r="BG276" s="3" t="s">
        <v>2909</v>
      </c>
    </row>
    <row r="277" spans="1:59" ht="58" x14ac:dyDescent="0.35">
      <c r="A277" s="2" t="s">
        <v>59</v>
      </c>
      <c r="B277" s="2" t="s">
        <v>60</v>
      </c>
      <c r="C277" s="2" t="s">
        <v>2910</v>
      </c>
      <c r="D277" s="2" t="s">
        <v>2911</v>
      </c>
      <c r="E277" s="2" t="s">
        <v>2912</v>
      </c>
      <c r="G277" s="3" t="s">
        <v>65</v>
      </c>
      <c r="I277" s="3" t="s">
        <v>65</v>
      </c>
      <c r="J277" s="3" t="s">
        <v>65</v>
      </c>
      <c r="K277" s="3" t="s">
        <v>66</v>
      </c>
      <c r="L277" s="2" t="s">
        <v>2913</v>
      </c>
      <c r="M277" s="2" t="s">
        <v>2914</v>
      </c>
      <c r="N277" s="3" t="s">
        <v>113</v>
      </c>
      <c r="P277" s="3" t="s">
        <v>140</v>
      </c>
      <c r="Q277" s="2" t="s">
        <v>2915</v>
      </c>
      <c r="R277" s="3" t="s">
        <v>71</v>
      </c>
      <c r="S277" s="4">
        <v>0</v>
      </c>
      <c r="T277" s="4">
        <v>0</v>
      </c>
      <c r="W277" s="5" t="s">
        <v>72</v>
      </c>
      <c r="X277" s="5" t="s">
        <v>72</v>
      </c>
      <c r="Y277" s="4">
        <v>42</v>
      </c>
      <c r="Z277" s="4">
        <v>3</v>
      </c>
      <c r="AA277" s="4">
        <v>4</v>
      </c>
      <c r="AB277" s="4">
        <v>1</v>
      </c>
      <c r="AC277" s="4">
        <v>1</v>
      </c>
      <c r="AD277" s="4">
        <v>26</v>
      </c>
      <c r="AE277" s="4">
        <v>28</v>
      </c>
      <c r="AF277" s="4">
        <v>0</v>
      </c>
      <c r="AG277" s="4">
        <v>0</v>
      </c>
      <c r="AH277" s="4">
        <v>24</v>
      </c>
      <c r="AI277" s="4">
        <v>26</v>
      </c>
      <c r="AJ277" s="4">
        <v>1</v>
      </c>
      <c r="AK277" s="4">
        <v>2</v>
      </c>
      <c r="AL277" s="4">
        <v>21</v>
      </c>
      <c r="AM277" s="4">
        <v>22</v>
      </c>
      <c r="AN277" s="4">
        <v>0</v>
      </c>
      <c r="AO277" s="4">
        <v>0</v>
      </c>
      <c r="AP277" s="4">
        <v>1</v>
      </c>
      <c r="AQ277" s="4">
        <v>2</v>
      </c>
      <c r="AR277" s="3" t="s">
        <v>65</v>
      </c>
      <c r="AS277" s="3" t="s">
        <v>65</v>
      </c>
      <c r="AT277" s="3" t="s">
        <v>65</v>
      </c>
      <c r="AV277" s="6" t="str">
        <f>HYPERLINK("http://mcgill.on.worldcat.org/oclc/659712035","Catalog Record")</f>
        <v>Catalog Record</v>
      </c>
      <c r="AW277" s="6" t="str">
        <f>HYPERLINK("http://www.worldcat.org/oclc/659712035","WorldCat Record")</f>
        <v>WorldCat Record</v>
      </c>
      <c r="AX277" s="3" t="s">
        <v>2916</v>
      </c>
      <c r="AY277" s="3" t="s">
        <v>2917</v>
      </c>
      <c r="AZ277" s="3" t="s">
        <v>2918</v>
      </c>
      <c r="BA277" s="3" t="s">
        <v>2918</v>
      </c>
      <c r="BB277" s="3" t="s">
        <v>2919</v>
      </c>
      <c r="BC277" s="3" t="s">
        <v>77</v>
      </c>
      <c r="BD277" s="3" t="s">
        <v>78</v>
      </c>
      <c r="BE277" s="3" t="s">
        <v>2920</v>
      </c>
      <c r="BF277" s="3" t="s">
        <v>2919</v>
      </c>
      <c r="BG277" s="3" t="s">
        <v>2921</v>
      </c>
    </row>
    <row r="278" spans="1:59" ht="58" x14ac:dyDescent="0.35">
      <c r="A278" s="2" t="s">
        <v>59</v>
      </c>
      <c r="B278" s="2" t="s">
        <v>60</v>
      </c>
      <c r="C278" s="2" t="s">
        <v>2922</v>
      </c>
      <c r="D278" s="2" t="s">
        <v>2923</v>
      </c>
      <c r="E278" s="2" t="s">
        <v>2924</v>
      </c>
      <c r="G278" s="3" t="s">
        <v>65</v>
      </c>
      <c r="I278" s="3" t="s">
        <v>65</v>
      </c>
      <c r="J278" s="3" t="s">
        <v>65</v>
      </c>
      <c r="K278" s="3" t="s">
        <v>66</v>
      </c>
      <c r="L278" s="2" t="s">
        <v>2925</v>
      </c>
      <c r="M278" s="2" t="s">
        <v>2926</v>
      </c>
      <c r="N278" s="3" t="s">
        <v>113</v>
      </c>
      <c r="P278" s="3" t="s">
        <v>140</v>
      </c>
      <c r="Q278" s="2" t="s">
        <v>2927</v>
      </c>
      <c r="R278" s="3" t="s">
        <v>71</v>
      </c>
      <c r="S278" s="4">
        <v>0</v>
      </c>
      <c r="T278" s="4">
        <v>0</v>
      </c>
      <c r="W278" s="5" t="s">
        <v>72</v>
      </c>
      <c r="X278" s="5" t="s">
        <v>72</v>
      </c>
      <c r="Y278" s="4">
        <v>23</v>
      </c>
      <c r="Z278" s="4">
        <v>3</v>
      </c>
      <c r="AA278" s="4">
        <v>3</v>
      </c>
      <c r="AB278" s="4">
        <v>1</v>
      </c>
      <c r="AC278" s="4">
        <v>1</v>
      </c>
      <c r="AD278" s="4">
        <v>17</v>
      </c>
      <c r="AE278" s="4">
        <v>17</v>
      </c>
      <c r="AF278" s="4">
        <v>0</v>
      </c>
      <c r="AG278" s="4">
        <v>0</v>
      </c>
      <c r="AH278" s="4">
        <v>16</v>
      </c>
      <c r="AI278" s="4">
        <v>16</v>
      </c>
      <c r="AJ278" s="4">
        <v>1</v>
      </c>
      <c r="AK278" s="4">
        <v>1</v>
      </c>
      <c r="AL278" s="4">
        <v>15</v>
      </c>
      <c r="AM278" s="4">
        <v>15</v>
      </c>
      <c r="AN278" s="4">
        <v>0</v>
      </c>
      <c r="AO278" s="4">
        <v>0</v>
      </c>
      <c r="AP278" s="4">
        <v>1</v>
      </c>
      <c r="AQ278" s="4">
        <v>1</v>
      </c>
      <c r="AR278" s="3" t="s">
        <v>65</v>
      </c>
      <c r="AS278" s="3" t="s">
        <v>65</v>
      </c>
      <c r="AT278" s="3" t="s">
        <v>65</v>
      </c>
      <c r="AV278" s="6" t="str">
        <f>HYPERLINK("http://mcgill.on.worldcat.org/oclc/656502083","Catalog Record")</f>
        <v>Catalog Record</v>
      </c>
      <c r="AW278" s="6" t="str">
        <f>HYPERLINK("http://www.worldcat.org/oclc/656502083","WorldCat Record")</f>
        <v>WorldCat Record</v>
      </c>
      <c r="AX278" s="3" t="s">
        <v>2928</v>
      </c>
      <c r="AY278" s="3" t="s">
        <v>2929</v>
      </c>
      <c r="AZ278" s="3" t="s">
        <v>2930</v>
      </c>
      <c r="BA278" s="3" t="s">
        <v>2930</v>
      </c>
      <c r="BB278" s="3" t="s">
        <v>2931</v>
      </c>
      <c r="BC278" s="3" t="s">
        <v>77</v>
      </c>
      <c r="BD278" s="3" t="s">
        <v>78</v>
      </c>
      <c r="BE278" s="3" t="s">
        <v>2932</v>
      </c>
      <c r="BF278" s="3" t="s">
        <v>2931</v>
      </c>
      <c r="BG278" s="3" t="s">
        <v>2933</v>
      </c>
    </row>
    <row r="279" spans="1:59" ht="58" x14ac:dyDescent="0.35">
      <c r="A279" s="2" t="s">
        <v>59</v>
      </c>
      <c r="B279" s="2" t="s">
        <v>60</v>
      </c>
      <c r="C279" s="2" t="s">
        <v>2934</v>
      </c>
      <c r="D279" s="2" t="s">
        <v>2935</v>
      </c>
      <c r="E279" s="2" t="s">
        <v>2936</v>
      </c>
      <c r="G279" s="3" t="s">
        <v>65</v>
      </c>
      <c r="I279" s="3" t="s">
        <v>65</v>
      </c>
      <c r="J279" s="3" t="s">
        <v>65</v>
      </c>
      <c r="K279" s="3" t="s">
        <v>66</v>
      </c>
      <c r="L279" s="2" t="s">
        <v>2937</v>
      </c>
      <c r="M279" s="2" t="s">
        <v>2938</v>
      </c>
      <c r="N279" s="3" t="s">
        <v>1173</v>
      </c>
      <c r="P279" s="3" t="s">
        <v>140</v>
      </c>
      <c r="Q279" s="2" t="s">
        <v>2939</v>
      </c>
      <c r="R279" s="3" t="s">
        <v>71</v>
      </c>
      <c r="S279" s="4">
        <v>1</v>
      </c>
      <c r="T279" s="4">
        <v>1</v>
      </c>
      <c r="U279" s="5" t="s">
        <v>2940</v>
      </c>
      <c r="V279" s="5" t="s">
        <v>2940</v>
      </c>
      <c r="W279" s="5" t="s">
        <v>72</v>
      </c>
      <c r="X279" s="5" t="s">
        <v>72</v>
      </c>
      <c r="Y279" s="4">
        <v>6</v>
      </c>
      <c r="Z279" s="4">
        <v>3</v>
      </c>
      <c r="AA279" s="4">
        <v>3</v>
      </c>
      <c r="AB279" s="4">
        <v>1</v>
      </c>
      <c r="AC279" s="4">
        <v>1</v>
      </c>
      <c r="AD279" s="4">
        <v>5</v>
      </c>
      <c r="AE279" s="4">
        <v>5</v>
      </c>
      <c r="AF279" s="4">
        <v>0</v>
      </c>
      <c r="AG279" s="4">
        <v>0</v>
      </c>
      <c r="AH279" s="4">
        <v>4</v>
      </c>
      <c r="AI279" s="4">
        <v>4</v>
      </c>
      <c r="AJ279" s="4">
        <v>2</v>
      </c>
      <c r="AK279" s="4">
        <v>2</v>
      </c>
      <c r="AL279" s="4">
        <v>3</v>
      </c>
      <c r="AM279" s="4">
        <v>3</v>
      </c>
      <c r="AN279" s="4">
        <v>0</v>
      </c>
      <c r="AO279" s="4">
        <v>0</v>
      </c>
      <c r="AP279" s="4">
        <v>2</v>
      </c>
      <c r="AQ279" s="4">
        <v>2</v>
      </c>
      <c r="AR279" s="3" t="s">
        <v>65</v>
      </c>
      <c r="AS279" s="3" t="s">
        <v>65</v>
      </c>
      <c r="AT279" s="3" t="s">
        <v>209</v>
      </c>
      <c r="AU279" s="6" t="str">
        <f>HYPERLINK("http://catalog.hathitrust.org/Record/009966408","HathiTrust Record")</f>
        <v>HathiTrust Record</v>
      </c>
      <c r="AV279" s="6" t="str">
        <f>HYPERLINK("http://mcgill.on.worldcat.org/oclc/352612386","Catalog Record")</f>
        <v>Catalog Record</v>
      </c>
      <c r="AW279" s="6" t="str">
        <f>HYPERLINK("http://www.worldcat.org/oclc/352612386","WorldCat Record")</f>
        <v>WorldCat Record</v>
      </c>
      <c r="AX279" s="3" t="s">
        <v>2941</v>
      </c>
      <c r="AY279" s="3" t="s">
        <v>2942</v>
      </c>
      <c r="AZ279" s="3" t="s">
        <v>2943</v>
      </c>
      <c r="BA279" s="3" t="s">
        <v>2943</v>
      </c>
      <c r="BB279" s="3" t="s">
        <v>2944</v>
      </c>
      <c r="BC279" s="3" t="s">
        <v>77</v>
      </c>
      <c r="BD279" s="3" t="s">
        <v>78</v>
      </c>
      <c r="BF279" s="3" t="s">
        <v>2944</v>
      </c>
      <c r="BG279" s="3" t="s">
        <v>2945</v>
      </c>
    </row>
    <row r="280" spans="1:59" ht="87" x14ac:dyDescent="0.35">
      <c r="A280" s="2" t="s">
        <v>59</v>
      </c>
      <c r="B280" s="2" t="s">
        <v>60</v>
      </c>
      <c r="C280" s="2" t="s">
        <v>2946</v>
      </c>
      <c r="D280" s="2" t="s">
        <v>2947</v>
      </c>
      <c r="E280" s="2" t="s">
        <v>2948</v>
      </c>
      <c r="F280" s="3" t="s">
        <v>258</v>
      </c>
      <c r="G280" s="3" t="s">
        <v>209</v>
      </c>
      <c r="I280" s="3" t="s">
        <v>65</v>
      </c>
      <c r="J280" s="3" t="s">
        <v>209</v>
      </c>
      <c r="K280" s="3" t="s">
        <v>66</v>
      </c>
      <c r="L280" s="2" t="s">
        <v>2949</v>
      </c>
      <c r="M280" s="2" t="s">
        <v>2950</v>
      </c>
      <c r="N280" s="3" t="s">
        <v>2750</v>
      </c>
      <c r="O280" s="2" t="s">
        <v>2951</v>
      </c>
      <c r="P280" s="3" t="s">
        <v>140</v>
      </c>
      <c r="Q280" s="2" t="s">
        <v>2952</v>
      </c>
      <c r="R280" s="3" t="s">
        <v>71</v>
      </c>
      <c r="S280" s="4">
        <v>2</v>
      </c>
      <c r="T280" s="4">
        <v>5</v>
      </c>
      <c r="U280" s="5" t="s">
        <v>840</v>
      </c>
      <c r="V280" s="5" t="s">
        <v>840</v>
      </c>
      <c r="W280" s="5" t="s">
        <v>72</v>
      </c>
      <c r="X280" s="5" t="s">
        <v>72</v>
      </c>
      <c r="Y280" s="4">
        <v>50</v>
      </c>
      <c r="Z280" s="4">
        <v>7</v>
      </c>
      <c r="AA280" s="4">
        <v>16</v>
      </c>
      <c r="AB280" s="4">
        <v>2</v>
      </c>
      <c r="AC280" s="4">
        <v>2</v>
      </c>
      <c r="AD280" s="4">
        <v>33</v>
      </c>
      <c r="AE280" s="4">
        <v>73</v>
      </c>
      <c r="AF280" s="4">
        <v>1</v>
      </c>
      <c r="AG280" s="4">
        <v>1</v>
      </c>
      <c r="AH280" s="4">
        <v>30</v>
      </c>
      <c r="AI280" s="4">
        <v>65</v>
      </c>
      <c r="AJ280" s="4">
        <v>5</v>
      </c>
      <c r="AK280" s="4">
        <v>11</v>
      </c>
      <c r="AL280" s="4">
        <v>21</v>
      </c>
      <c r="AM280" s="4">
        <v>44</v>
      </c>
      <c r="AN280" s="4">
        <v>0</v>
      </c>
      <c r="AO280" s="4">
        <v>3</v>
      </c>
      <c r="AP280" s="4">
        <v>5</v>
      </c>
      <c r="AQ280" s="4">
        <v>11</v>
      </c>
      <c r="AR280" s="3" t="s">
        <v>65</v>
      </c>
      <c r="AS280" s="3" t="s">
        <v>65</v>
      </c>
      <c r="AT280" s="3" t="s">
        <v>209</v>
      </c>
      <c r="AU280" s="6" t="str">
        <f>HYPERLINK("http://catalog.hathitrust.org/Record/000738096","HathiTrust Record")</f>
        <v>HathiTrust Record</v>
      </c>
      <c r="AV280" s="6" t="str">
        <f>HYPERLINK("http://mcgill.on.worldcat.org/oclc/2496833","Catalog Record")</f>
        <v>Catalog Record</v>
      </c>
      <c r="AW280" s="6" t="str">
        <f>HYPERLINK("http://www.worldcat.org/oclc/2496833","WorldCat Record")</f>
        <v>WorldCat Record</v>
      </c>
      <c r="AX280" s="3" t="s">
        <v>2953</v>
      </c>
      <c r="AY280" s="3" t="s">
        <v>2954</v>
      </c>
      <c r="AZ280" s="3" t="s">
        <v>2955</v>
      </c>
      <c r="BA280" s="3" t="s">
        <v>2955</v>
      </c>
      <c r="BB280" s="3" t="s">
        <v>2956</v>
      </c>
      <c r="BC280" s="3" t="s">
        <v>77</v>
      </c>
      <c r="BD280" s="3" t="s">
        <v>78</v>
      </c>
      <c r="BF280" s="3" t="s">
        <v>2956</v>
      </c>
      <c r="BG280" s="3" t="s">
        <v>2957</v>
      </c>
    </row>
    <row r="281" spans="1:59" ht="87" x14ac:dyDescent="0.35">
      <c r="A281" s="2" t="s">
        <v>59</v>
      </c>
      <c r="B281" s="2" t="s">
        <v>60</v>
      </c>
      <c r="C281" s="2" t="s">
        <v>2946</v>
      </c>
      <c r="D281" s="2" t="s">
        <v>2947</v>
      </c>
      <c r="E281" s="2" t="s">
        <v>2948</v>
      </c>
      <c r="F281" s="3" t="s">
        <v>245</v>
      </c>
      <c r="G281" s="3" t="s">
        <v>209</v>
      </c>
      <c r="I281" s="3" t="s">
        <v>65</v>
      </c>
      <c r="J281" s="3" t="s">
        <v>209</v>
      </c>
      <c r="K281" s="3" t="s">
        <v>66</v>
      </c>
      <c r="L281" s="2" t="s">
        <v>2949</v>
      </c>
      <c r="M281" s="2" t="s">
        <v>2950</v>
      </c>
      <c r="N281" s="3" t="s">
        <v>2750</v>
      </c>
      <c r="O281" s="2" t="s">
        <v>2951</v>
      </c>
      <c r="P281" s="3" t="s">
        <v>140</v>
      </c>
      <c r="Q281" s="2" t="s">
        <v>2952</v>
      </c>
      <c r="R281" s="3" t="s">
        <v>71</v>
      </c>
      <c r="S281" s="4">
        <v>3</v>
      </c>
      <c r="T281" s="4">
        <v>5</v>
      </c>
      <c r="U281" s="5" t="s">
        <v>840</v>
      </c>
      <c r="V281" s="5" t="s">
        <v>840</v>
      </c>
      <c r="W281" s="5" t="s">
        <v>72</v>
      </c>
      <c r="X281" s="5" t="s">
        <v>72</v>
      </c>
      <c r="Y281" s="4">
        <v>50</v>
      </c>
      <c r="Z281" s="4">
        <v>7</v>
      </c>
      <c r="AA281" s="4">
        <v>16</v>
      </c>
      <c r="AB281" s="4">
        <v>2</v>
      </c>
      <c r="AC281" s="4">
        <v>2</v>
      </c>
      <c r="AD281" s="4">
        <v>33</v>
      </c>
      <c r="AE281" s="4">
        <v>73</v>
      </c>
      <c r="AF281" s="4">
        <v>1</v>
      </c>
      <c r="AG281" s="4">
        <v>1</v>
      </c>
      <c r="AH281" s="4">
        <v>30</v>
      </c>
      <c r="AI281" s="4">
        <v>65</v>
      </c>
      <c r="AJ281" s="4">
        <v>5</v>
      </c>
      <c r="AK281" s="4">
        <v>11</v>
      </c>
      <c r="AL281" s="4">
        <v>21</v>
      </c>
      <c r="AM281" s="4">
        <v>44</v>
      </c>
      <c r="AN281" s="4">
        <v>0</v>
      </c>
      <c r="AO281" s="4">
        <v>3</v>
      </c>
      <c r="AP281" s="4">
        <v>5</v>
      </c>
      <c r="AQ281" s="4">
        <v>11</v>
      </c>
      <c r="AR281" s="3" t="s">
        <v>65</v>
      </c>
      <c r="AS281" s="3" t="s">
        <v>65</v>
      </c>
      <c r="AT281" s="3" t="s">
        <v>209</v>
      </c>
      <c r="AU281" s="6" t="str">
        <f>HYPERLINK("http://catalog.hathitrust.org/Record/000738096","HathiTrust Record")</f>
        <v>HathiTrust Record</v>
      </c>
      <c r="AV281" s="6" t="str">
        <f>HYPERLINK("http://mcgill.on.worldcat.org/oclc/2496833","Catalog Record")</f>
        <v>Catalog Record</v>
      </c>
      <c r="AW281" s="6" t="str">
        <f>HYPERLINK("http://www.worldcat.org/oclc/2496833","WorldCat Record")</f>
        <v>WorldCat Record</v>
      </c>
      <c r="AX281" s="3" t="s">
        <v>2953</v>
      </c>
      <c r="AY281" s="3" t="s">
        <v>2954</v>
      </c>
      <c r="AZ281" s="3" t="s">
        <v>2955</v>
      </c>
      <c r="BA281" s="3" t="s">
        <v>2955</v>
      </c>
      <c r="BB281" s="3" t="s">
        <v>2958</v>
      </c>
      <c r="BC281" s="3" t="s">
        <v>77</v>
      </c>
      <c r="BD281" s="3" t="s">
        <v>78</v>
      </c>
      <c r="BF281" s="3" t="s">
        <v>2958</v>
      </c>
      <c r="BG281" s="3" t="s">
        <v>2959</v>
      </c>
    </row>
    <row r="282" spans="1:59" ht="58" x14ac:dyDescent="0.35">
      <c r="A282" s="2" t="s">
        <v>59</v>
      </c>
      <c r="B282" s="2" t="s">
        <v>60</v>
      </c>
      <c r="C282" s="2" t="s">
        <v>2960</v>
      </c>
      <c r="D282" s="2" t="s">
        <v>2961</v>
      </c>
      <c r="E282" s="2" t="s">
        <v>2962</v>
      </c>
      <c r="F282" s="3" t="s">
        <v>245</v>
      </c>
      <c r="G282" s="3" t="s">
        <v>209</v>
      </c>
      <c r="I282" s="3" t="s">
        <v>65</v>
      </c>
      <c r="J282" s="3" t="s">
        <v>65</v>
      </c>
      <c r="K282" s="3" t="s">
        <v>66</v>
      </c>
      <c r="L282" s="2" t="s">
        <v>2963</v>
      </c>
      <c r="M282" s="2" t="s">
        <v>2964</v>
      </c>
      <c r="N282" s="3" t="s">
        <v>126</v>
      </c>
      <c r="P282" s="3" t="s">
        <v>140</v>
      </c>
      <c r="Q282" s="2" t="s">
        <v>2965</v>
      </c>
      <c r="R282" s="3" t="s">
        <v>71</v>
      </c>
      <c r="S282" s="4">
        <v>0</v>
      </c>
      <c r="T282" s="4">
        <v>0</v>
      </c>
      <c r="W282" s="5" t="s">
        <v>72</v>
      </c>
      <c r="X282" s="5" t="s">
        <v>72</v>
      </c>
      <c r="Y282" s="4">
        <v>41</v>
      </c>
      <c r="Z282" s="4">
        <v>4</v>
      </c>
      <c r="AA282" s="4">
        <v>4</v>
      </c>
      <c r="AB282" s="4">
        <v>1</v>
      </c>
      <c r="AC282" s="4">
        <v>1</v>
      </c>
      <c r="AD282" s="4">
        <v>32</v>
      </c>
      <c r="AE282" s="4">
        <v>32</v>
      </c>
      <c r="AF282" s="4">
        <v>0</v>
      </c>
      <c r="AG282" s="4">
        <v>0</v>
      </c>
      <c r="AH282" s="4">
        <v>31</v>
      </c>
      <c r="AI282" s="4">
        <v>31</v>
      </c>
      <c r="AJ282" s="4">
        <v>2</v>
      </c>
      <c r="AK282" s="4">
        <v>2</v>
      </c>
      <c r="AL282" s="4">
        <v>26</v>
      </c>
      <c r="AM282" s="4">
        <v>26</v>
      </c>
      <c r="AN282" s="4">
        <v>0</v>
      </c>
      <c r="AO282" s="4">
        <v>0</v>
      </c>
      <c r="AP282" s="4">
        <v>2</v>
      </c>
      <c r="AQ282" s="4">
        <v>2</v>
      </c>
      <c r="AR282" s="3" t="s">
        <v>65</v>
      </c>
      <c r="AS282" s="3" t="s">
        <v>65</v>
      </c>
      <c r="AT282" s="3" t="s">
        <v>65</v>
      </c>
      <c r="AV282" s="6" t="str">
        <f>HYPERLINK("http://mcgill.on.worldcat.org/oclc/811589240","Catalog Record")</f>
        <v>Catalog Record</v>
      </c>
      <c r="AW282" s="6" t="str">
        <f>HYPERLINK("http://www.worldcat.org/oclc/811589240","WorldCat Record")</f>
        <v>WorldCat Record</v>
      </c>
      <c r="AX282" s="3" t="s">
        <v>2966</v>
      </c>
      <c r="AY282" s="3" t="s">
        <v>2967</v>
      </c>
      <c r="AZ282" s="3" t="s">
        <v>2968</v>
      </c>
      <c r="BA282" s="3" t="s">
        <v>2968</v>
      </c>
      <c r="BB282" s="3" t="s">
        <v>2969</v>
      </c>
      <c r="BC282" s="3" t="s">
        <v>77</v>
      </c>
      <c r="BD282" s="3" t="s">
        <v>78</v>
      </c>
      <c r="BE282" s="3" t="s">
        <v>2970</v>
      </c>
      <c r="BF282" s="3" t="s">
        <v>2969</v>
      </c>
      <c r="BG282" s="3" t="s">
        <v>2971</v>
      </c>
    </row>
    <row r="283" spans="1:59" ht="58" x14ac:dyDescent="0.35">
      <c r="A283" s="2" t="s">
        <v>59</v>
      </c>
      <c r="B283" s="2" t="s">
        <v>60</v>
      </c>
      <c r="C283" s="2" t="s">
        <v>2960</v>
      </c>
      <c r="D283" s="2" t="s">
        <v>2961</v>
      </c>
      <c r="E283" s="2" t="s">
        <v>2962</v>
      </c>
      <c r="F283" s="3" t="s">
        <v>258</v>
      </c>
      <c r="G283" s="3" t="s">
        <v>209</v>
      </c>
      <c r="I283" s="3" t="s">
        <v>65</v>
      </c>
      <c r="J283" s="3" t="s">
        <v>65</v>
      </c>
      <c r="K283" s="3" t="s">
        <v>66</v>
      </c>
      <c r="L283" s="2" t="s">
        <v>2963</v>
      </c>
      <c r="M283" s="2" t="s">
        <v>2964</v>
      </c>
      <c r="N283" s="3" t="s">
        <v>126</v>
      </c>
      <c r="P283" s="3" t="s">
        <v>140</v>
      </c>
      <c r="Q283" s="2" t="s">
        <v>2965</v>
      </c>
      <c r="R283" s="3" t="s">
        <v>71</v>
      </c>
      <c r="S283" s="4">
        <v>0</v>
      </c>
      <c r="T283" s="4">
        <v>0</v>
      </c>
      <c r="W283" s="5" t="s">
        <v>72</v>
      </c>
      <c r="X283" s="5" t="s">
        <v>72</v>
      </c>
      <c r="Y283" s="4">
        <v>41</v>
      </c>
      <c r="Z283" s="4">
        <v>4</v>
      </c>
      <c r="AA283" s="4">
        <v>4</v>
      </c>
      <c r="AB283" s="4">
        <v>1</v>
      </c>
      <c r="AC283" s="4">
        <v>1</v>
      </c>
      <c r="AD283" s="4">
        <v>32</v>
      </c>
      <c r="AE283" s="4">
        <v>32</v>
      </c>
      <c r="AF283" s="4">
        <v>0</v>
      </c>
      <c r="AG283" s="4">
        <v>0</v>
      </c>
      <c r="AH283" s="4">
        <v>31</v>
      </c>
      <c r="AI283" s="4">
        <v>31</v>
      </c>
      <c r="AJ283" s="4">
        <v>2</v>
      </c>
      <c r="AK283" s="4">
        <v>2</v>
      </c>
      <c r="AL283" s="4">
        <v>26</v>
      </c>
      <c r="AM283" s="4">
        <v>26</v>
      </c>
      <c r="AN283" s="4">
        <v>0</v>
      </c>
      <c r="AO283" s="4">
        <v>0</v>
      </c>
      <c r="AP283" s="4">
        <v>2</v>
      </c>
      <c r="AQ283" s="4">
        <v>2</v>
      </c>
      <c r="AR283" s="3" t="s">
        <v>65</v>
      </c>
      <c r="AS283" s="3" t="s">
        <v>65</v>
      </c>
      <c r="AT283" s="3" t="s">
        <v>65</v>
      </c>
      <c r="AV283" s="6" t="str">
        <f>HYPERLINK("http://mcgill.on.worldcat.org/oclc/811589240","Catalog Record")</f>
        <v>Catalog Record</v>
      </c>
      <c r="AW283" s="6" t="str">
        <f>HYPERLINK("http://www.worldcat.org/oclc/811589240","WorldCat Record")</f>
        <v>WorldCat Record</v>
      </c>
      <c r="AX283" s="3" t="s">
        <v>2966</v>
      </c>
      <c r="AY283" s="3" t="s">
        <v>2967</v>
      </c>
      <c r="AZ283" s="3" t="s">
        <v>2968</v>
      </c>
      <c r="BA283" s="3" t="s">
        <v>2968</v>
      </c>
      <c r="BB283" s="3" t="s">
        <v>2972</v>
      </c>
      <c r="BC283" s="3" t="s">
        <v>77</v>
      </c>
      <c r="BD283" s="3" t="s">
        <v>78</v>
      </c>
      <c r="BE283" s="3" t="s">
        <v>2970</v>
      </c>
      <c r="BF283" s="3" t="s">
        <v>2972</v>
      </c>
      <c r="BG283" s="3" t="s">
        <v>2973</v>
      </c>
    </row>
    <row r="284" spans="1:59" ht="58" x14ac:dyDescent="0.35">
      <c r="A284" s="2" t="s">
        <v>59</v>
      </c>
      <c r="B284" s="2" t="s">
        <v>60</v>
      </c>
      <c r="C284" s="2" t="s">
        <v>2974</v>
      </c>
      <c r="D284" s="2" t="s">
        <v>2975</v>
      </c>
      <c r="E284" s="2" t="s">
        <v>2976</v>
      </c>
      <c r="G284" s="3" t="s">
        <v>209</v>
      </c>
      <c r="I284" s="3" t="s">
        <v>209</v>
      </c>
      <c r="J284" s="3" t="s">
        <v>65</v>
      </c>
      <c r="K284" s="3" t="s">
        <v>66</v>
      </c>
      <c r="L284" s="2" t="s">
        <v>2977</v>
      </c>
      <c r="M284" s="2" t="s">
        <v>2978</v>
      </c>
      <c r="N284" s="3" t="s">
        <v>2979</v>
      </c>
      <c r="O284" s="2" t="s">
        <v>2980</v>
      </c>
      <c r="P284" s="3" t="s">
        <v>140</v>
      </c>
      <c r="R284" s="3" t="s">
        <v>71</v>
      </c>
      <c r="S284" s="4">
        <v>0</v>
      </c>
      <c r="T284" s="4">
        <v>2</v>
      </c>
      <c r="V284" s="5" t="s">
        <v>2981</v>
      </c>
      <c r="W284" s="5" t="s">
        <v>72</v>
      </c>
      <c r="X284" s="5" t="s">
        <v>72</v>
      </c>
      <c r="Y284" s="4">
        <v>1</v>
      </c>
      <c r="Z284" s="4">
        <v>1</v>
      </c>
      <c r="AA284" s="4">
        <v>1</v>
      </c>
      <c r="AB284" s="4">
        <v>1</v>
      </c>
      <c r="AC284" s="4">
        <v>1</v>
      </c>
      <c r="AD284" s="4">
        <v>0</v>
      </c>
      <c r="AE284" s="4">
        <v>0</v>
      </c>
      <c r="AF284" s="4">
        <v>0</v>
      </c>
      <c r="AG284" s="4">
        <v>0</v>
      </c>
      <c r="AH284" s="4">
        <v>0</v>
      </c>
      <c r="AI284" s="4">
        <v>0</v>
      </c>
      <c r="AJ284" s="4">
        <v>0</v>
      </c>
      <c r="AK284" s="4">
        <v>0</v>
      </c>
      <c r="AL284" s="4">
        <v>0</v>
      </c>
      <c r="AM284" s="4">
        <v>0</v>
      </c>
      <c r="AN284" s="4">
        <v>0</v>
      </c>
      <c r="AO284" s="4">
        <v>0</v>
      </c>
      <c r="AP284" s="4">
        <v>0</v>
      </c>
      <c r="AQ284" s="4">
        <v>0</v>
      </c>
      <c r="AR284" s="3" t="s">
        <v>65</v>
      </c>
      <c r="AS284" s="3" t="s">
        <v>65</v>
      </c>
      <c r="AT284" s="3" t="s">
        <v>65</v>
      </c>
      <c r="AV284" s="6" t="str">
        <f>HYPERLINK("http://mcgill.on.worldcat.org/oclc/427233296","Catalog Record")</f>
        <v>Catalog Record</v>
      </c>
      <c r="AW284" s="6" t="str">
        <f>HYPERLINK("http://www.worldcat.org/oclc/427233296","WorldCat Record")</f>
        <v>WorldCat Record</v>
      </c>
      <c r="AX284" s="3" t="s">
        <v>2982</v>
      </c>
      <c r="AY284" s="3" t="s">
        <v>2983</v>
      </c>
      <c r="AZ284" s="3" t="s">
        <v>2984</v>
      </c>
      <c r="BA284" s="3" t="s">
        <v>2984</v>
      </c>
      <c r="BB284" s="3" t="s">
        <v>2985</v>
      </c>
      <c r="BC284" s="3" t="s">
        <v>77</v>
      </c>
      <c r="BD284" s="3" t="s">
        <v>78</v>
      </c>
      <c r="BF284" s="3" t="s">
        <v>2985</v>
      </c>
      <c r="BG284" s="3" t="s">
        <v>2986</v>
      </c>
    </row>
    <row r="285" spans="1:59" ht="58" x14ac:dyDescent="0.35">
      <c r="A285" s="2" t="s">
        <v>59</v>
      </c>
      <c r="B285" s="2" t="s">
        <v>60</v>
      </c>
      <c r="C285" s="2" t="s">
        <v>2974</v>
      </c>
      <c r="D285" s="2" t="s">
        <v>2975</v>
      </c>
      <c r="E285" s="2" t="s">
        <v>2976</v>
      </c>
      <c r="F285" s="3" t="s">
        <v>503</v>
      </c>
      <c r="G285" s="3" t="s">
        <v>209</v>
      </c>
      <c r="I285" s="3" t="s">
        <v>209</v>
      </c>
      <c r="J285" s="3" t="s">
        <v>65</v>
      </c>
      <c r="K285" s="3" t="s">
        <v>66</v>
      </c>
      <c r="L285" s="2" t="s">
        <v>2977</v>
      </c>
      <c r="M285" s="2" t="s">
        <v>2978</v>
      </c>
      <c r="N285" s="3" t="s">
        <v>2979</v>
      </c>
      <c r="O285" s="2" t="s">
        <v>2980</v>
      </c>
      <c r="P285" s="3" t="s">
        <v>140</v>
      </c>
      <c r="R285" s="3" t="s">
        <v>71</v>
      </c>
      <c r="S285" s="4">
        <v>2</v>
      </c>
      <c r="T285" s="4">
        <v>2</v>
      </c>
      <c r="U285" s="5" t="s">
        <v>2981</v>
      </c>
      <c r="V285" s="5" t="s">
        <v>2981</v>
      </c>
      <c r="W285" s="5" t="s">
        <v>72</v>
      </c>
      <c r="X285" s="5" t="s">
        <v>72</v>
      </c>
      <c r="Y285" s="4">
        <v>1</v>
      </c>
      <c r="Z285" s="4">
        <v>1</v>
      </c>
      <c r="AA285" s="4">
        <v>1</v>
      </c>
      <c r="AB285" s="4">
        <v>1</v>
      </c>
      <c r="AC285" s="4">
        <v>1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4">
        <v>0</v>
      </c>
      <c r="AK285" s="4">
        <v>0</v>
      </c>
      <c r="AL285" s="4">
        <v>0</v>
      </c>
      <c r="AM285" s="4">
        <v>0</v>
      </c>
      <c r="AN285" s="4">
        <v>0</v>
      </c>
      <c r="AO285" s="4">
        <v>0</v>
      </c>
      <c r="AP285" s="4">
        <v>0</v>
      </c>
      <c r="AQ285" s="4">
        <v>0</v>
      </c>
      <c r="AR285" s="3" t="s">
        <v>65</v>
      </c>
      <c r="AS285" s="3" t="s">
        <v>65</v>
      </c>
      <c r="AT285" s="3" t="s">
        <v>65</v>
      </c>
      <c r="AV285" s="6" t="str">
        <f>HYPERLINK("http://mcgill.on.worldcat.org/oclc/427233296","Catalog Record")</f>
        <v>Catalog Record</v>
      </c>
      <c r="AW285" s="6" t="str">
        <f>HYPERLINK("http://www.worldcat.org/oclc/427233296","WorldCat Record")</f>
        <v>WorldCat Record</v>
      </c>
      <c r="AX285" s="3" t="s">
        <v>2982</v>
      </c>
      <c r="AY285" s="3" t="s">
        <v>2983</v>
      </c>
      <c r="AZ285" s="3" t="s">
        <v>2984</v>
      </c>
      <c r="BA285" s="3" t="s">
        <v>2984</v>
      </c>
      <c r="BB285" s="3" t="s">
        <v>2987</v>
      </c>
      <c r="BC285" s="3" t="s">
        <v>77</v>
      </c>
      <c r="BD285" s="3" t="s">
        <v>78</v>
      </c>
      <c r="BF285" s="3" t="s">
        <v>2987</v>
      </c>
      <c r="BG285" s="3" t="s">
        <v>2988</v>
      </c>
    </row>
    <row r="286" spans="1:59" ht="58" x14ac:dyDescent="0.35">
      <c r="A286" s="2" t="s">
        <v>59</v>
      </c>
      <c r="B286" s="2" t="s">
        <v>60</v>
      </c>
      <c r="C286" s="2" t="s">
        <v>2989</v>
      </c>
      <c r="D286" s="2" t="s">
        <v>2990</v>
      </c>
      <c r="E286" s="2" t="s">
        <v>2991</v>
      </c>
      <c r="G286" s="3" t="s">
        <v>65</v>
      </c>
      <c r="I286" s="3" t="s">
        <v>65</v>
      </c>
      <c r="J286" s="3" t="s">
        <v>65</v>
      </c>
      <c r="K286" s="3" t="s">
        <v>66</v>
      </c>
      <c r="L286" s="2" t="s">
        <v>2992</v>
      </c>
      <c r="M286" s="2" t="s">
        <v>2993</v>
      </c>
      <c r="N286" s="3" t="s">
        <v>164</v>
      </c>
      <c r="P286" s="3" t="s">
        <v>140</v>
      </c>
      <c r="Q286" s="2" t="s">
        <v>2994</v>
      </c>
      <c r="R286" s="3" t="s">
        <v>71</v>
      </c>
      <c r="S286" s="4">
        <v>0</v>
      </c>
      <c r="T286" s="4">
        <v>0</v>
      </c>
      <c r="W286" s="5" t="s">
        <v>72</v>
      </c>
      <c r="X286" s="5" t="s">
        <v>72</v>
      </c>
      <c r="Y286" s="4">
        <v>22</v>
      </c>
      <c r="Z286" s="4">
        <v>3</v>
      </c>
      <c r="AA286" s="4">
        <v>3</v>
      </c>
      <c r="AB286" s="4">
        <v>1</v>
      </c>
      <c r="AC286" s="4">
        <v>1</v>
      </c>
      <c r="AD286" s="4">
        <v>15</v>
      </c>
      <c r="AE286" s="4">
        <v>15</v>
      </c>
      <c r="AF286" s="4">
        <v>0</v>
      </c>
      <c r="AG286" s="4">
        <v>0</v>
      </c>
      <c r="AH286" s="4">
        <v>15</v>
      </c>
      <c r="AI286" s="4">
        <v>15</v>
      </c>
      <c r="AJ286" s="4">
        <v>1</v>
      </c>
      <c r="AK286" s="4">
        <v>1</v>
      </c>
      <c r="AL286" s="4">
        <v>10</v>
      </c>
      <c r="AM286" s="4">
        <v>10</v>
      </c>
      <c r="AN286" s="4">
        <v>0</v>
      </c>
      <c r="AO286" s="4">
        <v>0</v>
      </c>
      <c r="AP286" s="4">
        <v>1</v>
      </c>
      <c r="AQ286" s="4">
        <v>1</v>
      </c>
      <c r="AR286" s="3" t="s">
        <v>65</v>
      </c>
      <c r="AS286" s="3" t="s">
        <v>65</v>
      </c>
      <c r="AT286" s="3" t="s">
        <v>65</v>
      </c>
      <c r="AV286" s="6" t="str">
        <f>HYPERLINK("http://mcgill.on.worldcat.org/oclc/904592945","Catalog Record")</f>
        <v>Catalog Record</v>
      </c>
      <c r="AW286" s="6" t="str">
        <f>HYPERLINK("http://www.worldcat.org/oclc/904592945","WorldCat Record")</f>
        <v>WorldCat Record</v>
      </c>
      <c r="AX286" s="3" t="s">
        <v>2995</v>
      </c>
      <c r="AY286" s="3" t="s">
        <v>2996</v>
      </c>
      <c r="AZ286" s="3" t="s">
        <v>2997</v>
      </c>
      <c r="BA286" s="3" t="s">
        <v>2997</v>
      </c>
      <c r="BB286" s="3" t="s">
        <v>2998</v>
      </c>
      <c r="BC286" s="3" t="s">
        <v>77</v>
      </c>
      <c r="BD286" s="3" t="s">
        <v>78</v>
      </c>
      <c r="BE286" s="3" t="s">
        <v>2999</v>
      </c>
      <c r="BF286" s="3" t="s">
        <v>2998</v>
      </c>
      <c r="BG286" s="3" t="s">
        <v>3000</v>
      </c>
    </row>
    <row r="287" spans="1:59" ht="58" x14ac:dyDescent="0.35">
      <c r="A287" s="2" t="s">
        <v>59</v>
      </c>
      <c r="B287" s="2" t="s">
        <v>60</v>
      </c>
      <c r="C287" s="2" t="s">
        <v>3001</v>
      </c>
      <c r="D287" s="2" t="s">
        <v>3002</v>
      </c>
      <c r="E287" s="2" t="s">
        <v>3003</v>
      </c>
      <c r="G287" s="3" t="s">
        <v>65</v>
      </c>
      <c r="I287" s="3" t="s">
        <v>65</v>
      </c>
      <c r="J287" s="3" t="s">
        <v>65</v>
      </c>
      <c r="K287" s="3" t="s">
        <v>66</v>
      </c>
      <c r="M287" s="2" t="s">
        <v>3004</v>
      </c>
      <c r="N287" s="3" t="s">
        <v>1967</v>
      </c>
      <c r="P287" s="3" t="s">
        <v>140</v>
      </c>
      <c r="Q287" s="2" t="s">
        <v>3005</v>
      </c>
      <c r="R287" s="3" t="s">
        <v>71</v>
      </c>
      <c r="S287" s="4">
        <v>3</v>
      </c>
      <c r="T287" s="4">
        <v>3</v>
      </c>
      <c r="U287" s="5" t="s">
        <v>3006</v>
      </c>
      <c r="V287" s="5" t="s">
        <v>3006</v>
      </c>
      <c r="W287" s="5" t="s">
        <v>72</v>
      </c>
      <c r="X287" s="5" t="s">
        <v>72</v>
      </c>
      <c r="Y287" s="4">
        <v>98</v>
      </c>
      <c r="Z287" s="4">
        <v>8</v>
      </c>
      <c r="AA287" s="4">
        <v>9</v>
      </c>
      <c r="AB287" s="4">
        <v>1</v>
      </c>
      <c r="AC287" s="4">
        <v>2</v>
      </c>
      <c r="AD287" s="4">
        <v>56</v>
      </c>
      <c r="AE287" s="4">
        <v>57</v>
      </c>
      <c r="AF287" s="4">
        <v>0</v>
      </c>
      <c r="AG287" s="4">
        <v>1</v>
      </c>
      <c r="AH287" s="4">
        <v>53</v>
      </c>
      <c r="AI287" s="4">
        <v>54</v>
      </c>
      <c r="AJ287" s="4">
        <v>6</v>
      </c>
      <c r="AK287" s="4">
        <v>7</v>
      </c>
      <c r="AL287" s="4">
        <v>39</v>
      </c>
      <c r="AM287" s="4">
        <v>39</v>
      </c>
      <c r="AN287" s="4">
        <v>0</v>
      </c>
      <c r="AO287" s="4">
        <v>0</v>
      </c>
      <c r="AP287" s="4">
        <v>6</v>
      </c>
      <c r="AQ287" s="4">
        <v>7</v>
      </c>
      <c r="AR287" s="3" t="s">
        <v>65</v>
      </c>
      <c r="AS287" s="3" t="s">
        <v>65</v>
      </c>
      <c r="AT287" s="3" t="s">
        <v>209</v>
      </c>
      <c r="AU287" s="6" t="str">
        <f>HYPERLINK("http://catalog.hathitrust.org/Record/003903611","HathiTrust Record")</f>
        <v>HathiTrust Record</v>
      </c>
      <c r="AV287" s="6" t="str">
        <f>HYPERLINK("http://mcgill.on.worldcat.org/oclc/53476708","Catalog Record")</f>
        <v>Catalog Record</v>
      </c>
      <c r="AW287" s="6" t="str">
        <f>HYPERLINK("http://www.worldcat.org/oclc/53476708","WorldCat Record")</f>
        <v>WorldCat Record</v>
      </c>
      <c r="AX287" s="3" t="s">
        <v>3007</v>
      </c>
      <c r="AY287" s="3" t="s">
        <v>3008</v>
      </c>
      <c r="AZ287" s="3" t="s">
        <v>3009</v>
      </c>
      <c r="BA287" s="3" t="s">
        <v>3009</v>
      </c>
      <c r="BB287" s="3" t="s">
        <v>3010</v>
      </c>
      <c r="BC287" s="3" t="s">
        <v>77</v>
      </c>
      <c r="BD287" s="3" t="s">
        <v>78</v>
      </c>
      <c r="BE287" s="3" t="s">
        <v>3011</v>
      </c>
      <c r="BF287" s="3" t="s">
        <v>3010</v>
      </c>
      <c r="BG287" s="3" t="s">
        <v>3012</v>
      </c>
    </row>
    <row r="288" spans="1:59" ht="58" x14ac:dyDescent="0.35">
      <c r="A288" s="2" t="s">
        <v>59</v>
      </c>
      <c r="B288" s="2" t="s">
        <v>60</v>
      </c>
      <c r="C288" s="2" t="s">
        <v>3013</v>
      </c>
      <c r="D288" s="2" t="s">
        <v>3014</v>
      </c>
      <c r="E288" s="2" t="s">
        <v>3015</v>
      </c>
      <c r="G288" s="3" t="s">
        <v>65</v>
      </c>
      <c r="I288" s="3" t="s">
        <v>65</v>
      </c>
      <c r="J288" s="3" t="s">
        <v>65</v>
      </c>
      <c r="K288" s="3" t="s">
        <v>66</v>
      </c>
      <c r="L288" s="2" t="s">
        <v>3016</v>
      </c>
      <c r="M288" s="2" t="s">
        <v>3017</v>
      </c>
      <c r="N288" s="3" t="s">
        <v>113</v>
      </c>
      <c r="O288" s="2" t="s">
        <v>365</v>
      </c>
      <c r="P288" s="3" t="s">
        <v>140</v>
      </c>
      <c r="Q288" s="2" t="s">
        <v>3018</v>
      </c>
      <c r="R288" s="3" t="s">
        <v>71</v>
      </c>
      <c r="S288" s="4">
        <v>0</v>
      </c>
      <c r="T288" s="4">
        <v>0</v>
      </c>
      <c r="W288" s="5" t="s">
        <v>72</v>
      </c>
      <c r="X288" s="5" t="s">
        <v>72</v>
      </c>
      <c r="Y288" s="4">
        <v>27</v>
      </c>
      <c r="Z288" s="4">
        <v>3</v>
      </c>
      <c r="AA288" s="4">
        <v>3</v>
      </c>
      <c r="AB288" s="4">
        <v>1</v>
      </c>
      <c r="AC288" s="4">
        <v>1</v>
      </c>
      <c r="AD288" s="4">
        <v>19</v>
      </c>
      <c r="AE288" s="4">
        <v>19</v>
      </c>
      <c r="AF288" s="4">
        <v>0</v>
      </c>
      <c r="AG288" s="4">
        <v>0</v>
      </c>
      <c r="AH288" s="4">
        <v>18</v>
      </c>
      <c r="AI288" s="4">
        <v>18</v>
      </c>
      <c r="AJ288" s="4">
        <v>1</v>
      </c>
      <c r="AK288" s="4">
        <v>1</v>
      </c>
      <c r="AL288" s="4">
        <v>15</v>
      </c>
      <c r="AM288" s="4">
        <v>15</v>
      </c>
      <c r="AN288" s="4">
        <v>0</v>
      </c>
      <c r="AO288" s="4">
        <v>0</v>
      </c>
      <c r="AP288" s="4">
        <v>1</v>
      </c>
      <c r="AQ288" s="4">
        <v>1</v>
      </c>
      <c r="AR288" s="3" t="s">
        <v>65</v>
      </c>
      <c r="AS288" s="3" t="s">
        <v>65</v>
      </c>
      <c r="AT288" s="3" t="s">
        <v>65</v>
      </c>
      <c r="AV288" s="6" t="str">
        <f>HYPERLINK("http://mcgill.on.worldcat.org/oclc/631125799","Catalog Record")</f>
        <v>Catalog Record</v>
      </c>
      <c r="AW288" s="6" t="str">
        <f>HYPERLINK("http://www.worldcat.org/oclc/631125799","WorldCat Record")</f>
        <v>WorldCat Record</v>
      </c>
      <c r="AX288" s="3" t="s">
        <v>3019</v>
      </c>
      <c r="AY288" s="3" t="s">
        <v>3020</v>
      </c>
      <c r="AZ288" s="3" t="s">
        <v>3021</v>
      </c>
      <c r="BA288" s="3" t="s">
        <v>3021</v>
      </c>
      <c r="BB288" s="3" t="s">
        <v>3022</v>
      </c>
      <c r="BC288" s="3" t="s">
        <v>77</v>
      </c>
      <c r="BD288" s="3" t="s">
        <v>78</v>
      </c>
      <c r="BE288" s="3" t="s">
        <v>3023</v>
      </c>
      <c r="BF288" s="3" t="s">
        <v>3022</v>
      </c>
      <c r="BG288" s="3" t="s">
        <v>3024</v>
      </c>
    </row>
    <row r="289" spans="1:59" ht="58" x14ac:dyDescent="0.35">
      <c r="A289" s="2" t="s">
        <v>59</v>
      </c>
      <c r="B289" s="2" t="s">
        <v>60</v>
      </c>
      <c r="C289" s="2" t="s">
        <v>3025</v>
      </c>
      <c r="D289" s="2" t="s">
        <v>3026</v>
      </c>
      <c r="E289" s="2" t="s">
        <v>3027</v>
      </c>
      <c r="G289" s="3" t="s">
        <v>65</v>
      </c>
      <c r="I289" s="3" t="s">
        <v>65</v>
      </c>
      <c r="J289" s="3" t="s">
        <v>65</v>
      </c>
      <c r="K289" s="3" t="s">
        <v>66</v>
      </c>
      <c r="L289" s="2" t="s">
        <v>3028</v>
      </c>
      <c r="M289" s="2" t="s">
        <v>3029</v>
      </c>
      <c r="N289" s="3" t="s">
        <v>1944</v>
      </c>
      <c r="P289" s="3" t="s">
        <v>140</v>
      </c>
      <c r="Q289" s="2" t="s">
        <v>3030</v>
      </c>
      <c r="R289" s="3" t="s">
        <v>71</v>
      </c>
      <c r="S289" s="4">
        <v>1</v>
      </c>
      <c r="T289" s="4">
        <v>1</v>
      </c>
      <c r="U289" s="5" t="s">
        <v>3031</v>
      </c>
      <c r="V289" s="5" t="s">
        <v>3031</v>
      </c>
      <c r="W289" s="5" t="s">
        <v>72</v>
      </c>
      <c r="X289" s="5" t="s">
        <v>72</v>
      </c>
      <c r="Y289" s="4">
        <v>35</v>
      </c>
      <c r="Z289" s="4">
        <v>1</v>
      </c>
      <c r="AA289" s="4">
        <v>1</v>
      </c>
      <c r="AB289" s="4">
        <v>1</v>
      </c>
      <c r="AC289" s="4">
        <v>1</v>
      </c>
      <c r="AD289" s="4">
        <v>27</v>
      </c>
      <c r="AE289" s="4">
        <v>27</v>
      </c>
      <c r="AF289" s="4">
        <v>0</v>
      </c>
      <c r="AG289" s="4">
        <v>0</v>
      </c>
      <c r="AH289" s="4">
        <v>26</v>
      </c>
      <c r="AI289" s="4">
        <v>26</v>
      </c>
      <c r="AJ289" s="4">
        <v>0</v>
      </c>
      <c r="AK289" s="4">
        <v>0</v>
      </c>
      <c r="AL289" s="4">
        <v>22</v>
      </c>
      <c r="AM289" s="4">
        <v>22</v>
      </c>
      <c r="AN289" s="4">
        <v>0</v>
      </c>
      <c r="AO289" s="4">
        <v>0</v>
      </c>
      <c r="AP289" s="4">
        <v>0</v>
      </c>
      <c r="AQ289" s="4">
        <v>0</v>
      </c>
      <c r="AR289" s="3" t="s">
        <v>65</v>
      </c>
      <c r="AS289" s="3" t="s">
        <v>65</v>
      </c>
      <c r="AT289" s="3" t="s">
        <v>209</v>
      </c>
      <c r="AU289" s="6" t="str">
        <f>HYPERLINK("http://catalog.hathitrust.org/Record/004131789","HathiTrust Record")</f>
        <v>HathiTrust Record</v>
      </c>
      <c r="AV289" s="6" t="str">
        <f>HYPERLINK("http://mcgill.on.worldcat.org/oclc/44951564","Catalog Record")</f>
        <v>Catalog Record</v>
      </c>
      <c r="AW289" s="6" t="str">
        <f>HYPERLINK("http://www.worldcat.org/oclc/44951564","WorldCat Record")</f>
        <v>WorldCat Record</v>
      </c>
      <c r="AX289" s="3" t="s">
        <v>3032</v>
      </c>
      <c r="AY289" s="3" t="s">
        <v>3033</v>
      </c>
      <c r="AZ289" s="3" t="s">
        <v>3034</v>
      </c>
      <c r="BA289" s="3" t="s">
        <v>3034</v>
      </c>
      <c r="BB289" s="3" t="s">
        <v>3035</v>
      </c>
      <c r="BC289" s="3" t="s">
        <v>77</v>
      </c>
      <c r="BD289" s="3" t="s">
        <v>78</v>
      </c>
      <c r="BE289" s="3" t="s">
        <v>3036</v>
      </c>
      <c r="BF289" s="3" t="s">
        <v>3035</v>
      </c>
      <c r="BG289" s="3" t="s">
        <v>3037</v>
      </c>
    </row>
    <row r="290" spans="1:59" ht="58" x14ac:dyDescent="0.35">
      <c r="A290" s="2" t="s">
        <v>59</v>
      </c>
      <c r="B290" s="2" t="s">
        <v>60</v>
      </c>
      <c r="C290" s="2" t="s">
        <v>3038</v>
      </c>
      <c r="D290" s="2" t="s">
        <v>3039</v>
      </c>
      <c r="E290" s="2" t="s">
        <v>3040</v>
      </c>
      <c r="G290" s="3" t="s">
        <v>65</v>
      </c>
      <c r="I290" s="3" t="s">
        <v>65</v>
      </c>
      <c r="J290" s="3" t="s">
        <v>65</v>
      </c>
      <c r="K290" s="3" t="s">
        <v>66</v>
      </c>
      <c r="L290" s="2" t="s">
        <v>2640</v>
      </c>
      <c r="M290" s="2" t="s">
        <v>653</v>
      </c>
      <c r="N290" s="3" t="s">
        <v>113</v>
      </c>
      <c r="O290" s="2" t="s">
        <v>654</v>
      </c>
      <c r="P290" s="3" t="s">
        <v>140</v>
      </c>
      <c r="Q290" s="2" t="s">
        <v>3041</v>
      </c>
      <c r="R290" s="3" t="s">
        <v>71</v>
      </c>
      <c r="S290" s="4">
        <v>0</v>
      </c>
      <c r="T290" s="4">
        <v>0</v>
      </c>
      <c r="W290" s="5" t="s">
        <v>72</v>
      </c>
      <c r="X290" s="5" t="s">
        <v>72</v>
      </c>
      <c r="Y290" s="4">
        <v>37</v>
      </c>
      <c r="Z290" s="4">
        <v>4</v>
      </c>
      <c r="AA290" s="4">
        <v>4</v>
      </c>
      <c r="AB290" s="4">
        <v>1</v>
      </c>
      <c r="AC290" s="4">
        <v>1</v>
      </c>
      <c r="AD290" s="4">
        <v>25</v>
      </c>
      <c r="AE290" s="4">
        <v>25</v>
      </c>
      <c r="AF290" s="4">
        <v>0</v>
      </c>
      <c r="AG290" s="4">
        <v>0</v>
      </c>
      <c r="AH290" s="4">
        <v>24</v>
      </c>
      <c r="AI290" s="4">
        <v>24</v>
      </c>
      <c r="AJ290" s="4">
        <v>2</v>
      </c>
      <c r="AK290" s="4">
        <v>2</v>
      </c>
      <c r="AL290" s="4">
        <v>16</v>
      </c>
      <c r="AM290" s="4">
        <v>16</v>
      </c>
      <c r="AN290" s="4">
        <v>0</v>
      </c>
      <c r="AO290" s="4">
        <v>0</v>
      </c>
      <c r="AP290" s="4">
        <v>2</v>
      </c>
      <c r="AQ290" s="4">
        <v>2</v>
      </c>
      <c r="AR290" s="3" t="s">
        <v>65</v>
      </c>
      <c r="AS290" s="3" t="s">
        <v>65</v>
      </c>
      <c r="AT290" s="3" t="s">
        <v>65</v>
      </c>
      <c r="AV290" s="6" t="str">
        <f>HYPERLINK("http://mcgill.on.worldcat.org/oclc/650438478","Catalog Record")</f>
        <v>Catalog Record</v>
      </c>
      <c r="AW290" s="6" t="str">
        <f>HYPERLINK("http://www.worldcat.org/oclc/650438478","WorldCat Record")</f>
        <v>WorldCat Record</v>
      </c>
      <c r="AX290" s="3" t="s">
        <v>3042</v>
      </c>
      <c r="AY290" s="3" t="s">
        <v>3043</v>
      </c>
      <c r="AZ290" s="3" t="s">
        <v>3044</v>
      </c>
      <c r="BA290" s="3" t="s">
        <v>3044</v>
      </c>
      <c r="BB290" s="3" t="s">
        <v>3045</v>
      </c>
      <c r="BC290" s="3" t="s">
        <v>77</v>
      </c>
      <c r="BD290" s="3" t="s">
        <v>78</v>
      </c>
      <c r="BE290" s="3" t="s">
        <v>3046</v>
      </c>
      <c r="BF290" s="3" t="s">
        <v>3045</v>
      </c>
      <c r="BG290" s="3" t="s">
        <v>3047</v>
      </c>
    </row>
    <row r="291" spans="1:59" ht="58" x14ac:dyDescent="0.35">
      <c r="A291" s="2" t="s">
        <v>59</v>
      </c>
      <c r="B291" s="2" t="s">
        <v>60</v>
      </c>
      <c r="C291" s="2" t="s">
        <v>3048</v>
      </c>
      <c r="D291" s="2" t="s">
        <v>3049</v>
      </c>
      <c r="E291" s="2" t="s">
        <v>3050</v>
      </c>
      <c r="G291" s="3" t="s">
        <v>65</v>
      </c>
      <c r="I291" s="3" t="s">
        <v>65</v>
      </c>
      <c r="J291" s="3" t="s">
        <v>65</v>
      </c>
      <c r="K291" s="3" t="s">
        <v>66</v>
      </c>
      <c r="L291" s="2" t="s">
        <v>2627</v>
      </c>
      <c r="M291" s="2" t="s">
        <v>3051</v>
      </c>
      <c r="N291" s="3" t="s">
        <v>3052</v>
      </c>
      <c r="P291" s="3" t="s">
        <v>140</v>
      </c>
      <c r="R291" s="3" t="s">
        <v>71</v>
      </c>
      <c r="S291" s="4">
        <v>1</v>
      </c>
      <c r="T291" s="4">
        <v>1</v>
      </c>
      <c r="U291" s="5" t="s">
        <v>3053</v>
      </c>
      <c r="V291" s="5" t="s">
        <v>3053</v>
      </c>
      <c r="W291" s="5" t="s">
        <v>72</v>
      </c>
      <c r="X291" s="5" t="s">
        <v>72</v>
      </c>
      <c r="Y291" s="4">
        <v>91</v>
      </c>
      <c r="Z291" s="4">
        <v>12</v>
      </c>
      <c r="AA291" s="4">
        <v>13</v>
      </c>
      <c r="AB291" s="4">
        <v>1</v>
      </c>
      <c r="AC291" s="4">
        <v>2</v>
      </c>
      <c r="AD291" s="4">
        <v>47</v>
      </c>
      <c r="AE291" s="4">
        <v>48</v>
      </c>
      <c r="AF291" s="4">
        <v>0</v>
      </c>
      <c r="AG291" s="4">
        <v>1</v>
      </c>
      <c r="AH291" s="4">
        <v>43</v>
      </c>
      <c r="AI291" s="4">
        <v>43</v>
      </c>
      <c r="AJ291" s="4">
        <v>7</v>
      </c>
      <c r="AK291" s="4">
        <v>8</v>
      </c>
      <c r="AL291" s="4">
        <v>35</v>
      </c>
      <c r="AM291" s="4">
        <v>35</v>
      </c>
      <c r="AN291" s="4">
        <v>0</v>
      </c>
      <c r="AO291" s="4">
        <v>0</v>
      </c>
      <c r="AP291" s="4">
        <v>7</v>
      </c>
      <c r="AQ291" s="4">
        <v>7</v>
      </c>
      <c r="AR291" s="3" t="s">
        <v>65</v>
      </c>
      <c r="AS291" s="3" t="s">
        <v>65</v>
      </c>
      <c r="AT291" s="3" t="s">
        <v>209</v>
      </c>
      <c r="AU291" s="6" t="str">
        <f>HYPERLINK("http://catalog.hathitrust.org/Record/007342143","HathiTrust Record")</f>
        <v>HathiTrust Record</v>
      </c>
      <c r="AV291" s="6" t="str">
        <f>HYPERLINK("http://mcgill.on.worldcat.org/oclc/581491","Catalog Record")</f>
        <v>Catalog Record</v>
      </c>
      <c r="AW291" s="6" t="str">
        <f>HYPERLINK("http://www.worldcat.org/oclc/581491","WorldCat Record")</f>
        <v>WorldCat Record</v>
      </c>
      <c r="AX291" s="3" t="s">
        <v>3054</v>
      </c>
      <c r="AY291" s="3" t="s">
        <v>3055</v>
      </c>
      <c r="AZ291" s="3" t="s">
        <v>3056</v>
      </c>
      <c r="BA291" s="3" t="s">
        <v>3056</v>
      </c>
      <c r="BB291" s="3" t="s">
        <v>3057</v>
      </c>
      <c r="BC291" s="3" t="s">
        <v>77</v>
      </c>
      <c r="BD291" s="3" t="s">
        <v>78</v>
      </c>
      <c r="BF291" s="3" t="s">
        <v>3057</v>
      </c>
      <c r="BG291" s="3" t="s">
        <v>3058</v>
      </c>
    </row>
    <row r="292" spans="1:59" ht="58" x14ac:dyDescent="0.35">
      <c r="A292" s="2" t="s">
        <v>59</v>
      </c>
      <c r="B292" s="2" t="s">
        <v>60</v>
      </c>
      <c r="C292" s="2" t="s">
        <v>3059</v>
      </c>
      <c r="D292" s="2" t="s">
        <v>3060</v>
      </c>
      <c r="E292" s="2" t="s">
        <v>3061</v>
      </c>
      <c r="G292" s="3" t="s">
        <v>65</v>
      </c>
      <c r="I292" s="3" t="s">
        <v>65</v>
      </c>
      <c r="J292" s="3" t="s">
        <v>65</v>
      </c>
      <c r="K292" s="3" t="s">
        <v>66</v>
      </c>
      <c r="L292" s="2" t="s">
        <v>3062</v>
      </c>
      <c r="M292" s="2" t="s">
        <v>3063</v>
      </c>
      <c r="N292" s="3" t="s">
        <v>176</v>
      </c>
      <c r="O292" s="2" t="s">
        <v>379</v>
      </c>
      <c r="P292" s="3" t="s">
        <v>140</v>
      </c>
      <c r="Q292" s="2" t="s">
        <v>3064</v>
      </c>
      <c r="R292" s="3" t="s">
        <v>71</v>
      </c>
      <c r="S292" s="4">
        <v>1</v>
      </c>
      <c r="T292" s="4">
        <v>1</v>
      </c>
      <c r="U292" s="5" t="s">
        <v>3065</v>
      </c>
      <c r="V292" s="5" t="s">
        <v>3065</v>
      </c>
      <c r="W292" s="5" t="s">
        <v>72</v>
      </c>
      <c r="X292" s="5" t="s">
        <v>72</v>
      </c>
      <c r="Y292" s="4">
        <v>34</v>
      </c>
      <c r="Z292" s="4">
        <v>4</v>
      </c>
      <c r="AA292" s="4">
        <v>4</v>
      </c>
      <c r="AB292" s="4">
        <v>1</v>
      </c>
      <c r="AC292" s="4">
        <v>1</v>
      </c>
      <c r="AD292" s="4">
        <v>24</v>
      </c>
      <c r="AE292" s="4">
        <v>24</v>
      </c>
      <c r="AF292" s="4">
        <v>0</v>
      </c>
      <c r="AG292" s="4">
        <v>0</v>
      </c>
      <c r="AH292" s="4">
        <v>24</v>
      </c>
      <c r="AI292" s="4">
        <v>24</v>
      </c>
      <c r="AJ292" s="4">
        <v>2</v>
      </c>
      <c r="AK292" s="4">
        <v>2</v>
      </c>
      <c r="AL292" s="4">
        <v>17</v>
      </c>
      <c r="AM292" s="4">
        <v>17</v>
      </c>
      <c r="AN292" s="4">
        <v>0</v>
      </c>
      <c r="AO292" s="4">
        <v>0</v>
      </c>
      <c r="AP292" s="4">
        <v>2</v>
      </c>
      <c r="AQ292" s="4">
        <v>2</v>
      </c>
      <c r="AR292" s="3" t="s">
        <v>65</v>
      </c>
      <c r="AS292" s="3" t="s">
        <v>65</v>
      </c>
      <c r="AT292" s="3" t="s">
        <v>65</v>
      </c>
      <c r="AV292" s="6" t="str">
        <f>HYPERLINK("http://mcgill.on.worldcat.org/oclc/913745149","Catalog Record")</f>
        <v>Catalog Record</v>
      </c>
      <c r="AW292" s="6" t="str">
        <f>HYPERLINK("http://www.worldcat.org/oclc/913745149","WorldCat Record")</f>
        <v>WorldCat Record</v>
      </c>
      <c r="AX292" s="3" t="s">
        <v>3066</v>
      </c>
      <c r="AY292" s="3" t="s">
        <v>3067</v>
      </c>
      <c r="AZ292" s="3" t="s">
        <v>3068</v>
      </c>
      <c r="BA292" s="3" t="s">
        <v>3068</v>
      </c>
      <c r="BB292" s="3" t="s">
        <v>3069</v>
      </c>
      <c r="BC292" s="3" t="s">
        <v>77</v>
      </c>
      <c r="BD292" s="3" t="s">
        <v>78</v>
      </c>
      <c r="BE292" s="3" t="s">
        <v>3070</v>
      </c>
      <c r="BF292" s="3" t="s">
        <v>3069</v>
      </c>
      <c r="BG292" s="3" t="s">
        <v>3071</v>
      </c>
    </row>
    <row r="293" spans="1:59" ht="58" x14ac:dyDescent="0.35">
      <c r="A293" s="2" t="s">
        <v>59</v>
      </c>
      <c r="B293" s="2" t="s">
        <v>60</v>
      </c>
      <c r="C293" s="2" t="s">
        <v>3072</v>
      </c>
      <c r="D293" s="2" t="s">
        <v>3073</v>
      </c>
      <c r="E293" s="2" t="s">
        <v>3074</v>
      </c>
      <c r="G293" s="3" t="s">
        <v>65</v>
      </c>
      <c r="I293" s="3" t="s">
        <v>65</v>
      </c>
      <c r="J293" s="3" t="s">
        <v>65</v>
      </c>
      <c r="K293" s="3" t="s">
        <v>66</v>
      </c>
      <c r="L293" s="2" t="s">
        <v>1470</v>
      </c>
      <c r="M293" s="2" t="s">
        <v>3075</v>
      </c>
      <c r="N293" s="3" t="s">
        <v>139</v>
      </c>
      <c r="P293" s="3" t="s">
        <v>140</v>
      </c>
      <c r="Q293" s="2" t="s">
        <v>3076</v>
      </c>
      <c r="R293" s="3" t="s">
        <v>71</v>
      </c>
      <c r="S293" s="4">
        <v>0</v>
      </c>
      <c r="T293" s="4">
        <v>0</v>
      </c>
      <c r="W293" s="5" t="s">
        <v>72</v>
      </c>
      <c r="X293" s="5" t="s">
        <v>72</v>
      </c>
      <c r="Y293" s="4">
        <v>24</v>
      </c>
      <c r="Z293" s="4">
        <v>1</v>
      </c>
      <c r="AA293" s="4">
        <v>1</v>
      </c>
      <c r="AB293" s="4">
        <v>1</v>
      </c>
      <c r="AC293" s="4">
        <v>1</v>
      </c>
      <c r="AD293" s="4">
        <v>17</v>
      </c>
      <c r="AE293" s="4">
        <v>17</v>
      </c>
      <c r="AF293" s="4">
        <v>0</v>
      </c>
      <c r="AG293" s="4">
        <v>0</v>
      </c>
      <c r="AH293" s="4">
        <v>16</v>
      </c>
      <c r="AI293" s="4">
        <v>16</v>
      </c>
      <c r="AJ293" s="4">
        <v>0</v>
      </c>
      <c r="AK293" s="4">
        <v>0</v>
      </c>
      <c r="AL293" s="4">
        <v>12</v>
      </c>
      <c r="AM293" s="4">
        <v>12</v>
      </c>
      <c r="AN293" s="4">
        <v>0</v>
      </c>
      <c r="AO293" s="4">
        <v>0</v>
      </c>
      <c r="AP293" s="4">
        <v>0</v>
      </c>
      <c r="AQ293" s="4">
        <v>0</v>
      </c>
      <c r="AR293" s="3" t="s">
        <v>65</v>
      </c>
      <c r="AS293" s="3" t="s">
        <v>65</v>
      </c>
      <c r="AT293" s="3" t="s">
        <v>65</v>
      </c>
      <c r="AV293" s="6" t="str">
        <f>HYPERLINK("http://mcgill.on.worldcat.org/oclc/785862879","Catalog Record")</f>
        <v>Catalog Record</v>
      </c>
      <c r="AW293" s="6" t="str">
        <f>HYPERLINK("http://www.worldcat.org/oclc/785862879","WorldCat Record")</f>
        <v>WorldCat Record</v>
      </c>
      <c r="AX293" s="3" t="s">
        <v>3077</v>
      </c>
      <c r="AY293" s="3" t="s">
        <v>3078</v>
      </c>
      <c r="AZ293" s="3" t="s">
        <v>3079</v>
      </c>
      <c r="BA293" s="3" t="s">
        <v>3079</v>
      </c>
      <c r="BB293" s="3" t="s">
        <v>3080</v>
      </c>
      <c r="BC293" s="3" t="s">
        <v>77</v>
      </c>
      <c r="BD293" s="3" t="s">
        <v>78</v>
      </c>
      <c r="BE293" s="3" t="s">
        <v>3081</v>
      </c>
      <c r="BF293" s="3" t="s">
        <v>3080</v>
      </c>
      <c r="BG293" s="3" t="s">
        <v>3082</v>
      </c>
    </row>
    <row r="294" spans="1:59" ht="58" x14ac:dyDescent="0.35">
      <c r="A294" s="2" t="s">
        <v>59</v>
      </c>
      <c r="B294" s="2" t="s">
        <v>60</v>
      </c>
      <c r="C294" s="2" t="s">
        <v>3083</v>
      </c>
      <c r="D294" s="2" t="s">
        <v>3084</v>
      </c>
      <c r="E294" s="2" t="s">
        <v>3085</v>
      </c>
      <c r="F294" s="3" t="s">
        <v>490</v>
      </c>
      <c r="G294" s="3" t="s">
        <v>209</v>
      </c>
      <c r="I294" s="3" t="s">
        <v>65</v>
      </c>
      <c r="J294" s="3" t="s">
        <v>65</v>
      </c>
      <c r="K294" s="3" t="s">
        <v>66</v>
      </c>
      <c r="L294" s="2" t="s">
        <v>3086</v>
      </c>
      <c r="M294" s="2" t="s">
        <v>3087</v>
      </c>
      <c r="N294" s="3" t="s">
        <v>3088</v>
      </c>
      <c r="O294" s="2" t="s">
        <v>3089</v>
      </c>
      <c r="P294" s="3" t="s">
        <v>140</v>
      </c>
      <c r="Q294" s="2" t="s">
        <v>3090</v>
      </c>
      <c r="R294" s="3" t="s">
        <v>71</v>
      </c>
      <c r="S294" s="4">
        <v>0</v>
      </c>
      <c r="T294" s="4">
        <v>3</v>
      </c>
      <c r="V294" s="5" t="s">
        <v>3091</v>
      </c>
      <c r="W294" s="5" t="s">
        <v>72</v>
      </c>
      <c r="X294" s="5" t="s">
        <v>72</v>
      </c>
      <c r="Y294" s="4">
        <v>20</v>
      </c>
      <c r="Z294" s="4">
        <v>2</v>
      </c>
      <c r="AA294" s="4">
        <v>15</v>
      </c>
      <c r="AB294" s="4">
        <v>1</v>
      </c>
      <c r="AC294" s="4">
        <v>3</v>
      </c>
      <c r="AD294" s="4">
        <v>12</v>
      </c>
      <c r="AE294" s="4">
        <v>77</v>
      </c>
      <c r="AF294" s="4">
        <v>0</v>
      </c>
      <c r="AG294" s="4">
        <v>2</v>
      </c>
      <c r="AH294" s="4">
        <v>12</v>
      </c>
      <c r="AI294" s="4">
        <v>69</v>
      </c>
      <c r="AJ294" s="4">
        <v>1</v>
      </c>
      <c r="AK294" s="4">
        <v>7</v>
      </c>
      <c r="AL294" s="4">
        <v>8</v>
      </c>
      <c r="AM294" s="4">
        <v>45</v>
      </c>
      <c r="AN294" s="4">
        <v>0</v>
      </c>
      <c r="AO294" s="4">
        <v>0</v>
      </c>
      <c r="AP294" s="4">
        <v>1</v>
      </c>
      <c r="AQ294" s="4">
        <v>9</v>
      </c>
      <c r="AR294" s="3" t="s">
        <v>65</v>
      </c>
      <c r="AS294" s="3" t="s">
        <v>65</v>
      </c>
      <c r="AT294" s="3" t="s">
        <v>65</v>
      </c>
      <c r="AV294" s="6" t="str">
        <f t="shared" ref="AV294:AV299" si="6">HYPERLINK("http://mcgill.on.worldcat.org/oclc/36912281","Catalog Record")</f>
        <v>Catalog Record</v>
      </c>
      <c r="AW294" s="6" t="str">
        <f t="shared" ref="AW294:AW299" si="7">HYPERLINK("http://www.worldcat.org/oclc/36912281","WorldCat Record")</f>
        <v>WorldCat Record</v>
      </c>
      <c r="AX294" s="3" t="s">
        <v>3092</v>
      </c>
      <c r="AY294" s="3" t="s">
        <v>3093</v>
      </c>
      <c r="AZ294" s="3" t="s">
        <v>3094</v>
      </c>
      <c r="BA294" s="3" t="s">
        <v>3094</v>
      </c>
      <c r="BB294" s="3" t="s">
        <v>3095</v>
      </c>
      <c r="BC294" s="3" t="s">
        <v>77</v>
      </c>
      <c r="BD294" s="3" t="s">
        <v>78</v>
      </c>
      <c r="BF294" s="3" t="s">
        <v>3095</v>
      </c>
      <c r="BG294" s="3" t="s">
        <v>3096</v>
      </c>
    </row>
    <row r="295" spans="1:59" ht="58" x14ac:dyDescent="0.35">
      <c r="A295" s="2" t="s">
        <v>59</v>
      </c>
      <c r="B295" s="2" t="s">
        <v>60</v>
      </c>
      <c r="C295" s="2" t="s">
        <v>3083</v>
      </c>
      <c r="D295" s="2" t="s">
        <v>3084</v>
      </c>
      <c r="E295" s="2" t="s">
        <v>3085</v>
      </c>
      <c r="F295" s="3" t="s">
        <v>503</v>
      </c>
      <c r="G295" s="3" t="s">
        <v>209</v>
      </c>
      <c r="I295" s="3" t="s">
        <v>65</v>
      </c>
      <c r="J295" s="3" t="s">
        <v>65</v>
      </c>
      <c r="K295" s="3" t="s">
        <v>66</v>
      </c>
      <c r="L295" s="2" t="s">
        <v>3086</v>
      </c>
      <c r="M295" s="2" t="s">
        <v>3087</v>
      </c>
      <c r="N295" s="3" t="s">
        <v>3088</v>
      </c>
      <c r="O295" s="2" t="s">
        <v>3089</v>
      </c>
      <c r="P295" s="3" t="s">
        <v>140</v>
      </c>
      <c r="Q295" s="2" t="s">
        <v>3090</v>
      </c>
      <c r="R295" s="3" t="s">
        <v>71</v>
      </c>
      <c r="S295" s="4">
        <v>0</v>
      </c>
      <c r="T295" s="4">
        <v>3</v>
      </c>
      <c r="V295" s="5" t="s">
        <v>3091</v>
      </c>
      <c r="W295" s="5" t="s">
        <v>72</v>
      </c>
      <c r="X295" s="5" t="s">
        <v>72</v>
      </c>
      <c r="Y295" s="4">
        <v>20</v>
      </c>
      <c r="Z295" s="4">
        <v>2</v>
      </c>
      <c r="AA295" s="4">
        <v>15</v>
      </c>
      <c r="AB295" s="4">
        <v>1</v>
      </c>
      <c r="AC295" s="4">
        <v>3</v>
      </c>
      <c r="AD295" s="4">
        <v>12</v>
      </c>
      <c r="AE295" s="4">
        <v>77</v>
      </c>
      <c r="AF295" s="4">
        <v>0</v>
      </c>
      <c r="AG295" s="4">
        <v>2</v>
      </c>
      <c r="AH295" s="4">
        <v>12</v>
      </c>
      <c r="AI295" s="4">
        <v>69</v>
      </c>
      <c r="AJ295" s="4">
        <v>1</v>
      </c>
      <c r="AK295" s="4">
        <v>7</v>
      </c>
      <c r="AL295" s="4">
        <v>8</v>
      </c>
      <c r="AM295" s="4">
        <v>45</v>
      </c>
      <c r="AN295" s="4">
        <v>0</v>
      </c>
      <c r="AO295" s="4">
        <v>0</v>
      </c>
      <c r="AP295" s="4">
        <v>1</v>
      </c>
      <c r="AQ295" s="4">
        <v>9</v>
      </c>
      <c r="AR295" s="3" t="s">
        <v>65</v>
      </c>
      <c r="AS295" s="3" t="s">
        <v>65</v>
      </c>
      <c r="AT295" s="3" t="s">
        <v>65</v>
      </c>
      <c r="AV295" s="6" t="str">
        <f t="shared" si="6"/>
        <v>Catalog Record</v>
      </c>
      <c r="AW295" s="6" t="str">
        <f t="shared" si="7"/>
        <v>WorldCat Record</v>
      </c>
      <c r="AX295" s="3" t="s">
        <v>3092</v>
      </c>
      <c r="AY295" s="3" t="s">
        <v>3093</v>
      </c>
      <c r="AZ295" s="3" t="s">
        <v>3094</v>
      </c>
      <c r="BA295" s="3" t="s">
        <v>3094</v>
      </c>
      <c r="BB295" s="3" t="s">
        <v>3097</v>
      </c>
      <c r="BC295" s="3" t="s">
        <v>77</v>
      </c>
      <c r="BD295" s="3" t="s">
        <v>78</v>
      </c>
      <c r="BF295" s="3" t="s">
        <v>3097</v>
      </c>
      <c r="BG295" s="3" t="s">
        <v>3098</v>
      </c>
    </row>
    <row r="296" spans="1:59" ht="58" x14ac:dyDescent="0.35">
      <c r="A296" s="2" t="s">
        <v>59</v>
      </c>
      <c r="B296" s="2" t="s">
        <v>60</v>
      </c>
      <c r="C296" s="2" t="s">
        <v>3083</v>
      </c>
      <c r="D296" s="2" t="s">
        <v>3084</v>
      </c>
      <c r="E296" s="2" t="s">
        <v>3085</v>
      </c>
      <c r="F296" s="3" t="s">
        <v>856</v>
      </c>
      <c r="G296" s="3" t="s">
        <v>209</v>
      </c>
      <c r="I296" s="3" t="s">
        <v>65</v>
      </c>
      <c r="J296" s="3" t="s">
        <v>65</v>
      </c>
      <c r="K296" s="3" t="s">
        <v>66</v>
      </c>
      <c r="L296" s="2" t="s">
        <v>3086</v>
      </c>
      <c r="M296" s="2" t="s">
        <v>3087</v>
      </c>
      <c r="N296" s="3" t="s">
        <v>3088</v>
      </c>
      <c r="O296" s="2" t="s">
        <v>3089</v>
      </c>
      <c r="P296" s="3" t="s">
        <v>140</v>
      </c>
      <c r="Q296" s="2" t="s">
        <v>3090</v>
      </c>
      <c r="R296" s="3" t="s">
        <v>71</v>
      </c>
      <c r="S296" s="4">
        <v>3</v>
      </c>
      <c r="T296" s="4">
        <v>3</v>
      </c>
      <c r="U296" s="5" t="s">
        <v>3091</v>
      </c>
      <c r="V296" s="5" t="s">
        <v>3091</v>
      </c>
      <c r="W296" s="5" t="s">
        <v>72</v>
      </c>
      <c r="X296" s="5" t="s">
        <v>72</v>
      </c>
      <c r="Y296" s="4">
        <v>20</v>
      </c>
      <c r="Z296" s="4">
        <v>2</v>
      </c>
      <c r="AA296" s="4">
        <v>15</v>
      </c>
      <c r="AB296" s="4">
        <v>1</v>
      </c>
      <c r="AC296" s="4">
        <v>3</v>
      </c>
      <c r="AD296" s="4">
        <v>12</v>
      </c>
      <c r="AE296" s="4">
        <v>77</v>
      </c>
      <c r="AF296" s="4">
        <v>0</v>
      </c>
      <c r="AG296" s="4">
        <v>2</v>
      </c>
      <c r="AH296" s="4">
        <v>12</v>
      </c>
      <c r="AI296" s="4">
        <v>69</v>
      </c>
      <c r="AJ296" s="4">
        <v>1</v>
      </c>
      <c r="AK296" s="4">
        <v>7</v>
      </c>
      <c r="AL296" s="4">
        <v>8</v>
      </c>
      <c r="AM296" s="4">
        <v>45</v>
      </c>
      <c r="AN296" s="4">
        <v>0</v>
      </c>
      <c r="AO296" s="4">
        <v>0</v>
      </c>
      <c r="AP296" s="4">
        <v>1</v>
      </c>
      <c r="AQ296" s="4">
        <v>9</v>
      </c>
      <c r="AR296" s="3" t="s">
        <v>65</v>
      </c>
      <c r="AS296" s="3" t="s">
        <v>65</v>
      </c>
      <c r="AT296" s="3" t="s">
        <v>65</v>
      </c>
      <c r="AV296" s="6" t="str">
        <f t="shared" si="6"/>
        <v>Catalog Record</v>
      </c>
      <c r="AW296" s="6" t="str">
        <f t="shared" si="7"/>
        <v>WorldCat Record</v>
      </c>
      <c r="AX296" s="3" t="s">
        <v>3092</v>
      </c>
      <c r="AY296" s="3" t="s">
        <v>3093</v>
      </c>
      <c r="AZ296" s="3" t="s">
        <v>3094</v>
      </c>
      <c r="BA296" s="3" t="s">
        <v>3094</v>
      </c>
      <c r="BB296" s="3" t="s">
        <v>3099</v>
      </c>
      <c r="BC296" s="3" t="s">
        <v>77</v>
      </c>
      <c r="BD296" s="3" t="s">
        <v>78</v>
      </c>
      <c r="BF296" s="3" t="s">
        <v>3099</v>
      </c>
      <c r="BG296" s="3" t="s">
        <v>3100</v>
      </c>
    </row>
    <row r="297" spans="1:59" ht="58" x14ac:dyDescent="0.35">
      <c r="A297" s="2" t="s">
        <v>59</v>
      </c>
      <c r="B297" s="2" t="s">
        <v>60</v>
      </c>
      <c r="C297" s="2" t="s">
        <v>3083</v>
      </c>
      <c r="D297" s="2" t="s">
        <v>3084</v>
      </c>
      <c r="E297" s="2" t="s">
        <v>3085</v>
      </c>
      <c r="F297" s="3" t="s">
        <v>843</v>
      </c>
      <c r="G297" s="3" t="s">
        <v>209</v>
      </c>
      <c r="I297" s="3" t="s">
        <v>65</v>
      </c>
      <c r="J297" s="3" t="s">
        <v>65</v>
      </c>
      <c r="K297" s="3" t="s">
        <v>66</v>
      </c>
      <c r="L297" s="2" t="s">
        <v>3086</v>
      </c>
      <c r="M297" s="2" t="s">
        <v>3087</v>
      </c>
      <c r="N297" s="3" t="s">
        <v>3088</v>
      </c>
      <c r="O297" s="2" t="s">
        <v>3089</v>
      </c>
      <c r="P297" s="3" t="s">
        <v>140</v>
      </c>
      <c r="Q297" s="2" t="s">
        <v>3090</v>
      </c>
      <c r="R297" s="3" t="s">
        <v>71</v>
      </c>
      <c r="S297" s="4">
        <v>0</v>
      </c>
      <c r="T297" s="4">
        <v>3</v>
      </c>
      <c r="V297" s="5" t="s">
        <v>3091</v>
      </c>
      <c r="W297" s="5" t="s">
        <v>72</v>
      </c>
      <c r="X297" s="5" t="s">
        <v>72</v>
      </c>
      <c r="Y297" s="4">
        <v>20</v>
      </c>
      <c r="Z297" s="4">
        <v>2</v>
      </c>
      <c r="AA297" s="4">
        <v>15</v>
      </c>
      <c r="AB297" s="4">
        <v>1</v>
      </c>
      <c r="AC297" s="4">
        <v>3</v>
      </c>
      <c r="AD297" s="4">
        <v>12</v>
      </c>
      <c r="AE297" s="4">
        <v>77</v>
      </c>
      <c r="AF297" s="4">
        <v>0</v>
      </c>
      <c r="AG297" s="4">
        <v>2</v>
      </c>
      <c r="AH297" s="4">
        <v>12</v>
      </c>
      <c r="AI297" s="4">
        <v>69</v>
      </c>
      <c r="AJ297" s="4">
        <v>1</v>
      </c>
      <c r="AK297" s="4">
        <v>7</v>
      </c>
      <c r="AL297" s="4">
        <v>8</v>
      </c>
      <c r="AM297" s="4">
        <v>45</v>
      </c>
      <c r="AN297" s="4">
        <v>0</v>
      </c>
      <c r="AO297" s="4">
        <v>0</v>
      </c>
      <c r="AP297" s="4">
        <v>1</v>
      </c>
      <c r="AQ297" s="4">
        <v>9</v>
      </c>
      <c r="AR297" s="3" t="s">
        <v>65</v>
      </c>
      <c r="AS297" s="3" t="s">
        <v>65</v>
      </c>
      <c r="AT297" s="3" t="s">
        <v>65</v>
      </c>
      <c r="AV297" s="6" t="str">
        <f t="shared" si="6"/>
        <v>Catalog Record</v>
      </c>
      <c r="AW297" s="6" t="str">
        <f t="shared" si="7"/>
        <v>WorldCat Record</v>
      </c>
      <c r="AX297" s="3" t="s">
        <v>3092</v>
      </c>
      <c r="AY297" s="3" t="s">
        <v>3093</v>
      </c>
      <c r="AZ297" s="3" t="s">
        <v>3094</v>
      </c>
      <c r="BA297" s="3" t="s">
        <v>3094</v>
      </c>
      <c r="BB297" s="3" t="s">
        <v>3101</v>
      </c>
      <c r="BC297" s="3" t="s">
        <v>77</v>
      </c>
      <c r="BD297" s="3" t="s">
        <v>78</v>
      </c>
      <c r="BF297" s="3" t="s">
        <v>3101</v>
      </c>
      <c r="BG297" s="3" t="s">
        <v>3102</v>
      </c>
    </row>
    <row r="298" spans="1:59" ht="58" x14ac:dyDescent="0.35">
      <c r="A298" s="2" t="s">
        <v>59</v>
      </c>
      <c r="B298" s="2" t="s">
        <v>60</v>
      </c>
      <c r="C298" s="2" t="s">
        <v>3083</v>
      </c>
      <c r="D298" s="2" t="s">
        <v>3084</v>
      </c>
      <c r="E298" s="2" t="s">
        <v>3085</v>
      </c>
      <c r="F298" s="3" t="s">
        <v>3103</v>
      </c>
      <c r="G298" s="3" t="s">
        <v>209</v>
      </c>
      <c r="I298" s="3" t="s">
        <v>65</v>
      </c>
      <c r="J298" s="3" t="s">
        <v>65</v>
      </c>
      <c r="K298" s="3" t="s">
        <v>66</v>
      </c>
      <c r="L298" s="2" t="s">
        <v>3086</v>
      </c>
      <c r="M298" s="2" t="s">
        <v>3087</v>
      </c>
      <c r="N298" s="3" t="s">
        <v>3088</v>
      </c>
      <c r="O298" s="2" t="s">
        <v>3089</v>
      </c>
      <c r="P298" s="3" t="s">
        <v>140</v>
      </c>
      <c r="Q298" s="2" t="s">
        <v>3090</v>
      </c>
      <c r="R298" s="3" t="s">
        <v>71</v>
      </c>
      <c r="S298" s="4">
        <v>0</v>
      </c>
      <c r="T298" s="4">
        <v>3</v>
      </c>
      <c r="V298" s="5" t="s">
        <v>3091</v>
      </c>
      <c r="W298" s="5" t="s">
        <v>72</v>
      </c>
      <c r="X298" s="5" t="s">
        <v>72</v>
      </c>
      <c r="Y298" s="4">
        <v>20</v>
      </c>
      <c r="Z298" s="4">
        <v>2</v>
      </c>
      <c r="AA298" s="4">
        <v>15</v>
      </c>
      <c r="AB298" s="4">
        <v>1</v>
      </c>
      <c r="AC298" s="4">
        <v>3</v>
      </c>
      <c r="AD298" s="4">
        <v>12</v>
      </c>
      <c r="AE298" s="4">
        <v>77</v>
      </c>
      <c r="AF298" s="4">
        <v>0</v>
      </c>
      <c r="AG298" s="4">
        <v>2</v>
      </c>
      <c r="AH298" s="4">
        <v>12</v>
      </c>
      <c r="AI298" s="4">
        <v>69</v>
      </c>
      <c r="AJ298" s="4">
        <v>1</v>
      </c>
      <c r="AK298" s="4">
        <v>7</v>
      </c>
      <c r="AL298" s="4">
        <v>8</v>
      </c>
      <c r="AM298" s="4">
        <v>45</v>
      </c>
      <c r="AN298" s="4">
        <v>0</v>
      </c>
      <c r="AO298" s="4">
        <v>0</v>
      </c>
      <c r="AP298" s="4">
        <v>1</v>
      </c>
      <c r="AQ298" s="4">
        <v>9</v>
      </c>
      <c r="AR298" s="3" t="s">
        <v>65</v>
      </c>
      <c r="AS298" s="3" t="s">
        <v>65</v>
      </c>
      <c r="AT298" s="3" t="s">
        <v>65</v>
      </c>
      <c r="AV298" s="6" t="str">
        <f t="shared" si="6"/>
        <v>Catalog Record</v>
      </c>
      <c r="AW298" s="6" t="str">
        <f t="shared" si="7"/>
        <v>WorldCat Record</v>
      </c>
      <c r="AX298" s="3" t="s">
        <v>3092</v>
      </c>
      <c r="AY298" s="3" t="s">
        <v>3093</v>
      </c>
      <c r="AZ298" s="3" t="s">
        <v>3094</v>
      </c>
      <c r="BA298" s="3" t="s">
        <v>3094</v>
      </c>
      <c r="BB298" s="3" t="s">
        <v>3104</v>
      </c>
      <c r="BC298" s="3" t="s">
        <v>77</v>
      </c>
      <c r="BD298" s="3" t="s">
        <v>78</v>
      </c>
      <c r="BF298" s="3" t="s">
        <v>3104</v>
      </c>
      <c r="BG298" s="3" t="s">
        <v>3105</v>
      </c>
    </row>
    <row r="299" spans="1:59" ht="58" x14ac:dyDescent="0.35">
      <c r="A299" s="2" t="s">
        <v>59</v>
      </c>
      <c r="B299" s="2" t="s">
        <v>60</v>
      </c>
      <c r="C299" s="2" t="s">
        <v>3083</v>
      </c>
      <c r="D299" s="2" t="s">
        <v>3084</v>
      </c>
      <c r="E299" s="2" t="s">
        <v>3085</v>
      </c>
      <c r="F299" s="3" t="s">
        <v>850</v>
      </c>
      <c r="G299" s="3" t="s">
        <v>209</v>
      </c>
      <c r="I299" s="3" t="s">
        <v>65</v>
      </c>
      <c r="J299" s="3" t="s">
        <v>65</v>
      </c>
      <c r="K299" s="3" t="s">
        <v>66</v>
      </c>
      <c r="L299" s="2" t="s">
        <v>3086</v>
      </c>
      <c r="M299" s="2" t="s">
        <v>3087</v>
      </c>
      <c r="N299" s="3" t="s">
        <v>3088</v>
      </c>
      <c r="O299" s="2" t="s">
        <v>3089</v>
      </c>
      <c r="P299" s="3" t="s">
        <v>140</v>
      </c>
      <c r="Q299" s="2" t="s">
        <v>3090</v>
      </c>
      <c r="R299" s="3" t="s">
        <v>71</v>
      </c>
      <c r="S299" s="4">
        <v>0</v>
      </c>
      <c r="T299" s="4">
        <v>3</v>
      </c>
      <c r="V299" s="5" t="s">
        <v>3091</v>
      </c>
      <c r="W299" s="5" t="s">
        <v>72</v>
      </c>
      <c r="X299" s="5" t="s">
        <v>72</v>
      </c>
      <c r="Y299" s="4">
        <v>20</v>
      </c>
      <c r="Z299" s="4">
        <v>2</v>
      </c>
      <c r="AA299" s="4">
        <v>15</v>
      </c>
      <c r="AB299" s="4">
        <v>1</v>
      </c>
      <c r="AC299" s="4">
        <v>3</v>
      </c>
      <c r="AD299" s="4">
        <v>12</v>
      </c>
      <c r="AE299" s="4">
        <v>77</v>
      </c>
      <c r="AF299" s="4">
        <v>0</v>
      </c>
      <c r="AG299" s="4">
        <v>2</v>
      </c>
      <c r="AH299" s="4">
        <v>12</v>
      </c>
      <c r="AI299" s="4">
        <v>69</v>
      </c>
      <c r="AJ299" s="4">
        <v>1</v>
      </c>
      <c r="AK299" s="4">
        <v>7</v>
      </c>
      <c r="AL299" s="4">
        <v>8</v>
      </c>
      <c r="AM299" s="4">
        <v>45</v>
      </c>
      <c r="AN299" s="4">
        <v>0</v>
      </c>
      <c r="AO299" s="4">
        <v>0</v>
      </c>
      <c r="AP299" s="4">
        <v>1</v>
      </c>
      <c r="AQ299" s="4">
        <v>9</v>
      </c>
      <c r="AR299" s="3" t="s">
        <v>65</v>
      </c>
      <c r="AS299" s="3" t="s">
        <v>65</v>
      </c>
      <c r="AT299" s="3" t="s">
        <v>65</v>
      </c>
      <c r="AV299" s="6" t="str">
        <f t="shared" si="6"/>
        <v>Catalog Record</v>
      </c>
      <c r="AW299" s="6" t="str">
        <f t="shared" si="7"/>
        <v>WorldCat Record</v>
      </c>
      <c r="AX299" s="3" t="s">
        <v>3092</v>
      </c>
      <c r="AY299" s="3" t="s">
        <v>3093</v>
      </c>
      <c r="AZ299" s="3" t="s">
        <v>3094</v>
      </c>
      <c r="BA299" s="3" t="s">
        <v>3094</v>
      </c>
      <c r="BB299" s="3" t="s">
        <v>3106</v>
      </c>
      <c r="BC299" s="3" t="s">
        <v>77</v>
      </c>
      <c r="BD299" s="3" t="s">
        <v>78</v>
      </c>
      <c r="BF299" s="3" t="s">
        <v>3106</v>
      </c>
      <c r="BG299" s="3" t="s">
        <v>3107</v>
      </c>
    </row>
    <row r="300" spans="1:59" ht="58" x14ac:dyDescent="0.35">
      <c r="A300" s="2" t="s">
        <v>59</v>
      </c>
      <c r="B300" s="2" t="s">
        <v>60</v>
      </c>
      <c r="C300" s="2" t="s">
        <v>3108</v>
      </c>
      <c r="D300" s="2" t="s">
        <v>3109</v>
      </c>
      <c r="E300" s="2" t="s">
        <v>3110</v>
      </c>
      <c r="G300" s="3" t="s">
        <v>65</v>
      </c>
      <c r="I300" s="3" t="s">
        <v>65</v>
      </c>
      <c r="J300" s="3" t="s">
        <v>65</v>
      </c>
      <c r="K300" s="3" t="s">
        <v>66</v>
      </c>
      <c r="L300" s="2" t="s">
        <v>3111</v>
      </c>
      <c r="M300" s="2" t="s">
        <v>3112</v>
      </c>
      <c r="N300" s="3" t="s">
        <v>113</v>
      </c>
      <c r="P300" s="3" t="s">
        <v>140</v>
      </c>
      <c r="Q300" s="2" t="s">
        <v>3113</v>
      </c>
      <c r="R300" s="3" t="s">
        <v>71</v>
      </c>
      <c r="S300" s="4">
        <v>0</v>
      </c>
      <c r="T300" s="4">
        <v>0</v>
      </c>
      <c r="W300" s="5" t="s">
        <v>72</v>
      </c>
      <c r="X300" s="5" t="s">
        <v>72</v>
      </c>
      <c r="Y300" s="4">
        <v>23</v>
      </c>
      <c r="Z300" s="4">
        <v>3</v>
      </c>
      <c r="AA300" s="4">
        <v>3</v>
      </c>
      <c r="AB300" s="4">
        <v>1</v>
      </c>
      <c r="AC300" s="4">
        <v>1</v>
      </c>
      <c r="AD300" s="4">
        <v>17</v>
      </c>
      <c r="AE300" s="4">
        <v>17</v>
      </c>
      <c r="AF300" s="4">
        <v>0</v>
      </c>
      <c r="AG300" s="4">
        <v>0</v>
      </c>
      <c r="AH300" s="4">
        <v>17</v>
      </c>
      <c r="AI300" s="4">
        <v>17</v>
      </c>
      <c r="AJ300" s="4">
        <v>1</v>
      </c>
      <c r="AK300" s="4">
        <v>1</v>
      </c>
      <c r="AL300" s="4">
        <v>15</v>
      </c>
      <c r="AM300" s="4">
        <v>15</v>
      </c>
      <c r="AN300" s="4">
        <v>0</v>
      </c>
      <c r="AO300" s="4">
        <v>0</v>
      </c>
      <c r="AP300" s="4">
        <v>1</v>
      </c>
      <c r="AQ300" s="4">
        <v>1</v>
      </c>
      <c r="AR300" s="3" t="s">
        <v>65</v>
      </c>
      <c r="AS300" s="3" t="s">
        <v>65</v>
      </c>
      <c r="AT300" s="3" t="s">
        <v>65</v>
      </c>
      <c r="AV300" s="6" t="str">
        <f>HYPERLINK("http://mcgill.on.worldcat.org/oclc/515403696","Catalog Record")</f>
        <v>Catalog Record</v>
      </c>
      <c r="AW300" s="6" t="str">
        <f>HYPERLINK("http://www.worldcat.org/oclc/515403696","WorldCat Record")</f>
        <v>WorldCat Record</v>
      </c>
      <c r="AX300" s="3" t="s">
        <v>3114</v>
      </c>
      <c r="AY300" s="3" t="s">
        <v>3115</v>
      </c>
      <c r="AZ300" s="3" t="s">
        <v>3116</v>
      </c>
      <c r="BA300" s="3" t="s">
        <v>3116</v>
      </c>
      <c r="BB300" s="3" t="s">
        <v>3117</v>
      </c>
      <c r="BC300" s="3" t="s">
        <v>77</v>
      </c>
      <c r="BD300" s="3" t="s">
        <v>78</v>
      </c>
      <c r="BE300" s="3" t="s">
        <v>3118</v>
      </c>
      <c r="BF300" s="3" t="s">
        <v>3117</v>
      </c>
      <c r="BG300" s="3" t="s">
        <v>3119</v>
      </c>
    </row>
    <row r="301" spans="1:59" ht="58" x14ac:dyDescent="0.35">
      <c r="A301" s="2" t="s">
        <v>59</v>
      </c>
      <c r="B301" s="2" t="s">
        <v>60</v>
      </c>
      <c r="C301" s="2" t="s">
        <v>3120</v>
      </c>
      <c r="D301" s="2" t="s">
        <v>3121</v>
      </c>
      <c r="E301" s="2" t="s">
        <v>3122</v>
      </c>
      <c r="G301" s="3" t="s">
        <v>65</v>
      </c>
      <c r="I301" s="3" t="s">
        <v>65</v>
      </c>
      <c r="J301" s="3" t="s">
        <v>65</v>
      </c>
      <c r="K301" s="3" t="s">
        <v>66</v>
      </c>
      <c r="L301" s="2" t="s">
        <v>3123</v>
      </c>
      <c r="M301" s="2" t="s">
        <v>3124</v>
      </c>
      <c r="N301" s="3" t="s">
        <v>164</v>
      </c>
      <c r="P301" s="3" t="s">
        <v>140</v>
      </c>
      <c r="Q301" s="2" t="s">
        <v>3125</v>
      </c>
      <c r="R301" s="3" t="s">
        <v>71</v>
      </c>
      <c r="S301" s="4">
        <v>0</v>
      </c>
      <c r="T301" s="4">
        <v>0</v>
      </c>
      <c r="W301" s="5" t="s">
        <v>72</v>
      </c>
      <c r="X301" s="5" t="s">
        <v>72</v>
      </c>
      <c r="Y301" s="4">
        <v>26</v>
      </c>
      <c r="Z301" s="4">
        <v>4</v>
      </c>
      <c r="AA301" s="4">
        <v>4</v>
      </c>
      <c r="AB301" s="4">
        <v>1</v>
      </c>
      <c r="AC301" s="4">
        <v>1</v>
      </c>
      <c r="AD301" s="4">
        <v>21</v>
      </c>
      <c r="AE301" s="4">
        <v>21</v>
      </c>
      <c r="AF301" s="4">
        <v>0</v>
      </c>
      <c r="AG301" s="4">
        <v>0</v>
      </c>
      <c r="AH301" s="4">
        <v>21</v>
      </c>
      <c r="AI301" s="4">
        <v>21</v>
      </c>
      <c r="AJ301" s="4">
        <v>2</v>
      </c>
      <c r="AK301" s="4">
        <v>2</v>
      </c>
      <c r="AL301" s="4">
        <v>15</v>
      </c>
      <c r="AM301" s="4">
        <v>15</v>
      </c>
      <c r="AN301" s="4">
        <v>0</v>
      </c>
      <c r="AO301" s="4">
        <v>0</v>
      </c>
      <c r="AP301" s="4">
        <v>2</v>
      </c>
      <c r="AQ301" s="4">
        <v>2</v>
      </c>
      <c r="AR301" s="3" t="s">
        <v>65</v>
      </c>
      <c r="AS301" s="3" t="s">
        <v>65</v>
      </c>
      <c r="AT301" s="3" t="s">
        <v>65</v>
      </c>
      <c r="AV301" s="6" t="str">
        <f>HYPERLINK("http://mcgill.on.worldcat.org/oclc/914471166","Catalog Record")</f>
        <v>Catalog Record</v>
      </c>
      <c r="AW301" s="6" t="str">
        <f>HYPERLINK("http://www.worldcat.org/oclc/914471166","WorldCat Record")</f>
        <v>WorldCat Record</v>
      </c>
      <c r="AX301" s="3" t="s">
        <v>3126</v>
      </c>
      <c r="AY301" s="3" t="s">
        <v>3127</v>
      </c>
      <c r="AZ301" s="3" t="s">
        <v>3128</v>
      </c>
      <c r="BA301" s="3" t="s">
        <v>3128</v>
      </c>
      <c r="BB301" s="3" t="s">
        <v>3129</v>
      </c>
      <c r="BC301" s="3" t="s">
        <v>77</v>
      </c>
      <c r="BD301" s="3" t="s">
        <v>78</v>
      </c>
      <c r="BE301" s="3" t="s">
        <v>3130</v>
      </c>
      <c r="BF301" s="3" t="s">
        <v>3129</v>
      </c>
      <c r="BG301" s="3" t="s">
        <v>3131</v>
      </c>
    </row>
    <row r="302" spans="1:59" ht="58" x14ac:dyDescent="0.35">
      <c r="A302" s="2" t="s">
        <v>59</v>
      </c>
      <c r="B302" s="2" t="s">
        <v>60</v>
      </c>
      <c r="C302" s="2" t="s">
        <v>3132</v>
      </c>
      <c r="D302" s="2" t="s">
        <v>3133</v>
      </c>
      <c r="E302" s="2" t="s">
        <v>3134</v>
      </c>
      <c r="G302" s="3" t="s">
        <v>65</v>
      </c>
      <c r="I302" s="3" t="s">
        <v>65</v>
      </c>
      <c r="J302" s="3" t="s">
        <v>65</v>
      </c>
      <c r="K302" s="3" t="s">
        <v>66</v>
      </c>
      <c r="L302" s="2" t="s">
        <v>3135</v>
      </c>
      <c r="M302" s="2" t="s">
        <v>3136</v>
      </c>
      <c r="N302" s="3" t="s">
        <v>164</v>
      </c>
      <c r="P302" s="3" t="s">
        <v>140</v>
      </c>
      <c r="Q302" s="2" t="s">
        <v>3137</v>
      </c>
      <c r="R302" s="3" t="s">
        <v>71</v>
      </c>
      <c r="S302" s="4">
        <v>0</v>
      </c>
      <c r="T302" s="4">
        <v>0</v>
      </c>
      <c r="W302" s="5" t="s">
        <v>72</v>
      </c>
      <c r="X302" s="5" t="s">
        <v>72</v>
      </c>
      <c r="Y302" s="4">
        <v>28</v>
      </c>
      <c r="Z302" s="4">
        <v>4</v>
      </c>
      <c r="AA302" s="4">
        <v>4</v>
      </c>
      <c r="AB302" s="4">
        <v>1</v>
      </c>
      <c r="AC302" s="4">
        <v>1</v>
      </c>
      <c r="AD302" s="4">
        <v>15</v>
      </c>
      <c r="AE302" s="4">
        <v>15</v>
      </c>
      <c r="AF302" s="4">
        <v>0</v>
      </c>
      <c r="AG302" s="4">
        <v>0</v>
      </c>
      <c r="AH302" s="4">
        <v>14</v>
      </c>
      <c r="AI302" s="4">
        <v>14</v>
      </c>
      <c r="AJ302" s="4">
        <v>2</v>
      </c>
      <c r="AK302" s="4">
        <v>2</v>
      </c>
      <c r="AL302" s="4">
        <v>11</v>
      </c>
      <c r="AM302" s="4">
        <v>11</v>
      </c>
      <c r="AN302" s="4">
        <v>0</v>
      </c>
      <c r="AO302" s="4">
        <v>0</v>
      </c>
      <c r="AP302" s="4">
        <v>2</v>
      </c>
      <c r="AQ302" s="4">
        <v>2</v>
      </c>
      <c r="AR302" s="3" t="s">
        <v>65</v>
      </c>
      <c r="AS302" s="3" t="s">
        <v>65</v>
      </c>
      <c r="AT302" s="3" t="s">
        <v>65</v>
      </c>
      <c r="AV302" s="6" t="str">
        <f>HYPERLINK("http://mcgill.on.worldcat.org/oclc/881499719","Catalog Record")</f>
        <v>Catalog Record</v>
      </c>
      <c r="AW302" s="6" t="str">
        <f>HYPERLINK("http://www.worldcat.org/oclc/881499719","WorldCat Record")</f>
        <v>WorldCat Record</v>
      </c>
      <c r="AX302" s="3" t="s">
        <v>3138</v>
      </c>
      <c r="AY302" s="3" t="s">
        <v>3139</v>
      </c>
      <c r="AZ302" s="3" t="s">
        <v>3140</v>
      </c>
      <c r="BA302" s="3" t="s">
        <v>3140</v>
      </c>
      <c r="BB302" s="3" t="s">
        <v>3141</v>
      </c>
      <c r="BC302" s="3" t="s">
        <v>77</v>
      </c>
      <c r="BD302" s="3" t="s">
        <v>78</v>
      </c>
      <c r="BE302" s="3" t="s">
        <v>3142</v>
      </c>
      <c r="BF302" s="3" t="s">
        <v>3141</v>
      </c>
      <c r="BG302" s="3" t="s">
        <v>3143</v>
      </c>
    </row>
    <row r="303" spans="1:59" ht="58" x14ac:dyDescent="0.35">
      <c r="A303" s="2" t="s">
        <v>59</v>
      </c>
      <c r="B303" s="2" t="s">
        <v>60</v>
      </c>
      <c r="C303" s="2" t="s">
        <v>3144</v>
      </c>
      <c r="D303" s="2" t="s">
        <v>3145</v>
      </c>
      <c r="E303" s="2" t="s">
        <v>3146</v>
      </c>
      <c r="G303" s="3" t="s">
        <v>65</v>
      </c>
      <c r="I303" s="3" t="s">
        <v>65</v>
      </c>
      <c r="J303" s="3" t="s">
        <v>65</v>
      </c>
      <c r="K303" s="3" t="s">
        <v>66</v>
      </c>
      <c r="L303" s="2" t="s">
        <v>3147</v>
      </c>
      <c r="M303" s="2" t="s">
        <v>3148</v>
      </c>
      <c r="N303" s="3" t="s">
        <v>113</v>
      </c>
      <c r="P303" s="3" t="s">
        <v>69</v>
      </c>
      <c r="Q303" s="2" t="s">
        <v>1197</v>
      </c>
      <c r="R303" s="3" t="s">
        <v>71</v>
      </c>
      <c r="S303" s="4">
        <v>2</v>
      </c>
      <c r="T303" s="4">
        <v>2</v>
      </c>
      <c r="U303" s="5" t="s">
        <v>3149</v>
      </c>
      <c r="V303" s="5" t="s">
        <v>3149</v>
      </c>
      <c r="W303" s="5" t="s">
        <v>72</v>
      </c>
      <c r="X303" s="5" t="s">
        <v>72</v>
      </c>
      <c r="Y303" s="4">
        <v>168</v>
      </c>
      <c r="Z303" s="4">
        <v>23</v>
      </c>
      <c r="AA303" s="4">
        <v>115</v>
      </c>
      <c r="AB303" s="4">
        <v>2</v>
      </c>
      <c r="AC303" s="4">
        <v>19</v>
      </c>
      <c r="AD303" s="4">
        <v>90</v>
      </c>
      <c r="AE303" s="4">
        <v>143</v>
      </c>
      <c r="AF303" s="4">
        <v>1</v>
      </c>
      <c r="AG303" s="4">
        <v>8</v>
      </c>
      <c r="AH303" s="4">
        <v>78</v>
      </c>
      <c r="AI303" s="4">
        <v>102</v>
      </c>
      <c r="AJ303" s="4">
        <v>19</v>
      </c>
      <c r="AK303" s="4">
        <v>27</v>
      </c>
      <c r="AL303" s="4">
        <v>46</v>
      </c>
      <c r="AM303" s="4">
        <v>55</v>
      </c>
      <c r="AN303" s="4">
        <v>0</v>
      </c>
      <c r="AO303" s="4">
        <v>0</v>
      </c>
      <c r="AP303" s="4">
        <v>19</v>
      </c>
      <c r="AQ303" s="4">
        <v>50</v>
      </c>
      <c r="AR303" s="3" t="s">
        <v>209</v>
      </c>
      <c r="AS303" s="3" t="s">
        <v>65</v>
      </c>
      <c r="AT303" s="3" t="s">
        <v>65</v>
      </c>
      <c r="AV303" s="6" t="str">
        <f>HYPERLINK("http://mcgill.on.worldcat.org/oclc/466659604","Catalog Record")</f>
        <v>Catalog Record</v>
      </c>
      <c r="AW303" s="6" t="str">
        <f>HYPERLINK("http://www.worldcat.org/oclc/466659604","WorldCat Record")</f>
        <v>WorldCat Record</v>
      </c>
      <c r="AX303" s="3" t="s">
        <v>3150</v>
      </c>
      <c r="AY303" s="3" t="s">
        <v>3151</v>
      </c>
      <c r="AZ303" s="3" t="s">
        <v>3152</v>
      </c>
      <c r="BA303" s="3" t="s">
        <v>3152</v>
      </c>
      <c r="BB303" s="3" t="s">
        <v>3153</v>
      </c>
      <c r="BC303" s="3" t="s">
        <v>77</v>
      </c>
      <c r="BD303" s="3" t="s">
        <v>78</v>
      </c>
      <c r="BE303" s="3" t="s">
        <v>3154</v>
      </c>
      <c r="BF303" s="3" t="s">
        <v>3153</v>
      </c>
      <c r="BG303" s="3" t="s">
        <v>3155</v>
      </c>
    </row>
    <row r="304" spans="1:59" ht="58" x14ac:dyDescent="0.35">
      <c r="A304" s="2" t="s">
        <v>59</v>
      </c>
      <c r="B304" s="2" t="s">
        <v>60</v>
      </c>
      <c r="C304" s="2" t="s">
        <v>3156</v>
      </c>
      <c r="D304" s="2" t="s">
        <v>3157</v>
      </c>
      <c r="E304" s="2" t="s">
        <v>3158</v>
      </c>
      <c r="G304" s="3" t="s">
        <v>65</v>
      </c>
      <c r="I304" s="3" t="s">
        <v>65</v>
      </c>
      <c r="J304" s="3" t="s">
        <v>65</v>
      </c>
      <c r="K304" s="3" t="s">
        <v>66</v>
      </c>
      <c r="L304" s="2" t="s">
        <v>3159</v>
      </c>
      <c r="M304" s="2" t="s">
        <v>3160</v>
      </c>
      <c r="N304" s="3" t="s">
        <v>139</v>
      </c>
      <c r="O304" s="2" t="s">
        <v>339</v>
      </c>
      <c r="P304" s="3" t="s">
        <v>140</v>
      </c>
      <c r="Q304" s="2" t="s">
        <v>3161</v>
      </c>
      <c r="R304" s="3" t="s">
        <v>71</v>
      </c>
      <c r="S304" s="4">
        <v>2</v>
      </c>
      <c r="T304" s="4">
        <v>2</v>
      </c>
      <c r="U304" s="5" t="s">
        <v>3162</v>
      </c>
      <c r="V304" s="5" t="s">
        <v>3162</v>
      </c>
      <c r="W304" s="5" t="s">
        <v>72</v>
      </c>
      <c r="X304" s="5" t="s">
        <v>72</v>
      </c>
      <c r="Y304" s="4">
        <v>49</v>
      </c>
      <c r="Z304" s="4">
        <v>4</v>
      </c>
      <c r="AA304" s="4">
        <v>4</v>
      </c>
      <c r="AB304" s="4">
        <v>1</v>
      </c>
      <c r="AC304" s="4">
        <v>1</v>
      </c>
      <c r="AD304" s="4">
        <v>34</v>
      </c>
      <c r="AE304" s="4">
        <v>34</v>
      </c>
      <c r="AF304" s="4">
        <v>0</v>
      </c>
      <c r="AG304" s="4">
        <v>0</v>
      </c>
      <c r="AH304" s="4">
        <v>32</v>
      </c>
      <c r="AI304" s="4">
        <v>32</v>
      </c>
      <c r="AJ304" s="4">
        <v>2</v>
      </c>
      <c r="AK304" s="4">
        <v>2</v>
      </c>
      <c r="AL304" s="4">
        <v>27</v>
      </c>
      <c r="AM304" s="4">
        <v>27</v>
      </c>
      <c r="AN304" s="4">
        <v>0</v>
      </c>
      <c r="AO304" s="4">
        <v>0</v>
      </c>
      <c r="AP304" s="4">
        <v>2</v>
      </c>
      <c r="AQ304" s="4">
        <v>2</v>
      </c>
      <c r="AR304" s="3" t="s">
        <v>65</v>
      </c>
      <c r="AS304" s="3" t="s">
        <v>65</v>
      </c>
      <c r="AT304" s="3" t="s">
        <v>65</v>
      </c>
      <c r="AV304" s="6" t="str">
        <f>HYPERLINK("http://mcgill.on.worldcat.org/oclc/815378711","Catalog Record")</f>
        <v>Catalog Record</v>
      </c>
      <c r="AW304" s="6" t="str">
        <f>HYPERLINK("http://www.worldcat.org/oclc/815378711","WorldCat Record")</f>
        <v>WorldCat Record</v>
      </c>
      <c r="AX304" s="3" t="s">
        <v>3163</v>
      </c>
      <c r="AY304" s="3" t="s">
        <v>3164</v>
      </c>
      <c r="AZ304" s="3" t="s">
        <v>3165</v>
      </c>
      <c r="BA304" s="3" t="s">
        <v>3165</v>
      </c>
      <c r="BB304" s="3" t="s">
        <v>3166</v>
      </c>
      <c r="BC304" s="3" t="s">
        <v>77</v>
      </c>
      <c r="BD304" s="3" t="s">
        <v>78</v>
      </c>
      <c r="BE304" s="3" t="s">
        <v>3167</v>
      </c>
      <c r="BF304" s="3" t="s">
        <v>3166</v>
      </c>
      <c r="BG304" s="3" t="s">
        <v>3168</v>
      </c>
    </row>
    <row r="305" spans="1:59" ht="58" x14ac:dyDescent="0.35">
      <c r="A305" s="2" t="s">
        <v>59</v>
      </c>
      <c r="B305" s="2" t="s">
        <v>60</v>
      </c>
      <c r="C305" s="2" t="s">
        <v>3169</v>
      </c>
      <c r="D305" s="2" t="s">
        <v>3170</v>
      </c>
      <c r="E305" s="2" t="s">
        <v>3171</v>
      </c>
      <c r="G305" s="3" t="s">
        <v>65</v>
      </c>
      <c r="I305" s="3" t="s">
        <v>65</v>
      </c>
      <c r="J305" s="3" t="s">
        <v>65</v>
      </c>
      <c r="K305" s="3" t="s">
        <v>66</v>
      </c>
      <c r="L305" s="2" t="s">
        <v>3172</v>
      </c>
      <c r="M305" s="2" t="s">
        <v>3173</v>
      </c>
      <c r="N305" s="3" t="s">
        <v>126</v>
      </c>
      <c r="O305" s="2" t="s">
        <v>654</v>
      </c>
      <c r="P305" s="3" t="s">
        <v>140</v>
      </c>
      <c r="Q305" s="2" t="s">
        <v>3174</v>
      </c>
      <c r="R305" s="3" t="s">
        <v>71</v>
      </c>
      <c r="S305" s="4">
        <v>0</v>
      </c>
      <c r="T305" s="4">
        <v>0</v>
      </c>
      <c r="W305" s="5" t="s">
        <v>72</v>
      </c>
      <c r="X305" s="5" t="s">
        <v>72</v>
      </c>
      <c r="Y305" s="4">
        <v>27</v>
      </c>
      <c r="Z305" s="4">
        <v>3</v>
      </c>
      <c r="AA305" s="4">
        <v>3</v>
      </c>
      <c r="AB305" s="4">
        <v>1</v>
      </c>
      <c r="AC305" s="4">
        <v>1</v>
      </c>
      <c r="AD305" s="4">
        <v>19</v>
      </c>
      <c r="AE305" s="4">
        <v>19</v>
      </c>
      <c r="AF305" s="4">
        <v>0</v>
      </c>
      <c r="AG305" s="4">
        <v>0</v>
      </c>
      <c r="AH305" s="4">
        <v>18</v>
      </c>
      <c r="AI305" s="4">
        <v>18</v>
      </c>
      <c r="AJ305" s="4">
        <v>1</v>
      </c>
      <c r="AK305" s="4">
        <v>1</v>
      </c>
      <c r="AL305" s="4">
        <v>15</v>
      </c>
      <c r="AM305" s="4">
        <v>15</v>
      </c>
      <c r="AN305" s="4">
        <v>0</v>
      </c>
      <c r="AO305" s="4">
        <v>0</v>
      </c>
      <c r="AP305" s="4">
        <v>1</v>
      </c>
      <c r="AQ305" s="4">
        <v>1</v>
      </c>
      <c r="AR305" s="3" t="s">
        <v>65</v>
      </c>
      <c r="AS305" s="3" t="s">
        <v>65</v>
      </c>
      <c r="AT305" s="3" t="s">
        <v>65</v>
      </c>
      <c r="AV305" s="6" t="str">
        <f>HYPERLINK("http://mcgill.on.worldcat.org/oclc/730396214","Catalog Record")</f>
        <v>Catalog Record</v>
      </c>
      <c r="AW305" s="6" t="str">
        <f>HYPERLINK("http://www.worldcat.org/oclc/730396214","WorldCat Record")</f>
        <v>WorldCat Record</v>
      </c>
      <c r="AX305" s="3" t="s">
        <v>3175</v>
      </c>
      <c r="AY305" s="3" t="s">
        <v>3176</v>
      </c>
      <c r="AZ305" s="3" t="s">
        <v>3177</v>
      </c>
      <c r="BA305" s="3" t="s">
        <v>3177</v>
      </c>
      <c r="BB305" s="3" t="s">
        <v>3178</v>
      </c>
      <c r="BC305" s="3" t="s">
        <v>77</v>
      </c>
      <c r="BD305" s="3" t="s">
        <v>78</v>
      </c>
      <c r="BE305" s="3" t="s">
        <v>3179</v>
      </c>
      <c r="BF305" s="3" t="s">
        <v>3178</v>
      </c>
      <c r="BG305" s="3" t="s">
        <v>3180</v>
      </c>
    </row>
    <row r="306" spans="1:59" ht="58" x14ac:dyDescent="0.35">
      <c r="A306" s="2" t="s">
        <v>59</v>
      </c>
      <c r="B306" s="2" t="s">
        <v>60</v>
      </c>
      <c r="C306" s="2" t="s">
        <v>3181</v>
      </c>
      <c r="D306" s="2" t="s">
        <v>3182</v>
      </c>
      <c r="E306" s="2" t="s">
        <v>3183</v>
      </c>
      <c r="G306" s="3" t="s">
        <v>65</v>
      </c>
      <c r="I306" s="3" t="s">
        <v>65</v>
      </c>
      <c r="J306" s="3" t="s">
        <v>65</v>
      </c>
      <c r="K306" s="3" t="s">
        <v>66</v>
      </c>
      <c r="L306" s="2" t="s">
        <v>3184</v>
      </c>
      <c r="M306" s="2" t="s">
        <v>3185</v>
      </c>
      <c r="N306" s="3" t="s">
        <v>176</v>
      </c>
      <c r="P306" s="3" t="s">
        <v>140</v>
      </c>
      <c r="Q306" s="2" t="s">
        <v>3186</v>
      </c>
      <c r="R306" s="3" t="s">
        <v>71</v>
      </c>
      <c r="S306" s="4">
        <v>1</v>
      </c>
      <c r="T306" s="4">
        <v>1</v>
      </c>
      <c r="U306" s="5" t="s">
        <v>3187</v>
      </c>
      <c r="V306" s="5" t="s">
        <v>3187</v>
      </c>
      <c r="W306" s="5" t="s">
        <v>72</v>
      </c>
      <c r="X306" s="5" t="s">
        <v>72</v>
      </c>
      <c r="Y306" s="4">
        <v>22</v>
      </c>
      <c r="Z306" s="4">
        <v>5</v>
      </c>
      <c r="AA306" s="4">
        <v>5</v>
      </c>
      <c r="AB306" s="4">
        <v>1</v>
      </c>
      <c r="AC306" s="4">
        <v>1</v>
      </c>
      <c r="AD306" s="4">
        <v>12</v>
      </c>
      <c r="AE306" s="4">
        <v>12</v>
      </c>
      <c r="AF306" s="4">
        <v>0</v>
      </c>
      <c r="AG306" s="4">
        <v>0</v>
      </c>
      <c r="AH306" s="4">
        <v>10</v>
      </c>
      <c r="AI306" s="4">
        <v>10</v>
      </c>
      <c r="AJ306" s="4">
        <v>3</v>
      </c>
      <c r="AK306" s="4">
        <v>3</v>
      </c>
      <c r="AL306" s="4">
        <v>8</v>
      </c>
      <c r="AM306" s="4">
        <v>8</v>
      </c>
      <c r="AN306" s="4">
        <v>0</v>
      </c>
      <c r="AO306" s="4">
        <v>0</v>
      </c>
      <c r="AP306" s="4">
        <v>3</v>
      </c>
      <c r="AQ306" s="4">
        <v>3</v>
      </c>
      <c r="AR306" s="3" t="s">
        <v>65</v>
      </c>
      <c r="AS306" s="3" t="s">
        <v>65</v>
      </c>
      <c r="AT306" s="3" t="s">
        <v>65</v>
      </c>
      <c r="AV306" s="6" t="str">
        <f>HYPERLINK("http://mcgill.on.worldcat.org/oclc/924160400","Catalog Record")</f>
        <v>Catalog Record</v>
      </c>
      <c r="AW306" s="6" t="str">
        <f>HYPERLINK("http://www.worldcat.org/oclc/924160400","WorldCat Record")</f>
        <v>WorldCat Record</v>
      </c>
      <c r="AX306" s="3" t="s">
        <v>3188</v>
      </c>
      <c r="AY306" s="3" t="s">
        <v>3189</v>
      </c>
      <c r="AZ306" s="3" t="s">
        <v>3190</v>
      </c>
      <c r="BA306" s="3" t="s">
        <v>3190</v>
      </c>
      <c r="BB306" s="3" t="s">
        <v>3191</v>
      </c>
      <c r="BC306" s="3" t="s">
        <v>77</v>
      </c>
      <c r="BD306" s="3" t="s">
        <v>78</v>
      </c>
      <c r="BE306" s="3" t="s">
        <v>3192</v>
      </c>
      <c r="BF306" s="3" t="s">
        <v>3191</v>
      </c>
      <c r="BG306" s="3" t="s">
        <v>3193</v>
      </c>
    </row>
    <row r="307" spans="1:59" ht="58" x14ac:dyDescent="0.35">
      <c r="A307" s="2" t="s">
        <v>59</v>
      </c>
      <c r="B307" s="2" t="s">
        <v>60</v>
      </c>
      <c r="C307" s="2" t="s">
        <v>3194</v>
      </c>
      <c r="D307" s="2" t="s">
        <v>3195</v>
      </c>
      <c r="E307" s="2" t="s">
        <v>3196</v>
      </c>
      <c r="G307" s="3" t="s">
        <v>65</v>
      </c>
      <c r="I307" s="3" t="s">
        <v>65</v>
      </c>
      <c r="J307" s="3" t="s">
        <v>65</v>
      </c>
      <c r="K307" s="3" t="s">
        <v>66</v>
      </c>
      <c r="L307" s="2" t="s">
        <v>3197</v>
      </c>
      <c r="M307" s="2" t="s">
        <v>3198</v>
      </c>
      <c r="N307" s="3" t="s">
        <v>552</v>
      </c>
      <c r="P307" s="3" t="s">
        <v>140</v>
      </c>
      <c r="Q307" s="2" t="s">
        <v>3199</v>
      </c>
      <c r="R307" s="3" t="s">
        <v>71</v>
      </c>
      <c r="S307" s="4">
        <v>2</v>
      </c>
      <c r="T307" s="4">
        <v>2</v>
      </c>
      <c r="U307" s="5" t="s">
        <v>3200</v>
      </c>
      <c r="V307" s="5" t="s">
        <v>3200</v>
      </c>
      <c r="W307" s="5" t="s">
        <v>72</v>
      </c>
      <c r="X307" s="5" t="s">
        <v>72</v>
      </c>
      <c r="Y307" s="4">
        <v>95</v>
      </c>
      <c r="Z307" s="4">
        <v>5</v>
      </c>
      <c r="AA307" s="4">
        <v>6</v>
      </c>
      <c r="AB307" s="4">
        <v>1</v>
      </c>
      <c r="AC307" s="4">
        <v>2</v>
      </c>
      <c r="AD307" s="4">
        <v>43</v>
      </c>
      <c r="AE307" s="4">
        <v>44</v>
      </c>
      <c r="AF307" s="4">
        <v>0</v>
      </c>
      <c r="AG307" s="4">
        <v>1</v>
      </c>
      <c r="AH307" s="4">
        <v>41</v>
      </c>
      <c r="AI307" s="4">
        <v>41</v>
      </c>
      <c r="AJ307" s="4">
        <v>2</v>
      </c>
      <c r="AK307" s="4">
        <v>3</v>
      </c>
      <c r="AL307" s="4">
        <v>34</v>
      </c>
      <c r="AM307" s="4">
        <v>34</v>
      </c>
      <c r="AN307" s="4">
        <v>0</v>
      </c>
      <c r="AO307" s="4">
        <v>0</v>
      </c>
      <c r="AP307" s="4">
        <v>2</v>
      </c>
      <c r="AQ307" s="4">
        <v>2</v>
      </c>
      <c r="AR307" s="3" t="s">
        <v>65</v>
      </c>
      <c r="AS307" s="3" t="s">
        <v>65</v>
      </c>
      <c r="AT307" s="3" t="s">
        <v>209</v>
      </c>
      <c r="AU307" s="6" t="str">
        <f>HYPERLINK("http://catalog.hathitrust.org/Record/003942723","HathiTrust Record")</f>
        <v>HathiTrust Record</v>
      </c>
      <c r="AV307" s="6" t="str">
        <f>HYPERLINK("http://mcgill.on.worldcat.org/oclc/37269923","Catalog Record")</f>
        <v>Catalog Record</v>
      </c>
      <c r="AW307" s="6" t="str">
        <f>HYPERLINK("http://www.worldcat.org/oclc/37269923","WorldCat Record")</f>
        <v>WorldCat Record</v>
      </c>
      <c r="AX307" s="3" t="s">
        <v>3201</v>
      </c>
      <c r="AY307" s="3" t="s">
        <v>3202</v>
      </c>
      <c r="AZ307" s="3" t="s">
        <v>3203</v>
      </c>
      <c r="BA307" s="3" t="s">
        <v>3203</v>
      </c>
      <c r="BB307" s="3" t="s">
        <v>3204</v>
      </c>
      <c r="BC307" s="3" t="s">
        <v>77</v>
      </c>
      <c r="BD307" s="3" t="s">
        <v>78</v>
      </c>
      <c r="BE307" s="3" t="s">
        <v>3205</v>
      </c>
      <c r="BF307" s="3" t="s">
        <v>3204</v>
      </c>
      <c r="BG307" s="3" t="s">
        <v>3206</v>
      </c>
    </row>
    <row r="308" spans="1:59" ht="58" x14ac:dyDescent="0.35">
      <c r="A308" s="2" t="s">
        <v>59</v>
      </c>
      <c r="B308" s="2" t="s">
        <v>60</v>
      </c>
      <c r="C308" s="2" t="s">
        <v>3207</v>
      </c>
      <c r="D308" s="2" t="s">
        <v>3208</v>
      </c>
      <c r="E308" s="2" t="s">
        <v>3209</v>
      </c>
      <c r="G308" s="3" t="s">
        <v>65</v>
      </c>
      <c r="I308" s="3" t="s">
        <v>65</v>
      </c>
      <c r="J308" s="3" t="s">
        <v>65</v>
      </c>
      <c r="K308" s="3" t="s">
        <v>66</v>
      </c>
      <c r="L308" s="2" t="s">
        <v>3210</v>
      </c>
      <c r="M308" s="2" t="s">
        <v>3211</v>
      </c>
      <c r="N308" s="3" t="s">
        <v>176</v>
      </c>
      <c r="P308" s="3" t="s">
        <v>140</v>
      </c>
      <c r="Q308" s="2" t="s">
        <v>3212</v>
      </c>
      <c r="R308" s="3" t="s">
        <v>71</v>
      </c>
      <c r="S308" s="4">
        <v>0</v>
      </c>
      <c r="T308" s="4">
        <v>0</v>
      </c>
      <c r="W308" s="5" t="s">
        <v>72</v>
      </c>
      <c r="X308" s="5" t="s">
        <v>72</v>
      </c>
      <c r="Y308" s="4">
        <v>34</v>
      </c>
      <c r="Z308" s="4">
        <v>3</v>
      </c>
      <c r="AA308" s="4">
        <v>3</v>
      </c>
      <c r="AB308" s="4">
        <v>1</v>
      </c>
      <c r="AC308" s="4">
        <v>1</v>
      </c>
      <c r="AD308" s="4">
        <v>25</v>
      </c>
      <c r="AE308" s="4">
        <v>25</v>
      </c>
      <c r="AF308" s="4">
        <v>0</v>
      </c>
      <c r="AG308" s="4">
        <v>0</v>
      </c>
      <c r="AH308" s="4">
        <v>24</v>
      </c>
      <c r="AI308" s="4">
        <v>24</v>
      </c>
      <c r="AJ308" s="4">
        <v>1</v>
      </c>
      <c r="AK308" s="4">
        <v>1</v>
      </c>
      <c r="AL308" s="4">
        <v>20</v>
      </c>
      <c r="AM308" s="4">
        <v>20</v>
      </c>
      <c r="AN308" s="4">
        <v>0</v>
      </c>
      <c r="AO308" s="4">
        <v>0</v>
      </c>
      <c r="AP308" s="4">
        <v>1</v>
      </c>
      <c r="AQ308" s="4">
        <v>1</v>
      </c>
      <c r="AR308" s="3" t="s">
        <v>65</v>
      </c>
      <c r="AS308" s="3" t="s">
        <v>65</v>
      </c>
      <c r="AT308" s="3" t="s">
        <v>65</v>
      </c>
      <c r="AV308" s="6" t="str">
        <f>HYPERLINK("http://mcgill.on.worldcat.org/oclc/907638924","Catalog Record")</f>
        <v>Catalog Record</v>
      </c>
      <c r="AW308" s="6" t="str">
        <f>HYPERLINK("http://www.worldcat.org/oclc/907638924","WorldCat Record")</f>
        <v>WorldCat Record</v>
      </c>
      <c r="AX308" s="3" t="s">
        <v>3213</v>
      </c>
      <c r="AY308" s="3" t="s">
        <v>3214</v>
      </c>
      <c r="AZ308" s="3" t="s">
        <v>3215</v>
      </c>
      <c r="BA308" s="3" t="s">
        <v>3215</v>
      </c>
      <c r="BB308" s="3" t="s">
        <v>3216</v>
      </c>
      <c r="BC308" s="3" t="s">
        <v>77</v>
      </c>
      <c r="BD308" s="3" t="s">
        <v>78</v>
      </c>
      <c r="BE308" s="3" t="s">
        <v>3217</v>
      </c>
      <c r="BF308" s="3" t="s">
        <v>3216</v>
      </c>
      <c r="BG308" s="3" t="s">
        <v>3218</v>
      </c>
    </row>
    <row r="309" spans="1:59" ht="58" x14ac:dyDescent="0.35">
      <c r="A309" s="2" t="s">
        <v>59</v>
      </c>
      <c r="B309" s="2" t="s">
        <v>60</v>
      </c>
      <c r="C309" s="2" t="s">
        <v>3219</v>
      </c>
      <c r="D309" s="2" t="s">
        <v>3220</v>
      </c>
      <c r="E309" s="2" t="s">
        <v>3221</v>
      </c>
      <c r="G309" s="3" t="s">
        <v>65</v>
      </c>
      <c r="I309" s="3" t="s">
        <v>65</v>
      </c>
      <c r="J309" s="3" t="s">
        <v>65</v>
      </c>
      <c r="K309" s="3" t="s">
        <v>66</v>
      </c>
      <c r="L309" s="2" t="s">
        <v>3222</v>
      </c>
      <c r="M309" s="2" t="s">
        <v>403</v>
      </c>
      <c r="N309" s="3" t="s">
        <v>139</v>
      </c>
      <c r="P309" s="3" t="s">
        <v>140</v>
      </c>
      <c r="Q309" s="2" t="s">
        <v>3223</v>
      </c>
      <c r="R309" s="3" t="s">
        <v>71</v>
      </c>
      <c r="S309" s="4">
        <v>0</v>
      </c>
      <c r="T309" s="4">
        <v>0</v>
      </c>
      <c r="W309" s="5" t="s">
        <v>72</v>
      </c>
      <c r="X309" s="5" t="s">
        <v>72</v>
      </c>
      <c r="Y309" s="4">
        <v>39</v>
      </c>
      <c r="Z309" s="4">
        <v>3</v>
      </c>
      <c r="AA309" s="4">
        <v>3</v>
      </c>
      <c r="AB309" s="4">
        <v>1</v>
      </c>
      <c r="AC309" s="4">
        <v>1</v>
      </c>
      <c r="AD309" s="4">
        <v>24</v>
      </c>
      <c r="AE309" s="4">
        <v>24</v>
      </c>
      <c r="AF309" s="4">
        <v>0</v>
      </c>
      <c r="AG309" s="4">
        <v>0</v>
      </c>
      <c r="AH309" s="4">
        <v>23</v>
      </c>
      <c r="AI309" s="4">
        <v>23</v>
      </c>
      <c r="AJ309" s="4">
        <v>1</v>
      </c>
      <c r="AK309" s="4">
        <v>1</v>
      </c>
      <c r="AL309" s="4">
        <v>20</v>
      </c>
      <c r="AM309" s="4">
        <v>20</v>
      </c>
      <c r="AN309" s="4">
        <v>0</v>
      </c>
      <c r="AO309" s="4">
        <v>0</v>
      </c>
      <c r="AP309" s="4">
        <v>1</v>
      </c>
      <c r="AQ309" s="4">
        <v>1</v>
      </c>
      <c r="AR309" s="3" t="s">
        <v>65</v>
      </c>
      <c r="AS309" s="3" t="s">
        <v>65</v>
      </c>
      <c r="AT309" s="3" t="s">
        <v>65</v>
      </c>
      <c r="AV309" s="6" t="str">
        <f>HYPERLINK("http://mcgill.on.worldcat.org/oclc/794031530","Catalog Record")</f>
        <v>Catalog Record</v>
      </c>
      <c r="AW309" s="6" t="str">
        <f>HYPERLINK("http://www.worldcat.org/oclc/794031530","WorldCat Record")</f>
        <v>WorldCat Record</v>
      </c>
      <c r="AX309" s="3" t="s">
        <v>3224</v>
      </c>
      <c r="AY309" s="3" t="s">
        <v>3225</v>
      </c>
      <c r="AZ309" s="3" t="s">
        <v>3226</v>
      </c>
      <c r="BA309" s="3" t="s">
        <v>3226</v>
      </c>
      <c r="BB309" s="3" t="s">
        <v>3227</v>
      </c>
      <c r="BC309" s="3" t="s">
        <v>77</v>
      </c>
      <c r="BD309" s="3" t="s">
        <v>78</v>
      </c>
      <c r="BE309" s="3" t="s">
        <v>3228</v>
      </c>
      <c r="BF309" s="3" t="s">
        <v>3227</v>
      </c>
      <c r="BG309" s="3" t="s">
        <v>3229</v>
      </c>
    </row>
    <row r="310" spans="1:59" ht="58" x14ac:dyDescent="0.35">
      <c r="A310" s="2" t="s">
        <v>59</v>
      </c>
      <c r="B310" s="2" t="s">
        <v>60</v>
      </c>
      <c r="C310" s="2" t="s">
        <v>3230</v>
      </c>
      <c r="D310" s="2" t="s">
        <v>3231</v>
      </c>
      <c r="E310" s="2" t="s">
        <v>3232</v>
      </c>
      <c r="G310" s="3" t="s">
        <v>65</v>
      </c>
      <c r="I310" s="3" t="s">
        <v>65</v>
      </c>
      <c r="J310" s="3" t="s">
        <v>65</v>
      </c>
      <c r="K310" s="3" t="s">
        <v>66</v>
      </c>
      <c r="L310" s="2" t="s">
        <v>3233</v>
      </c>
      <c r="M310" s="2" t="s">
        <v>3234</v>
      </c>
      <c r="N310" s="3" t="s">
        <v>1085</v>
      </c>
      <c r="P310" s="3" t="s">
        <v>69</v>
      </c>
      <c r="R310" s="3" t="s">
        <v>71</v>
      </c>
      <c r="S310" s="4">
        <v>3</v>
      </c>
      <c r="T310" s="4">
        <v>3</v>
      </c>
      <c r="U310" s="5" t="s">
        <v>3235</v>
      </c>
      <c r="V310" s="5" t="s">
        <v>3235</v>
      </c>
      <c r="W310" s="5" t="s">
        <v>72</v>
      </c>
      <c r="X310" s="5" t="s">
        <v>72</v>
      </c>
      <c r="Y310" s="4">
        <v>177</v>
      </c>
      <c r="Z310" s="4">
        <v>9</v>
      </c>
      <c r="AA310" s="4">
        <v>9</v>
      </c>
      <c r="AB310" s="4">
        <v>1</v>
      </c>
      <c r="AC310" s="4">
        <v>1</v>
      </c>
      <c r="AD310" s="4">
        <v>95</v>
      </c>
      <c r="AE310" s="4">
        <v>95</v>
      </c>
      <c r="AF310" s="4">
        <v>0</v>
      </c>
      <c r="AG310" s="4">
        <v>0</v>
      </c>
      <c r="AH310" s="4">
        <v>92</v>
      </c>
      <c r="AI310" s="4">
        <v>92</v>
      </c>
      <c r="AJ310" s="4">
        <v>7</v>
      </c>
      <c r="AK310" s="4">
        <v>7</v>
      </c>
      <c r="AL310" s="4">
        <v>52</v>
      </c>
      <c r="AM310" s="4">
        <v>52</v>
      </c>
      <c r="AN310" s="4">
        <v>0</v>
      </c>
      <c r="AO310" s="4">
        <v>0</v>
      </c>
      <c r="AP310" s="4">
        <v>7</v>
      </c>
      <c r="AQ310" s="4">
        <v>7</v>
      </c>
      <c r="AR310" s="3" t="s">
        <v>65</v>
      </c>
      <c r="AS310" s="3" t="s">
        <v>65</v>
      </c>
      <c r="AT310" s="3" t="s">
        <v>65</v>
      </c>
      <c r="AV310" s="6" t="str">
        <f>HYPERLINK("http://mcgill.on.worldcat.org/oclc/33440750","Catalog Record")</f>
        <v>Catalog Record</v>
      </c>
      <c r="AW310" s="6" t="str">
        <f>HYPERLINK("http://www.worldcat.org/oclc/33440750","WorldCat Record")</f>
        <v>WorldCat Record</v>
      </c>
      <c r="AX310" s="3" t="s">
        <v>3236</v>
      </c>
      <c r="AY310" s="3" t="s">
        <v>3237</v>
      </c>
      <c r="AZ310" s="3" t="s">
        <v>3238</v>
      </c>
      <c r="BA310" s="3" t="s">
        <v>3238</v>
      </c>
      <c r="BB310" s="3" t="s">
        <v>3239</v>
      </c>
      <c r="BC310" s="3" t="s">
        <v>77</v>
      </c>
      <c r="BD310" s="3" t="s">
        <v>78</v>
      </c>
      <c r="BE310" s="3" t="s">
        <v>3240</v>
      </c>
      <c r="BF310" s="3" t="s">
        <v>3239</v>
      </c>
      <c r="BG310" s="3" t="s">
        <v>3241</v>
      </c>
    </row>
    <row r="311" spans="1:59" ht="58" x14ac:dyDescent="0.35">
      <c r="A311" s="2" t="s">
        <v>59</v>
      </c>
      <c r="B311" s="2" t="s">
        <v>60</v>
      </c>
      <c r="C311" s="2" t="s">
        <v>3242</v>
      </c>
      <c r="D311" s="2" t="s">
        <v>3243</v>
      </c>
      <c r="E311" s="2" t="s">
        <v>3244</v>
      </c>
      <c r="G311" s="3" t="s">
        <v>65</v>
      </c>
      <c r="I311" s="3" t="s">
        <v>65</v>
      </c>
      <c r="J311" s="3" t="s">
        <v>65</v>
      </c>
      <c r="K311" s="3" t="s">
        <v>66</v>
      </c>
      <c r="L311" s="2" t="s">
        <v>3245</v>
      </c>
      <c r="M311" s="2" t="s">
        <v>3246</v>
      </c>
      <c r="N311" s="3" t="s">
        <v>113</v>
      </c>
      <c r="P311" s="3" t="s">
        <v>140</v>
      </c>
      <c r="Q311" s="2" t="s">
        <v>3247</v>
      </c>
      <c r="R311" s="3" t="s">
        <v>71</v>
      </c>
      <c r="S311" s="4">
        <v>0</v>
      </c>
      <c r="T311" s="4">
        <v>0</v>
      </c>
      <c r="W311" s="5" t="s">
        <v>72</v>
      </c>
      <c r="X311" s="5" t="s">
        <v>72</v>
      </c>
      <c r="Y311" s="4">
        <v>39</v>
      </c>
      <c r="Z311" s="4">
        <v>3</v>
      </c>
      <c r="AA311" s="4">
        <v>3</v>
      </c>
      <c r="AB311" s="4">
        <v>1</v>
      </c>
      <c r="AC311" s="4">
        <v>1</v>
      </c>
      <c r="AD311" s="4">
        <v>28</v>
      </c>
      <c r="AE311" s="4">
        <v>28</v>
      </c>
      <c r="AF311" s="4">
        <v>0</v>
      </c>
      <c r="AG311" s="4">
        <v>0</v>
      </c>
      <c r="AH311" s="4">
        <v>27</v>
      </c>
      <c r="AI311" s="4">
        <v>27</v>
      </c>
      <c r="AJ311" s="4">
        <v>1</v>
      </c>
      <c r="AK311" s="4">
        <v>1</v>
      </c>
      <c r="AL311" s="4">
        <v>21</v>
      </c>
      <c r="AM311" s="4">
        <v>21</v>
      </c>
      <c r="AN311" s="4">
        <v>0</v>
      </c>
      <c r="AO311" s="4">
        <v>0</v>
      </c>
      <c r="AP311" s="4">
        <v>1</v>
      </c>
      <c r="AQ311" s="4">
        <v>1</v>
      </c>
      <c r="AR311" s="3" t="s">
        <v>65</v>
      </c>
      <c r="AS311" s="3" t="s">
        <v>65</v>
      </c>
      <c r="AT311" s="3" t="s">
        <v>65</v>
      </c>
      <c r="AV311" s="6" t="str">
        <f>HYPERLINK("http://mcgill.on.worldcat.org/oclc/613309612","Catalog Record")</f>
        <v>Catalog Record</v>
      </c>
      <c r="AW311" s="6" t="str">
        <f>HYPERLINK("http://www.worldcat.org/oclc/613309612","WorldCat Record")</f>
        <v>WorldCat Record</v>
      </c>
      <c r="AX311" s="3" t="s">
        <v>3248</v>
      </c>
      <c r="AY311" s="3" t="s">
        <v>3249</v>
      </c>
      <c r="AZ311" s="3" t="s">
        <v>3250</v>
      </c>
      <c r="BA311" s="3" t="s">
        <v>3250</v>
      </c>
      <c r="BB311" s="3" t="s">
        <v>3251</v>
      </c>
      <c r="BC311" s="3" t="s">
        <v>77</v>
      </c>
      <c r="BD311" s="3" t="s">
        <v>78</v>
      </c>
      <c r="BE311" s="3" t="s">
        <v>3252</v>
      </c>
      <c r="BF311" s="3" t="s">
        <v>3251</v>
      </c>
      <c r="BG311" s="3" t="s">
        <v>3253</v>
      </c>
    </row>
    <row r="312" spans="1:59" ht="58" x14ac:dyDescent="0.35">
      <c r="A312" s="2" t="s">
        <v>59</v>
      </c>
      <c r="B312" s="2" t="s">
        <v>60</v>
      </c>
      <c r="C312" s="2" t="s">
        <v>3254</v>
      </c>
      <c r="D312" s="2" t="s">
        <v>3255</v>
      </c>
      <c r="E312" s="2" t="s">
        <v>3256</v>
      </c>
      <c r="G312" s="3" t="s">
        <v>65</v>
      </c>
      <c r="I312" s="3" t="s">
        <v>65</v>
      </c>
      <c r="J312" s="3" t="s">
        <v>65</v>
      </c>
      <c r="K312" s="3" t="s">
        <v>66</v>
      </c>
      <c r="L312" s="2" t="s">
        <v>3257</v>
      </c>
      <c r="M312" s="2" t="s">
        <v>3258</v>
      </c>
      <c r="N312" s="3" t="s">
        <v>126</v>
      </c>
      <c r="P312" s="3" t="s">
        <v>140</v>
      </c>
      <c r="Q312" s="2" t="s">
        <v>3259</v>
      </c>
      <c r="R312" s="3" t="s">
        <v>71</v>
      </c>
      <c r="S312" s="4">
        <v>0</v>
      </c>
      <c r="T312" s="4">
        <v>0</v>
      </c>
      <c r="W312" s="5" t="s">
        <v>72</v>
      </c>
      <c r="X312" s="5" t="s">
        <v>72</v>
      </c>
      <c r="Y312" s="4">
        <v>29</v>
      </c>
      <c r="Z312" s="4">
        <v>4</v>
      </c>
      <c r="AA312" s="4">
        <v>6</v>
      </c>
      <c r="AB312" s="4">
        <v>1</v>
      </c>
      <c r="AC312" s="4">
        <v>3</v>
      </c>
      <c r="AD312" s="4">
        <v>21</v>
      </c>
      <c r="AE312" s="4">
        <v>22</v>
      </c>
      <c r="AF312" s="4">
        <v>0</v>
      </c>
      <c r="AG312" s="4">
        <v>1</v>
      </c>
      <c r="AH312" s="4">
        <v>20</v>
      </c>
      <c r="AI312" s="4">
        <v>20</v>
      </c>
      <c r="AJ312" s="4">
        <v>1</v>
      </c>
      <c r="AK312" s="4">
        <v>2</v>
      </c>
      <c r="AL312" s="4">
        <v>16</v>
      </c>
      <c r="AM312" s="4">
        <v>16</v>
      </c>
      <c r="AN312" s="4">
        <v>0</v>
      </c>
      <c r="AO312" s="4">
        <v>0</v>
      </c>
      <c r="AP312" s="4">
        <v>1</v>
      </c>
      <c r="AQ312" s="4">
        <v>1</v>
      </c>
      <c r="AR312" s="3" t="s">
        <v>65</v>
      </c>
      <c r="AS312" s="3" t="s">
        <v>65</v>
      </c>
      <c r="AT312" s="3" t="s">
        <v>65</v>
      </c>
      <c r="AV312" s="6" t="str">
        <f>HYPERLINK("http://mcgill.on.worldcat.org/oclc/777474678","Catalog Record")</f>
        <v>Catalog Record</v>
      </c>
      <c r="AW312" s="6" t="str">
        <f>HYPERLINK("http://www.worldcat.org/oclc/777474678","WorldCat Record")</f>
        <v>WorldCat Record</v>
      </c>
      <c r="AX312" s="3" t="s">
        <v>3260</v>
      </c>
      <c r="AY312" s="3" t="s">
        <v>3261</v>
      </c>
      <c r="AZ312" s="3" t="s">
        <v>3262</v>
      </c>
      <c r="BA312" s="3" t="s">
        <v>3262</v>
      </c>
      <c r="BB312" s="3" t="s">
        <v>3263</v>
      </c>
      <c r="BC312" s="3" t="s">
        <v>77</v>
      </c>
      <c r="BD312" s="3" t="s">
        <v>78</v>
      </c>
      <c r="BE312" s="3" t="s">
        <v>3264</v>
      </c>
      <c r="BF312" s="3" t="s">
        <v>3263</v>
      </c>
      <c r="BG312" s="3" t="s">
        <v>3265</v>
      </c>
    </row>
    <row r="313" spans="1:59" ht="58" x14ac:dyDescent="0.35">
      <c r="A313" s="2" t="s">
        <v>59</v>
      </c>
      <c r="B313" s="2" t="s">
        <v>60</v>
      </c>
      <c r="C313" s="2" t="s">
        <v>3266</v>
      </c>
      <c r="D313" s="2" t="s">
        <v>3267</v>
      </c>
      <c r="E313" s="2" t="s">
        <v>3268</v>
      </c>
      <c r="G313" s="3" t="s">
        <v>65</v>
      </c>
      <c r="I313" s="3" t="s">
        <v>65</v>
      </c>
      <c r="J313" s="3" t="s">
        <v>65</v>
      </c>
      <c r="K313" s="3" t="s">
        <v>66</v>
      </c>
      <c r="M313" s="2" t="s">
        <v>3269</v>
      </c>
      <c r="N313" s="3" t="s">
        <v>176</v>
      </c>
      <c r="P313" s="3" t="s">
        <v>69</v>
      </c>
      <c r="Q313" s="2" t="s">
        <v>3270</v>
      </c>
      <c r="R313" s="3" t="s">
        <v>71</v>
      </c>
      <c r="S313" s="4">
        <v>0</v>
      </c>
      <c r="T313" s="4">
        <v>0</v>
      </c>
      <c r="W313" s="5" t="s">
        <v>72</v>
      </c>
      <c r="X313" s="5" t="s">
        <v>72</v>
      </c>
      <c r="Y313" s="4">
        <v>27</v>
      </c>
      <c r="Z313" s="4">
        <v>3</v>
      </c>
      <c r="AA313" s="4">
        <v>3</v>
      </c>
      <c r="AB313" s="4">
        <v>1</v>
      </c>
      <c r="AC313" s="4">
        <v>1</v>
      </c>
      <c r="AD313" s="4">
        <v>19</v>
      </c>
      <c r="AE313" s="4">
        <v>19</v>
      </c>
      <c r="AF313" s="4">
        <v>0</v>
      </c>
      <c r="AG313" s="4">
        <v>0</v>
      </c>
      <c r="AH313" s="4">
        <v>18</v>
      </c>
      <c r="AI313" s="4">
        <v>18</v>
      </c>
      <c r="AJ313" s="4">
        <v>1</v>
      </c>
      <c r="AK313" s="4">
        <v>1</v>
      </c>
      <c r="AL313" s="4">
        <v>15</v>
      </c>
      <c r="AM313" s="4">
        <v>15</v>
      </c>
      <c r="AN313" s="4">
        <v>0</v>
      </c>
      <c r="AO313" s="4">
        <v>0</v>
      </c>
      <c r="AP313" s="4">
        <v>1</v>
      </c>
      <c r="AQ313" s="4">
        <v>1</v>
      </c>
      <c r="AR313" s="3" t="s">
        <v>65</v>
      </c>
      <c r="AS313" s="3" t="s">
        <v>65</v>
      </c>
      <c r="AT313" s="3" t="s">
        <v>65</v>
      </c>
      <c r="AV313" s="6" t="str">
        <f>HYPERLINK("http://mcgill.on.worldcat.org/oclc/952393513","Catalog Record")</f>
        <v>Catalog Record</v>
      </c>
      <c r="AW313" s="6" t="str">
        <f>HYPERLINK("http://www.worldcat.org/oclc/952393513","WorldCat Record")</f>
        <v>WorldCat Record</v>
      </c>
      <c r="AX313" s="3" t="s">
        <v>3271</v>
      </c>
      <c r="AY313" s="3" t="s">
        <v>3272</v>
      </c>
      <c r="AZ313" s="3" t="s">
        <v>3273</v>
      </c>
      <c r="BA313" s="3" t="s">
        <v>3273</v>
      </c>
      <c r="BB313" s="3" t="s">
        <v>3274</v>
      </c>
      <c r="BC313" s="3" t="s">
        <v>77</v>
      </c>
      <c r="BD313" s="3" t="s">
        <v>78</v>
      </c>
      <c r="BE313" s="3" t="s">
        <v>3275</v>
      </c>
      <c r="BF313" s="3" t="s">
        <v>3274</v>
      </c>
      <c r="BG313" s="3" t="s">
        <v>3276</v>
      </c>
    </row>
    <row r="314" spans="1:59" ht="58" x14ac:dyDescent="0.35">
      <c r="A314" s="2" t="s">
        <v>59</v>
      </c>
      <c r="B314" s="2" t="s">
        <v>60</v>
      </c>
      <c r="C314" s="2" t="s">
        <v>3277</v>
      </c>
      <c r="D314" s="2" t="s">
        <v>3278</v>
      </c>
      <c r="E314" s="2" t="s">
        <v>3279</v>
      </c>
      <c r="G314" s="3" t="s">
        <v>65</v>
      </c>
      <c r="I314" s="3" t="s">
        <v>65</v>
      </c>
      <c r="J314" s="3" t="s">
        <v>65</v>
      </c>
      <c r="K314" s="3" t="s">
        <v>66</v>
      </c>
      <c r="M314" s="2" t="s">
        <v>3280</v>
      </c>
      <c r="N314" s="3" t="s">
        <v>86</v>
      </c>
      <c r="O314" s="2" t="s">
        <v>235</v>
      </c>
      <c r="P314" s="3" t="s">
        <v>140</v>
      </c>
      <c r="Q314" s="2" t="s">
        <v>3281</v>
      </c>
      <c r="R314" s="3" t="s">
        <v>71</v>
      </c>
      <c r="S314" s="4">
        <v>0</v>
      </c>
      <c r="T314" s="4">
        <v>0</v>
      </c>
      <c r="W314" s="5" t="s">
        <v>3282</v>
      </c>
      <c r="X314" s="5" t="s">
        <v>3282</v>
      </c>
      <c r="Y314" s="4">
        <v>31</v>
      </c>
      <c r="Z314" s="4">
        <v>2</v>
      </c>
      <c r="AA314" s="4">
        <v>2</v>
      </c>
      <c r="AB314" s="4">
        <v>1</v>
      </c>
      <c r="AC314" s="4">
        <v>1</v>
      </c>
      <c r="AD314" s="4">
        <v>25</v>
      </c>
      <c r="AE314" s="4">
        <v>25</v>
      </c>
      <c r="AF314" s="4">
        <v>0</v>
      </c>
      <c r="AG314" s="4">
        <v>0</v>
      </c>
      <c r="AH314" s="4">
        <v>24</v>
      </c>
      <c r="AI314" s="4">
        <v>24</v>
      </c>
      <c r="AJ314" s="4">
        <v>1</v>
      </c>
      <c r="AK314" s="4">
        <v>1</v>
      </c>
      <c r="AL314" s="4">
        <v>19</v>
      </c>
      <c r="AM314" s="4">
        <v>19</v>
      </c>
      <c r="AN314" s="4">
        <v>0</v>
      </c>
      <c r="AO314" s="4">
        <v>0</v>
      </c>
      <c r="AP314" s="4">
        <v>1</v>
      </c>
      <c r="AQ314" s="4">
        <v>1</v>
      </c>
      <c r="AR314" s="3" t="s">
        <v>65</v>
      </c>
      <c r="AS314" s="3" t="s">
        <v>65</v>
      </c>
      <c r="AT314" s="3" t="s">
        <v>65</v>
      </c>
      <c r="AV314" s="6" t="str">
        <f>HYPERLINK("http://mcgill.on.worldcat.org/oclc/1039932015","Catalog Record")</f>
        <v>Catalog Record</v>
      </c>
      <c r="AW314" s="6" t="str">
        <f>HYPERLINK("http://www.worldcat.org/oclc/1039932015","WorldCat Record")</f>
        <v>WorldCat Record</v>
      </c>
      <c r="AX314" s="3" t="s">
        <v>3283</v>
      </c>
      <c r="AY314" s="3" t="s">
        <v>3284</v>
      </c>
      <c r="AZ314" s="3" t="s">
        <v>3285</v>
      </c>
      <c r="BA314" s="3" t="s">
        <v>3285</v>
      </c>
      <c r="BB314" s="3" t="s">
        <v>3286</v>
      </c>
      <c r="BC314" s="3" t="s">
        <v>77</v>
      </c>
      <c r="BD314" s="3" t="s">
        <v>78</v>
      </c>
      <c r="BE314" s="3" t="s">
        <v>3287</v>
      </c>
      <c r="BF314" s="3" t="s">
        <v>3286</v>
      </c>
      <c r="BG314" s="3" t="s">
        <v>3288</v>
      </c>
    </row>
    <row r="315" spans="1:59" ht="58" x14ac:dyDescent="0.35">
      <c r="A315" s="2" t="s">
        <v>59</v>
      </c>
      <c r="B315" s="2" t="s">
        <v>60</v>
      </c>
      <c r="C315" s="2" t="s">
        <v>3289</v>
      </c>
      <c r="D315" s="2" t="s">
        <v>3290</v>
      </c>
      <c r="E315" s="2" t="s">
        <v>3291</v>
      </c>
      <c r="G315" s="3" t="s">
        <v>65</v>
      </c>
      <c r="I315" s="3" t="s">
        <v>65</v>
      </c>
      <c r="J315" s="3" t="s">
        <v>65</v>
      </c>
      <c r="K315" s="3" t="s">
        <v>66</v>
      </c>
      <c r="L315" s="2" t="s">
        <v>3292</v>
      </c>
      <c r="M315" s="2" t="s">
        <v>3293</v>
      </c>
      <c r="N315" s="3" t="s">
        <v>126</v>
      </c>
      <c r="O315" s="2" t="s">
        <v>3294</v>
      </c>
      <c r="P315" s="3" t="s">
        <v>140</v>
      </c>
      <c r="R315" s="3" t="s">
        <v>71</v>
      </c>
      <c r="S315" s="4">
        <v>0</v>
      </c>
      <c r="T315" s="4">
        <v>0</v>
      </c>
      <c r="W315" s="5" t="s">
        <v>72</v>
      </c>
      <c r="X315" s="5" t="s">
        <v>72</v>
      </c>
      <c r="Y315" s="4">
        <v>37</v>
      </c>
      <c r="Z315" s="4">
        <v>4</v>
      </c>
      <c r="AA315" s="4">
        <v>6</v>
      </c>
      <c r="AB315" s="4">
        <v>1</v>
      </c>
      <c r="AC315" s="4">
        <v>3</v>
      </c>
      <c r="AD315" s="4">
        <v>24</v>
      </c>
      <c r="AE315" s="4">
        <v>25</v>
      </c>
      <c r="AF315" s="4">
        <v>0</v>
      </c>
      <c r="AG315" s="4">
        <v>1</v>
      </c>
      <c r="AH315" s="4">
        <v>23</v>
      </c>
      <c r="AI315" s="4">
        <v>23</v>
      </c>
      <c r="AJ315" s="4">
        <v>1</v>
      </c>
      <c r="AK315" s="4">
        <v>2</v>
      </c>
      <c r="AL315" s="4">
        <v>18</v>
      </c>
      <c r="AM315" s="4">
        <v>18</v>
      </c>
      <c r="AN315" s="4">
        <v>0</v>
      </c>
      <c r="AO315" s="4">
        <v>0</v>
      </c>
      <c r="AP315" s="4">
        <v>1</v>
      </c>
      <c r="AQ315" s="4">
        <v>1</v>
      </c>
      <c r="AR315" s="3" t="s">
        <v>65</v>
      </c>
      <c r="AS315" s="3" t="s">
        <v>65</v>
      </c>
      <c r="AT315" s="3" t="s">
        <v>65</v>
      </c>
      <c r="AV315" s="6" t="str">
        <f>HYPERLINK("http://mcgill.on.worldcat.org/oclc/740627442","Catalog Record")</f>
        <v>Catalog Record</v>
      </c>
      <c r="AW315" s="6" t="str">
        <f>HYPERLINK("http://www.worldcat.org/oclc/740627442","WorldCat Record")</f>
        <v>WorldCat Record</v>
      </c>
      <c r="AX315" s="3" t="s">
        <v>3295</v>
      </c>
      <c r="AY315" s="3" t="s">
        <v>3296</v>
      </c>
      <c r="AZ315" s="3" t="s">
        <v>3297</v>
      </c>
      <c r="BA315" s="3" t="s">
        <v>3297</v>
      </c>
      <c r="BB315" s="3" t="s">
        <v>3298</v>
      </c>
      <c r="BC315" s="3" t="s">
        <v>77</v>
      </c>
      <c r="BD315" s="3" t="s">
        <v>78</v>
      </c>
      <c r="BE315" s="3" t="s">
        <v>3299</v>
      </c>
      <c r="BF315" s="3" t="s">
        <v>3298</v>
      </c>
      <c r="BG315" s="3" t="s">
        <v>3300</v>
      </c>
    </row>
    <row r="316" spans="1:59" ht="72.5" x14ac:dyDescent="0.35">
      <c r="A316" s="2" t="s">
        <v>59</v>
      </c>
      <c r="B316" s="2" t="s">
        <v>60</v>
      </c>
      <c r="C316" s="2" t="s">
        <v>3301</v>
      </c>
      <c r="D316" s="2" t="s">
        <v>3302</v>
      </c>
      <c r="E316" s="2" t="s">
        <v>3303</v>
      </c>
      <c r="G316" s="3" t="s">
        <v>65</v>
      </c>
      <c r="I316" s="3" t="s">
        <v>65</v>
      </c>
      <c r="J316" s="3" t="s">
        <v>65</v>
      </c>
      <c r="K316" s="3" t="s">
        <v>66</v>
      </c>
      <c r="L316" s="2" t="s">
        <v>3304</v>
      </c>
      <c r="M316" s="2" t="s">
        <v>3305</v>
      </c>
      <c r="N316" s="3" t="s">
        <v>139</v>
      </c>
      <c r="O316" s="2" t="s">
        <v>365</v>
      </c>
      <c r="P316" s="3" t="s">
        <v>140</v>
      </c>
      <c r="Q316" s="2" t="s">
        <v>3306</v>
      </c>
      <c r="R316" s="3" t="s">
        <v>71</v>
      </c>
      <c r="S316" s="4">
        <v>0</v>
      </c>
      <c r="T316" s="4">
        <v>0</v>
      </c>
      <c r="W316" s="5" t="s">
        <v>72</v>
      </c>
      <c r="X316" s="5" t="s">
        <v>72</v>
      </c>
      <c r="Y316" s="4">
        <v>30</v>
      </c>
      <c r="Z316" s="4">
        <v>1</v>
      </c>
      <c r="AA316" s="4">
        <v>1</v>
      </c>
      <c r="AB316" s="4">
        <v>1</v>
      </c>
      <c r="AC316" s="4">
        <v>1</v>
      </c>
      <c r="AD316" s="4">
        <v>19</v>
      </c>
      <c r="AE316" s="4">
        <v>22</v>
      </c>
      <c r="AF316" s="4">
        <v>0</v>
      </c>
      <c r="AG316" s="4">
        <v>0</v>
      </c>
      <c r="AH316" s="4">
        <v>18</v>
      </c>
      <c r="AI316" s="4">
        <v>21</v>
      </c>
      <c r="AJ316" s="4">
        <v>0</v>
      </c>
      <c r="AK316" s="4">
        <v>0</v>
      </c>
      <c r="AL316" s="4">
        <v>13</v>
      </c>
      <c r="AM316" s="4">
        <v>16</v>
      </c>
      <c r="AN316" s="4">
        <v>0</v>
      </c>
      <c r="AO316" s="4">
        <v>0</v>
      </c>
      <c r="AP316" s="4">
        <v>0</v>
      </c>
      <c r="AQ316" s="4">
        <v>0</v>
      </c>
      <c r="AR316" s="3" t="s">
        <v>65</v>
      </c>
      <c r="AS316" s="3" t="s">
        <v>65</v>
      </c>
      <c r="AT316" s="3" t="s">
        <v>65</v>
      </c>
      <c r="AV316" s="6" t="str">
        <f>HYPERLINK("http://mcgill.on.worldcat.org/oclc/840403835","Catalog Record")</f>
        <v>Catalog Record</v>
      </c>
      <c r="AW316" s="6" t="str">
        <f>HYPERLINK("http://www.worldcat.org/oclc/840403835","WorldCat Record")</f>
        <v>WorldCat Record</v>
      </c>
      <c r="AX316" s="3" t="s">
        <v>3307</v>
      </c>
      <c r="AY316" s="3" t="s">
        <v>3308</v>
      </c>
      <c r="AZ316" s="3" t="s">
        <v>3309</v>
      </c>
      <c r="BA316" s="3" t="s">
        <v>3309</v>
      </c>
      <c r="BB316" s="3" t="s">
        <v>3310</v>
      </c>
      <c r="BC316" s="3" t="s">
        <v>77</v>
      </c>
      <c r="BD316" s="3" t="s">
        <v>78</v>
      </c>
      <c r="BE316" s="3" t="s">
        <v>3311</v>
      </c>
      <c r="BF316" s="3" t="s">
        <v>3310</v>
      </c>
      <c r="BG316" s="3" t="s">
        <v>3312</v>
      </c>
    </row>
    <row r="317" spans="1:59" ht="58" x14ac:dyDescent="0.35">
      <c r="A317" s="2" t="s">
        <v>59</v>
      </c>
      <c r="B317" s="2" t="s">
        <v>60</v>
      </c>
      <c r="C317" s="2" t="s">
        <v>3313</v>
      </c>
      <c r="D317" s="2" t="s">
        <v>3314</v>
      </c>
      <c r="E317" s="2" t="s">
        <v>3315</v>
      </c>
      <c r="G317" s="3" t="s">
        <v>65</v>
      </c>
      <c r="I317" s="3" t="s">
        <v>65</v>
      </c>
      <c r="J317" s="3" t="s">
        <v>65</v>
      </c>
      <c r="K317" s="3" t="s">
        <v>66</v>
      </c>
      <c r="L317" s="2" t="s">
        <v>3316</v>
      </c>
      <c r="M317" s="2" t="s">
        <v>3317</v>
      </c>
      <c r="N317" s="3" t="s">
        <v>139</v>
      </c>
      <c r="P317" s="3" t="s">
        <v>140</v>
      </c>
      <c r="Q317" s="2" t="s">
        <v>3318</v>
      </c>
      <c r="R317" s="3" t="s">
        <v>71</v>
      </c>
      <c r="S317" s="4">
        <v>0</v>
      </c>
      <c r="T317" s="4">
        <v>0</v>
      </c>
      <c r="W317" s="5" t="s">
        <v>72</v>
      </c>
      <c r="X317" s="5" t="s">
        <v>72</v>
      </c>
      <c r="Y317" s="4">
        <v>27</v>
      </c>
      <c r="Z317" s="4">
        <v>3</v>
      </c>
      <c r="AA317" s="4">
        <v>3</v>
      </c>
      <c r="AB317" s="4">
        <v>1</v>
      </c>
      <c r="AC317" s="4">
        <v>1</v>
      </c>
      <c r="AD317" s="4">
        <v>18</v>
      </c>
      <c r="AE317" s="4">
        <v>19</v>
      </c>
      <c r="AF317" s="4">
        <v>0</v>
      </c>
      <c r="AG317" s="4">
        <v>0</v>
      </c>
      <c r="AH317" s="4">
        <v>17</v>
      </c>
      <c r="AI317" s="4">
        <v>18</v>
      </c>
      <c r="AJ317" s="4">
        <v>1</v>
      </c>
      <c r="AK317" s="4">
        <v>1</v>
      </c>
      <c r="AL317" s="4">
        <v>16</v>
      </c>
      <c r="AM317" s="4">
        <v>17</v>
      </c>
      <c r="AN317" s="4">
        <v>0</v>
      </c>
      <c r="AO317" s="4">
        <v>0</v>
      </c>
      <c r="AP317" s="4">
        <v>1</v>
      </c>
      <c r="AQ317" s="4">
        <v>1</v>
      </c>
      <c r="AR317" s="3" t="s">
        <v>65</v>
      </c>
      <c r="AS317" s="3" t="s">
        <v>65</v>
      </c>
      <c r="AT317" s="3" t="s">
        <v>65</v>
      </c>
      <c r="AV317" s="6" t="str">
        <f>HYPERLINK("http://mcgill.on.worldcat.org/oclc/828889205","Catalog Record")</f>
        <v>Catalog Record</v>
      </c>
      <c r="AW317" s="6" t="str">
        <f>HYPERLINK("http://www.worldcat.org/oclc/828889205","WorldCat Record")</f>
        <v>WorldCat Record</v>
      </c>
      <c r="AX317" s="3" t="s">
        <v>3319</v>
      </c>
      <c r="AY317" s="3" t="s">
        <v>3320</v>
      </c>
      <c r="AZ317" s="3" t="s">
        <v>3321</v>
      </c>
      <c r="BA317" s="3" t="s">
        <v>3321</v>
      </c>
      <c r="BB317" s="3" t="s">
        <v>3322</v>
      </c>
      <c r="BC317" s="3" t="s">
        <v>77</v>
      </c>
      <c r="BD317" s="3" t="s">
        <v>78</v>
      </c>
      <c r="BE317" s="3" t="s">
        <v>3323</v>
      </c>
      <c r="BF317" s="3" t="s">
        <v>3322</v>
      </c>
      <c r="BG317" s="3" t="s">
        <v>3324</v>
      </c>
    </row>
    <row r="318" spans="1:59" ht="58" x14ac:dyDescent="0.35">
      <c r="A318" s="2" t="s">
        <v>59</v>
      </c>
      <c r="B318" s="2" t="s">
        <v>60</v>
      </c>
      <c r="C318" s="2" t="s">
        <v>3325</v>
      </c>
      <c r="D318" s="2" t="s">
        <v>3326</v>
      </c>
      <c r="E318" s="2" t="s">
        <v>3327</v>
      </c>
      <c r="G318" s="3" t="s">
        <v>65</v>
      </c>
      <c r="I318" s="3" t="s">
        <v>65</v>
      </c>
      <c r="J318" s="3" t="s">
        <v>65</v>
      </c>
      <c r="K318" s="3" t="s">
        <v>66</v>
      </c>
      <c r="L318" s="2" t="s">
        <v>3328</v>
      </c>
      <c r="M318" s="2" t="s">
        <v>3329</v>
      </c>
      <c r="N318" s="3" t="s">
        <v>126</v>
      </c>
      <c r="P318" s="3" t="s">
        <v>140</v>
      </c>
      <c r="Q318" s="2" t="s">
        <v>3330</v>
      </c>
      <c r="R318" s="3" t="s">
        <v>71</v>
      </c>
      <c r="S318" s="4">
        <v>0</v>
      </c>
      <c r="T318" s="4">
        <v>0</v>
      </c>
      <c r="W318" s="5" t="s">
        <v>72</v>
      </c>
      <c r="X318" s="5" t="s">
        <v>72</v>
      </c>
      <c r="Y318" s="4">
        <v>50</v>
      </c>
      <c r="Z318" s="4">
        <v>3</v>
      </c>
      <c r="AA318" s="4">
        <v>3</v>
      </c>
      <c r="AB318" s="4">
        <v>1</v>
      </c>
      <c r="AC318" s="4">
        <v>1</v>
      </c>
      <c r="AD318" s="4">
        <v>34</v>
      </c>
      <c r="AE318" s="4">
        <v>34</v>
      </c>
      <c r="AF318" s="4">
        <v>0</v>
      </c>
      <c r="AG318" s="4">
        <v>0</v>
      </c>
      <c r="AH318" s="4">
        <v>33</v>
      </c>
      <c r="AI318" s="4">
        <v>33</v>
      </c>
      <c r="AJ318" s="4">
        <v>1</v>
      </c>
      <c r="AK318" s="4">
        <v>1</v>
      </c>
      <c r="AL318" s="4">
        <v>27</v>
      </c>
      <c r="AM318" s="4">
        <v>27</v>
      </c>
      <c r="AN318" s="4">
        <v>0</v>
      </c>
      <c r="AO318" s="4">
        <v>0</v>
      </c>
      <c r="AP318" s="4">
        <v>1</v>
      </c>
      <c r="AQ318" s="4">
        <v>1</v>
      </c>
      <c r="AR318" s="3" t="s">
        <v>65</v>
      </c>
      <c r="AS318" s="3" t="s">
        <v>65</v>
      </c>
      <c r="AT318" s="3" t="s">
        <v>65</v>
      </c>
      <c r="AV318" s="6" t="str">
        <f>HYPERLINK("http://mcgill.on.worldcat.org/oclc/751741980","Catalog Record")</f>
        <v>Catalog Record</v>
      </c>
      <c r="AW318" s="6" t="str">
        <f>HYPERLINK("http://www.worldcat.org/oclc/751741980","WorldCat Record")</f>
        <v>WorldCat Record</v>
      </c>
      <c r="AX318" s="3" t="s">
        <v>3331</v>
      </c>
      <c r="AY318" s="3" t="s">
        <v>3332</v>
      </c>
      <c r="AZ318" s="3" t="s">
        <v>3333</v>
      </c>
      <c r="BA318" s="3" t="s">
        <v>3333</v>
      </c>
      <c r="BB318" s="3" t="s">
        <v>3334</v>
      </c>
      <c r="BC318" s="3" t="s">
        <v>77</v>
      </c>
      <c r="BD318" s="3" t="s">
        <v>78</v>
      </c>
      <c r="BE318" s="3" t="s">
        <v>3335</v>
      </c>
      <c r="BF318" s="3" t="s">
        <v>3334</v>
      </c>
      <c r="BG318" s="3" t="s">
        <v>3336</v>
      </c>
    </row>
    <row r="319" spans="1:59" ht="58" x14ac:dyDescent="0.35">
      <c r="A319" s="2" t="s">
        <v>59</v>
      </c>
      <c r="B319" s="2" t="s">
        <v>60</v>
      </c>
      <c r="C319" s="2" t="s">
        <v>3337</v>
      </c>
      <c r="D319" s="2" t="s">
        <v>3338</v>
      </c>
      <c r="E319" s="2" t="s">
        <v>3339</v>
      </c>
      <c r="G319" s="3" t="s">
        <v>65</v>
      </c>
      <c r="I319" s="3" t="s">
        <v>65</v>
      </c>
      <c r="J319" s="3" t="s">
        <v>65</v>
      </c>
      <c r="K319" s="3" t="s">
        <v>66</v>
      </c>
      <c r="M319" s="2" t="s">
        <v>3340</v>
      </c>
      <c r="N319" s="3" t="s">
        <v>86</v>
      </c>
      <c r="P319" s="3" t="s">
        <v>69</v>
      </c>
      <c r="R319" s="3" t="s">
        <v>71</v>
      </c>
      <c r="S319" s="4">
        <v>0</v>
      </c>
      <c r="T319" s="4">
        <v>0</v>
      </c>
      <c r="W319" s="5" t="s">
        <v>72</v>
      </c>
      <c r="X319" s="5" t="s">
        <v>72</v>
      </c>
      <c r="Y319" s="4">
        <v>30</v>
      </c>
      <c r="Z319" s="4">
        <v>2</v>
      </c>
      <c r="AA319" s="4">
        <v>5</v>
      </c>
      <c r="AB319" s="4">
        <v>1</v>
      </c>
      <c r="AC319" s="4">
        <v>4</v>
      </c>
      <c r="AD319" s="4">
        <v>15</v>
      </c>
      <c r="AE319" s="4">
        <v>19</v>
      </c>
      <c r="AF319" s="4">
        <v>0</v>
      </c>
      <c r="AG319" s="4">
        <v>1</v>
      </c>
      <c r="AH319" s="4">
        <v>15</v>
      </c>
      <c r="AI319" s="4">
        <v>17</v>
      </c>
      <c r="AJ319" s="4">
        <v>1</v>
      </c>
      <c r="AK319" s="4">
        <v>2</v>
      </c>
      <c r="AL319" s="4">
        <v>11</v>
      </c>
      <c r="AM319" s="4">
        <v>13</v>
      </c>
      <c r="AN319" s="4">
        <v>0</v>
      </c>
      <c r="AO319" s="4">
        <v>0</v>
      </c>
      <c r="AP319" s="4">
        <v>1</v>
      </c>
      <c r="AQ319" s="4">
        <v>1</v>
      </c>
      <c r="AR319" s="3" t="s">
        <v>65</v>
      </c>
      <c r="AS319" s="3" t="s">
        <v>65</v>
      </c>
      <c r="AT319" s="3" t="s">
        <v>65</v>
      </c>
      <c r="AV319" s="6" t="str">
        <f>HYPERLINK("http://mcgill.on.worldcat.org/oclc/1002418873","Catalog Record")</f>
        <v>Catalog Record</v>
      </c>
      <c r="AW319" s="6" t="str">
        <f>HYPERLINK("http://www.worldcat.org/oclc/1002418873","WorldCat Record")</f>
        <v>WorldCat Record</v>
      </c>
      <c r="AX319" s="3" t="s">
        <v>3341</v>
      </c>
      <c r="AY319" s="3" t="s">
        <v>3342</v>
      </c>
      <c r="AZ319" s="3" t="s">
        <v>3343</v>
      </c>
      <c r="BA319" s="3" t="s">
        <v>3343</v>
      </c>
      <c r="BB319" s="3" t="s">
        <v>3344</v>
      </c>
      <c r="BC319" s="3" t="s">
        <v>77</v>
      </c>
      <c r="BD319" s="3" t="s">
        <v>78</v>
      </c>
      <c r="BE319" s="3" t="s">
        <v>3345</v>
      </c>
      <c r="BF319" s="3" t="s">
        <v>3344</v>
      </c>
      <c r="BG319" s="3" t="s">
        <v>3346</v>
      </c>
    </row>
    <row r="320" spans="1:59" ht="58" x14ac:dyDescent="0.35">
      <c r="A320" s="2" t="s">
        <v>59</v>
      </c>
      <c r="B320" s="2" t="s">
        <v>60</v>
      </c>
      <c r="C320" s="2" t="s">
        <v>3347</v>
      </c>
      <c r="D320" s="2" t="s">
        <v>3348</v>
      </c>
      <c r="E320" s="2" t="s">
        <v>3349</v>
      </c>
      <c r="G320" s="3" t="s">
        <v>65</v>
      </c>
      <c r="I320" s="3" t="s">
        <v>65</v>
      </c>
      <c r="J320" s="3" t="s">
        <v>65</v>
      </c>
      <c r="K320" s="3" t="s">
        <v>66</v>
      </c>
      <c r="M320" s="2" t="s">
        <v>3350</v>
      </c>
      <c r="N320" s="3" t="s">
        <v>1196</v>
      </c>
      <c r="P320" s="3" t="s">
        <v>69</v>
      </c>
      <c r="R320" s="3" t="s">
        <v>71</v>
      </c>
      <c r="S320" s="4">
        <v>4</v>
      </c>
      <c r="T320" s="4">
        <v>4</v>
      </c>
      <c r="U320" s="5" t="s">
        <v>3351</v>
      </c>
      <c r="V320" s="5" t="s">
        <v>3351</v>
      </c>
      <c r="W320" s="5" t="s">
        <v>72</v>
      </c>
      <c r="X320" s="5" t="s">
        <v>72</v>
      </c>
      <c r="Y320" s="4">
        <v>237</v>
      </c>
      <c r="Z320" s="4">
        <v>14</v>
      </c>
      <c r="AA320" s="4">
        <v>17</v>
      </c>
      <c r="AB320" s="4">
        <v>1</v>
      </c>
      <c r="AC320" s="4">
        <v>1</v>
      </c>
      <c r="AD320" s="4">
        <v>101</v>
      </c>
      <c r="AE320" s="4">
        <v>104</v>
      </c>
      <c r="AF320" s="4">
        <v>0</v>
      </c>
      <c r="AG320" s="4">
        <v>0</v>
      </c>
      <c r="AH320" s="4">
        <v>95</v>
      </c>
      <c r="AI320" s="4">
        <v>98</v>
      </c>
      <c r="AJ320" s="4">
        <v>12</v>
      </c>
      <c r="AK320" s="4">
        <v>13</v>
      </c>
      <c r="AL320" s="4">
        <v>52</v>
      </c>
      <c r="AM320" s="4">
        <v>53</v>
      </c>
      <c r="AN320" s="4">
        <v>0</v>
      </c>
      <c r="AO320" s="4">
        <v>0</v>
      </c>
      <c r="AP320" s="4">
        <v>13</v>
      </c>
      <c r="AQ320" s="4">
        <v>14</v>
      </c>
      <c r="AR320" s="3" t="s">
        <v>65</v>
      </c>
      <c r="AS320" s="3" t="s">
        <v>65</v>
      </c>
      <c r="AT320" s="3" t="s">
        <v>209</v>
      </c>
      <c r="AU320" s="6" t="str">
        <f>HYPERLINK("http://catalog.hathitrust.org/Record/004961385","HathiTrust Record")</f>
        <v>HathiTrust Record</v>
      </c>
      <c r="AV320" s="6" t="str">
        <f>HYPERLINK("http://mcgill.on.worldcat.org/oclc/56404604","Catalog Record")</f>
        <v>Catalog Record</v>
      </c>
      <c r="AW320" s="6" t="str">
        <f>HYPERLINK("http://www.worldcat.org/oclc/56404604","WorldCat Record")</f>
        <v>WorldCat Record</v>
      </c>
      <c r="AX320" s="3" t="s">
        <v>3352</v>
      </c>
      <c r="AY320" s="3" t="s">
        <v>3353</v>
      </c>
      <c r="AZ320" s="3" t="s">
        <v>3354</v>
      </c>
      <c r="BA320" s="3" t="s">
        <v>3354</v>
      </c>
      <c r="BB320" s="3" t="s">
        <v>3355</v>
      </c>
      <c r="BC320" s="3" t="s">
        <v>77</v>
      </c>
      <c r="BD320" s="3" t="s">
        <v>78</v>
      </c>
      <c r="BE320" s="3" t="s">
        <v>3356</v>
      </c>
      <c r="BF320" s="3" t="s">
        <v>3355</v>
      </c>
      <c r="BG320" s="3" t="s">
        <v>3357</v>
      </c>
    </row>
    <row r="321" spans="1:59" ht="72.5" x14ac:dyDescent="0.35">
      <c r="A321" s="2" t="s">
        <v>59</v>
      </c>
      <c r="B321" s="2" t="s">
        <v>60</v>
      </c>
      <c r="C321" s="2" t="s">
        <v>3358</v>
      </c>
      <c r="D321" s="2" t="s">
        <v>3359</v>
      </c>
      <c r="E321" s="2" t="s">
        <v>3360</v>
      </c>
      <c r="G321" s="3" t="s">
        <v>65</v>
      </c>
      <c r="I321" s="3" t="s">
        <v>65</v>
      </c>
      <c r="J321" s="3" t="s">
        <v>65</v>
      </c>
      <c r="K321" s="3" t="s">
        <v>66</v>
      </c>
      <c r="M321" s="2" t="s">
        <v>3361</v>
      </c>
      <c r="N321" s="3" t="s">
        <v>525</v>
      </c>
      <c r="P321" s="3" t="s">
        <v>140</v>
      </c>
      <c r="Q321" s="2" t="s">
        <v>3362</v>
      </c>
      <c r="R321" s="3" t="s">
        <v>71</v>
      </c>
      <c r="S321" s="4">
        <v>1</v>
      </c>
      <c r="T321" s="4">
        <v>1</v>
      </c>
      <c r="U321" s="5" t="s">
        <v>393</v>
      </c>
      <c r="V321" s="5" t="s">
        <v>393</v>
      </c>
      <c r="W321" s="5" t="s">
        <v>72</v>
      </c>
      <c r="X321" s="5" t="s">
        <v>72</v>
      </c>
      <c r="Y321" s="4">
        <v>40</v>
      </c>
      <c r="Z321" s="4">
        <v>3</v>
      </c>
      <c r="AA321" s="4">
        <v>3</v>
      </c>
      <c r="AB321" s="4">
        <v>1</v>
      </c>
      <c r="AC321" s="4">
        <v>1</v>
      </c>
      <c r="AD321" s="4">
        <v>26</v>
      </c>
      <c r="AE321" s="4">
        <v>26</v>
      </c>
      <c r="AF321" s="4">
        <v>0</v>
      </c>
      <c r="AG321" s="4">
        <v>0</v>
      </c>
      <c r="AH321" s="4">
        <v>25</v>
      </c>
      <c r="AI321" s="4">
        <v>25</v>
      </c>
      <c r="AJ321" s="4">
        <v>1</v>
      </c>
      <c r="AK321" s="4">
        <v>1</v>
      </c>
      <c r="AL321" s="4">
        <v>21</v>
      </c>
      <c r="AM321" s="4">
        <v>21</v>
      </c>
      <c r="AN321" s="4">
        <v>0</v>
      </c>
      <c r="AO321" s="4">
        <v>0</v>
      </c>
      <c r="AP321" s="4">
        <v>1</v>
      </c>
      <c r="AQ321" s="4">
        <v>1</v>
      </c>
      <c r="AR321" s="3" t="s">
        <v>65</v>
      </c>
      <c r="AS321" s="3" t="s">
        <v>65</v>
      </c>
      <c r="AT321" s="3" t="s">
        <v>209</v>
      </c>
      <c r="AU321" s="6" t="str">
        <f>HYPERLINK("http://catalog.hathitrust.org/Record/004950208","HathiTrust Record")</f>
        <v>HathiTrust Record</v>
      </c>
      <c r="AV321" s="6" t="str">
        <f>HYPERLINK("http://mcgill.on.worldcat.org/oclc/58526863","Catalog Record")</f>
        <v>Catalog Record</v>
      </c>
      <c r="AW321" s="6" t="str">
        <f>HYPERLINK("http://www.worldcat.org/oclc/58526863","WorldCat Record")</f>
        <v>WorldCat Record</v>
      </c>
      <c r="AX321" s="3" t="s">
        <v>3363</v>
      </c>
      <c r="AY321" s="3" t="s">
        <v>3364</v>
      </c>
      <c r="AZ321" s="3" t="s">
        <v>3365</v>
      </c>
      <c r="BA321" s="3" t="s">
        <v>3365</v>
      </c>
      <c r="BB321" s="3" t="s">
        <v>3366</v>
      </c>
      <c r="BC321" s="3" t="s">
        <v>77</v>
      </c>
      <c r="BD321" s="3" t="s">
        <v>78</v>
      </c>
      <c r="BE321" s="3" t="s">
        <v>3367</v>
      </c>
      <c r="BF321" s="3" t="s">
        <v>3366</v>
      </c>
      <c r="BG321" s="3" t="s">
        <v>3368</v>
      </c>
    </row>
    <row r="322" spans="1:59" ht="58" x14ac:dyDescent="0.35">
      <c r="A322" s="2" t="s">
        <v>59</v>
      </c>
      <c r="B322" s="2" t="s">
        <v>60</v>
      </c>
      <c r="C322" s="2" t="s">
        <v>3369</v>
      </c>
      <c r="D322" s="2" t="s">
        <v>3370</v>
      </c>
      <c r="E322" s="2" t="s">
        <v>3371</v>
      </c>
      <c r="G322" s="3" t="s">
        <v>65</v>
      </c>
      <c r="I322" s="3" t="s">
        <v>65</v>
      </c>
      <c r="J322" s="3" t="s">
        <v>65</v>
      </c>
      <c r="K322" s="3" t="s">
        <v>66</v>
      </c>
      <c r="L322" s="2" t="s">
        <v>3372</v>
      </c>
      <c r="M322" s="2" t="s">
        <v>3373</v>
      </c>
      <c r="N322" s="3" t="s">
        <v>176</v>
      </c>
      <c r="P322" s="3" t="s">
        <v>140</v>
      </c>
      <c r="Q322" s="2" t="s">
        <v>3374</v>
      </c>
      <c r="R322" s="3" t="s">
        <v>71</v>
      </c>
      <c r="S322" s="4">
        <v>0</v>
      </c>
      <c r="T322" s="4">
        <v>0</v>
      </c>
      <c r="W322" s="5" t="s">
        <v>72</v>
      </c>
      <c r="X322" s="5" t="s">
        <v>72</v>
      </c>
      <c r="Y322" s="4">
        <v>21</v>
      </c>
      <c r="Z322" s="4">
        <v>3</v>
      </c>
      <c r="AA322" s="4">
        <v>3</v>
      </c>
      <c r="AB322" s="4">
        <v>1</v>
      </c>
      <c r="AC322" s="4">
        <v>1</v>
      </c>
      <c r="AD322" s="4">
        <v>11</v>
      </c>
      <c r="AE322" s="4">
        <v>11</v>
      </c>
      <c r="AF322" s="4">
        <v>0</v>
      </c>
      <c r="AG322" s="4">
        <v>0</v>
      </c>
      <c r="AH322" s="4">
        <v>11</v>
      </c>
      <c r="AI322" s="4">
        <v>11</v>
      </c>
      <c r="AJ322" s="4">
        <v>1</v>
      </c>
      <c r="AK322" s="4">
        <v>1</v>
      </c>
      <c r="AL322" s="4">
        <v>7</v>
      </c>
      <c r="AM322" s="4">
        <v>7</v>
      </c>
      <c r="AN322" s="4">
        <v>0</v>
      </c>
      <c r="AO322" s="4">
        <v>0</v>
      </c>
      <c r="AP322" s="4">
        <v>1</v>
      </c>
      <c r="AQ322" s="4">
        <v>1</v>
      </c>
      <c r="AR322" s="3" t="s">
        <v>65</v>
      </c>
      <c r="AS322" s="3" t="s">
        <v>65</v>
      </c>
      <c r="AT322" s="3" t="s">
        <v>65</v>
      </c>
      <c r="AV322" s="6" t="str">
        <f>HYPERLINK("http://mcgill.on.worldcat.org/oclc/908688071","Catalog Record")</f>
        <v>Catalog Record</v>
      </c>
      <c r="AW322" s="6" t="str">
        <f>HYPERLINK("http://www.worldcat.org/oclc/908688071","WorldCat Record")</f>
        <v>WorldCat Record</v>
      </c>
      <c r="AX322" s="3" t="s">
        <v>3375</v>
      </c>
      <c r="AY322" s="3" t="s">
        <v>3376</v>
      </c>
      <c r="AZ322" s="3" t="s">
        <v>3377</v>
      </c>
      <c r="BA322" s="3" t="s">
        <v>3377</v>
      </c>
      <c r="BB322" s="3" t="s">
        <v>3378</v>
      </c>
      <c r="BC322" s="3" t="s">
        <v>77</v>
      </c>
      <c r="BD322" s="3" t="s">
        <v>78</v>
      </c>
      <c r="BE322" s="3" t="s">
        <v>3379</v>
      </c>
      <c r="BF322" s="3" t="s">
        <v>3378</v>
      </c>
      <c r="BG322" s="3" t="s">
        <v>3380</v>
      </c>
    </row>
    <row r="323" spans="1:59" ht="58" x14ac:dyDescent="0.35">
      <c r="A323" s="2" t="s">
        <v>59</v>
      </c>
      <c r="B323" s="2" t="s">
        <v>60</v>
      </c>
      <c r="C323" s="2" t="s">
        <v>3381</v>
      </c>
      <c r="D323" s="2" t="s">
        <v>3382</v>
      </c>
      <c r="E323" s="2" t="s">
        <v>3383</v>
      </c>
      <c r="G323" s="3" t="s">
        <v>65</v>
      </c>
      <c r="I323" s="3" t="s">
        <v>65</v>
      </c>
      <c r="J323" s="3" t="s">
        <v>65</v>
      </c>
      <c r="K323" s="3" t="s">
        <v>66</v>
      </c>
      <c r="L323" s="2" t="s">
        <v>1120</v>
      </c>
      <c r="M323" s="2" t="s">
        <v>3384</v>
      </c>
      <c r="N323" s="3" t="s">
        <v>3385</v>
      </c>
      <c r="P323" s="3" t="s">
        <v>140</v>
      </c>
      <c r="Q323" s="2" t="s">
        <v>3386</v>
      </c>
      <c r="R323" s="3" t="s">
        <v>71</v>
      </c>
      <c r="S323" s="4">
        <v>3</v>
      </c>
      <c r="T323" s="4">
        <v>3</v>
      </c>
      <c r="U323" s="5" t="s">
        <v>1754</v>
      </c>
      <c r="V323" s="5" t="s">
        <v>1754</v>
      </c>
      <c r="W323" s="5" t="s">
        <v>72</v>
      </c>
      <c r="X323" s="5" t="s">
        <v>72</v>
      </c>
      <c r="Y323" s="4">
        <v>59</v>
      </c>
      <c r="Z323" s="4">
        <v>5</v>
      </c>
      <c r="AA323" s="4">
        <v>5</v>
      </c>
      <c r="AB323" s="4">
        <v>1</v>
      </c>
      <c r="AC323" s="4">
        <v>1</v>
      </c>
      <c r="AD323" s="4">
        <v>28</v>
      </c>
      <c r="AE323" s="4">
        <v>28</v>
      </c>
      <c r="AF323" s="4">
        <v>0</v>
      </c>
      <c r="AG323" s="4">
        <v>0</v>
      </c>
      <c r="AH323" s="4">
        <v>27</v>
      </c>
      <c r="AI323" s="4">
        <v>27</v>
      </c>
      <c r="AJ323" s="4">
        <v>3</v>
      </c>
      <c r="AK323" s="4">
        <v>3</v>
      </c>
      <c r="AL323" s="4">
        <v>23</v>
      </c>
      <c r="AM323" s="4">
        <v>23</v>
      </c>
      <c r="AN323" s="4">
        <v>0</v>
      </c>
      <c r="AO323" s="4">
        <v>0</v>
      </c>
      <c r="AP323" s="4">
        <v>3</v>
      </c>
      <c r="AQ323" s="4">
        <v>3</v>
      </c>
      <c r="AR323" s="3" t="s">
        <v>65</v>
      </c>
      <c r="AS323" s="3" t="s">
        <v>65</v>
      </c>
      <c r="AT323" s="3" t="s">
        <v>209</v>
      </c>
      <c r="AU323" s="6" t="str">
        <f>HYPERLINK("http://catalog.hathitrust.org/Record/004052086","HathiTrust Record")</f>
        <v>HathiTrust Record</v>
      </c>
      <c r="AV323" s="6" t="str">
        <f>HYPERLINK("http://mcgill.on.worldcat.org/oclc/41951637","Catalog Record")</f>
        <v>Catalog Record</v>
      </c>
      <c r="AW323" s="6" t="str">
        <f>HYPERLINK("http://www.worldcat.org/oclc/41951637","WorldCat Record")</f>
        <v>WorldCat Record</v>
      </c>
      <c r="AX323" s="3" t="s">
        <v>3387</v>
      </c>
      <c r="AY323" s="3" t="s">
        <v>3388</v>
      </c>
      <c r="AZ323" s="3" t="s">
        <v>3389</v>
      </c>
      <c r="BA323" s="3" t="s">
        <v>3389</v>
      </c>
      <c r="BB323" s="3" t="s">
        <v>3390</v>
      </c>
      <c r="BC323" s="3" t="s">
        <v>77</v>
      </c>
      <c r="BD323" s="3" t="s">
        <v>78</v>
      </c>
      <c r="BE323" s="3" t="s">
        <v>3391</v>
      </c>
      <c r="BF323" s="3" t="s">
        <v>3390</v>
      </c>
      <c r="BG323" s="3" t="s">
        <v>3392</v>
      </c>
    </row>
    <row r="324" spans="1:59" ht="58" x14ac:dyDescent="0.35">
      <c r="A324" s="2" t="s">
        <v>59</v>
      </c>
      <c r="B324" s="2" t="s">
        <v>60</v>
      </c>
      <c r="C324" s="2" t="s">
        <v>3393</v>
      </c>
      <c r="D324" s="2" t="s">
        <v>3394</v>
      </c>
      <c r="E324" s="2" t="s">
        <v>3395</v>
      </c>
      <c r="F324" s="3" t="s">
        <v>3396</v>
      </c>
      <c r="G324" s="3" t="s">
        <v>209</v>
      </c>
      <c r="I324" s="3" t="s">
        <v>65</v>
      </c>
      <c r="J324" s="3" t="s">
        <v>65</v>
      </c>
      <c r="K324" s="3" t="s">
        <v>66</v>
      </c>
      <c r="M324" s="2" t="s">
        <v>2280</v>
      </c>
      <c r="N324" s="3" t="s">
        <v>126</v>
      </c>
      <c r="P324" s="3" t="s">
        <v>140</v>
      </c>
      <c r="Q324" s="2" t="s">
        <v>3397</v>
      </c>
      <c r="R324" s="3" t="s">
        <v>71</v>
      </c>
      <c r="S324" s="4">
        <v>0</v>
      </c>
      <c r="T324" s="4">
        <v>0</v>
      </c>
      <c r="W324" s="5" t="s">
        <v>72</v>
      </c>
      <c r="X324" s="5" t="s">
        <v>72</v>
      </c>
      <c r="Y324" s="4">
        <v>29</v>
      </c>
      <c r="Z324" s="4">
        <v>3</v>
      </c>
      <c r="AA324" s="4">
        <v>5</v>
      </c>
      <c r="AB324" s="4">
        <v>1</v>
      </c>
      <c r="AC324" s="4">
        <v>3</v>
      </c>
      <c r="AD324" s="4">
        <v>20</v>
      </c>
      <c r="AE324" s="4">
        <v>21</v>
      </c>
      <c r="AF324" s="4">
        <v>0</v>
      </c>
      <c r="AG324" s="4">
        <v>1</v>
      </c>
      <c r="AH324" s="4">
        <v>19</v>
      </c>
      <c r="AI324" s="4">
        <v>19</v>
      </c>
      <c r="AJ324" s="4">
        <v>1</v>
      </c>
      <c r="AK324" s="4">
        <v>2</v>
      </c>
      <c r="AL324" s="4">
        <v>17</v>
      </c>
      <c r="AM324" s="4">
        <v>17</v>
      </c>
      <c r="AN324" s="4">
        <v>0</v>
      </c>
      <c r="AO324" s="4">
        <v>0</v>
      </c>
      <c r="AP324" s="4">
        <v>1</v>
      </c>
      <c r="AQ324" s="4">
        <v>1</v>
      </c>
      <c r="AR324" s="3" t="s">
        <v>65</v>
      </c>
      <c r="AS324" s="3" t="s">
        <v>65</v>
      </c>
      <c r="AT324" s="3" t="s">
        <v>65</v>
      </c>
      <c r="AV324" s="6" t="str">
        <f>HYPERLINK("http://mcgill.on.worldcat.org/oclc/741557480","Catalog Record")</f>
        <v>Catalog Record</v>
      </c>
      <c r="AW324" s="6" t="str">
        <f>HYPERLINK("http://www.worldcat.org/oclc/741557480","WorldCat Record")</f>
        <v>WorldCat Record</v>
      </c>
      <c r="AX324" s="3" t="s">
        <v>3398</v>
      </c>
      <c r="AY324" s="3" t="s">
        <v>3399</v>
      </c>
      <c r="AZ324" s="3" t="s">
        <v>3400</v>
      </c>
      <c r="BA324" s="3" t="s">
        <v>3400</v>
      </c>
      <c r="BB324" s="3" t="s">
        <v>3401</v>
      </c>
      <c r="BC324" s="3" t="s">
        <v>77</v>
      </c>
      <c r="BD324" s="3" t="s">
        <v>78</v>
      </c>
      <c r="BE324" s="3" t="s">
        <v>3402</v>
      </c>
      <c r="BF324" s="3" t="s">
        <v>3401</v>
      </c>
      <c r="BG324" s="3" t="s">
        <v>3403</v>
      </c>
    </row>
    <row r="325" spans="1:59" ht="58" x14ac:dyDescent="0.35">
      <c r="A325" s="2" t="s">
        <v>59</v>
      </c>
      <c r="B325" s="2" t="s">
        <v>60</v>
      </c>
      <c r="C325" s="2" t="s">
        <v>3393</v>
      </c>
      <c r="D325" s="2" t="s">
        <v>3394</v>
      </c>
      <c r="E325" s="2" t="s">
        <v>3395</v>
      </c>
      <c r="F325" s="3" t="s">
        <v>3404</v>
      </c>
      <c r="G325" s="3" t="s">
        <v>209</v>
      </c>
      <c r="I325" s="3" t="s">
        <v>65</v>
      </c>
      <c r="J325" s="3" t="s">
        <v>65</v>
      </c>
      <c r="K325" s="3" t="s">
        <v>66</v>
      </c>
      <c r="M325" s="2" t="s">
        <v>2280</v>
      </c>
      <c r="N325" s="3" t="s">
        <v>126</v>
      </c>
      <c r="P325" s="3" t="s">
        <v>140</v>
      </c>
      <c r="Q325" s="2" t="s">
        <v>3397</v>
      </c>
      <c r="R325" s="3" t="s">
        <v>71</v>
      </c>
      <c r="S325" s="4">
        <v>0</v>
      </c>
      <c r="T325" s="4">
        <v>0</v>
      </c>
      <c r="W325" s="5" t="s">
        <v>72</v>
      </c>
      <c r="X325" s="5" t="s">
        <v>72</v>
      </c>
      <c r="Y325" s="4">
        <v>29</v>
      </c>
      <c r="Z325" s="4">
        <v>3</v>
      </c>
      <c r="AA325" s="4">
        <v>5</v>
      </c>
      <c r="AB325" s="4">
        <v>1</v>
      </c>
      <c r="AC325" s="4">
        <v>3</v>
      </c>
      <c r="AD325" s="4">
        <v>20</v>
      </c>
      <c r="AE325" s="4">
        <v>21</v>
      </c>
      <c r="AF325" s="4">
        <v>0</v>
      </c>
      <c r="AG325" s="4">
        <v>1</v>
      </c>
      <c r="AH325" s="4">
        <v>19</v>
      </c>
      <c r="AI325" s="4">
        <v>19</v>
      </c>
      <c r="AJ325" s="4">
        <v>1</v>
      </c>
      <c r="AK325" s="4">
        <v>2</v>
      </c>
      <c r="AL325" s="4">
        <v>17</v>
      </c>
      <c r="AM325" s="4">
        <v>17</v>
      </c>
      <c r="AN325" s="4">
        <v>0</v>
      </c>
      <c r="AO325" s="4">
        <v>0</v>
      </c>
      <c r="AP325" s="4">
        <v>1</v>
      </c>
      <c r="AQ325" s="4">
        <v>1</v>
      </c>
      <c r="AR325" s="3" t="s">
        <v>65</v>
      </c>
      <c r="AS325" s="3" t="s">
        <v>65</v>
      </c>
      <c r="AT325" s="3" t="s">
        <v>65</v>
      </c>
      <c r="AV325" s="6" t="str">
        <f>HYPERLINK("http://mcgill.on.worldcat.org/oclc/741557480","Catalog Record")</f>
        <v>Catalog Record</v>
      </c>
      <c r="AW325" s="6" t="str">
        <f>HYPERLINK("http://www.worldcat.org/oclc/741557480","WorldCat Record")</f>
        <v>WorldCat Record</v>
      </c>
      <c r="AX325" s="3" t="s">
        <v>3398</v>
      </c>
      <c r="AY325" s="3" t="s">
        <v>3399</v>
      </c>
      <c r="AZ325" s="3" t="s">
        <v>3400</v>
      </c>
      <c r="BA325" s="3" t="s">
        <v>3400</v>
      </c>
      <c r="BB325" s="3" t="s">
        <v>3405</v>
      </c>
      <c r="BC325" s="3" t="s">
        <v>77</v>
      </c>
      <c r="BD325" s="3" t="s">
        <v>78</v>
      </c>
      <c r="BE325" s="3" t="s">
        <v>3402</v>
      </c>
      <c r="BF325" s="3" t="s">
        <v>3405</v>
      </c>
      <c r="BG325" s="3" t="s">
        <v>3406</v>
      </c>
    </row>
    <row r="326" spans="1:59" ht="58" x14ac:dyDescent="0.35">
      <c r="A326" s="2" t="s">
        <v>59</v>
      </c>
      <c r="B326" s="2" t="s">
        <v>60</v>
      </c>
      <c r="C326" s="2" t="s">
        <v>3407</v>
      </c>
      <c r="D326" s="2" t="s">
        <v>3408</v>
      </c>
      <c r="E326" s="2" t="s">
        <v>3409</v>
      </c>
      <c r="G326" s="3" t="s">
        <v>65</v>
      </c>
      <c r="I326" s="3" t="s">
        <v>65</v>
      </c>
      <c r="J326" s="3" t="s">
        <v>65</v>
      </c>
      <c r="K326" s="3" t="s">
        <v>66</v>
      </c>
      <c r="L326" s="2" t="s">
        <v>3410</v>
      </c>
      <c r="M326" s="2" t="s">
        <v>3411</v>
      </c>
      <c r="N326" s="3" t="s">
        <v>113</v>
      </c>
      <c r="P326" s="3" t="s">
        <v>140</v>
      </c>
      <c r="Q326" s="2" t="s">
        <v>3412</v>
      </c>
      <c r="R326" s="3" t="s">
        <v>71</v>
      </c>
      <c r="S326" s="4">
        <v>0</v>
      </c>
      <c r="T326" s="4">
        <v>0</v>
      </c>
      <c r="W326" s="5" t="s">
        <v>72</v>
      </c>
      <c r="X326" s="5" t="s">
        <v>72</v>
      </c>
      <c r="Y326" s="4">
        <v>21</v>
      </c>
      <c r="Z326" s="4">
        <v>3</v>
      </c>
      <c r="AA326" s="4">
        <v>3</v>
      </c>
      <c r="AB326" s="4">
        <v>1</v>
      </c>
      <c r="AC326" s="4">
        <v>1</v>
      </c>
      <c r="AD326" s="4">
        <v>16</v>
      </c>
      <c r="AE326" s="4">
        <v>16</v>
      </c>
      <c r="AF326" s="4">
        <v>0</v>
      </c>
      <c r="AG326" s="4">
        <v>0</v>
      </c>
      <c r="AH326" s="4">
        <v>15</v>
      </c>
      <c r="AI326" s="4">
        <v>15</v>
      </c>
      <c r="AJ326" s="4">
        <v>1</v>
      </c>
      <c r="AK326" s="4">
        <v>1</v>
      </c>
      <c r="AL326" s="4">
        <v>14</v>
      </c>
      <c r="AM326" s="4">
        <v>14</v>
      </c>
      <c r="AN326" s="4">
        <v>0</v>
      </c>
      <c r="AO326" s="4">
        <v>0</v>
      </c>
      <c r="AP326" s="4">
        <v>1</v>
      </c>
      <c r="AQ326" s="4">
        <v>1</v>
      </c>
      <c r="AR326" s="3" t="s">
        <v>65</v>
      </c>
      <c r="AS326" s="3" t="s">
        <v>65</v>
      </c>
      <c r="AT326" s="3" t="s">
        <v>65</v>
      </c>
      <c r="AV326" s="6" t="str">
        <f>HYPERLINK("http://mcgill.on.worldcat.org/oclc/709663768","Catalog Record")</f>
        <v>Catalog Record</v>
      </c>
      <c r="AW326" s="6" t="str">
        <f>HYPERLINK("http://www.worldcat.org/oclc/709663768","WorldCat Record")</f>
        <v>WorldCat Record</v>
      </c>
      <c r="AX326" s="3" t="s">
        <v>3413</v>
      </c>
      <c r="AY326" s="3" t="s">
        <v>3414</v>
      </c>
      <c r="AZ326" s="3" t="s">
        <v>3415</v>
      </c>
      <c r="BA326" s="3" t="s">
        <v>3415</v>
      </c>
      <c r="BB326" s="3" t="s">
        <v>3416</v>
      </c>
      <c r="BC326" s="3" t="s">
        <v>77</v>
      </c>
      <c r="BD326" s="3" t="s">
        <v>78</v>
      </c>
      <c r="BE326" s="3" t="s">
        <v>3417</v>
      </c>
      <c r="BF326" s="3" t="s">
        <v>3416</v>
      </c>
      <c r="BG326" s="3" t="s">
        <v>3418</v>
      </c>
    </row>
    <row r="327" spans="1:59" ht="58" x14ac:dyDescent="0.35">
      <c r="A327" s="2" t="s">
        <v>59</v>
      </c>
      <c r="B327" s="2" t="s">
        <v>60</v>
      </c>
      <c r="C327" s="2" t="s">
        <v>3419</v>
      </c>
      <c r="D327" s="2" t="s">
        <v>3420</v>
      </c>
      <c r="E327" s="2" t="s">
        <v>3421</v>
      </c>
      <c r="G327" s="3" t="s">
        <v>65</v>
      </c>
      <c r="I327" s="3" t="s">
        <v>65</v>
      </c>
      <c r="J327" s="3" t="s">
        <v>65</v>
      </c>
      <c r="K327" s="3" t="s">
        <v>66</v>
      </c>
      <c r="L327" s="2" t="s">
        <v>3422</v>
      </c>
      <c r="M327" s="2" t="s">
        <v>3423</v>
      </c>
      <c r="N327" s="3" t="s">
        <v>126</v>
      </c>
      <c r="P327" s="3" t="s">
        <v>140</v>
      </c>
      <c r="Q327" s="2" t="s">
        <v>3424</v>
      </c>
      <c r="R327" s="3" t="s">
        <v>71</v>
      </c>
      <c r="S327" s="4">
        <v>0</v>
      </c>
      <c r="T327" s="4">
        <v>0</v>
      </c>
      <c r="W327" s="5" t="s">
        <v>72</v>
      </c>
      <c r="X327" s="5" t="s">
        <v>72</v>
      </c>
      <c r="Y327" s="4">
        <v>34</v>
      </c>
      <c r="Z327" s="4">
        <v>3</v>
      </c>
      <c r="AA327" s="4">
        <v>3</v>
      </c>
      <c r="AB327" s="4">
        <v>1</v>
      </c>
      <c r="AC327" s="4">
        <v>1</v>
      </c>
      <c r="AD327" s="4">
        <v>25</v>
      </c>
      <c r="AE327" s="4">
        <v>25</v>
      </c>
      <c r="AF327" s="4">
        <v>0</v>
      </c>
      <c r="AG327" s="4">
        <v>0</v>
      </c>
      <c r="AH327" s="4">
        <v>24</v>
      </c>
      <c r="AI327" s="4">
        <v>24</v>
      </c>
      <c r="AJ327" s="4">
        <v>1</v>
      </c>
      <c r="AK327" s="4">
        <v>1</v>
      </c>
      <c r="AL327" s="4">
        <v>20</v>
      </c>
      <c r="AM327" s="4">
        <v>20</v>
      </c>
      <c r="AN327" s="4">
        <v>0</v>
      </c>
      <c r="AO327" s="4">
        <v>0</v>
      </c>
      <c r="AP327" s="4">
        <v>1</v>
      </c>
      <c r="AQ327" s="4">
        <v>1</v>
      </c>
      <c r="AR327" s="3" t="s">
        <v>65</v>
      </c>
      <c r="AS327" s="3" t="s">
        <v>65</v>
      </c>
      <c r="AT327" s="3" t="s">
        <v>65</v>
      </c>
      <c r="AV327" s="6" t="str">
        <f>HYPERLINK("http://mcgill.on.worldcat.org/oclc/773668131","Catalog Record")</f>
        <v>Catalog Record</v>
      </c>
      <c r="AW327" s="6" t="str">
        <f>HYPERLINK("http://www.worldcat.org/oclc/773668131","WorldCat Record")</f>
        <v>WorldCat Record</v>
      </c>
      <c r="AX327" s="3" t="s">
        <v>3425</v>
      </c>
      <c r="AY327" s="3" t="s">
        <v>3426</v>
      </c>
      <c r="AZ327" s="3" t="s">
        <v>3427</v>
      </c>
      <c r="BA327" s="3" t="s">
        <v>3427</v>
      </c>
      <c r="BB327" s="3" t="s">
        <v>3428</v>
      </c>
      <c r="BC327" s="3" t="s">
        <v>77</v>
      </c>
      <c r="BD327" s="3" t="s">
        <v>78</v>
      </c>
      <c r="BE327" s="3" t="s">
        <v>3429</v>
      </c>
      <c r="BF327" s="3" t="s">
        <v>3428</v>
      </c>
      <c r="BG327" s="3" t="s">
        <v>3430</v>
      </c>
    </row>
    <row r="328" spans="1:59" ht="58" x14ac:dyDescent="0.35">
      <c r="A328" s="2" t="s">
        <v>59</v>
      </c>
      <c r="B328" s="2" t="s">
        <v>60</v>
      </c>
      <c r="C328" s="2" t="s">
        <v>3431</v>
      </c>
      <c r="D328" s="2" t="s">
        <v>3432</v>
      </c>
      <c r="E328" s="2" t="s">
        <v>3433</v>
      </c>
      <c r="G328" s="3" t="s">
        <v>65</v>
      </c>
      <c r="I328" s="3" t="s">
        <v>65</v>
      </c>
      <c r="J328" s="3" t="s">
        <v>65</v>
      </c>
      <c r="K328" s="3" t="s">
        <v>66</v>
      </c>
      <c r="L328" s="2" t="s">
        <v>3434</v>
      </c>
      <c r="M328" s="2" t="s">
        <v>3435</v>
      </c>
      <c r="N328" s="3" t="s">
        <v>221</v>
      </c>
      <c r="O328" s="2" t="s">
        <v>365</v>
      </c>
      <c r="P328" s="3" t="s">
        <v>140</v>
      </c>
      <c r="Q328" s="2" t="s">
        <v>3436</v>
      </c>
      <c r="R328" s="3" t="s">
        <v>71</v>
      </c>
      <c r="S328" s="4">
        <v>2</v>
      </c>
      <c r="T328" s="4">
        <v>2</v>
      </c>
      <c r="U328" s="5" t="s">
        <v>3437</v>
      </c>
      <c r="V328" s="5" t="s">
        <v>3437</v>
      </c>
      <c r="W328" s="5" t="s">
        <v>72</v>
      </c>
      <c r="X328" s="5" t="s">
        <v>72</v>
      </c>
      <c r="Y328" s="4">
        <v>52</v>
      </c>
      <c r="Z328" s="4">
        <v>3</v>
      </c>
      <c r="AA328" s="4">
        <v>5</v>
      </c>
      <c r="AB328" s="4">
        <v>1</v>
      </c>
      <c r="AC328" s="4">
        <v>1</v>
      </c>
      <c r="AD328" s="4">
        <v>12</v>
      </c>
      <c r="AE328" s="4">
        <v>13</v>
      </c>
      <c r="AF328" s="4">
        <v>0</v>
      </c>
      <c r="AG328" s="4">
        <v>0</v>
      </c>
      <c r="AH328" s="4">
        <v>11</v>
      </c>
      <c r="AI328" s="4">
        <v>12</v>
      </c>
      <c r="AJ328" s="4">
        <v>1</v>
      </c>
      <c r="AK328" s="4">
        <v>2</v>
      </c>
      <c r="AL328" s="4">
        <v>7</v>
      </c>
      <c r="AM328" s="4">
        <v>8</v>
      </c>
      <c r="AN328" s="4">
        <v>0</v>
      </c>
      <c r="AO328" s="4">
        <v>0</v>
      </c>
      <c r="AP328" s="4">
        <v>1</v>
      </c>
      <c r="AQ328" s="4">
        <v>2</v>
      </c>
      <c r="AR328" s="3" t="s">
        <v>65</v>
      </c>
      <c r="AS328" s="3" t="s">
        <v>65</v>
      </c>
      <c r="AT328" s="3" t="s">
        <v>65</v>
      </c>
      <c r="AV328" s="6" t="str">
        <f>HYPERLINK("http://mcgill.on.worldcat.org/oclc/123900832","Catalog Record")</f>
        <v>Catalog Record</v>
      </c>
      <c r="AW328" s="6" t="str">
        <f>HYPERLINK("http://www.worldcat.org/oclc/123900832","WorldCat Record")</f>
        <v>WorldCat Record</v>
      </c>
      <c r="AX328" s="3" t="s">
        <v>3438</v>
      </c>
      <c r="AY328" s="3" t="s">
        <v>3439</v>
      </c>
      <c r="AZ328" s="3" t="s">
        <v>3440</v>
      </c>
      <c r="BA328" s="3" t="s">
        <v>3440</v>
      </c>
      <c r="BB328" s="3" t="s">
        <v>3441</v>
      </c>
      <c r="BC328" s="3" t="s">
        <v>77</v>
      </c>
      <c r="BD328" s="3" t="s">
        <v>78</v>
      </c>
      <c r="BE328" s="3" t="s">
        <v>3442</v>
      </c>
      <c r="BF328" s="3" t="s">
        <v>3441</v>
      </c>
      <c r="BG328" s="3" t="s">
        <v>3443</v>
      </c>
    </row>
    <row r="329" spans="1:59" ht="58" x14ac:dyDescent="0.35">
      <c r="A329" s="2" t="s">
        <v>59</v>
      </c>
      <c r="B329" s="2" t="s">
        <v>60</v>
      </c>
      <c r="C329" s="2" t="s">
        <v>3444</v>
      </c>
      <c r="D329" s="2" t="s">
        <v>3445</v>
      </c>
      <c r="E329" s="2" t="s">
        <v>3446</v>
      </c>
      <c r="F329" s="3" t="s">
        <v>503</v>
      </c>
      <c r="G329" s="3" t="s">
        <v>209</v>
      </c>
      <c r="I329" s="3" t="s">
        <v>65</v>
      </c>
      <c r="J329" s="3" t="s">
        <v>65</v>
      </c>
      <c r="K329" s="3" t="s">
        <v>66</v>
      </c>
      <c r="L329" s="2" t="s">
        <v>562</v>
      </c>
      <c r="M329" s="2" t="s">
        <v>3447</v>
      </c>
      <c r="N329" s="3" t="s">
        <v>3448</v>
      </c>
      <c r="P329" s="3" t="s">
        <v>140</v>
      </c>
      <c r="Q329" s="2" t="s">
        <v>3449</v>
      </c>
      <c r="R329" s="3" t="s">
        <v>71</v>
      </c>
      <c r="S329" s="4">
        <v>0</v>
      </c>
      <c r="T329" s="4">
        <v>4</v>
      </c>
      <c r="V329" s="5" t="s">
        <v>3450</v>
      </c>
      <c r="W329" s="5" t="s">
        <v>72</v>
      </c>
      <c r="X329" s="5" t="s">
        <v>72</v>
      </c>
      <c r="Y329" s="4">
        <v>117</v>
      </c>
      <c r="Z329" s="4">
        <v>9</v>
      </c>
      <c r="AA329" s="4">
        <v>11</v>
      </c>
      <c r="AB329" s="4">
        <v>1</v>
      </c>
      <c r="AC329" s="4">
        <v>1</v>
      </c>
      <c r="AD329" s="4">
        <v>59</v>
      </c>
      <c r="AE329" s="4">
        <v>62</v>
      </c>
      <c r="AF329" s="4">
        <v>0</v>
      </c>
      <c r="AG329" s="4">
        <v>0</v>
      </c>
      <c r="AH329" s="4">
        <v>55</v>
      </c>
      <c r="AI329" s="4">
        <v>57</v>
      </c>
      <c r="AJ329" s="4">
        <v>7</v>
      </c>
      <c r="AK329" s="4">
        <v>8</v>
      </c>
      <c r="AL329" s="4">
        <v>36</v>
      </c>
      <c r="AM329" s="4">
        <v>37</v>
      </c>
      <c r="AN329" s="4">
        <v>0</v>
      </c>
      <c r="AO329" s="4">
        <v>0</v>
      </c>
      <c r="AP329" s="4">
        <v>7</v>
      </c>
      <c r="AQ329" s="4">
        <v>8</v>
      </c>
      <c r="AR329" s="3" t="s">
        <v>65</v>
      </c>
      <c r="AS329" s="3" t="s">
        <v>65</v>
      </c>
      <c r="AT329" s="3" t="s">
        <v>209</v>
      </c>
      <c r="AU329" s="6" t="str">
        <f>HYPERLINK("http://catalog.hathitrust.org/Record/001218118","HathiTrust Record")</f>
        <v>HathiTrust Record</v>
      </c>
      <c r="AV329" s="6" t="str">
        <f>HYPERLINK("http://mcgill.on.worldcat.org/oclc/648430","Catalog Record")</f>
        <v>Catalog Record</v>
      </c>
      <c r="AW329" s="6" t="str">
        <f>HYPERLINK("http://www.worldcat.org/oclc/648430","WorldCat Record")</f>
        <v>WorldCat Record</v>
      </c>
      <c r="AX329" s="3" t="s">
        <v>3451</v>
      </c>
      <c r="AY329" s="3" t="s">
        <v>3452</v>
      </c>
      <c r="AZ329" s="3" t="s">
        <v>3453</v>
      </c>
      <c r="BA329" s="3" t="s">
        <v>3453</v>
      </c>
      <c r="BB329" s="3" t="s">
        <v>3454</v>
      </c>
      <c r="BC329" s="3" t="s">
        <v>77</v>
      </c>
      <c r="BD329" s="3" t="s">
        <v>78</v>
      </c>
      <c r="BF329" s="3" t="s">
        <v>3454</v>
      </c>
      <c r="BG329" s="3" t="s">
        <v>3455</v>
      </c>
    </row>
    <row r="330" spans="1:59" ht="58" x14ac:dyDescent="0.35">
      <c r="A330" s="2" t="s">
        <v>59</v>
      </c>
      <c r="B330" s="2" t="s">
        <v>60</v>
      </c>
      <c r="C330" s="2" t="s">
        <v>3444</v>
      </c>
      <c r="D330" s="2" t="s">
        <v>3445</v>
      </c>
      <c r="E330" s="2" t="s">
        <v>3446</v>
      </c>
      <c r="F330" s="3" t="s">
        <v>245</v>
      </c>
      <c r="G330" s="3" t="s">
        <v>209</v>
      </c>
      <c r="I330" s="3" t="s">
        <v>65</v>
      </c>
      <c r="J330" s="3" t="s">
        <v>65</v>
      </c>
      <c r="K330" s="3" t="s">
        <v>66</v>
      </c>
      <c r="L330" s="2" t="s">
        <v>562</v>
      </c>
      <c r="M330" s="2" t="s">
        <v>3447</v>
      </c>
      <c r="N330" s="3" t="s">
        <v>3448</v>
      </c>
      <c r="P330" s="3" t="s">
        <v>140</v>
      </c>
      <c r="Q330" s="2" t="s">
        <v>3449</v>
      </c>
      <c r="R330" s="3" t="s">
        <v>71</v>
      </c>
      <c r="S330" s="4">
        <v>4</v>
      </c>
      <c r="T330" s="4">
        <v>4</v>
      </c>
      <c r="U330" s="5" t="s">
        <v>3450</v>
      </c>
      <c r="V330" s="5" t="s">
        <v>3450</v>
      </c>
      <c r="W330" s="5" t="s">
        <v>72</v>
      </c>
      <c r="X330" s="5" t="s">
        <v>72</v>
      </c>
      <c r="Y330" s="4">
        <v>117</v>
      </c>
      <c r="Z330" s="4">
        <v>9</v>
      </c>
      <c r="AA330" s="4">
        <v>11</v>
      </c>
      <c r="AB330" s="4">
        <v>1</v>
      </c>
      <c r="AC330" s="4">
        <v>1</v>
      </c>
      <c r="AD330" s="4">
        <v>59</v>
      </c>
      <c r="AE330" s="4">
        <v>62</v>
      </c>
      <c r="AF330" s="4">
        <v>0</v>
      </c>
      <c r="AG330" s="4">
        <v>0</v>
      </c>
      <c r="AH330" s="4">
        <v>55</v>
      </c>
      <c r="AI330" s="4">
        <v>57</v>
      </c>
      <c r="AJ330" s="4">
        <v>7</v>
      </c>
      <c r="AK330" s="4">
        <v>8</v>
      </c>
      <c r="AL330" s="4">
        <v>36</v>
      </c>
      <c r="AM330" s="4">
        <v>37</v>
      </c>
      <c r="AN330" s="4">
        <v>0</v>
      </c>
      <c r="AO330" s="4">
        <v>0</v>
      </c>
      <c r="AP330" s="4">
        <v>7</v>
      </c>
      <c r="AQ330" s="4">
        <v>8</v>
      </c>
      <c r="AR330" s="3" t="s">
        <v>65</v>
      </c>
      <c r="AS330" s="3" t="s">
        <v>65</v>
      </c>
      <c r="AT330" s="3" t="s">
        <v>209</v>
      </c>
      <c r="AU330" s="6" t="str">
        <f>HYPERLINK("http://catalog.hathitrust.org/Record/001218118","HathiTrust Record")</f>
        <v>HathiTrust Record</v>
      </c>
      <c r="AV330" s="6" t="str">
        <f>HYPERLINK("http://mcgill.on.worldcat.org/oclc/648430","Catalog Record")</f>
        <v>Catalog Record</v>
      </c>
      <c r="AW330" s="6" t="str">
        <f>HYPERLINK("http://www.worldcat.org/oclc/648430","WorldCat Record")</f>
        <v>WorldCat Record</v>
      </c>
      <c r="AX330" s="3" t="s">
        <v>3451</v>
      </c>
      <c r="AY330" s="3" t="s">
        <v>3452</v>
      </c>
      <c r="AZ330" s="3" t="s">
        <v>3453</v>
      </c>
      <c r="BA330" s="3" t="s">
        <v>3453</v>
      </c>
      <c r="BB330" s="3" t="s">
        <v>3456</v>
      </c>
      <c r="BC330" s="3" t="s">
        <v>77</v>
      </c>
      <c r="BD330" s="3" t="s">
        <v>78</v>
      </c>
      <c r="BF330" s="3" t="s">
        <v>3456</v>
      </c>
      <c r="BG330" s="3" t="s">
        <v>3457</v>
      </c>
    </row>
    <row r="331" spans="1:59" ht="58" x14ac:dyDescent="0.35">
      <c r="A331" s="2" t="s">
        <v>59</v>
      </c>
      <c r="B331" s="2" t="s">
        <v>60</v>
      </c>
      <c r="C331" s="2" t="s">
        <v>3458</v>
      </c>
      <c r="D331" s="2" t="s">
        <v>3459</v>
      </c>
      <c r="E331" s="2" t="s">
        <v>3460</v>
      </c>
      <c r="G331" s="3" t="s">
        <v>65</v>
      </c>
      <c r="I331" s="3" t="s">
        <v>65</v>
      </c>
      <c r="J331" s="3" t="s">
        <v>65</v>
      </c>
      <c r="K331" s="3" t="s">
        <v>66</v>
      </c>
      <c r="L331" s="2" t="s">
        <v>3461</v>
      </c>
      <c r="M331" s="2" t="s">
        <v>3462</v>
      </c>
      <c r="N331" s="3" t="s">
        <v>126</v>
      </c>
      <c r="P331" s="3" t="s">
        <v>140</v>
      </c>
      <c r="Q331" s="2" t="s">
        <v>3463</v>
      </c>
      <c r="R331" s="3" t="s">
        <v>71</v>
      </c>
      <c r="S331" s="4">
        <v>5</v>
      </c>
      <c r="T331" s="4">
        <v>5</v>
      </c>
      <c r="U331" s="5" t="s">
        <v>3464</v>
      </c>
      <c r="V331" s="5" t="s">
        <v>3464</v>
      </c>
      <c r="W331" s="5" t="s">
        <v>72</v>
      </c>
      <c r="X331" s="5" t="s">
        <v>72</v>
      </c>
      <c r="Y331" s="4">
        <v>44</v>
      </c>
      <c r="Z331" s="4">
        <v>3</v>
      </c>
      <c r="AA331" s="4">
        <v>5</v>
      </c>
      <c r="AB331" s="4">
        <v>1</v>
      </c>
      <c r="AC331" s="4">
        <v>3</v>
      </c>
      <c r="AD331" s="4">
        <v>25</v>
      </c>
      <c r="AE331" s="4">
        <v>26</v>
      </c>
      <c r="AF331" s="4">
        <v>0</v>
      </c>
      <c r="AG331" s="4">
        <v>1</v>
      </c>
      <c r="AH331" s="4">
        <v>24</v>
      </c>
      <c r="AI331" s="4">
        <v>24</v>
      </c>
      <c r="AJ331" s="4">
        <v>1</v>
      </c>
      <c r="AK331" s="4">
        <v>2</v>
      </c>
      <c r="AL331" s="4">
        <v>20</v>
      </c>
      <c r="AM331" s="4">
        <v>20</v>
      </c>
      <c r="AN331" s="4">
        <v>0</v>
      </c>
      <c r="AO331" s="4">
        <v>0</v>
      </c>
      <c r="AP331" s="4">
        <v>1</v>
      </c>
      <c r="AQ331" s="4">
        <v>1</v>
      </c>
      <c r="AR331" s="3" t="s">
        <v>65</v>
      </c>
      <c r="AS331" s="3" t="s">
        <v>65</v>
      </c>
      <c r="AT331" s="3" t="s">
        <v>65</v>
      </c>
      <c r="AV331" s="6" t="str">
        <f>HYPERLINK("http://mcgill.on.worldcat.org/oclc/758439192","Catalog Record")</f>
        <v>Catalog Record</v>
      </c>
      <c r="AW331" s="6" t="str">
        <f>HYPERLINK("http://www.worldcat.org/oclc/758439192","WorldCat Record")</f>
        <v>WorldCat Record</v>
      </c>
      <c r="AX331" s="3" t="s">
        <v>3465</v>
      </c>
      <c r="AY331" s="3" t="s">
        <v>3466</v>
      </c>
      <c r="AZ331" s="3" t="s">
        <v>3467</v>
      </c>
      <c r="BA331" s="3" t="s">
        <v>3467</v>
      </c>
      <c r="BB331" s="3" t="s">
        <v>3468</v>
      </c>
      <c r="BC331" s="3" t="s">
        <v>77</v>
      </c>
      <c r="BD331" s="3" t="s">
        <v>106</v>
      </c>
      <c r="BE331" s="3" t="s">
        <v>3469</v>
      </c>
      <c r="BF331" s="3" t="s">
        <v>3468</v>
      </c>
      <c r="BG331" s="3" t="s">
        <v>3470</v>
      </c>
    </row>
    <row r="332" spans="1:59" ht="58" x14ac:dyDescent="0.35">
      <c r="A332" s="2" t="s">
        <v>59</v>
      </c>
      <c r="B332" s="2" t="s">
        <v>60</v>
      </c>
      <c r="C332" s="2" t="s">
        <v>3471</v>
      </c>
      <c r="D332" s="2" t="s">
        <v>3472</v>
      </c>
      <c r="E332" s="2" t="s">
        <v>3473</v>
      </c>
      <c r="G332" s="3" t="s">
        <v>65</v>
      </c>
      <c r="I332" s="3" t="s">
        <v>65</v>
      </c>
      <c r="J332" s="3" t="s">
        <v>65</v>
      </c>
      <c r="K332" s="3" t="s">
        <v>66</v>
      </c>
      <c r="L332" s="2" t="s">
        <v>3474</v>
      </c>
      <c r="M332" s="2" t="s">
        <v>3475</v>
      </c>
      <c r="N332" s="3" t="s">
        <v>152</v>
      </c>
      <c r="P332" s="3" t="s">
        <v>140</v>
      </c>
      <c r="Q332" s="2" t="s">
        <v>3476</v>
      </c>
      <c r="R332" s="3" t="s">
        <v>71</v>
      </c>
      <c r="S332" s="4">
        <v>0</v>
      </c>
      <c r="T332" s="4">
        <v>0</v>
      </c>
      <c r="W332" s="5" t="s">
        <v>72</v>
      </c>
      <c r="X332" s="5" t="s">
        <v>72</v>
      </c>
      <c r="Y332" s="4">
        <v>51</v>
      </c>
      <c r="Z332" s="4">
        <v>3</v>
      </c>
      <c r="AA332" s="4">
        <v>3</v>
      </c>
      <c r="AB332" s="4">
        <v>1</v>
      </c>
      <c r="AC332" s="4">
        <v>1</v>
      </c>
      <c r="AD332" s="4">
        <v>31</v>
      </c>
      <c r="AE332" s="4">
        <v>31</v>
      </c>
      <c r="AF332" s="4">
        <v>0</v>
      </c>
      <c r="AG332" s="4">
        <v>0</v>
      </c>
      <c r="AH332" s="4">
        <v>29</v>
      </c>
      <c r="AI332" s="4">
        <v>29</v>
      </c>
      <c r="AJ332" s="4">
        <v>1</v>
      </c>
      <c r="AK332" s="4">
        <v>1</v>
      </c>
      <c r="AL332" s="4">
        <v>26</v>
      </c>
      <c r="AM332" s="4">
        <v>26</v>
      </c>
      <c r="AN332" s="4">
        <v>0</v>
      </c>
      <c r="AO332" s="4">
        <v>0</v>
      </c>
      <c r="AP332" s="4">
        <v>1</v>
      </c>
      <c r="AQ332" s="4">
        <v>1</v>
      </c>
      <c r="AR332" s="3" t="s">
        <v>65</v>
      </c>
      <c r="AS332" s="3" t="s">
        <v>65</v>
      </c>
      <c r="AT332" s="3" t="s">
        <v>65</v>
      </c>
      <c r="AV332" s="6" t="str">
        <f>HYPERLINK("http://mcgill.on.worldcat.org/oclc/868575445","Catalog Record")</f>
        <v>Catalog Record</v>
      </c>
      <c r="AW332" s="6" t="str">
        <f>HYPERLINK("http://www.worldcat.org/oclc/868575445","WorldCat Record")</f>
        <v>WorldCat Record</v>
      </c>
      <c r="AX332" s="3" t="s">
        <v>3477</v>
      </c>
      <c r="AY332" s="3" t="s">
        <v>3478</v>
      </c>
      <c r="AZ332" s="3" t="s">
        <v>3479</v>
      </c>
      <c r="BA332" s="3" t="s">
        <v>3479</v>
      </c>
      <c r="BB332" s="3" t="s">
        <v>3480</v>
      </c>
      <c r="BC332" s="3" t="s">
        <v>77</v>
      </c>
      <c r="BD332" s="3" t="s">
        <v>78</v>
      </c>
      <c r="BE332" s="3" t="s">
        <v>3481</v>
      </c>
      <c r="BF332" s="3" t="s">
        <v>3480</v>
      </c>
      <c r="BG332" s="3" t="s">
        <v>3482</v>
      </c>
    </row>
    <row r="333" spans="1:59" ht="58" x14ac:dyDescent="0.35">
      <c r="A333" s="2" t="s">
        <v>59</v>
      </c>
      <c r="B333" s="2" t="s">
        <v>60</v>
      </c>
      <c r="C333" s="2" t="s">
        <v>3483</v>
      </c>
      <c r="D333" s="2" t="s">
        <v>3484</v>
      </c>
      <c r="E333" s="2" t="s">
        <v>3485</v>
      </c>
      <c r="G333" s="3" t="s">
        <v>65</v>
      </c>
      <c r="I333" s="3" t="s">
        <v>65</v>
      </c>
      <c r="J333" s="3" t="s">
        <v>65</v>
      </c>
      <c r="K333" s="3" t="s">
        <v>66</v>
      </c>
      <c r="L333" s="2" t="s">
        <v>3486</v>
      </c>
      <c r="M333" s="2" t="s">
        <v>3487</v>
      </c>
      <c r="N333" s="3" t="s">
        <v>113</v>
      </c>
      <c r="P333" s="3" t="s">
        <v>140</v>
      </c>
      <c r="Q333" s="2" t="s">
        <v>3488</v>
      </c>
      <c r="R333" s="3" t="s">
        <v>71</v>
      </c>
      <c r="S333" s="4">
        <v>0</v>
      </c>
      <c r="T333" s="4">
        <v>0</v>
      </c>
      <c r="W333" s="5" t="s">
        <v>72</v>
      </c>
      <c r="X333" s="5" t="s">
        <v>72</v>
      </c>
      <c r="Y333" s="4">
        <v>28</v>
      </c>
      <c r="Z333" s="4">
        <v>3</v>
      </c>
      <c r="AA333" s="4">
        <v>3</v>
      </c>
      <c r="AB333" s="4">
        <v>1</v>
      </c>
      <c r="AC333" s="4">
        <v>1</v>
      </c>
      <c r="AD333" s="4">
        <v>17</v>
      </c>
      <c r="AE333" s="4">
        <v>17</v>
      </c>
      <c r="AF333" s="4">
        <v>0</v>
      </c>
      <c r="AG333" s="4">
        <v>0</v>
      </c>
      <c r="AH333" s="4">
        <v>16</v>
      </c>
      <c r="AI333" s="4">
        <v>16</v>
      </c>
      <c r="AJ333" s="4">
        <v>1</v>
      </c>
      <c r="AK333" s="4">
        <v>1</v>
      </c>
      <c r="AL333" s="4">
        <v>13</v>
      </c>
      <c r="AM333" s="4">
        <v>13</v>
      </c>
      <c r="AN333" s="4">
        <v>0</v>
      </c>
      <c r="AO333" s="4">
        <v>0</v>
      </c>
      <c r="AP333" s="4">
        <v>1</v>
      </c>
      <c r="AQ333" s="4">
        <v>1</v>
      </c>
      <c r="AR333" s="3" t="s">
        <v>65</v>
      </c>
      <c r="AS333" s="3" t="s">
        <v>65</v>
      </c>
      <c r="AT333" s="3" t="s">
        <v>65</v>
      </c>
      <c r="AV333" s="6" t="str">
        <f>HYPERLINK("http://mcgill.on.worldcat.org/oclc/642806315","Catalog Record")</f>
        <v>Catalog Record</v>
      </c>
      <c r="AW333" s="6" t="str">
        <f>HYPERLINK("http://www.worldcat.org/oclc/642806315","WorldCat Record")</f>
        <v>WorldCat Record</v>
      </c>
      <c r="AX333" s="3" t="s">
        <v>3489</v>
      </c>
      <c r="AY333" s="3" t="s">
        <v>3490</v>
      </c>
      <c r="AZ333" s="3" t="s">
        <v>3491</v>
      </c>
      <c r="BA333" s="3" t="s">
        <v>3491</v>
      </c>
      <c r="BB333" s="3" t="s">
        <v>3492</v>
      </c>
      <c r="BC333" s="3" t="s">
        <v>77</v>
      </c>
      <c r="BD333" s="3" t="s">
        <v>78</v>
      </c>
      <c r="BE333" s="3" t="s">
        <v>3493</v>
      </c>
      <c r="BF333" s="3" t="s">
        <v>3492</v>
      </c>
      <c r="BG333" s="3" t="s">
        <v>3494</v>
      </c>
    </row>
    <row r="334" spans="1:59" ht="58" x14ac:dyDescent="0.35">
      <c r="A334" s="2" t="s">
        <v>59</v>
      </c>
      <c r="B334" s="2" t="s">
        <v>60</v>
      </c>
      <c r="C334" s="2" t="s">
        <v>3495</v>
      </c>
      <c r="D334" s="2" t="s">
        <v>3496</v>
      </c>
      <c r="E334" s="2" t="s">
        <v>3497</v>
      </c>
      <c r="G334" s="3" t="s">
        <v>65</v>
      </c>
      <c r="I334" s="3" t="s">
        <v>65</v>
      </c>
      <c r="J334" s="3" t="s">
        <v>65</v>
      </c>
      <c r="K334" s="3" t="s">
        <v>66</v>
      </c>
      <c r="L334" s="2" t="s">
        <v>3498</v>
      </c>
      <c r="M334" s="2" t="s">
        <v>3499</v>
      </c>
      <c r="N334" s="3" t="s">
        <v>139</v>
      </c>
      <c r="P334" s="3" t="s">
        <v>140</v>
      </c>
      <c r="Q334" s="2" t="s">
        <v>3500</v>
      </c>
      <c r="R334" s="3" t="s">
        <v>71</v>
      </c>
      <c r="S334" s="4">
        <v>2</v>
      </c>
      <c r="T334" s="4">
        <v>2</v>
      </c>
      <c r="U334" s="5" t="s">
        <v>3501</v>
      </c>
      <c r="V334" s="5" t="s">
        <v>3501</v>
      </c>
      <c r="W334" s="5" t="s">
        <v>72</v>
      </c>
      <c r="X334" s="5" t="s">
        <v>72</v>
      </c>
      <c r="Y334" s="4">
        <v>6</v>
      </c>
      <c r="Z334" s="4">
        <v>1</v>
      </c>
      <c r="AA334" s="4">
        <v>1</v>
      </c>
      <c r="AB334" s="4">
        <v>1</v>
      </c>
      <c r="AC334" s="4">
        <v>1</v>
      </c>
      <c r="AD334" s="4">
        <v>3</v>
      </c>
      <c r="AE334" s="4">
        <v>3</v>
      </c>
      <c r="AF334" s="4">
        <v>0</v>
      </c>
      <c r="AG334" s="4">
        <v>0</v>
      </c>
      <c r="AH334" s="4">
        <v>3</v>
      </c>
      <c r="AI334" s="4">
        <v>3</v>
      </c>
      <c r="AJ334" s="4">
        <v>0</v>
      </c>
      <c r="AK334" s="4">
        <v>0</v>
      </c>
      <c r="AL334" s="4">
        <v>3</v>
      </c>
      <c r="AM334" s="4">
        <v>3</v>
      </c>
      <c r="AN334" s="4">
        <v>0</v>
      </c>
      <c r="AO334" s="4">
        <v>0</v>
      </c>
      <c r="AP334" s="4">
        <v>0</v>
      </c>
      <c r="AQ334" s="4">
        <v>0</v>
      </c>
      <c r="AR334" s="3" t="s">
        <v>65</v>
      </c>
      <c r="AS334" s="3" t="s">
        <v>65</v>
      </c>
      <c r="AT334" s="3" t="s">
        <v>65</v>
      </c>
      <c r="AV334" s="6" t="str">
        <f>HYPERLINK("http://mcgill.on.worldcat.org/oclc/805054175","Catalog Record")</f>
        <v>Catalog Record</v>
      </c>
      <c r="AW334" s="6" t="str">
        <f>HYPERLINK("http://www.worldcat.org/oclc/805054175","WorldCat Record")</f>
        <v>WorldCat Record</v>
      </c>
      <c r="AX334" s="3" t="s">
        <v>3502</v>
      </c>
      <c r="AY334" s="3" t="s">
        <v>3503</v>
      </c>
      <c r="AZ334" s="3" t="s">
        <v>3504</v>
      </c>
      <c r="BA334" s="3" t="s">
        <v>3504</v>
      </c>
      <c r="BB334" s="3" t="s">
        <v>3505</v>
      </c>
      <c r="BC334" s="3" t="s">
        <v>77</v>
      </c>
      <c r="BD334" s="3" t="s">
        <v>78</v>
      </c>
      <c r="BE334" s="3" t="s">
        <v>3506</v>
      </c>
      <c r="BF334" s="3" t="s">
        <v>3505</v>
      </c>
      <c r="BG334" s="3" t="s">
        <v>3507</v>
      </c>
    </row>
    <row r="335" spans="1:59" ht="58" x14ac:dyDescent="0.35">
      <c r="A335" s="2" t="s">
        <v>59</v>
      </c>
      <c r="B335" s="2" t="s">
        <v>60</v>
      </c>
      <c r="C335" s="2" t="s">
        <v>3508</v>
      </c>
      <c r="D335" s="2" t="s">
        <v>3509</v>
      </c>
      <c r="E335" s="2" t="s">
        <v>3510</v>
      </c>
      <c r="G335" s="3" t="s">
        <v>65</v>
      </c>
      <c r="I335" s="3" t="s">
        <v>65</v>
      </c>
      <c r="J335" s="3" t="s">
        <v>65</v>
      </c>
      <c r="K335" s="3" t="s">
        <v>66</v>
      </c>
      <c r="L335" s="2" t="s">
        <v>3511</v>
      </c>
      <c r="M335" s="2" t="s">
        <v>3512</v>
      </c>
      <c r="N335" s="3" t="s">
        <v>126</v>
      </c>
      <c r="P335" s="3" t="s">
        <v>140</v>
      </c>
      <c r="Q335" s="2" t="s">
        <v>3513</v>
      </c>
      <c r="R335" s="3" t="s">
        <v>71</v>
      </c>
      <c r="S335" s="4">
        <v>0</v>
      </c>
      <c r="T335" s="4">
        <v>0</v>
      </c>
      <c r="W335" s="5" t="s">
        <v>72</v>
      </c>
      <c r="X335" s="5" t="s">
        <v>72</v>
      </c>
      <c r="Y335" s="4">
        <v>32</v>
      </c>
      <c r="Z335" s="4">
        <v>3</v>
      </c>
      <c r="AA335" s="4">
        <v>3</v>
      </c>
      <c r="AB335" s="4">
        <v>1</v>
      </c>
      <c r="AC335" s="4">
        <v>1</v>
      </c>
      <c r="AD335" s="4">
        <v>24</v>
      </c>
      <c r="AE335" s="4">
        <v>24</v>
      </c>
      <c r="AF335" s="4">
        <v>0</v>
      </c>
      <c r="AG335" s="4">
        <v>0</v>
      </c>
      <c r="AH335" s="4">
        <v>23</v>
      </c>
      <c r="AI335" s="4">
        <v>23</v>
      </c>
      <c r="AJ335" s="4">
        <v>1</v>
      </c>
      <c r="AK335" s="4">
        <v>1</v>
      </c>
      <c r="AL335" s="4">
        <v>21</v>
      </c>
      <c r="AM335" s="4">
        <v>21</v>
      </c>
      <c r="AN335" s="4">
        <v>0</v>
      </c>
      <c r="AO335" s="4">
        <v>0</v>
      </c>
      <c r="AP335" s="4">
        <v>1</v>
      </c>
      <c r="AQ335" s="4">
        <v>1</v>
      </c>
      <c r="AR335" s="3" t="s">
        <v>65</v>
      </c>
      <c r="AS335" s="3" t="s">
        <v>65</v>
      </c>
      <c r="AT335" s="3" t="s">
        <v>65</v>
      </c>
      <c r="AV335" s="6" t="str">
        <f>HYPERLINK("http://mcgill.on.worldcat.org/oclc/744283448","Catalog Record")</f>
        <v>Catalog Record</v>
      </c>
      <c r="AW335" s="6" t="str">
        <f>HYPERLINK("http://www.worldcat.org/oclc/744283448","WorldCat Record")</f>
        <v>WorldCat Record</v>
      </c>
      <c r="AX335" s="3" t="s">
        <v>3514</v>
      </c>
      <c r="AY335" s="3" t="s">
        <v>3515</v>
      </c>
      <c r="AZ335" s="3" t="s">
        <v>3516</v>
      </c>
      <c r="BA335" s="3" t="s">
        <v>3516</v>
      </c>
      <c r="BB335" s="3" t="s">
        <v>3517</v>
      </c>
      <c r="BC335" s="3" t="s">
        <v>77</v>
      </c>
      <c r="BD335" s="3" t="s">
        <v>78</v>
      </c>
      <c r="BE335" s="3" t="s">
        <v>3518</v>
      </c>
      <c r="BF335" s="3" t="s">
        <v>3517</v>
      </c>
      <c r="BG335" s="3" t="s">
        <v>3519</v>
      </c>
    </row>
    <row r="336" spans="1:59" ht="58" x14ac:dyDescent="0.35">
      <c r="A336" s="2" t="s">
        <v>59</v>
      </c>
      <c r="B336" s="2" t="s">
        <v>60</v>
      </c>
      <c r="C336" s="2" t="s">
        <v>3520</v>
      </c>
      <c r="D336" s="2" t="s">
        <v>3521</v>
      </c>
      <c r="E336" s="2" t="s">
        <v>3522</v>
      </c>
      <c r="G336" s="3" t="s">
        <v>65</v>
      </c>
      <c r="I336" s="3" t="s">
        <v>65</v>
      </c>
      <c r="J336" s="3" t="s">
        <v>65</v>
      </c>
      <c r="K336" s="3" t="s">
        <v>66</v>
      </c>
      <c r="L336" s="2" t="s">
        <v>3523</v>
      </c>
      <c r="M336" s="2" t="s">
        <v>3524</v>
      </c>
      <c r="N336" s="3" t="s">
        <v>152</v>
      </c>
      <c r="P336" s="3" t="s">
        <v>69</v>
      </c>
      <c r="R336" s="3" t="s">
        <v>71</v>
      </c>
      <c r="S336" s="4">
        <v>0</v>
      </c>
      <c r="T336" s="4">
        <v>0</v>
      </c>
      <c r="W336" s="5" t="s">
        <v>72</v>
      </c>
      <c r="X336" s="5" t="s">
        <v>72</v>
      </c>
      <c r="Y336" s="4">
        <v>51</v>
      </c>
      <c r="Z336" s="4">
        <v>10</v>
      </c>
      <c r="AA336" s="4">
        <v>10</v>
      </c>
      <c r="AB336" s="4">
        <v>1</v>
      </c>
      <c r="AC336" s="4">
        <v>1</v>
      </c>
      <c r="AD336" s="4">
        <v>30</v>
      </c>
      <c r="AE336" s="4">
        <v>30</v>
      </c>
      <c r="AF336" s="4">
        <v>0</v>
      </c>
      <c r="AG336" s="4">
        <v>0</v>
      </c>
      <c r="AH336" s="4">
        <v>26</v>
      </c>
      <c r="AI336" s="4">
        <v>26</v>
      </c>
      <c r="AJ336" s="4">
        <v>8</v>
      </c>
      <c r="AK336" s="4">
        <v>8</v>
      </c>
      <c r="AL336" s="4">
        <v>19</v>
      </c>
      <c r="AM336" s="4">
        <v>19</v>
      </c>
      <c r="AN336" s="4">
        <v>0</v>
      </c>
      <c r="AO336" s="4">
        <v>0</v>
      </c>
      <c r="AP336" s="4">
        <v>9</v>
      </c>
      <c r="AQ336" s="4">
        <v>9</v>
      </c>
      <c r="AR336" s="3" t="s">
        <v>65</v>
      </c>
      <c r="AS336" s="3" t="s">
        <v>65</v>
      </c>
      <c r="AT336" s="3" t="s">
        <v>65</v>
      </c>
      <c r="AV336" s="6" t="str">
        <f>HYPERLINK("http://mcgill.on.worldcat.org/oclc/855585458","Catalog Record")</f>
        <v>Catalog Record</v>
      </c>
      <c r="AW336" s="6" t="str">
        <f>HYPERLINK("http://www.worldcat.org/oclc/855585458","WorldCat Record")</f>
        <v>WorldCat Record</v>
      </c>
      <c r="AX336" s="3" t="s">
        <v>3525</v>
      </c>
      <c r="AY336" s="3" t="s">
        <v>3526</v>
      </c>
      <c r="AZ336" s="3" t="s">
        <v>3527</v>
      </c>
      <c r="BA336" s="3" t="s">
        <v>3527</v>
      </c>
      <c r="BB336" s="3" t="s">
        <v>3528</v>
      </c>
      <c r="BC336" s="3" t="s">
        <v>77</v>
      </c>
      <c r="BD336" s="3" t="s">
        <v>78</v>
      </c>
      <c r="BE336" s="3" t="s">
        <v>3529</v>
      </c>
      <c r="BF336" s="3" t="s">
        <v>3528</v>
      </c>
      <c r="BG336" s="3" t="s">
        <v>3530</v>
      </c>
    </row>
    <row r="337" spans="1:59" ht="58" x14ac:dyDescent="0.35">
      <c r="A337" s="2" t="s">
        <v>59</v>
      </c>
      <c r="B337" s="2" t="s">
        <v>60</v>
      </c>
      <c r="C337" s="2" t="s">
        <v>3531</v>
      </c>
      <c r="D337" s="2" t="s">
        <v>3532</v>
      </c>
      <c r="E337" s="2" t="s">
        <v>3533</v>
      </c>
      <c r="F337" s="3" t="s">
        <v>245</v>
      </c>
      <c r="G337" s="3" t="s">
        <v>209</v>
      </c>
      <c r="I337" s="3" t="s">
        <v>65</v>
      </c>
      <c r="J337" s="3" t="s">
        <v>65</v>
      </c>
      <c r="K337" s="3" t="s">
        <v>66</v>
      </c>
      <c r="M337" s="2" t="s">
        <v>3534</v>
      </c>
      <c r="N337" s="3" t="s">
        <v>525</v>
      </c>
      <c r="P337" s="3" t="s">
        <v>140</v>
      </c>
      <c r="Q337" s="2" t="s">
        <v>3535</v>
      </c>
      <c r="R337" s="3" t="s">
        <v>71</v>
      </c>
      <c r="S337" s="4">
        <v>3</v>
      </c>
      <c r="T337" s="4">
        <v>8</v>
      </c>
      <c r="U337" s="5" t="s">
        <v>3536</v>
      </c>
      <c r="V337" s="5" t="s">
        <v>3537</v>
      </c>
      <c r="W337" s="5" t="s">
        <v>72</v>
      </c>
      <c r="X337" s="5" t="s">
        <v>72</v>
      </c>
      <c r="Y337" s="4">
        <v>67</v>
      </c>
      <c r="Z337" s="4">
        <v>4</v>
      </c>
      <c r="AA337" s="4">
        <v>4</v>
      </c>
      <c r="AB337" s="4">
        <v>1</v>
      </c>
      <c r="AC337" s="4">
        <v>1</v>
      </c>
      <c r="AD337" s="4">
        <v>40</v>
      </c>
      <c r="AE337" s="4">
        <v>40</v>
      </c>
      <c r="AF337" s="4">
        <v>0</v>
      </c>
      <c r="AG337" s="4">
        <v>0</v>
      </c>
      <c r="AH337" s="4">
        <v>38</v>
      </c>
      <c r="AI337" s="4">
        <v>38</v>
      </c>
      <c r="AJ337" s="4">
        <v>2</v>
      </c>
      <c r="AK337" s="4">
        <v>2</v>
      </c>
      <c r="AL337" s="4">
        <v>29</v>
      </c>
      <c r="AM337" s="4">
        <v>29</v>
      </c>
      <c r="AN337" s="4">
        <v>0</v>
      </c>
      <c r="AO337" s="4">
        <v>0</v>
      </c>
      <c r="AP337" s="4">
        <v>2</v>
      </c>
      <c r="AQ337" s="4">
        <v>2</v>
      </c>
      <c r="AR337" s="3" t="s">
        <v>65</v>
      </c>
      <c r="AS337" s="3" t="s">
        <v>65</v>
      </c>
      <c r="AT337" s="3" t="s">
        <v>209</v>
      </c>
      <c r="AU337" s="6" t="str">
        <f>HYPERLINK("http://catalog.hathitrust.org/Record/004950176","HathiTrust Record")</f>
        <v>HathiTrust Record</v>
      </c>
      <c r="AV337" s="6" t="str">
        <f>HYPERLINK("http://mcgill.on.worldcat.org/oclc/57302951","Catalog Record")</f>
        <v>Catalog Record</v>
      </c>
      <c r="AW337" s="6" t="str">
        <f>HYPERLINK("http://www.worldcat.org/oclc/57302951","WorldCat Record")</f>
        <v>WorldCat Record</v>
      </c>
      <c r="AX337" s="3" t="s">
        <v>3538</v>
      </c>
      <c r="AY337" s="3" t="s">
        <v>3539</v>
      </c>
      <c r="AZ337" s="3" t="s">
        <v>3540</v>
      </c>
      <c r="BA337" s="3" t="s">
        <v>3540</v>
      </c>
      <c r="BB337" s="3" t="s">
        <v>3541</v>
      </c>
      <c r="BC337" s="3" t="s">
        <v>77</v>
      </c>
      <c r="BD337" s="3" t="s">
        <v>78</v>
      </c>
      <c r="BE337" s="3" t="s">
        <v>3542</v>
      </c>
      <c r="BF337" s="3" t="s">
        <v>3541</v>
      </c>
      <c r="BG337" s="3" t="s">
        <v>3543</v>
      </c>
    </row>
    <row r="338" spans="1:59" ht="58" x14ac:dyDescent="0.35">
      <c r="A338" s="2" t="s">
        <v>59</v>
      </c>
      <c r="B338" s="2" t="s">
        <v>60</v>
      </c>
      <c r="C338" s="2" t="s">
        <v>3531</v>
      </c>
      <c r="D338" s="2" t="s">
        <v>3532</v>
      </c>
      <c r="E338" s="2" t="s">
        <v>3533</v>
      </c>
      <c r="F338" s="3" t="s">
        <v>258</v>
      </c>
      <c r="G338" s="3" t="s">
        <v>209</v>
      </c>
      <c r="I338" s="3" t="s">
        <v>65</v>
      </c>
      <c r="J338" s="3" t="s">
        <v>65</v>
      </c>
      <c r="K338" s="3" t="s">
        <v>66</v>
      </c>
      <c r="M338" s="2" t="s">
        <v>3534</v>
      </c>
      <c r="N338" s="3" t="s">
        <v>525</v>
      </c>
      <c r="P338" s="3" t="s">
        <v>140</v>
      </c>
      <c r="Q338" s="2" t="s">
        <v>3535</v>
      </c>
      <c r="R338" s="3" t="s">
        <v>71</v>
      </c>
      <c r="S338" s="4">
        <v>5</v>
      </c>
      <c r="T338" s="4">
        <v>8</v>
      </c>
      <c r="U338" s="5" t="s">
        <v>3537</v>
      </c>
      <c r="V338" s="5" t="s">
        <v>3537</v>
      </c>
      <c r="W338" s="5" t="s">
        <v>72</v>
      </c>
      <c r="X338" s="5" t="s">
        <v>72</v>
      </c>
      <c r="Y338" s="4">
        <v>67</v>
      </c>
      <c r="Z338" s="4">
        <v>4</v>
      </c>
      <c r="AA338" s="4">
        <v>4</v>
      </c>
      <c r="AB338" s="4">
        <v>1</v>
      </c>
      <c r="AC338" s="4">
        <v>1</v>
      </c>
      <c r="AD338" s="4">
        <v>40</v>
      </c>
      <c r="AE338" s="4">
        <v>40</v>
      </c>
      <c r="AF338" s="4">
        <v>0</v>
      </c>
      <c r="AG338" s="4">
        <v>0</v>
      </c>
      <c r="AH338" s="4">
        <v>38</v>
      </c>
      <c r="AI338" s="4">
        <v>38</v>
      </c>
      <c r="AJ338" s="4">
        <v>2</v>
      </c>
      <c r="AK338" s="4">
        <v>2</v>
      </c>
      <c r="AL338" s="4">
        <v>29</v>
      </c>
      <c r="AM338" s="4">
        <v>29</v>
      </c>
      <c r="AN338" s="4">
        <v>0</v>
      </c>
      <c r="AO338" s="4">
        <v>0</v>
      </c>
      <c r="AP338" s="4">
        <v>2</v>
      </c>
      <c r="AQ338" s="4">
        <v>2</v>
      </c>
      <c r="AR338" s="3" t="s">
        <v>65</v>
      </c>
      <c r="AS338" s="3" t="s">
        <v>65</v>
      </c>
      <c r="AT338" s="3" t="s">
        <v>209</v>
      </c>
      <c r="AU338" s="6" t="str">
        <f>HYPERLINK("http://catalog.hathitrust.org/Record/004950176","HathiTrust Record")</f>
        <v>HathiTrust Record</v>
      </c>
      <c r="AV338" s="6" t="str">
        <f>HYPERLINK("http://mcgill.on.worldcat.org/oclc/57302951","Catalog Record")</f>
        <v>Catalog Record</v>
      </c>
      <c r="AW338" s="6" t="str">
        <f>HYPERLINK("http://www.worldcat.org/oclc/57302951","WorldCat Record")</f>
        <v>WorldCat Record</v>
      </c>
      <c r="AX338" s="3" t="s">
        <v>3538</v>
      </c>
      <c r="AY338" s="3" t="s">
        <v>3539</v>
      </c>
      <c r="AZ338" s="3" t="s">
        <v>3540</v>
      </c>
      <c r="BA338" s="3" t="s">
        <v>3540</v>
      </c>
      <c r="BB338" s="3" t="s">
        <v>3544</v>
      </c>
      <c r="BC338" s="3" t="s">
        <v>77</v>
      </c>
      <c r="BD338" s="3" t="s">
        <v>78</v>
      </c>
      <c r="BE338" s="3" t="s">
        <v>3542</v>
      </c>
      <c r="BF338" s="3" t="s">
        <v>3544</v>
      </c>
      <c r="BG338" s="3" t="s">
        <v>3545</v>
      </c>
    </row>
    <row r="339" spans="1:59" ht="58" x14ac:dyDescent="0.35">
      <c r="A339" s="2" t="s">
        <v>59</v>
      </c>
      <c r="B339" s="2" t="s">
        <v>60</v>
      </c>
      <c r="C339" s="2" t="s">
        <v>3546</v>
      </c>
      <c r="D339" s="2" t="s">
        <v>3547</v>
      </c>
      <c r="E339" s="2" t="s">
        <v>3548</v>
      </c>
      <c r="F339" s="3" t="s">
        <v>3549</v>
      </c>
      <c r="G339" s="3" t="s">
        <v>209</v>
      </c>
      <c r="I339" s="3" t="s">
        <v>65</v>
      </c>
      <c r="J339" s="3" t="s">
        <v>65</v>
      </c>
      <c r="K339" s="3" t="s">
        <v>66</v>
      </c>
      <c r="L339" s="2" t="s">
        <v>3550</v>
      </c>
      <c r="M339" s="2" t="s">
        <v>3551</v>
      </c>
      <c r="N339" s="3" t="s">
        <v>1835</v>
      </c>
      <c r="P339" s="3" t="s">
        <v>140</v>
      </c>
      <c r="Q339" s="2" t="s">
        <v>3552</v>
      </c>
      <c r="R339" s="3" t="s">
        <v>71</v>
      </c>
      <c r="S339" s="4">
        <v>4</v>
      </c>
      <c r="T339" s="4">
        <v>23</v>
      </c>
      <c r="U339" s="5" t="s">
        <v>3553</v>
      </c>
      <c r="V339" s="5" t="s">
        <v>3554</v>
      </c>
      <c r="W339" s="5" t="s">
        <v>72</v>
      </c>
      <c r="X339" s="5" t="s">
        <v>72</v>
      </c>
      <c r="Y339" s="4">
        <v>122</v>
      </c>
      <c r="Z339" s="4">
        <v>14</v>
      </c>
      <c r="AA339" s="4">
        <v>16</v>
      </c>
      <c r="AB339" s="4">
        <v>1</v>
      </c>
      <c r="AC339" s="4">
        <v>3</v>
      </c>
      <c r="AD339" s="4">
        <v>67</v>
      </c>
      <c r="AE339" s="4">
        <v>69</v>
      </c>
      <c r="AF339" s="4">
        <v>0</v>
      </c>
      <c r="AG339" s="4">
        <v>2</v>
      </c>
      <c r="AH339" s="4">
        <v>63</v>
      </c>
      <c r="AI339" s="4">
        <v>64</v>
      </c>
      <c r="AJ339" s="4">
        <v>10</v>
      </c>
      <c r="AK339" s="4">
        <v>12</v>
      </c>
      <c r="AL339" s="4">
        <v>42</v>
      </c>
      <c r="AM339" s="4">
        <v>42</v>
      </c>
      <c r="AN339" s="4">
        <v>0</v>
      </c>
      <c r="AO339" s="4">
        <v>0</v>
      </c>
      <c r="AP339" s="4">
        <v>10</v>
      </c>
      <c r="AQ339" s="4">
        <v>11</v>
      </c>
      <c r="AR339" s="3" t="s">
        <v>65</v>
      </c>
      <c r="AS339" s="3" t="s">
        <v>65</v>
      </c>
      <c r="AT339" s="3" t="s">
        <v>65</v>
      </c>
      <c r="AV339" s="6" t="str">
        <f>HYPERLINK("http://mcgill.on.worldcat.org/oclc/8492021","Catalog Record")</f>
        <v>Catalog Record</v>
      </c>
      <c r="AW339" s="6" t="str">
        <f>HYPERLINK("http://www.worldcat.org/oclc/8492021","WorldCat Record")</f>
        <v>WorldCat Record</v>
      </c>
      <c r="AX339" s="3" t="s">
        <v>3555</v>
      </c>
      <c r="AY339" s="3" t="s">
        <v>3556</v>
      </c>
      <c r="AZ339" s="3" t="s">
        <v>3557</v>
      </c>
      <c r="BA339" s="3" t="s">
        <v>3557</v>
      </c>
      <c r="BB339" s="3" t="s">
        <v>3558</v>
      </c>
      <c r="BC339" s="3" t="s">
        <v>77</v>
      </c>
      <c r="BD339" s="3" t="s">
        <v>78</v>
      </c>
      <c r="BF339" s="3" t="s">
        <v>3558</v>
      </c>
      <c r="BG339" s="3" t="s">
        <v>3559</v>
      </c>
    </row>
    <row r="340" spans="1:59" ht="58" x14ac:dyDescent="0.35">
      <c r="A340" s="2" t="s">
        <v>59</v>
      </c>
      <c r="B340" s="2" t="s">
        <v>60</v>
      </c>
      <c r="C340" s="2" t="s">
        <v>3546</v>
      </c>
      <c r="D340" s="2" t="s">
        <v>3547</v>
      </c>
      <c r="E340" s="2" t="s">
        <v>3548</v>
      </c>
      <c r="F340" s="3" t="s">
        <v>3560</v>
      </c>
      <c r="G340" s="3" t="s">
        <v>209</v>
      </c>
      <c r="I340" s="3" t="s">
        <v>65</v>
      </c>
      <c r="J340" s="3" t="s">
        <v>65</v>
      </c>
      <c r="K340" s="3" t="s">
        <v>66</v>
      </c>
      <c r="L340" s="2" t="s">
        <v>3550</v>
      </c>
      <c r="M340" s="2" t="s">
        <v>3551</v>
      </c>
      <c r="N340" s="3" t="s">
        <v>1835</v>
      </c>
      <c r="P340" s="3" t="s">
        <v>140</v>
      </c>
      <c r="Q340" s="2" t="s">
        <v>3552</v>
      </c>
      <c r="R340" s="3" t="s">
        <v>71</v>
      </c>
      <c r="S340" s="4">
        <v>19</v>
      </c>
      <c r="T340" s="4">
        <v>23</v>
      </c>
      <c r="U340" s="5" t="s">
        <v>3554</v>
      </c>
      <c r="V340" s="5" t="s">
        <v>3554</v>
      </c>
      <c r="W340" s="5" t="s">
        <v>72</v>
      </c>
      <c r="X340" s="5" t="s">
        <v>72</v>
      </c>
      <c r="Y340" s="4">
        <v>122</v>
      </c>
      <c r="Z340" s="4">
        <v>14</v>
      </c>
      <c r="AA340" s="4">
        <v>16</v>
      </c>
      <c r="AB340" s="4">
        <v>1</v>
      </c>
      <c r="AC340" s="4">
        <v>3</v>
      </c>
      <c r="AD340" s="4">
        <v>67</v>
      </c>
      <c r="AE340" s="4">
        <v>69</v>
      </c>
      <c r="AF340" s="4">
        <v>0</v>
      </c>
      <c r="AG340" s="4">
        <v>2</v>
      </c>
      <c r="AH340" s="4">
        <v>63</v>
      </c>
      <c r="AI340" s="4">
        <v>64</v>
      </c>
      <c r="AJ340" s="4">
        <v>10</v>
      </c>
      <c r="AK340" s="4">
        <v>12</v>
      </c>
      <c r="AL340" s="4">
        <v>42</v>
      </c>
      <c r="AM340" s="4">
        <v>42</v>
      </c>
      <c r="AN340" s="4">
        <v>0</v>
      </c>
      <c r="AO340" s="4">
        <v>0</v>
      </c>
      <c r="AP340" s="4">
        <v>10</v>
      </c>
      <c r="AQ340" s="4">
        <v>11</v>
      </c>
      <c r="AR340" s="3" t="s">
        <v>65</v>
      </c>
      <c r="AS340" s="3" t="s">
        <v>65</v>
      </c>
      <c r="AT340" s="3" t="s">
        <v>65</v>
      </c>
      <c r="AV340" s="6" t="str">
        <f>HYPERLINK("http://mcgill.on.worldcat.org/oclc/8492021","Catalog Record")</f>
        <v>Catalog Record</v>
      </c>
      <c r="AW340" s="6" t="str">
        <f>HYPERLINK("http://www.worldcat.org/oclc/8492021","WorldCat Record")</f>
        <v>WorldCat Record</v>
      </c>
      <c r="AX340" s="3" t="s">
        <v>3555</v>
      </c>
      <c r="AY340" s="3" t="s">
        <v>3556</v>
      </c>
      <c r="AZ340" s="3" t="s">
        <v>3557</v>
      </c>
      <c r="BA340" s="3" t="s">
        <v>3557</v>
      </c>
      <c r="BB340" s="3" t="s">
        <v>3561</v>
      </c>
      <c r="BC340" s="3" t="s">
        <v>77</v>
      </c>
      <c r="BD340" s="3" t="s">
        <v>78</v>
      </c>
      <c r="BF340" s="3" t="s">
        <v>3561</v>
      </c>
      <c r="BG340" s="3" t="s">
        <v>3562</v>
      </c>
    </row>
    <row r="341" spans="1:59" ht="58" x14ac:dyDescent="0.35">
      <c r="A341" s="2" t="s">
        <v>59</v>
      </c>
      <c r="B341" s="2" t="s">
        <v>60</v>
      </c>
      <c r="C341" s="2" t="s">
        <v>3563</v>
      </c>
      <c r="D341" s="2" t="s">
        <v>3564</v>
      </c>
      <c r="E341" s="2" t="s">
        <v>3565</v>
      </c>
      <c r="G341" s="3" t="s">
        <v>65</v>
      </c>
      <c r="I341" s="3" t="s">
        <v>65</v>
      </c>
      <c r="J341" s="3" t="s">
        <v>65</v>
      </c>
      <c r="K341" s="3" t="s">
        <v>66</v>
      </c>
      <c r="L341" s="2" t="s">
        <v>3566</v>
      </c>
      <c r="M341" s="2" t="s">
        <v>3567</v>
      </c>
      <c r="N341" s="3" t="s">
        <v>955</v>
      </c>
      <c r="O341" s="2" t="s">
        <v>654</v>
      </c>
      <c r="P341" s="3" t="s">
        <v>140</v>
      </c>
      <c r="Q341" s="2" t="s">
        <v>3568</v>
      </c>
      <c r="R341" s="3" t="s">
        <v>71</v>
      </c>
      <c r="S341" s="4">
        <v>8</v>
      </c>
      <c r="T341" s="4">
        <v>8</v>
      </c>
      <c r="U341" s="5" t="s">
        <v>3569</v>
      </c>
      <c r="V341" s="5" t="s">
        <v>3569</v>
      </c>
      <c r="W341" s="5" t="s">
        <v>72</v>
      </c>
      <c r="X341" s="5" t="s">
        <v>72</v>
      </c>
      <c r="Y341" s="4">
        <v>119</v>
      </c>
      <c r="Z341" s="4">
        <v>12</v>
      </c>
      <c r="AA341" s="4">
        <v>13</v>
      </c>
      <c r="AB341" s="4">
        <v>2</v>
      </c>
      <c r="AC341" s="4">
        <v>3</v>
      </c>
      <c r="AD341" s="4">
        <v>63</v>
      </c>
      <c r="AE341" s="4">
        <v>64</v>
      </c>
      <c r="AF341" s="4">
        <v>1</v>
      </c>
      <c r="AG341" s="4">
        <v>2</v>
      </c>
      <c r="AH341" s="4">
        <v>58</v>
      </c>
      <c r="AI341" s="4">
        <v>59</v>
      </c>
      <c r="AJ341" s="4">
        <v>9</v>
      </c>
      <c r="AK341" s="4">
        <v>10</v>
      </c>
      <c r="AL341" s="4">
        <v>38</v>
      </c>
      <c r="AM341" s="4">
        <v>38</v>
      </c>
      <c r="AN341" s="4">
        <v>0</v>
      </c>
      <c r="AO341" s="4">
        <v>0</v>
      </c>
      <c r="AP341" s="4">
        <v>10</v>
      </c>
      <c r="AQ341" s="4">
        <v>11</v>
      </c>
      <c r="AR341" s="3" t="s">
        <v>65</v>
      </c>
      <c r="AS341" s="3" t="s">
        <v>65</v>
      </c>
      <c r="AT341" s="3" t="s">
        <v>209</v>
      </c>
      <c r="AU341" s="6" t="str">
        <f>HYPERLINK("http://catalog.hathitrust.org/Record/000397367","HathiTrust Record")</f>
        <v>HathiTrust Record</v>
      </c>
      <c r="AV341" s="6" t="str">
        <f>HYPERLINK("http://mcgill.on.worldcat.org/oclc/9943813","Catalog Record")</f>
        <v>Catalog Record</v>
      </c>
      <c r="AW341" s="6" t="str">
        <f>HYPERLINK("http://www.worldcat.org/oclc/9943813","WorldCat Record")</f>
        <v>WorldCat Record</v>
      </c>
      <c r="AX341" s="3" t="s">
        <v>3570</v>
      </c>
      <c r="AY341" s="3" t="s">
        <v>3571</v>
      </c>
      <c r="AZ341" s="3" t="s">
        <v>3572</v>
      </c>
      <c r="BA341" s="3" t="s">
        <v>3572</v>
      </c>
      <c r="BB341" s="3" t="s">
        <v>3573</v>
      </c>
      <c r="BC341" s="3" t="s">
        <v>77</v>
      </c>
      <c r="BD341" s="3" t="s">
        <v>78</v>
      </c>
      <c r="BE341" s="3" t="s">
        <v>3574</v>
      </c>
      <c r="BF341" s="3" t="s">
        <v>3573</v>
      </c>
      <c r="BG341" s="3" t="s">
        <v>3575</v>
      </c>
    </row>
    <row r="342" spans="1:59" ht="58" x14ac:dyDescent="0.35">
      <c r="A342" s="2" t="s">
        <v>59</v>
      </c>
      <c r="B342" s="2" t="s">
        <v>60</v>
      </c>
      <c r="C342" s="2" t="s">
        <v>3576</v>
      </c>
      <c r="D342" s="2" t="s">
        <v>3577</v>
      </c>
      <c r="E342" s="2" t="s">
        <v>3578</v>
      </c>
      <c r="G342" s="3" t="s">
        <v>65</v>
      </c>
      <c r="I342" s="3" t="s">
        <v>65</v>
      </c>
      <c r="J342" s="3" t="s">
        <v>65</v>
      </c>
      <c r="K342" s="3" t="s">
        <v>66</v>
      </c>
      <c r="L342" s="2" t="s">
        <v>3579</v>
      </c>
      <c r="M342" s="2" t="s">
        <v>3580</v>
      </c>
      <c r="N342" s="3" t="s">
        <v>176</v>
      </c>
      <c r="O342" s="2" t="s">
        <v>379</v>
      </c>
      <c r="P342" s="3" t="s">
        <v>140</v>
      </c>
      <c r="Q342" s="2" t="s">
        <v>3581</v>
      </c>
      <c r="R342" s="3" t="s">
        <v>71</v>
      </c>
      <c r="S342" s="4">
        <v>0</v>
      </c>
      <c r="T342" s="4">
        <v>0</v>
      </c>
      <c r="W342" s="5" t="s">
        <v>72</v>
      </c>
      <c r="X342" s="5" t="s">
        <v>72</v>
      </c>
      <c r="Y342" s="4">
        <v>31</v>
      </c>
      <c r="Z342" s="4">
        <v>3</v>
      </c>
      <c r="AA342" s="4">
        <v>3</v>
      </c>
      <c r="AB342" s="4">
        <v>1</v>
      </c>
      <c r="AC342" s="4">
        <v>1</v>
      </c>
      <c r="AD342" s="4">
        <v>24</v>
      </c>
      <c r="AE342" s="4">
        <v>24</v>
      </c>
      <c r="AF342" s="4">
        <v>0</v>
      </c>
      <c r="AG342" s="4">
        <v>0</v>
      </c>
      <c r="AH342" s="4">
        <v>23</v>
      </c>
      <c r="AI342" s="4">
        <v>23</v>
      </c>
      <c r="AJ342" s="4">
        <v>1</v>
      </c>
      <c r="AK342" s="4">
        <v>1</v>
      </c>
      <c r="AL342" s="4">
        <v>20</v>
      </c>
      <c r="AM342" s="4">
        <v>20</v>
      </c>
      <c r="AN342" s="4">
        <v>0</v>
      </c>
      <c r="AO342" s="4">
        <v>0</v>
      </c>
      <c r="AP342" s="4">
        <v>1</v>
      </c>
      <c r="AQ342" s="4">
        <v>1</v>
      </c>
      <c r="AR342" s="3" t="s">
        <v>65</v>
      </c>
      <c r="AS342" s="3" t="s">
        <v>65</v>
      </c>
      <c r="AT342" s="3" t="s">
        <v>65</v>
      </c>
      <c r="AV342" s="6" t="str">
        <f>HYPERLINK("http://mcgill.on.worldcat.org/oclc/921842881","Catalog Record")</f>
        <v>Catalog Record</v>
      </c>
      <c r="AW342" s="6" t="str">
        <f>HYPERLINK("http://www.worldcat.org/oclc/921842881","WorldCat Record")</f>
        <v>WorldCat Record</v>
      </c>
      <c r="AX342" s="3" t="s">
        <v>3582</v>
      </c>
      <c r="AY342" s="3" t="s">
        <v>3583</v>
      </c>
      <c r="AZ342" s="3" t="s">
        <v>3584</v>
      </c>
      <c r="BA342" s="3" t="s">
        <v>3584</v>
      </c>
      <c r="BB342" s="3" t="s">
        <v>3585</v>
      </c>
      <c r="BC342" s="3" t="s">
        <v>77</v>
      </c>
      <c r="BD342" s="3" t="s">
        <v>78</v>
      </c>
      <c r="BE342" s="3" t="s">
        <v>3586</v>
      </c>
      <c r="BF342" s="3" t="s">
        <v>3585</v>
      </c>
      <c r="BG342" s="3" t="s">
        <v>3587</v>
      </c>
    </row>
    <row r="343" spans="1:59" ht="58" x14ac:dyDescent="0.35">
      <c r="A343" s="2" t="s">
        <v>59</v>
      </c>
      <c r="B343" s="2" t="s">
        <v>60</v>
      </c>
      <c r="C343" s="2" t="s">
        <v>3588</v>
      </c>
      <c r="D343" s="2" t="s">
        <v>3589</v>
      </c>
      <c r="E343" s="2" t="s">
        <v>3590</v>
      </c>
      <c r="G343" s="3" t="s">
        <v>65</v>
      </c>
      <c r="I343" s="3" t="s">
        <v>65</v>
      </c>
      <c r="J343" s="3" t="s">
        <v>65</v>
      </c>
      <c r="K343" s="3" t="s">
        <v>66</v>
      </c>
      <c r="L343" s="2" t="s">
        <v>3591</v>
      </c>
      <c r="M343" s="2" t="s">
        <v>3592</v>
      </c>
      <c r="N343" s="3" t="s">
        <v>164</v>
      </c>
      <c r="P343" s="3" t="s">
        <v>140</v>
      </c>
      <c r="Q343" s="2" t="s">
        <v>3593</v>
      </c>
      <c r="R343" s="3" t="s">
        <v>71</v>
      </c>
      <c r="S343" s="4">
        <v>0</v>
      </c>
      <c r="T343" s="4">
        <v>0</v>
      </c>
      <c r="W343" s="5" t="s">
        <v>72</v>
      </c>
      <c r="X343" s="5" t="s">
        <v>72</v>
      </c>
      <c r="Y343" s="4">
        <v>30</v>
      </c>
      <c r="Z343" s="4">
        <v>2</v>
      </c>
      <c r="AA343" s="4">
        <v>4</v>
      </c>
      <c r="AB343" s="4">
        <v>1</v>
      </c>
      <c r="AC343" s="4">
        <v>1</v>
      </c>
      <c r="AD343" s="4">
        <v>21</v>
      </c>
      <c r="AE343" s="4">
        <v>22</v>
      </c>
      <c r="AF343" s="4">
        <v>0</v>
      </c>
      <c r="AG343" s="4">
        <v>0</v>
      </c>
      <c r="AH343" s="4">
        <v>21</v>
      </c>
      <c r="AI343" s="4">
        <v>22</v>
      </c>
      <c r="AJ343" s="4">
        <v>1</v>
      </c>
      <c r="AK343" s="4">
        <v>2</v>
      </c>
      <c r="AL343" s="4">
        <v>15</v>
      </c>
      <c r="AM343" s="4">
        <v>16</v>
      </c>
      <c r="AN343" s="4">
        <v>0</v>
      </c>
      <c r="AO343" s="4">
        <v>0</v>
      </c>
      <c r="AP343" s="4">
        <v>1</v>
      </c>
      <c r="AQ343" s="4">
        <v>2</v>
      </c>
      <c r="AR343" s="3" t="s">
        <v>65</v>
      </c>
      <c r="AS343" s="3" t="s">
        <v>65</v>
      </c>
      <c r="AT343" s="3" t="s">
        <v>65</v>
      </c>
      <c r="AV343" s="6" t="str">
        <f>HYPERLINK("http://mcgill.on.worldcat.org/oclc/907366532","Catalog Record")</f>
        <v>Catalog Record</v>
      </c>
      <c r="AW343" s="6" t="str">
        <f>HYPERLINK("http://www.worldcat.org/oclc/907366532","WorldCat Record")</f>
        <v>WorldCat Record</v>
      </c>
      <c r="AX343" s="3" t="s">
        <v>3594</v>
      </c>
      <c r="AY343" s="3" t="s">
        <v>3595</v>
      </c>
      <c r="AZ343" s="3" t="s">
        <v>3596</v>
      </c>
      <c r="BA343" s="3" t="s">
        <v>3596</v>
      </c>
      <c r="BB343" s="3" t="s">
        <v>3597</v>
      </c>
      <c r="BC343" s="3" t="s">
        <v>77</v>
      </c>
      <c r="BD343" s="3" t="s">
        <v>78</v>
      </c>
      <c r="BE343" s="3" t="s">
        <v>3598</v>
      </c>
      <c r="BF343" s="3" t="s">
        <v>3597</v>
      </c>
      <c r="BG343" s="3" t="s">
        <v>3599</v>
      </c>
    </row>
    <row r="344" spans="1:59" ht="58" x14ac:dyDescent="0.35">
      <c r="A344" s="2" t="s">
        <v>59</v>
      </c>
      <c r="B344" s="2" t="s">
        <v>60</v>
      </c>
      <c r="C344" s="2" t="s">
        <v>3600</v>
      </c>
      <c r="D344" s="2" t="s">
        <v>3601</v>
      </c>
      <c r="E344" s="2" t="s">
        <v>3602</v>
      </c>
      <c r="G344" s="3" t="s">
        <v>65</v>
      </c>
      <c r="I344" s="3" t="s">
        <v>65</v>
      </c>
      <c r="J344" s="3" t="s">
        <v>65</v>
      </c>
      <c r="K344" s="3" t="s">
        <v>66</v>
      </c>
      <c r="L344" s="2" t="s">
        <v>3603</v>
      </c>
      <c r="M344" s="2" t="s">
        <v>3604</v>
      </c>
      <c r="N344" s="3" t="s">
        <v>99</v>
      </c>
      <c r="P344" s="3" t="s">
        <v>140</v>
      </c>
      <c r="Q344" s="2" t="s">
        <v>3605</v>
      </c>
      <c r="R344" s="3" t="s">
        <v>71</v>
      </c>
      <c r="S344" s="4">
        <v>1</v>
      </c>
      <c r="T344" s="4">
        <v>1</v>
      </c>
      <c r="U344" s="5" t="s">
        <v>3606</v>
      </c>
      <c r="V344" s="5" t="s">
        <v>3606</v>
      </c>
      <c r="W344" s="5" t="s">
        <v>72</v>
      </c>
      <c r="X344" s="5" t="s">
        <v>72</v>
      </c>
      <c r="Y344" s="4">
        <v>58</v>
      </c>
      <c r="Z344" s="4">
        <v>6</v>
      </c>
      <c r="AA344" s="4">
        <v>7</v>
      </c>
      <c r="AB344" s="4">
        <v>1</v>
      </c>
      <c r="AC344" s="4">
        <v>2</v>
      </c>
      <c r="AD344" s="4">
        <v>32</v>
      </c>
      <c r="AE344" s="4">
        <v>33</v>
      </c>
      <c r="AF344" s="4">
        <v>0</v>
      </c>
      <c r="AG344" s="4">
        <v>1</v>
      </c>
      <c r="AH344" s="4">
        <v>31</v>
      </c>
      <c r="AI344" s="4">
        <v>31</v>
      </c>
      <c r="AJ344" s="4">
        <v>4</v>
      </c>
      <c r="AK344" s="4">
        <v>5</v>
      </c>
      <c r="AL344" s="4">
        <v>22</v>
      </c>
      <c r="AM344" s="4">
        <v>22</v>
      </c>
      <c r="AN344" s="4">
        <v>0</v>
      </c>
      <c r="AO344" s="4">
        <v>0</v>
      </c>
      <c r="AP344" s="4">
        <v>4</v>
      </c>
      <c r="AQ344" s="4">
        <v>4</v>
      </c>
      <c r="AR344" s="3" t="s">
        <v>65</v>
      </c>
      <c r="AS344" s="3" t="s">
        <v>65</v>
      </c>
      <c r="AT344" s="3" t="s">
        <v>209</v>
      </c>
      <c r="AU344" s="6" t="str">
        <f>HYPERLINK("http://catalog.hathitrust.org/Record/007147559","HathiTrust Record")</f>
        <v>HathiTrust Record</v>
      </c>
      <c r="AV344" s="6" t="str">
        <f>HYPERLINK("http://mcgill.on.worldcat.org/oclc/78204103","Catalog Record")</f>
        <v>Catalog Record</v>
      </c>
      <c r="AW344" s="6" t="str">
        <f>HYPERLINK("http://www.worldcat.org/oclc/78204103","WorldCat Record")</f>
        <v>WorldCat Record</v>
      </c>
      <c r="AX344" s="3" t="s">
        <v>3607</v>
      </c>
      <c r="AY344" s="3" t="s">
        <v>3608</v>
      </c>
      <c r="AZ344" s="3" t="s">
        <v>3609</v>
      </c>
      <c r="BA344" s="3" t="s">
        <v>3609</v>
      </c>
      <c r="BB344" s="3" t="s">
        <v>3610</v>
      </c>
      <c r="BC344" s="3" t="s">
        <v>77</v>
      </c>
      <c r="BD344" s="3" t="s">
        <v>78</v>
      </c>
      <c r="BE344" s="3" t="s">
        <v>3611</v>
      </c>
      <c r="BF344" s="3" t="s">
        <v>3610</v>
      </c>
      <c r="BG344" s="3" t="s">
        <v>3612</v>
      </c>
    </row>
    <row r="345" spans="1:59" ht="58" x14ac:dyDescent="0.35">
      <c r="A345" s="2" t="s">
        <v>59</v>
      </c>
      <c r="B345" s="2" t="s">
        <v>60</v>
      </c>
      <c r="C345" s="2" t="s">
        <v>3613</v>
      </c>
      <c r="D345" s="2" t="s">
        <v>3614</v>
      </c>
      <c r="E345" s="2" t="s">
        <v>3615</v>
      </c>
      <c r="G345" s="3" t="s">
        <v>65</v>
      </c>
      <c r="I345" s="3" t="s">
        <v>65</v>
      </c>
      <c r="J345" s="3" t="s">
        <v>65</v>
      </c>
      <c r="K345" s="3" t="s">
        <v>66</v>
      </c>
      <c r="L345" s="2" t="s">
        <v>3616</v>
      </c>
      <c r="M345" s="2" t="s">
        <v>3617</v>
      </c>
      <c r="N345" s="3" t="s">
        <v>493</v>
      </c>
      <c r="P345" s="3" t="s">
        <v>140</v>
      </c>
      <c r="R345" s="3" t="s">
        <v>71</v>
      </c>
      <c r="S345" s="4">
        <v>1</v>
      </c>
      <c r="T345" s="4">
        <v>1</v>
      </c>
      <c r="U345" s="5" t="s">
        <v>3618</v>
      </c>
      <c r="V345" s="5" t="s">
        <v>3618</v>
      </c>
      <c r="W345" s="5" t="s">
        <v>72</v>
      </c>
      <c r="X345" s="5" t="s">
        <v>72</v>
      </c>
      <c r="Y345" s="4">
        <v>37</v>
      </c>
      <c r="Z345" s="4">
        <v>2</v>
      </c>
      <c r="AA345" s="4">
        <v>2</v>
      </c>
      <c r="AB345" s="4">
        <v>1</v>
      </c>
      <c r="AC345" s="4">
        <v>1</v>
      </c>
      <c r="AD345" s="4">
        <v>23</v>
      </c>
      <c r="AE345" s="4">
        <v>23</v>
      </c>
      <c r="AF345" s="4">
        <v>0</v>
      </c>
      <c r="AG345" s="4">
        <v>0</v>
      </c>
      <c r="AH345" s="4">
        <v>22</v>
      </c>
      <c r="AI345" s="4">
        <v>22</v>
      </c>
      <c r="AJ345" s="4">
        <v>0</v>
      </c>
      <c r="AK345" s="4">
        <v>0</v>
      </c>
      <c r="AL345" s="4">
        <v>18</v>
      </c>
      <c r="AM345" s="4">
        <v>18</v>
      </c>
      <c r="AN345" s="4">
        <v>0</v>
      </c>
      <c r="AO345" s="4">
        <v>0</v>
      </c>
      <c r="AP345" s="4">
        <v>0</v>
      </c>
      <c r="AQ345" s="4">
        <v>0</v>
      </c>
      <c r="AR345" s="3" t="s">
        <v>65</v>
      </c>
      <c r="AS345" s="3" t="s">
        <v>65</v>
      </c>
      <c r="AT345" s="3" t="s">
        <v>209</v>
      </c>
      <c r="AU345" s="6" t="str">
        <f>HYPERLINK("http://catalog.hathitrust.org/Record/007924695","HathiTrust Record")</f>
        <v>HathiTrust Record</v>
      </c>
      <c r="AV345" s="6" t="str">
        <f>HYPERLINK("http://mcgill.on.worldcat.org/oclc/664486","Catalog Record")</f>
        <v>Catalog Record</v>
      </c>
      <c r="AW345" s="6" t="str">
        <f>HYPERLINK("http://www.worldcat.org/oclc/664486","WorldCat Record")</f>
        <v>WorldCat Record</v>
      </c>
      <c r="AX345" s="3" t="s">
        <v>3619</v>
      </c>
      <c r="AY345" s="3" t="s">
        <v>3620</v>
      </c>
      <c r="AZ345" s="3" t="s">
        <v>3621</v>
      </c>
      <c r="BA345" s="3" t="s">
        <v>3621</v>
      </c>
      <c r="BB345" s="3" t="s">
        <v>3622</v>
      </c>
      <c r="BC345" s="3" t="s">
        <v>77</v>
      </c>
      <c r="BD345" s="3" t="s">
        <v>78</v>
      </c>
      <c r="BF345" s="3" t="s">
        <v>3622</v>
      </c>
      <c r="BG345" s="3" t="s">
        <v>3623</v>
      </c>
    </row>
    <row r="346" spans="1:59" ht="58" x14ac:dyDescent="0.35">
      <c r="A346" s="2" t="s">
        <v>59</v>
      </c>
      <c r="B346" s="2" t="s">
        <v>60</v>
      </c>
      <c r="C346" s="2" t="s">
        <v>3624</v>
      </c>
      <c r="D346" s="2" t="s">
        <v>3625</v>
      </c>
      <c r="E346" s="2" t="s">
        <v>3626</v>
      </c>
      <c r="G346" s="3" t="s">
        <v>65</v>
      </c>
      <c r="I346" s="3" t="s">
        <v>65</v>
      </c>
      <c r="J346" s="3" t="s">
        <v>65</v>
      </c>
      <c r="K346" s="3" t="s">
        <v>66</v>
      </c>
      <c r="L346" s="2" t="s">
        <v>3627</v>
      </c>
      <c r="M346" s="2" t="s">
        <v>3628</v>
      </c>
      <c r="N346" s="3" t="s">
        <v>942</v>
      </c>
      <c r="P346" s="3" t="s">
        <v>140</v>
      </c>
      <c r="R346" s="3" t="s">
        <v>71</v>
      </c>
      <c r="S346" s="4">
        <v>3</v>
      </c>
      <c r="T346" s="4">
        <v>3</v>
      </c>
      <c r="U346" s="5" t="s">
        <v>3629</v>
      </c>
      <c r="V346" s="5" t="s">
        <v>3629</v>
      </c>
      <c r="W346" s="5" t="s">
        <v>72</v>
      </c>
      <c r="X346" s="5" t="s">
        <v>72</v>
      </c>
      <c r="Y346" s="4">
        <v>31</v>
      </c>
      <c r="Z346" s="4">
        <v>7</v>
      </c>
      <c r="AA346" s="4">
        <v>7</v>
      </c>
      <c r="AB346" s="4">
        <v>1</v>
      </c>
      <c r="AC346" s="4">
        <v>1</v>
      </c>
      <c r="AD346" s="4">
        <v>17</v>
      </c>
      <c r="AE346" s="4">
        <v>20</v>
      </c>
      <c r="AF346" s="4">
        <v>0</v>
      </c>
      <c r="AG346" s="4">
        <v>0</v>
      </c>
      <c r="AH346" s="4">
        <v>15</v>
      </c>
      <c r="AI346" s="4">
        <v>18</v>
      </c>
      <c r="AJ346" s="4">
        <v>3</v>
      </c>
      <c r="AK346" s="4">
        <v>3</v>
      </c>
      <c r="AL346" s="4">
        <v>14</v>
      </c>
      <c r="AM346" s="4">
        <v>17</v>
      </c>
      <c r="AN346" s="4">
        <v>0</v>
      </c>
      <c r="AO346" s="4">
        <v>0</v>
      </c>
      <c r="AP346" s="4">
        <v>3</v>
      </c>
      <c r="AQ346" s="4">
        <v>3</v>
      </c>
      <c r="AR346" s="3" t="s">
        <v>65</v>
      </c>
      <c r="AS346" s="3" t="s">
        <v>65</v>
      </c>
      <c r="AT346" s="3" t="s">
        <v>209</v>
      </c>
      <c r="AU346" s="6" t="str">
        <f>HYPERLINK("http://catalog.hathitrust.org/Record/009382437","HathiTrust Record")</f>
        <v>HathiTrust Record</v>
      </c>
      <c r="AV346" s="6" t="str">
        <f>HYPERLINK("http://mcgill.on.worldcat.org/oclc/13896113","Catalog Record")</f>
        <v>Catalog Record</v>
      </c>
      <c r="AW346" s="6" t="str">
        <f>HYPERLINK("http://www.worldcat.org/oclc/13896113","WorldCat Record")</f>
        <v>WorldCat Record</v>
      </c>
      <c r="AX346" s="3" t="s">
        <v>3630</v>
      </c>
      <c r="AY346" s="3" t="s">
        <v>3631</v>
      </c>
      <c r="AZ346" s="3" t="s">
        <v>3632</v>
      </c>
      <c r="BA346" s="3" t="s">
        <v>3632</v>
      </c>
      <c r="BB346" s="3" t="s">
        <v>3633</v>
      </c>
      <c r="BC346" s="3" t="s">
        <v>77</v>
      </c>
      <c r="BD346" s="3" t="s">
        <v>78</v>
      </c>
      <c r="BF346" s="3" t="s">
        <v>3633</v>
      </c>
      <c r="BG346" s="3" t="s">
        <v>3634</v>
      </c>
    </row>
    <row r="347" spans="1:59" ht="58" x14ac:dyDescent="0.35">
      <c r="A347" s="2" t="s">
        <v>59</v>
      </c>
      <c r="B347" s="2" t="s">
        <v>60</v>
      </c>
      <c r="C347" s="2" t="s">
        <v>3635</v>
      </c>
      <c r="D347" s="2" t="s">
        <v>3636</v>
      </c>
      <c r="E347" s="2" t="s">
        <v>3637</v>
      </c>
      <c r="G347" s="3" t="s">
        <v>65</v>
      </c>
      <c r="I347" s="3" t="s">
        <v>65</v>
      </c>
      <c r="J347" s="3" t="s">
        <v>65</v>
      </c>
      <c r="K347" s="3" t="s">
        <v>66</v>
      </c>
      <c r="L347" s="2" t="s">
        <v>3638</v>
      </c>
      <c r="M347" s="2" t="s">
        <v>3639</v>
      </c>
      <c r="N347" s="3" t="s">
        <v>126</v>
      </c>
      <c r="P347" s="3" t="s">
        <v>140</v>
      </c>
      <c r="Q347" s="2" t="s">
        <v>3640</v>
      </c>
      <c r="R347" s="3" t="s">
        <v>71</v>
      </c>
      <c r="S347" s="4">
        <v>1</v>
      </c>
      <c r="T347" s="4">
        <v>1</v>
      </c>
      <c r="U347" s="5" t="s">
        <v>3641</v>
      </c>
      <c r="V347" s="5" t="s">
        <v>3641</v>
      </c>
      <c r="W347" s="5" t="s">
        <v>72</v>
      </c>
      <c r="X347" s="5" t="s">
        <v>72</v>
      </c>
      <c r="Y347" s="4">
        <v>7</v>
      </c>
      <c r="Z347" s="4">
        <v>1</v>
      </c>
      <c r="AA347" s="4">
        <v>7</v>
      </c>
      <c r="AB347" s="4">
        <v>1</v>
      </c>
      <c r="AC347" s="4">
        <v>3</v>
      </c>
      <c r="AD347" s="4">
        <v>2</v>
      </c>
      <c r="AE347" s="4">
        <v>37</v>
      </c>
      <c r="AF347" s="4">
        <v>0</v>
      </c>
      <c r="AG347" s="4">
        <v>2</v>
      </c>
      <c r="AH347" s="4">
        <v>2</v>
      </c>
      <c r="AI347" s="4">
        <v>33</v>
      </c>
      <c r="AJ347" s="4">
        <v>0</v>
      </c>
      <c r="AK347" s="4">
        <v>5</v>
      </c>
      <c r="AL347" s="4">
        <v>2</v>
      </c>
      <c r="AM347" s="4">
        <v>27</v>
      </c>
      <c r="AN347" s="4">
        <v>0</v>
      </c>
      <c r="AO347" s="4">
        <v>0</v>
      </c>
      <c r="AP347" s="4">
        <v>0</v>
      </c>
      <c r="AQ347" s="4">
        <v>4</v>
      </c>
      <c r="AR347" s="3" t="s">
        <v>65</v>
      </c>
      <c r="AS347" s="3" t="s">
        <v>65</v>
      </c>
      <c r="AT347" s="3" t="s">
        <v>65</v>
      </c>
      <c r="AV347" s="6" t="str">
        <f>HYPERLINK("http://mcgill.on.worldcat.org/oclc/708029639","Catalog Record")</f>
        <v>Catalog Record</v>
      </c>
      <c r="AW347" s="6" t="str">
        <f>HYPERLINK("http://www.worldcat.org/oclc/708029639","WorldCat Record")</f>
        <v>WorldCat Record</v>
      </c>
      <c r="AX347" s="3" t="s">
        <v>3642</v>
      </c>
      <c r="AY347" s="3" t="s">
        <v>3643</v>
      </c>
      <c r="AZ347" s="3" t="s">
        <v>3644</v>
      </c>
      <c r="BA347" s="3" t="s">
        <v>3644</v>
      </c>
      <c r="BB347" s="3" t="s">
        <v>3645</v>
      </c>
      <c r="BC347" s="3" t="s">
        <v>77</v>
      </c>
      <c r="BD347" s="3" t="s">
        <v>78</v>
      </c>
      <c r="BE347" s="3" t="s">
        <v>3646</v>
      </c>
      <c r="BF347" s="3" t="s">
        <v>3645</v>
      </c>
      <c r="BG347" s="3" t="s">
        <v>3647</v>
      </c>
    </row>
    <row r="348" spans="1:59" ht="58" x14ac:dyDescent="0.35">
      <c r="A348" s="2" t="s">
        <v>59</v>
      </c>
      <c r="B348" s="2" t="s">
        <v>60</v>
      </c>
      <c r="C348" s="2" t="s">
        <v>3648</v>
      </c>
      <c r="D348" s="2" t="s">
        <v>3649</v>
      </c>
      <c r="E348" s="2" t="s">
        <v>3650</v>
      </c>
      <c r="G348" s="3" t="s">
        <v>65</v>
      </c>
      <c r="I348" s="3" t="s">
        <v>65</v>
      </c>
      <c r="J348" s="3" t="s">
        <v>65</v>
      </c>
      <c r="K348" s="3" t="s">
        <v>66</v>
      </c>
      <c r="L348" s="2" t="s">
        <v>3651</v>
      </c>
      <c r="M348" s="2" t="s">
        <v>3652</v>
      </c>
      <c r="N348" s="3" t="s">
        <v>86</v>
      </c>
      <c r="P348" s="3" t="s">
        <v>140</v>
      </c>
      <c r="Q348" s="2" t="s">
        <v>3653</v>
      </c>
      <c r="R348" s="3" t="s">
        <v>71</v>
      </c>
      <c r="S348" s="4">
        <v>0</v>
      </c>
      <c r="T348" s="4">
        <v>0</v>
      </c>
      <c r="W348" s="5" t="s">
        <v>3654</v>
      </c>
      <c r="X348" s="5" t="s">
        <v>3654</v>
      </c>
      <c r="Y348" s="4">
        <v>39</v>
      </c>
      <c r="Z348" s="4">
        <v>1</v>
      </c>
      <c r="AA348" s="4">
        <v>1</v>
      </c>
      <c r="AB348" s="4">
        <v>1</v>
      </c>
      <c r="AC348" s="4">
        <v>1</v>
      </c>
      <c r="AD348" s="4">
        <v>23</v>
      </c>
      <c r="AE348" s="4">
        <v>23</v>
      </c>
      <c r="AF348" s="4">
        <v>0</v>
      </c>
      <c r="AG348" s="4">
        <v>0</v>
      </c>
      <c r="AH348" s="4">
        <v>22</v>
      </c>
      <c r="AI348" s="4">
        <v>22</v>
      </c>
      <c r="AJ348" s="4">
        <v>0</v>
      </c>
      <c r="AK348" s="4">
        <v>0</v>
      </c>
      <c r="AL348" s="4">
        <v>17</v>
      </c>
      <c r="AM348" s="4">
        <v>17</v>
      </c>
      <c r="AN348" s="4">
        <v>0</v>
      </c>
      <c r="AO348" s="4">
        <v>0</v>
      </c>
      <c r="AP348" s="4">
        <v>0</v>
      </c>
      <c r="AQ348" s="4">
        <v>0</v>
      </c>
      <c r="AR348" s="3" t="s">
        <v>65</v>
      </c>
      <c r="AS348" s="3" t="s">
        <v>65</v>
      </c>
      <c r="AT348" s="3" t="s">
        <v>65</v>
      </c>
      <c r="AV348" s="6" t="str">
        <f>HYPERLINK("http://mcgill.on.worldcat.org/oclc/1022082691","Catalog Record")</f>
        <v>Catalog Record</v>
      </c>
      <c r="AW348" s="6" t="str">
        <f>HYPERLINK("http://www.worldcat.org/oclc/1022082691","WorldCat Record")</f>
        <v>WorldCat Record</v>
      </c>
      <c r="AX348" s="3" t="s">
        <v>3655</v>
      </c>
      <c r="AY348" s="3" t="s">
        <v>3656</v>
      </c>
      <c r="AZ348" s="3" t="s">
        <v>3657</v>
      </c>
      <c r="BA348" s="3" t="s">
        <v>3657</v>
      </c>
      <c r="BB348" s="3" t="s">
        <v>3658</v>
      </c>
      <c r="BC348" s="3" t="s">
        <v>77</v>
      </c>
      <c r="BD348" s="3" t="s">
        <v>78</v>
      </c>
      <c r="BE348" s="3" t="s">
        <v>3659</v>
      </c>
      <c r="BF348" s="3" t="s">
        <v>3658</v>
      </c>
      <c r="BG348" s="3" t="s">
        <v>3660</v>
      </c>
    </row>
    <row r="349" spans="1:59" ht="58" x14ac:dyDescent="0.35">
      <c r="A349" s="2" t="s">
        <v>59</v>
      </c>
      <c r="B349" s="2" t="s">
        <v>60</v>
      </c>
      <c r="C349" s="2" t="s">
        <v>3661</v>
      </c>
      <c r="D349" s="2" t="s">
        <v>3662</v>
      </c>
      <c r="E349" s="2" t="s">
        <v>3663</v>
      </c>
      <c r="G349" s="3" t="s">
        <v>65</v>
      </c>
      <c r="I349" s="3" t="s">
        <v>65</v>
      </c>
      <c r="J349" s="3" t="s">
        <v>65</v>
      </c>
      <c r="K349" s="3" t="s">
        <v>66</v>
      </c>
      <c r="L349" s="2" t="s">
        <v>3664</v>
      </c>
      <c r="M349" s="2" t="s">
        <v>3665</v>
      </c>
      <c r="N349" s="3" t="s">
        <v>176</v>
      </c>
      <c r="O349" s="2" t="s">
        <v>235</v>
      </c>
      <c r="P349" s="3" t="s">
        <v>140</v>
      </c>
      <c r="R349" s="3" t="s">
        <v>71</v>
      </c>
      <c r="S349" s="4">
        <v>0</v>
      </c>
      <c r="T349" s="4">
        <v>0</v>
      </c>
      <c r="W349" s="5" t="s">
        <v>72</v>
      </c>
      <c r="X349" s="5" t="s">
        <v>72</v>
      </c>
      <c r="Y349" s="4">
        <v>36</v>
      </c>
      <c r="Z349" s="4">
        <v>4</v>
      </c>
      <c r="AA349" s="4">
        <v>4</v>
      </c>
      <c r="AB349" s="4">
        <v>1</v>
      </c>
      <c r="AC349" s="4">
        <v>1</v>
      </c>
      <c r="AD349" s="4">
        <v>27</v>
      </c>
      <c r="AE349" s="4">
        <v>27</v>
      </c>
      <c r="AF349" s="4">
        <v>0</v>
      </c>
      <c r="AG349" s="4">
        <v>0</v>
      </c>
      <c r="AH349" s="4">
        <v>27</v>
      </c>
      <c r="AI349" s="4">
        <v>27</v>
      </c>
      <c r="AJ349" s="4">
        <v>2</v>
      </c>
      <c r="AK349" s="4">
        <v>2</v>
      </c>
      <c r="AL349" s="4">
        <v>21</v>
      </c>
      <c r="AM349" s="4">
        <v>21</v>
      </c>
      <c r="AN349" s="4">
        <v>0</v>
      </c>
      <c r="AO349" s="4">
        <v>0</v>
      </c>
      <c r="AP349" s="4">
        <v>2</v>
      </c>
      <c r="AQ349" s="4">
        <v>2</v>
      </c>
      <c r="AR349" s="3" t="s">
        <v>65</v>
      </c>
      <c r="AS349" s="3" t="s">
        <v>65</v>
      </c>
      <c r="AT349" s="3" t="s">
        <v>65</v>
      </c>
      <c r="AV349" s="6" t="str">
        <f>HYPERLINK("http://mcgill.on.worldcat.org/oclc/909285043","Catalog Record")</f>
        <v>Catalog Record</v>
      </c>
      <c r="AW349" s="6" t="str">
        <f>HYPERLINK("http://www.worldcat.org/oclc/909285043","WorldCat Record")</f>
        <v>WorldCat Record</v>
      </c>
      <c r="AX349" s="3" t="s">
        <v>3666</v>
      </c>
      <c r="AY349" s="3" t="s">
        <v>3667</v>
      </c>
      <c r="AZ349" s="3" t="s">
        <v>3668</v>
      </c>
      <c r="BA349" s="3" t="s">
        <v>3668</v>
      </c>
      <c r="BB349" s="3" t="s">
        <v>3669</v>
      </c>
      <c r="BC349" s="3" t="s">
        <v>77</v>
      </c>
      <c r="BD349" s="3" t="s">
        <v>78</v>
      </c>
      <c r="BE349" s="3" t="s">
        <v>3670</v>
      </c>
      <c r="BF349" s="3" t="s">
        <v>3669</v>
      </c>
      <c r="BG349" s="3" t="s">
        <v>3671</v>
      </c>
    </row>
    <row r="350" spans="1:59" ht="58" x14ac:dyDescent="0.35">
      <c r="A350" s="2" t="s">
        <v>59</v>
      </c>
      <c r="B350" s="2" t="s">
        <v>60</v>
      </c>
      <c r="C350" s="2" t="s">
        <v>3672</v>
      </c>
      <c r="D350" s="2" t="s">
        <v>3673</v>
      </c>
      <c r="E350" s="2" t="s">
        <v>3674</v>
      </c>
      <c r="G350" s="3" t="s">
        <v>65</v>
      </c>
      <c r="I350" s="3" t="s">
        <v>65</v>
      </c>
      <c r="J350" s="3" t="s">
        <v>65</v>
      </c>
      <c r="K350" s="3" t="s">
        <v>66</v>
      </c>
      <c r="L350" s="2" t="s">
        <v>3675</v>
      </c>
      <c r="M350" s="2" t="s">
        <v>3676</v>
      </c>
      <c r="N350" s="3" t="s">
        <v>139</v>
      </c>
      <c r="O350" s="2" t="s">
        <v>365</v>
      </c>
      <c r="P350" s="3" t="s">
        <v>140</v>
      </c>
      <c r="Q350" s="2" t="s">
        <v>3677</v>
      </c>
      <c r="R350" s="3" t="s">
        <v>71</v>
      </c>
      <c r="S350" s="4">
        <v>0</v>
      </c>
      <c r="T350" s="4">
        <v>0</v>
      </c>
      <c r="W350" s="5" t="s">
        <v>72</v>
      </c>
      <c r="X350" s="5" t="s">
        <v>72</v>
      </c>
      <c r="Y350" s="4">
        <v>27</v>
      </c>
      <c r="Z350" s="4">
        <v>3</v>
      </c>
      <c r="AA350" s="4">
        <v>3</v>
      </c>
      <c r="AB350" s="4">
        <v>1</v>
      </c>
      <c r="AC350" s="4">
        <v>1</v>
      </c>
      <c r="AD350" s="4">
        <v>16</v>
      </c>
      <c r="AE350" s="4">
        <v>16</v>
      </c>
      <c r="AF350" s="4">
        <v>0</v>
      </c>
      <c r="AG350" s="4">
        <v>0</v>
      </c>
      <c r="AH350" s="4">
        <v>16</v>
      </c>
      <c r="AI350" s="4">
        <v>16</v>
      </c>
      <c r="AJ350" s="4">
        <v>1</v>
      </c>
      <c r="AK350" s="4">
        <v>1</v>
      </c>
      <c r="AL350" s="4">
        <v>13</v>
      </c>
      <c r="AM350" s="4">
        <v>13</v>
      </c>
      <c r="AN350" s="4">
        <v>0</v>
      </c>
      <c r="AO350" s="4">
        <v>0</v>
      </c>
      <c r="AP350" s="4">
        <v>1</v>
      </c>
      <c r="AQ350" s="4">
        <v>1</v>
      </c>
      <c r="AR350" s="3" t="s">
        <v>65</v>
      </c>
      <c r="AS350" s="3" t="s">
        <v>65</v>
      </c>
      <c r="AT350" s="3" t="s">
        <v>65</v>
      </c>
      <c r="AV350" s="6" t="str">
        <f>HYPERLINK("http://mcgill.on.worldcat.org/oclc/793723701","Catalog Record")</f>
        <v>Catalog Record</v>
      </c>
      <c r="AW350" s="6" t="str">
        <f>HYPERLINK("http://www.worldcat.org/oclc/793723701","WorldCat Record")</f>
        <v>WorldCat Record</v>
      </c>
      <c r="AX350" s="3" t="s">
        <v>3678</v>
      </c>
      <c r="AY350" s="3" t="s">
        <v>3679</v>
      </c>
      <c r="AZ350" s="3" t="s">
        <v>3680</v>
      </c>
      <c r="BA350" s="3" t="s">
        <v>3680</v>
      </c>
      <c r="BB350" s="3" t="s">
        <v>3681</v>
      </c>
      <c r="BC350" s="3" t="s">
        <v>77</v>
      </c>
      <c r="BD350" s="3" t="s">
        <v>78</v>
      </c>
      <c r="BE350" s="3" t="s">
        <v>3682</v>
      </c>
      <c r="BF350" s="3" t="s">
        <v>3681</v>
      </c>
      <c r="BG350" s="3" t="s">
        <v>3683</v>
      </c>
    </row>
    <row r="351" spans="1:59" ht="58" x14ac:dyDescent="0.35">
      <c r="A351" s="2" t="s">
        <v>59</v>
      </c>
      <c r="B351" s="2" t="s">
        <v>60</v>
      </c>
      <c r="C351" s="2" t="s">
        <v>3684</v>
      </c>
      <c r="D351" s="2" t="s">
        <v>3685</v>
      </c>
      <c r="E351" s="2" t="s">
        <v>3686</v>
      </c>
      <c r="G351" s="3" t="s">
        <v>65</v>
      </c>
      <c r="I351" s="3" t="s">
        <v>65</v>
      </c>
      <c r="J351" s="3" t="s">
        <v>65</v>
      </c>
      <c r="K351" s="3" t="s">
        <v>66</v>
      </c>
      <c r="M351" s="2" t="s">
        <v>3687</v>
      </c>
      <c r="N351" s="3" t="s">
        <v>2460</v>
      </c>
      <c r="P351" s="3" t="s">
        <v>140</v>
      </c>
      <c r="Q351" s="2" t="s">
        <v>3688</v>
      </c>
      <c r="R351" s="3" t="s">
        <v>71</v>
      </c>
      <c r="S351" s="4">
        <v>2</v>
      </c>
      <c r="T351" s="4">
        <v>2</v>
      </c>
      <c r="U351" s="5" t="s">
        <v>3606</v>
      </c>
      <c r="V351" s="5" t="s">
        <v>3606</v>
      </c>
      <c r="W351" s="5" t="s">
        <v>72</v>
      </c>
      <c r="X351" s="5" t="s">
        <v>72</v>
      </c>
      <c r="Y351" s="4">
        <v>40</v>
      </c>
      <c r="Z351" s="4">
        <v>15</v>
      </c>
      <c r="AA351" s="4">
        <v>15</v>
      </c>
      <c r="AB351" s="4">
        <v>1</v>
      </c>
      <c r="AC351" s="4">
        <v>1</v>
      </c>
      <c r="AD351" s="4">
        <v>28</v>
      </c>
      <c r="AE351" s="4">
        <v>28</v>
      </c>
      <c r="AF351" s="4">
        <v>0</v>
      </c>
      <c r="AG351" s="4">
        <v>0</v>
      </c>
      <c r="AH351" s="4">
        <v>23</v>
      </c>
      <c r="AI351" s="4">
        <v>23</v>
      </c>
      <c r="AJ351" s="4">
        <v>12</v>
      </c>
      <c r="AK351" s="4">
        <v>12</v>
      </c>
      <c r="AL351" s="4">
        <v>13</v>
      </c>
      <c r="AM351" s="4">
        <v>13</v>
      </c>
      <c r="AN351" s="4">
        <v>0</v>
      </c>
      <c r="AO351" s="4">
        <v>0</v>
      </c>
      <c r="AP351" s="4">
        <v>11</v>
      </c>
      <c r="AQ351" s="4">
        <v>11</v>
      </c>
      <c r="AR351" s="3" t="s">
        <v>209</v>
      </c>
      <c r="AS351" s="3" t="s">
        <v>65</v>
      </c>
      <c r="AT351" s="3" t="s">
        <v>65</v>
      </c>
      <c r="AV351" s="6" t="str">
        <f>HYPERLINK("http://mcgill.on.worldcat.org/oclc/35249146","Catalog Record")</f>
        <v>Catalog Record</v>
      </c>
      <c r="AW351" s="6" t="str">
        <f>HYPERLINK("http://www.worldcat.org/oclc/35249146","WorldCat Record")</f>
        <v>WorldCat Record</v>
      </c>
      <c r="AX351" s="3" t="s">
        <v>3689</v>
      </c>
      <c r="AY351" s="3" t="s">
        <v>3690</v>
      </c>
      <c r="AZ351" s="3" t="s">
        <v>3691</v>
      </c>
      <c r="BA351" s="3" t="s">
        <v>3691</v>
      </c>
      <c r="BB351" s="3" t="s">
        <v>3692</v>
      </c>
      <c r="BC351" s="3" t="s">
        <v>77</v>
      </c>
      <c r="BD351" s="3" t="s">
        <v>78</v>
      </c>
      <c r="BE351" s="3" t="s">
        <v>3693</v>
      </c>
      <c r="BF351" s="3" t="s">
        <v>3692</v>
      </c>
      <c r="BG351" s="3" t="s">
        <v>3694</v>
      </c>
    </row>
    <row r="352" spans="1:59" ht="58" x14ac:dyDescent="0.35">
      <c r="A352" s="2" t="s">
        <v>59</v>
      </c>
      <c r="B352" s="2" t="s">
        <v>60</v>
      </c>
      <c r="C352" s="2" t="s">
        <v>3695</v>
      </c>
      <c r="D352" s="2" t="s">
        <v>3696</v>
      </c>
      <c r="E352" s="2" t="s">
        <v>3697</v>
      </c>
      <c r="G352" s="3" t="s">
        <v>65</v>
      </c>
      <c r="I352" s="3" t="s">
        <v>65</v>
      </c>
      <c r="J352" s="3" t="s">
        <v>65</v>
      </c>
      <c r="K352" s="3" t="s">
        <v>66</v>
      </c>
      <c r="M352" s="2" t="s">
        <v>3698</v>
      </c>
      <c r="N352" s="3" t="s">
        <v>577</v>
      </c>
      <c r="P352" s="3" t="s">
        <v>616</v>
      </c>
      <c r="Q352" s="2" t="s">
        <v>3699</v>
      </c>
      <c r="R352" s="3" t="s">
        <v>71</v>
      </c>
      <c r="S352" s="4">
        <v>1</v>
      </c>
      <c r="T352" s="4">
        <v>1</v>
      </c>
      <c r="U352" s="5" t="s">
        <v>3700</v>
      </c>
      <c r="V352" s="5" t="s">
        <v>3700</v>
      </c>
      <c r="W352" s="5" t="s">
        <v>72</v>
      </c>
      <c r="X352" s="5" t="s">
        <v>72</v>
      </c>
      <c r="Y352" s="4">
        <v>1</v>
      </c>
      <c r="Z352" s="4">
        <v>1</v>
      </c>
      <c r="AA352" s="4">
        <v>1</v>
      </c>
      <c r="AB352" s="4">
        <v>1</v>
      </c>
      <c r="AC352" s="4">
        <v>1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4">
        <v>0</v>
      </c>
      <c r="AK352" s="4">
        <v>0</v>
      </c>
      <c r="AL352" s="4">
        <v>0</v>
      </c>
      <c r="AM352" s="4">
        <v>0</v>
      </c>
      <c r="AN352" s="4">
        <v>0</v>
      </c>
      <c r="AO352" s="4">
        <v>0</v>
      </c>
      <c r="AP352" s="4">
        <v>0</v>
      </c>
      <c r="AQ352" s="4">
        <v>0</v>
      </c>
      <c r="AR352" s="3" t="s">
        <v>65</v>
      </c>
      <c r="AS352" s="3" t="s">
        <v>65</v>
      </c>
      <c r="AT352" s="3" t="s">
        <v>209</v>
      </c>
      <c r="AU352" s="6" t="str">
        <f>HYPERLINK("http://catalog.hathitrust.org/Record/003923675","HathiTrust Record")</f>
        <v>HathiTrust Record</v>
      </c>
      <c r="AV352" s="6" t="str">
        <f>HYPERLINK("http://mcgill.on.worldcat.org/oclc/427060054","Catalog Record")</f>
        <v>Catalog Record</v>
      </c>
      <c r="AW352" s="6" t="str">
        <f>HYPERLINK("http://www.worldcat.org/oclc/427060054","WorldCat Record")</f>
        <v>WorldCat Record</v>
      </c>
      <c r="AX352" s="3" t="s">
        <v>3701</v>
      </c>
      <c r="AY352" s="3" t="s">
        <v>3702</v>
      </c>
      <c r="AZ352" s="3" t="s">
        <v>3703</v>
      </c>
      <c r="BA352" s="3" t="s">
        <v>3703</v>
      </c>
      <c r="BB352" s="3" t="s">
        <v>3704</v>
      </c>
      <c r="BC352" s="3" t="s">
        <v>77</v>
      </c>
      <c r="BD352" s="3" t="s">
        <v>78</v>
      </c>
      <c r="BE352" s="3" t="s">
        <v>3705</v>
      </c>
      <c r="BF352" s="3" t="s">
        <v>3704</v>
      </c>
      <c r="BG352" s="3" t="s">
        <v>3706</v>
      </c>
    </row>
    <row r="353" spans="1:59" ht="58" x14ac:dyDescent="0.35">
      <c r="A353" s="2" t="s">
        <v>59</v>
      </c>
      <c r="B353" s="2" t="s">
        <v>60</v>
      </c>
      <c r="C353" s="2" t="s">
        <v>3707</v>
      </c>
      <c r="D353" s="2" t="s">
        <v>3708</v>
      </c>
      <c r="E353" s="2" t="s">
        <v>3709</v>
      </c>
      <c r="G353" s="3" t="s">
        <v>65</v>
      </c>
      <c r="I353" s="3" t="s">
        <v>65</v>
      </c>
      <c r="J353" s="3" t="s">
        <v>65</v>
      </c>
      <c r="K353" s="3" t="s">
        <v>66</v>
      </c>
      <c r="L353" s="2" t="s">
        <v>3710</v>
      </c>
      <c r="M353" s="2" t="s">
        <v>3711</v>
      </c>
      <c r="N353" s="3" t="s">
        <v>139</v>
      </c>
      <c r="P353" s="3" t="s">
        <v>140</v>
      </c>
      <c r="Q353" s="2" t="s">
        <v>3712</v>
      </c>
      <c r="R353" s="3" t="s">
        <v>71</v>
      </c>
      <c r="S353" s="4">
        <v>0</v>
      </c>
      <c r="T353" s="4">
        <v>0</v>
      </c>
      <c r="W353" s="5" t="s">
        <v>72</v>
      </c>
      <c r="X353" s="5" t="s">
        <v>72</v>
      </c>
      <c r="Y353" s="4">
        <v>14</v>
      </c>
      <c r="Z353" s="4">
        <v>1</v>
      </c>
      <c r="AA353" s="4">
        <v>3</v>
      </c>
      <c r="AB353" s="4">
        <v>1</v>
      </c>
      <c r="AC353" s="4">
        <v>1</v>
      </c>
      <c r="AD353" s="4">
        <v>3</v>
      </c>
      <c r="AE353" s="4">
        <v>27</v>
      </c>
      <c r="AF353" s="4">
        <v>0</v>
      </c>
      <c r="AG353" s="4">
        <v>0</v>
      </c>
      <c r="AH353" s="4">
        <v>3</v>
      </c>
      <c r="AI353" s="4">
        <v>26</v>
      </c>
      <c r="AJ353" s="4">
        <v>0</v>
      </c>
      <c r="AK353" s="4">
        <v>1</v>
      </c>
      <c r="AL353" s="4">
        <v>3</v>
      </c>
      <c r="AM353" s="4">
        <v>24</v>
      </c>
      <c r="AN353" s="4">
        <v>0</v>
      </c>
      <c r="AO353" s="4">
        <v>0</v>
      </c>
      <c r="AP353" s="4">
        <v>0</v>
      </c>
      <c r="AQ353" s="4">
        <v>1</v>
      </c>
      <c r="AR353" s="3" t="s">
        <v>65</v>
      </c>
      <c r="AS353" s="3" t="s">
        <v>65</v>
      </c>
      <c r="AT353" s="3" t="s">
        <v>65</v>
      </c>
      <c r="AV353" s="6" t="str">
        <f>HYPERLINK("http://mcgill.on.worldcat.org/oclc/794580123","Catalog Record")</f>
        <v>Catalog Record</v>
      </c>
      <c r="AW353" s="6" t="str">
        <f>HYPERLINK("http://www.worldcat.org/oclc/794580123","WorldCat Record")</f>
        <v>WorldCat Record</v>
      </c>
      <c r="AX353" s="3" t="s">
        <v>3713</v>
      </c>
      <c r="AY353" s="3" t="s">
        <v>3714</v>
      </c>
      <c r="AZ353" s="3" t="s">
        <v>3715</v>
      </c>
      <c r="BA353" s="3" t="s">
        <v>3715</v>
      </c>
      <c r="BB353" s="3" t="s">
        <v>3716</v>
      </c>
      <c r="BC353" s="3" t="s">
        <v>77</v>
      </c>
      <c r="BD353" s="3" t="s">
        <v>78</v>
      </c>
      <c r="BE353" s="3" t="s">
        <v>3717</v>
      </c>
      <c r="BF353" s="3" t="s">
        <v>3716</v>
      </c>
      <c r="BG353" s="3" t="s">
        <v>3718</v>
      </c>
    </row>
    <row r="354" spans="1:59" ht="58" x14ac:dyDescent="0.35">
      <c r="A354" s="2" t="s">
        <v>59</v>
      </c>
      <c r="B354" s="2" t="s">
        <v>60</v>
      </c>
      <c r="C354" s="2" t="s">
        <v>3719</v>
      </c>
      <c r="D354" s="2" t="s">
        <v>3720</v>
      </c>
      <c r="E354" s="2" t="s">
        <v>3721</v>
      </c>
      <c r="G354" s="3" t="s">
        <v>65</v>
      </c>
      <c r="I354" s="3" t="s">
        <v>65</v>
      </c>
      <c r="J354" s="3" t="s">
        <v>65</v>
      </c>
      <c r="K354" s="3" t="s">
        <v>66</v>
      </c>
      <c r="M354" s="2" t="s">
        <v>3722</v>
      </c>
      <c r="N354" s="3" t="s">
        <v>99</v>
      </c>
      <c r="O354" s="2" t="s">
        <v>526</v>
      </c>
      <c r="P354" s="3" t="s">
        <v>69</v>
      </c>
      <c r="Q354" s="2" t="s">
        <v>3723</v>
      </c>
      <c r="R354" s="3" t="s">
        <v>71</v>
      </c>
      <c r="S354" s="4">
        <v>1</v>
      </c>
      <c r="T354" s="4">
        <v>1</v>
      </c>
      <c r="U354" s="5" t="s">
        <v>3724</v>
      </c>
      <c r="V354" s="5" t="s">
        <v>3724</v>
      </c>
      <c r="W354" s="5" t="s">
        <v>72</v>
      </c>
      <c r="X354" s="5" t="s">
        <v>72</v>
      </c>
      <c r="Y354" s="4">
        <v>55</v>
      </c>
      <c r="Z354" s="4">
        <v>7</v>
      </c>
      <c r="AA354" s="4">
        <v>7</v>
      </c>
      <c r="AB354" s="4">
        <v>1</v>
      </c>
      <c r="AC354" s="4">
        <v>1</v>
      </c>
      <c r="AD354" s="4">
        <v>36</v>
      </c>
      <c r="AE354" s="4">
        <v>36</v>
      </c>
      <c r="AF354" s="4">
        <v>0</v>
      </c>
      <c r="AG354" s="4">
        <v>0</v>
      </c>
      <c r="AH354" s="4">
        <v>35</v>
      </c>
      <c r="AI354" s="4">
        <v>35</v>
      </c>
      <c r="AJ354" s="4">
        <v>5</v>
      </c>
      <c r="AK354" s="4">
        <v>5</v>
      </c>
      <c r="AL354" s="4">
        <v>25</v>
      </c>
      <c r="AM354" s="4">
        <v>25</v>
      </c>
      <c r="AN354" s="4">
        <v>0</v>
      </c>
      <c r="AO354" s="4">
        <v>0</v>
      </c>
      <c r="AP354" s="4">
        <v>5</v>
      </c>
      <c r="AQ354" s="4">
        <v>5</v>
      </c>
      <c r="AR354" s="3" t="s">
        <v>65</v>
      </c>
      <c r="AS354" s="3" t="s">
        <v>65</v>
      </c>
      <c r="AT354" s="3" t="s">
        <v>209</v>
      </c>
      <c r="AU354" s="6" t="str">
        <f>HYPERLINK("http://catalog.hathitrust.org/Record/005397921","HathiTrust Record")</f>
        <v>HathiTrust Record</v>
      </c>
      <c r="AV354" s="6" t="str">
        <f>HYPERLINK("http://mcgill.on.worldcat.org/oclc/75966194","Catalog Record")</f>
        <v>Catalog Record</v>
      </c>
      <c r="AW354" s="6" t="str">
        <f>HYPERLINK("http://www.worldcat.org/oclc/75966194","WorldCat Record")</f>
        <v>WorldCat Record</v>
      </c>
      <c r="AX354" s="3" t="s">
        <v>3725</v>
      </c>
      <c r="AY354" s="3" t="s">
        <v>3726</v>
      </c>
      <c r="AZ354" s="3" t="s">
        <v>3727</v>
      </c>
      <c r="BA354" s="3" t="s">
        <v>3727</v>
      </c>
      <c r="BB354" s="3" t="s">
        <v>3728</v>
      </c>
      <c r="BC354" s="3" t="s">
        <v>77</v>
      </c>
      <c r="BD354" s="3" t="s">
        <v>78</v>
      </c>
      <c r="BE354" s="3" t="s">
        <v>3729</v>
      </c>
      <c r="BF354" s="3" t="s">
        <v>3728</v>
      </c>
      <c r="BG354" s="3" t="s">
        <v>3730</v>
      </c>
    </row>
    <row r="355" spans="1:59" ht="58" x14ac:dyDescent="0.35">
      <c r="A355" s="2" t="s">
        <v>59</v>
      </c>
      <c r="B355" s="2" t="s">
        <v>60</v>
      </c>
      <c r="C355" s="2" t="s">
        <v>3731</v>
      </c>
      <c r="D355" s="2" t="s">
        <v>3732</v>
      </c>
      <c r="E355" s="2" t="s">
        <v>3733</v>
      </c>
      <c r="G355" s="3" t="s">
        <v>65</v>
      </c>
      <c r="I355" s="3" t="s">
        <v>65</v>
      </c>
      <c r="J355" s="3" t="s">
        <v>65</v>
      </c>
      <c r="K355" s="3" t="s">
        <v>66</v>
      </c>
      <c r="L355" s="2" t="s">
        <v>3734</v>
      </c>
      <c r="M355" s="2" t="s">
        <v>3735</v>
      </c>
      <c r="N355" s="3" t="s">
        <v>126</v>
      </c>
      <c r="P355" s="3" t="s">
        <v>140</v>
      </c>
      <c r="Q355" s="2" t="s">
        <v>3736</v>
      </c>
      <c r="R355" s="3" t="s">
        <v>71</v>
      </c>
      <c r="S355" s="4">
        <v>0</v>
      </c>
      <c r="T355" s="4">
        <v>0</v>
      </c>
      <c r="W355" s="5" t="s">
        <v>72</v>
      </c>
      <c r="X355" s="5" t="s">
        <v>72</v>
      </c>
      <c r="Y355" s="4">
        <v>41</v>
      </c>
      <c r="Z355" s="4">
        <v>4</v>
      </c>
      <c r="AA355" s="4">
        <v>4</v>
      </c>
      <c r="AB355" s="4">
        <v>1</v>
      </c>
      <c r="AC355" s="4">
        <v>1</v>
      </c>
      <c r="AD355" s="4">
        <v>31</v>
      </c>
      <c r="AE355" s="4">
        <v>31</v>
      </c>
      <c r="AF355" s="4">
        <v>0</v>
      </c>
      <c r="AG355" s="4">
        <v>0</v>
      </c>
      <c r="AH355" s="4">
        <v>30</v>
      </c>
      <c r="AI355" s="4">
        <v>30</v>
      </c>
      <c r="AJ355" s="4">
        <v>2</v>
      </c>
      <c r="AK355" s="4">
        <v>2</v>
      </c>
      <c r="AL355" s="4">
        <v>24</v>
      </c>
      <c r="AM355" s="4">
        <v>24</v>
      </c>
      <c r="AN355" s="4">
        <v>0</v>
      </c>
      <c r="AO355" s="4">
        <v>0</v>
      </c>
      <c r="AP355" s="4">
        <v>2</v>
      </c>
      <c r="AQ355" s="4">
        <v>2</v>
      </c>
      <c r="AR355" s="3" t="s">
        <v>65</v>
      </c>
      <c r="AS355" s="3" t="s">
        <v>65</v>
      </c>
      <c r="AT355" s="3" t="s">
        <v>65</v>
      </c>
      <c r="AV355" s="6" t="str">
        <f>HYPERLINK("http://mcgill.on.worldcat.org/oclc/760053830","Catalog Record")</f>
        <v>Catalog Record</v>
      </c>
      <c r="AW355" s="6" t="str">
        <f>HYPERLINK("http://www.worldcat.org/oclc/760053830","WorldCat Record")</f>
        <v>WorldCat Record</v>
      </c>
      <c r="AX355" s="3" t="s">
        <v>3737</v>
      </c>
      <c r="AY355" s="3" t="s">
        <v>3738</v>
      </c>
      <c r="AZ355" s="3" t="s">
        <v>3739</v>
      </c>
      <c r="BA355" s="3" t="s">
        <v>3739</v>
      </c>
      <c r="BB355" s="3" t="s">
        <v>3740</v>
      </c>
      <c r="BC355" s="3" t="s">
        <v>77</v>
      </c>
      <c r="BD355" s="3" t="s">
        <v>78</v>
      </c>
      <c r="BE355" s="3" t="s">
        <v>3741</v>
      </c>
      <c r="BF355" s="3" t="s">
        <v>3740</v>
      </c>
      <c r="BG355" s="3" t="s">
        <v>3742</v>
      </c>
    </row>
    <row r="356" spans="1:59" ht="58" x14ac:dyDescent="0.35">
      <c r="A356" s="2" t="s">
        <v>59</v>
      </c>
      <c r="B356" s="2" t="s">
        <v>60</v>
      </c>
      <c r="C356" s="2" t="s">
        <v>3743</v>
      </c>
      <c r="D356" s="2" t="s">
        <v>3744</v>
      </c>
      <c r="E356" s="2" t="s">
        <v>3745</v>
      </c>
      <c r="G356" s="3" t="s">
        <v>65</v>
      </c>
      <c r="I356" s="3" t="s">
        <v>65</v>
      </c>
      <c r="J356" s="3" t="s">
        <v>65</v>
      </c>
      <c r="K356" s="3" t="s">
        <v>66</v>
      </c>
      <c r="L356" s="2" t="s">
        <v>2401</v>
      </c>
      <c r="M356" s="2" t="s">
        <v>1322</v>
      </c>
      <c r="N356" s="3" t="s">
        <v>164</v>
      </c>
      <c r="P356" s="3" t="s">
        <v>140</v>
      </c>
      <c r="Q356" s="2" t="s">
        <v>3746</v>
      </c>
      <c r="R356" s="3" t="s">
        <v>71</v>
      </c>
      <c r="S356" s="4">
        <v>0</v>
      </c>
      <c r="T356" s="4">
        <v>0</v>
      </c>
      <c r="W356" s="5" t="s">
        <v>72</v>
      </c>
      <c r="X356" s="5" t="s">
        <v>72</v>
      </c>
      <c r="Y356" s="4">
        <v>68</v>
      </c>
      <c r="Z356" s="4">
        <v>3</v>
      </c>
      <c r="AA356" s="4">
        <v>3</v>
      </c>
      <c r="AB356" s="4">
        <v>1</v>
      </c>
      <c r="AC356" s="4">
        <v>1</v>
      </c>
      <c r="AD356" s="4">
        <v>39</v>
      </c>
      <c r="AE356" s="4">
        <v>39</v>
      </c>
      <c r="AF356" s="4">
        <v>0</v>
      </c>
      <c r="AG356" s="4">
        <v>0</v>
      </c>
      <c r="AH356" s="4">
        <v>38</v>
      </c>
      <c r="AI356" s="4">
        <v>38</v>
      </c>
      <c r="AJ356" s="4">
        <v>1</v>
      </c>
      <c r="AK356" s="4">
        <v>1</v>
      </c>
      <c r="AL356" s="4">
        <v>32</v>
      </c>
      <c r="AM356" s="4">
        <v>32</v>
      </c>
      <c r="AN356" s="4">
        <v>0</v>
      </c>
      <c r="AO356" s="4">
        <v>0</v>
      </c>
      <c r="AP356" s="4">
        <v>1</v>
      </c>
      <c r="AQ356" s="4">
        <v>1</v>
      </c>
      <c r="AR356" s="3" t="s">
        <v>65</v>
      </c>
      <c r="AS356" s="3" t="s">
        <v>65</v>
      </c>
      <c r="AT356" s="3" t="s">
        <v>65</v>
      </c>
      <c r="AV356" s="6" t="str">
        <f>HYPERLINK("http://mcgill.on.worldcat.org/oclc/892848976","Catalog Record")</f>
        <v>Catalog Record</v>
      </c>
      <c r="AW356" s="6" t="str">
        <f>HYPERLINK("http://www.worldcat.org/oclc/892848976","WorldCat Record")</f>
        <v>WorldCat Record</v>
      </c>
      <c r="AX356" s="3" t="s">
        <v>3747</v>
      </c>
      <c r="AY356" s="3" t="s">
        <v>3748</v>
      </c>
      <c r="AZ356" s="3" t="s">
        <v>3749</v>
      </c>
      <c r="BA356" s="3" t="s">
        <v>3749</v>
      </c>
      <c r="BB356" s="3" t="s">
        <v>3750</v>
      </c>
      <c r="BC356" s="3" t="s">
        <v>77</v>
      </c>
      <c r="BD356" s="3" t="s">
        <v>78</v>
      </c>
      <c r="BE356" s="3" t="s">
        <v>3751</v>
      </c>
      <c r="BF356" s="3" t="s">
        <v>3750</v>
      </c>
      <c r="BG356" s="3" t="s">
        <v>3752</v>
      </c>
    </row>
    <row r="357" spans="1:59" ht="58" x14ac:dyDescent="0.35">
      <c r="A357" s="2" t="s">
        <v>59</v>
      </c>
      <c r="B357" s="2" t="s">
        <v>60</v>
      </c>
      <c r="C357" s="2" t="s">
        <v>3753</v>
      </c>
      <c r="D357" s="2" t="s">
        <v>3754</v>
      </c>
      <c r="E357" s="2" t="s">
        <v>3755</v>
      </c>
      <c r="G357" s="3" t="s">
        <v>65</v>
      </c>
      <c r="I357" s="3" t="s">
        <v>65</v>
      </c>
      <c r="J357" s="3" t="s">
        <v>65</v>
      </c>
      <c r="K357" s="3" t="s">
        <v>66</v>
      </c>
      <c r="L357" s="2" t="s">
        <v>3756</v>
      </c>
      <c r="M357" s="2" t="s">
        <v>3757</v>
      </c>
      <c r="N357" s="3" t="s">
        <v>68</v>
      </c>
      <c r="P357" s="3" t="s">
        <v>140</v>
      </c>
      <c r="R357" s="3" t="s">
        <v>71</v>
      </c>
      <c r="S357" s="4">
        <v>0</v>
      </c>
      <c r="T357" s="4">
        <v>0</v>
      </c>
      <c r="W357" s="5" t="s">
        <v>72</v>
      </c>
      <c r="X357" s="5" t="s">
        <v>72</v>
      </c>
      <c r="Y357" s="4">
        <v>37</v>
      </c>
      <c r="Z357" s="4">
        <v>3</v>
      </c>
      <c r="AA357" s="4">
        <v>3</v>
      </c>
      <c r="AB357" s="4">
        <v>1</v>
      </c>
      <c r="AC357" s="4">
        <v>1</v>
      </c>
      <c r="AD357" s="4">
        <v>26</v>
      </c>
      <c r="AE357" s="4">
        <v>26</v>
      </c>
      <c r="AF357" s="4">
        <v>0</v>
      </c>
      <c r="AG357" s="4">
        <v>0</v>
      </c>
      <c r="AH357" s="4">
        <v>25</v>
      </c>
      <c r="AI357" s="4">
        <v>25</v>
      </c>
      <c r="AJ357" s="4">
        <v>1</v>
      </c>
      <c r="AK357" s="4">
        <v>1</v>
      </c>
      <c r="AL357" s="4">
        <v>20</v>
      </c>
      <c r="AM357" s="4">
        <v>20</v>
      </c>
      <c r="AN357" s="4">
        <v>0</v>
      </c>
      <c r="AO357" s="4">
        <v>0</v>
      </c>
      <c r="AP357" s="4">
        <v>1</v>
      </c>
      <c r="AQ357" s="4">
        <v>1</v>
      </c>
      <c r="AR357" s="3" t="s">
        <v>65</v>
      </c>
      <c r="AS357" s="3" t="s">
        <v>65</v>
      </c>
      <c r="AT357" s="3" t="s">
        <v>65</v>
      </c>
      <c r="AV357" s="6" t="str">
        <f>HYPERLINK("http://mcgill.on.worldcat.org/oclc/945659259","Catalog Record")</f>
        <v>Catalog Record</v>
      </c>
      <c r="AW357" s="6" t="str">
        <f>HYPERLINK("http://www.worldcat.org/oclc/945659259","WorldCat Record")</f>
        <v>WorldCat Record</v>
      </c>
      <c r="AX357" s="3" t="s">
        <v>3758</v>
      </c>
      <c r="AY357" s="3" t="s">
        <v>3759</v>
      </c>
      <c r="AZ357" s="3" t="s">
        <v>3760</v>
      </c>
      <c r="BA357" s="3" t="s">
        <v>3760</v>
      </c>
      <c r="BB357" s="3" t="s">
        <v>3761</v>
      </c>
      <c r="BC357" s="3" t="s">
        <v>77</v>
      </c>
      <c r="BD357" s="3" t="s">
        <v>78</v>
      </c>
      <c r="BE357" s="3" t="s">
        <v>3762</v>
      </c>
      <c r="BF357" s="3" t="s">
        <v>3761</v>
      </c>
      <c r="BG357" s="3" t="s">
        <v>3763</v>
      </c>
    </row>
    <row r="358" spans="1:59" ht="58" x14ac:dyDescent="0.35">
      <c r="A358" s="2" t="s">
        <v>59</v>
      </c>
      <c r="B358" s="2" t="s">
        <v>60</v>
      </c>
      <c r="C358" s="2" t="s">
        <v>3764</v>
      </c>
      <c r="D358" s="2" t="s">
        <v>3765</v>
      </c>
      <c r="E358" s="2" t="s">
        <v>3766</v>
      </c>
      <c r="G358" s="3" t="s">
        <v>65</v>
      </c>
      <c r="I358" s="3" t="s">
        <v>65</v>
      </c>
      <c r="J358" s="3" t="s">
        <v>65</v>
      </c>
      <c r="K358" s="3" t="s">
        <v>66</v>
      </c>
      <c r="L358" s="2" t="s">
        <v>3767</v>
      </c>
      <c r="M358" s="2" t="s">
        <v>3768</v>
      </c>
      <c r="N358" s="3" t="s">
        <v>221</v>
      </c>
      <c r="P358" s="3" t="s">
        <v>69</v>
      </c>
      <c r="Q358" s="2" t="s">
        <v>1197</v>
      </c>
      <c r="R358" s="3" t="s">
        <v>71</v>
      </c>
      <c r="S358" s="4">
        <v>5</v>
      </c>
      <c r="T358" s="4">
        <v>5</v>
      </c>
      <c r="U358" s="5" t="s">
        <v>3769</v>
      </c>
      <c r="V358" s="5" t="s">
        <v>3769</v>
      </c>
      <c r="W358" s="5" t="s">
        <v>72</v>
      </c>
      <c r="X358" s="5" t="s">
        <v>72</v>
      </c>
      <c r="Y358" s="4">
        <v>234</v>
      </c>
      <c r="Z358" s="4">
        <v>25</v>
      </c>
      <c r="AA358" s="4">
        <v>117</v>
      </c>
      <c r="AB358" s="4">
        <v>1</v>
      </c>
      <c r="AC358" s="4">
        <v>19</v>
      </c>
      <c r="AD358" s="4">
        <v>98</v>
      </c>
      <c r="AE358" s="4">
        <v>142</v>
      </c>
      <c r="AF358" s="4">
        <v>0</v>
      </c>
      <c r="AG358" s="4">
        <v>8</v>
      </c>
      <c r="AH358" s="4">
        <v>84</v>
      </c>
      <c r="AI358" s="4">
        <v>99</v>
      </c>
      <c r="AJ358" s="4">
        <v>18</v>
      </c>
      <c r="AK358" s="4">
        <v>27</v>
      </c>
      <c r="AL358" s="4">
        <v>51</v>
      </c>
      <c r="AM358" s="4">
        <v>54</v>
      </c>
      <c r="AN358" s="4">
        <v>0</v>
      </c>
      <c r="AO358" s="4">
        <v>0</v>
      </c>
      <c r="AP358" s="4">
        <v>20</v>
      </c>
      <c r="AQ358" s="4">
        <v>51</v>
      </c>
      <c r="AR358" s="3" t="s">
        <v>209</v>
      </c>
      <c r="AS358" s="3" t="s">
        <v>65</v>
      </c>
      <c r="AT358" s="3" t="s">
        <v>65</v>
      </c>
      <c r="AV358" s="6" t="str">
        <f>HYPERLINK("http://mcgill.on.worldcat.org/oclc/155849481","Catalog Record")</f>
        <v>Catalog Record</v>
      </c>
      <c r="AW358" s="6" t="str">
        <f>HYPERLINK("http://www.worldcat.org/oclc/155849481","WorldCat Record")</f>
        <v>WorldCat Record</v>
      </c>
      <c r="AX358" s="3" t="s">
        <v>3770</v>
      </c>
      <c r="AY358" s="3" t="s">
        <v>3771</v>
      </c>
      <c r="AZ358" s="3" t="s">
        <v>3772</v>
      </c>
      <c r="BA358" s="3" t="s">
        <v>3772</v>
      </c>
      <c r="BB358" s="3" t="s">
        <v>3773</v>
      </c>
      <c r="BC358" s="3" t="s">
        <v>77</v>
      </c>
      <c r="BD358" s="3" t="s">
        <v>78</v>
      </c>
      <c r="BE358" s="3" t="s">
        <v>3774</v>
      </c>
      <c r="BF358" s="3" t="s">
        <v>3773</v>
      </c>
      <c r="BG358" s="3" t="s">
        <v>3775</v>
      </c>
    </row>
    <row r="359" spans="1:59" ht="58" x14ac:dyDescent="0.35">
      <c r="A359" s="2" t="s">
        <v>59</v>
      </c>
      <c r="B359" s="2" t="s">
        <v>60</v>
      </c>
      <c r="C359" s="2" t="s">
        <v>3776</v>
      </c>
      <c r="D359" s="2" t="s">
        <v>3777</v>
      </c>
      <c r="E359" s="2" t="s">
        <v>3778</v>
      </c>
      <c r="G359" s="3" t="s">
        <v>65</v>
      </c>
      <c r="I359" s="3" t="s">
        <v>65</v>
      </c>
      <c r="J359" s="3" t="s">
        <v>65</v>
      </c>
      <c r="K359" s="3" t="s">
        <v>66</v>
      </c>
      <c r="L359" s="2" t="s">
        <v>3779</v>
      </c>
      <c r="M359" s="2" t="s">
        <v>3780</v>
      </c>
      <c r="N359" s="3" t="s">
        <v>113</v>
      </c>
      <c r="P359" s="3" t="s">
        <v>140</v>
      </c>
      <c r="Q359" s="2" t="s">
        <v>3781</v>
      </c>
      <c r="R359" s="3" t="s">
        <v>71</v>
      </c>
      <c r="S359" s="4">
        <v>0</v>
      </c>
      <c r="T359" s="4">
        <v>0</v>
      </c>
      <c r="W359" s="5" t="s">
        <v>72</v>
      </c>
      <c r="X359" s="5" t="s">
        <v>72</v>
      </c>
      <c r="Y359" s="4">
        <v>49</v>
      </c>
      <c r="Z359" s="4">
        <v>5</v>
      </c>
      <c r="AA359" s="4">
        <v>5</v>
      </c>
      <c r="AB359" s="4">
        <v>1</v>
      </c>
      <c r="AC359" s="4">
        <v>1</v>
      </c>
      <c r="AD359" s="4">
        <v>36</v>
      </c>
      <c r="AE359" s="4">
        <v>36</v>
      </c>
      <c r="AF359" s="4">
        <v>0</v>
      </c>
      <c r="AG359" s="4">
        <v>0</v>
      </c>
      <c r="AH359" s="4">
        <v>35</v>
      </c>
      <c r="AI359" s="4">
        <v>35</v>
      </c>
      <c r="AJ359" s="4">
        <v>2</v>
      </c>
      <c r="AK359" s="4">
        <v>2</v>
      </c>
      <c r="AL359" s="4">
        <v>27</v>
      </c>
      <c r="AM359" s="4">
        <v>27</v>
      </c>
      <c r="AN359" s="4">
        <v>0</v>
      </c>
      <c r="AO359" s="4">
        <v>0</v>
      </c>
      <c r="AP359" s="4">
        <v>2</v>
      </c>
      <c r="AQ359" s="4">
        <v>2</v>
      </c>
      <c r="AR359" s="3" t="s">
        <v>65</v>
      </c>
      <c r="AS359" s="3" t="s">
        <v>65</v>
      </c>
      <c r="AT359" s="3" t="s">
        <v>65</v>
      </c>
      <c r="AV359" s="6" t="str">
        <f>HYPERLINK("http://mcgill.on.worldcat.org/oclc/694057286","Catalog Record")</f>
        <v>Catalog Record</v>
      </c>
      <c r="AW359" s="6" t="str">
        <f>HYPERLINK("http://www.worldcat.org/oclc/694057286","WorldCat Record")</f>
        <v>WorldCat Record</v>
      </c>
      <c r="AX359" s="3" t="s">
        <v>3782</v>
      </c>
      <c r="AY359" s="3" t="s">
        <v>3783</v>
      </c>
      <c r="AZ359" s="3" t="s">
        <v>3784</v>
      </c>
      <c r="BA359" s="3" t="s">
        <v>3784</v>
      </c>
      <c r="BB359" s="3" t="s">
        <v>3785</v>
      </c>
      <c r="BC359" s="3" t="s">
        <v>77</v>
      </c>
      <c r="BD359" s="3" t="s">
        <v>78</v>
      </c>
      <c r="BE359" s="3" t="s">
        <v>3786</v>
      </c>
      <c r="BF359" s="3" t="s">
        <v>3785</v>
      </c>
      <c r="BG359" s="3" t="s">
        <v>3787</v>
      </c>
    </row>
    <row r="360" spans="1:59" ht="58" x14ac:dyDescent="0.35">
      <c r="A360" s="2" t="s">
        <v>59</v>
      </c>
      <c r="B360" s="2" t="s">
        <v>60</v>
      </c>
      <c r="C360" s="2" t="s">
        <v>3788</v>
      </c>
      <c r="D360" s="2" t="s">
        <v>3789</v>
      </c>
      <c r="E360" s="2" t="s">
        <v>3790</v>
      </c>
      <c r="G360" s="3" t="s">
        <v>65</v>
      </c>
      <c r="I360" s="3" t="s">
        <v>65</v>
      </c>
      <c r="J360" s="3" t="s">
        <v>65</v>
      </c>
      <c r="K360" s="3" t="s">
        <v>66</v>
      </c>
      <c r="L360" s="2" t="s">
        <v>3791</v>
      </c>
      <c r="M360" s="2" t="s">
        <v>3792</v>
      </c>
      <c r="N360" s="3" t="s">
        <v>2210</v>
      </c>
      <c r="P360" s="3" t="s">
        <v>140</v>
      </c>
      <c r="R360" s="3" t="s">
        <v>71</v>
      </c>
      <c r="S360" s="4">
        <v>2</v>
      </c>
      <c r="T360" s="4">
        <v>2</v>
      </c>
      <c r="U360" s="5" t="s">
        <v>3793</v>
      </c>
      <c r="V360" s="5" t="s">
        <v>3793</v>
      </c>
      <c r="W360" s="5" t="s">
        <v>72</v>
      </c>
      <c r="X360" s="5" t="s">
        <v>72</v>
      </c>
      <c r="Y360" s="4">
        <v>56</v>
      </c>
      <c r="Z360" s="4">
        <v>4</v>
      </c>
      <c r="AA360" s="4">
        <v>4</v>
      </c>
      <c r="AB360" s="4">
        <v>1</v>
      </c>
      <c r="AC360" s="4">
        <v>1</v>
      </c>
      <c r="AD360" s="4">
        <v>29</v>
      </c>
      <c r="AE360" s="4">
        <v>29</v>
      </c>
      <c r="AF360" s="4">
        <v>0</v>
      </c>
      <c r="AG360" s="4">
        <v>0</v>
      </c>
      <c r="AH360" s="4">
        <v>27</v>
      </c>
      <c r="AI360" s="4">
        <v>27</v>
      </c>
      <c r="AJ360" s="4">
        <v>2</v>
      </c>
      <c r="AK360" s="4">
        <v>2</v>
      </c>
      <c r="AL360" s="4">
        <v>22</v>
      </c>
      <c r="AM360" s="4">
        <v>22</v>
      </c>
      <c r="AN360" s="4">
        <v>0</v>
      </c>
      <c r="AO360" s="4">
        <v>0</v>
      </c>
      <c r="AP360" s="4">
        <v>2</v>
      </c>
      <c r="AQ360" s="4">
        <v>2</v>
      </c>
      <c r="AR360" s="3" t="s">
        <v>65</v>
      </c>
      <c r="AS360" s="3" t="s">
        <v>65</v>
      </c>
      <c r="AT360" s="3" t="s">
        <v>65</v>
      </c>
      <c r="AV360" s="6" t="str">
        <f>HYPERLINK("http://mcgill.on.worldcat.org/oclc/49983208","Catalog Record")</f>
        <v>Catalog Record</v>
      </c>
      <c r="AW360" s="6" t="str">
        <f>HYPERLINK("http://www.worldcat.org/oclc/49983208","WorldCat Record")</f>
        <v>WorldCat Record</v>
      </c>
      <c r="AX360" s="3" t="s">
        <v>3794</v>
      </c>
      <c r="AY360" s="3" t="s">
        <v>3795</v>
      </c>
      <c r="AZ360" s="3" t="s">
        <v>3796</v>
      </c>
      <c r="BA360" s="3" t="s">
        <v>3796</v>
      </c>
      <c r="BB360" s="3" t="s">
        <v>3797</v>
      </c>
      <c r="BC360" s="3" t="s">
        <v>77</v>
      </c>
      <c r="BD360" s="3" t="s">
        <v>78</v>
      </c>
      <c r="BE360" s="3" t="s">
        <v>3798</v>
      </c>
      <c r="BF360" s="3" t="s">
        <v>3797</v>
      </c>
      <c r="BG360" s="3" t="s">
        <v>3799</v>
      </c>
    </row>
    <row r="361" spans="1:59" ht="58" x14ac:dyDescent="0.35">
      <c r="A361" s="2" t="s">
        <v>59</v>
      </c>
      <c r="B361" s="2" t="s">
        <v>60</v>
      </c>
      <c r="C361" s="2" t="s">
        <v>3800</v>
      </c>
      <c r="D361" s="2" t="s">
        <v>3801</v>
      </c>
      <c r="E361" s="2" t="s">
        <v>3802</v>
      </c>
      <c r="G361" s="3" t="s">
        <v>65</v>
      </c>
      <c r="I361" s="3" t="s">
        <v>65</v>
      </c>
      <c r="J361" s="3" t="s">
        <v>65</v>
      </c>
      <c r="K361" s="3" t="s">
        <v>66</v>
      </c>
      <c r="L361" s="2" t="s">
        <v>3803</v>
      </c>
      <c r="M361" s="2" t="s">
        <v>3804</v>
      </c>
      <c r="N361" s="3" t="s">
        <v>139</v>
      </c>
      <c r="P361" s="3" t="s">
        <v>140</v>
      </c>
      <c r="Q361" s="2" t="s">
        <v>3805</v>
      </c>
      <c r="R361" s="3" t="s">
        <v>71</v>
      </c>
      <c r="S361" s="4">
        <v>0</v>
      </c>
      <c r="T361" s="4">
        <v>0</v>
      </c>
      <c r="W361" s="5" t="s">
        <v>72</v>
      </c>
      <c r="X361" s="5" t="s">
        <v>72</v>
      </c>
      <c r="Y361" s="4">
        <v>22</v>
      </c>
      <c r="Z361" s="4">
        <v>3</v>
      </c>
      <c r="AA361" s="4">
        <v>3</v>
      </c>
      <c r="AB361" s="4">
        <v>1</v>
      </c>
      <c r="AC361" s="4">
        <v>1</v>
      </c>
      <c r="AD361" s="4">
        <v>16</v>
      </c>
      <c r="AE361" s="4">
        <v>16</v>
      </c>
      <c r="AF361" s="4">
        <v>0</v>
      </c>
      <c r="AG361" s="4">
        <v>0</v>
      </c>
      <c r="AH361" s="4">
        <v>15</v>
      </c>
      <c r="AI361" s="4">
        <v>15</v>
      </c>
      <c r="AJ361" s="4">
        <v>1</v>
      </c>
      <c r="AK361" s="4">
        <v>1</v>
      </c>
      <c r="AL361" s="4">
        <v>13</v>
      </c>
      <c r="AM361" s="4">
        <v>13</v>
      </c>
      <c r="AN361" s="4">
        <v>0</v>
      </c>
      <c r="AO361" s="4">
        <v>0</v>
      </c>
      <c r="AP361" s="4">
        <v>1</v>
      </c>
      <c r="AQ361" s="4">
        <v>1</v>
      </c>
      <c r="AR361" s="3" t="s">
        <v>65</v>
      </c>
      <c r="AS361" s="3" t="s">
        <v>65</v>
      </c>
      <c r="AT361" s="3" t="s">
        <v>65</v>
      </c>
      <c r="AV361" s="6" t="str">
        <f>HYPERLINK("http://mcgill.on.worldcat.org/oclc/852145377","Catalog Record")</f>
        <v>Catalog Record</v>
      </c>
      <c r="AW361" s="6" t="str">
        <f>HYPERLINK("http://www.worldcat.org/oclc/852145377","WorldCat Record")</f>
        <v>WorldCat Record</v>
      </c>
      <c r="AX361" s="3" t="s">
        <v>3806</v>
      </c>
      <c r="AY361" s="3" t="s">
        <v>3807</v>
      </c>
      <c r="AZ361" s="3" t="s">
        <v>3808</v>
      </c>
      <c r="BA361" s="3" t="s">
        <v>3808</v>
      </c>
      <c r="BB361" s="3" t="s">
        <v>3809</v>
      </c>
      <c r="BC361" s="3" t="s">
        <v>77</v>
      </c>
      <c r="BD361" s="3" t="s">
        <v>78</v>
      </c>
      <c r="BE361" s="3" t="s">
        <v>3810</v>
      </c>
      <c r="BF361" s="3" t="s">
        <v>3809</v>
      </c>
      <c r="BG361" s="3" t="s">
        <v>3811</v>
      </c>
    </row>
    <row r="362" spans="1:59" ht="58" x14ac:dyDescent="0.35">
      <c r="A362" s="2" t="s">
        <v>59</v>
      </c>
      <c r="B362" s="2" t="s">
        <v>60</v>
      </c>
      <c r="C362" s="2" t="s">
        <v>3812</v>
      </c>
      <c r="D362" s="2" t="s">
        <v>3813</v>
      </c>
      <c r="E362" s="2" t="s">
        <v>3814</v>
      </c>
      <c r="G362" s="3" t="s">
        <v>65</v>
      </c>
      <c r="I362" s="3" t="s">
        <v>65</v>
      </c>
      <c r="J362" s="3" t="s">
        <v>65</v>
      </c>
      <c r="K362" s="3" t="s">
        <v>66</v>
      </c>
      <c r="L362" s="2" t="s">
        <v>3815</v>
      </c>
      <c r="M362" s="2" t="s">
        <v>3816</v>
      </c>
      <c r="N362" s="3" t="s">
        <v>176</v>
      </c>
      <c r="P362" s="3" t="s">
        <v>140</v>
      </c>
      <c r="Q362" s="2" t="s">
        <v>3817</v>
      </c>
      <c r="R362" s="3" t="s">
        <v>71</v>
      </c>
      <c r="S362" s="4">
        <v>0</v>
      </c>
      <c r="T362" s="4">
        <v>0</v>
      </c>
      <c r="W362" s="5" t="s">
        <v>72</v>
      </c>
      <c r="X362" s="5" t="s">
        <v>72</v>
      </c>
      <c r="Y362" s="4">
        <v>21</v>
      </c>
      <c r="Z362" s="4">
        <v>2</v>
      </c>
      <c r="AA362" s="4">
        <v>2</v>
      </c>
      <c r="AB362" s="4">
        <v>1</v>
      </c>
      <c r="AC362" s="4">
        <v>1</v>
      </c>
      <c r="AD362" s="4">
        <v>15</v>
      </c>
      <c r="AE362" s="4">
        <v>17</v>
      </c>
      <c r="AF362" s="4">
        <v>0</v>
      </c>
      <c r="AG362" s="4">
        <v>0</v>
      </c>
      <c r="AH362" s="4">
        <v>15</v>
      </c>
      <c r="AI362" s="4">
        <v>16</v>
      </c>
      <c r="AJ362" s="4">
        <v>1</v>
      </c>
      <c r="AK362" s="4">
        <v>1</v>
      </c>
      <c r="AL362" s="4">
        <v>9</v>
      </c>
      <c r="AM362" s="4">
        <v>11</v>
      </c>
      <c r="AN362" s="4">
        <v>0</v>
      </c>
      <c r="AO362" s="4">
        <v>0</v>
      </c>
      <c r="AP362" s="4">
        <v>1</v>
      </c>
      <c r="AQ362" s="4">
        <v>1</v>
      </c>
      <c r="AR362" s="3" t="s">
        <v>65</v>
      </c>
      <c r="AS362" s="3" t="s">
        <v>65</v>
      </c>
      <c r="AT362" s="3" t="s">
        <v>65</v>
      </c>
      <c r="AV362" s="6" t="str">
        <f>HYPERLINK("http://mcgill.on.worldcat.org/oclc/922837005","Catalog Record")</f>
        <v>Catalog Record</v>
      </c>
      <c r="AW362" s="6" t="str">
        <f>HYPERLINK("http://www.worldcat.org/oclc/922837005","WorldCat Record")</f>
        <v>WorldCat Record</v>
      </c>
      <c r="AX362" s="3" t="s">
        <v>3818</v>
      </c>
      <c r="AY362" s="3" t="s">
        <v>3819</v>
      </c>
      <c r="AZ362" s="3" t="s">
        <v>3820</v>
      </c>
      <c r="BA362" s="3" t="s">
        <v>3820</v>
      </c>
      <c r="BB362" s="3" t="s">
        <v>3821</v>
      </c>
      <c r="BC362" s="3" t="s">
        <v>77</v>
      </c>
      <c r="BD362" s="3" t="s">
        <v>78</v>
      </c>
      <c r="BE362" s="3" t="s">
        <v>3822</v>
      </c>
      <c r="BF362" s="3" t="s">
        <v>3821</v>
      </c>
      <c r="BG362" s="3" t="s">
        <v>3823</v>
      </c>
    </row>
    <row r="363" spans="1:59" ht="58" x14ac:dyDescent="0.35">
      <c r="A363" s="2" t="s">
        <v>59</v>
      </c>
      <c r="B363" s="2" t="s">
        <v>60</v>
      </c>
      <c r="C363" s="2" t="s">
        <v>3824</v>
      </c>
      <c r="D363" s="2" t="s">
        <v>3825</v>
      </c>
      <c r="E363" s="2" t="s">
        <v>3826</v>
      </c>
      <c r="G363" s="3" t="s">
        <v>65</v>
      </c>
      <c r="I363" s="3" t="s">
        <v>65</v>
      </c>
      <c r="J363" s="3" t="s">
        <v>65</v>
      </c>
      <c r="K363" s="3" t="s">
        <v>66</v>
      </c>
      <c r="L363" s="2" t="s">
        <v>3827</v>
      </c>
      <c r="M363" s="2" t="s">
        <v>3828</v>
      </c>
      <c r="N363" s="3" t="s">
        <v>577</v>
      </c>
      <c r="O363" s="2" t="s">
        <v>3829</v>
      </c>
      <c r="P363" s="3" t="s">
        <v>140</v>
      </c>
      <c r="Q363" s="2" t="s">
        <v>3830</v>
      </c>
      <c r="R363" s="3" t="s">
        <v>71</v>
      </c>
      <c r="S363" s="4">
        <v>2</v>
      </c>
      <c r="T363" s="4">
        <v>2</v>
      </c>
      <c r="U363" s="5" t="s">
        <v>3200</v>
      </c>
      <c r="V363" s="5" t="s">
        <v>3200</v>
      </c>
      <c r="W363" s="5" t="s">
        <v>72</v>
      </c>
      <c r="X363" s="5" t="s">
        <v>72</v>
      </c>
      <c r="Y363" s="4">
        <v>18</v>
      </c>
      <c r="Z363" s="4">
        <v>2</v>
      </c>
      <c r="AA363" s="4">
        <v>13</v>
      </c>
      <c r="AB363" s="4">
        <v>1</v>
      </c>
      <c r="AC363" s="4">
        <v>3</v>
      </c>
      <c r="AD363" s="4">
        <v>8</v>
      </c>
      <c r="AE363" s="4">
        <v>38</v>
      </c>
      <c r="AF363" s="4">
        <v>0</v>
      </c>
      <c r="AG363" s="4">
        <v>2</v>
      </c>
      <c r="AH363" s="4">
        <v>8</v>
      </c>
      <c r="AI363" s="4">
        <v>32</v>
      </c>
      <c r="AJ363" s="4">
        <v>1</v>
      </c>
      <c r="AK363" s="4">
        <v>11</v>
      </c>
      <c r="AL363" s="4">
        <v>4</v>
      </c>
      <c r="AM363" s="4">
        <v>23</v>
      </c>
      <c r="AN363" s="4">
        <v>0</v>
      </c>
      <c r="AO363" s="4">
        <v>0</v>
      </c>
      <c r="AP363" s="4">
        <v>1</v>
      </c>
      <c r="AQ363" s="4">
        <v>10</v>
      </c>
      <c r="AR363" s="3" t="s">
        <v>65</v>
      </c>
      <c r="AS363" s="3" t="s">
        <v>65</v>
      </c>
      <c r="AT363" s="3" t="s">
        <v>209</v>
      </c>
      <c r="AU363" s="6" t="str">
        <f>HYPERLINK("http://catalog.hathitrust.org/Record/009497556","HathiTrust Record")</f>
        <v>HathiTrust Record</v>
      </c>
      <c r="AV363" s="6" t="str">
        <f>HYPERLINK("http://mcgill.on.worldcat.org/oclc/11271881","Catalog Record")</f>
        <v>Catalog Record</v>
      </c>
      <c r="AW363" s="6" t="str">
        <f>HYPERLINK("http://www.worldcat.org/oclc/11271881","WorldCat Record")</f>
        <v>WorldCat Record</v>
      </c>
      <c r="AX363" s="3" t="s">
        <v>3831</v>
      </c>
      <c r="AY363" s="3" t="s">
        <v>3832</v>
      </c>
      <c r="AZ363" s="3" t="s">
        <v>3833</v>
      </c>
      <c r="BA363" s="3" t="s">
        <v>3833</v>
      </c>
      <c r="BB363" s="3" t="s">
        <v>3834</v>
      </c>
      <c r="BC363" s="3" t="s">
        <v>77</v>
      </c>
      <c r="BD363" s="3" t="s">
        <v>78</v>
      </c>
      <c r="BF363" s="3" t="s">
        <v>3834</v>
      </c>
      <c r="BG363" s="3" t="s">
        <v>3835</v>
      </c>
    </row>
    <row r="364" spans="1:59" ht="58" x14ac:dyDescent="0.35">
      <c r="A364" s="2" t="s">
        <v>59</v>
      </c>
      <c r="B364" s="2" t="s">
        <v>60</v>
      </c>
      <c r="C364" s="2" t="s">
        <v>3836</v>
      </c>
      <c r="D364" s="2" t="s">
        <v>3837</v>
      </c>
      <c r="E364" s="2" t="s">
        <v>3838</v>
      </c>
      <c r="G364" s="3" t="s">
        <v>65</v>
      </c>
      <c r="I364" s="3" t="s">
        <v>65</v>
      </c>
      <c r="J364" s="3" t="s">
        <v>65</v>
      </c>
      <c r="K364" s="3" t="s">
        <v>66</v>
      </c>
      <c r="L364" s="2" t="s">
        <v>3839</v>
      </c>
      <c r="M364" s="2" t="s">
        <v>3840</v>
      </c>
      <c r="N364" s="3" t="s">
        <v>188</v>
      </c>
      <c r="O364" s="2" t="s">
        <v>235</v>
      </c>
      <c r="P364" s="3" t="s">
        <v>140</v>
      </c>
      <c r="Q364" s="2" t="s">
        <v>3841</v>
      </c>
      <c r="R364" s="3" t="s">
        <v>71</v>
      </c>
      <c r="S364" s="4">
        <v>0</v>
      </c>
      <c r="T364" s="4">
        <v>0</v>
      </c>
      <c r="W364" s="5" t="s">
        <v>72</v>
      </c>
      <c r="X364" s="5" t="s">
        <v>72</v>
      </c>
      <c r="Y364" s="4">
        <v>27</v>
      </c>
      <c r="Z364" s="4">
        <v>1</v>
      </c>
      <c r="AA364" s="4">
        <v>1</v>
      </c>
      <c r="AB364" s="4">
        <v>1</v>
      </c>
      <c r="AC364" s="4">
        <v>1</v>
      </c>
      <c r="AD364" s="4">
        <v>18</v>
      </c>
      <c r="AE364" s="4">
        <v>18</v>
      </c>
      <c r="AF364" s="4">
        <v>0</v>
      </c>
      <c r="AG364" s="4">
        <v>0</v>
      </c>
      <c r="AH364" s="4">
        <v>17</v>
      </c>
      <c r="AI364" s="4">
        <v>17</v>
      </c>
      <c r="AJ364" s="4">
        <v>0</v>
      </c>
      <c r="AK364" s="4">
        <v>0</v>
      </c>
      <c r="AL364" s="4">
        <v>14</v>
      </c>
      <c r="AM364" s="4">
        <v>14</v>
      </c>
      <c r="AN364" s="4">
        <v>0</v>
      </c>
      <c r="AO364" s="4">
        <v>0</v>
      </c>
      <c r="AP364" s="4">
        <v>0</v>
      </c>
      <c r="AQ364" s="4">
        <v>0</v>
      </c>
      <c r="AR364" s="3" t="s">
        <v>65</v>
      </c>
      <c r="AS364" s="3" t="s">
        <v>65</v>
      </c>
      <c r="AT364" s="3" t="s">
        <v>65</v>
      </c>
      <c r="AV364" s="6" t="str">
        <f>HYPERLINK("http://mcgill.on.worldcat.org/oclc/984475420","Catalog Record")</f>
        <v>Catalog Record</v>
      </c>
      <c r="AW364" s="6" t="str">
        <f>HYPERLINK("http://www.worldcat.org/oclc/984475420","WorldCat Record")</f>
        <v>WorldCat Record</v>
      </c>
      <c r="AX364" s="3" t="s">
        <v>3842</v>
      </c>
      <c r="AY364" s="3" t="s">
        <v>3843</v>
      </c>
      <c r="AZ364" s="3" t="s">
        <v>3844</v>
      </c>
      <c r="BA364" s="3" t="s">
        <v>3844</v>
      </c>
      <c r="BB364" s="3" t="s">
        <v>3845</v>
      </c>
      <c r="BC364" s="3" t="s">
        <v>77</v>
      </c>
      <c r="BD364" s="3" t="s">
        <v>78</v>
      </c>
      <c r="BE364" s="3" t="s">
        <v>3846</v>
      </c>
      <c r="BF364" s="3" t="s">
        <v>3845</v>
      </c>
      <c r="BG364" s="3" t="s">
        <v>3847</v>
      </c>
    </row>
    <row r="365" spans="1:59" ht="58" x14ac:dyDescent="0.35">
      <c r="A365" s="2" t="s">
        <v>59</v>
      </c>
      <c r="B365" s="2" t="s">
        <v>60</v>
      </c>
      <c r="C365" s="2" t="s">
        <v>3848</v>
      </c>
      <c r="D365" s="2" t="s">
        <v>3849</v>
      </c>
      <c r="E365" s="2" t="s">
        <v>3850</v>
      </c>
      <c r="G365" s="3" t="s">
        <v>65</v>
      </c>
      <c r="I365" s="3" t="s">
        <v>65</v>
      </c>
      <c r="J365" s="3" t="s">
        <v>65</v>
      </c>
      <c r="K365" s="3" t="s">
        <v>66</v>
      </c>
      <c r="L365" s="2" t="s">
        <v>3851</v>
      </c>
      <c r="M365" s="2" t="s">
        <v>3852</v>
      </c>
      <c r="N365" s="3" t="s">
        <v>1196</v>
      </c>
      <c r="P365" s="3" t="s">
        <v>69</v>
      </c>
      <c r="R365" s="3" t="s">
        <v>71</v>
      </c>
      <c r="S365" s="4">
        <v>3</v>
      </c>
      <c r="T365" s="4">
        <v>3</v>
      </c>
      <c r="U365" s="5" t="s">
        <v>3853</v>
      </c>
      <c r="V365" s="5" t="s">
        <v>3853</v>
      </c>
      <c r="W365" s="5" t="s">
        <v>72</v>
      </c>
      <c r="X365" s="5" t="s">
        <v>72</v>
      </c>
      <c r="Y365" s="4">
        <v>204</v>
      </c>
      <c r="Z365" s="4">
        <v>16</v>
      </c>
      <c r="AA365" s="4">
        <v>18</v>
      </c>
      <c r="AB365" s="4">
        <v>1</v>
      </c>
      <c r="AC365" s="4">
        <v>3</v>
      </c>
      <c r="AD365" s="4">
        <v>100</v>
      </c>
      <c r="AE365" s="4">
        <v>100</v>
      </c>
      <c r="AF365" s="4">
        <v>0</v>
      </c>
      <c r="AG365" s="4">
        <v>0</v>
      </c>
      <c r="AH365" s="4">
        <v>93</v>
      </c>
      <c r="AI365" s="4">
        <v>93</v>
      </c>
      <c r="AJ365" s="4">
        <v>12</v>
      </c>
      <c r="AK365" s="4">
        <v>12</v>
      </c>
      <c r="AL365" s="4">
        <v>54</v>
      </c>
      <c r="AM365" s="4">
        <v>54</v>
      </c>
      <c r="AN365" s="4">
        <v>0</v>
      </c>
      <c r="AO365" s="4">
        <v>0</v>
      </c>
      <c r="AP365" s="4">
        <v>13</v>
      </c>
      <c r="AQ365" s="4">
        <v>13</v>
      </c>
      <c r="AR365" s="3" t="s">
        <v>65</v>
      </c>
      <c r="AS365" s="3" t="s">
        <v>65</v>
      </c>
      <c r="AT365" s="3" t="s">
        <v>209</v>
      </c>
      <c r="AU365" s="6" t="str">
        <f>HYPERLINK("http://catalog.hathitrust.org/Record/005082993","HathiTrust Record")</f>
        <v>HathiTrust Record</v>
      </c>
      <c r="AV365" s="6" t="str">
        <f>HYPERLINK("http://mcgill.on.worldcat.org/oclc/58043399","Catalog Record")</f>
        <v>Catalog Record</v>
      </c>
      <c r="AW365" s="6" t="str">
        <f>HYPERLINK("http://www.worldcat.org/oclc/58043399","WorldCat Record")</f>
        <v>WorldCat Record</v>
      </c>
      <c r="AX365" s="3" t="s">
        <v>3854</v>
      </c>
      <c r="AY365" s="3" t="s">
        <v>3855</v>
      </c>
      <c r="AZ365" s="3" t="s">
        <v>3856</v>
      </c>
      <c r="BA365" s="3" t="s">
        <v>3856</v>
      </c>
      <c r="BB365" s="3" t="s">
        <v>3857</v>
      </c>
      <c r="BC365" s="3" t="s">
        <v>77</v>
      </c>
      <c r="BD365" s="3" t="s">
        <v>106</v>
      </c>
      <c r="BE365" s="3" t="s">
        <v>3858</v>
      </c>
      <c r="BF365" s="3" t="s">
        <v>3857</v>
      </c>
      <c r="BG365" s="3" t="s">
        <v>3859</v>
      </c>
    </row>
    <row r="366" spans="1:59" ht="58" x14ac:dyDescent="0.35">
      <c r="A366" s="2" t="s">
        <v>59</v>
      </c>
      <c r="B366" s="2" t="s">
        <v>60</v>
      </c>
      <c r="C366" s="2" t="s">
        <v>3860</v>
      </c>
      <c r="D366" s="2" t="s">
        <v>3861</v>
      </c>
      <c r="E366" s="2" t="s">
        <v>3862</v>
      </c>
      <c r="G366" s="3" t="s">
        <v>65</v>
      </c>
      <c r="I366" s="3" t="s">
        <v>65</v>
      </c>
      <c r="J366" s="3" t="s">
        <v>65</v>
      </c>
      <c r="K366" s="3" t="s">
        <v>66</v>
      </c>
      <c r="L366" s="2" t="s">
        <v>3863</v>
      </c>
      <c r="M366" s="2" t="s">
        <v>3864</v>
      </c>
      <c r="N366" s="3" t="s">
        <v>113</v>
      </c>
      <c r="O366" s="2" t="s">
        <v>365</v>
      </c>
      <c r="P366" s="3" t="s">
        <v>140</v>
      </c>
      <c r="R366" s="3" t="s">
        <v>71</v>
      </c>
      <c r="S366" s="4">
        <v>0</v>
      </c>
      <c r="T366" s="4">
        <v>0</v>
      </c>
      <c r="W366" s="5" t="s">
        <v>72</v>
      </c>
      <c r="X366" s="5" t="s">
        <v>72</v>
      </c>
      <c r="Y366" s="4">
        <v>38</v>
      </c>
      <c r="Z366" s="4">
        <v>3</v>
      </c>
      <c r="AA366" s="4">
        <v>3</v>
      </c>
      <c r="AB366" s="4">
        <v>1</v>
      </c>
      <c r="AC366" s="4">
        <v>1</v>
      </c>
      <c r="AD366" s="4">
        <v>21</v>
      </c>
      <c r="AE366" s="4">
        <v>21</v>
      </c>
      <c r="AF366" s="4">
        <v>0</v>
      </c>
      <c r="AG366" s="4">
        <v>0</v>
      </c>
      <c r="AH366" s="4">
        <v>21</v>
      </c>
      <c r="AI366" s="4">
        <v>21</v>
      </c>
      <c r="AJ366" s="4">
        <v>1</v>
      </c>
      <c r="AK366" s="4">
        <v>1</v>
      </c>
      <c r="AL366" s="4">
        <v>16</v>
      </c>
      <c r="AM366" s="4">
        <v>16</v>
      </c>
      <c r="AN366" s="4">
        <v>0</v>
      </c>
      <c r="AO366" s="4">
        <v>0</v>
      </c>
      <c r="AP366" s="4">
        <v>1</v>
      </c>
      <c r="AQ366" s="4">
        <v>1</v>
      </c>
      <c r="AR366" s="3" t="s">
        <v>65</v>
      </c>
      <c r="AS366" s="3" t="s">
        <v>65</v>
      </c>
      <c r="AT366" s="3" t="s">
        <v>65</v>
      </c>
      <c r="AV366" s="6" t="str">
        <f>HYPERLINK("http://mcgill.on.worldcat.org/oclc/698165266","Catalog Record")</f>
        <v>Catalog Record</v>
      </c>
      <c r="AW366" s="6" t="str">
        <f>HYPERLINK("http://www.worldcat.org/oclc/698165266","WorldCat Record")</f>
        <v>WorldCat Record</v>
      </c>
      <c r="AX366" s="3" t="s">
        <v>3865</v>
      </c>
      <c r="AY366" s="3" t="s">
        <v>3866</v>
      </c>
      <c r="AZ366" s="3" t="s">
        <v>3867</v>
      </c>
      <c r="BA366" s="3" t="s">
        <v>3867</v>
      </c>
      <c r="BB366" s="3" t="s">
        <v>3868</v>
      </c>
      <c r="BC366" s="3" t="s">
        <v>77</v>
      </c>
      <c r="BD366" s="3" t="s">
        <v>78</v>
      </c>
      <c r="BE366" s="3" t="s">
        <v>3869</v>
      </c>
      <c r="BF366" s="3" t="s">
        <v>3868</v>
      </c>
      <c r="BG366" s="3" t="s">
        <v>3870</v>
      </c>
    </row>
    <row r="367" spans="1:59" ht="58" x14ac:dyDescent="0.35">
      <c r="A367" s="2" t="s">
        <v>59</v>
      </c>
      <c r="B367" s="2" t="s">
        <v>60</v>
      </c>
      <c r="C367" s="2" t="s">
        <v>3871</v>
      </c>
      <c r="D367" s="2" t="s">
        <v>3872</v>
      </c>
      <c r="E367" s="2" t="s">
        <v>3873</v>
      </c>
      <c r="G367" s="3" t="s">
        <v>65</v>
      </c>
      <c r="I367" s="3" t="s">
        <v>65</v>
      </c>
      <c r="J367" s="3" t="s">
        <v>65</v>
      </c>
      <c r="K367" s="3" t="s">
        <v>66</v>
      </c>
      <c r="L367" s="2" t="s">
        <v>3874</v>
      </c>
      <c r="M367" s="2" t="s">
        <v>3875</v>
      </c>
      <c r="N367" s="3" t="s">
        <v>68</v>
      </c>
      <c r="P367" s="3" t="s">
        <v>140</v>
      </c>
      <c r="Q367" s="2" t="s">
        <v>3876</v>
      </c>
      <c r="R367" s="3" t="s">
        <v>71</v>
      </c>
      <c r="S367" s="4">
        <v>0</v>
      </c>
      <c r="T367" s="4">
        <v>0</v>
      </c>
      <c r="W367" s="5" t="s">
        <v>72</v>
      </c>
      <c r="X367" s="5" t="s">
        <v>72</v>
      </c>
      <c r="Y367" s="4">
        <v>31</v>
      </c>
      <c r="Z367" s="4">
        <v>3</v>
      </c>
      <c r="AA367" s="4">
        <v>3</v>
      </c>
      <c r="AB367" s="4">
        <v>1</v>
      </c>
      <c r="AC367" s="4">
        <v>1</v>
      </c>
      <c r="AD367" s="4">
        <v>20</v>
      </c>
      <c r="AE367" s="4">
        <v>20</v>
      </c>
      <c r="AF367" s="4">
        <v>0</v>
      </c>
      <c r="AG367" s="4">
        <v>0</v>
      </c>
      <c r="AH367" s="4">
        <v>19</v>
      </c>
      <c r="AI367" s="4">
        <v>19</v>
      </c>
      <c r="AJ367" s="4">
        <v>1</v>
      </c>
      <c r="AK367" s="4">
        <v>1</v>
      </c>
      <c r="AL367" s="4">
        <v>17</v>
      </c>
      <c r="AM367" s="4">
        <v>17</v>
      </c>
      <c r="AN367" s="4">
        <v>0</v>
      </c>
      <c r="AO367" s="4">
        <v>0</v>
      </c>
      <c r="AP367" s="4">
        <v>1</v>
      </c>
      <c r="AQ367" s="4">
        <v>1</v>
      </c>
      <c r="AR367" s="3" t="s">
        <v>65</v>
      </c>
      <c r="AS367" s="3" t="s">
        <v>65</v>
      </c>
      <c r="AT367" s="3" t="s">
        <v>65</v>
      </c>
      <c r="AV367" s="6" t="str">
        <f>HYPERLINK("http://mcgill.on.worldcat.org/oclc/953450252","Catalog Record")</f>
        <v>Catalog Record</v>
      </c>
      <c r="AW367" s="6" t="str">
        <f>HYPERLINK("http://www.worldcat.org/oclc/953450252","WorldCat Record")</f>
        <v>WorldCat Record</v>
      </c>
      <c r="AX367" s="3" t="s">
        <v>3877</v>
      </c>
      <c r="AY367" s="3" t="s">
        <v>3878</v>
      </c>
      <c r="AZ367" s="3" t="s">
        <v>3879</v>
      </c>
      <c r="BA367" s="3" t="s">
        <v>3879</v>
      </c>
      <c r="BB367" s="3" t="s">
        <v>3880</v>
      </c>
      <c r="BC367" s="3" t="s">
        <v>77</v>
      </c>
      <c r="BD367" s="3" t="s">
        <v>78</v>
      </c>
      <c r="BE367" s="3" t="s">
        <v>3881</v>
      </c>
      <c r="BF367" s="3" t="s">
        <v>3880</v>
      </c>
      <c r="BG367" s="3" t="s">
        <v>3882</v>
      </c>
    </row>
    <row r="368" spans="1:59" ht="58" x14ac:dyDescent="0.35">
      <c r="A368" s="2" t="s">
        <v>59</v>
      </c>
      <c r="B368" s="2" t="s">
        <v>60</v>
      </c>
      <c r="C368" s="2" t="s">
        <v>3883</v>
      </c>
      <c r="D368" s="2" t="s">
        <v>3884</v>
      </c>
      <c r="E368" s="2" t="s">
        <v>3885</v>
      </c>
      <c r="G368" s="3" t="s">
        <v>65</v>
      </c>
      <c r="I368" s="3" t="s">
        <v>65</v>
      </c>
      <c r="J368" s="3" t="s">
        <v>65</v>
      </c>
      <c r="K368" s="3" t="s">
        <v>66</v>
      </c>
      <c r="L368" s="2" t="s">
        <v>3886</v>
      </c>
      <c r="M368" s="2" t="s">
        <v>3887</v>
      </c>
      <c r="N368" s="3" t="s">
        <v>188</v>
      </c>
      <c r="O368" s="2" t="s">
        <v>235</v>
      </c>
      <c r="P368" s="3" t="s">
        <v>140</v>
      </c>
      <c r="Q368" s="2" t="s">
        <v>3888</v>
      </c>
      <c r="R368" s="3" t="s">
        <v>71</v>
      </c>
      <c r="S368" s="4">
        <v>0</v>
      </c>
      <c r="T368" s="4">
        <v>0</v>
      </c>
      <c r="W368" s="5" t="s">
        <v>72</v>
      </c>
      <c r="X368" s="5" t="s">
        <v>72</v>
      </c>
      <c r="Y368" s="4">
        <v>12</v>
      </c>
      <c r="Z368" s="4">
        <v>1</v>
      </c>
      <c r="AA368" s="4">
        <v>1</v>
      </c>
      <c r="AB368" s="4">
        <v>1</v>
      </c>
      <c r="AC368" s="4">
        <v>1</v>
      </c>
      <c r="AD368" s="4">
        <v>7</v>
      </c>
      <c r="AE368" s="4">
        <v>7</v>
      </c>
      <c r="AF368" s="4">
        <v>0</v>
      </c>
      <c r="AG368" s="4">
        <v>0</v>
      </c>
      <c r="AH368" s="4">
        <v>6</v>
      </c>
      <c r="AI368" s="4">
        <v>6</v>
      </c>
      <c r="AJ368" s="4">
        <v>0</v>
      </c>
      <c r="AK368" s="4">
        <v>0</v>
      </c>
      <c r="AL368" s="4">
        <v>5</v>
      </c>
      <c r="AM368" s="4">
        <v>5</v>
      </c>
      <c r="AN368" s="4">
        <v>0</v>
      </c>
      <c r="AO368" s="4">
        <v>0</v>
      </c>
      <c r="AP368" s="4">
        <v>0</v>
      </c>
      <c r="AQ368" s="4">
        <v>0</v>
      </c>
      <c r="AR368" s="3" t="s">
        <v>65</v>
      </c>
      <c r="AS368" s="3" t="s">
        <v>65</v>
      </c>
      <c r="AT368" s="3" t="s">
        <v>65</v>
      </c>
      <c r="AV368" s="6" t="str">
        <f>HYPERLINK("http://mcgill.on.worldcat.org/oclc/1022082955","Catalog Record")</f>
        <v>Catalog Record</v>
      </c>
      <c r="AW368" s="6" t="str">
        <f>HYPERLINK("http://www.worldcat.org/oclc/1022082955","WorldCat Record")</f>
        <v>WorldCat Record</v>
      </c>
      <c r="AX368" s="3" t="s">
        <v>3889</v>
      </c>
      <c r="AY368" s="3" t="s">
        <v>3890</v>
      </c>
      <c r="AZ368" s="3" t="s">
        <v>3891</v>
      </c>
      <c r="BA368" s="3" t="s">
        <v>3891</v>
      </c>
      <c r="BB368" s="3" t="s">
        <v>3892</v>
      </c>
      <c r="BC368" s="3" t="s">
        <v>77</v>
      </c>
      <c r="BD368" s="3" t="s">
        <v>78</v>
      </c>
      <c r="BE368" s="3" t="s">
        <v>3893</v>
      </c>
      <c r="BF368" s="3" t="s">
        <v>3892</v>
      </c>
      <c r="BG368" s="3" t="s">
        <v>3894</v>
      </c>
    </row>
    <row r="369" spans="1:59" ht="58" x14ac:dyDescent="0.35">
      <c r="A369" s="2" t="s">
        <v>59</v>
      </c>
      <c r="B369" s="2" t="s">
        <v>60</v>
      </c>
      <c r="C369" s="2" t="s">
        <v>3895</v>
      </c>
      <c r="D369" s="2" t="s">
        <v>3896</v>
      </c>
      <c r="E369" s="2" t="s">
        <v>3897</v>
      </c>
      <c r="G369" s="3" t="s">
        <v>65</v>
      </c>
      <c r="I369" s="3" t="s">
        <v>65</v>
      </c>
      <c r="J369" s="3" t="s">
        <v>65</v>
      </c>
      <c r="K369" s="3" t="s">
        <v>66</v>
      </c>
      <c r="L369" s="2" t="s">
        <v>3898</v>
      </c>
      <c r="M369" s="2" t="s">
        <v>3899</v>
      </c>
      <c r="N369" s="3" t="s">
        <v>176</v>
      </c>
      <c r="P369" s="3" t="s">
        <v>140</v>
      </c>
      <c r="Q369" s="2" t="s">
        <v>3900</v>
      </c>
      <c r="R369" s="3" t="s">
        <v>71</v>
      </c>
      <c r="S369" s="4">
        <v>0</v>
      </c>
      <c r="T369" s="4">
        <v>0</v>
      </c>
      <c r="W369" s="5" t="s">
        <v>72</v>
      </c>
      <c r="X369" s="5" t="s">
        <v>72</v>
      </c>
      <c r="Y369" s="4">
        <v>46</v>
      </c>
      <c r="Z369" s="4">
        <v>3</v>
      </c>
      <c r="AA369" s="4">
        <v>3</v>
      </c>
      <c r="AB369" s="4">
        <v>1</v>
      </c>
      <c r="AC369" s="4">
        <v>1</v>
      </c>
      <c r="AD369" s="4">
        <v>34</v>
      </c>
      <c r="AE369" s="4">
        <v>34</v>
      </c>
      <c r="AF369" s="4">
        <v>0</v>
      </c>
      <c r="AG369" s="4">
        <v>0</v>
      </c>
      <c r="AH369" s="4">
        <v>33</v>
      </c>
      <c r="AI369" s="4">
        <v>33</v>
      </c>
      <c r="AJ369" s="4">
        <v>1</v>
      </c>
      <c r="AK369" s="4">
        <v>1</v>
      </c>
      <c r="AL369" s="4">
        <v>27</v>
      </c>
      <c r="AM369" s="4">
        <v>27</v>
      </c>
      <c r="AN369" s="4">
        <v>0</v>
      </c>
      <c r="AO369" s="4">
        <v>0</v>
      </c>
      <c r="AP369" s="4">
        <v>1</v>
      </c>
      <c r="AQ369" s="4">
        <v>1</v>
      </c>
      <c r="AR369" s="3" t="s">
        <v>65</v>
      </c>
      <c r="AS369" s="3" t="s">
        <v>65</v>
      </c>
      <c r="AT369" s="3" t="s">
        <v>65</v>
      </c>
      <c r="AV369" s="6" t="str">
        <f>HYPERLINK("http://mcgill.on.worldcat.org/oclc/914252731","Catalog Record")</f>
        <v>Catalog Record</v>
      </c>
      <c r="AW369" s="6" t="str">
        <f>HYPERLINK("http://www.worldcat.org/oclc/914252731","WorldCat Record")</f>
        <v>WorldCat Record</v>
      </c>
      <c r="AX369" s="3" t="s">
        <v>3901</v>
      </c>
      <c r="AY369" s="3" t="s">
        <v>3902</v>
      </c>
      <c r="AZ369" s="3" t="s">
        <v>3903</v>
      </c>
      <c r="BA369" s="3" t="s">
        <v>3903</v>
      </c>
      <c r="BB369" s="3" t="s">
        <v>3904</v>
      </c>
      <c r="BC369" s="3" t="s">
        <v>77</v>
      </c>
      <c r="BD369" s="3" t="s">
        <v>78</v>
      </c>
      <c r="BE369" s="3" t="s">
        <v>3905</v>
      </c>
      <c r="BF369" s="3" t="s">
        <v>3904</v>
      </c>
      <c r="BG369" s="3" t="s">
        <v>3906</v>
      </c>
    </row>
    <row r="370" spans="1:59" ht="87" x14ac:dyDescent="0.35">
      <c r="A370" s="2" t="s">
        <v>59</v>
      </c>
      <c r="B370" s="2" t="s">
        <v>60</v>
      </c>
      <c r="C370" s="2" t="s">
        <v>3907</v>
      </c>
      <c r="D370" s="2" t="s">
        <v>3908</v>
      </c>
      <c r="E370" s="2" t="s">
        <v>3909</v>
      </c>
      <c r="G370" s="3" t="s">
        <v>65</v>
      </c>
      <c r="I370" s="3" t="s">
        <v>65</v>
      </c>
      <c r="J370" s="3" t="s">
        <v>65</v>
      </c>
      <c r="K370" s="3" t="s">
        <v>66</v>
      </c>
      <c r="L370" s="2" t="s">
        <v>3910</v>
      </c>
      <c r="M370" s="2" t="s">
        <v>3911</v>
      </c>
      <c r="N370" s="3" t="s">
        <v>188</v>
      </c>
      <c r="P370" s="3" t="s">
        <v>140</v>
      </c>
      <c r="R370" s="3" t="s">
        <v>71</v>
      </c>
      <c r="S370" s="4">
        <v>0</v>
      </c>
      <c r="T370" s="4">
        <v>0</v>
      </c>
      <c r="W370" s="5" t="s">
        <v>72</v>
      </c>
      <c r="X370" s="5" t="s">
        <v>72</v>
      </c>
      <c r="Y370" s="4">
        <v>23</v>
      </c>
      <c r="Z370" s="4">
        <v>1</v>
      </c>
      <c r="AA370" s="4">
        <v>1</v>
      </c>
      <c r="AB370" s="4">
        <v>1</v>
      </c>
      <c r="AC370" s="4">
        <v>1</v>
      </c>
      <c r="AD370" s="4">
        <v>15</v>
      </c>
      <c r="AE370" s="4">
        <v>15</v>
      </c>
      <c r="AF370" s="4">
        <v>0</v>
      </c>
      <c r="AG370" s="4">
        <v>0</v>
      </c>
      <c r="AH370" s="4">
        <v>14</v>
      </c>
      <c r="AI370" s="4">
        <v>14</v>
      </c>
      <c r="AJ370" s="4">
        <v>0</v>
      </c>
      <c r="AK370" s="4">
        <v>0</v>
      </c>
      <c r="AL370" s="4">
        <v>12</v>
      </c>
      <c r="AM370" s="4">
        <v>12</v>
      </c>
      <c r="AN370" s="4">
        <v>0</v>
      </c>
      <c r="AO370" s="4">
        <v>0</v>
      </c>
      <c r="AP370" s="4">
        <v>0</v>
      </c>
      <c r="AQ370" s="4">
        <v>0</v>
      </c>
      <c r="AR370" s="3" t="s">
        <v>65</v>
      </c>
      <c r="AS370" s="3" t="s">
        <v>65</v>
      </c>
      <c r="AT370" s="3" t="s">
        <v>65</v>
      </c>
      <c r="AV370" s="6" t="str">
        <f>HYPERLINK("http://mcgill.on.worldcat.org/oclc/988336498","Catalog Record")</f>
        <v>Catalog Record</v>
      </c>
      <c r="AW370" s="6" t="str">
        <f>HYPERLINK("http://www.worldcat.org/oclc/988336498","WorldCat Record")</f>
        <v>WorldCat Record</v>
      </c>
      <c r="AX370" s="3" t="s">
        <v>3912</v>
      </c>
      <c r="AY370" s="3" t="s">
        <v>3913</v>
      </c>
      <c r="AZ370" s="3" t="s">
        <v>3914</v>
      </c>
      <c r="BA370" s="3" t="s">
        <v>3914</v>
      </c>
      <c r="BB370" s="3" t="s">
        <v>3915</v>
      </c>
      <c r="BC370" s="3" t="s">
        <v>77</v>
      </c>
      <c r="BD370" s="3" t="s">
        <v>78</v>
      </c>
      <c r="BE370" s="3" t="s">
        <v>3916</v>
      </c>
      <c r="BF370" s="3" t="s">
        <v>3915</v>
      </c>
      <c r="BG370" s="3" t="s">
        <v>3917</v>
      </c>
    </row>
    <row r="371" spans="1:59" ht="58" x14ac:dyDescent="0.35">
      <c r="A371" s="2" t="s">
        <v>59</v>
      </c>
      <c r="B371" s="2" t="s">
        <v>60</v>
      </c>
      <c r="C371" s="2" t="s">
        <v>3918</v>
      </c>
      <c r="D371" s="2" t="s">
        <v>3919</v>
      </c>
      <c r="E371" s="2" t="s">
        <v>3920</v>
      </c>
      <c r="G371" s="3" t="s">
        <v>65</v>
      </c>
      <c r="I371" s="3" t="s">
        <v>65</v>
      </c>
      <c r="J371" s="3" t="s">
        <v>65</v>
      </c>
      <c r="K371" s="3" t="s">
        <v>66</v>
      </c>
      <c r="L371" s="2" t="s">
        <v>3921</v>
      </c>
      <c r="M371" s="2" t="s">
        <v>3922</v>
      </c>
      <c r="N371" s="3" t="s">
        <v>152</v>
      </c>
      <c r="O371" s="2" t="s">
        <v>365</v>
      </c>
      <c r="P371" s="3" t="s">
        <v>140</v>
      </c>
      <c r="R371" s="3" t="s">
        <v>71</v>
      </c>
      <c r="S371" s="4">
        <v>1</v>
      </c>
      <c r="T371" s="4">
        <v>1</v>
      </c>
      <c r="U371" s="5" t="s">
        <v>3923</v>
      </c>
      <c r="V371" s="5" t="s">
        <v>3923</v>
      </c>
      <c r="W371" s="5" t="s">
        <v>72</v>
      </c>
      <c r="X371" s="5" t="s">
        <v>72</v>
      </c>
      <c r="Y371" s="4">
        <v>31</v>
      </c>
      <c r="Z371" s="4">
        <v>3</v>
      </c>
      <c r="AA371" s="4">
        <v>3</v>
      </c>
      <c r="AB371" s="4">
        <v>1</v>
      </c>
      <c r="AC371" s="4">
        <v>1</v>
      </c>
      <c r="AD371" s="4">
        <v>17</v>
      </c>
      <c r="AE371" s="4">
        <v>17</v>
      </c>
      <c r="AF371" s="4">
        <v>0</v>
      </c>
      <c r="AG371" s="4">
        <v>0</v>
      </c>
      <c r="AH371" s="4">
        <v>16</v>
      </c>
      <c r="AI371" s="4">
        <v>16</v>
      </c>
      <c r="AJ371" s="4">
        <v>1</v>
      </c>
      <c r="AK371" s="4">
        <v>1</v>
      </c>
      <c r="AL371" s="4">
        <v>15</v>
      </c>
      <c r="AM371" s="4">
        <v>15</v>
      </c>
      <c r="AN371" s="4">
        <v>0</v>
      </c>
      <c r="AO371" s="4">
        <v>0</v>
      </c>
      <c r="AP371" s="4">
        <v>1</v>
      </c>
      <c r="AQ371" s="4">
        <v>1</v>
      </c>
      <c r="AR371" s="3" t="s">
        <v>65</v>
      </c>
      <c r="AS371" s="3" t="s">
        <v>65</v>
      </c>
      <c r="AT371" s="3" t="s">
        <v>65</v>
      </c>
      <c r="AV371" s="6" t="str">
        <f>HYPERLINK("http://mcgill.on.worldcat.org/oclc/840430352","Catalog Record")</f>
        <v>Catalog Record</v>
      </c>
      <c r="AW371" s="6" t="str">
        <f>HYPERLINK("http://www.worldcat.org/oclc/840430352","WorldCat Record")</f>
        <v>WorldCat Record</v>
      </c>
      <c r="AX371" s="3" t="s">
        <v>3924</v>
      </c>
      <c r="AY371" s="3" t="s">
        <v>3925</v>
      </c>
      <c r="AZ371" s="3" t="s">
        <v>3926</v>
      </c>
      <c r="BA371" s="3" t="s">
        <v>3926</v>
      </c>
      <c r="BB371" s="3" t="s">
        <v>3927</v>
      </c>
      <c r="BC371" s="3" t="s">
        <v>77</v>
      </c>
      <c r="BD371" s="3" t="s">
        <v>78</v>
      </c>
      <c r="BE371" s="3" t="s">
        <v>3928</v>
      </c>
      <c r="BF371" s="3" t="s">
        <v>3927</v>
      </c>
      <c r="BG371" s="3" t="s">
        <v>3929</v>
      </c>
    </row>
    <row r="372" spans="1:59" ht="58" x14ac:dyDescent="0.35">
      <c r="A372" s="2" t="s">
        <v>59</v>
      </c>
      <c r="B372" s="2" t="s">
        <v>60</v>
      </c>
      <c r="C372" s="2" t="s">
        <v>3930</v>
      </c>
      <c r="D372" s="2" t="s">
        <v>3931</v>
      </c>
      <c r="E372" s="2" t="s">
        <v>3932</v>
      </c>
      <c r="G372" s="3" t="s">
        <v>65</v>
      </c>
      <c r="I372" s="3" t="s">
        <v>65</v>
      </c>
      <c r="J372" s="3" t="s">
        <v>65</v>
      </c>
      <c r="K372" s="3" t="s">
        <v>66</v>
      </c>
      <c r="M372" s="2" t="s">
        <v>3933</v>
      </c>
      <c r="N372" s="3" t="s">
        <v>2210</v>
      </c>
      <c r="P372" s="3" t="s">
        <v>140</v>
      </c>
      <c r="Q372" s="2" t="s">
        <v>3934</v>
      </c>
      <c r="R372" s="3" t="s">
        <v>71</v>
      </c>
      <c r="S372" s="4">
        <v>4</v>
      </c>
      <c r="T372" s="4">
        <v>4</v>
      </c>
      <c r="U372" s="5" t="s">
        <v>3935</v>
      </c>
      <c r="V372" s="5" t="s">
        <v>3935</v>
      </c>
      <c r="W372" s="5" t="s">
        <v>72</v>
      </c>
      <c r="X372" s="5" t="s">
        <v>72</v>
      </c>
      <c r="Y372" s="4">
        <v>63</v>
      </c>
      <c r="Z372" s="4">
        <v>3</v>
      </c>
      <c r="AA372" s="4">
        <v>3</v>
      </c>
      <c r="AB372" s="4">
        <v>1</v>
      </c>
      <c r="AC372" s="4">
        <v>1</v>
      </c>
      <c r="AD372" s="4">
        <v>27</v>
      </c>
      <c r="AE372" s="4">
        <v>27</v>
      </c>
      <c r="AF372" s="4">
        <v>0</v>
      </c>
      <c r="AG372" s="4">
        <v>0</v>
      </c>
      <c r="AH372" s="4">
        <v>26</v>
      </c>
      <c r="AI372" s="4">
        <v>26</v>
      </c>
      <c r="AJ372" s="4">
        <v>1</v>
      </c>
      <c r="AK372" s="4">
        <v>1</v>
      </c>
      <c r="AL372" s="4">
        <v>21</v>
      </c>
      <c r="AM372" s="4">
        <v>21</v>
      </c>
      <c r="AN372" s="4">
        <v>0</v>
      </c>
      <c r="AO372" s="4">
        <v>0</v>
      </c>
      <c r="AP372" s="4">
        <v>1</v>
      </c>
      <c r="AQ372" s="4">
        <v>1</v>
      </c>
      <c r="AR372" s="3" t="s">
        <v>65</v>
      </c>
      <c r="AS372" s="3" t="s">
        <v>65</v>
      </c>
      <c r="AT372" s="3" t="s">
        <v>209</v>
      </c>
      <c r="AU372" s="6" t="str">
        <f>HYPERLINK("http://catalog.hathitrust.org/Record/004308272","HathiTrust Record")</f>
        <v>HathiTrust Record</v>
      </c>
      <c r="AV372" s="6" t="str">
        <f>HYPERLINK("http://mcgill.on.worldcat.org/oclc/51534189","Catalog Record")</f>
        <v>Catalog Record</v>
      </c>
      <c r="AW372" s="6" t="str">
        <f>HYPERLINK("http://www.worldcat.org/oclc/51534189","WorldCat Record")</f>
        <v>WorldCat Record</v>
      </c>
      <c r="AX372" s="3" t="s">
        <v>3936</v>
      </c>
      <c r="AY372" s="3" t="s">
        <v>3937</v>
      </c>
      <c r="AZ372" s="3" t="s">
        <v>3938</v>
      </c>
      <c r="BA372" s="3" t="s">
        <v>3938</v>
      </c>
      <c r="BB372" s="3" t="s">
        <v>3939</v>
      </c>
      <c r="BC372" s="3" t="s">
        <v>77</v>
      </c>
      <c r="BD372" s="3" t="s">
        <v>78</v>
      </c>
      <c r="BE372" s="3" t="s">
        <v>3940</v>
      </c>
      <c r="BF372" s="3" t="s">
        <v>3939</v>
      </c>
      <c r="BG372" s="3" t="s">
        <v>3941</v>
      </c>
    </row>
    <row r="373" spans="1:59" ht="58" x14ac:dyDescent="0.35">
      <c r="A373" s="2" t="s">
        <v>59</v>
      </c>
      <c r="B373" s="2" t="s">
        <v>60</v>
      </c>
      <c r="C373" s="2" t="s">
        <v>3942</v>
      </c>
      <c r="D373" s="2" t="s">
        <v>3943</v>
      </c>
      <c r="E373" s="2" t="s">
        <v>3944</v>
      </c>
      <c r="G373" s="3" t="s">
        <v>65</v>
      </c>
      <c r="I373" s="3" t="s">
        <v>65</v>
      </c>
      <c r="J373" s="3" t="s">
        <v>65</v>
      </c>
      <c r="K373" s="3" t="s">
        <v>66</v>
      </c>
      <c r="L373" s="2" t="s">
        <v>3945</v>
      </c>
      <c r="M373" s="2" t="s">
        <v>3946</v>
      </c>
      <c r="N373" s="3" t="s">
        <v>176</v>
      </c>
      <c r="O373" s="2" t="s">
        <v>235</v>
      </c>
      <c r="P373" s="3" t="s">
        <v>140</v>
      </c>
      <c r="Q373" s="2" t="s">
        <v>3947</v>
      </c>
      <c r="R373" s="3" t="s">
        <v>71</v>
      </c>
      <c r="S373" s="4">
        <v>0</v>
      </c>
      <c r="T373" s="4">
        <v>0</v>
      </c>
      <c r="W373" s="5" t="s">
        <v>72</v>
      </c>
      <c r="X373" s="5" t="s">
        <v>72</v>
      </c>
      <c r="Y373" s="4">
        <v>35</v>
      </c>
      <c r="Z373" s="4">
        <v>3</v>
      </c>
      <c r="AA373" s="4">
        <v>3</v>
      </c>
      <c r="AB373" s="4">
        <v>1</v>
      </c>
      <c r="AC373" s="4">
        <v>1</v>
      </c>
      <c r="AD373" s="4">
        <v>27</v>
      </c>
      <c r="AE373" s="4">
        <v>27</v>
      </c>
      <c r="AF373" s="4">
        <v>0</v>
      </c>
      <c r="AG373" s="4">
        <v>0</v>
      </c>
      <c r="AH373" s="4">
        <v>26</v>
      </c>
      <c r="AI373" s="4">
        <v>26</v>
      </c>
      <c r="AJ373" s="4">
        <v>1</v>
      </c>
      <c r="AK373" s="4">
        <v>1</v>
      </c>
      <c r="AL373" s="4">
        <v>22</v>
      </c>
      <c r="AM373" s="4">
        <v>22</v>
      </c>
      <c r="AN373" s="4">
        <v>0</v>
      </c>
      <c r="AO373" s="4">
        <v>0</v>
      </c>
      <c r="AP373" s="4">
        <v>1</v>
      </c>
      <c r="AQ373" s="4">
        <v>1</v>
      </c>
      <c r="AR373" s="3" t="s">
        <v>65</v>
      </c>
      <c r="AS373" s="3" t="s">
        <v>65</v>
      </c>
      <c r="AT373" s="3" t="s">
        <v>65</v>
      </c>
      <c r="AV373" s="6" t="str">
        <f>HYPERLINK("http://mcgill.on.worldcat.org/oclc/913217643","Catalog Record")</f>
        <v>Catalog Record</v>
      </c>
      <c r="AW373" s="6" t="str">
        <f>HYPERLINK("http://www.worldcat.org/oclc/913217643","WorldCat Record")</f>
        <v>WorldCat Record</v>
      </c>
      <c r="AX373" s="3" t="s">
        <v>3948</v>
      </c>
      <c r="AY373" s="3" t="s">
        <v>3949</v>
      </c>
      <c r="AZ373" s="3" t="s">
        <v>3950</v>
      </c>
      <c r="BA373" s="3" t="s">
        <v>3950</v>
      </c>
      <c r="BB373" s="3" t="s">
        <v>3951</v>
      </c>
      <c r="BC373" s="3" t="s">
        <v>77</v>
      </c>
      <c r="BD373" s="3" t="s">
        <v>78</v>
      </c>
      <c r="BE373" s="3" t="s">
        <v>3952</v>
      </c>
      <c r="BF373" s="3" t="s">
        <v>3951</v>
      </c>
      <c r="BG373" s="3" t="s">
        <v>3953</v>
      </c>
    </row>
    <row r="374" spans="1:59" ht="58" x14ac:dyDescent="0.35">
      <c r="A374" s="2" t="s">
        <v>59</v>
      </c>
      <c r="B374" s="2" t="s">
        <v>60</v>
      </c>
      <c r="C374" s="2" t="s">
        <v>3954</v>
      </c>
      <c r="D374" s="2" t="s">
        <v>3955</v>
      </c>
      <c r="E374" s="2" t="s">
        <v>3956</v>
      </c>
      <c r="G374" s="3" t="s">
        <v>65</v>
      </c>
      <c r="I374" s="3" t="s">
        <v>65</v>
      </c>
      <c r="J374" s="3" t="s">
        <v>65</v>
      </c>
      <c r="K374" s="3" t="s">
        <v>66</v>
      </c>
      <c r="L374" s="2" t="s">
        <v>3957</v>
      </c>
      <c r="M374" s="2" t="s">
        <v>3958</v>
      </c>
      <c r="N374" s="3" t="s">
        <v>99</v>
      </c>
      <c r="P374" s="3" t="s">
        <v>69</v>
      </c>
      <c r="R374" s="3" t="s">
        <v>71</v>
      </c>
      <c r="S374" s="4">
        <v>11</v>
      </c>
      <c r="T374" s="4">
        <v>11</v>
      </c>
      <c r="U374" s="5" t="s">
        <v>3959</v>
      </c>
      <c r="V374" s="5" t="s">
        <v>3959</v>
      </c>
      <c r="W374" s="5" t="s">
        <v>72</v>
      </c>
      <c r="X374" s="5" t="s">
        <v>72</v>
      </c>
      <c r="Y374" s="4">
        <v>170</v>
      </c>
      <c r="Z374" s="4">
        <v>14</v>
      </c>
      <c r="AA374" s="4">
        <v>17</v>
      </c>
      <c r="AB374" s="4">
        <v>1</v>
      </c>
      <c r="AC374" s="4">
        <v>4</v>
      </c>
      <c r="AD374" s="4">
        <v>83</v>
      </c>
      <c r="AE374" s="4">
        <v>84</v>
      </c>
      <c r="AF374" s="4">
        <v>0</v>
      </c>
      <c r="AG374" s="4">
        <v>0</v>
      </c>
      <c r="AH374" s="4">
        <v>78</v>
      </c>
      <c r="AI374" s="4">
        <v>79</v>
      </c>
      <c r="AJ374" s="4">
        <v>11</v>
      </c>
      <c r="AK374" s="4">
        <v>11</v>
      </c>
      <c r="AL374" s="4">
        <v>47</v>
      </c>
      <c r="AM374" s="4">
        <v>47</v>
      </c>
      <c r="AN374" s="4">
        <v>0</v>
      </c>
      <c r="AO374" s="4">
        <v>0</v>
      </c>
      <c r="AP374" s="4">
        <v>11</v>
      </c>
      <c r="AQ374" s="4">
        <v>11</v>
      </c>
      <c r="AR374" s="3" t="s">
        <v>65</v>
      </c>
      <c r="AS374" s="3" t="s">
        <v>65</v>
      </c>
      <c r="AT374" s="3" t="s">
        <v>65</v>
      </c>
      <c r="AV374" s="6" t="str">
        <f>HYPERLINK("http://mcgill.on.worldcat.org/oclc/59280004","Catalog Record")</f>
        <v>Catalog Record</v>
      </c>
      <c r="AW374" s="6" t="str">
        <f>HYPERLINK("http://www.worldcat.org/oclc/59280004","WorldCat Record")</f>
        <v>WorldCat Record</v>
      </c>
      <c r="AX374" s="3" t="s">
        <v>3960</v>
      </c>
      <c r="AY374" s="3" t="s">
        <v>3961</v>
      </c>
      <c r="AZ374" s="3" t="s">
        <v>3962</v>
      </c>
      <c r="BA374" s="3" t="s">
        <v>3962</v>
      </c>
      <c r="BB374" s="3" t="s">
        <v>3963</v>
      </c>
      <c r="BC374" s="3" t="s">
        <v>77</v>
      </c>
      <c r="BD374" s="3" t="s">
        <v>78</v>
      </c>
      <c r="BE374" s="3" t="s">
        <v>3964</v>
      </c>
      <c r="BF374" s="3" t="s">
        <v>3963</v>
      </c>
      <c r="BG374" s="3" t="s">
        <v>3965</v>
      </c>
    </row>
    <row r="375" spans="1:59" ht="58" x14ac:dyDescent="0.35">
      <c r="A375" s="2" t="s">
        <v>59</v>
      </c>
      <c r="B375" s="2" t="s">
        <v>60</v>
      </c>
      <c r="C375" s="2" t="s">
        <v>3966</v>
      </c>
      <c r="D375" s="2" t="s">
        <v>3967</v>
      </c>
      <c r="E375" s="2" t="s">
        <v>3968</v>
      </c>
      <c r="G375" s="3" t="s">
        <v>65</v>
      </c>
      <c r="I375" s="3" t="s">
        <v>65</v>
      </c>
      <c r="J375" s="3" t="s">
        <v>65</v>
      </c>
      <c r="K375" s="3" t="s">
        <v>66</v>
      </c>
      <c r="M375" s="2" t="s">
        <v>3969</v>
      </c>
      <c r="N375" s="3" t="s">
        <v>188</v>
      </c>
      <c r="O375" s="2" t="s">
        <v>3970</v>
      </c>
      <c r="P375" s="3" t="s">
        <v>69</v>
      </c>
      <c r="R375" s="3" t="s">
        <v>71</v>
      </c>
      <c r="S375" s="4">
        <v>0</v>
      </c>
      <c r="T375" s="4">
        <v>0</v>
      </c>
      <c r="W375" s="5" t="s">
        <v>72</v>
      </c>
      <c r="X375" s="5" t="s">
        <v>72</v>
      </c>
      <c r="Y375" s="4">
        <v>66</v>
      </c>
      <c r="Z375" s="4">
        <v>4</v>
      </c>
      <c r="AA375" s="4">
        <v>68</v>
      </c>
      <c r="AB375" s="4">
        <v>1</v>
      </c>
      <c r="AC375" s="4">
        <v>14</v>
      </c>
      <c r="AD375" s="4">
        <v>37</v>
      </c>
      <c r="AE375" s="4">
        <v>96</v>
      </c>
      <c r="AF375" s="4">
        <v>0</v>
      </c>
      <c r="AG375" s="4">
        <v>8</v>
      </c>
      <c r="AH375" s="4">
        <v>36</v>
      </c>
      <c r="AI375" s="4">
        <v>66</v>
      </c>
      <c r="AJ375" s="4">
        <v>3</v>
      </c>
      <c r="AK375" s="4">
        <v>17</v>
      </c>
      <c r="AL375" s="4">
        <v>24</v>
      </c>
      <c r="AM375" s="4">
        <v>37</v>
      </c>
      <c r="AN375" s="4">
        <v>0</v>
      </c>
      <c r="AO375" s="4">
        <v>0</v>
      </c>
      <c r="AP375" s="4">
        <v>3</v>
      </c>
      <c r="AQ375" s="4">
        <v>36</v>
      </c>
      <c r="AR375" s="3" t="s">
        <v>65</v>
      </c>
      <c r="AS375" s="3" t="s">
        <v>65</v>
      </c>
      <c r="AT375" s="3" t="s">
        <v>65</v>
      </c>
      <c r="AV375" s="6" t="str">
        <f>HYPERLINK("http://mcgill.on.worldcat.org/oclc/961199565","Catalog Record")</f>
        <v>Catalog Record</v>
      </c>
      <c r="AW375" s="6" t="str">
        <f>HYPERLINK("http://www.worldcat.org/oclc/961199565","WorldCat Record")</f>
        <v>WorldCat Record</v>
      </c>
      <c r="AX375" s="3" t="s">
        <v>3971</v>
      </c>
      <c r="AY375" s="3" t="s">
        <v>3972</v>
      </c>
      <c r="AZ375" s="3" t="s">
        <v>3973</v>
      </c>
      <c r="BA375" s="3" t="s">
        <v>3973</v>
      </c>
      <c r="BB375" s="3" t="s">
        <v>3974</v>
      </c>
      <c r="BC375" s="3" t="s">
        <v>77</v>
      </c>
      <c r="BD375" s="3" t="s">
        <v>78</v>
      </c>
      <c r="BE375" s="3" t="s">
        <v>3975</v>
      </c>
      <c r="BF375" s="3" t="s">
        <v>3974</v>
      </c>
      <c r="BG375" s="3" t="s">
        <v>3976</v>
      </c>
    </row>
    <row r="376" spans="1:59" ht="58" x14ac:dyDescent="0.35">
      <c r="A376" s="2" t="s">
        <v>59</v>
      </c>
      <c r="B376" s="2" t="s">
        <v>60</v>
      </c>
      <c r="C376" s="2" t="s">
        <v>3977</v>
      </c>
      <c r="D376" s="2" t="s">
        <v>3978</v>
      </c>
      <c r="E376" s="2" t="s">
        <v>3979</v>
      </c>
      <c r="G376" s="3" t="s">
        <v>65</v>
      </c>
      <c r="I376" s="3" t="s">
        <v>65</v>
      </c>
      <c r="J376" s="3" t="s">
        <v>65</v>
      </c>
      <c r="K376" s="3" t="s">
        <v>66</v>
      </c>
      <c r="L376" s="2" t="s">
        <v>3980</v>
      </c>
      <c r="M376" s="2" t="s">
        <v>3981</v>
      </c>
      <c r="N376" s="3" t="s">
        <v>188</v>
      </c>
      <c r="O376" s="2" t="s">
        <v>235</v>
      </c>
      <c r="P376" s="3" t="s">
        <v>140</v>
      </c>
      <c r="Q376" s="2" t="s">
        <v>3982</v>
      </c>
      <c r="R376" s="3" t="s">
        <v>71</v>
      </c>
      <c r="S376" s="4">
        <v>0</v>
      </c>
      <c r="T376" s="4">
        <v>0</v>
      </c>
      <c r="W376" s="5" t="s">
        <v>72</v>
      </c>
      <c r="X376" s="5" t="s">
        <v>72</v>
      </c>
      <c r="Y376" s="4">
        <v>22</v>
      </c>
      <c r="Z376" s="4">
        <v>1</v>
      </c>
      <c r="AA376" s="4">
        <v>1</v>
      </c>
      <c r="AB376" s="4">
        <v>1</v>
      </c>
      <c r="AC376" s="4">
        <v>1</v>
      </c>
      <c r="AD376" s="4">
        <v>14</v>
      </c>
      <c r="AE376" s="4">
        <v>14</v>
      </c>
      <c r="AF376" s="4">
        <v>0</v>
      </c>
      <c r="AG376" s="4">
        <v>0</v>
      </c>
      <c r="AH376" s="4">
        <v>13</v>
      </c>
      <c r="AI376" s="4">
        <v>13</v>
      </c>
      <c r="AJ376" s="4">
        <v>0</v>
      </c>
      <c r="AK376" s="4">
        <v>0</v>
      </c>
      <c r="AL376" s="4">
        <v>10</v>
      </c>
      <c r="AM376" s="4">
        <v>10</v>
      </c>
      <c r="AN376" s="4">
        <v>0</v>
      </c>
      <c r="AO376" s="4">
        <v>0</v>
      </c>
      <c r="AP376" s="4">
        <v>0</v>
      </c>
      <c r="AQ376" s="4">
        <v>0</v>
      </c>
      <c r="AR376" s="3" t="s">
        <v>65</v>
      </c>
      <c r="AS376" s="3" t="s">
        <v>65</v>
      </c>
      <c r="AT376" s="3" t="s">
        <v>65</v>
      </c>
      <c r="AV376" s="6" t="str">
        <f>HYPERLINK("http://mcgill.on.worldcat.org/oclc/1015194650","Catalog Record")</f>
        <v>Catalog Record</v>
      </c>
      <c r="AW376" s="6" t="str">
        <f>HYPERLINK("http://www.worldcat.org/oclc/1015194650","WorldCat Record")</f>
        <v>WorldCat Record</v>
      </c>
      <c r="AX376" s="3" t="s">
        <v>3983</v>
      </c>
      <c r="AY376" s="3" t="s">
        <v>3984</v>
      </c>
      <c r="AZ376" s="3" t="s">
        <v>3985</v>
      </c>
      <c r="BA376" s="3" t="s">
        <v>3985</v>
      </c>
      <c r="BB376" s="3" t="s">
        <v>3986</v>
      </c>
      <c r="BC376" s="3" t="s">
        <v>77</v>
      </c>
      <c r="BD376" s="3" t="s">
        <v>78</v>
      </c>
      <c r="BE376" s="3" t="s">
        <v>3987</v>
      </c>
      <c r="BF376" s="3" t="s">
        <v>3986</v>
      </c>
      <c r="BG376" s="3" t="s">
        <v>3988</v>
      </c>
    </row>
    <row r="377" spans="1:59" ht="58" x14ac:dyDescent="0.35">
      <c r="A377" s="2" t="s">
        <v>59</v>
      </c>
      <c r="B377" s="2" t="s">
        <v>60</v>
      </c>
      <c r="C377" s="2" t="s">
        <v>3989</v>
      </c>
      <c r="D377" s="2" t="s">
        <v>3990</v>
      </c>
      <c r="E377" s="2" t="s">
        <v>3991</v>
      </c>
      <c r="G377" s="3" t="s">
        <v>65</v>
      </c>
      <c r="I377" s="3" t="s">
        <v>65</v>
      </c>
      <c r="J377" s="3" t="s">
        <v>65</v>
      </c>
      <c r="K377" s="3" t="s">
        <v>66</v>
      </c>
      <c r="L377" s="2" t="s">
        <v>3992</v>
      </c>
      <c r="M377" s="2" t="s">
        <v>3993</v>
      </c>
      <c r="N377" s="3" t="s">
        <v>3994</v>
      </c>
      <c r="P377" s="3" t="s">
        <v>140</v>
      </c>
      <c r="Q377" s="2" t="s">
        <v>3995</v>
      </c>
      <c r="R377" s="3" t="s">
        <v>71</v>
      </c>
      <c r="S377" s="4">
        <v>2</v>
      </c>
      <c r="T377" s="4">
        <v>2</v>
      </c>
      <c r="U377" s="5" t="s">
        <v>3996</v>
      </c>
      <c r="V377" s="5" t="s">
        <v>3996</v>
      </c>
      <c r="W377" s="5" t="s">
        <v>72</v>
      </c>
      <c r="X377" s="5" t="s">
        <v>72</v>
      </c>
      <c r="Y377" s="4">
        <v>99</v>
      </c>
      <c r="Z377" s="4">
        <v>10</v>
      </c>
      <c r="AA377" s="4">
        <v>10</v>
      </c>
      <c r="AB377" s="4">
        <v>1</v>
      </c>
      <c r="AC377" s="4">
        <v>1</v>
      </c>
      <c r="AD377" s="4">
        <v>47</v>
      </c>
      <c r="AE377" s="4">
        <v>47</v>
      </c>
      <c r="AF377" s="4">
        <v>0</v>
      </c>
      <c r="AG377" s="4">
        <v>0</v>
      </c>
      <c r="AH377" s="4">
        <v>41</v>
      </c>
      <c r="AI377" s="4">
        <v>41</v>
      </c>
      <c r="AJ377" s="4">
        <v>7</v>
      </c>
      <c r="AK377" s="4">
        <v>7</v>
      </c>
      <c r="AL377" s="4">
        <v>30</v>
      </c>
      <c r="AM377" s="4">
        <v>30</v>
      </c>
      <c r="AN377" s="4">
        <v>2</v>
      </c>
      <c r="AO377" s="4">
        <v>2</v>
      </c>
      <c r="AP377" s="4">
        <v>8</v>
      </c>
      <c r="AQ377" s="4">
        <v>8</v>
      </c>
      <c r="AR377" s="3" t="s">
        <v>65</v>
      </c>
      <c r="AS377" s="3" t="s">
        <v>65</v>
      </c>
      <c r="AT377" s="3" t="s">
        <v>209</v>
      </c>
      <c r="AU377" s="6" t="str">
        <f>HYPERLINK("http://catalog.hathitrust.org/Record/007119945","HathiTrust Record")</f>
        <v>HathiTrust Record</v>
      </c>
      <c r="AV377" s="6" t="str">
        <f>HYPERLINK("http://mcgill.on.worldcat.org/oclc/12280212","Catalog Record")</f>
        <v>Catalog Record</v>
      </c>
      <c r="AW377" s="6" t="str">
        <f>HYPERLINK("http://www.worldcat.org/oclc/12280212","WorldCat Record")</f>
        <v>WorldCat Record</v>
      </c>
      <c r="AX377" s="3" t="s">
        <v>3997</v>
      </c>
      <c r="AY377" s="3" t="s">
        <v>3998</v>
      </c>
      <c r="AZ377" s="3" t="s">
        <v>3999</v>
      </c>
      <c r="BA377" s="3" t="s">
        <v>3999</v>
      </c>
      <c r="BB377" s="3" t="s">
        <v>4000</v>
      </c>
      <c r="BC377" s="3" t="s">
        <v>77</v>
      </c>
      <c r="BD377" s="3" t="s">
        <v>78</v>
      </c>
      <c r="BF377" s="3" t="s">
        <v>4000</v>
      </c>
      <c r="BG377" s="3" t="s">
        <v>4001</v>
      </c>
    </row>
    <row r="378" spans="1:59" ht="58" x14ac:dyDescent="0.35">
      <c r="A378" s="2" t="s">
        <v>59</v>
      </c>
      <c r="B378" s="2" t="s">
        <v>60</v>
      </c>
      <c r="C378" s="2" t="s">
        <v>4002</v>
      </c>
      <c r="D378" s="2" t="s">
        <v>4003</v>
      </c>
      <c r="E378" s="2" t="s">
        <v>4004</v>
      </c>
      <c r="G378" s="3" t="s">
        <v>65</v>
      </c>
      <c r="I378" s="3" t="s">
        <v>65</v>
      </c>
      <c r="J378" s="3" t="s">
        <v>65</v>
      </c>
      <c r="K378" s="3" t="s">
        <v>66</v>
      </c>
      <c r="L378" s="2" t="s">
        <v>4005</v>
      </c>
      <c r="M378" s="2" t="s">
        <v>4006</v>
      </c>
      <c r="N378" s="3" t="s">
        <v>152</v>
      </c>
      <c r="P378" s="3" t="s">
        <v>69</v>
      </c>
      <c r="Q378" s="2" t="s">
        <v>1197</v>
      </c>
      <c r="R378" s="3" t="s">
        <v>71</v>
      </c>
      <c r="S378" s="4">
        <v>1</v>
      </c>
      <c r="T378" s="4">
        <v>1</v>
      </c>
      <c r="U378" s="5" t="s">
        <v>4007</v>
      </c>
      <c r="V378" s="5" t="s">
        <v>4007</v>
      </c>
      <c r="W378" s="5" t="s">
        <v>72</v>
      </c>
      <c r="X378" s="5" t="s">
        <v>72</v>
      </c>
      <c r="Y378" s="4">
        <v>154</v>
      </c>
      <c r="Z378" s="4">
        <v>23</v>
      </c>
      <c r="AA378" s="4">
        <v>93</v>
      </c>
      <c r="AB378" s="4">
        <v>1</v>
      </c>
      <c r="AC378" s="4">
        <v>16</v>
      </c>
      <c r="AD378" s="4">
        <v>91</v>
      </c>
      <c r="AE378" s="4">
        <v>141</v>
      </c>
      <c r="AF378" s="4">
        <v>0</v>
      </c>
      <c r="AG378" s="4">
        <v>8</v>
      </c>
      <c r="AH378" s="4">
        <v>79</v>
      </c>
      <c r="AI378" s="4">
        <v>99</v>
      </c>
      <c r="AJ378" s="4">
        <v>16</v>
      </c>
      <c r="AK378" s="4">
        <v>26</v>
      </c>
      <c r="AL378" s="4">
        <v>52</v>
      </c>
      <c r="AM378" s="4">
        <v>60</v>
      </c>
      <c r="AN378" s="4">
        <v>0</v>
      </c>
      <c r="AO378" s="4">
        <v>0</v>
      </c>
      <c r="AP378" s="4">
        <v>18</v>
      </c>
      <c r="AQ378" s="4">
        <v>50</v>
      </c>
      <c r="AR378" s="3" t="s">
        <v>209</v>
      </c>
      <c r="AS378" s="3" t="s">
        <v>65</v>
      </c>
      <c r="AT378" s="3" t="s">
        <v>65</v>
      </c>
      <c r="AV378" s="6" t="str">
        <f>HYPERLINK("http://mcgill.on.worldcat.org/oclc/842499894","Catalog Record")</f>
        <v>Catalog Record</v>
      </c>
      <c r="AW378" s="6" t="str">
        <f>HYPERLINK("http://www.worldcat.org/oclc/842499894","WorldCat Record")</f>
        <v>WorldCat Record</v>
      </c>
      <c r="AX378" s="3" t="s">
        <v>4008</v>
      </c>
      <c r="AY378" s="3" t="s">
        <v>4009</v>
      </c>
      <c r="AZ378" s="3" t="s">
        <v>4010</v>
      </c>
      <c r="BA378" s="3" t="s">
        <v>4010</v>
      </c>
      <c r="BB378" s="3" t="s">
        <v>4011</v>
      </c>
      <c r="BC378" s="3" t="s">
        <v>77</v>
      </c>
      <c r="BD378" s="3" t="s">
        <v>78</v>
      </c>
      <c r="BE378" s="3" t="s">
        <v>4012</v>
      </c>
      <c r="BF378" s="3" t="s">
        <v>4011</v>
      </c>
      <c r="BG378" s="3" t="s">
        <v>4013</v>
      </c>
    </row>
    <row r="379" spans="1:59" ht="58" x14ac:dyDescent="0.35">
      <c r="A379" s="2" t="s">
        <v>59</v>
      </c>
      <c r="B379" s="2" t="s">
        <v>60</v>
      </c>
      <c r="C379" s="2" t="s">
        <v>4014</v>
      </c>
      <c r="D379" s="2" t="s">
        <v>4015</v>
      </c>
      <c r="E379" s="2" t="s">
        <v>4016</v>
      </c>
      <c r="G379" s="3" t="s">
        <v>65</v>
      </c>
      <c r="I379" s="3" t="s">
        <v>65</v>
      </c>
      <c r="J379" s="3" t="s">
        <v>65</v>
      </c>
      <c r="K379" s="3" t="s">
        <v>66</v>
      </c>
      <c r="M379" s="2" t="s">
        <v>4017</v>
      </c>
      <c r="N379" s="3" t="s">
        <v>113</v>
      </c>
      <c r="O379" s="2" t="s">
        <v>365</v>
      </c>
      <c r="P379" s="3" t="s">
        <v>140</v>
      </c>
      <c r="Q379" s="2" t="s">
        <v>4018</v>
      </c>
      <c r="R379" s="3" t="s">
        <v>71</v>
      </c>
      <c r="S379" s="4">
        <v>0</v>
      </c>
      <c r="T379" s="4">
        <v>0</v>
      </c>
      <c r="W379" s="5" t="s">
        <v>72</v>
      </c>
      <c r="X379" s="5" t="s">
        <v>72</v>
      </c>
      <c r="Y379" s="4">
        <v>56</v>
      </c>
      <c r="Z379" s="4">
        <v>3</v>
      </c>
      <c r="AA379" s="4">
        <v>3</v>
      </c>
      <c r="AB379" s="4">
        <v>1</v>
      </c>
      <c r="AC379" s="4">
        <v>1</v>
      </c>
      <c r="AD379" s="4">
        <v>30</v>
      </c>
      <c r="AE379" s="4">
        <v>30</v>
      </c>
      <c r="AF379" s="4">
        <v>0</v>
      </c>
      <c r="AG379" s="4">
        <v>0</v>
      </c>
      <c r="AH379" s="4">
        <v>29</v>
      </c>
      <c r="AI379" s="4">
        <v>29</v>
      </c>
      <c r="AJ379" s="4">
        <v>1</v>
      </c>
      <c r="AK379" s="4">
        <v>1</v>
      </c>
      <c r="AL379" s="4">
        <v>24</v>
      </c>
      <c r="AM379" s="4">
        <v>24</v>
      </c>
      <c r="AN379" s="4">
        <v>0</v>
      </c>
      <c r="AO379" s="4">
        <v>0</v>
      </c>
      <c r="AP379" s="4">
        <v>1</v>
      </c>
      <c r="AQ379" s="4">
        <v>1</v>
      </c>
      <c r="AR379" s="3" t="s">
        <v>65</v>
      </c>
      <c r="AS379" s="3" t="s">
        <v>65</v>
      </c>
      <c r="AT379" s="3" t="s">
        <v>65</v>
      </c>
      <c r="AV379" s="6" t="str">
        <f>HYPERLINK("http://mcgill.on.worldcat.org/oclc/644523550","Catalog Record")</f>
        <v>Catalog Record</v>
      </c>
      <c r="AW379" s="6" t="str">
        <f>HYPERLINK("http://www.worldcat.org/oclc/644523550","WorldCat Record")</f>
        <v>WorldCat Record</v>
      </c>
      <c r="AX379" s="3" t="s">
        <v>4019</v>
      </c>
      <c r="AY379" s="3" t="s">
        <v>4020</v>
      </c>
      <c r="AZ379" s="3" t="s">
        <v>4021</v>
      </c>
      <c r="BA379" s="3" t="s">
        <v>4021</v>
      </c>
      <c r="BB379" s="3" t="s">
        <v>4022</v>
      </c>
      <c r="BC379" s="3" t="s">
        <v>77</v>
      </c>
      <c r="BD379" s="3" t="s">
        <v>78</v>
      </c>
      <c r="BE379" s="3" t="s">
        <v>4023</v>
      </c>
      <c r="BF379" s="3" t="s">
        <v>4022</v>
      </c>
      <c r="BG379" s="3" t="s">
        <v>4024</v>
      </c>
    </row>
    <row r="380" spans="1:59" ht="58" x14ac:dyDescent="0.35">
      <c r="A380" s="2" t="s">
        <v>59</v>
      </c>
      <c r="B380" s="2" t="s">
        <v>60</v>
      </c>
      <c r="C380" s="2" t="s">
        <v>4025</v>
      </c>
      <c r="D380" s="2" t="s">
        <v>4026</v>
      </c>
      <c r="E380" s="2" t="s">
        <v>4027</v>
      </c>
      <c r="G380" s="3" t="s">
        <v>65</v>
      </c>
      <c r="I380" s="3" t="s">
        <v>65</v>
      </c>
      <c r="J380" s="3" t="s">
        <v>65</v>
      </c>
      <c r="K380" s="3" t="s">
        <v>66</v>
      </c>
      <c r="L380" s="2" t="s">
        <v>4028</v>
      </c>
      <c r="M380" s="2" t="s">
        <v>4029</v>
      </c>
      <c r="N380" s="3" t="s">
        <v>126</v>
      </c>
      <c r="P380" s="3" t="s">
        <v>140</v>
      </c>
      <c r="Q380" s="2" t="s">
        <v>4030</v>
      </c>
      <c r="R380" s="3" t="s">
        <v>71</v>
      </c>
      <c r="S380" s="4">
        <v>0</v>
      </c>
      <c r="T380" s="4">
        <v>0</v>
      </c>
      <c r="W380" s="5" t="s">
        <v>72</v>
      </c>
      <c r="X380" s="5" t="s">
        <v>72</v>
      </c>
      <c r="Y380" s="4">
        <v>31</v>
      </c>
      <c r="Z380" s="4">
        <v>3</v>
      </c>
      <c r="AA380" s="4">
        <v>3</v>
      </c>
      <c r="AB380" s="4">
        <v>1</v>
      </c>
      <c r="AC380" s="4">
        <v>1</v>
      </c>
      <c r="AD380" s="4">
        <v>20</v>
      </c>
      <c r="AE380" s="4">
        <v>20</v>
      </c>
      <c r="AF380" s="4">
        <v>0</v>
      </c>
      <c r="AG380" s="4">
        <v>0</v>
      </c>
      <c r="AH380" s="4">
        <v>19</v>
      </c>
      <c r="AI380" s="4">
        <v>19</v>
      </c>
      <c r="AJ380" s="4">
        <v>1</v>
      </c>
      <c r="AK380" s="4">
        <v>1</v>
      </c>
      <c r="AL380" s="4">
        <v>16</v>
      </c>
      <c r="AM380" s="4">
        <v>16</v>
      </c>
      <c r="AN380" s="4">
        <v>0</v>
      </c>
      <c r="AO380" s="4">
        <v>0</v>
      </c>
      <c r="AP380" s="4">
        <v>1</v>
      </c>
      <c r="AQ380" s="4">
        <v>1</v>
      </c>
      <c r="AR380" s="3" t="s">
        <v>65</v>
      </c>
      <c r="AS380" s="3" t="s">
        <v>65</v>
      </c>
      <c r="AT380" s="3" t="s">
        <v>65</v>
      </c>
      <c r="AV380" s="6" t="str">
        <f>HYPERLINK("http://mcgill.on.worldcat.org/oclc/741557563","Catalog Record")</f>
        <v>Catalog Record</v>
      </c>
      <c r="AW380" s="6" t="str">
        <f>HYPERLINK("http://www.worldcat.org/oclc/741557563","WorldCat Record")</f>
        <v>WorldCat Record</v>
      </c>
      <c r="AX380" s="3" t="s">
        <v>4031</v>
      </c>
      <c r="AY380" s="3" t="s">
        <v>4032</v>
      </c>
      <c r="AZ380" s="3" t="s">
        <v>4033</v>
      </c>
      <c r="BA380" s="3" t="s">
        <v>4033</v>
      </c>
      <c r="BB380" s="3" t="s">
        <v>4034</v>
      </c>
      <c r="BC380" s="3" t="s">
        <v>77</v>
      </c>
      <c r="BD380" s="3" t="s">
        <v>78</v>
      </c>
      <c r="BE380" s="3" t="s">
        <v>4035</v>
      </c>
      <c r="BF380" s="3" t="s">
        <v>4034</v>
      </c>
      <c r="BG380" s="3" t="s">
        <v>4036</v>
      </c>
    </row>
    <row r="381" spans="1:59" ht="58" x14ac:dyDescent="0.35">
      <c r="A381" s="2" t="s">
        <v>59</v>
      </c>
      <c r="B381" s="2" t="s">
        <v>60</v>
      </c>
      <c r="C381" s="2" t="s">
        <v>4037</v>
      </c>
      <c r="D381" s="2" t="s">
        <v>4038</v>
      </c>
      <c r="E381" s="2" t="s">
        <v>4039</v>
      </c>
      <c r="G381" s="3" t="s">
        <v>65</v>
      </c>
      <c r="I381" s="3" t="s">
        <v>65</v>
      </c>
      <c r="J381" s="3" t="s">
        <v>65</v>
      </c>
      <c r="K381" s="3" t="s">
        <v>66</v>
      </c>
      <c r="L381" s="2" t="s">
        <v>4040</v>
      </c>
      <c r="M381" s="2" t="s">
        <v>4041</v>
      </c>
      <c r="N381" s="3" t="s">
        <v>4042</v>
      </c>
      <c r="P381" s="3" t="s">
        <v>140</v>
      </c>
      <c r="Q381" s="2" t="s">
        <v>4043</v>
      </c>
      <c r="R381" s="3" t="s">
        <v>71</v>
      </c>
      <c r="S381" s="4">
        <v>6</v>
      </c>
      <c r="T381" s="4">
        <v>6</v>
      </c>
      <c r="U381" s="5" t="s">
        <v>4044</v>
      </c>
      <c r="V381" s="5" t="s">
        <v>4044</v>
      </c>
      <c r="W381" s="5" t="s">
        <v>72</v>
      </c>
      <c r="X381" s="5" t="s">
        <v>72</v>
      </c>
      <c r="Y381" s="4">
        <v>80</v>
      </c>
      <c r="Z381" s="4">
        <v>5</v>
      </c>
      <c r="AA381" s="4">
        <v>6</v>
      </c>
      <c r="AB381" s="4">
        <v>1</v>
      </c>
      <c r="AC381" s="4">
        <v>1</v>
      </c>
      <c r="AD381" s="4">
        <v>47</v>
      </c>
      <c r="AE381" s="4">
        <v>52</v>
      </c>
      <c r="AF381" s="4">
        <v>0</v>
      </c>
      <c r="AG381" s="4">
        <v>0</v>
      </c>
      <c r="AH381" s="4">
        <v>44</v>
      </c>
      <c r="AI381" s="4">
        <v>49</v>
      </c>
      <c r="AJ381" s="4">
        <v>3</v>
      </c>
      <c r="AK381" s="4">
        <v>3</v>
      </c>
      <c r="AL381" s="4">
        <v>36</v>
      </c>
      <c r="AM381" s="4">
        <v>39</v>
      </c>
      <c r="AN381" s="4">
        <v>0</v>
      </c>
      <c r="AO381" s="4">
        <v>0</v>
      </c>
      <c r="AP381" s="4">
        <v>3</v>
      </c>
      <c r="AQ381" s="4">
        <v>3</v>
      </c>
      <c r="AR381" s="3" t="s">
        <v>65</v>
      </c>
      <c r="AS381" s="3" t="s">
        <v>65</v>
      </c>
      <c r="AT381" s="3" t="s">
        <v>209</v>
      </c>
      <c r="AU381" s="6" t="str">
        <f>HYPERLINK("http://catalog.hathitrust.org/Record/001218176","HathiTrust Record")</f>
        <v>HathiTrust Record</v>
      </c>
      <c r="AV381" s="6" t="str">
        <f>HYPERLINK("http://mcgill.on.worldcat.org/oclc/941353","Catalog Record")</f>
        <v>Catalog Record</v>
      </c>
      <c r="AW381" s="6" t="str">
        <f>HYPERLINK("http://www.worldcat.org/oclc/941353","WorldCat Record")</f>
        <v>WorldCat Record</v>
      </c>
      <c r="AX381" s="3" t="s">
        <v>4045</v>
      </c>
      <c r="AY381" s="3" t="s">
        <v>4046</v>
      </c>
      <c r="AZ381" s="3" t="s">
        <v>4047</v>
      </c>
      <c r="BA381" s="3" t="s">
        <v>4047</v>
      </c>
      <c r="BB381" s="3" t="s">
        <v>4048</v>
      </c>
      <c r="BC381" s="3" t="s">
        <v>77</v>
      </c>
      <c r="BD381" s="3" t="s">
        <v>78</v>
      </c>
      <c r="BF381" s="3" t="s">
        <v>4048</v>
      </c>
      <c r="BG381" s="3" t="s">
        <v>4049</v>
      </c>
    </row>
    <row r="382" spans="1:59" ht="58" x14ac:dyDescent="0.35">
      <c r="A382" s="2" t="s">
        <v>59</v>
      </c>
      <c r="B382" s="2" t="s">
        <v>60</v>
      </c>
      <c r="C382" s="2" t="s">
        <v>4050</v>
      </c>
      <c r="D382" s="2" t="s">
        <v>4051</v>
      </c>
      <c r="E382" s="2" t="s">
        <v>4052</v>
      </c>
      <c r="G382" s="3" t="s">
        <v>65</v>
      </c>
      <c r="I382" s="3" t="s">
        <v>65</v>
      </c>
      <c r="J382" s="3" t="s">
        <v>65</v>
      </c>
      <c r="K382" s="3" t="s">
        <v>66</v>
      </c>
      <c r="L382" s="2" t="s">
        <v>4053</v>
      </c>
      <c r="M382" s="2" t="s">
        <v>4054</v>
      </c>
      <c r="N382" s="3" t="s">
        <v>139</v>
      </c>
      <c r="O382" s="2" t="s">
        <v>365</v>
      </c>
      <c r="P382" s="3" t="s">
        <v>140</v>
      </c>
      <c r="Q382" s="2" t="s">
        <v>4055</v>
      </c>
      <c r="R382" s="3" t="s">
        <v>71</v>
      </c>
      <c r="S382" s="4">
        <v>1</v>
      </c>
      <c r="T382" s="4">
        <v>1</v>
      </c>
      <c r="U382" s="5" t="s">
        <v>4056</v>
      </c>
      <c r="V382" s="5" t="s">
        <v>4056</v>
      </c>
      <c r="W382" s="5" t="s">
        <v>72</v>
      </c>
      <c r="X382" s="5" t="s">
        <v>72</v>
      </c>
      <c r="Y382" s="4">
        <v>31</v>
      </c>
      <c r="Z382" s="4">
        <v>3</v>
      </c>
      <c r="AA382" s="4">
        <v>3</v>
      </c>
      <c r="AB382" s="4">
        <v>1</v>
      </c>
      <c r="AC382" s="4">
        <v>1</v>
      </c>
      <c r="AD382" s="4">
        <v>20</v>
      </c>
      <c r="AE382" s="4">
        <v>20</v>
      </c>
      <c r="AF382" s="4">
        <v>0</v>
      </c>
      <c r="AG382" s="4">
        <v>0</v>
      </c>
      <c r="AH382" s="4">
        <v>19</v>
      </c>
      <c r="AI382" s="4">
        <v>19</v>
      </c>
      <c r="AJ382" s="4">
        <v>1</v>
      </c>
      <c r="AK382" s="4">
        <v>1</v>
      </c>
      <c r="AL382" s="4">
        <v>17</v>
      </c>
      <c r="AM382" s="4">
        <v>17</v>
      </c>
      <c r="AN382" s="4">
        <v>0</v>
      </c>
      <c r="AO382" s="4">
        <v>0</v>
      </c>
      <c r="AP382" s="4">
        <v>1</v>
      </c>
      <c r="AQ382" s="4">
        <v>1</v>
      </c>
      <c r="AR382" s="3" t="s">
        <v>65</v>
      </c>
      <c r="AS382" s="3" t="s">
        <v>65</v>
      </c>
      <c r="AT382" s="3" t="s">
        <v>65</v>
      </c>
      <c r="AV382" s="6" t="str">
        <f>HYPERLINK("http://mcgill.on.worldcat.org/oclc/824727687","Catalog Record")</f>
        <v>Catalog Record</v>
      </c>
      <c r="AW382" s="6" t="str">
        <f>HYPERLINK("http://www.worldcat.org/oclc/824727687","WorldCat Record")</f>
        <v>WorldCat Record</v>
      </c>
      <c r="AX382" s="3" t="s">
        <v>4057</v>
      </c>
      <c r="AY382" s="3" t="s">
        <v>4058</v>
      </c>
      <c r="AZ382" s="3" t="s">
        <v>4059</v>
      </c>
      <c r="BA382" s="3" t="s">
        <v>4059</v>
      </c>
      <c r="BB382" s="3" t="s">
        <v>4060</v>
      </c>
      <c r="BC382" s="3" t="s">
        <v>77</v>
      </c>
      <c r="BD382" s="3" t="s">
        <v>78</v>
      </c>
      <c r="BE382" s="3" t="s">
        <v>4061</v>
      </c>
      <c r="BF382" s="3" t="s">
        <v>4060</v>
      </c>
      <c r="BG382" s="3" t="s">
        <v>4062</v>
      </c>
    </row>
    <row r="383" spans="1:59" ht="58" x14ac:dyDescent="0.35">
      <c r="A383" s="2" t="s">
        <v>59</v>
      </c>
      <c r="B383" s="2" t="s">
        <v>60</v>
      </c>
      <c r="C383" s="2" t="s">
        <v>4063</v>
      </c>
      <c r="D383" s="2" t="s">
        <v>4064</v>
      </c>
      <c r="E383" s="2" t="s">
        <v>4065</v>
      </c>
      <c r="G383" s="3" t="s">
        <v>65</v>
      </c>
      <c r="I383" s="3" t="s">
        <v>65</v>
      </c>
      <c r="J383" s="3" t="s">
        <v>65</v>
      </c>
      <c r="K383" s="3" t="s">
        <v>66</v>
      </c>
      <c r="L383" s="2" t="s">
        <v>4066</v>
      </c>
      <c r="M383" s="2" t="s">
        <v>4067</v>
      </c>
      <c r="N383" s="3" t="s">
        <v>126</v>
      </c>
      <c r="P383" s="3" t="s">
        <v>69</v>
      </c>
      <c r="Q383" s="2" t="s">
        <v>1648</v>
      </c>
      <c r="R383" s="3" t="s">
        <v>71</v>
      </c>
      <c r="S383" s="4">
        <v>2</v>
      </c>
      <c r="T383" s="4">
        <v>2</v>
      </c>
      <c r="U383" s="5" t="s">
        <v>4068</v>
      </c>
      <c r="V383" s="5" t="s">
        <v>4068</v>
      </c>
      <c r="W383" s="5" t="s">
        <v>72</v>
      </c>
      <c r="X383" s="5" t="s">
        <v>72</v>
      </c>
      <c r="Y383" s="4">
        <v>147</v>
      </c>
      <c r="Z383" s="4">
        <v>23</v>
      </c>
      <c r="AA383" s="4">
        <v>109</v>
      </c>
      <c r="AB383" s="4">
        <v>1</v>
      </c>
      <c r="AC383" s="4">
        <v>19</v>
      </c>
      <c r="AD383" s="4">
        <v>90</v>
      </c>
      <c r="AE383" s="4">
        <v>140</v>
      </c>
      <c r="AF383" s="4">
        <v>0</v>
      </c>
      <c r="AG383" s="4">
        <v>8</v>
      </c>
      <c r="AH383" s="4">
        <v>78</v>
      </c>
      <c r="AI383" s="4">
        <v>99</v>
      </c>
      <c r="AJ383" s="4">
        <v>17</v>
      </c>
      <c r="AK383" s="4">
        <v>27</v>
      </c>
      <c r="AL383" s="4">
        <v>48</v>
      </c>
      <c r="AM383" s="4">
        <v>54</v>
      </c>
      <c r="AN383" s="4">
        <v>0</v>
      </c>
      <c r="AO383" s="4">
        <v>0</v>
      </c>
      <c r="AP383" s="4">
        <v>19</v>
      </c>
      <c r="AQ383" s="4">
        <v>50</v>
      </c>
      <c r="AR383" s="3" t="s">
        <v>209</v>
      </c>
      <c r="AS383" s="3" t="s">
        <v>65</v>
      </c>
      <c r="AT383" s="3" t="s">
        <v>65</v>
      </c>
      <c r="AV383" s="6" t="str">
        <f>HYPERLINK("http://mcgill.on.worldcat.org/oclc/704533204","Catalog Record")</f>
        <v>Catalog Record</v>
      </c>
      <c r="AW383" s="6" t="str">
        <f>HYPERLINK("http://www.worldcat.org/oclc/704533204","WorldCat Record")</f>
        <v>WorldCat Record</v>
      </c>
      <c r="AX383" s="3" t="s">
        <v>4069</v>
      </c>
      <c r="AY383" s="3" t="s">
        <v>4070</v>
      </c>
      <c r="AZ383" s="3" t="s">
        <v>4071</v>
      </c>
      <c r="BA383" s="3" t="s">
        <v>4071</v>
      </c>
      <c r="BB383" s="3" t="s">
        <v>4072</v>
      </c>
      <c r="BC383" s="3" t="s">
        <v>77</v>
      </c>
      <c r="BD383" s="3" t="s">
        <v>78</v>
      </c>
      <c r="BE383" s="3" t="s">
        <v>4073</v>
      </c>
      <c r="BF383" s="3" t="s">
        <v>4072</v>
      </c>
      <c r="BG383" s="3" t="s">
        <v>4074</v>
      </c>
    </row>
    <row r="384" spans="1:59" ht="58" x14ac:dyDescent="0.35">
      <c r="A384" s="2" t="s">
        <v>59</v>
      </c>
      <c r="B384" s="2" t="s">
        <v>60</v>
      </c>
      <c r="C384" s="2" t="s">
        <v>4075</v>
      </c>
      <c r="D384" s="2" t="s">
        <v>4076</v>
      </c>
      <c r="E384" s="2" t="s">
        <v>4077</v>
      </c>
      <c r="G384" s="3" t="s">
        <v>65</v>
      </c>
      <c r="I384" s="3" t="s">
        <v>65</v>
      </c>
      <c r="J384" s="3" t="s">
        <v>65</v>
      </c>
      <c r="K384" s="3" t="s">
        <v>66</v>
      </c>
      <c r="M384" s="2" t="s">
        <v>4078</v>
      </c>
      <c r="N384" s="3" t="s">
        <v>1196</v>
      </c>
      <c r="P384" s="3" t="s">
        <v>140</v>
      </c>
      <c r="Q384" s="2" t="s">
        <v>4079</v>
      </c>
      <c r="R384" s="3" t="s">
        <v>71</v>
      </c>
      <c r="S384" s="4">
        <v>3</v>
      </c>
      <c r="T384" s="4">
        <v>3</v>
      </c>
      <c r="U384" s="5" t="s">
        <v>4080</v>
      </c>
      <c r="V384" s="5" t="s">
        <v>4080</v>
      </c>
      <c r="W384" s="5" t="s">
        <v>72</v>
      </c>
      <c r="X384" s="5" t="s">
        <v>72</v>
      </c>
      <c r="Y384" s="4">
        <v>31</v>
      </c>
      <c r="Z384" s="4">
        <v>3</v>
      </c>
      <c r="AA384" s="4">
        <v>3</v>
      </c>
      <c r="AB384" s="4">
        <v>1</v>
      </c>
      <c r="AC384" s="4">
        <v>1</v>
      </c>
      <c r="AD384" s="4">
        <v>13</v>
      </c>
      <c r="AE384" s="4">
        <v>13</v>
      </c>
      <c r="AF384" s="4">
        <v>0</v>
      </c>
      <c r="AG384" s="4">
        <v>0</v>
      </c>
      <c r="AH384" s="4">
        <v>12</v>
      </c>
      <c r="AI384" s="4">
        <v>12</v>
      </c>
      <c r="AJ384" s="4">
        <v>2</v>
      </c>
      <c r="AK384" s="4">
        <v>2</v>
      </c>
      <c r="AL384" s="4">
        <v>9</v>
      </c>
      <c r="AM384" s="4">
        <v>9</v>
      </c>
      <c r="AN384" s="4">
        <v>0</v>
      </c>
      <c r="AO384" s="4">
        <v>0</v>
      </c>
      <c r="AP384" s="4">
        <v>2</v>
      </c>
      <c r="AQ384" s="4">
        <v>2</v>
      </c>
      <c r="AR384" s="3" t="s">
        <v>65</v>
      </c>
      <c r="AS384" s="3" t="s">
        <v>65</v>
      </c>
      <c r="AT384" s="3" t="s">
        <v>65</v>
      </c>
      <c r="AV384" s="6" t="str">
        <f>HYPERLINK("http://mcgill.on.worldcat.org/oclc/61733909","Catalog Record")</f>
        <v>Catalog Record</v>
      </c>
      <c r="AW384" s="6" t="str">
        <f>HYPERLINK("http://www.worldcat.org/oclc/61733909","WorldCat Record")</f>
        <v>WorldCat Record</v>
      </c>
      <c r="AX384" s="3" t="s">
        <v>4081</v>
      </c>
      <c r="AY384" s="3" t="s">
        <v>4082</v>
      </c>
      <c r="AZ384" s="3" t="s">
        <v>4083</v>
      </c>
      <c r="BA384" s="3" t="s">
        <v>4083</v>
      </c>
      <c r="BB384" s="3" t="s">
        <v>4084</v>
      </c>
      <c r="BC384" s="3" t="s">
        <v>77</v>
      </c>
      <c r="BD384" s="3" t="s">
        <v>78</v>
      </c>
      <c r="BE384" s="3" t="s">
        <v>4085</v>
      </c>
      <c r="BF384" s="3" t="s">
        <v>4084</v>
      </c>
      <c r="BG384" s="3" t="s">
        <v>4086</v>
      </c>
    </row>
    <row r="385" spans="1:59" ht="72.5" x14ac:dyDescent="0.35">
      <c r="A385" s="2" t="s">
        <v>59</v>
      </c>
      <c r="B385" s="2" t="s">
        <v>60</v>
      </c>
      <c r="C385" s="2" t="s">
        <v>4087</v>
      </c>
      <c r="D385" s="2" t="s">
        <v>4088</v>
      </c>
      <c r="E385" s="2" t="s">
        <v>4089</v>
      </c>
      <c r="G385" s="3" t="s">
        <v>65</v>
      </c>
      <c r="I385" s="3" t="s">
        <v>209</v>
      </c>
      <c r="J385" s="3" t="s">
        <v>65</v>
      </c>
      <c r="K385" s="3" t="s">
        <v>66</v>
      </c>
      <c r="L385" s="2" t="s">
        <v>4090</v>
      </c>
      <c r="M385" s="2" t="s">
        <v>4091</v>
      </c>
      <c r="N385" s="3" t="s">
        <v>99</v>
      </c>
      <c r="O385" s="2" t="s">
        <v>526</v>
      </c>
      <c r="P385" s="3" t="s">
        <v>69</v>
      </c>
      <c r="R385" s="3" t="s">
        <v>71</v>
      </c>
      <c r="S385" s="4">
        <v>8</v>
      </c>
      <c r="T385" s="4">
        <v>9</v>
      </c>
      <c r="U385" s="5" t="s">
        <v>4092</v>
      </c>
      <c r="V385" s="5" t="s">
        <v>4092</v>
      </c>
      <c r="W385" s="5" t="s">
        <v>72</v>
      </c>
      <c r="X385" s="5" t="s">
        <v>72</v>
      </c>
      <c r="Y385" s="4">
        <v>246</v>
      </c>
      <c r="Z385" s="4">
        <v>20</v>
      </c>
      <c r="AA385" s="4">
        <v>20</v>
      </c>
      <c r="AB385" s="4">
        <v>2</v>
      </c>
      <c r="AC385" s="4">
        <v>2</v>
      </c>
      <c r="AD385" s="4">
        <v>82</v>
      </c>
      <c r="AE385" s="4">
        <v>82</v>
      </c>
      <c r="AF385" s="4">
        <v>1</v>
      </c>
      <c r="AG385" s="4">
        <v>1</v>
      </c>
      <c r="AH385" s="4">
        <v>74</v>
      </c>
      <c r="AI385" s="4">
        <v>74</v>
      </c>
      <c r="AJ385" s="4">
        <v>11</v>
      </c>
      <c r="AK385" s="4">
        <v>11</v>
      </c>
      <c r="AL385" s="4">
        <v>48</v>
      </c>
      <c r="AM385" s="4">
        <v>48</v>
      </c>
      <c r="AN385" s="4">
        <v>0</v>
      </c>
      <c r="AO385" s="4">
        <v>0</v>
      </c>
      <c r="AP385" s="4">
        <v>12</v>
      </c>
      <c r="AQ385" s="4">
        <v>12</v>
      </c>
      <c r="AR385" s="3" t="s">
        <v>65</v>
      </c>
      <c r="AS385" s="3" t="s">
        <v>65</v>
      </c>
      <c r="AT385" s="3" t="s">
        <v>65</v>
      </c>
      <c r="AV385" s="6" t="str">
        <f>HYPERLINK("http://mcgill.on.worldcat.org/oclc/61353070","Catalog Record")</f>
        <v>Catalog Record</v>
      </c>
      <c r="AW385" s="6" t="str">
        <f>HYPERLINK("http://www.worldcat.org/oclc/61353070","WorldCat Record")</f>
        <v>WorldCat Record</v>
      </c>
      <c r="AX385" s="3" t="s">
        <v>4093</v>
      </c>
      <c r="AY385" s="3" t="s">
        <v>4094</v>
      </c>
      <c r="AZ385" s="3" t="s">
        <v>4095</v>
      </c>
      <c r="BA385" s="3" t="s">
        <v>4095</v>
      </c>
      <c r="BB385" s="3" t="s">
        <v>4096</v>
      </c>
      <c r="BC385" s="3" t="s">
        <v>77</v>
      </c>
      <c r="BD385" s="3" t="s">
        <v>78</v>
      </c>
      <c r="BE385" s="3" t="s">
        <v>4097</v>
      </c>
      <c r="BF385" s="3" t="s">
        <v>4096</v>
      </c>
      <c r="BG385" s="3" t="s">
        <v>4098</v>
      </c>
    </row>
    <row r="386" spans="1:59" ht="72.5" x14ac:dyDescent="0.35">
      <c r="A386" s="2" t="s">
        <v>59</v>
      </c>
      <c r="B386" s="2" t="s">
        <v>60</v>
      </c>
      <c r="C386" s="2" t="s">
        <v>4087</v>
      </c>
      <c r="D386" s="2" t="s">
        <v>4088</v>
      </c>
      <c r="E386" s="2" t="s">
        <v>4089</v>
      </c>
      <c r="G386" s="3" t="s">
        <v>65</v>
      </c>
      <c r="I386" s="3" t="s">
        <v>209</v>
      </c>
      <c r="J386" s="3" t="s">
        <v>65</v>
      </c>
      <c r="K386" s="3" t="s">
        <v>66</v>
      </c>
      <c r="L386" s="2" t="s">
        <v>4090</v>
      </c>
      <c r="M386" s="2" t="s">
        <v>4091</v>
      </c>
      <c r="N386" s="3" t="s">
        <v>99</v>
      </c>
      <c r="O386" s="2" t="s">
        <v>526</v>
      </c>
      <c r="P386" s="3" t="s">
        <v>69</v>
      </c>
      <c r="R386" s="3" t="s">
        <v>71</v>
      </c>
      <c r="S386" s="4">
        <v>1</v>
      </c>
      <c r="T386" s="4">
        <v>9</v>
      </c>
      <c r="U386" s="5" t="s">
        <v>4099</v>
      </c>
      <c r="V386" s="5" t="s">
        <v>4092</v>
      </c>
      <c r="W386" s="5" t="s">
        <v>72</v>
      </c>
      <c r="X386" s="5" t="s">
        <v>72</v>
      </c>
      <c r="Y386" s="4">
        <v>246</v>
      </c>
      <c r="Z386" s="4">
        <v>20</v>
      </c>
      <c r="AA386" s="4">
        <v>20</v>
      </c>
      <c r="AB386" s="4">
        <v>2</v>
      </c>
      <c r="AC386" s="4">
        <v>2</v>
      </c>
      <c r="AD386" s="4">
        <v>82</v>
      </c>
      <c r="AE386" s="4">
        <v>82</v>
      </c>
      <c r="AF386" s="4">
        <v>1</v>
      </c>
      <c r="AG386" s="4">
        <v>1</v>
      </c>
      <c r="AH386" s="4">
        <v>74</v>
      </c>
      <c r="AI386" s="4">
        <v>74</v>
      </c>
      <c r="AJ386" s="4">
        <v>11</v>
      </c>
      <c r="AK386" s="4">
        <v>11</v>
      </c>
      <c r="AL386" s="4">
        <v>48</v>
      </c>
      <c r="AM386" s="4">
        <v>48</v>
      </c>
      <c r="AN386" s="4">
        <v>0</v>
      </c>
      <c r="AO386" s="4">
        <v>0</v>
      </c>
      <c r="AP386" s="4">
        <v>12</v>
      </c>
      <c r="AQ386" s="4">
        <v>12</v>
      </c>
      <c r="AR386" s="3" t="s">
        <v>65</v>
      </c>
      <c r="AS386" s="3" t="s">
        <v>65</v>
      </c>
      <c r="AT386" s="3" t="s">
        <v>65</v>
      </c>
      <c r="AV386" s="6" t="str">
        <f>HYPERLINK("http://mcgill.on.worldcat.org/oclc/61353070","Catalog Record")</f>
        <v>Catalog Record</v>
      </c>
      <c r="AW386" s="6" t="str">
        <f>HYPERLINK("http://www.worldcat.org/oclc/61353070","WorldCat Record")</f>
        <v>WorldCat Record</v>
      </c>
      <c r="AX386" s="3" t="s">
        <v>4093</v>
      </c>
      <c r="AY386" s="3" t="s">
        <v>4094</v>
      </c>
      <c r="AZ386" s="3" t="s">
        <v>4095</v>
      </c>
      <c r="BA386" s="3" t="s">
        <v>4095</v>
      </c>
      <c r="BB386" s="3" t="s">
        <v>4100</v>
      </c>
      <c r="BC386" s="3" t="s">
        <v>77</v>
      </c>
      <c r="BD386" s="3" t="s">
        <v>78</v>
      </c>
      <c r="BE386" s="3" t="s">
        <v>4097</v>
      </c>
      <c r="BF386" s="3" t="s">
        <v>4100</v>
      </c>
      <c r="BG386" s="3" t="s">
        <v>4101</v>
      </c>
    </row>
    <row r="387" spans="1:59" ht="58" x14ac:dyDescent="0.35">
      <c r="A387" s="2" t="s">
        <v>59</v>
      </c>
      <c r="B387" s="2" t="s">
        <v>60</v>
      </c>
      <c r="C387" s="2" t="s">
        <v>4102</v>
      </c>
      <c r="D387" s="2" t="s">
        <v>4103</v>
      </c>
      <c r="E387" s="2" t="s">
        <v>4104</v>
      </c>
      <c r="G387" s="3" t="s">
        <v>65</v>
      </c>
      <c r="I387" s="3" t="s">
        <v>65</v>
      </c>
      <c r="J387" s="3" t="s">
        <v>65</v>
      </c>
      <c r="K387" s="3" t="s">
        <v>66</v>
      </c>
      <c r="L387" s="2" t="s">
        <v>4105</v>
      </c>
      <c r="M387" s="2" t="s">
        <v>2879</v>
      </c>
      <c r="N387" s="3" t="s">
        <v>188</v>
      </c>
      <c r="O387" s="2" t="s">
        <v>4106</v>
      </c>
      <c r="P387" s="3" t="s">
        <v>140</v>
      </c>
      <c r="Q387" s="2" t="s">
        <v>4107</v>
      </c>
      <c r="R387" s="3" t="s">
        <v>71</v>
      </c>
      <c r="S387" s="4">
        <v>0</v>
      </c>
      <c r="T387" s="4">
        <v>0</v>
      </c>
      <c r="W387" s="5" t="s">
        <v>72</v>
      </c>
      <c r="X387" s="5" t="s">
        <v>72</v>
      </c>
      <c r="Y387" s="4">
        <v>40</v>
      </c>
      <c r="Z387" s="4">
        <v>1</v>
      </c>
      <c r="AA387" s="4">
        <v>2</v>
      </c>
      <c r="AB387" s="4">
        <v>1</v>
      </c>
      <c r="AC387" s="4">
        <v>1</v>
      </c>
      <c r="AD387" s="4">
        <v>25</v>
      </c>
      <c r="AE387" s="4">
        <v>26</v>
      </c>
      <c r="AF387" s="4">
        <v>0</v>
      </c>
      <c r="AG387" s="4">
        <v>0</v>
      </c>
      <c r="AH387" s="4">
        <v>24</v>
      </c>
      <c r="AI387" s="4">
        <v>25</v>
      </c>
      <c r="AJ387" s="4">
        <v>0</v>
      </c>
      <c r="AK387" s="4">
        <v>1</v>
      </c>
      <c r="AL387" s="4">
        <v>17</v>
      </c>
      <c r="AM387" s="4">
        <v>17</v>
      </c>
      <c r="AN387" s="4">
        <v>0</v>
      </c>
      <c r="AO387" s="4">
        <v>0</v>
      </c>
      <c r="AP387" s="4">
        <v>0</v>
      </c>
      <c r="AQ387" s="4">
        <v>1</v>
      </c>
      <c r="AR387" s="3" t="s">
        <v>65</v>
      </c>
      <c r="AS387" s="3" t="s">
        <v>65</v>
      </c>
      <c r="AT387" s="3" t="s">
        <v>65</v>
      </c>
      <c r="AV387" s="6" t="str">
        <f>HYPERLINK("http://mcgill.on.worldcat.org/oclc/980302156","Catalog Record")</f>
        <v>Catalog Record</v>
      </c>
      <c r="AW387" s="6" t="str">
        <f>HYPERLINK("http://www.worldcat.org/oclc/980302156","WorldCat Record")</f>
        <v>WorldCat Record</v>
      </c>
      <c r="AX387" s="3" t="s">
        <v>4108</v>
      </c>
      <c r="AY387" s="3" t="s">
        <v>4109</v>
      </c>
      <c r="AZ387" s="3" t="s">
        <v>4110</v>
      </c>
      <c r="BA387" s="3" t="s">
        <v>4110</v>
      </c>
      <c r="BB387" s="3" t="s">
        <v>4111</v>
      </c>
      <c r="BC387" s="3" t="s">
        <v>77</v>
      </c>
      <c r="BD387" s="3" t="s">
        <v>78</v>
      </c>
      <c r="BE387" s="3" t="s">
        <v>4112</v>
      </c>
      <c r="BF387" s="3" t="s">
        <v>4111</v>
      </c>
      <c r="BG387" s="3" t="s">
        <v>4113</v>
      </c>
    </row>
    <row r="388" spans="1:59" ht="58" x14ac:dyDescent="0.35">
      <c r="A388" s="2" t="s">
        <v>59</v>
      </c>
      <c r="B388" s="2" t="s">
        <v>60</v>
      </c>
      <c r="C388" s="2" t="s">
        <v>4114</v>
      </c>
      <c r="D388" s="2" t="s">
        <v>4115</v>
      </c>
      <c r="E388" s="2" t="s">
        <v>4116</v>
      </c>
      <c r="G388" s="3" t="s">
        <v>65</v>
      </c>
      <c r="I388" s="3" t="s">
        <v>65</v>
      </c>
      <c r="J388" s="3" t="s">
        <v>65</v>
      </c>
      <c r="K388" s="3" t="s">
        <v>66</v>
      </c>
      <c r="L388" s="2" t="s">
        <v>4117</v>
      </c>
      <c r="M388" s="2" t="s">
        <v>4118</v>
      </c>
      <c r="N388" s="3" t="s">
        <v>176</v>
      </c>
      <c r="P388" s="3" t="s">
        <v>69</v>
      </c>
      <c r="R388" s="3" t="s">
        <v>71</v>
      </c>
      <c r="S388" s="4">
        <v>0</v>
      </c>
      <c r="T388" s="4">
        <v>0</v>
      </c>
      <c r="W388" s="5" t="s">
        <v>72</v>
      </c>
      <c r="X388" s="5" t="s">
        <v>72</v>
      </c>
      <c r="Y388" s="4">
        <v>33</v>
      </c>
      <c r="Z388" s="4">
        <v>4</v>
      </c>
      <c r="AA388" s="4">
        <v>5</v>
      </c>
      <c r="AB388" s="4">
        <v>1</v>
      </c>
      <c r="AC388" s="4">
        <v>1</v>
      </c>
      <c r="AD388" s="4">
        <v>21</v>
      </c>
      <c r="AE388" s="4">
        <v>22</v>
      </c>
      <c r="AF388" s="4">
        <v>0</v>
      </c>
      <c r="AG388" s="4">
        <v>0</v>
      </c>
      <c r="AH388" s="4">
        <v>21</v>
      </c>
      <c r="AI388" s="4">
        <v>22</v>
      </c>
      <c r="AJ388" s="4">
        <v>3</v>
      </c>
      <c r="AK388" s="4">
        <v>4</v>
      </c>
      <c r="AL388" s="4">
        <v>12</v>
      </c>
      <c r="AM388" s="4">
        <v>12</v>
      </c>
      <c r="AN388" s="4">
        <v>0</v>
      </c>
      <c r="AO388" s="4">
        <v>0</v>
      </c>
      <c r="AP388" s="4">
        <v>3</v>
      </c>
      <c r="AQ388" s="4">
        <v>4</v>
      </c>
      <c r="AR388" s="3" t="s">
        <v>65</v>
      </c>
      <c r="AS388" s="3" t="s">
        <v>65</v>
      </c>
      <c r="AT388" s="3" t="s">
        <v>65</v>
      </c>
      <c r="AV388" s="6" t="str">
        <f>HYPERLINK("http://mcgill.on.worldcat.org/oclc/897448088","Catalog Record")</f>
        <v>Catalog Record</v>
      </c>
      <c r="AW388" s="6" t="str">
        <f>HYPERLINK("http://www.worldcat.org/oclc/897448088","WorldCat Record")</f>
        <v>WorldCat Record</v>
      </c>
      <c r="AX388" s="3" t="s">
        <v>4119</v>
      </c>
      <c r="AY388" s="3" t="s">
        <v>4120</v>
      </c>
      <c r="AZ388" s="3" t="s">
        <v>4121</v>
      </c>
      <c r="BA388" s="3" t="s">
        <v>4121</v>
      </c>
      <c r="BB388" s="3" t="s">
        <v>4122</v>
      </c>
      <c r="BC388" s="3" t="s">
        <v>77</v>
      </c>
      <c r="BD388" s="3" t="s">
        <v>78</v>
      </c>
      <c r="BE388" s="3" t="s">
        <v>4123</v>
      </c>
      <c r="BF388" s="3" t="s">
        <v>4122</v>
      </c>
      <c r="BG388" s="3" t="s">
        <v>4124</v>
      </c>
    </row>
    <row r="389" spans="1:59" ht="58" x14ac:dyDescent="0.35">
      <c r="A389" s="2" t="s">
        <v>59</v>
      </c>
      <c r="B389" s="2" t="s">
        <v>60</v>
      </c>
      <c r="C389" s="2" t="s">
        <v>4125</v>
      </c>
      <c r="D389" s="2" t="s">
        <v>4126</v>
      </c>
      <c r="E389" s="2" t="s">
        <v>4127</v>
      </c>
      <c r="G389" s="3" t="s">
        <v>65</v>
      </c>
      <c r="I389" s="3" t="s">
        <v>65</v>
      </c>
      <c r="J389" s="3" t="s">
        <v>65</v>
      </c>
      <c r="K389" s="3" t="s">
        <v>66</v>
      </c>
      <c r="L389" s="2" t="s">
        <v>4128</v>
      </c>
      <c r="M389" s="2" t="s">
        <v>1788</v>
      </c>
      <c r="N389" s="3" t="s">
        <v>176</v>
      </c>
      <c r="P389" s="3" t="s">
        <v>140</v>
      </c>
      <c r="Q389" s="2" t="s">
        <v>4129</v>
      </c>
      <c r="R389" s="3" t="s">
        <v>71</v>
      </c>
      <c r="S389" s="4">
        <v>0</v>
      </c>
      <c r="T389" s="4">
        <v>0</v>
      </c>
      <c r="W389" s="5" t="s">
        <v>72</v>
      </c>
      <c r="X389" s="5" t="s">
        <v>72</v>
      </c>
      <c r="Y389" s="4">
        <v>52</v>
      </c>
      <c r="Z389" s="4">
        <v>6</v>
      </c>
      <c r="AA389" s="4">
        <v>6</v>
      </c>
      <c r="AB389" s="4">
        <v>1</v>
      </c>
      <c r="AC389" s="4">
        <v>1</v>
      </c>
      <c r="AD389" s="4">
        <v>30</v>
      </c>
      <c r="AE389" s="4">
        <v>30</v>
      </c>
      <c r="AF389" s="4">
        <v>0</v>
      </c>
      <c r="AG389" s="4">
        <v>0</v>
      </c>
      <c r="AH389" s="4">
        <v>29</v>
      </c>
      <c r="AI389" s="4">
        <v>29</v>
      </c>
      <c r="AJ389" s="4">
        <v>4</v>
      </c>
      <c r="AK389" s="4">
        <v>4</v>
      </c>
      <c r="AL389" s="4">
        <v>19</v>
      </c>
      <c r="AM389" s="4">
        <v>19</v>
      </c>
      <c r="AN389" s="4">
        <v>0</v>
      </c>
      <c r="AO389" s="4">
        <v>0</v>
      </c>
      <c r="AP389" s="4">
        <v>4</v>
      </c>
      <c r="AQ389" s="4">
        <v>4</v>
      </c>
      <c r="AR389" s="3" t="s">
        <v>65</v>
      </c>
      <c r="AS389" s="3" t="s">
        <v>65</v>
      </c>
      <c r="AT389" s="3" t="s">
        <v>65</v>
      </c>
      <c r="AV389" s="6" t="str">
        <f>HYPERLINK("http://mcgill.on.worldcat.org/oclc/919440568","Catalog Record")</f>
        <v>Catalog Record</v>
      </c>
      <c r="AW389" s="6" t="str">
        <f>HYPERLINK("http://www.worldcat.org/oclc/919440568","WorldCat Record")</f>
        <v>WorldCat Record</v>
      </c>
      <c r="AX389" s="3" t="s">
        <v>4130</v>
      </c>
      <c r="AY389" s="3" t="s">
        <v>4131</v>
      </c>
      <c r="AZ389" s="3" t="s">
        <v>4132</v>
      </c>
      <c r="BA389" s="3" t="s">
        <v>4132</v>
      </c>
      <c r="BB389" s="3" t="s">
        <v>4133</v>
      </c>
      <c r="BC389" s="3" t="s">
        <v>77</v>
      </c>
      <c r="BD389" s="3" t="s">
        <v>78</v>
      </c>
      <c r="BE389" s="3" t="s">
        <v>4134</v>
      </c>
      <c r="BF389" s="3" t="s">
        <v>4133</v>
      </c>
      <c r="BG389" s="3" t="s">
        <v>4135</v>
      </c>
    </row>
    <row r="390" spans="1:59" ht="58" x14ac:dyDescent="0.35">
      <c r="A390" s="2" t="s">
        <v>59</v>
      </c>
      <c r="B390" s="2" t="s">
        <v>60</v>
      </c>
      <c r="C390" s="2" t="s">
        <v>4136</v>
      </c>
      <c r="D390" s="2" t="s">
        <v>4137</v>
      </c>
      <c r="E390" s="2" t="s">
        <v>4138</v>
      </c>
      <c r="G390" s="3" t="s">
        <v>65</v>
      </c>
      <c r="I390" s="3" t="s">
        <v>65</v>
      </c>
      <c r="J390" s="3" t="s">
        <v>65</v>
      </c>
      <c r="K390" s="3" t="s">
        <v>66</v>
      </c>
      <c r="M390" s="2" t="s">
        <v>4139</v>
      </c>
      <c r="N390" s="3" t="s">
        <v>113</v>
      </c>
      <c r="P390" s="3" t="s">
        <v>69</v>
      </c>
      <c r="Q390" s="2" t="s">
        <v>1197</v>
      </c>
      <c r="R390" s="3" t="s">
        <v>71</v>
      </c>
      <c r="S390" s="4">
        <v>0</v>
      </c>
      <c r="T390" s="4">
        <v>0</v>
      </c>
      <c r="W390" s="5" t="s">
        <v>72</v>
      </c>
      <c r="X390" s="5" t="s">
        <v>72</v>
      </c>
      <c r="Y390" s="4">
        <v>172</v>
      </c>
      <c r="Z390" s="4">
        <v>26</v>
      </c>
      <c r="AA390" s="4">
        <v>108</v>
      </c>
      <c r="AB390" s="4">
        <v>2</v>
      </c>
      <c r="AC390" s="4">
        <v>20</v>
      </c>
      <c r="AD390" s="4">
        <v>95</v>
      </c>
      <c r="AE390" s="4">
        <v>144</v>
      </c>
      <c r="AF390" s="4">
        <v>0</v>
      </c>
      <c r="AG390" s="4">
        <v>8</v>
      </c>
      <c r="AH390" s="4">
        <v>82</v>
      </c>
      <c r="AI390" s="4">
        <v>103</v>
      </c>
      <c r="AJ390" s="4">
        <v>20</v>
      </c>
      <c r="AK390" s="4">
        <v>27</v>
      </c>
      <c r="AL390" s="4">
        <v>52</v>
      </c>
      <c r="AM390" s="4">
        <v>57</v>
      </c>
      <c r="AN390" s="4">
        <v>0</v>
      </c>
      <c r="AO390" s="4">
        <v>0</v>
      </c>
      <c r="AP390" s="4">
        <v>20</v>
      </c>
      <c r="AQ390" s="4">
        <v>50</v>
      </c>
      <c r="AR390" s="3" t="s">
        <v>209</v>
      </c>
      <c r="AS390" s="3" t="s">
        <v>65</v>
      </c>
      <c r="AT390" s="3" t="s">
        <v>65</v>
      </c>
      <c r="AV390" s="6" t="str">
        <f>HYPERLINK("http://mcgill.on.worldcat.org/oclc/466659600","Catalog Record")</f>
        <v>Catalog Record</v>
      </c>
      <c r="AW390" s="6" t="str">
        <f>HYPERLINK("http://www.worldcat.org/oclc/466659600","WorldCat Record")</f>
        <v>WorldCat Record</v>
      </c>
      <c r="AX390" s="3" t="s">
        <v>4140</v>
      </c>
      <c r="AY390" s="3" t="s">
        <v>4141</v>
      </c>
      <c r="AZ390" s="3" t="s">
        <v>4142</v>
      </c>
      <c r="BA390" s="3" t="s">
        <v>4142</v>
      </c>
      <c r="BB390" s="3" t="s">
        <v>4143</v>
      </c>
      <c r="BC390" s="3" t="s">
        <v>77</v>
      </c>
      <c r="BD390" s="3" t="s">
        <v>78</v>
      </c>
      <c r="BE390" s="3" t="s">
        <v>4144</v>
      </c>
      <c r="BF390" s="3" t="s">
        <v>4143</v>
      </c>
      <c r="BG390" s="3" t="s">
        <v>4145</v>
      </c>
    </row>
    <row r="391" spans="1:59" ht="58" x14ac:dyDescent="0.35">
      <c r="A391" s="2" t="s">
        <v>59</v>
      </c>
      <c r="B391" s="2" t="s">
        <v>60</v>
      </c>
      <c r="C391" s="2" t="s">
        <v>4146</v>
      </c>
      <c r="D391" s="2" t="s">
        <v>4147</v>
      </c>
      <c r="E391" s="2" t="s">
        <v>4148</v>
      </c>
      <c r="G391" s="3" t="s">
        <v>65</v>
      </c>
      <c r="I391" s="3" t="s">
        <v>65</v>
      </c>
      <c r="J391" s="3" t="s">
        <v>65</v>
      </c>
      <c r="K391" s="3" t="s">
        <v>66</v>
      </c>
      <c r="L391" s="2" t="s">
        <v>4149</v>
      </c>
      <c r="M391" s="2" t="s">
        <v>3211</v>
      </c>
      <c r="N391" s="3" t="s">
        <v>176</v>
      </c>
      <c r="P391" s="3" t="s">
        <v>140</v>
      </c>
      <c r="Q391" s="2" t="s">
        <v>4150</v>
      </c>
      <c r="R391" s="3" t="s">
        <v>71</v>
      </c>
      <c r="S391" s="4">
        <v>1</v>
      </c>
      <c r="T391" s="4">
        <v>1</v>
      </c>
      <c r="U391" s="5" t="s">
        <v>3923</v>
      </c>
      <c r="V391" s="5" t="s">
        <v>3923</v>
      </c>
      <c r="W391" s="5" t="s">
        <v>72</v>
      </c>
      <c r="X391" s="5" t="s">
        <v>72</v>
      </c>
      <c r="Y391" s="4">
        <v>37</v>
      </c>
      <c r="Z391" s="4">
        <v>3</v>
      </c>
      <c r="AA391" s="4">
        <v>3</v>
      </c>
      <c r="AB391" s="4">
        <v>1</v>
      </c>
      <c r="AC391" s="4">
        <v>1</v>
      </c>
      <c r="AD391" s="4">
        <v>26</v>
      </c>
      <c r="AE391" s="4">
        <v>26</v>
      </c>
      <c r="AF391" s="4">
        <v>0</v>
      </c>
      <c r="AG391" s="4">
        <v>0</v>
      </c>
      <c r="AH391" s="4">
        <v>25</v>
      </c>
      <c r="AI391" s="4">
        <v>25</v>
      </c>
      <c r="AJ391" s="4">
        <v>1</v>
      </c>
      <c r="AK391" s="4">
        <v>1</v>
      </c>
      <c r="AL391" s="4">
        <v>21</v>
      </c>
      <c r="AM391" s="4">
        <v>21</v>
      </c>
      <c r="AN391" s="4">
        <v>0</v>
      </c>
      <c r="AO391" s="4">
        <v>0</v>
      </c>
      <c r="AP391" s="4">
        <v>1</v>
      </c>
      <c r="AQ391" s="4">
        <v>1</v>
      </c>
      <c r="AR391" s="3" t="s">
        <v>65</v>
      </c>
      <c r="AS391" s="3" t="s">
        <v>65</v>
      </c>
      <c r="AT391" s="3" t="s">
        <v>65</v>
      </c>
      <c r="AV391" s="6" t="str">
        <f>HYPERLINK("http://mcgill.on.worldcat.org/oclc/911267399","Catalog Record")</f>
        <v>Catalog Record</v>
      </c>
      <c r="AW391" s="6" t="str">
        <f>HYPERLINK("http://www.worldcat.org/oclc/911267399","WorldCat Record")</f>
        <v>WorldCat Record</v>
      </c>
      <c r="AX391" s="3" t="s">
        <v>4151</v>
      </c>
      <c r="AY391" s="3" t="s">
        <v>4152</v>
      </c>
      <c r="AZ391" s="3" t="s">
        <v>4153</v>
      </c>
      <c r="BA391" s="3" t="s">
        <v>4153</v>
      </c>
      <c r="BB391" s="3" t="s">
        <v>4154</v>
      </c>
      <c r="BC391" s="3" t="s">
        <v>77</v>
      </c>
      <c r="BD391" s="3" t="s">
        <v>78</v>
      </c>
      <c r="BE391" s="3" t="s">
        <v>4155</v>
      </c>
      <c r="BF391" s="3" t="s">
        <v>4154</v>
      </c>
      <c r="BG391" s="3" t="s">
        <v>4156</v>
      </c>
    </row>
    <row r="392" spans="1:59" ht="58" x14ac:dyDescent="0.35">
      <c r="A392" s="2" t="s">
        <v>59</v>
      </c>
      <c r="B392" s="2" t="s">
        <v>60</v>
      </c>
      <c r="C392" s="2" t="s">
        <v>4157</v>
      </c>
      <c r="D392" s="2" t="s">
        <v>4158</v>
      </c>
      <c r="E392" s="2" t="s">
        <v>4159</v>
      </c>
      <c r="G392" s="3" t="s">
        <v>65</v>
      </c>
      <c r="I392" s="3" t="s">
        <v>65</v>
      </c>
      <c r="J392" s="3" t="s">
        <v>65</v>
      </c>
      <c r="K392" s="3" t="s">
        <v>66</v>
      </c>
      <c r="L392" s="2" t="s">
        <v>4160</v>
      </c>
      <c r="M392" s="2" t="s">
        <v>4161</v>
      </c>
      <c r="N392" s="3" t="s">
        <v>113</v>
      </c>
      <c r="P392" s="3" t="s">
        <v>140</v>
      </c>
      <c r="Q392" s="2" t="s">
        <v>4162</v>
      </c>
      <c r="R392" s="3" t="s">
        <v>71</v>
      </c>
      <c r="S392" s="4">
        <v>0</v>
      </c>
      <c r="T392" s="4">
        <v>0</v>
      </c>
      <c r="W392" s="5" t="s">
        <v>72</v>
      </c>
      <c r="X392" s="5" t="s">
        <v>72</v>
      </c>
      <c r="Y392" s="4">
        <v>35</v>
      </c>
      <c r="Z392" s="4">
        <v>3</v>
      </c>
      <c r="AA392" s="4">
        <v>3</v>
      </c>
      <c r="AB392" s="4">
        <v>1</v>
      </c>
      <c r="AC392" s="4">
        <v>1</v>
      </c>
      <c r="AD392" s="4">
        <v>26</v>
      </c>
      <c r="AE392" s="4">
        <v>26</v>
      </c>
      <c r="AF392" s="4">
        <v>0</v>
      </c>
      <c r="AG392" s="4">
        <v>0</v>
      </c>
      <c r="AH392" s="4">
        <v>25</v>
      </c>
      <c r="AI392" s="4">
        <v>25</v>
      </c>
      <c r="AJ392" s="4">
        <v>1</v>
      </c>
      <c r="AK392" s="4">
        <v>1</v>
      </c>
      <c r="AL392" s="4">
        <v>22</v>
      </c>
      <c r="AM392" s="4">
        <v>22</v>
      </c>
      <c r="AN392" s="4">
        <v>0</v>
      </c>
      <c r="AO392" s="4">
        <v>0</v>
      </c>
      <c r="AP392" s="4">
        <v>1</v>
      </c>
      <c r="AQ392" s="4">
        <v>1</v>
      </c>
      <c r="AR392" s="3" t="s">
        <v>65</v>
      </c>
      <c r="AS392" s="3" t="s">
        <v>65</v>
      </c>
      <c r="AT392" s="3" t="s">
        <v>65</v>
      </c>
      <c r="AV392" s="6" t="str">
        <f>HYPERLINK("http://mcgill.on.worldcat.org/oclc/692270093","Catalog Record")</f>
        <v>Catalog Record</v>
      </c>
      <c r="AW392" s="6" t="str">
        <f>HYPERLINK("http://www.worldcat.org/oclc/692270093","WorldCat Record")</f>
        <v>WorldCat Record</v>
      </c>
      <c r="AX392" s="3" t="s">
        <v>4163</v>
      </c>
      <c r="AY392" s="3" t="s">
        <v>4164</v>
      </c>
      <c r="AZ392" s="3" t="s">
        <v>4165</v>
      </c>
      <c r="BA392" s="3" t="s">
        <v>4165</v>
      </c>
      <c r="BB392" s="3" t="s">
        <v>4166</v>
      </c>
      <c r="BC392" s="3" t="s">
        <v>77</v>
      </c>
      <c r="BD392" s="3" t="s">
        <v>78</v>
      </c>
      <c r="BE392" s="3" t="s">
        <v>4167</v>
      </c>
      <c r="BF392" s="3" t="s">
        <v>4166</v>
      </c>
      <c r="BG392" s="3" t="s">
        <v>4168</v>
      </c>
    </row>
    <row r="393" spans="1:59" ht="58" x14ac:dyDescent="0.35">
      <c r="A393" s="2" t="s">
        <v>59</v>
      </c>
      <c r="B393" s="2" t="s">
        <v>60</v>
      </c>
      <c r="C393" s="2" t="s">
        <v>4169</v>
      </c>
      <c r="D393" s="2" t="s">
        <v>4170</v>
      </c>
      <c r="E393" s="2" t="s">
        <v>4171</v>
      </c>
      <c r="G393" s="3" t="s">
        <v>65</v>
      </c>
      <c r="I393" s="3" t="s">
        <v>65</v>
      </c>
      <c r="J393" s="3" t="s">
        <v>65</v>
      </c>
      <c r="K393" s="3" t="s">
        <v>66</v>
      </c>
      <c r="M393" s="2" t="s">
        <v>4172</v>
      </c>
      <c r="N393" s="3" t="s">
        <v>188</v>
      </c>
      <c r="P393" s="3" t="s">
        <v>140</v>
      </c>
      <c r="Q393" s="2" t="s">
        <v>4173</v>
      </c>
      <c r="R393" s="3" t="s">
        <v>71</v>
      </c>
      <c r="S393" s="4">
        <v>0</v>
      </c>
      <c r="T393" s="4">
        <v>0</v>
      </c>
      <c r="W393" s="5" t="s">
        <v>72</v>
      </c>
      <c r="X393" s="5" t="s">
        <v>72</v>
      </c>
      <c r="Y393" s="4">
        <v>22</v>
      </c>
      <c r="Z393" s="4">
        <v>1</v>
      </c>
      <c r="AA393" s="4">
        <v>1</v>
      </c>
      <c r="AB393" s="4">
        <v>1</v>
      </c>
      <c r="AC393" s="4">
        <v>1</v>
      </c>
      <c r="AD393" s="4">
        <v>13</v>
      </c>
      <c r="AE393" s="4">
        <v>13</v>
      </c>
      <c r="AF393" s="4">
        <v>0</v>
      </c>
      <c r="AG393" s="4">
        <v>0</v>
      </c>
      <c r="AH393" s="4">
        <v>12</v>
      </c>
      <c r="AI393" s="4">
        <v>12</v>
      </c>
      <c r="AJ393" s="4">
        <v>0</v>
      </c>
      <c r="AK393" s="4">
        <v>0</v>
      </c>
      <c r="AL393" s="4">
        <v>12</v>
      </c>
      <c r="AM393" s="4">
        <v>12</v>
      </c>
      <c r="AN393" s="4">
        <v>0</v>
      </c>
      <c r="AO393" s="4">
        <v>0</v>
      </c>
      <c r="AP393" s="4">
        <v>0</v>
      </c>
      <c r="AQ393" s="4">
        <v>0</v>
      </c>
      <c r="AR393" s="3" t="s">
        <v>65</v>
      </c>
      <c r="AS393" s="3" t="s">
        <v>65</v>
      </c>
      <c r="AT393" s="3" t="s">
        <v>65</v>
      </c>
      <c r="AV393" s="6" t="str">
        <f>HYPERLINK("http://mcgill.on.worldcat.org/oclc/1003391327","Catalog Record")</f>
        <v>Catalog Record</v>
      </c>
      <c r="AW393" s="6" t="str">
        <f>HYPERLINK("http://www.worldcat.org/oclc/1003391327","WorldCat Record")</f>
        <v>WorldCat Record</v>
      </c>
      <c r="AX393" s="3" t="s">
        <v>4174</v>
      </c>
      <c r="AY393" s="3" t="s">
        <v>4175</v>
      </c>
      <c r="AZ393" s="3" t="s">
        <v>4176</v>
      </c>
      <c r="BA393" s="3" t="s">
        <v>4176</v>
      </c>
      <c r="BB393" s="3" t="s">
        <v>4177</v>
      </c>
      <c r="BC393" s="3" t="s">
        <v>77</v>
      </c>
      <c r="BD393" s="3" t="s">
        <v>78</v>
      </c>
      <c r="BE393" s="3" t="s">
        <v>4178</v>
      </c>
      <c r="BF393" s="3" t="s">
        <v>4177</v>
      </c>
      <c r="BG393" s="3" t="s">
        <v>4179</v>
      </c>
    </row>
    <row r="394" spans="1:59" ht="58" x14ac:dyDescent="0.35">
      <c r="A394" s="2" t="s">
        <v>59</v>
      </c>
      <c r="B394" s="2" t="s">
        <v>60</v>
      </c>
      <c r="C394" s="2" t="s">
        <v>4180</v>
      </c>
      <c r="D394" s="2" t="s">
        <v>4181</v>
      </c>
      <c r="E394" s="2" t="s">
        <v>4182</v>
      </c>
      <c r="G394" s="3" t="s">
        <v>65</v>
      </c>
      <c r="I394" s="3" t="s">
        <v>65</v>
      </c>
      <c r="J394" s="3" t="s">
        <v>65</v>
      </c>
      <c r="K394" s="3" t="s">
        <v>66</v>
      </c>
      <c r="L394" s="2" t="s">
        <v>4183</v>
      </c>
      <c r="M394" s="2" t="s">
        <v>4184</v>
      </c>
      <c r="N394" s="3" t="s">
        <v>770</v>
      </c>
      <c r="P394" s="3" t="s">
        <v>140</v>
      </c>
      <c r="Q394" s="2" t="s">
        <v>4185</v>
      </c>
      <c r="R394" s="3" t="s">
        <v>71</v>
      </c>
      <c r="S394" s="4">
        <v>5</v>
      </c>
      <c r="T394" s="4">
        <v>5</v>
      </c>
      <c r="U394" s="5" t="s">
        <v>4186</v>
      </c>
      <c r="V394" s="5" t="s">
        <v>4186</v>
      </c>
      <c r="W394" s="5" t="s">
        <v>72</v>
      </c>
      <c r="X394" s="5" t="s">
        <v>72</v>
      </c>
      <c r="Y394" s="4">
        <v>80</v>
      </c>
      <c r="Z394" s="4">
        <v>3</v>
      </c>
      <c r="AA394" s="4">
        <v>3</v>
      </c>
      <c r="AB394" s="4">
        <v>1</v>
      </c>
      <c r="AC394" s="4">
        <v>1</v>
      </c>
      <c r="AD394" s="4">
        <v>27</v>
      </c>
      <c r="AE394" s="4">
        <v>27</v>
      </c>
      <c r="AF394" s="4">
        <v>0</v>
      </c>
      <c r="AG394" s="4">
        <v>0</v>
      </c>
      <c r="AH394" s="4">
        <v>26</v>
      </c>
      <c r="AI394" s="4">
        <v>26</v>
      </c>
      <c r="AJ394" s="4">
        <v>2</v>
      </c>
      <c r="AK394" s="4">
        <v>2</v>
      </c>
      <c r="AL394" s="4">
        <v>20</v>
      </c>
      <c r="AM394" s="4">
        <v>20</v>
      </c>
      <c r="AN394" s="4">
        <v>0</v>
      </c>
      <c r="AO394" s="4">
        <v>0</v>
      </c>
      <c r="AP394" s="4">
        <v>2</v>
      </c>
      <c r="AQ394" s="4">
        <v>2</v>
      </c>
      <c r="AR394" s="3" t="s">
        <v>65</v>
      </c>
      <c r="AS394" s="3" t="s">
        <v>65</v>
      </c>
      <c r="AT394" s="3" t="s">
        <v>65</v>
      </c>
      <c r="AV394" s="6" t="str">
        <f>HYPERLINK("http://mcgill.on.worldcat.org/oclc/24955744","Catalog Record")</f>
        <v>Catalog Record</v>
      </c>
      <c r="AW394" s="6" t="str">
        <f>HYPERLINK("http://www.worldcat.org/oclc/24955744","WorldCat Record")</f>
        <v>WorldCat Record</v>
      </c>
      <c r="AX394" s="3" t="s">
        <v>4187</v>
      </c>
      <c r="AY394" s="3" t="s">
        <v>4188</v>
      </c>
      <c r="AZ394" s="3" t="s">
        <v>4189</v>
      </c>
      <c r="BA394" s="3" t="s">
        <v>4189</v>
      </c>
      <c r="BB394" s="3" t="s">
        <v>4190</v>
      </c>
      <c r="BC394" s="3" t="s">
        <v>77</v>
      </c>
      <c r="BD394" s="3" t="s">
        <v>78</v>
      </c>
      <c r="BE394" s="3" t="s">
        <v>4191</v>
      </c>
      <c r="BF394" s="3" t="s">
        <v>4190</v>
      </c>
      <c r="BG394" s="3" t="s">
        <v>4192</v>
      </c>
    </row>
    <row r="395" spans="1:59" ht="87" x14ac:dyDescent="0.35">
      <c r="A395" s="2" t="s">
        <v>59</v>
      </c>
      <c r="B395" s="2" t="s">
        <v>60</v>
      </c>
      <c r="C395" s="2" t="s">
        <v>4193</v>
      </c>
      <c r="D395" s="2" t="s">
        <v>4194</v>
      </c>
      <c r="E395" s="2" t="s">
        <v>4195</v>
      </c>
      <c r="G395" s="3" t="s">
        <v>65</v>
      </c>
      <c r="I395" s="3" t="s">
        <v>65</v>
      </c>
      <c r="J395" s="3" t="s">
        <v>65</v>
      </c>
      <c r="K395" s="3" t="s">
        <v>66</v>
      </c>
      <c r="M395" s="2" t="s">
        <v>4196</v>
      </c>
      <c r="N395" s="3" t="s">
        <v>188</v>
      </c>
      <c r="O395" s="2" t="s">
        <v>379</v>
      </c>
      <c r="P395" s="3" t="s">
        <v>140</v>
      </c>
      <c r="R395" s="3" t="s">
        <v>71</v>
      </c>
      <c r="S395" s="4">
        <v>0</v>
      </c>
      <c r="T395" s="4">
        <v>0</v>
      </c>
      <c r="W395" s="5" t="s">
        <v>72</v>
      </c>
      <c r="X395" s="5" t="s">
        <v>72</v>
      </c>
      <c r="Y395" s="4">
        <v>31</v>
      </c>
      <c r="Z395" s="4">
        <v>1</v>
      </c>
      <c r="AA395" s="4">
        <v>1</v>
      </c>
      <c r="AB395" s="4">
        <v>1</v>
      </c>
      <c r="AC395" s="4">
        <v>1</v>
      </c>
      <c r="AD395" s="4">
        <v>24</v>
      </c>
      <c r="AE395" s="4">
        <v>24</v>
      </c>
      <c r="AF395" s="4">
        <v>0</v>
      </c>
      <c r="AG395" s="4">
        <v>0</v>
      </c>
      <c r="AH395" s="4">
        <v>23</v>
      </c>
      <c r="AI395" s="4">
        <v>23</v>
      </c>
      <c r="AJ395" s="4">
        <v>0</v>
      </c>
      <c r="AK395" s="4">
        <v>0</v>
      </c>
      <c r="AL395" s="4">
        <v>21</v>
      </c>
      <c r="AM395" s="4">
        <v>21</v>
      </c>
      <c r="AN395" s="4">
        <v>0</v>
      </c>
      <c r="AO395" s="4">
        <v>0</v>
      </c>
      <c r="AP395" s="4">
        <v>0</v>
      </c>
      <c r="AQ395" s="4">
        <v>0</v>
      </c>
      <c r="AR395" s="3" t="s">
        <v>65</v>
      </c>
      <c r="AS395" s="3" t="s">
        <v>65</v>
      </c>
      <c r="AT395" s="3" t="s">
        <v>65</v>
      </c>
      <c r="AV395" s="6" t="str">
        <f>HYPERLINK("http://mcgill.on.worldcat.org/oclc/999383428","Catalog Record")</f>
        <v>Catalog Record</v>
      </c>
      <c r="AW395" s="6" t="str">
        <f>HYPERLINK("http://www.worldcat.org/oclc/999383428","WorldCat Record")</f>
        <v>WorldCat Record</v>
      </c>
      <c r="AX395" s="3" t="s">
        <v>4197</v>
      </c>
      <c r="AY395" s="3" t="s">
        <v>4198</v>
      </c>
      <c r="AZ395" s="3" t="s">
        <v>4199</v>
      </c>
      <c r="BA395" s="3" t="s">
        <v>4199</v>
      </c>
      <c r="BB395" s="3" t="s">
        <v>4200</v>
      </c>
      <c r="BC395" s="3" t="s">
        <v>77</v>
      </c>
      <c r="BD395" s="3" t="s">
        <v>78</v>
      </c>
      <c r="BE395" s="3" t="s">
        <v>4201</v>
      </c>
      <c r="BF395" s="3" t="s">
        <v>4200</v>
      </c>
      <c r="BG395" s="3" t="s">
        <v>4202</v>
      </c>
    </row>
    <row r="396" spans="1:59" ht="58" x14ac:dyDescent="0.35">
      <c r="A396" s="2" t="s">
        <v>59</v>
      </c>
      <c r="B396" s="2" t="s">
        <v>60</v>
      </c>
      <c r="C396" s="2" t="s">
        <v>4203</v>
      </c>
      <c r="D396" s="2" t="s">
        <v>4204</v>
      </c>
      <c r="E396" s="2" t="s">
        <v>4205</v>
      </c>
      <c r="G396" s="3" t="s">
        <v>65</v>
      </c>
      <c r="I396" s="3" t="s">
        <v>65</v>
      </c>
      <c r="J396" s="3" t="s">
        <v>65</v>
      </c>
      <c r="K396" s="3" t="s">
        <v>66</v>
      </c>
      <c r="L396" s="2" t="s">
        <v>4206</v>
      </c>
      <c r="M396" s="2" t="s">
        <v>1611</v>
      </c>
      <c r="N396" s="3" t="s">
        <v>176</v>
      </c>
      <c r="P396" s="3" t="s">
        <v>69</v>
      </c>
      <c r="Q396" s="2" t="s">
        <v>1197</v>
      </c>
      <c r="R396" s="3" t="s">
        <v>71</v>
      </c>
      <c r="S396" s="4">
        <v>1</v>
      </c>
      <c r="T396" s="4">
        <v>1</v>
      </c>
      <c r="U396" s="5" t="s">
        <v>4207</v>
      </c>
      <c r="V396" s="5" t="s">
        <v>4207</v>
      </c>
      <c r="W396" s="5" t="s">
        <v>72</v>
      </c>
      <c r="X396" s="5" t="s">
        <v>72</v>
      </c>
      <c r="Y396" s="4">
        <v>113</v>
      </c>
      <c r="Z396" s="4">
        <v>12</v>
      </c>
      <c r="AA396" s="4">
        <v>94</v>
      </c>
      <c r="AB396" s="4">
        <v>1</v>
      </c>
      <c r="AC396" s="4">
        <v>16</v>
      </c>
      <c r="AD396" s="4">
        <v>60</v>
      </c>
      <c r="AE396" s="4">
        <v>129</v>
      </c>
      <c r="AF396" s="4">
        <v>0</v>
      </c>
      <c r="AG396" s="4">
        <v>8</v>
      </c>
      <c r="AH396" s="4">
        <v>55</v>
      </c>
      <c r="AI396" s="4">
        <v>88</v>
      </c>
      <c r="AJ396" s="4">
        <v>8</v>
      </c>
      <c r="AK396" s="4">
        <v>25</v>
      </c>
      <c r="AL396" s="4">
        <v>36</v>
      </c>
      <c r="AM396" s="4">
        <v>46</v>
      </c>
      <c r="AN396" s="4">
        <v>0</v>
      </c>
      <c r="AO396" s="4">
        <v>0</v>
      </c>
      <c r="AP396" s="4">
        <v>7</v>
      </c>
      <c r="AQ396" s="4">
        <v>49</v>
      </c>
      <c r="AR396" s="3" t="s">
        <v>209</v>
      </c>
      <c r="AS396" s="3" t="s">
        <v>65</v>
      </c>
      <c r="AT396" s="3" t="s">
        <v>65</v>
      </c>
      <c r="AV396" s="6" t="str">
        <f>HYPERLINK("http://mcgill.on.worldcat.org/oclc/891408493","Catalog Record")</f>
        <v>Catalog Record</v>
      </c>
      <c r="AW396" s="6" t="str">
        <f>HYPERLINK("http://www.worldcat.org/oclc/891408493","WorldCat Record")</f>
        <v>WorldCat Record</v>
      </c>
      <c r="AX396" s="3" t="s">
        <v>4208</v>
      </c>
      <c r="AY396" s="3" t="s">
        <v>4209</v>
      </c>
      <c r="AZ396" s="3" t="s">
        <v>4210</v>
      </c>
      <c r="BA396" s="3" t="s">
        <v>4210</v>
      </c>
      <c r="BB396" s="3" t="s">
        <v>4211</v>
      </c>
      <c r="BC396" s="3" t="s">
        <v>77</v>
      </c>
      <c r="BD396" s="3" t="s">
        <v>78</v>
      </c>
      <c r="BE396" s="3" t="s">
        <v>4212</v>
      </c>
      <c r="BF396" s="3" t="s">
        <v>4211</v>
      </c>
      <c r="BG396" s="3" t="s">
        <v>4213</v>
      </c>
    </row>
    <row r="397" spans="1:59" ht="58" x14ac:dyDescent="0.35">
      <c r="A397" s="2" t="s">
        <v>59</v>
      </c>
      <c r="B397" s="2" t="s">
        <v>60</v>
      </c>
      <c r="C397" s="2" t="s">
        <v>4214</v>
      </c>
      <c r="D397" s="2" t="s">
        <v>4215</v>
      </c>
      <c r="E397" s="2" t="s">
        <v>4216</v>
      </c>
      <c r="G397" s="3" t="s">
        <v>65</v>
      </c>
      <c r="I397" s="3" t="s">
        <v>65</v>
      </c>
      <c r="J397" s="3" t="s">
        <v>65</v>
      </c>
      <c r="K397" s="3" t="s">
        <v>66</v>
      </c>
      <c r="M397" s="2" t="s">
        <v>3735</v>
      </c>
      <c r="N397" s="3" t="s">
        <v>126</v>
      </c>
      <c r="P397" s="3" t="s">
        <v>140</v>
      </c>
      <c r="Q397" s="2" t="s">
        <v>4217</v>
      </c>
      <c r="R397" s="3" t="s">
        <v>71</v>
      </c>
      <c r="S397" s="4">
        <v>0</v>
      </c>
      <c r="T397" s="4">
        <v>0</v>
      </c>
      <c r="W397" s="5" t="s">
        <v>72</v>
      </c>
      <c r="X397" s="5" t="s">
        <v>72</v>
      </c>
      <c r="Y397" s="4">
        <v>37</v>
      </c>
      <c r="Z397" s="4">
        <v>5</v>
      </c>
      <c r="AA397" s="4">
        <v>5</v>
      </c>
      <c r="AB397" s="4">
        <v>1</v>
      </c>
      <c r="AC397" s="4">
        <v>1</v>
      </c>
      <c r="AD397" s="4">
        <v>26</v>
      </c>
      <c r="AE397" s="4">
        <v>26</v>
      </c>
      <c r="AF397" s="4">
        <v>0</v>
      </c>
      <c r="AG397" s="4">
        <v>0</v>
      </c>
      <c r="AH397" s="4">
        <v>25</v>
      </c>
      <c r="AI397" s="4">
        <v>25</v>
      </c>
      <c r="AJ397" s="4">
        <v>2</v>
      </c>
      <c r="AK397" s="4">
        <v>2</v>
      </c>
      <c r="AL397" s="4">
        <v>22</v>
      </c>
      <c r="AM397" s="4">
        <v>22</v>
      </c>
      <c r="AN397" s="4">
        <v>0</v>
      </c>
      <c r="AO397" s="4">
        <v>0</v>
      </c>
      <c r="AP397" s="4">
        <v>2</v>
      </c>
      <c r="AQ397" s="4">
        <v>2</v>
      </c>
      <c r="AR397" s="3" t="s">
        <v>65</v>
      </c>
      <c r="AS397" s="3" t="s">
        <v>65</v>
      </c>
      <c r="AT397" s="3" t="s">
        <v>65</v>
      </c>
      <c r="AV397" s="6" t="str">
        <f>HYPERLINK("http://mcgill.on.worldcat.org/oclc/730397303","Catalog Record")</f>
        <v>Catalog Record</v>
      </c>
      <c r="AW397" s="6" t="str">
        <f>HYPERLINK("http://www.worldcat.org/oclc/730397303","WorldCat Record")</f>
        <v>WorldCat Record</v>
      </c>
      <c r="AX397" s="3" t="s">
        <v>4218</v>
      </c>
      <c r="AY397" s="3" t="s">
        <v>4219</v>
      </c>
      <c r="AZ397" s="3" t="s">
        <v>4220</v>
      </c>
      <c r="BA397" s="3" t="s">
        <v>4220</v>
      </c>
      <c r="BB397" s="3" t="s">
        <v>4221</v>
      </c>
      <c r="BC397" s="3" t="s">
        <v>77</v>
      </c>
      <c r="BD397" s="3" t="s">
        <v>78</v>
      </c>
      <c r="BE397" s="3" t="s">
        <v>4222</v>
      </c>
      <c r="BF397" s="3" t="s">
        <v>4221</v>
      </c>
      <c r="BG397" s="3" t="s">
        <v>4223</v>
      </c>
    </row>
    <row r="398" spans="1:59" ht="58" x14ac:dyDescent="0.35">
      <c r="A398" s="2" t="s">
        <v>59</v>
      </c>
      <c r="B398" s="2" t="s">
        <v>60</v>
      </c>
      <c r="C398" s="2" t="s">
        <v>4224</v>
      </c>
      <c r="D398" s="2" t="s">
        <v>4225</v>
      </c>
      <c r="E398" s="2" t="s">
        <v>4226</v>
      </c>
      <c r="G398" s="3" t="s">
        <v>65</v>
      </c>
      <c r="I398" s="3" t="s">
        <v>65</v>
      </c>
      <c r="J398" s="3" t="s">
        <v>65</v>
      </c>
      <c r="K398" s="3" t="s">
        <v>66</v>
      </c>
      <c r="M398" s="2" t="s">
        <v>4227</v>
      </c>
      <c r="N398" s="3" t="s">
        <v>86</v>
      </c>
      <c r="P398" s="3" t="s">
        <v>140</v>
      </c>
      <c r="Q398" s="2" t="s">
        <v>4228</v>
      </c>
      <c r="R398" s="3" t="s">
        <v>71</v>
      </c>
      <c r="S398" s="4">
        <v>0</v>
      </c>
      <c r="T398" s="4">
        <v>0</v>
      </c>
      <c r="W398" s="5" t="s">
        <v>4229</v>
      </c>
      <c r="X398" s="5" t="s">
        <v>4229</v>
      </c>
      <c r="Y398" s="4">
        <v>20</v>
      </c>
      <c r="Z398" s="4">
        <v>2</v>
      </c>
      <c r="AA398" s="4">
        <v>2</v>
      </c>
      <c r="AB398" s="4">
        <v>1</v>
      </c>
      <c r="AC398" s="4">
        <v>1</v>
      </c>
      <c r="AD398" s="4">
        <v>12</v>
      </c>
      <c r="AE398" s="4">
        <v>12</v>
      </c>
      <c r="AF398" s="4">
        <v>0</v>
      </c>
      <c r="AG398" s="4">
        <v>0</v>
      </c>
      <c r="AH398" s="4">
        <v>11</v>
      </c>
      <c r="AI398" s="4">
        <v>11</v>
      </c>
      <c r="AJ398" s="4">
        <v>1</v>
      </c>
      <c r="AK398" s="4">
        <v>1</v>
      </c>
      <c r="AL398" s="4">
        <v>6</v>
      </c>
      <c r="AM398" s="4">
        <v>6</v>
      </c>
      <c r="AN398" s="4">
        <v>0</v>
      </c>
      <c r="AO398" s="4">
        <v>0</v>
      </c>
      <c r="AP398" s="4">
        <v>1</v>
      </c>
      <c r="AQ398" s="4">
        <v>1</v>
      </c>
      <c r="AR398" s="3" t="s">
        <v>65</v>
      </c>
      <c r="AS398" s="3" t="s">
        <v>65</v>
      </c>
      <c r="AT398" s="3" t="s">
        <v>65</v>
      </c>
      <c r="AV398" s="6" t="str">
        <f>HYPERLINK("http://mcgill.on.worldcat.org/oclc/1043251269","Catalog Record")</f>
        <v>Catalog Record</v>
      </c>
      <c r="AW398" s="6" t="str">
        <f>HYPERLINK("http://www.worldcat.org/oclc/1043251269","WorldCat Record")</f>
        <v>WorldCat Record</v>
      </c>
      <c r="AX398" s="3" t="s">
        <v>4230</v>
      </c>
      <c r="AY398" s="3" t="s">
        <v>4231</v>
      </c>
      <c r="AZ398" s="3" t="s">
        <v>4232</v>
      </c>
      <c r="BA398" s="3" t="s">
        <v>4232</v>
      </c>
      <c r="BB398" s="3" t="s">
        <v>4233</v>
      </c>
      <c r="BC398" s="3" t="s">
        <v>77</v>
      </c>
      <c r="BD398" s="3" t="s">
        <v>78</v>
      </c>
      <c r="BE398" s="3" t="s">
        <v>4234</v>
      </c>
      <c r="BF398" s="3" t="s">
        <v>4233</v>
      </c>
      <c r="BG398" s="3" t="s">
        <v>4235</v>
      </c>
    </row>
    <row r="399" spans="1:59" ht="58" x14ac:dyDescent="0.35">
      <c r="A399" s="2" t="s">
        <v>59</v>
      </c>
      <c r="B399" s="2" t="s">
        <v>60</v>
      </c>
      <c r="C399" s="2" t="s">
        <v>4236</v>
      </c>
      <c r="D399" s="2" t="s">
        <v>4237</v>
      </c>
      <c r="E399" s="2" t="s">
        <v>4238</v>
      </c>
      <c r="G399" s="3" t="s">
        <v>65</v>
      </c>
      <c r="I399" s="3" t="s">
        <v>65</v>
      </c>
      <c r="J399" s="3" t="s">
        <v>65</v>
      </c>
      <c r="K399" s="3" t="s">
        <v>66</v>
      </c>
      <c r="M399" s="2" t="s">
        <v>4239</v>
      </c>
      <c r="N399" s="3" t="s">
        <v>1085</v>
      </c>
      <c r="P399" s="3" t="s">
        <v>69</v>
      </c>
      <c r="Q399" s="2" t="s">
        <v>4240</v>
      </c>
      <c r="R399" s="3" t="s">
        <v>71</v>
      </c>
      <c r="S399" s="4">
        <v>10</v>
      </c>
      <c r="T399" s="4">
        <v>10</v>
      </c>
      <c r="U399" s="5" t="s">
        <v>4241</v>
      </c>
      <c r="V399" s="5" t="s">
        <v>4241</v>
      </c>
      <c r="W399" s="5" t="s">
        <v>72</v>
      </c>
      <c r="X399" s="5" t="s">
        <v>72</v>
      </c>
      <c r="Y399" s="4">
        <v>169</v>
      </c>
      <c r="Z399" s="4">
        <v>28</v>
      </c>
      <c r="AA399" s="4">
        <v>28</v>
      </c>
      <c r="AB399" s="4">
        <v>4</v>
      </c>
      <c r="AC399" s="4">
        <v>4</v>
      </c>
      <c r="AD399" s="4">
        <v>92</v>
      </c>
      <c r="AE399" s="4">
        <v>92</v>
      </c>
      <c r="AF399" s="4">
        <v>2</v>
      </c>
      <c r="AG399" s="4">
        <v>2</v>
      </c>
      <c r="AH399" s="4">
        <v>78</v>
      </c>
      <c r="AI399" s="4">
        <v>78</v>
      </c>
      <c r="AJ399" s="4">
        <v>15</v>
      </c>
      <c r="AK399" s="4">
        <v>15</v>
      </c>
      <c r="AL399" s="4">
        <v>44</v>
      </c>
      <c r="AM399" s="4">
        <v>44</v>
      </c>
      <c r="AN399" s="4">
        <v>0</v>
      </c>
      <c r="AO399" s="4">
        <v>0</v>
      </c>
      <c r="AP399" s="4">
        <v>19</v>
      </c>
      <c r="AQ399" s="4">
        <v>19</v>
      </c>
      <c r="AR399" s="3" t="s">
        <v>209</v>
      </c>
      <c r="AS399" s="3" t="s">
        <v>65</v>
      </c>
      <c r="AT399" s="3" t="s">
        <v>209</v>
      </c>
      <c r="AU399" s="6" t="str">
        <f>HYPERLINK("http://catalog.hathitrust.org/Record/003254756","HathiTrust Record")</f>
        <v>HathiTrust Record</v>
      </c>
      <c r="AV399" s="6" t="str">
        <f>HYPERLINK("http://mcgill.on.worldcat.org/oclc/32015862","Catalog Record")</f>
        <v>Catalog Record</v>
      </c>
      <c r="AW399" s="6" t="str">
        <f>HYPERLINK("http://www.worldcat.org/oclc/32015862","WorldCat Record")</f>
        <v>WorldCat Record</v>
      </c>
      <c r="AX399" s="3" t="s">
        <v>4242</v>
      </c>
      <c r="AY399" s="3" t="s">
        <v>4243</v>
      </c>
      <c r="AZ399" s="3" t="s">
        <v>4244</v>
      </c>
      <c r="BA399" s="3" t="s">
        <v>4244</v>
      </c>
      <c r="BB399" s="3" t="s">
        <v>4245</v>
      </c>
      <c r="BC399" s="3" t="s">
        <v>77</v>
      </c>
      <c r="BD399" s="3" t="s">
        <v>106</v>
      </c>
      <c r="BE399" s="3" t="s">
        <v>4246</v>
      </c>
      <c r="BF399" s="3" t="s">
        <v>4245</v>
      </c>
      <c r="BG399" s="3" t="s">
        <v>4247</v>
      </c>
    </row>
    <row r="400" spans="1:59" ht="58" x14ac:dyDescent="0.35">
      <c r="A400" s="2" t="s">
        <v>59</v>
      </c>
      <c r="B400" s="2" t="s">
        <v>60</v>
      </c>
      <c r="C400" s="2" t="s">
        <v>4248</v>
      </c>
      <c r="D400" s="2" t="s">
        <v>4249</v>
      </c>
      <c r="E400" s="2" t="s">
        <v>4250</v>
      </c>
      <c r="G400" s="3" t="s">
        <v>65</v>
      </c>
      <c r="I400" s="3" t="s">
        <v>65</v>
      </c>
      <c r="J400" s="3" t="s">
        <v>65</v>
      </c>
      <c r="K400" s="3" t="s">
        <v>66</v>
      </c>
      <c r="M400" s="2" t="s">
        <v>3160</v>
      </c>
      <c r="N400" s="3" t="s">
        <v>139</v>
      </c>
      <c r="O400" s="2" t="s">
        <v>339</v>
      </c>
      <c r="P400" s="3" t="s">
        <v>140</v>
      </c>
      <c r="Q400" s="2" t="s">
        <v>340</v>
      </c>
      <c r="R400" s="3" t="s">
        <v>71</v>
      </c>
      <c r="S400" s="4">
        <v>5</v>
      </c>
      <c r="T400" s="4">
        <v>5</v>
      </c>
      <c r="U400" s="5" t="s">
        <v>4251</v>
      </c>
      <c r="V400" s="5" t="s">
        <v>4251</v>
      </c>
      <c r="W400" s="5" t="s">
        <v>72</v>
      </c>
      <c r="X400" s="5" t="s">
        <v>72</v>
      </c>
      <c r="Y400" s="4">
        <v>44</v>
      </c>
      <c r="Z400" s="4">
        <v>3</v>
      </c>
      <c r="AA400" s="4">
        <v>3</v>
      </c>
      <c r="AB400" s="4">
        <v>1</v>
      </c>
      <c r="AC400" s="4">
        <v>1</v>
      </c>
      <c r="AD400" s="4">
        <v>21</v>
      </c>
      <c r="AE400" s="4">
        <v>21</v>
      </c>
      <c r="AF400" s="4">
        <v>0</v>
      </c>
      <c r="AG400" s="4">
        <v>0</v>
      </c>
      <c r="AH400" s="4">
        <v>20</v>
      </c>
      <c r="AI400" s="4">
        <v>20</v>
      </c>
      <c r="AJ400" s="4">
        <v>1</v>
      </c>
      <c r="AK400" s="4">
        <v>1</v>
      </c>
      <c r="AL400" s="4">
        <v>17</v>
      </c>
      <c r="AM400" s="4">
        <v>17</v>
      </c>
      <c r="AN400" s="4">
        <v>0</v>
      </c>
      <c r="AO400" s="4">
        <v>0</v>
      </c>
      <c r="AP400" s="4">
        <v>1</v>
      </c>
      <c r="AQ400" s="4">
        <v>1</v>
      </c>
      <c r="AR400" s="3" t="s">
        <v>65</v>
      </c>
      <c r="AS400" s="3" t="s">
        <v>65</v>
      </c>
      <c r="AT400" s="3" t="s">
        <v>65</v>
      </c>
      <c r="AV400" s="6" t="str">
        <f>HYPERLINK("http://mcgill.on.worldcat.org/oclc/824727622","Catalog Record")</f>
        <v>Catalog Record</v>
      </c>
      <c r="AW400" s="6" t="str">
        <f>HYPERLINK("http://www.worldcat.org/oclc/824727622","WorldCat Record")</f>
        <v>WorldCat Record</v>
      </c>
      <c r="AX400" s="3" t="s">
        <v>4252</v>
      </c>
      <c r="AY400" s="3" t="s">
        <v>4253</v>
      </c>
      <c r="AZ400" s="3" t="s">
        <v>4254</v>
      </c>
      <c r="BA400" s="3" t="s">
        <v>4254</v>
      </c>
      <c r="BB400" s="3" t="s">
        <v>4255</v>
      </c>
      <c r="BC400" s="3" t="s">
        <v>77</v>
      </c>
      <c r="BD400" s="3" t="s">
        <v>78</v>
      </c>
      <c r="BE400" s="3" t="s">
        <v>4256</v>
      </c>
      <c r="BF400" s="3" t="s">
        <v>4255</v>
      </c>
      <c r="BG400" s="3" t="s">
        <v>4257</v>
      </c>
    </row>
    <row r="401" spans="1:59" ht="58" x14ac:dyDescent="0.35">
      <c r="A401" s="2" t="s">
        <v>59</v>
      </c>
      <c r="B401" s="2" t="s">
        <v>60</v>
      </c>
      <c r="C401" s="2" t="s">
        <v>4258</v>
      </c>
      <c r="D401" s="2" t="s">
        <v>4259</v>
      </c>
      <c r="E401" s="2" t="s">
        <v>4260</v>
      </c>
      <c r="G401" s="3" t="s">
        <v>65</v>
      </c>
      <c r="I401" s="3" t="s">
        <v>65</v>
      </c>
      <c r="J401" s="3" t="s">
        <v>65</v>
      </c>
      <c r="K401" s="3" t="s">
        <v>66</v>
      </c>
      <c r="L401" s="2" t="s">
        <v>4261</v>
      </c>
      <c r="M401" s="2" t="s">
        <v>4262</v>
      </c>
      <c r="N401" s="3" t="s">
        <v>525</v>
      </c>
      <c r="P401" s="3" t="s">
        <v>140</v>
      </c>
      <c r="Q401" s="2" t="s">
        <v>4263</v>
      </c>
      <c r="R401" s="3" t="s">
        <v>71</v>
      </c>
      <c r="S401" s="4">
        <v>3</v>
      </c>
      <c r="T401" s="4">
        <v>3</v>
      </c>
      <c r="U401" s="5" t="s">
        <v>211</v>
      </c>
      <c r="V401" s="5" t="s">
        <v>211</v>
      </c>
      <c r="W401" s="5" t="s">
        <v>72</v>
      </c>
      <c r="X401" s="5" t="s">
        <v>72</v>
      </c>
      <c r="Y401" s="4">
        <v>65</v>
      </c>
      <c r="Z401" s="4">
        <v>5</v>
      </c>
      <c r="AA401" s="4">
        <v>5</v>
      </c>
      <c r="AB401" s="4">
        <v>1</v>
      </c>
      <c r="AC401" s="4">
        <v>1</v>
      </c>
      <c r="AD401" s="4">
        <v>36</v>
      </c>
      <c r="AE401" s="4">
        <v>36</v>
      </c>
      <c r="AF401" s="4">
        <v>0</v>
      </c>
      <c r="AG401" s="4">
        <v>0</v>
      </c>
      <c r="AH401" s="4">
        <v>35</v>
      </c>
      <c r="AI401" s="4">
        <v>35</v>
      </c>
      <c r="AJ401" s="4">
        <v>3</v>
      </c>
      <c r="AK401" s="4">
        <v>3</v>
      </c>
      <c r="AL401" s="4">
        <v>26</v>
      </c>
      <c r="AM401" s="4">
        <v>26</v>
      </c>
      <c r="AN401" s="4">
        <v>0</v>
      </c>
      <c r="AO401" s="4">
        <v>0</v>
      </c>
      <c r="AP401" s="4">
        <v>3</v>
      </c>
      <c r="AQ401" s="4">
        <v>3</v>
      </c>
      <c r="AR401" s="3" t="s">
        <v>65</v>
      </c>
      <c r="AS401" s="3" t="s">
        <v>65</v>
      </c>
      <c r="AT401" s="3" t="s">
        <v>209</v>
      </c>
      <c r="AU401" s="6" t="str">
        <f>HYPERLINK("http://catalog.hathitrust.org/Record/004980087","HathiTrust Record")</f>
        <v>HathiTrust Record</v>
      </c>
      <c r="AV401" s="6" t="str">
        <f>HYPERLINK("http://mcgill.on.worldcat.org/oclc/57302985","Catalog Record")</f>
        <v>Catalog Record</v>
      </c>
      <c r="AW401" s="6" t="str">
        <f>HYPERLINK("http://www.worldcat.org/oclc/57302985","WorldCat Record")</f>
        <v>WorldCat Record</v>
      </c>
      <c r="AX401" s="3" t="s">
        <v>4264</v>
      </c>
      <c r="AY401" s="3" t="s">
        <v>4265</v>
      </c>
      <c r="AZ401" s="3" t="s">
        <v>4266</v>
      </c>
      <c r="BA401" s="3" t="s">
        <v>4266</v>
      </c>
      <c r="BB401" s="3" t="s">
        <v>4267</v>
      </c>
      <c r="BC401" s="3" t="s">
        <v>77</v>
      </c>
      <c r="BD401" s="3" t="s">
        <v>78</v>
      </c>
      <c r="BE401" s="3" t="s">
        <v>4268</v>
      </c>
      <c r="BF401" s="3" t="s">
        <v>4267</v>
      </c>
      <c r="BG401" s="3" t="s">
        <v>4269</v>
      </c>
    </row>
    <row r="402" spans="1:59" ht="58" x14ac:dyDescent="0.35">
      <c r="A402" s="2" t="s">
        <v>59</v>
      </c>
      <c r="B402" s="2" t="s">
        <v>60</v>
      </c>
      <c r="C402" s="2" t="s">
        <v>4270</v>
      </c>
      <c r="D402" s="2" t="s">
        <v>4271</v>
      </c>
      <c r="E402" s="2" t="s">
        <v>4272</v>
      </c>
      <c r="G402" s="3" t="s">
        <v>65</v>
      </c>
      <c r="I402" s="3" t="s">
        <v>65</v>
      </c>
      <c r="J402" s="3" t="s">
        <v>65</v>
      </c>
      <c r="K402" s="3" t="s">
        <v>66</v>
      </c>
      <c r="L402" s="2" t="s">
        <v>4273</v>
      </c>
      <c r="M402" s="2" t="s">
        <v>4274</v>
      </c>
      <c r="N402" s="3" t="s">
        <v>126</v>
      </c>
      <c r="P402" s="3" t="s">
        <v>140</v>
      </c>
      <c r="Q402" s="2" t="s">
        <v>4275</v>
      </c>
      <c r="R402" s="3" t="s">
        <v>71</v>
      </c>
      <c r="S402" s="4">
        <v>0</v>
      </c>
      <c r="T402" s="4">
        <v>0</v>
      </c>
      <c r="W402" s="5" t="s">
        <v>72</v>
      </c>
      <c r="X402" s="5" t="s">
        <v>72</v>
      </c>
      <c r="Y402" s="4">
        <v>17</v>
      </c>
      <c r="Z402" s="4">
        <v>1</v>
      </c>
      <c r="AA402" s="4">
        <v>3</v>
      </c>
      <c r="AB402" s="4">
        <v>1</v>
      </c>
      <c r="AC402" s="4">
        <v>3</v>
      </c>
      <c r="AD402" s="4">
        <v>9</v>
      </c>
      <c r="AE402" s="4">
        <v>10</v>
      </c>
      <c r="AF402" s="4">
        <v>0</v>
      </c>
      <c r="AG402" s="4">
        <v>1</v>
      </c>
      <c r="AH402" s="4">
        <v>8</v>
      </c>
      <c r="AI402" s="4">
        <v>8</v>
      </c>
      <c r="AJ402" s="4">
        <v>0</v>
      </c>
      <c r="AK402" s="4">
        <v>1</v>
      </c>
      <c r="AL402" s="4">
        <v>7</v>
      </c>
      <c r="AM402" s="4">
        <v>7</v>
      </c>
      <c r="AN402" s="4">
        <v>0</v>
      </c>
      <c r="AO402" s="4">
        <v>0</v>
      </c>
      <c r="AP402" s="4">
        <v>0</v>
      </c>
      <c r="AQ402" s="4">
        <v>0</v>
      </c>
      <c r="AR402" s="3" t="s">
        <v>65</v>
      </c>
      <c r="AS402" s="3" t="s">
        <v>65</v>
      </c>
      <c r="AT402" s="3" t="s">
        <v>65</v>
      </c>
      <c r="AV402" s="6" t="str">
        <f>HYPERLINK("http://mcgill.on.worldcat.org/oclc/727704885","Catalog Record")</f>
        <v>Catalog Record</v>
      </c>
      <c r="AW402" s="6" t="str">
        <f>HYPERLINK("http://www.worldcat.org/oclc/727704885","WorldCat Record")</f>
        <v>WorldCat Record</v>
      </c>
      <c r="AX402" s="3" t="s">
        <v>4276</v>
      </c>
      <c r="AY402" s="3" t="s">
        <v>4277</v>
      </c>
      <c r="AZ402" s="3" t="s">
        <v>4278</v>
      </c>
      <c r="BA402" s="3" t="s">
        <v>4278</v>
      </c>
      <c r="BB402" s="3" t="s">
        <v>4279</v>
      </c>
      <c r="BC402" s="3" t="s">
        <v>77</v>
      </c>
      <c r="BD402" s="3" t="s">
        <v>78</v>
      </c>
      <c r="BE402" s="3" t="s">
        <v>4280</v>
      </c>
      <c r="BF402" s="3" t="s">
        <v>4279</v>
      </c>
      <c r="BG402" s="3" t="s">
        <v>4281</v>
      </c>
    </row>
    <row r="403" spans="1:59" ht="58" x14ac:dyDescent="0.35">
      <c r="A403" s="2" t="s">
        <v>59</v>
      </c>
      <c r="B403" s="2" t="s">
        <v>60</v>
      </c>
      <c r="C403" s="2" t="s">
        <v>4282</v>
      </c>
      <c r="D403" s="2" t="s">
        <v>4283</v>
      </c>
      <c r="E403" s="2" t="s">
        <v>4284</v>
      </c>
      <c r="G403" s="3" t="s">
        <v>65</v>
      </c>
      <c r="I403" s="3" t="s">
        <v>65</v>
      </c>
      <c r="J403" s="3" t="s">
        <v>65</v>
      </c>
      <c r="K403" s="3" t="s">
        <v>66</v>
      </c>
      <c r="L403" s="2" t="s">
        <v>4285</v>
      </c>
      <c r="M403" s="2" t="s">
        <v>2292</v>
      </c>
      <c r="N403" s="3" t="s">
        <v>113</v>
      </c>
      <c r="O403" s="2" t="s">
        <v>365</v>
      </c>
      <c r="P403" s="3" t="s">
        <v>140</v>
      </c>
      <c r="Q403" s="2" t="s">
        <v>4286</v>
      </c>
      <c r="R403" s="3" t="s">
        <v>71</v>
      </c>
      <c r="S403" s="4">
        <v>0</v>
      </c>
      <c r="T403" s="4">
        <v>0</v>
      </c>
      <c r="W403" s="5" t="s">
        <v>72</v>
      </c>
      <c r="X403" s="5" t="s">
        <v>72</v>
      </c>
      <c r="Y403" s="4">
        <v>13</v>
      </c>
      <c r="Z403" s="4">
        <v>1</v>
      </c>
      <c r="AA403" s="4">
        <v>3</v>
      </c>
      <c r="AB403" s="4">
        <v>1</v>
      </c>
      <c r="AC403" s="4">
        <v>1</v>
      </c>
      <c r="AD403" s="4">
        <v>7</v>
      </c>
      <c r="AE403" s="4">
        <v>27</v>
      </c>
      <c r="AF403" s="4">
        <v>0</v>
      </c>
      <c r="AG403" s="4">
        <v>0</v>
      </c>
      <c r="AH403" s="4">
        <v>7</v>
      </c>
      <c r="AI403" s="4">
        <v>26</v>
      </c>
      <c r="AJ403" s="4">
        <v>0</v>
      </c>
      <c r="AK403" s="4">
        <v>1</v>
      </c>
      <c r="AL403" s="4">
        <v>6</v>
      </c>
      <c r="AM403" s="4">
        <v>24</v>
      </c>
      <c r="AN403" s="4">
        <v>0</v>
      </c>
      <c r="AO403" s="4">
        <v>0</v>
      </c>
      <c r="AP403" s="4">
        <v>0</v>
      </c>
      <c r="AQ403" s="4">
        <v>1</v>
      </c>
      <c r="AR403" s="3" t="s">
        <v>65</v>
      </c>
      <c r="AS403" s="3" t="s">
        <v>65</v>
      </c>
      <c r="AT403" s="3" t="s">
        <v>65</v>
      </c>
      <c r="AV403" s="6" t="str">
        <f>HYPERLINK("http://mcgill.on.worldcat.org/oclc/698165151","Catalog Record")</f>
        <v>Catalog Record</v>
      </c>
      <c r="AW403" s="6" t="str">
        <f>HYPERLINK("http://www.worldcat.org/oclc/698165151","WorldCat Record")</f>
        <v>WorldCat Record</v>
      </c>
      <c r="AX403" s="3" t="s">
        <v>4287</v>
      </c>
      <c r="AY403" s="3" t="s">
        <v>4288</v>
      </c>
      <c r="AZ403" s="3" t="s">
        <v>4289</v>
      </c>
      <c r="BA403" s="3" t="s">
        <v>4289</v>
      </c>
      <c r="BB403" s="3" t="s">
        <v>4290</v>
      </c>
      <c r="BC403" s="3" t="s">
        <v>77</v>
      </c>
      <c r="BD403" s="3" t="s">
        <v>78</v>
      </c>
      <c r="BE403" s="3" t="s">
        <v>4291</v>
      </c>
      <c r="BF403" s="3" t="s">
        <v>4290</v>
      </c>
      <c r="BG403" s="3" t="s">
        <v>4292</v>
      </c>
    </row>
    <row r="404" spans="1:59" ht="58" x14ac:dyDescent="0.35">
      <c r="A404" s="2" t="s">
        <v>59</v>
      </c>
      <c r="B404" s="2" t="s">
        <v>60</v>
      </c>
      <c r="C404" s="2" t="s">
        <v>4293</v>
      </c>
      <c r="D404" s="2" t="s">
        <v>4294</v>
      </c>
      <c r="E404" s="2" t="s">
        <v>4295</v>
      </c>
      <c r="G404" s="3" t="s">
        <v>65</v>
      </c>
      <c r="I404" s="3" t="s">
        <v>65</v>
      </c>
      <c r="J404" s="3" t="s">
        <v>65</v>
      </c>
      <c r="K404" s="3" t="s">
        <v>66</v>
      </c>
      <c r="M404" s="2" t="s">
        <v>4296</v>
      </c>
      <c r="N404" s="3" t="s">
        <v>221</v>
      </c>
      <c r="P404" s="3" t="s">
        <v>140</v>
      </c>
      <c r="Q404" s="2" t="s">
        <v>4297</v>
      </c>
      <c r="R404" s="3" t="s">
        <v>71</v>
      </c>
      <c r="S404" s="4">
        <v>2</v>
      </c>
      <c r="T404" s="4">
        <v>2</v>
      </c>
      <c r="U404" s="5" t="s">
        <v>3724</v>
      </c>
      <c r="V404" s="5" t="s">
        <v>3724</v>
      </c>
      <c r="W404" s="5" t="s">
        <v>72</v>
      </c>
      <c r="X404" s="5" t="s">
        <v>72</v>
      </c>
      <c r="Y404" s="4">
        <v>38</v>
      </c>
      <c r="Z404" s="4">
        <v>5</v>
      </c>
      <c r="AA404" s="4">
        <v>6</v>
      </c>
      <c r="AB404" s="4">
        <v>1</v>
      </c>
      <c r="AC404" s="4">
        <v>1</v>
      </c>
      <c r="AD404" s="4">
        <v>21</v>
      </c>
      <c r="AE404" s="4">
        <v>22</v>
      </c>
      <c r="AF404" s="4">
        <v>0</v>
      </c>
      <c r="AG404" s="4">
        <v>0</v>
      </c>
      <c r="AH404" s="4">
        <v>19</v>
      </c>
      <c r="AI404" s="4">
        <v>20</v>
      </c>
      <c r="AJ404" s="4">
        <v>3</v>
      </c>
      <c r="AK404" s="4">
        <v>4</v>
      </c>
      <c r="AL404" s="4">
        <v>16</v>
      </c>
      <c r="AM404" s="4">
        <v>16</v>
      </c>
      <c r="AN404" s="4">
        <v>0</v>
      </c>
      <c r="AO404" s="4">
        <v>0</v>
      </c>
      <c r="AP404" s="4">
        <v>3</v>
      </c>
      <c r="AQ404" s="4">
        <v>4</v>
      </c>
      <c r="AR404" s="3" t="s">
        <v>65</v>
      </c>
      <c r="AS404" s="3" t="s">
        <v>65</v>
      </c>
      <c r="AT404" s="3" t="s">
        <v>209</v>
      </c>
      <c r="AU404" s="6" t="str">
        <f>HYPERLINK("http://catalog.hathitrust.org/Record/005636935","HathiTrust Record")</f>
        <v>HathiTrust Record</v>
      </c>
      <c r="AV404" s="6" t="str">
        <f>HYPERLINK("http://mcgill.on.worldcat.org/oclc/156956740","Catalog Record")</f>
        <v>Catalog Record</v>
      </c>
      <c r="AW404" s="6" t="str">
        <f>HYPERLINK("http://www.worldcat.org/oclc/156956740","WorldCat Record")</f>
        <v>WorldCat Record</v>
      </c>
      <c r="AX404" s="3" t="s">
        <v>4298</v>
      </c>
      <c r="AY404" s="3" t="s">
        <v>4299</v>
      </c>
      <c r="AZ404" s="3" t="s">
        <v>4300</v>
      </c>
      <c r="BA404" s="3" t="s">
        <v>4300</v>
      </c>
      <c r="BB404" s="3" t="s">
        <v>4301</v>
      </c>
      <c r="BC404" s="3" t="s">
        <v>77</v>
      </c>
      <c r="BD404" s="3" t="s">
        <v>78</v>
      </c>
      <c r="BE404" s="3" t="s">
        <v>4302</v>
      </c>
      <c r="BF404" s="3" t="s">
        <v>4301</v>
      </c>
      <c r="BG404" s="3" t="s">
        <v>4303</v>
      </c>
    </row>
    <row r="405" spans="1:59" ht="58" x14ac:dyDescent="0.35">
      <c r="A405" s="2" t="s">
        <v>59</v>
      </c>
      <c r="B405" s="2" t="s">
        <v>60</v>
      </c>
      <c r="C405" s="2" t="s">
        <v>4304</v>
      </c>
      <c r="D405" s="2" t="s">
        <v>4305</v>
      </c>
      <c r="E405" s="2" t="s">
        <v>4306</v>
      </c>
      <c r="G405" s="3" t="s">
        <v>65</v>
      </c>
      <c r="I405" s="3" t="s">
        <v>65</v>
      </c>
      <c r="J405" s="3" t="s">
        <v>65</v>
      </c>
      <c r="K405" s="3" t="s">
        <v>66</v>
      </c>
      <c r="L405" s="2" t="s">
        <v>4307</v>
      </c>
      <c r="M405" s="2" t="s">
        <v>4308</v>
      </c>
      <c r="N405" s="3" t="s">
        <v>392</v>
      </c>
      <c r="P405" s="3" t="s">
        <v>140</v>
      </c>
      <c r="Q405" s="2" t="s">
        <v>4309</v>
      </c>
      <c r="R405" s="3" t="s">
        <v>71</v>
      </c>
      <c r="S405" s="4">
        <v>2</v>
      </c>
      <c r="T405" s="4">
        <v>2</v>
      </c>
      <c r="U405" s="5" t="s">
        <v>4310</v>
      </c>
      <c r="V405" s="5" t="s">
        <v>4310</v>
      </c>
      <c r="W405" s="5" t="s">
        <v>72</v>
      </c>
      <c r="X405" s="5" t="s">
        <v>72</v>
      </c>
      <c r="Y405" s="4">
        <v>32</v>
      </c>
      <c r="Z405" s="4">
        <v>5</v>
      </c>
      <c r="AA405" s="4">
        <v>5</v>
      </c>
      <c r="AB405" s="4">
        <v>1</v>
      </c>
      <c r="AC405" s="4">
        <v>1</v>
      </c>
      <c r="AD405" s="4">
        <v>21</v>
      </c>
      <c r="AE405" s="4">
        <v>21</v>
      </c>
      <c r="AF405" s="4">
        <v>0</v>
      </c>
      <c r="AG405" s="4">
        <v>0</v>
      </c>
      <c r="AH405" s="4">
        <v>19</v>
      </c>
      <c r="AI405" s="4">
        <v>19</v>
      </c>
      <c r="AJ405" s="4">
        <v>3</v>
      </c>
      <c r="AK405" s="4">
        <v>3</v>
      </c>
      <c r="AL405" s="4">
        <v>16</v>
      </c>
      <c r="AM405" s="4">
        <v>16</v>
      </c>
      <c r="AN405" s="4">
        <v>0</v>
      </c>
      <c r="AO405" s="4">
        <v>0</v>
      </c>
      <c r="AP405" s="4">
        <v>3</v>
      </c>
      <c r="AQ405" s="4">
        <v>3</v>
      </c>
      <c r="AR405" s="3" t="s">
        <v>65</v>
      </c>
      <c r="AS405" s="3" t="s">
        <v>65</v>
      </c>
      <c r="AT405" s="3" t="s">
        <v>65</v>
      </c>
      <c r="AV405" s="6" t="str">
        <f>HYPERLINK("http://mcgill.on.worldcat.org/oclc/21321733","Catalog Record")</f>
        <v>Catalog Record</v>
      </c>
      <c r="AW405" s="6" t="str">
        <f>HYPERLINK("http://www.worldcat.org/oclc/21321733","WorldCat Record")</f>
        <v>WorldCat Record</v>
      </c>
      <c r="AX405" s="3" t="s">
        <v>4311</v>
      </c>
      <c r="AY405" s="3" t="s">
        <v>4312</v>
      </c>
      <c r="AZ405" s="3" t="s">
        <v>4313</v>
      </c>
      <c r="BA405" s="3" t="s">
        <v>4313</v>
      </c>
      <c r="BB405" s="3" t="s">
        <v>4314</v>
      </c>
      <c r="BC405" s="3" t="s">
        <v>77</v>
      </c>
      <c r="BD405" s="3" t="s">
        <v>78</v>
      </c>
      <c r="BE405" s="3" t="s">
        <v>4315</v>
      </c>
      <c r="BF405" s="3" t="s">
        <v>4314</v>
      </c>
      <c r="BG405" s="3" t="s">
        <v>4316</v>
      </c>
    </row>
    <row r="406" spans="1:59" ht="58" x14ac:dyDescent="0.35">
      <c r="A406" s="2" t="s">
        <v>59</v>
      </c>
      <c r="B406" s="2" t="s">
        <v>60</v>
      </c>
      <c r="C406" s="2" t="s">
        <v>4317</v>
      </c>
      <c r="D406" s="2" t="s">
        <v>4318</v>
      </c>
      <c r="E406" s="2" t="s">
        <v>4319</v>
      </c>
      <c r="G406" s="3" t="s">
        <v>65</v>
      </c>
      <c r="I406" s="3" t="s">
        <v>65</v>
      </c>
      <c r="J406" s="3" t="s">
        <v>65</v>
      </c>
      <c r="K406" s="3" t="s">
        <v>66</v>
      </c>
      <c r="L406" s="2" t="s">
        <v>4320</v>
      </c>
      <c r="M406" s="2" t="s">
        <v>4321</v>
      </c>
      <c r="N406" s="3" t="s">
        <v>113</v>
      </c>
      <c r="P406" s="3" t="s">
        <v>140</v>
      </c>
      <c r="Q406" s="2" t="s">
        <v>4322</v>
      </c>
      <c r="R406" s="3" t="s">
        <v>71</v>
      </c>
      <c r="S406" s="4">
        <v>0</v>
      </c>
      <c r="T406" s="4">
        <v>0</v>
      </c>
      <c r="W406" s="5" t="s">
        <v>72</v>
      </c>
      <c r="X406" s="5" t="s">
        <v>72</v>
      </c>
      <c r="Y406" s="4">
        <v>41</v>
      </c>
      <c r="Z406" s="4">
        <v>3</v>
      </c>
      <c r="AA406" s="4">
        <v>3</v>
      </c>
      <c r="AB406" s="4">
        <v>1</v>
      </c>
      <c r="AC406" s="4">
        <v>1</v>
      </c>
      <c r="AD406" s="4">
        <v>31</v>
      </c>
      <c r="AE406" s="4">
        <v>31</v>
      </c>
      <c r="AF406" s="4">
        <v>0</v>
      </c>
      <c r="AG406" s="4">
        <v>0</v>
      </c>
      <c r="AH406" s="4">
        <v>30</v>
      </c>
      <c r="AI406" s="4">
        <v>30</v>
      </c>
      <c r="AJ406" s="4">
        <v>1</v>
      </c>
      <c r="AK406" s="4">
        <v>1</v>
      </c>
      <c r="AL406" s="4">
        <v>26</v>
      </c>
      <c r="AM406" s="4">
        <v>26</v>
      </c>
      <c r="AN406" s="4">
        <v>0</v>
      </c>
      <c r="AO406" s="4">
        <v>0</v>
      </c>
      <c r="AP406" s="4">
        <v>1</v>
      </c>
      <c r="AQ406" s="4">
        <v>1</v>
      </c>
      <c r="AR406" s="3" t="s">
        <v>65</v>
      </c>
      <c r="AS406" s="3" t="s">
        <v>65</v>
      </c>
      <c r="AT406" s="3" t="s">
        <v>65</v>
      </c>
      <c r="AV406" s="6" t="str">
        <f>HYPERLINK("http://mcgill.on.worldcat.org/oclc/694828904","Catalog Record")</f>
        <v>Catalog Record</v>
      </c>
      <c r="AW406" s="6" t="str">
        <f>HYPERLINK("http://www.worldcat.org/oclc/694828904","WorldCat Record")</f>
        <v>WorldCat Record</v>
      </c>
      <c r="AX406" s="3" t="s">
        <v>4323</v>
      </c>
      <c r="AY406" s="3" t="s">
        <v>4324</v>
      </c>
      <c r="AZ406" s="3" t="s">
        <v>4325</v>
      </c>
      <c r="BA406" s="3" t="s">
        <v>4325</v>
      </c>
      <c r="BB406" s="3" t="s">
        <v>4326</v>
      </c>
      <c r="BC406" s="3" t="s">
        <v>77</v>
      </c>
      <c r="BD406" s="3" t="s">
        <v>78</v>
      </c>
      <c r="BE406" s="3" t="s">
        <v>4327</v>
      </c>
      <c r="BF406" s="3" t="s">
        <v>4326</v>
      </c>
      <c r="BG406" s="3" t="s">
        <v>4328</v>
      </c>
    </row>
    <row r="407" spans="1:59" ht="58" x14ac:dyDescent="0.35">
      <c r="A407" s="2" t="s">
        <v>59</v>
      </c>
      <c r="B407" s="2" t="s">
        <v>60</v>
      </c>
      <c r="C407" s="2" t="s">
        <v>4329</v>
      </c>
      <c r="D407" s="2" t="s">
        <v>4330</v>
      </c>
      <c r="E407" s="2" t="s">
        <v>4331</v>
      </c>
      <c r="G407" s="3" t="s">
        <v>65</v>
      </c>
      <c r="I407" s="3" t="s">
        <v>65</v>
      </c>
      <c r="J407" s="3" t="s">
        <v>65</v>
      </c>
      <c r="K407" s="3" t="s">
        <v>66</v>
      </c>
      <c r="L407" s="2" t="s">
        <v>4332</v>
      </c>
      <c r="M407" s="2" t="s">
        <v>4333</v>
      </c>
      <c r="N407" s="3" t="s">
        <v>176</v>
      </c>
      <c r="O407" s="2" t="s">
        <v>235</v>
      </c>
      <c r="P407" s="3" t="s">
        <v>140</v>
      </c>
      <c r="Q407" s="2" t="s">
        <v>4334</v>
      </c>
      <c r="R407" s="3" t="s">
        <v>71</v>
      </c>
      <c r="S407" s="4">
        <v>0</v>
      </c>
      <c r="T407" s="4">
        <v>0</v>
      </c>
      <c r="W407" s="5" t="s">
        <v>72</v>
      </c>
      <c r="X407" s="5" t="s">
        <v>72</v>
      </c>
      <c r="Y407" s="4">
        <v>41</v>
      </c>
      <c r="Z407" s="4">
        <v>3</v>
      </c>
      <c r="AA407" s="4">
        <v>3</v>
      </c>
      <c r="AB407" s="4">
        <v>1</v>
      </c>
      <c r="AC407" s="4">
        <v>1</v>
      </c>
      <c r="AD407" s="4">
        <v>24</v>
      </c>
      <c r="AE407" s="4">
        <v>25</v>
      </c>
      <c r="AF407" s="4">
        <v>0</v>
      </c>
      <c r="AG407" s="4">
        <v>0</v>
      </c>
      <c r="AH407" s="4">
        <v>23</v>
      </c>
      <c r="AI407" s="4">
        <v>24</v>
      </c>
      <c r="AJ407" s="4">
        <v>1</v>
      </c>
      <c r="AK407" s="4">
        <v>1</v>
      </c>
      <c r="AL407" s="4">
        <v>18</v>
      </c>
      <c r="AM407" s="4">
        <v>19</v>
      </c>
      <c r="AN407" s="4">
        <v>0</v>
      </c>
      <c r="AO407" s="4">
        <v>0</v>
      </c>
      <c r="AP407" s="4">
        <v>1</v>
      </c>
      <c r="AQ407" s="4">
        <v>1</v>
      </c>
      <c r="AR407" s="3" t="s">
        <v>65</v>
      </c>
      <c r="AS407" s="3" t="s">
        <v>65</v>
      </c>
      <c r="AT407" s="3" t="s">
        <v>65</v>
      </c>
      <c r="AV407" s="6" t="str">
        <f>HYPERLINK("http://mcgill.on.worldcat.org/oclc/907638865","Catalog Record")</f>
        <v>Catalog Record</v>
      </c>
      <c r="AW407" s="6" t="str">
        <f>HYPERLINK("http://www.worldcat.org/oclc/907638865","WorldCat Record")</f>
        <v>WorldCat Record</v>
      </c>
      <c r="AX407" s="3" t="s">
        <v>4335</v>
      </c>
      <c r="AY407" s="3" t="s">
        <v>4336</v>
      </c>
      <c r="AZ407" s="3" t="s">
        <v>4337</v>
      </c>
      <c r="BA407" s="3" t="s">
        <v>4337</v>
      </c>
      <c r="BB407" s="3" t="s">
        <v>4338</v>
      </c>
      <c r="BC407" s="3" t="s">
        <v>77</v>
      </c>
      <c r="BD407" s="3" t="s">
        <v>78</v>
      </c>
      <c r="BE407" s="3" t="s">
        <v>4339</v>
      </c>
      <c r="BF407" s="3" t="s">
        <v>4338</v>
      </c>
      <c r="BG407" s="3" t="s">
        <v>4340</v>
      </c>
    </row>
    <row r="408" spans="1:59" ht="58" x14ac:dyDescent="0.35">
      <c r="A408" s="2" t="s">
        <v>59</v>
      </c>
      <c r="B408" s="2" t="s">
        <v>60</v>
      </c>
      <c r="C408" s="2" t="s">
        <v>4341</v>
      </c>
      <c r="D408" s="2" t="s">
        <v>4342</v>
      </c>
      <c r="E408" s="2" t="s">
        <v>4343</v>
      </c>
      <c r="G408" s="3" t="s">
        <v>65</v>
      </c>
      <c r="I408" s="3" t="s">
        <v>65</v>
      </c>
      <c r="J408" s="3" t="s">
        <v>65</v>
      </c>
      <c r="K408" s="3" t="s">
        <v>66</v>
      </c>
      <c r="L408" s="2" t="s">
        <v>4344</v>
      </c>
      <c r="M408" s="2" t="s">
        <v>4345</v>
      </c>
      <c r="N408" s="3" t="s">
        <v>942</v>
      </c>
      <c r="P408" s="3" t="s">
        <v>140</v>
      </c>
      <c r="R408" s="3" t="s">
        <v>71</v>
      </c>
      <c r="S408" s="4">
        <v>3</v>
      </c>
      <c r="T408" s="4">
        <v>3</v>
      </c>
      <c r="U408" s="5" t="s">
        <v>2545</v>
      </c>
      <c r="V408" s="5" t="s">
        <v>2545</v>
      </c>
      <c r="W408" s="5" t="s">
        <v>72</v>
      </c>
      <c r="X408" s="5" t="s">
        <v>72</v>
      </c>
      <c r="Y408" s="4">
        <v>93</v>
      </c>
      <c r="Z408" s="4">
        <v>6</v>
      </c>
      <c r="AA408" s="4">
        <v>6</v>
      </c>
      <c r="AB408" s="4">
        <v>1</v>
      </c>
      <c r="AC408" s="4">
        <v>1</v>
      </c>
      <c r="AD408" s="4">
        <v>43</v>
      </c>
      <c r="AE408" s="4">
        <v>43</v>
      </c>
      <c r="AF408" s="4">
        <v>0</v>
      </c>
      <c r="AG408" s="4">
        <v>0</v>
      </c>
      <c r="AH408" s="4">
        <v>41</v>
      </c>
      <c r="AI408" s="4">
        <v>41</v>
      </c>
      <c r="AJ408" s="4">
        <v>4</v>
      </c>
      <c r="AK408" s="4">
        <v>4</v>
      </c>
      <c r="AL408" s="4">
        <v>31</v>
      </c>
      <c r="AM408" s="4">
        <v>31</v>
      </c>
      <c r="AN408" s="4">
        <v>0</v>
      </c>
      <c r="AO408" s="4">
        <v>0</v>
      </c>
      <c r="AP408" s="4">
        <v>4</v>
      </c>
      <c r="AQ408" s="4">
        <v>4</v>
      </c>
      <c r="AR408" s="3" t="s">
        <v>65</v>
      </c>
      <c r="AS408" s="3" t="s">
        <v>65</v>
      </c>
      <c r="AT408" s="3" t="s">
        <v>209</v>
      </c>
      <c r="AU408" s="6" t="str">
        <f>HYPERLINK("http://catalog.hathitrust.org/Record/001804305","HathiTrust Record")</f>
        <v>HathiTrust Record</v>
      </c>
      <c r="AV408" s="6" t="str">
        <f>HYPERLINK("http://mcgill.on.worldcat.org/oclc/6582265","Catalog Record")</f>
        <v>Catalog Record</v>
      </c>
      <c r="AW408" s="6" t="str">
        <f>HYPERLINK("http://www.worldcat.org/oclc/6582265","WorldCat Record")</f>
        <v>WorldCat Record</v>
      </c>
      <c r="AX408" s="3" t="s">
        <v>4346</v>
      </c>
      <c r="AY408" s="3" t="s">
        <v>4347</v>
      </c>
      <c r="AZ408" s="3" t="s">
        <v>4348</v>
      </c>
      <c r="BA408" s="3" t="s">
        <v>4348</v>
      </c>
      <c r="BB408" s="3" t="s">
        <v>4349</v>
      </c>
      <c r="BC408" s="3" t="s">
        <v>77</v>
      </c>
      <c r="BD408" s="3" t="s">
        <v>78</v>
      </c>
      <c r="BF408" s="3" t="s">
        <v>4349</v>
      </c>
      <c r="BG408" s="3" t="s">
        <v>4350</v>
      </c>
    </row>
    <row r="409" spans="1:59" ht="58" x14ac:dyDescent="0.35">
      <c r="A409" s="2" t="s">
        <v>59</v>
      </c>
      <c r="B409" s="2" t="s">
        <v>60</v>
      </c>
      <c r="C409" s="2" t="s">
        <v>4351</v>
      </c>
      <c r="D409" s="2" t="s">
        <v>4352</v>
      </c>
      <c r="E409" s="2" t="s">
        <v>4353</v>
      </c>
      <c r="G409" s="3" t="s">
        <v>65</v>
      </c>
      <c r="I409" s="3" t="s">
        <v>65</v>
      </c>
      <c r="J409" s="3" t="s">
        <v>209</v>
      </c>
      <c r="K409" s="3" t="s">
        <v>66</v>
      </c>
      <c r="L409" s="2" t="s">
        <v>3086</v>
      </c>
      <c r="M409" s="2" t="s">
        <v>4354</v>
      </c>
      <c r="N409" s="3" t="s">
        <v>311</v>
      </c>
      <c r="O409" s="2" t="s">
        <v>4355</v>
      </c>
      <c r="P409" s="3" t="s">
        <v>140</v>
      </c>
      <c r="Q409" s="2" t="s">
        <v>4356</v>
      </c>
      <c r="R409" s="3" t="s">
        <v>71</v>
      </c>
      <c r="S409" s="4">
        <v>6</v>
      </c>
      <c r="T409" s="4">
        <v>6</v>
      </c>
      <c r="U409" s="5" t="s">
        <v>4357</v>
      </c>
      <c r="V409" s="5" t="s">
        <v>4357</v>
      </c>
      <c r="W409" s="5" t="s">
        <v>72</v>
      </c>
      <c r="X409" s="5" t="s">
        <v>72</v>
      </c>
      <c r="Y409" s="4">
        <v>45</v>
      </c>
      <c r="Z409" s="4">
        <v>7</v>
      </c>
      <c r="AA409" s="4">
        <v>12</v>
      </c>
      <c r="AB409" s="4">
        <v>1</v>
      </c>
      <c r="AC409" s="4">
        <v>2</v>
      </c>
      <c r="AD409" s="4">
        <v>20</v>
      </c>
      <c r="AE409" s="4">
        <v>70</v>
      </c>
      <c r="AF409" s="4">
        <v>0</v>
      </c>
      <c r="AG409" s="4">
        <v>1</v>
      </c>
      <c r="AH409" s="4">
        <v>17</v>
      </c>
      <c r="AI409" s="4">
        <v>65</v>
      </c>
      <c r="AJ409" s="4">
        <v>3</v>
      </c>
      <c r="AK409" s="4">
        <v>8</v>
      </c>
      <c r="AL409" s="4">
        <v>11</v>
      </c>
      <c r="AM409" s="4">
        <v>39</v>
      </c>
      <c r="AN409" s="4">
        <v>0</v>
      </c>
      <c r="AO409" s="4">
        <v>5</v>
      </c>
      <c r="AP409" s="4">
        <v>5</v>
      </c>
      <c r="AQ409" s="4">
        <v>9</v>
      </c>
      <c r="AR409" s="3" t="s">
        <v>65</v>
      </c>
      <c r="AS409" s="3" t="s">
        <v>65</v>
      </c>
      <c r="AT409" s="3" t="s">
        <v>65</v>
      </c>
      <c r="AV409" s="6" t="str">
        <f>HYPERLINK("http://mcgill.on.worldcat.org/oclc/8790903","Catalog Record")</f>
        <v>Catalog Record</v>
      </c>
      <c r="AW409" s="6" t="str">
        <f>HYPERLINK("http://www.worldcat.org/oclc/8790903","WorldCat Record")</f>
        <v>WorldCat Record</v>
      </c>
      <c r="AX409" s="3" t="s">
        <v>4358</v>
      </c>
      <c r="AY409" s="3" t="s">
        <v>4359</v>
      </c>
      <c r="AZ409" s="3" t="s">
        <v>4360</v>
      </c>
      <c r="BA409" s="3" t="s">
        <v>4360</v>
      </c>
      <c r="BB409" s="3" t="s">
        <v>4361</v>
      </c>
      <c r="BC409" s="3" t="s">
        <v>77</v>
      </c>
      <c r="BD409" s="3" t="s">
        <v>78</v>
      </c>
      <c r="BF409" s="3" t="s">
        <v>4361</v>
      </c>
      <c r="BG409" s="3" t="s">
        <v>4362</v>
      </c>
    </row>
    <row r="410" spans="1:59" ht="116" x14ac:dyDescent="0.35">
      <c r="A410" s="2" t="s">
        <v>59</v>
      </c>
      <c r="B410" s="2" t="s">
        <v>60</v>
      </c>
      <c r="C410" s="2" t="s">
        <v>4363</v>
      </c>
      <c r="D410" s="2" t="s">
        <v>4364</v>
      </c>
      <c r="E410" s="2" t="s">
        <v>4365</v>
      </c>
      <c r="G410" s="3" t="s">
        <v>65</v>
      </c>
      <c r="I410" s="3" t="s">
        <v>65</v>
      </c>
      <c r="J410" s="3" t="s">
        <v>65</v>
      </c>
      <c r="K410" s="3" t="s">
        <v>66</v>
      </c>
      <c r="L410" s="2" t="s">
        <v>4366</v>
      </c>
      <c r="M410" s="2" t="s">
        <v>4172</v>
      </c>
      <c r="N410" s="3" t="s">
        <v>188</v>
      </c>
      <c r="P410" s="3" t="s">
        <v>140</v>
      </c>
      <c r="Q410" s="2" t="s">
        <v>4367</v>
      </c>
      <c r="R410" s="3" t="s">
        <v>71</v>
      </c>
      <c r="S410" s="4">
        <v>0</v>
      </c>
      <c r="T410" s="4">
        <v>0</v>
      </c>
      <c r="W410" s="5" t="s">
        <v>72</v>
      </c>
      <c r="X410" s="5" t="s">
        <v>72</v>
      </c>
      <c r="Y410" s="4">
        <v>32</v>
      </c>
      <c r="Z410" s="4">
        <v>2</v>
      </c>
      <c r="AA410" s="4">
        <v>2</v>
      </c>
      <c r="AB410" s="4">
        <v>1</v>
      </c>
      <c r="AC410" s="4">
        <v>1</v>
      </c>
      <c r="AD410" s="4">
        <v>23</v>
      </c>
      <c r="AE410" s="4">
        <v>23</v>
      </c>
      <c r="AF410" s="4">
        <v>0</v>
      </c>
      <c r="AG410" s="4">
        <v>0</v>
      </c>
      <c r="AH410" s="4">
        <v>22</v>
      </c>
      <c r="AI410" s="4">
        <v>22</v>
      </c>
      <c r="AJ410" s="4">
        <v>1</v>
      </c>
      <c r="AK410" s="4">
        <v>1</v>
      </c>
      <c r="AL410" s="4">
        <v>18</v>
      </c>
      <c r="AM410" s="4">
        <v>18</v>
      </c>
      <c r="AN410" s="4">
        <v>0</v>
      </c>
      <c r="AO410" s="4">
        <v>0</v>
      </c>
      <c r="AP410" s="4">
        <v>1</v>
      </c>
      <c r="AQ410" s="4">
        <v>1</v>
      </c>
      <c r="AR410" s="3" t="s">
        <v>65</v>
      </c>
      <c r="AS410" s="3" t="s">
        <v>65</v>
      </c>
      <c r="AT410" s="3" t="s">
        <v>65</v>
      </c>
      <c r="AV410" s="6" t="str">
        <f>HYPERLINK("http://mcgill.on.worldcat.org/oclc/993506569","Catalog Record")</f>
        <v>Catalog Record</v>
      </c>
      <c r="AW410" s="6" t="str">
        <f>HYPERLINK("http://www.worldcat.org/oclc/993506569","WorldCat Record")</f>
        <v>WorldCat Record</v>
      </c>
      <c r="AX410" s="3" t="s">
        <v>4368</v>
      </c>
      <c r="AY410" s="3" t="s">
        <v>4369</v>
      </c>
      <c r="AZ410" s="3" t="s">
        <v>4370</v>
      </c>
      <c r="BA410" s="3" t="s">
        <v>4370</v>
      </c>
      <c r="BB410" s="3" t="s">
        <v>4371</v>
      </c>
      <c r="BC410" s="3" t="s">
        <v>77</v>
      </c>
      <c r="BD410" s="3" t="s">
        <v>78</v>
      </c>
      <c r="BE410" s="3" t="s">
        <v>4372</v>
      </c>
      <c r="BF410" s="3" t="s">
        <v>4371</v>
      </c>
      <c r="BG410" s="3" t="s">
        <v>4373</v>
      </c>
    </row>
    <row r="411" spans="1:59" ht="58" x14ac:dyDescent="0.35">
      <c r="A411" s="2" t="s">
        <v>59</v>
      </c>
      <c r="B411" s="2" t="s">
        <v>60</v>
      </c>
      <c r="C411" s="2" t="s">
        <v>4374</v>
      </c>
      <c r="D411" s="2" t="s">
        <v>4375</v>
      </c>
      <c r="E411" s="2" t="s">
        <v>4376</v>
      </c>
      <c r="G411" s="3" t="s">
        <v>65</v>
      </c>
      <c r="I411" s="3" t="s">
        <v>65</v>
      </c>
      <c r="J411" s="3" t="s">
        <v>65</v>
      </c>
      <c r="K411" s="3" t="s">
        <v>66</v>
      </c>
      <c r="L411" s="2" t="s">
        <v>4377</v>
      </c>
      <c r="M411" s="2" t="s">
        <v>653</v>
      </c>
      <c r="N411" s="3" t="s">
        <v>113</v>
      </c>
      <c r="O411" s="2" t="s">
        <v>365</v>
      </c>
      <c r="P411" s="3" t="s">
        <v>140</v>
      </c>
      <c r="Q411" s="2" t="s">
        <v>4378</v>
      </c>
      <c r="R411" s="3" t="s">
        <v>71</v>
      </c>
      <c r="S411" s="4">
        <v>0</v>
      </c>
      <c r="T411" s="4">
        <v>0</v>
      </c>
      <c r="W411" s="5" t="s">
        <v>72</v>
      </c>
      <c r="X411" s="5" t="s">
        <v>72</v>
      </c>
      <c r="Y411" s="4">
        <v>30</v>
      </c>
      <c r="Z411" s="4">
        <v>3</v>
      </c>
      <c r="AA411" s="4">
        <v>3</v>
      </c>
      <c r="AB411" s="4">
        <v>1</v>
      </c>
      <c r="AC411" s="4">
        <v>1</v>
      </c>
      <c r="AD411" s="4">
        <v>22</v>
      </c>
      <c r="AE411" s="4">
        <v>22</v>
      </c>
      <c r="AF411" s="4">
        <v>0</v>
      </c>
      <c r="AG411" s="4">
        <v>0</v>
      </c>
      <c r="AH411" s="4">
        <v>21</v>
      </c>
      <c r="AI411" s="4">
        <v>21</v>
      </c>
      <c r="AJ411" s="4">
        <v>1</v>
      </c>
      <c r="AK411" s="4">
        <v>1</v>
      </c>
      <c r="AL411" s="4">
        <v>18</v>
      </c>
      <c r="AM411" s="4">
        <v>18</v>
      </c>
      <c r="AN411" s="4">
        <v>0</v>
      </c>
      <c r="AO411" s="4">
        <v>0</v>
      </c>
      <c r="AP411" s="4">
        <v>1</v>
      </c>
      <c r="AQ411" s="4">
        <v>1</v>
      </c>
      <c r="AR411" s="3" t="s">
        <v>65</v>
      </c>
      <c r="AS411" s="3" t="s">
        <v>65</v>
      </c>
      <c r="AT411" s="3" t="s">
        <v>65</v>
      </c>
      <c r="AV411" s="6" t="str">
        <f>HYPERLINK("http://mcgill.on.worldcat.org/oclc/609530126","Catalog Record")</f>
        <v>Catalog Record</v>
      </c>
      <c r="AW411" s="6" t="str">
        <f>HYPERLINK("http://www.worldcat.org/oclc/609530126","WorldCat Record")</f>
        <v>WorldCat Record</v>
      </c>
      <c r="AX411" s="3" t="s">
        <v>4379</v>
      </c>
      <c r="AY411" s="3" t="s">
        <v>4380</v>
      </c>
      <c r="AZ411" s="3" t="s">
        <v>4381</v>
      </c>
      <c r="BA411" s="3" t="s">
        <v>4381</v>
      </c>
      <c r="BB411" s="3" t="s">
        <v>4382</v>
      </c>
      <c r="BC411" s="3" t="s">
        <v>77</v>
      </c>
      <c r="BD411" s="3" t="s">
        <v>78</v>
      </c>
      <c r="BE411" s="3" t="s">
        <v>4383</v>
      </c>
      <c r="BF411" s="3" t="s">
        <v>4382</v>
      </c>
      <c r="BG411" s="3" t="s">
        <v>4384</v>
      </c>
    </row>
    <row r="412" spans="1:59" ht="58" x14ac:dyDescent="0.35">
      <c r="A412" s="2" t="s">
        <v>59</v>
      </c>
      <c r="B412" s="2" t="s">
        <v>60</v>
      </c>
      <c r="C412" s="2" t="s">
        <v>4385</v>
      </c>
      <c r="D412" s="2" t="s">
        <v>4386</v>
      </c>
      <c r="E412" s="2" t="s">
        <v>4387</v>
      </c>
      <c r="G412" s="3" t="s">
        <v>65</v>
      </c>
      <c r="I412" s="3" t="s">
        <v>65</v>
      </c>
      <c r="J412" s="3" t="s">
        <v>65</v>
      </c>
      <c r="K412" s="3" t="s">
        <v>66</v>
      </c>
      <c r="L412" s="2" t="s">
        <v>4388</v>
      </c>
      <c r="M412" s="2" t="s">
        <v>4389</v>
      </c>
      <c r="N412" s="3" t="s">
        <v>3385</v>
      </c>
      <c r="P412" s="3" t="s">
        <v>69</v>
      </c>
      <c r="Q412" s="2" t="s">
        <v>4390</v>
      </c>
      <c r="R412" s="3" t="s">
        <v>71</v>
      </c>
      <c r="S412" s="4">
        <v>25</v>
      </c>
      <c r="T412" s="4">
        <v>25</v>
      </c>
      <c r="U412" s="5" t="s">
        <v>4391</v>
      </c>
      <c r="V412" s="5" t="s">
        <v>4391</v>
      </c>
      <c r="W412" s="5" t="s">
        <v>72</v>
      </c>
      <c r="X412" s="5" t="s">
        <v>72</v>
      </c>
      <c r="Y412" s="4">
        <v>370</v>
      </c>
      <c r="Z412" s="4">
        <v>23</v>
      </c>
      <c r="AA412" s="4">
        <v>29</v>
      </c>
      <c r="AB412" s="4">
        <v>2</v>
      </c>
      <c r="AC412" s="4">
        <v>4</v>
      </c>
      <c r="AD412" s="4">
        <v>105</v>
      </c>
      <c r="AE412" s="4">
        <v>111</v>
      </c>
      <c r="AF412" s="4">
        <v>1</v>
      </c>
      <c r="AG412" s="4">
        <v>2</v>
      </c>
      <c r="AH412" s="4">
        <v>96</v>
      </c>
      <c r="AI412" s="4">
        <v>99</v>
      </c>
      <c r="AJ412" s="4">
        <v>14</v>
      </c>
      <c r="AK412" s="4">
        <v>16</v>
      </c>
      <c r="AL412" s="4">
        <v>53</v>
      </c>
      <c r="AM412" s="4">
        <v>55</v>
      </c>
      <c r="AN412" s="4">
        <v>0</v>
      </c>
      <c r="AO412" s="4">
        <v>0</v>
      </c>
      <c r="AP412" s="4">
        <v>17</v>
      </c>
      <c r="AQ412" s="4">
        <v>19</v>
      </c>
      <c r="AR412" s="3" t="s">
        <v>65</v>
      </c>
      <c r="AS412" s="3" t="s">
        <v>65</v>
      </c>
      <c r="AT412" s="3" t="s">
        <v>65</v>
      </c>
      <c r="AV412" s="6" t="str">
        <f>HYPERLINK("http://mcgill.on.worldcat.org/oclc/40940159","Catalog Record")</f>
        <v>Catalog Record</v>
      </c>
      <c r="AW412" s="6" t="str">
        <f>HYPERLINK("http://www.worldcat.org/oclc/40940159","WorldCat Record")</f>
        <v>WorldCat Record</v>
      </c>
      <c r="AX412" s="3" t="s">
        <v>4392</v>
      </c>
      <c r="AY412" s="3" t="s">
        <v>4393</v>
      </c>
      <c r="AZ412" s="3" t="s">
        <v>4394</v>
      </c>
      <c r="BA412" s="3" t="s">
        <v>4394</v>
      </c>
      <c r="BB412" s="3" t="s">
        <v>4395</v>
      </c>
      <c r="BC412" s="3" t="s">
        <v>77</v>
      </c>
      <c r="BD412" s="3" t="s">
        <v>106</v>
      </c>
      <c r="BE412" s="3" t="s">
        <v>4396</v>
      </c>
      <c r="BF412" s="3" t="s">
        <v>4395</v>
      </c>
      <c r="BG412" s="3" t="s">
        <v>4397</v>
      </c>
    </row>
    <row r="413" spans="1:59" ht="58" x14ac:dyDescent="0.35">
      <c r="A413" s="2" t="s">
        <v>59</v>
      </c>
      <c r="B413" s="2" t="s">
        <v>60</v>
      </c>
      <c r="C413" s="2" t="s">
        <v>4398</v>
      </c>
      <c r="D413" s="2" t="s">
        <v>4399</v>
      </c>
      <c r="E413" s="2" t="s">
        <v>4400</v>
      </c>
      <c r="G413" s="3" t="s">
        <v>65</v>
      </c>
      <c r="I413" s="3" t="s">
        <v>65</v>
      </c>
      <c r="J413" s="3" t="s">
        <v>65</v>
      </c>
      <c r="K413" s="3" t="s">
        <v>66</v>
      </c>
      <c r="L413" s="2" t="s">
        <v>4401</v>
      </c>
      <c r="M413" s="2" t="s">
        <v>4402</v>
      </c>
      <c r="N413" s="3" t="s">
        <v>1944</v>
      </c>
      <c r="P413" s="3" t="s">
        <v>69</v>
      </c>
      <c r="Q413" s="2" t="s">
        <v>4403</v>
      </c>
      <c r="R413" s="3" t="s">
        <v>71</v>
      </c>
      <c r="S413" s="4">
        <v>9</v>
      </c>
      <c r="T413" s="4">
        <v>9</v>
      </c>
      <c r="U413" s="5" t="s">
        <v>4404</v>
      </c>
      <c r="V413" s="5" t="s">
        <v>4404</v>
      </c>
      <c r="W413" s="5" t="s">
        <v>72</v>
      </c>
      <c r="X413" s="5" t="s">
        <v>72</v>
      </c>
      <c r="Y413" s="4">
        <v>252</v>
      </c>
      <c r="Z413" s="4">
        <v>15</v>
      </c>
      <c r="AA413" s="4">
        <v>33</v>
      </c>
      <c r="AB413" s="4">
        <v>1</v>
      </c>
      <c r="AC413" s="4">
        <v>5</v>
      </c>
      <c r="AD413" s="4">
        <v>100</v>
      </c>
      <c r="AE413" s="4">
        <v>117</v>
      </c>
      <c r="AF413" s="4">
        <v>0</v>
      </c>
      <c r="AG413" s="4">
        <v>0</v>
      </c>
      <c r="AH413" s="4">
        <v>94</v>
      </c>
      <c r="AI413" s="4">
        <v>105</v>
      </c>
      <c r="AJ413" s="4">
        <v>9</v>
      </c>
      <c r="AK413" s="4">
        <v>12</v>
      </c>
      <c r="AL413" s="4">
        <v>53</v>
      </c>
      <c r="AM413" s="4">
        <v>56</v>
      </c>
      <c r="AN413" s="4">
        <v>0</v>
      </c>
      <c r="AO413" s="4">
        <v>0</v>
      </c>
      <c r="AP413" s="4">
        <v>11</v>
      </c>
      <c r="AQ413" s="4">
        <v>19</v>
      </c>
      <c r="AR413" s="3" t="s">
        <v>65</v>
      </c>
      <c r="AS413" s="3" t="s">
        <v>65</v>
      </c>
      <c r="AT413" s="3" t="s">
        <v>65</v>
      </c>
      <c r="AV413" s="6" t="str">
        <f>HYPERLINK("http://mcgill.on.worldcat.org/oclc/42393577","Catalog Record")</f>
        <v>Catalog Record</v>
      </c>
      <c r="AW413" s="6" t="str">
        <f>HYPERLINK("http://www.worldcat.org/oclc/42393577","WorldCat Record")</f>
        <v>WorldCat Record</v>
      </c>
      <c r="AX413" s="3" t="s">
        <v>4405</v>
      </c>
      <c r="AY413" s="3" t="s">
        <v>4406</v>
      </c>
      <c r="AZ413" s="3" t="s">
        <v>4407</v>
      </c>
      <c r="BA413" s="3" t="s">
        <v>4407</v>
      </c>
      <c r="BB413" s="3" t="s">
        <v>4408</v>
      </c>
      <c r="BC413" s="3" t="s">
        <v>77</v>
      </c>
      <c r="BD413" s="3" t="s">
        <v>78</v>
      </c>
      <c r="BE413" s="3" t="s">
        <v>4409</v>
      </c>
      <c r="BF413" s="3" t="s">
        <v>4408</v>
      </c>
      <c r="BG413" s="3" t="s">
        <v>4410</v>
      </c>
    </row>
    <row r="414" spans="1:59" ht="58" x14ac:dyDescent="0.35">
      <c r="A414" s="2" t="s">
        <v>59</v>
      </c>
      <c r="B414" s="2" t="s">
        <v>60</v>
      </c>
      <c r="C414" s="2" t="s">
        <v>4411</v>
      </c>
      <c r="D414" s="2" t="s">
        <v>4412</v>
      </c>
      <c r="E414" s="2" t="s">
        <v>4413</v>
      </c>
      <c r="G414" s="3" t="s">
        <v>65</v>
      </c>
      <c r="I414" s="3" t="s">
        <v>65</v>
      </c>
      <c r="J414" s="3" t="s">
        <v>65</v>
      </c>
      <c r="K414" s="3" t="s">
        <v>66</v>
      </c>
      <c r="L414" s="2" t="s">
        <v>4414</v>
      </c>
      <c r="M414" s="2" t="s">
        <v>4415</v>
      </c>
      <c r="N414" s="3" t="s">
        <v>176</v>
      </c>
      <c r="P414" s="3" t="s">
        <v>140</v>
      </c>
      <c r="Q414" s="2" t="s">
        <v>4416</v>
      </c>
      <c r="R414" s="3" t="s">
        <v>71</v>
      </c>
      <c r="S414" s="4">
        <v>0</v>
      </c>
      <c r="T414" s="4">
        <v>0</v>
      </c>
      <c r="W414" s="5" t="s">
        <v>72</v>
      </c>
      <c r="X414" s="5" t="s">
        <v>72</v>
      </c>
      <c r="Y414" s="4">
        <v>31</v>
      </c>
      <c r="Z414" s="4">
        <v>3</v>
      </c>
      <c r="AA414" s="4">
        <v>3</v>
      </c>
      <c r="AB414" s="4">
        <v>1</v>
      </c>
      <c r="AC414" s="4">
        <v>1</v>
      </c>
      <c r="AD414" s="4">
        <v>18</v>
      </c>
      <c r="AE414" s="4">
        <v>18</v>
      </c>
      <c r="AF414" s="4">
        <v>0</v>
      </c>
      <c r="AG414" s="4">
        <v>0</v>
      </c>
      <c r="AH414" s="4">
        <v>18</v>
      </c>
      <c r="AI414" s="4">
        <v>18</v>
      </c>
      <c r="AJ414" s="4">
        <v>1</v>
      </c>
      <c r="AK414" s="4">
        <v>1</v>
      </c>
      <c r="AL414" s="4">
        <v>13</v>
      </c>
      <c r="AM414" s="4">
        <v>13</v>
      </c>
      <c r="AN414" s="4">
        <v>0</v>
      </c>
      <c r="AO414" s="4">
        <v>0</v>
      </c>
      <c r="AP414" s="4">
        <v>1</v>
      </c>
      <c r="AQ414" s="4">
        <v>1</v>
      </c>
      <c r="AR414" s="3" t="s">
        <v>65</v>
      </c>
      <c r="AS414" s="3" t="s">
        <v>65</v>
      </c>
      <c r="AT414" s="3" t="s">
        <v>65</v>
      </c>
      <c r="AV414" s="6" t="str">
        <f>HYPERLINK("http://mcgill.on.worldcat.org/oclc/908335970","Catalog Record")</f>
        <v>Catalog Record</v>
      </c>
      <c r="AW414" s="6" t="str">
        <f>HYPERLINK("http://www.worldcat.org/oclc/908335970","WorldCat Record")</f>
        <v>WorldCat Record</v>
      </c>
      <c r="AX414" s="3" t="s">
        <v>4417</v>
      </c>
      <c r="AY414" s="3" t="s">
        <v>4418</v>
      </c>
      <c r="AZ414" s="3" t="s">
        <v>4419</v>
      </c>
      <c r="BA414" s="3" t="s">
        <v>4419</v>
      </c>
      <c r="BB414" s="3" t="s">
        <v>4420</v>
      </c>
      <c r="BC414" s="3" t="s">
        <v>77</v>
      </c>
      <c r="BD414" s="3" t="s">
        <v>78</v>
      </c>
      <c r="BE414" s="3" t="s">
        <v>4421</v>
      </c>
      <c r="BF414" s="3" t="s">
        <v>4420</v>
      </c>
      <c r="BG414" s="3" t="s">
        <v>4422</v>
      </c>
    </row>
    <row r="415" spans="1:59" ht="58" x14ac:dyDescent="0.35">
      <c r="A415" s="2" t="s">
        <v>59</v>
      </c>
      <c r="B415" s="2" t="s">
        <v>60</v>
      </c>
      <c r="C415" s="2" t="s">
        <v>4423</v>
      </c>
      <c r="D415" s="2" t="s">
        <v>4424</v>
      </c>
      <c r="E415" s="2" t="s">
        <v>4425</v>
      </c>
      <c r="G415" s="3" t="s">
        <v>65</v>
      </c>
      <c r="I415" s="3" t="s">
        <v>65</v>
      </c>
      <c r="J415" s="3" t="s">
        <v>65</v>
      </c>
      <c r="K415" s="3" t="s">
        <v>66</v>
      </c>
      <c r="L415" s="2" t="s">
        <v>4426</v>
      </c>
      <c r="M415" s="2" t="s">
        <v>4427</v>
      </c>
      <c r="N415" s="3" t="s">
        <v>164</v>
      </c>
      <c r="P415" s="3" t="s">
        <v>140</v>
      </c>
      <c r="Q415" s="2" t="s">
        <v>4428</v>
      </c>
      <c r="R415" s="3" t="s">
        <v>71</v>
      </c>
      <c r="S415" s="4">
        <v>0</v>
      </c>
      <c r="T415" s="4">
        <v>0</v>
      </c>
      <c r="W415" s="5" t="s">
        <v>72</v>
      </c>
      <c r="X415" s="5" t="s">
        <v>72</v>
      </c>
      <c r="Y415" s="4">
        <v>53</v>
      </c>
      <c r="Z415" s="4">
        <v>4</v>
      </c>
      <c r="AA415" s="4">
        <v>4</v>
      </c>
      <c r="AB415" s="4">
        <v>1</v>
      </c>
      <c r="AC415" s="4">
        <v>1</v>
      </c>
      <c r="AD415" s="4">
        <v>32</v>
      </c>
      <c r="AE415" s="4">
        <v>32</v>
      </c>
      <c r="AF415" s="4">
        <v>0</v>
      </c>
      <c r="AG415" s="4">
        <v>0</v>
      </c>
      <c r="AH415" s="4">
        <v>31</v>
      </c>
      <c r="AI415" s="4">
        <v>31</v>
      </c>
      <c r="AJ415" s="4">
        <v>2</v>
      </c>
      <c r="AK415" s="4">
        <v>2</v>
      </c>
      <c r="AL415" s="4">
        <v>26</v>
      </c>
      <c r="AM415" s="4">
        <v>26</v>
      </c>
      <c r="AN415" s="4">
        <v>0</v>
      </c>
      <c r="AO415" s="4">
        <v>0</v>
      </c>
      <c r="AP415" s="4">
        <v>2</v>
      </c>
      <c r="AQ415" s="4">
        <v>2</v>
      </c>
      <c r="AR415" s="3" t="s">
        <v>65</v>
      </c>
      <c r="AS415" s="3" t="s">
        <v>65</v>
      </c>
      <c r="AT415" s="3" t="s">
        <v>65</v>
      </c>
      <c r="AV415" s="6" t="str">
        <f>HYPERLINK("http://mcgill.on.worldcat.org/oclc/902635154","Catalog Record")</f>
        <v>Catalog Record</v>
      </c>
      <c r="AW415" s="6" t="str">
        <f>HYPERLINK("http://www.worldcat.org/oclc/902635154","WorldCat Record")</f>
        <v>WorldCat Record</v>
      </c>
      <c r="AX415" s="3" t="s">
        <v>4429</v>
      </c>
      <c r="AY415" s="3" t="s">
        <v>4430</v>
      </c>
      <c r="AZ415" s="3" t="s">
        <v>4431</v>
      </c>
      <c r="BA415" s="3" t="s">
        <v>4431</v>
      </c>
      <c r="BB415" s="3" t="s">
        <v>4432</v>
      </c>
      <c r="BC415" s="3" t="s">
        <v>77</v>
      </c>
      <c r="BD415" s="3" t="s">
        <v>78</v>
      </c>
      <c r="BE415" s="3" t="s">
        <v>4433</v>
      </c>
      <c r="BF415" s="3" t="s">
        <v>4432</v>
      </c>
      <c r="BG415" s="3" t="s">
        <v>4434</v>
      </c>
    </row>
    <row r="416" spans="1:59" ht="58" x14ac:dyDescent="0.35">
      <c r="A416" s="2" t="s">
        <v>59</v>
      </c>
      <c r="B416" s="2" t="s">
        <v>60</v>
      </c>
      <c r="C416" s="2" t="s">
        <v>4435</v>
      </c>
      <c r="D416" s="2" t="s">
        <v>4436</v>
      </c>
      <c r="E416" s="2" t="s">
        <v>4437</v>
      </c>
      <c r="G416" s="3" t="s">
        <v>65</v>
      </c>
      <c r="I416" s="3" t="s">
        <v>65</v>
      </c>
      <c r="J416" s="3" t="s">
        <v>65</v>
      </c>
      <c r="K416" s="3" t="s">
        <v>66</v>
      </c>
      <c r="L416" s="2" t="s">
        <v>4438</v>
      </c>
      <c r="M416" s="2" t="s">
        <v>4439</v>
      </c>
      <c r="N416" s="3" t="s">
        <v>4440</v>
      </c>
      <c r="P416" s="3" t="s">
        <v>140</v>
      </c>
      <c r="Q416" s="2" t="s">
        <v>4441</v>
      </c>
      <c r="R416" s="3" t="s">
        <v>71</v>
      </c>
      <c r="S416" s="4">
        <v>6</v>
      </c>
      <c r="T416" s="4">
        <v>6</v>
      </c>
      <c r="U416" s="5" t="s">
        <v>4442</v>
      </c>
      <c r="V416" s="5" t="s">
        <v>4442</v>
      </c>
      <c r="W416" s="5" t="s">
        <v>72</v>
      </c>
      <c r="X416" s="5" t="s">
        <v>72</v>
      </c>
      <c r="Y416" s="4">
        <v>57</v>
      </c>
      <c r="Z416" s="4">
        <v>3</v>
      </c>
      <c r="AA416" s="4">
        <v>3</v>
      </c>
      <c r="AB416" s="4">
        <v>1</v>
      </c>
      <c r="AC416" s="4">
        <v>1</v>
      </c>
      <c r="AD416" s="4">
        <v>22</v>
      </c>
      <c r="AE416" s="4">
        <v>23</v>
      </c>
      <c r="AF416" s="4">
        <v>0</v>
      </c>
      <c r="AG416" s="4">
        <v>0</v>
      </c>
      <c r="AH416" s="4">
        <v>22</v>
      </c>
      <c r="AI416" s="4">
        <v>23</v>
      </c>
      <c r="AJ416" s="4">
        <v>1</v>
      </c>
      <c r="AK416" s="4">
        <v>1</v>
      </c>
      <c r="AL416" s="4">
        <v>19</v>
      </c>
      <c r="AM416" s="4">
        <v>20</v>
      </c>
      <c r="AN416" s="4">
        <v>0</v>
      </c>
      <c r="AO416" s="4">
        <v>0</v>
      </c>
      <c r="AP416" s="4">
        <v>1</v>
      </c>
      <c r="AQ416" s="4">
        <v>1</v>
      </c>
      <c r="AR416" s="3" t="s">
        <v>65</v>
      </c>
      <c r="AS416" s="3" t="s">
        <v>65</v>
      </c>
      <c r="AT416" s="3" t="s">
        <v>209</v>
      </c>
      <c r="AU416" s="6" t="str">
        <f>HYPERLINK("http://catalog.hathitrust.org/Record/002035686","HathiTrust Record")</f>
        <v>HathiTrust Record</v>
      </c>
      <c r="AV416" s="6" t="str">
        <f>HYPERLINK("http://mcgill.on.worldcat.org/oclc/17772098","Catalog Record")</f>
        <v>Catalog Record</v>
      </c>
      <c r="AW416" s="6" t="str">
        <f>HYPERLINK("http://www.worldcat.org/oclc/17772098","WorldCat Record")</f>
        <v>WorldCat Record</v>
      </c>
      <c r="AX416" s="3" t="s">
        <v>4443</v>
      </c>
      <c r="AY416" s="3" t="s">
        <v>4444</v>
      </c>
      <c r="AZ416" s="3" t="s">
        <v>4445</v>
      </c>
      <c r="BA416" s="3" t="s">
        <v>4445</v>
      </c>
      <c r="BB416" s="3" t="s">
        <v>4446</v>
      </c>
      <c r="BC416" s="3" t="s">
        <v>77</v>
      </c>
      <c r="BD416" s="3" t="s">
        <v>78</v>
      </c>
      <c r="BF416" s="3" t="s">
        <v>4446</v>
      </c>
      <c r="BG416" s="3" t="s">
        <v>4447</v>
      </c>
    </row>
    <row r="417" spans="1:59" ht="58" x14ac:dyDescent="0.35">
      <c r="A417" s="2" t="s">
        <v>59</v>
      </c>
      <c r="B417" s="2" t="s">
        <v>60</v>
      </c>
      <c r="C417" s="2" t="s">
        <v>4448</v>
      </c>
      <c r="D417" s="2" t="s">
        <v>4449</v>
      </c>
      <c r="E417" s="2" t="s">
        <v>4450</v>
      </c>
      <c r="G417" s="3" t="s">
        <v>65</v>
      </c>
      <c r="I417" s="3" t="s">
        <v>65</v>
      </c>
      <c r="J417" s="3" t="s">
        <v>65</v>
      </c>
      <c r="K417" s="3" t="s">
        <v>66</v>
      </c>
      <c r="L417" s="2" t="s">
        <v>1730</v>
      </c>
      <c r="M417" s="2" t="s">
        <v>4451</v>
      </c>
      <c r="N417" s="3" t="s">
        <v>479</v>
      </c>
      <c r="P417" s="3" t="s">
        <v>140</v>
      </c>
      <c r="Q417" s="2" t="s">
        <v>4452</v>
      </c>
      <c r="R417" s="3" t="s">
        <v>71</v>
      </c>
      <c r="S417" s="4">
        <v>1</v>
      </c>
      <c r="T417" s="4">
        <v>1</v>
      </c>
      <c r="U417" s="5" t="s">
        <v>4453</v>
      </c>
      <c r="V417" s="5" t="s">
        <v>4453</v>
      </c>
      <c r="W417" s="5" t="s">
        <v>72</v>
      </c>
      <c r="X417" s="5" t="s">
        <v>72</v>
      </c>
      <c r="Y417" s="4">
        <v>88</v>
      </c>
      <c r="Z417" s="4">
        <v>8</v>
      </c>
      <c r="AA417" s="4">
        <v>8</v>
      </c>
      <c r="AB417" s="4">
        <v>1</v>
      </c>
      <c r="AC417" s="4">
        <v>1</v>
      </c>
      <c r="AD417" s="4">
        <v>47</v>
      </c>
      <c r="AE417" s="4">
        <v>47</v>
      </c>
      <c r="AF417" s="4">
        <v>0</v>
      </c>
      <c r="AG417" s="4">
        <v>0</v>
      </c>
      <c r="AH417" s="4">
        <v>44</v>
      </c>
      <c r="AI417" s="4">
        <v>44</v>
      </c>
      <c r="AJ417" s="4">
        <v>4</v>
      </c>
      <c r="AK417" s="4">
        <v>4</v>
      </c>
      <c r="AL417" s="4">
        <v>34</v>
      </c>
      <c r="AM417" s="4">
        <v>34</v>
      </c>
      <c r="AN417" s="4">
        <v>0</v>
      </c>
      <c r="AO417" s="4">
        <v>0</v>
      </c>
      <c r="AP417" s="4">
        <v>5</v>
      </c>
      <c r="AQ417" s="4">
        <v>5</v>
      </c>
      <c r="AR417" s="3" t="s">
        <v>65</v>
      </c>
      <c r="AS417" s="3" t="s">
        <v>65</v>
      </c>
      <c r="AT417" s="3" t="s">
        <v>209</v>
      </c>
      <c r="AU417" s="6" t="str">
        <f>HYPERLINK("http://catalog.hathitrust.org/Record/005668439","HathiTrust Record")</f>
        <v>HathiTrust Record</v>
      </c>
      <c r="AV417" s="6" t="str">
        <f>HYPERLINK("http://mcgill.on.worldcat.org/oclc/191923278","Catalog Record")</f>
        <v>Catalog Record</v>
      </c>
      <c r="AW417" s="6" t="str">
        <f>HYPERLINK("http://www.worldcat.org/oclc/191923278","WorldCat Record")</f>
        <v>WorldCat Record</v>
      </c>
      <c r="AX417" s="3" t="s">
        <v>4454</v>
      </c>
      <c r="AY417" s="3" t="s">
        <v>4455</v>
      </c>
      <c r="AZ417" s="3" t="s">
        <v>4456</v>
      </c>
      <c r="BA417" s="3" t="s">
        <v>4456</v>
      </c>
      <c r="BB417" s="3" t="s">
        <v>4457</v>
      </c>
      <c r="BC417" s="3" t="s">
        <v>77</v>
      </c>
      <c r="BD417" s="3" t="s">
        <v>78</v>
      </c>
      <c r="BE417" s="3" t="s">
        <v>4458</v>
      </c>
      <c r="BF417" s="3" t="s">
        <v>4457</v>
      </c>
      <c r="BG417" s="3" t="s">
        <v>4459</v>
      </c>
    </row>
    <row r="418" spans="1:59" ht="58" x14ac:dyDescent="0.35">
      <c r="A418" s="2" t="s">
        <v>59</v>
      </c>
      <c r="B418" s="2" t="s">
        <v>60</v>
      </c>
      <c r="C418" s="2" t="s">
        <v>4460</v>
      </c>
      <c r="D418" s="2" t="s">
        <v>4461</v>
      </c>
      <c r="E418" s="2" t="s">
        <v>4462</v>
      </c>
      <c r="G418" s="3" t="s">
        <v>65</v>
      </c>
      <c r="I418" s="3" t="s">
        <v>65</v>
      </c>
      <c r="J418" s="3" t="s">
        <v>65</v>
      </c>
      <c r="K418" s="3" t="s">
        <v>66</v>
      </c>
      <c r="L418" s="2" t="s">
        <v>4463</v>
      </c>
      <c r="M418" s="2" t="s">
        <v>2316</v>
      </c>
      <c r="N418" s="3" t="s">
        <v>68</v>
      </c>
      <c r="P418" s="3" t="s">
        <v>140</v>
      </c>
      <c r="Q418" s="2" t="s">
        <v>4464</v>
      </c>
      <c r="R418" s="3" t="s">
        <v>71</v>
      </c>
      <c r="S418" s="4">
        <v>0</v>
      </c>
      <c r="T418" s="4">
        <v>0</v>
      </c>
      <c r="W418" s="5" t="s">
        <v>72</v>
      </c>
      <c r="X418" s="5" t="s">
        <v>72</v>
      </c>
      <c r="Y418" s="4">
        <v>39</v>
      </c>
      <c r="Z418" s="4">
        <v>1</v>
      </c>
      <c r="AA418" s="4">
        <v>1</v>
      </c>
      <c r="AB418" s="4">
        <v>1</v>
      </c>
      <c r="AC418" s="4">
        <v>1</v>
      </c>
      <c r="AD418" s="4">
        <v>26</v>
      </c>
      <c r="AE418" s="4">
        <v>26</v>
      </c>
      <c r="AF418" s="4">
        <v>0</v>
      </c>
      <c r="AG418" s="4">
        <v>0</v>
      </c>
      <c r="AH418" s="4">
        <v>25</v>
      </c>
      <c r="AI418" s="4">
        <v>25</v>
      </c>
      <c r="AJ418" s="4">
        <v>0</v>
      </c>
      <c r="AK418" s="4">
        <v>0</v>
      </c>
      <c r="AL418" s="4">
        <v>22</v>
      </c>
      <c r="AM418" s="4">
        <v>22</v>
      </c>
      <c r="AN418" s="4">
        <v>0</v>
      </c>
      <c r="AO418" s="4">
        <v>0</v>
      </c>
      <c r="AP418" s="4">
        <v>0</v>
      </c>
      <c r="AQ418" s="4">
        <v>0</v>
      </c>
      <c r="AR418" s="3" t="s">
        <v>65</v>
      </c>
      <c r="AS418" s="3" t="s">
        <v>65</v>
      </c>
      <c r="AT418" s="3" t="s">
        <v>65</v>
      </c>
      <c r="AV418" s="6" t="str">
        <f>HYPERLINK("http://mcgill.on.worldcat.org/oclc/966237802","Catalog Record")</f>
        <v>Catalog Record</v>
      </c>
      <c r="AW418" s="6" t="str">
        <f>HYPERLINK("http://www.worldcat.org/oclc/966237802","WorldCat Record")</f>
        <v>WorldCat Record</v>
      </c>
      <c r="AX418" s="3" t="s">
        <v>4465</v>
      </c>
      <c r="AY418" s="3" t="s">
        <v>4466</v>
      </c>
      <c r="AZ418" s="3" t="s">
        <v>4467</v>
      </c>
      <c r="BA418" s="3" t="s">
        <v>4467</v>
      </c>
      <c r="BB418" s="3" t="s">
        <v>4468</v>
      </c>
      <c r="BC418" s="3" t="s">
        <v>77</v>
      </c>
      <c r="BD418" s="3" t="s">
        <v>78</v>
      </c>
      <c r="BE418" s="3" t="s">
        <v>4469</v>
      </c>
      <c r="BF418" s="3" t="s">
        <v>4468</v>
      </c>
      <c r="BG418" s="3" t="s">
        <v>4470</v>
      </c>
    </row>
    <row r="419" spans="1:59" ht="58" x14ac:dyDescent="0.35">
      <c r="A419" s="2" t="s">
        <v>59</v>
      </c>
      <c r="B419" s="2" t="s">
        <v>60</v>
      </c>
      <c r="C419" s="2" t="s">
        <v>4471</v>
      </c>
      <c r="D419" s="2" t="s">
        <v>4472</v>
      </c>
      <c r="E419" s="2" t="s">
        <v>4473</v>
      </c>
      <c r="G419" s="3" t="s">
        <v>65</v>
      </c>
      <c r="I419" s="3" t="s">
        <v>65</v>
      </c>
      <c r="J419" s="3" t="s">
        <v>65</v>
      </c>
      <c r="K419" s="3" t="s">
        <v>66</v>
      </c>
      <c r="L419" s="2" t="s">
        <v>4474</v>
      </c>
      <c r="M419" s="2" t="s">
        <v>4475</v>
      </c>
      <c r="N419" s="3" t="s">
        <v>2750</v>
      </c>
      <c r="P419" s="3" t="s">
        <v>140</v>
      </c>
      <c r="Q419" s="2" t="s">
        <v>4476</v>
      </c>
      <c r="R419" s="3" t="s">
        <v>71</v>
      </c>
      <c r="S419" s="4">
        <v>1</v>
      </c>
      <c r="T419" s="4">
        <v>1</v>
      </c>
      <c r="U419" s="5" t="s">
        <v>4477</v>
      </c>
      <c r="V419" s="5" t="s">
        <v>4477</v>
      </c>
      <c r="W419" s="5" t="s">
        <v>72</v>
      </c>
      <c r="X419" s="5" t="s">
        <v>72</v>
      </c>
      <c r="Y419" s="4">
        <v>11</v>
      </c>
      <c r="Z419" s="4">
        <v>1</v>
      </c>
      <c r="AA419" s="4">
        <v>1</v>
      </c>
      <c r="AB419" s="4">
        <v>1</v>
      </c>
      <c r="AC419" s="4">
        <v>1</v>
      </c>
      <c r="AD419" s="4">
        <v>9</v>
      </c>
      <c r="AE419" s="4">
        <v>9</v>
      </c>
      <c r="AF419" s="4">
        <v>0</v>
      </c>
      <c r="AG419" s="4">
        <v>0</v>
      </c>
      <c r="AH419" s="4">
        <v>8</v>
      </c>
      <c r="AI419" s="4">
        <v>8</v>
      </c>
      <c r="AJ419" s="4">
        <v>0</v>
      </c>
      <c r="AK419" s="4">
        <v>0</v>
      </c>
      <c r="AL419" s="4">
        <v>8</v>
      </c>
      <c r="AM419" s="4">
        <v>8</v>
      </c>
      <c r="AN419" s="4">
        <v>0</v>
      </c>
      <c r="AO419" s="4">
        <v>0</v>
      </c>
      <c r="AP419" s="4">
        <v>0</v>
      </c>
      <c r="AQ419" s="4">
        <v>0</v>
      </c>
      <c r="AR419" s="3" t="s">
        <v>65</v>
      </c>
      <c r="AS419" s="3" t="s">
        <v>65</v>
      </c>
      <c r="AT419" s="3" t="s">
        <v>65</v>
      </c>
      <c r="AV419" s="6" t="str">
        <f>HYPERLINK("http://mcgill.on.worldcat.org/oclc/3769578","Catalog Record")</f>
        <v>Catalog Record</v>
      </c>
      <c r="AW419" s="6" t="str">
        <f>HYPERLINK("http://www.worldcat.org/oclc/3769578","WorldCat Record")</f>
        <v>WorldCat Record</v>
      </c>
      <c r="AX419" s="3" t="s">
        <v>4478</v>
      </c>
      <c r="AY419" s="3" t="s">
        <v>4479</v>
      </c>
      <c r="AZ419" s="3" t="s">
        <v>4480</v>
      </c>
      <c r="BA419" s="3" t="s">
        <v>4480</v>
      </c>
      <c r="BB419" s="3" t="s">
        <v>4481</v>
      </c>
      <c r="BC419" s="3" t="s">
        <v>77</v>
      </c>
      <c r="BD419" s="3" t="s">
        <v>78</v>
      </c>
      <c r="BF419" s="3" t="s">
        <v>4481</v>
      </c>
      <c r="BG419" s="3" t="s">
        <v>4482</v>
      </c>
    </row>
    <row r="420" spans="1:59" ht="58" x14ac:dyDescent="0.35">
      <c r="A420" s="2" t="s">
        <v>59</v>
      </c>
      <c r="B420" s="2" t="s">
        <v>60</v>
      </c>
      <c r="C420" s="2" t="s">
        <v>4483</v>
      </c>
      <c r="D420" s="2" t="s">
        <v>4484</v>
      </c>
      <c r="E420" s="2" t="s">
        <v>4485</v>
      </c>
      <c r="G420" s="3" t="s">
        <v>65</v>
      </c>
      <c r="I420" s="3" t="s">
        <v>65</v>
      </c>
      <c r="J420" s="3" t="s">
        <v>65</v>
      </c>
      <c r="K420" s="3" t="s">
        <v>66</v>
      </c>
      <c r="L420" s="2" t="s">
        <v>4486</v>
      </c>
      <c r="M420" s="2" t="s">
        <v>4487</v>
      </c>
      <c r="N420" s="3" t="s">
        <v>906</v>
      </c>
      <c r="P420" s="3" t="s">
        <v>140</v>
      </c>
      <c r="Q420" s="2" t="s">
        <v>4488</v>
      </c>
      <c r="R420" s="3" t="s">
        <v>71</v>
      </c>
      <c r="S420" s="4">
        <v>2</v>
      </c>
      <c r="T420" s="4">
        <v>2</v>
      </c>
      <c r="U420" s="5" t="s">
        <v>4442</v>
      </c>
      <c r="V420" s="5" t="s">
        <v>4442</v>
      </c>
      <c r="W420" s="5" t="s">
        <v>72</v>
      </c>
      <c r="X420" s="5" t="s">
        <v>72</v>
      </c>
      <c r="Y420" s="4">
        <v>61</v>
      </c>
      <c r="Z420" s="4">
        <v>4</v>
      </c>
      <c r="AA420" s="4">
        <v>4</v>
      </c>
      <c r="AB420" s="4">
        <v>1</v>
      </c>
      <c r="AC420" s="4">
        <v>1</v>
      </c>
      <c r="AD420" s="4">
        <v>33</v>
      </c>
      <c r="AE420" s="4">
        <v>33</v>
      </c>
      <c r="AF420" s="4">
        <v>0</v>
      </c>
      <c r="AG420" s="4">
        <v>0</v>
      </c>
      <c r="AH420" s="4">
        <v>31</v>
      </c>
      <c r="AI420" s="4">
        <v>31</v>
      </c>
      <c r="AJ420" s="4">
        <v>2</v>
      </c>
      <c r="AK420" s="4">
        <v>2</v>
      </c>
      <c r="AL420" s="4">
        <v>26</v>
      </c>
      <c r="AM420" s="4">
        <v>26</v>
      </c>
      <c r="AN420" s="4">
        <v>0</v>
      </c>
      <c r="AO420" s="4">
        <v>0</v>
      </c>
      <c r="AP420" s="4">
        <v>2</v>
      </c>
      <c r="AQ420" s="4">
        <v>2</v>
      </c>
      <c r="AR420" s="3" t="s">
        <v>65</v>
      </c>
      <c r="AS420" s="3" t="s">
        <v>65</v>
      </c>
      <c r="AT420" s="3" t="s">
        <v>65</v>
      </c>
      <c r="AV420" s="6" t="str">
        <f>HYPERLINK("http://mcgill.on.worldcat.org/oclc/5942761","Catalog Record")</f>
        <v>Catalog Record</v>
      </c>
      <c r="AW420" s="6" t="str">
        <f>HYPERLINK("http://www.worldcat.org/oclc/5942761","WorldCat Record")</f>
        <v>WorldCat Record</v>
      </c>
      <c r="AX420" s="3" t="s">
        <v>4489</v>
      </c>
      <c r="AY420" s="3" t="s">
        <v>4490</v>
      </c>
      <c r="AZ420" s="3" t="s">
        <v>4491</v>
      </c>
      <c r="BA420" s="3" t="s">
        <v>4491</v>
      </c>
      <c r="BB420" s="3" t="s">
        <v>4492</v>
      </c>
      <c r="BC420" s="3" t="s">
        <v>77</v>
      </c>
      <c r="BD420" s="3" t="s">
        <v>78</v>
      </c>
      <c r="BF420" s="3" t="s">
        <v>4492</v>
      </c>
      <c r="BG420" s="3" t="s">
        <v>4493</v>
      </c>
    </row>
    <row r="421" spans="1:59" ht="58" x14ac:dyDescent="0.35">
      <c r="A421" s="2" t="s">
        <v>59</v>
      </c>
      <c r="B421" s="2" t="s">
        <v>60</v>
      </c>
      <c r="C421" s="2" t="s">
        <v>4494</v>
      </c>
      <c r="D421" s="2" t="s">
        <v>4495</v>
      </c>
      <c r="E421" s="2" t="s">
        <v>4496</v>
      </c>
      <c r="G421" s="3" t="s">
        <v>65</v>
      </c>
      <c r="I421" s="3" t="s">
        <v>65</v>
      </c>
      <c r="J421" s="3" t="s">
        <v>65</v>
      </c>
      <c r="K421" s="3" t="s">
        <v>66</v>
      </c>
      <c r="L421" s="2" t="s">
        <v>4497</v>
      </c>
      <c r="M421" s="2" t="s">
        <v>4498</v>
      </c>
      <c r="N421" s="3" t="s">
        <v>164</v>
      </c>
      <c r="P421" s="3" t="s">
        <v>69</v>
      </c>
      <c r="R421" s="3" t="s">
        <v>71</v>
      </c>
      <c r="S421" s="4">
        <v>3</v>
      </c>
      <c r="T421" s="4">
        <v>3</v>
      </c>
      <c r="U421" s="5" t="s">
        <v>4442</v>
      </c>
      <c r="V421" s="5" t="s">
        <v>4442</v>
      </c>
      <c r="W421" s="5" t="s">
        <v>72</v>
      </c>
      <c r="X421" s="5" t="s">
        <v>72</v>
      </c>
      <c r="Y421" s="4">
        <v>82</v>
      </c>
      <c r="Z421" s="4">
        <v>11</v>
      </c>
      <c r="AA421" s="4">
        <v>30</v>
      </c>
      <c r="AB421" s="4">
        <v>1</v>
      </c>
      <c r="AC421" s="4">
        <v>4</v>
      </c>
      <c r="AD421" s="4">
        <v>44</v>
      </c>
      <c r="AE421" s="4">
        <v>56</v>
      </c>
      <c r="AF421" s="4">
        <v>0</v>
      </c>
      <c r="AG421" s="4">
        <v>0</v>
      </c>
      <c r="AH421" s="4">
        <v>42</v>
      </c>
      <c r="AI421" s="4">
        <v>51</v>
      </c>
      <c r="AJ421" s="4">
        <v>8</v>
      </c>
      <c r="AK421" s="4">
        <v>9</v>
      </c>
      <c r="AL421" s="4">
        <v>29</v>
      </c>
      <c r="AM421" s="4">
        <v>34</v>
      </c>
      <c r="AN421" s="4">
        <v>0</v>
      </c>
      <c r="AO421" s="4">
        <v>0</v>
      </c>
      <c r="AP421" s="4">
        <v>8</v>
      </c>
      <c r="AQ421" s="4">
        <v>12</v>
      </c>
      <c r="AR421" s="3" t="s">
        <v>65</v>
      </c>
      <c r="AS421" s="3" t="s">
        <v>65</v>
      </c>
      <c r="AT421" s="3" t="s">
        <v>65</v>
      </c>
      <c r="AV421" s="6" t="str">
        <f>HYPERLINK("http://mcgill.on.worldcat.org/oclc/858610741","Catalog Record")</f>
        <v>Catalog Record</v>
      </c>
      <c r="AW421" s="6" t="str">
        <f>HYPERLINK("http://www.worldcat.org/oclc/858610741","WorldCat Record")</f>
        <v>WorldCat Record</v>
      </c>
      <c r="AX421" s="3" t="s">
        <v>4499</v>
      </c>
      <c r="AY421" s="3" t="s">
        <v>4500</v>
      </c>
      <c r="AZ421" s="3" t="s">
        <v>4501</v>
      </c>
      <c r="BA421" s="3" t="s">
        <v>4501</v>
      </c>
      <c r="BB421" s="3" t="s">
        <v>4502</v>
      </c>
      <c r="BC421" s="3" t="s">
        <v>77</v>
      </c>
      <c r="BD421" s="3" t="s">
        <v>78</v>
      </c>
      <c r="BE421" s="3" t="s">
        <v>4503</v>
      </c>
      <c r="BF421" s="3" t="s">
        <v>4502</v>
      </c>
      <c r="BG421" s="3" t="s">
        <v>4504</v>
      </c>
    </row>
    <row r="422" spans="1:59" ht="58" x14ac:dyDescent="0.35">
      <c r="A422" s="2" t="s">
        <v>59</v>
      </c>
      <c r="B422" s="2" t="s">
        <v>60</v>
      </c>
      <c r="C422" s="2" t="s">
        <v>4505</v>
      </c>
      <c r="D422" s="2" t="s">
        <v>4506</v>
      </c>
      <c r="E422" s="2" t="s">
        <v>4507</v>
      </c>
      <c r="G422" s="3" t="s">
        <v>65</v>
      </c>
      <c r="I422" s="3" t="s">
        <v>65</v>
      </c>
      <c r="J422" s="3" t="s">
        <v>65</v>
      </c>
      <c r="K422" s="3" t="s">
        <v>66</v>
      </c>
      <c r="L422" s="2" t="s">
        <v>4508</v>
      </c>
      <c r="M422" s="2" t="s">
        <v>4509</v>
      </c>
      <c r="N422" s="3" t="s">
        <v>139</v>
      </c>
      <c r="P422" s="3" t="s">
        <v>140</v>
      </c>
      <c r="Q422" s="2" t="s">
        <v>4510</v>
      </c>
      <c r="R422" s="3" t="s">
        <v>71</v>
      </c>
      <c r="S422" s="4">
        <v>1</v>
      </c>
      <c r="T422" s="4">
        <v>1</v>
      </c>
      <c r="U422" s="5" t="s">
        <v>4511</v>
      </c>
      <c r="V422" s="5" t="s">
        <v>4511</v>
      </c>
      <c r="W422" s="5" t="s">
        <v>72</v>
      </c>
      <c r="X422" s="5" t="s">
        <v>72</v>
      </c>
      <c r="Y422" s="4">
        <v>44</v>
      </c>
      <c r="Z422" s="4">
        <v>5</v>
      </c>
      <c r="AA422" s="4">
        <v>5</v>
      </c>
      <c r="AB422" s="4">
        <v>1</v>
      </c>
      <c r="AC422" s="4">
        <v>1</v>
      </c>
      <c r="AD422" s="4">
        <v>31</v>
      </c>
      <c r="AE422" s="4">
        <v>31</v>
      </c>
      <c r="AF422" s="4">
        <v>0</v>
      </c>
      <c r="AG422" s="4">
        <v>0</v>
      </c>
      <c r="AH422" s="4">
        <v>30</v>
      </c>
      <c r="AI422" s="4">
        <v>30</v>
      </c>
      <c r="AJ422" s="4">
        <v>2</v>
      </c>
      <c r="AK422" s="4">
        <v>2</v>
      </c>
      <c r="AL422" s="4">
        <v>24</v>
      </c>
      <c r="AM422" s="4">
        <v>24</v>
      </c>
      <c r="AN422" s="4">
        <v>0</v>
      </c>
      <c r="AO422" s="4">
        <v>0</v>
      </c>
      <c r="AP422" s="4">
        <v>2</v>
      </c>
      <c r="AQ422" s="4">
        <v>2</v>
      </c>
      <c r="AR422" s="3" t="s">
        <v>65</v>
      </c>
      <c r="AS422" s="3" t="s">
        <v>65</v>
      </c>
      <c r="AT422" s="3" t="s">
        <v>65</v>
      </c>
      <c r="AV422" s="6" t="str">
        <f>HYPERLINK("http://mcgill.on.worldcat.org/oclc/813005494","Catalog Record")</f>
        <v>Catalog Record</v>
      </c>
      <c r="AW422" s="6" t="str">
        <f>HYPERLINK("http://www.worldcat.org/oclc/813005494","WorldCat Record")</f>
        <v>WorldCat Record</v>
      </c>
      <c r="AX422" s="3" t="s">
        <v>4512</v>
      </c>
      <c r="AY422" s="3" t="s">
        <v>4513</v>
      </c>
      <c r="AZ422" s="3" t="s">
        <v>4514</v>
      </c>
      <c r="BA422" s="3" t="s">
        <v>4514</v>
      </c>
      <c r="BB422" s="3" t="s">
        <v>4515</v>
      </c>
      <c r="BC422" s="3" t="s">
        <v>77</v>
      </c>
      <c r="BD422" s="3" t="s">
        <v>78</v>
      </c>
      <c r="BE422" s="3" t="s">
        <v>4516</v>
      </c>
      <c r="BF422" s="3" t="s">
        <v>4515</v>
      </c>
      <c r="BG422" s="3" t="s">
        <v>4517</v>
      </c>
    </row>
    <row r="423" spans="1:59" ht="58" x14ac:dyDescent="0.35">
      <c r="A423" s="2" t="s">
        <v>59</v>
      </c>
      <c r="B423" s="2" t="s">
        <v>60</v>
      </c>
      <c r="C423" s="2" t="s">
        <v>4518</v>
      </c>
      <c r="D423" s="2" t="s">
        <v>4519</v>
      </c>
      <c r="E423" s="2" t="s">
        <v>4520</v>
      </c>
      <c r="G423" s="3" t="s">
        <v>65</v>
      </c>
      <c r="I423" s="3" t="s">
        <v>65</v>
      </c>
      <c r="J423" s="3" t="s">
        <v>65</v>
      </c>
      <c r="K423" s="3" t="s">
        <v>66</v>
      </c>
      <c r="L423" s="2" t="s">
        <v>4521</v>
      </c>
      <c r="M423" s="2" t="s">
        <v>4522</v>
      </c>
      <c r="N423" s="3" t="s">
        <v>188</v>
      </c>
      <c r="P423" s="3" t="s">
        <v>69</v>
      </c>
      <c r="Q423" s="2" t="s">
        <v>1197</v>
      </c>
      <c r="R423" s="3" t="s">
        <v>71</v>
      </c>
      <c r="S423" s="4">
        <v>0</v>
      </c>
      <c r="T423" s="4">
        <v>0</v>
      </c>
      <c r="W423" s="5" t="s">
        <v>72</v>
      </c>
      <c r="X423" s="5" t="s">
        <v>72</v>
      </c>
      <c r="Y423" s="4">
        <v>118</v>
      </c>
      <c r="Z423" s="4">
        <v>10</v>
      </c>
      <c r="AA423" s="4">
        <v>95</v>
      </c>
      <c r="AB423" s="4">
        <v>3</v>
      </c>
      <c r="AC423" s="4">
        <v>19</v>
      </c>
      <c r="AD423" s="4">
        <v>66</v>
      </c>
      <c r="AE423" s="4">
        <v>141</v>
      </c>
      <c r="AF423" s="4">
        <v>1</v>
      </c>
      <c r="AG423" s="4">
        <v>8</v>
      </c>
      <c r="AH423" s="4">
        <v>60</v>
      </c>
      <c r="AI423" s="4">
        <v>99</v>
      </c>
      <c r="AJ423" s="4">
        <v>7</v>
      </c>
      <c r="AK423" s="4">
        <v>24</v>
      </c>
      <c r="AL423" s="4">
        <v>43</v>
      </c>
      <c r="AM423" s="4">
        <v>55</v>
      </c>
      <c r="AN423" s="4">
        <v>0</v>
      </c>
      <c r="AO423" s="4">
        <v>0</v>
      </c>
      <c r="AP423" s="4">
        <v>6</v>
      </c>
      <c r="AQ423" s="4">
        <v>48</v>
      </c>
      <c r="AR423" s="3" t="s">
        <v>209</v>
      </c>
      <c r="AS423" s="3" t="s">
        <v>65</v>
      </c>
      <c r="AT423" s="3" t="s">
        <v>65</v>
      </c>
      <c r="AV423" s="6" t="str">
        <f>HYPERLINK("http://mcgill.on.worldcat.org/oclc/970615672","Catalog Record")</f>
        <v>Catalog Record</v>
      </c>
      <c r="AW423" s="6" t="str">
        <f>HYPERLINK("http://www.worldcat.org/oclc/970615672","WorldCat Record")</f>
        <v>WorldCat Record</v>
      </c>
      <c r="AX423" s="3" t="s">
        <v>4523</v>
      </c>
      <c r="AY423" s="3" t="s">
        <v>4524</v>
      </c>
      <c r="AZ423" s="3" t="s">
        <v>4525</v>
      </c>
      <c r="BA423" s="3" t="s">
        <v>4525</v>
      </c>
      <c r="BB423" s="3" t="s">
        <v>4526</v>
      </c>
      <c r="BC423" s="3" t="s">
        <v>77</v>
      </c>
      <c r="BD423" s="3" t="s">
        <v>78</v>
      </c>
      <c r="BE423" s="3" t="s">
        <v>4527</v>
      </c>
      <c r="BF423" s="3" t="s">
        <v>4526</v>
      </c>
      <c r="BG423" s="3" t="s">
        <v>4528</v>
      </c>
    </row>
    <row r="424" spans="1:59" ht="58" x14ac:dyDescent="0.35">
      <c r="A424" s="2" t="s">
        <v>59</v>
      </c>
      <c r="B424" s="2" t="s">
        <v>60</v>
      </c>
      <c r="C424" s="2" t="s">
        <v>4529</v>
      </c>
      <c r="D424" s="2" t="s">
        <v>4530</v>
      </c>
      <c r="E424" s="2" t="s">
        <v>4531</v>
      </c>
      <c r="G424" s="3" t="s">
        <v>65</v>
      </c>
      <c r="I424" s="3" t="s">
        <v>65</v>
      </c>
      <c r="J424" s="3" t="s">
        <v>65</v>
      </c>
      <c r="K424" s="3" t="s">
        <v>66</v>
      </c>
      <c r="L424" s="2" t="s">
        <v>4532</v>
      </c>
      <c r="M424" s="2" t="s">
        <v>4533</v>
      </c>
      <c r="N424" s="3" t="s">
        <v>152</v>
      </c>
      <c r="P424" s="3" t="s">
        <v>140</v>
      </c>
      <c r="Q424" s="2" t="s">
        <v>4534</v>
      </c>
      <c r="R424" s="3" t="s">
        <v>71</v>
      </c>
      <c r="S424" s="4">
        <v>0</v>
      </c>
      <c r="T424" s="4">
        <v>0</v>
      </c>
      <c r="W424" s="5" t="s">
        <v>72</v>
      </c>
      <c r="X424" s="5" t="s">
        <v>72</v>
      </c>
      <c r="Y424" s="4">
        <v>7</v>
      </c>
      <c r="Z424" s="4">
        <v>1</v>
      </c>
      <c r="AA424" s="4">
        <v>1</v>
      </c>
      <c r="AB424" s="4">
        <v>1</v>
      </c>
      <c r="AC424" s="4">
        <v>1</v>
      </c>
      <c r="AD424" s="4">
        <v>1</v>
      </c>
      <c r="AE424" s="4">
        <v>1</v>
      </c>
      <c r="AF424" s="4">
        <v>0</v>
      </c>
      <c r="AG424" s="4">
        <v>0</v>
      </c>
      <c r="AH424" s="4">
        <v>1</v>
      </c>
      <c r="AI424" s="4">
        <v>1</v>
      </c>
      <c r="AJ424" s="4">
        <v>0</v>
      </c>
      <c r="AK424" s="4">
        <v>0</v>
      </c>
      <c r="AL424" s="4">
        <v>1</v>
      </c>
      <c r="AM424" s="4">
        <v>1</v>
      </c>
      <c r="AN424" s="4">
        <v>0</v>
      </c>
      <c r="AO424" s="4">
        <v>0</v>
      </c>
      <c r="AP424" s="4">
        <v>0</v>
      </c>
      <c r="AQ424" s="4">
        <v>0</v>
      </c>
      <c r="AR424" s="3" t="s">
        <v>65</v>
      </c>
      <c r="AS424" s="3" t="s">
        <v>65</v>
      </c>
      <c r="AT424" s="3" t="s">
        <v>65</v>
      </c>
      <c r="AV424" s="6" t="str">
        <f>HYPERLINK("http://mcgill.on.worldcat.org/oclc/829690601","Catalog Record")</f>
        <v>Catalog Record</v>
      </c>
      <c r="AW424" s="6" t="str">
        <f>HYPERLINK("http://www.worldcat.org/oclc/829690601","WorldCat Record")</f>
        <v>WorldCat Record</v>
      </c>
      <c r="AX424" s="3" t="s">
        <v>4535</v>
      </c>
      <c r="AY424" s="3" t="s">
        <v>4536</v>
      </c>
      <c r="AZ424" s="3" t="s">
        <v>4537</v>
      </c>
      <c r="BA424" s="3" t="s">
        <v>4537</v>
      </c>
      <c r="BB424" s="3" t="s">
        <v>4538</v>
      </c>
      <c r="BC424" s="3" t="s">
        <v>77</v>
      </c>
      <c r="BD424" s="3" t="s">
        <v>78</v>
      </c>
      <c r="BE424" s="3" t="s">
        <v>4539</v>
      </c>
      <c r="BF424" s="3" t="s">
        <v>4538</v>
      </c>
      <c r="BG424" s="3" t="s">
        <v>4540</v>
      </c>
    </row>
    <row r="425" spans="1:59" ht="58" x14ac:dyDescent="0.35">
      <c r="A425" s="2" t="s">
        <v>59</v>
      </c>
      <c r="B425" s="2" t="s">
        <v>60</v>
      </c>
      <c r="C425" s="2" t="s">
        <v>4541</v>
      </c>
      <c r="D425" s="2" t="s">
        <v>4542</v>
      </c>
      <c r="E425" s="2" t="s">
        <v>4543</v>
      </c>
      <c r="G425" s="3" t="s">
        <v>65</v>
      </c>
      <c r="I425" s="3" t="s">
        <v>65</v>
      </c>
      <c r="J425" s="3" t="s">
        <v>65</v>
      </c>
      <c r="K425" s="3" t="s">
        <v>66</v>
      </c>
      <c r="L425" s="2" t="s">
        <v>4544</v>
      </c>
      <c r="M425" s="2" t="s">
        <v>4545</v>
      </c>
      <c r="N425" s="3" t="s">
        <v>214</v>
      </c>
      <c r="P425" s="3" t="s">
        <v>140</v>
      </c>
      <c r="Q425" s="2" t="s">
        <v>4546</v>
      </c>
      <c r="R425" s="3" t="s">
        <v>71</v>
      </c>
      <c r="S425" s="4">
        <v>3</v>
      </c>
      <c r="T425" s="4">
        <v>3</v>
      </c>
      <c r="U425" s="5" t="s">
        <v>4547</v>
      </c>
      <c r="V425" s="5" t="s">
        <v>4547</v>
      </c>
      <c r="W425" s="5" t="s">
        <v>72</v>
      </c>
      <c r="X425" s="5" t="s">
        <v>72</v>
      </c>
      <c r="Y425" s="4">
        <v>86</v>
      </c>
      <c r="Z425" s="4">
        <v>5</v>
      </c>
      <c r="AA425" s="4">
        <v>5</v>
      </c>
      <c r="AB425" s="4">
        <v>1</v>
      </c>
      <c r="AC425" s="4">
        <v>1</v>
      </c>
      <c r="AD425" s="4">
        <v>48</v>
      </c>
      <c r="AE425" s="4">
        <v>48</v>
      </c>
      <c r="AF425" s="4">
        <v>0</v>
      </c>
      <c r="AG425" s="4">
        <v>0</v>
      </c>
      <c r="AH425" s="4">
        <v>46</v>
      </c>
      <c r="AI425" s="4">
        <v>46</v>
      </c>
      <c r="AJ425" s="4">
        <v>2</v>
      </c>
      <c r="AK425" s="4">
        <v>2</v>
      </c>
      <c r="AL425" s="4">
        <v>34</v>
      </c>
      <c r="AM425" s="4">
        <v>34</v>
      </c>
      <c r="AN425" s="4">
        <v>0</v>
      </c>
      <c r="AO425" s="4">
        <v>0</v>
      </c>
      <c r="AP425" s="4">
        <v>2</v>
      </c>
      <c r="AQ425" s="4">
        <v>2</v>
      </c>
      <c r="AR425" s="3" t="s">
        <v>65</v>
      </c>
      <c r="AS425" s="3" t="s">
        <v>65</v>
      </c>
      <c r="AT425" s="3" t="s">
        <v>209</v>
      </c>
      <c r="AU425" s="6" t="str">
        <f>HYPERLINK("http://catalog.hathitrust.org/Record/006711435","HathiTrust Record")</f>
        <v>HathiTrust Record</v>
      </c>
      <c r="AV425" s="6" t="str">
        <f>HYPERLINK("http://mcgill.on.worldcat.org/oclc/14271602","Catalog Record")</f>
        <v>Catalog Record</v>
      </c>
      <c r="AW425" s="6" t="str">
        <f>HYPERLINK("http://www.worldcat.org/oclc/14271602","WorldCat Record")</f>
        <v>WorldCat Record</v>
      </c>
      <c r="AX425" s="3" t="s">
        <v>4548</v>
      </c>
      <c r="AY425" s="3" t="s">
        <v>4549</v>
      </c>
      <c r="AZ425" s="3" t="s">
        <v>4550</v>
      </c>
      <c r="BA425" s="3" t="s">
        <v>4550</v>
      </c>
      <c r="BB425" s="3" t="s">
        <v>4551</v>
      </c>
      <c r="BC425" s="3" t="s">
        <v>77</v>
      </c>
      <c r="BD425" s="3" t="s">
        <v>78</v>
      </c>
      <c r="BF425" s="3" t="s">
        <v>4551</v>
      </c>
      <c r="BG425" s="3" t="s">
        <v>4552</v>
      </c>
    </row>
    <row r="426" spans="1:59" ht="58" x14ac:dyDescent="0.35">
      <c r="A426" s="2" t="s">
        <v>59</v>
      </c>
      <c r="B426" s="2" t="s">
        <v>60</v>
      </c>
      <c r="C426" s="2" t="s">
        <v>4553</v>
      </c>
      <c r="D426" s="2" t="s">
        <v>4554</v>
      </c>
      <c r="E426" s="2" t="s">
        <v>4555</v>
      </c>
      <c r="G426" s="3" t="s">
        <v>65</v>
      </c>
      <c r="I426" s="3" t="s">
        <v>65</v>
      </c>
      <c r="J426" s="3" t="s">
        <v>65</v>
      </c>
      <c r="K426" s="3" t="s">
        <v>66</v>
      </c>
      <c r="L426" s="2" t="s">
        <v>4556</v>
      </c>
      <c r="M426" s="2" t="s">
        <v>4557</v>
      </c>
      <c r="N426" s="3" t="s">
        <v>139</v>
      </c>
      <c r="P426" s="3" t="s">
        <v>140</v>
      </c>
      <c r="Q426" s="2" t="s">
        <v>4558</v>
      </c>
      <c r="R426" s="3" t="s">
        <v>71</v>
      </c>
      <c r="S426" s="4">
        <v>3</v>
      </c>
      <c r="T426" s="4">
        <v>3</v>
      </c>
      <c r="U426" s="5" t="s">
        <v>4559</v>
      </c>
      <c r="V426" s="5" t="s">
        <v>4559</v>
      </c>
      <c r="W426" s="5" t="s">
        <v>72</v>
      </c>
      <c r="X426" s="5" t="s">
        <v>72</v>
      </c>
      <c r="Y426" s="4">
        <v>42</v>
      </c>
      <c r="Z426" s="4">
        <v>3</v>
      </c>
      <c r="AA426" s="4">
        <v>3</v>
      </c>
      <c r="AB426" s="4">
        <v>1</v>
      </c>
      <c r="AC426" s="4">
        <v>1</v>
      </c>
      <c r="AD426" s="4">
        <v>25</v>
      </c>
      <c r="AE426" s="4">
        <v>25</v>
      </c>
      <c r="AF426" s="4">
        <v>0</v>
      </c>
      <c r="AG426" s="4">
        <v>0</v>
      </c>
      <c r="AH426" s="4">
        <v>24</v>
      </c>
      <c r="AI426" s="4">
        <v>24</v>
      </c>
      <c r="AJ426" s="4">
        <v>1</v>
      </c>
      <c r="AK426" s="4">
        <v>1</v>
      </c>
      <c r="AL426" s="4">
        <v>20</v>
      </c>
      <c r="AM426" s="4">
        <v>20</v>
      </c>
      <c r="AN426" s="4">
        <v>0</v>
      </c>
      <c r="AO426" s="4">
        <v>0</v>
      </c>
      <c r="AP426" s="4">
        <v>1</v>
      </c>
      <c r="AQ426" s="4">
        <v>1</v>
      </c>
      <c r="AR426" s="3" t="s">
        <v>65</v>
      </c>
      <c r="AS426" s="3" t="s">
        <v>65</v>
      </c>
      <c r="AT426" s="3" t="s">
        <v>65</v>
      </c>
      <c r="AV426" s="6" t="str">
        <f>HYPERLINK("http://mcgill.on.worldcat.org/oclc/813011434","Catalog Record")</f>
        <v>Catalog Record</v>
      </c>
      <c r="AW426" s="6" t="str">
        <f>HYPERLINK("http://www.worldcat.org/oclc/813011434","WorldCat Record")</f>
        <v>WorldCat Record</v>
      </c>
      <c r="AX426" s="3" t="s">
        <v>4560</v>
      </c>
      <c r="AY426" s="3" t="s">
        <v>4561</v>
      </c>
      <c r="AZ426" s="3" t="s">
        <v>4562</v>
      </c>
      <c r="BA426" s="3" t="s">
        <v>4562</v>
      </c>
      <c r="BB426" s="3" t="s">
        <v>4563</v>
      </c>
      <c r="BC426" s="3" t="s">
        <v>77</v>
      </c>
      <c r="BD426" s="3" t="s">
        <v>78</v>
      </c>
      <c r="BE426" s="3" t="s">
        <v>4564</v>
      </c>
      <c r="BF426" s="3" t="s">
        <v>4563</v>
      </c>
      <c r="BG426" s="3" t="s">
        <v>4565</v>
      </c>
    </row>
    <row r="427" spans="1:59" ht="58" x14ac:dyDescent="0.35">
      <c r="A427" s="2" t="s">
        <v>59</v>
      </c>
      <c r="B427" s="2" t="s">
        <v>60</v>
      </c>
      <c r="C427" s="2" t="s">
        <v>4566</v>
      </c>
      <c r="D427" s="2" t="s">
        <v>4567</v>
      </c>
      <c r="E427" s="2" t="s">
        <v>4568</v>
      </c>
      <c r="G427" s="3" t="s">
        <v>65</v>
      </c>
      <c r="I427" s="3" t="s">
        <v>65</v>
      </c>
      <c r="J427" s="3" t="s">
        <v>65</v>
      </c>
      <c r="K427" s="3" t="s">
        <v>66</v>
      </c>
      <c r="L427" s="2" t="s">
        <v>4569</v>
      </c>
      <c r="M427" s="2" t="s">
        <v>4570</v>
      </c>
      <c r="N427" s="3" t="s">
        <v>139</v>
      </c>
      <c r="P427" s="3" t="s">
        <v>140</v>
      </c>
      <c r="Q427" s="2" t="s">
        <v>4571</v>
      </c>
      <c r="R427" s="3" t="s">
        <v>71</v>
      </c>
      <c r="S427" s="4">
        <v>1</v>
      </c>
      <c r="T427" s="4">
        <v>1</v>
      </c>
      <c r="U427" s="5" t="s">
        <v>4572</v>
      </c>
      <c r="V427" s="5" t="s">
        <v>4572</v>
      </c>
      <c r="W427" s="5" t="s">
        <v>72</v>
      </c>
      <c r="X427" s="5" t="s">
        <v>72</v>
      </c>
      <c r="Y427" s="4">
        <v>23</v>
      </c>
      <c r="Z427" s="4">
        <v>1</v>
      </c>
      <c r="AA427" s="4">
        <v>3</v>
      </c>
      <c r="AB427" s="4">
        <v>1</v>
      </c>
      <c r="AC427" s="4">
        <v>1</v>
      </c>
      <c r="AD427" s="4">
        <v>11</v>
      </c>
      <c r="AE427" s="4">
        <v>18</v>
      </c>
      <c r="AF427" s="4">
        <v>0</v>
      </c>
      <c r="AG427" s="4">
        <v>0</v>
      </c>
      <c r="AH427" s="4">
        <v>10</v>
      </c>
      <c r="AI427" s="4">
        <v>17</v>
      </c>
      <c r="AJ427" s="4">
        <v>0</v>
      </c>
      <c r="AK427" s="4">
        <v>1</v>
      </c>
      <c r="AL427" s="4">
        <v>11</v>
      </c>
      <c r="AM427" s="4">
        <v>15</v>
      </c>
      <c r="AN427" s="4">
        <v>0</v>
      </c>
      <c r="AO427" s="4">
        <v>0</v>
      </c>
      <c r="AP427" s="4">
        <v>0</v>
      </c>
      <c r="AQ427" s="4">
        <v>1</v>
      </c>
      <c r="AR427" s="3" t="s">
        <v>65</v>
      </c>
      <c r="AS427" s="3" t="s">
        <v>65</v>
      </c>
      <c r="AT427" s="3" t="s">
        <v>65</v>
      </c>
      <c r="AV427" s="6" t="str">
        <f>HYPERLINK("http://mcgill.on.worldcat.org/oclc/829690571","Catalog Record")</f>
        <v>Catalog Record</v>
      </c>
      <c r="AW427" s="6" t="str">
        <f>HYPERLINK("http://www.worldcat.org/oclc/829690571","WorldCat Record")</f>
        <v>WorldCat Record</v>
      </c>
      <c r="AX427" s="3" t="s">
        <v>4573</v>
      </c>
      <c r="AY427" s="3" t="s">
        <v>4574</v>
      </c>
      <c r="AZ427" s="3" t="s">
        <v>4575</v>
      </c>
      <c r="BA427" s="3" t="s">
        <v>4575</v>
      </c>
      <c r="BB427" s="3" t="s">
        <v>4576</v>
      </c>
      <c r="BC427" s="3" t="s">
        <v>77</v>
      </c>
      <c r="BD427" s="3" t="s">
        <v>78</v>
      </c>
      <c r="BE427" s="3" t="s">
        <v>4577</v>
      </c>
      <c r="BF427" s="3" t="s">
        <v>4576</v>
      </c>
      <c r="BG427" s="3" t="s">
        <v>4578</v>
      </c>
    </row>
    <row r="428" spans="1:59" ht="58" x14ac:dyDescent="0.35">
      <c r="A428" s="2" t="s">
        <v>59</v>
      </c>
      <c r="B428" s="2" t="s">
        <v>60</v>
      </c>
      <c r="C428" s="2" t="s">
        <v>4579</v>
      </c>
      <c r="D428" s="2" t="s">
        <v>4580</v>
      </c>
      <c r="E428" s="2" t="s">
        <v>4581</v>
      </c>
      <c r="G428" s="3" t="s">
        <v>65</v>
      </c>
      <c r="I428" s="3" t="s">
        <v>65</v>
      </c>
      <c r="J428" s="3" t="s">
        <v>65</v>
      </c>
      <c r="K428" s="3" t="s">
        <v>66</v>
      </c>
      <c r="L428" s="2" t="s">
        <v>4582</v>
      </c>
      <c r="M428" s="2" t="s">
        <v>4583</v>
      </c>
      <c r="N428" s="3" t="s">
        <v>99</v>
      </c>
      <c r="P428" s="3" t="s">
        <v>69</v>
      </c>
      <c r="R428" s="3" t="s">
        <v>71</v>
      </c>
      <c r="S428" s="4">
        <v>7</v>
      </c>
      <c r="T428" s="4">
        <v>7</v>
      </c>
      <c r="U428" s="5" t="s">
        <v>4584</v>
      </c>
      <c r="V428" s="5" t="s">
        <v>4584</v>
      </c>
      <c r="W428" s="5" t="s">
        <v>72</v>
      </c>
      <c r="X428" s="5" t="s">
        <v>72</v>
      </c>
      <c r="Y428" s="4">
        <v>185</v>
      </c>
      <c r="Z428" s="4">
        <v>19</v>
      </c>
      <c r="AA428" s="4">
        <v>121</v>
      </c>
      <c r="AB428" s="4">
        <v>1</v>
      </c>
      <c r="AC428" s="4">
        <v>23</v>
      </c>
      <c r="AD428" s="4">
        <v>93</v>
      </c>
      <c r="AE428" s="4">
        <v>154</v>
      </c>
      <c r="AF428" s="4">
        <v>0</v>
      </c>
      <c r="AG428" s="4">
        <v>9</v>
      </c>
      <c r="AH428" s="4">
        <v>85</v>
      </c>
      <c r="AI428" s="4">
        <v>105</v>
      </c>
      <c r="AJ428" s="4">
        <v>13</v>
      </c>
      <c r="AK428" s="4">
        <v>29</v>
      </c>
      <c r="AL428" s="4">
        <v>51</v>
      </c>
      <c r="AM428" s="4">
        <v>57</v>
      </c>
      <c r="AN428" s="4">
        <v>0</v>
      </c>
      <c r="AO428" s="4">
        <v>0</v>
      </c>
      <c r="AP428" s="4">
        <v>13</v>
      </c>
      <c r="AQ428" s="4">
        <v>57</v>
      </c>
      <c r="AR428" s="3" t="s">
        <v>209</v>
      </c>
      <c r="AS428" s="3" t="s">
        <v>65</v>
      </c>
      <c r="AT428" s="3" t="s">
        <v>65</v>
      </c>
      <c r="AV428" s="6" t="str">
        <f>HYPERLINK("http://mcgill.on.worldcat.org/oclc/62227562","Catalog Record")</f>
        <v>Catalog Record</v>
      </c>
      <c r="AW428" s="6" t="str">
        <f>HYPERLINK("http://www.worldcat.org/oclc/62227562","WorldCat Record")</f>
        <v>WorldCat Record</v>
      </c>
      <c r="AX428" s="3" t="s">
        <v>4585</v>
      </c>
      <c r="AY428" s="3" t="s">
        <v>4586</v>
      </c>
      <c r="AZ428" s="3" t="s">
        <v>4587</v>
      </c>
      <c r="BA428" s="3" t="s">
        <v>4587</v>
      </c>
      <c r="BB428" s="3" t="s">
        <v>4588</v>
      </c>
      <c r="BC428" s="3" t="s">
        <v>77</v>
      </c>
      <c r="BD428" s="3" t="s">
        <v>78</v>
      </c>
      <c r="BE428" s="3" t="s">
        <v>4589</v>
      </c>
      <c r="BF428" s="3" t="s">
        <v>4588</v>
      </c>
      <c r="BG428" s="3" t="s">
        <v>4590</v>
      </c>
    </row>
    <row r="429" spans="1:59" ht="58" x14ac:dyDescent="0.35">
      <c r="A429" s="2" t="s">
        <v>59</v>
      </c>
      <c r="B429" s="2" t="s">
        <v>60</v>
      </c>
      <c r="C429" s="2" t="s">
        <v>4591</v>
      </c>
      <c r="D429" s="2" t="s">
        <v>4592</v>
      </c>
      <c r="E429" s="2" t="s">
        <v>4593</v>
      </c>
      <c r="G429" s="3" t="s">
        <v>65</v>
      </c>
      <c r="I429" s="3" t="s">
        <v>65</v>
      </c>
      <c r="J429" s="3" t="s">
        <v>65</v>
      </c>
      <c r="K429" s="3" t="s">
        <v>66</v>
      </c>
      <c r="M429" s="2" t="s">
        <v>4594</v>
      </c>
      <c r="N429" s="3" t="s">
        <v>126</v>
      </c>
      <c r="P429" s="3" t="s">
        <v>140</v>
      </c>
      <c r="Q429" s="2" t="s">
        <v>4595</v>
      </c>
      <c r="R429" s="3" t="s">
        <v>71</v>
      </c>
      <c r="S429" s="4">
        <v>0</v>
      </c>
      <c r="T429" s="4">
        <v>0</v>
      </c>
      <c r="W429" s="5" t="s">
        <v>72</v>
      </c>
      <c r="X429" s="5" t="s">
        <v>72</v>
      </c>
      <c r="Y429" s="4">
        <v>43</v>
      </c>
      <c r="Z429" s="4">
        <v>3</v>
      </c>
      <c r="AA429" s="4">
        <v>4</v>
      </c>
      <c r="AB429" s="4">
        <v>1</v>
      </c>
      <c r="AC429" s="4">
        <v>1</v>
      </c>
      <c r="AD429" s="4">
        <v>30</v>
      </c>
      <c r="AE429" s="4">
        <v>32</v>
      </c>
      <c r="AF429" s="4">
        <v>0</v>
      </c>
      <c r="AG429" s="4">
        <v>0</v>
      </c>
      <c r="AH429" s="4">
        <v>29</v>
      </c>
      <c r="AI429" s="4">
        <v>31</v>
      </c>
      <c r="AJ429" s="4">
        <v>1</v>
      </c>
      <c r="AK429" s="4">
        <v>2</v>
      </c>
      <c r="AL429" s="4">
        <v>24</v>
      </c>
      <c r="AM429" s="4">
        <v>24</v>
      </c>
      <c r="AN429" s="4">
        <v>0</v>
      </c>
      <c r="AO429" s="4">
        <v>0</v>
      </c>
      <c r="AP429" s="4">
        <v>1</v>
      </c>
      <c r="AQ429" s="4">
        <v>2</v>
      </c>
      <c r="AR429" s="3" t="s">
        <v>65</v>
      </c>
      <c r="AS429" s="3" t="s">
        <v>65</v>
      </c>
      <c r="AT429" s="3" t="s">
        <v>65</v>
      </c>
      <c r="AV429" s="6" t="str">
        <f>HYPERLINK("http://mcgill.on.worldcat.org/oclc/773016084","Catalog Record")</f>
        <v>Catalog Record</v>
      </c>
      <c r="AW429" s="6" t="str">
        <f>HYPERLINK("http://www.worldcat.org/oclc/773016084","WorldCat Record")</f>
        <v>WorldCat Record</v>
      </c>
      <c r="AX429" s="3" t="s">
        <v>4596</v>
      </c>
      <c r="AY429" s="3" t="s">
        <v>4597</v>
      </c>
      <c r="AZ429" s="3" t="s">
        <v>4598</v>
      </c>
      <c r="BA429" s="3" t="s">
        <v>4598</v>
      </c>
      <c r="BB429" s="3" t="s">
        <v>4599</v>
      </c>
      <c r="BC429" s="3" t="s">
        <v>77</v>
      </c>
      <c r="BD429" s="3" t="s">
        <v>78</v>
      </c>
      <c r="BE429" s="3" t="s">
        <v>4600</v>
      </c>
      <c r="BF429" s="3" t="s">
        <v>4599</v>
      </c>
      <c r="BG429" s="3" t="s">
        <v>4601</v>
      </c>
    </row>
    <row r="430" spans="1:59" ht="58" x14ac:dyDescent="0.35">
      <c r="A430" s="2" t="s">
        <v>59</v>
      </c>
      <c r="B430" s="2" t="s">
        <v>60</v>
      </c>
      <c r="C430" s="2" t="s">
        <v>4602</v>
      </c>
      <c r="D430" s="2" t="s">
        <v>4603</v>
      </c>
      <c r="E430" s="2" t="s">
        <v>4604</v>
      </c>
      <c r="G430" s="3" t="s">
        <v>65</v>
      </c>
      <c r="I430" s="3" t="s">
        <v>65</v>
      </c>
      <c r="J430" s="3" t="s">
        <v>65</v>
      </c>
      <c r="K430" s="3" t="s">
        <v>66</v>
      </c>
      <c r="L430" s="2" t="s">
        <v>4605</v>
      </c>
      <c r="M430" s="2" t="s">
        <v>4606</v>
      </c>
      <c r="N430" s="3" t="s">
        <v>139</v>
      </c>
      <c r="P430" s="3" t="s">
        <v>140</v>
      </c>
      <c r="Q430" s="2" t="s">
        <v>4607</v>
      </c>
      <c r="R430" s="3" t="s">
        <v>71</v>
      </c>
      <c r="S430" s="4">
        <v>1</v>
      </c>
      <c r="T430" s="4">
        <v>1</v>
      </c>
      <c r="U430" s="5" t="s">
        <v>772</v>
      </c>
      <c r="V430" s="5" t="s">
        <v>772</v>
      </c>
      <c r="W430" s="5" t="s">
        <v>72</v>
      </c>
      <c r="X430" s="5" t="s">
        <v>72</v>
      </c>
      <c r="Y430" s="4">
        <v>52</v>
      </c>
      <c r="Z430" s="4">
        <v>4</v>
      </c>
      <c r="AA430" s="4">
        <v>4</v>
      </c>
      <c r="AB430" s="4">
        <v>1</v>
      </c>
      <c r="AC430" s="4">
        <v>1</v>
      </c>
      <c r="AD430" s="4">
        <v>34</v>
      </c>
      <c r="AE430" s="4">
        <v>34</v>
      </c>
      <c r="AF430" s="4">
        <v>0</v>
      </c>
      <c r="AG430" s="4">
        <v>0</v>
      </c>
      <c r="AH430" s="4">
        <v>33</v>
      </c>
      <c r="AI430" s="4">
        <v>33</v>
      </c>
      <c r="AJ430" s="4">
        <v>2</v>
      </c>
      <c r="AK430" s="4">
        <v>2</v>
      </c>
      <c r="AL430" s="4">
        <v>28</v>
      </c>
      <c r="AM430" s="4">
        <v>28</v>
      </c>
      <c r="AN430" s="4">
        <v>0</v>
      </c>
      <c r="AO430" s="4">
        <v>0</v>
      </c>
      <c r="AP430" s="4">
        <v>2</v>
      </c>
      <c r="AQ430" s="4">
        <v>2</v>
      </c>
      <c r="AR430" s="3" t="s">
        <v>65</v>
      </c>
      <c r="AS430" s="3" t="s">
        <v>65</v>
      </c>
      <c r="AT430" s="3" t="s">
        <v>65</v>
      </c>
      <c r="AV430" s="6" t="str">
        <f>HYPERLINK("http://mcgill.on.worldcat.org/oclc/796781824","Catalog Record")</f>
        <v>Catalog Record</v>
      </c>
      <c r="AW430" s="6" t="str">
        <f>HYPERLINK("http://www.worldcat.org/oclc/796781824","WorldCat Record")</f>
        <v>WorldCat Record</v>
      </c>
      <c r="AX430" s="3" t="s">
        <v>4608</v>
      </c>
      <c r="AY430" s="3" t="s">
        <v>4609</v>
      </c>
      <c r="AZ430" s="3" t="s">
        <v>4610</v>
      </c>
      <c r="BA430" s="3" t="s">
        <v>4610</v>
      </c>
      <c r="BB430" s="3" t="s">
        <v>4611</v>
      </c>
      <c r="BC430" s="3" t="s">
        <v>77</v>
      </c>
      <c r="BD430" s="3" t="s">
        <v>78</v>
      </c>
      <c r="BE430" s="3" t="s">
        <v>4612</v>
      </c>
      <c r="BF430" s="3" t="s">
        <v>4611</v>
      </c>
      <c r="BG430" s="3" t="s">
        <v>4613</v>
      </c>
    </row>
    <row r="431" spans="1:59" ht="58" x14ac:dyDescent="0.35">
      <c r="A431" s="2" t="s">
        <v>59</v>
      </c>
      <c r="B431" s="2" t="s">
        <v>60</v>
      </c>
      <c r="C431" s="2" t="s">
        <v>4614</v>
      </c>
      <c r="D431" s="2" t="s">
        <v>4615</v>
      </c>
      <c r="E431" s="2" t="s">
        <v>4616</v>
      </c>
      <c r="G431" s="3" t="s">
        <v>65</v>
      </c>
      <c r="I431" s="3" t="s">
        <v>65</v>
      </c>
      <c r="J431" s="3" t="s">
        <v>65</v>
      </c>
      <c r="K431" s="3" t="s">
        <v>66</v>
      </c>
      <c r="M431" s="2" t="s">
        <v>4617</v>
      </c>
      <c r="N431" s="3" t="s">
        <v>126</v>
      </c>
      <c r="O431" s="2" t="s">
        <v>4618</v>
      </c>
      <c r="P431" s="3" t="s">
        <v>140</v>
      </c>
      <c r="Q431" s="2" t="s">
        <v>4619</v>
      </c>
      <c r="R431" s="3" t="s">
        <v>71</v>
      </c>
      <c r="S431" s="4">
        <v>1</v>
      </c>
      <c r="T431" s="4">
        <v>1</v>
      </c>
      <c r="U431" s="5" t="s">
        <v>4620</v>
      </c>
      <c r="V431" s="5" t="s">
        <v>4620</v>
      </c>
      <c r="W431" s="5" t="s">
        <v>72</v>
      </c>
      <c r="X431" s="5" t="s">
        <v>72</v>
      </c>
      <c r="Y431" s="4">
        <v>4</v>
      </c>
      <c r="Z431" s="4">
        <v>1</v>
      </c>
      <c r="AA431" s="4">
        <v>5</v>
      </c>
      <c r="AB431" s="4">
        <v>1</v>
      </c>
      <c r="AC431" s="4">
        <v>2</v>
      </c>
      <c r="AD431" s="4">
        <v>2</v>
      </c>
      <c r="AE431" s="4">
        <v>32</v>
      </c>
      <c r="AF431" s="4">
        <v>0</v>
      </c>
      <c r="AG431" s="4">
        <v>1</v>
      </c>
      <c r="AH431" s="4">
        <v>2</v>
      </c>
      <c r="AI431" s="4">
        <v>30</v>
      </c>
      <c r="AJ431" s="4">
        <v>0</v>
      </c>
      <c r="AK431" s="4">
        <v>3</v>
      </c>
      <c r="AL431" s="4">
        <v>1</v>
      </c>
      <c r="AM431" s="4">
        <v>23</v>
      </c>
      <c r="AN431" s="4">
        <v>0</v>
      </c>
      <c r="AO431" s="4">
        <v>0</v>
      </c>
      <c r="AP431" s="4">
        <v>0</v>
      </c>
      <c r="AQ431" s="4">
        <v>2</v>
      </c>
      <c r="AR431" s="3" t="s">
        <v>65</v>
      </c>
      <c r="AS431" s="3" t="s">
        <v>65</v>
      </c>
      <c r="AT431" s="3" t="s">
        <v>65</v>
      </c>
      <c r="AV431" s="6" t="str">
        <f>HYPERLINK("http://mcgill.on.worldcat.org/oclc/727704850","Catalog Record")</f>
        <v>Catalog Record</v>
      </c>
      <c r="AW431" s="6" t="str">
        <f>HYPERLINK("http://www.worldcat.org/oclc/727704850","WorldCat Record")</f>
        <v>WorldCat Record</v>
      </c>
      <c r="AX431" s="3" t="s">
        <v>4621</v>
      </c>
      <c r="AY431" s="3" t="s">
        <v>4622</v>
      </c>
      <c r="AZ431" s="3" t="s">
        <v>4623</v>
      </c>
      <c r="BA431" s="3" t="s">
        <v>4623</v>
      </c>
      <c r="BB431" s="3" t="s">
        <v>4624</v>
      </c>
      <c r="BC431" s="3" t="s">
        <v>77</v>
      </c>
      <c r="BD431" s="3" t="s">
        <v>78</v>
      </c>
      <c r="BE431" s="3" t="s">
        <v>4625</v>
      </c>
      <c r="BF431" s="3" t="s">
        <v>4624</v>
      </c>
      <c r="BG431" s="3" t="s">
        <v>4626</v>
      </c>
    </row>
    <row r="432" spans="1:59" ht="58" x14ac:dyDescent="0.35">
      <c r="A432" s="2" t="s">
        <v>59</v>
      </c>
      <c r="B432" s="2" t="s">
        <v>60</v>
      </c>
      <c r="C432" s="2" t="s">
        <v>4627</v>
      </c>
      <c r="D432" s="2" t="s">
        <v>4628</v>
      </c>
      <c r="E432" s="2" t="s">
        <v>4629</v>
      </c>
      <c r="G432" s="3" t="s">
        <v>65</v>
      </c>
      <c r="I432" s="3" t="s">
        <v>65</v>
      </c>
      <c r="J432" s="3" t="s">
        <v>65</v>
      </c>
      <c r="K432" s="3" t="s">
        <v>66</v>
      </c>
      <c r="M432" s="2" t="s">
        <v>4594</v>
      </c>
      <c r="N432" s="3" t="s">
        <v>126</v>
      </c>
      <c r="P432" s="3" t="s">
        <v>140</v>
      </c>
      <c r="Q432" s="2" t="s">
        <v>4630</v>
      </c>
      <c r="R432" s="3" t="s">
        <v>71</v>
      </c>
      <c r="S432" s="4">
        <v>0</v>
      </c>
      <c r="T432" s="4">
        <v>0</v>
      </c>
      <c r="W432" s="5" t="s">
        <v>72</v>
      </c>
      <c r="X432" s="5" t="s">
        <v>72</v>
      </c>
      <c r="Y432" s="4">
        <v>46</v>
      </c>
      <c r="Z432" s="4">
        <v>6</v>
      </c>
      <c r="AA432" s="4">
        <v>6</v>
      </c>
      <c r="AB432" s="4">
        <v>1</v>
      </c>
      <c r="AC432" s="4">
        <v>1</v>
      </c>
      <c r="AD432" s="4">
        <v>35</v>
      </c>
      <c r="AE432" s="4">
        <v>35</v>
      </c>
      <c r="AF432" s="4">
        <v>0</v>
      </c>
      <c r="AG432" s="4">
        <v>0</v>
      </c>
      <c r="AH432" s="4">
        <v>34</v>
      </c>
      <c r="AI432" s="4">
        <v>34</v>
      </c>
      <c r="AJ432" s="4">
        <v>4</v>
      </c>
      <c r="AK432" s="4">
        <v>4</v>
      </c>
      <c r="AL432" s="4">
        <v>24</v>
      </c>
      <c r="AM432" s="4">
        <v>24</v>
      </c>
      <c r="AN432" s="4">
        <v>0</v>
      </c>
      <c r="AO432" s="4">
        <v>0</v>
      </c>
      <c r="AP432" s="4">
        <v>4</v>
      </c>
      <c r="AQ432" s="4">
        <v>4</v>
      </c>
      <c r="AR432" s="3" t="s">
        <v>65</v>
      </c>
      <c r="AS432" s="3" t="s">
        <v>65</v>
      </c>
      <c r="AT432" s="3" t="s">
        <v>65</v>
      </c>
      <c r="AV432" s="6" t="str">
        <f>HYPERLINK("http://mcgill.on.worldcat.org/oclc/755700463","Catalog Record")</f>
        <v>Catalog Record</v>
      </c>
      <c r="AW432" s="6" t="str">
        <f>HYPERLINK("http://www.worldcat.org/oclc/755700463","WorldCat Record")</f>
        <v>WorldCat Record</v>
      </c>
      <c r="AX432" s="3" t="s">
        <v>4631</v>
      </c>
      <c r="AY432" s="3" t="s">
        <v>4632</v>
      </c>
      <c r="AZ432" s="3" t="s">
        <v>4633</v>
      </c>
      <c r="BA432" s="3" t="s">
        <v>4633</v>
      </c>
      <c r="BB432" s="3" t="s">
        <v>4634</v>
      </c>
      <c r="BC432" s="3" t="s">
        <v>77</v>
      </c>
      <c r="BD432" s="3" t="s">
        <v>78</v>
      </c>
      <c r="BE432" s="3" t="s">
        <v>4635</v>
      </c>
      <c r="BF432" s="3" t="s">
        <v>4634</v>
      </c>
      <c r="BG432" s="3" t="s">
        <v>4636</v>
      </c>
    </row>
    <row r="433" spans="1:59" ht="58" x14ac:dyDescent="0.35">
      <c r="A433" s="2" t="s">
        <v>59</v>
      </c>
      <c r="B433" s="2" t="s">
        <v>60</v>
      </c>
      <c r="C433" s="2" t="s">
        <v>4637</v>
      </c>
      <c r="D433" s="2" t="s">
        <v>4638</v>
      </c>
      <c r="E433" s="2" t="s">
        <v>4639</v>
      </c>
      <c r="G433" s="3" t="s">
        <v>65</v>
      </c>
      <c r="I433" s="3" t="s">
        <v>65</v>
      </c>
      <c r="J433" s="3" t="s">
        <v>65</v>
      </c>
      <c r="K433" s="3" t="s">
        <v>66</v>
      </c>
      <c r="L433" s="2" t="s">
        <v>4640</v>
      </c>
      <c r="M433" s="2" t="s">
        <v>4641</v>
      </c>
      <c r="N433" s="3" t="s">
        <v>188</v>
      </c>
      <c r="P433" s="3" t="s">
        <v>140</v>
      </c>
      <c r="Q433" s="2" t="s">
        <v>4642</v>
      </c>
      <c r="R433" s="3" t="s">
        <v>71</v>
      </c>
      <c r="S433" s="4">
        <v>0</v>
      </c>
      <c r="T433" s="4">
        <v>0</v>
      </c>
      <c r="W433" s="5" t="s">
        <v>3654</v>
      </c>
      <c r="X433" s="5" t="s">
        <v>3654</v>
      </c>
      <c r="Y433" s="4">
        <v>31</v>
      </c>
      <c r="Z433" s="4">
        <v>1</v>
      </c>
      <c r="AA433" s="4">
        <v>1</v>
      </c>
      <c r="AB433" s="4">
        <v>1</v>
      </c>
      <c r="AC433" s="4">
        <v>1</v>
      </c>
      <c r="AD433" s="4">
        <v>24</v>
      </c>
      <c r="AE433" s="4">
        <v>24</v>
      </c>
      <c r="AF433" s="4">
        <v>0</v>
      </c>
      <c r="AG433" s="4">
        <v>0</v>
      </c>
      <c r="AH433" s="4">
        <v>23</v>
      </c>
      <c r="AI433" s="4">
        <v>23</v>
      </c>
      <c r="AJ433" s="4">
        <v>0</v>
      </c>
      <c r="AK433" s="4">
        <v>0</v>
      </c>
      <c r="AL433" s="4">
        <v>20</v>
      </c>
      <c r="AM433" s="4">
        <v>20</v>
      </c>
      <c r="AN433" s="4">
        <v>0</v>
      </c>
      <c r="AO433" s="4">
        <v>0</v>
      </c>
      <c r="AP433" s="4">
        <v>0</v>
      </c>
      <c r="AQ433" s="4">
        <v>0</v>
      </c>
      <c r="AR433" s="3" t="s">
        <v>65</v>
      </c>
      <c r="AS433" s="3" t="s">
        <v>65</v>
      </c>
      <c r="AT433" s="3" t="s">
        <v>65</v>
      </c>
      <c r="AV433" s="6" t="str">
        <f>HYPERLINK("http://mcgill.on.worldcat.org/oclc/1039924671","Catalog Record")</f>
        <v>Catalog Record</v>
      </c>
      <c r="AW433" s="6" t="str">
        <f>HYPERLINK("http://www.worldcat.org/oclc/1039924671","WorldCat Record")</f>
        <v>WorldCat Record</v>
      </c>
      <c r="AX433" s="3" t="s">
        <v>4643</v>
      </c>
      <c r="AY433" s="3" t="s">
        <v>4644</v>
      </c>
      <c r="AZ433" s="3" t="s">
        <v>4645</v>
      </c>
      <c r="BA433" s="3" t="s">
        <v>4645</v>
      </c>
      <c r="BB433" s="3" t="s">
        <v>4646</v>
      </c>
      <c r="BC433" s="3" t="s">
        <v>77</v>
      </c>
      <c r="BD433" s="3" t="s">
        <v>78</v>
      </c>
      <c r="BE433" s="3" t="s">
        <v>4647</v>
      </c>
      <c r="BF433" s="3" t="s">
        <v>4646</v>
      </c>
      <c r="BG433" s="3" t="s">
        <v>4648</v>
      </c>
    </row>
    <row r="434" spans="1:59" ht="58" x14ac:dyDescent="0.35">
      <c r="A434" s="2" t="s">
        <v>59</v>
      </c>
      <c r="B434" s="2" t="s">
        <v>60</v>
      </c>
      <c r="C434" s="2" t="s">
        <v>4649</v>
      </c>
      <c r="D434" s="2" t="s">
        <v>4650</v>
      </c>
      <c r="E434" s="2" t="s">
        <v>4651</v>
      </c>
      <c r="G434" s="3" t="s">
        <v>65</v>
      </c>
      <c r="I434" s="3" t="s">
        <v>65</v>
      </c>
      <c r="J434" s="3" t="s">
        <v>65</v>
      </c>
      <c r="K434" s="3" t="s">
        <v>66</v>
      </c>
      <c r="L434" s="2" t="s">
        <v>4652</v>
      </c>
      <c r="M434" s="2" t="s">
        <v>4653</v>
      </c>
      <c r="N434" s="3" t="s">
        <v>188</v>
      </c>
      <c r="P434" s="3" t="s">
        <v>140</v>
      </c>
      <c r="Q434" s="2" t="s">
        <v>4654</v>
      </c>
      <c r="R434" s="3" t="s">
        <v>71</v>
      </c>
      <c r="S434" s="4">
        <v>0</v>
      </c>
      <c r="T434" s="4">
        <v>0</v>
      </c>
      <c r="W434" s="5" t="s">
        <v>72</v>
      </c>
      <c r="X434" s="5" t="s">
        <v>72</v>
      </c>
      <c r="Y434" s="4">
        <v>4</v>
      </c>
      <c r="Z434" s="4">
        <v>1</v>
      </c>
      <c r="AA434" s="4">
        <v>1</v>
      </c>
      <c r="AB434" s="4">
        <v>1</v>
      </c>
      <c r="AC434" s="4">
        <v>1</v>
      </c>
      <c r="AD434" s="4">
        <v>1</v>
      </c>
      <c r="AE434" s="4">
        <v>1</v>
      </c>
      <c r="AF434" s="4">
        <v>0</v>
      </c>
      <c r="AG434" s="4">
        <v>0</v>
      </c>
      <c r="AH434" s="4">
        <v>1</v>
      </c>
      <c r="AI434" s="4">
        <v>1</v>
      </c>
      <c r="AJ434" s="4">
        <v>0</v>
      </c>
      <c r="AK434" s="4">
        <v>0</v>
      </c>
      <c r="AL434" s="4">
        <v>0</v>
      </c>
      <c r="AM434" s="4">
        <v>0</v>
      </c>
      <c r="AN434" s="4">
        <v>0</v>
      </c>
      <c r="AO434" s="4">
        <v>0</v>
      </c>
      <c r="AP434" s="4">
        <v>0</v>
      </c>
      <c r="AQ434" s="4">
        <v>0</v>
      </c>
      <c r="AR434" s="3" t="s">
        <v>65</v>
      </c>
      <c r="AS434" s="3" t="s">
        <v>65</v>
      </c>
      <c r="AT434" s="3" t="s">
        <v>65</v>
      </c>
      <c r="AV434" s="6" t="str">
        <f>HYPERLINK("http://mcgill.on.worldcat.org/oclc/1009058625","Catalog Record")</f>
        <v>Catalog Record</v>
      </c>
      <c r="AW434" s="6" t="str">
        <f>HYPERLINK("http://www.worldcat.org/oclc/1009058625","WorldCat Record")</f>
        <v>WorldCat Record</v>
      </c>
      <c r="AX434" s="3" t="s">
        <v>4655</v>
      </c>
      <c r="AY434" s="3" t="s">
        <v>4656</v>
      </c>
      <c r="AZ434" s="3" t="s">
        <v>4657</v>
      </c>
      <c r="BA434" s="3" t="s">
        <v>4657</v>
      </c>
      <c r="BB434" s="3" t="s">
        <v>4658</v>
      </c>
      <c r="BC434" s="3" t="s">
        <v>77</v>
      </c>
      <c r="BD434" s="3" t="s">
        <v>78</v>
      </c>
      <c r="BE434" s="3" t="s">
        <v>4659</v>
      </c>
      <c r="BF434" s="3" t="s">
        <v>4658</v>
      </c>
      <c r="BG434" s="3" t="s">
        <v>4660</v>
      </c>
    </row>
    <row r="435" spans="1:59" ht="58" x14ac:dyDescent="0.35">
      <c r="A435" s="2" t="s">
        <v>59</v>
      </c>
      <c r="B435" s="2" t="s">
        <v>60</v>
      </c>
      <c r="C435" s="2" t="s">
        <v>4661</v>
      </c>
      <c r="D435" s="2" t="s">
        <v>4662</v>
      </c>
      <c r="E435" s="2" t="s">
        <v>4663</v>
      </c>
      <c r="G435" s="3" t="s">
        <v>65</v>
      </c>
      <c r="I435" s="3" t="s">
        <v>65</v>
      </c>
      <c r="J435" s="3" t="s">
        <v>65</v>
      </c>
      <c r="K435" s="3" t="s">
        <v>66</v>
      </c>
      <c r="L435" s="2" t="s">
        <v>4664</v>
      </c>
      <c r="M435" s="2" t="s">
        <v>4665</v>
      </c>
      <c r="N435" s="3" t="s">
        <v>126</v>
      </c>
      <c r="O435" s="2" t="s">
        <v>365</v>
      </c>
      <c r="P435" s="3" t="s">
        <v>140</v>
      </c>
      <c r="Q435" s="2" t="s">
        <v>4666</v>
      </c>
      <c r="R435" s="3" t="s">
        <v>71</v>
      </c>
      <c r="S435" s="4">
        <v>0</v>
      </c>
      <c r="T435" s="4">
        <v>0</v>
      </c>
      <c r="W435" s="5" t="s">
        <v>72</v>
      </c>
      <c r="X435" s="5" t="s">
        <v>72</v>
      </c>
      <c r="Y435" s="4">
        <v>41</v>
      </c>
      <c r="Z435" s="4">
        <v>5</v>
      </c>
      <c r="AA435" s="4">
        <v>5</v>
      </c>
      <c r="AB435" s="4">
        <v>1</v>
      </c>
      <c r="AC435" s="4">
        <v>1</v>
      </c>
      <c r="AD435" s="4">
        <v>29</v>
      </c>
      <c r="AE435" s="4">
        <v>29</v>
      </c>
      <c r="AF435" s="4">
        <v>0</v>
      </c>
      <c r="AG435" s="4">
        <v>0</v>
      </c>
      <c r="AH435" s="4">
        <v>28</v>
      </c>
      <c r="AI435" s="4">
        <v>28</v>
      </c>
      <c r="AJ435" s="4">
        <v>3</v>
      </c>
      <c r="AK435" s="4">
        <v>3</v>
      </c>
      <c r="AL435" s="4">
        <v>22</v>
      </c>
      <c r="AM435" s="4">
        <v>22</v>
      </c>
      <c r="AN435" s="4">
        <v>0</v>
      </c>
      <c r="AO435" s="4">
        <v>0</v>
      </c>
      <c r="AP435" s="4">
        <v>3</v>
      </c>
      <c r="AQ435" s="4">
        <v>3</v>
      </c>
      <c r="AR435" s="3" t="s">
        <v>65</v>
      </c>
      <c r="AS435" s="3" t="s">
        <v>65</v>
      </c>
      <c r="AT435" s="3" t="s">
        <v>65</v>
      </c>
      <c r="AV435" s="6" t="str">
        <f>HYPERLINK("http://mcgill.on.worldcat.org/oclc/756578178","Catalog Record")</f>
        <v>Catalog Record</v>
      </c>
      <c r="AW435" s="6" t="str">
        <f>HYPERLINK("http://www.worldcat.org/oclc/756578178","WorldCat Record")</f>
        <v>WorldCat Record</v>
      </c>
      <c r="AX435" s="3" t="s">
        <v>4667</v>
      </c>
      <c r="AY435" s="3" t="s">
        <v>4668</v>
      </c>
      <c r="AZ435" s="3" t="s">
        <v>4669</v>
      </c>
      <c r="BA435" s="3" t="s">
        <v>4669</v>
      </c>
      <c r="BB435" s="3" t="s">
        <v>4670</v>
      </c>
      <c r="BC435" s="3" t="s">
        <v>77</v>
      </c>
      <c r="BD435" s="3" t="s">
        <v>78</v>
      </c>
      <c r="BE435" s="3" t="s">
        <v>4671</v>
      </c>
      <c r="BF435" s="3" t="s">
        <v>4670</v>
      </c>
      <c r="BG435" s="3" t="s">
        <v>4672</v>
      </c>
    </row>
    <row r="436" spans="1:59" ht="58" x14ac:dyDescent="0.35">
      <c r="A436" s="2" t="s">
        <v>59</v>
      </c>
      <c r="B436" s="2" t="s">
        <v>60</v>
      </c>
      <c r="C436" s="2" t="s">
        <v>4673</v>
      </c>
      <c r="D436" s="2" t="s">
        <v>4674</v>
      </c>
      <c r="E436" s="2" t="s">
        <v>4675</v>
      </c>
      <c r="G436" s="3" t="s">
        <v>65</v>
      </c>
      <c r="I436" s="3" t="s">
        <v>65</v>
      </c>
      <c r="J436" s="3" t="s">
        <v>65</v>
      </c>
      <c r="K436" s="3" t="s">
        <v>66</v>
      </c>
      <c r="L436" s="2" t="s">
        <v>4676</v>
      </c>
      <c r="M436" s="2" t="s">
        <v>4677</v>
      </c>
      <c r="N436" s="3" t="s">
        <v>152</v>
      </c>
      <c r="P436" s="3" t="s">
        <v>140</v>
      </c>
      <c r="R436" s="3" t="s">
        <v>71</v>
      </c>
      <c r="S436" s="4">
        <v>0</v>
      </c>
      <c r="T436" s="4">
        <v>0</v>
      </c>
      <c r="W436" s="5" t="s">
        <v>72</v>
      </c>
      <c r="X436" s="5" t="s">
        <v>72</v>
      </c>
      <c r="Y436" s="4">
        <v>14</v>
      </c>
      <c r="Z436" s="4">
        <v>1</v>
      </c>
      <c r="AA436" s="4">
        <v>4</v>
      </c>
      <c r="AB436" s="4">
        <v>1</v>
      </c>
      <c r="AC436" s="4">
        <v>1</v>
      </c>
      <c r="AD436" s="4">
        <v>8</v>
      </c>
      <c r="AE436" s="4">
        <v>17</v>
      </c>
      <c r="AF436" s="4">
        <v>0</v>
      </c>
      <c r="AG436" s="4">
        <v>0</v>
      </c>
      <c r="AH436" s="4">
        <v>7</v>
      </c>
      <c r="AI436" s="4">
        <v>16</v>
      </c>
      <c r="AJ436" s="4">
        <v>0</v>
      </c>
      <c r="AK436" s="4">
        <v>2</v>
      </c>
      <c r="AL436" s="4">
        <v>7</v>
      </c>
      <c r="AM436" s="4">
        <v>13</v>
      </c>
      <c r="AN436" s="4">
        <v>0</v>
      </c>
      <c r="AO436" s="4">
        <v>0</v>
      </c>
      <c r="AP436" s="4">
        <v>0</v>
      </c>
      <c r="AQ436" s="4">
        <v>2</v>
      </c>
      <c r="AR436" s="3" t="s">
        <v>65</v>
      </c>
      <c r="AS436" s="3" t="s">
        <v>65</v>
      </c>
      <c r="AT436" s="3" t="s">
        <v>65</v>
      </c>
      <c r="AV436" s="6" t="str">
        <f>HYPERLINK("http://mcgill.on.worldcat.org/oclc/818724771","Catalog Record")</f>
        <v>Catalog Record</v>
      </c>
      <c r="AW436" s="6" t="str">
        <f>HYPERLINK("http://www.worldcat.org/oclc/818724771","WorldCat Record")</f>
        <v>WorldCat Record</v>
      </c>
      <c r="AX436" s="3" t="s">
        <v>4678</v>
      </c>
      <c r="AY436" s="3" t="s">
        <v>4679</v>
      </c>
      <c r="AZ436" s="3" t="s">
        <v>4680</v>
      </c>
      <c r="BA436" s="3" t="s">
        <v>4680</v>
      </c>
      <c r="BB436" s="3" t="s">
        <v>4681</v>
      </c>
      <c r="BC436" s="3" t="s">
        <v>77</v>
      </c>
      <c r="BD436" s="3" t="s">
        <v>78</v>
      </c>
      <c r="BE436" s="3" t="s">
        <v>4682</v>
      </c>
      <c r="BF436" s="3" t="s">
        <v>4681</v>
      </c>
      <c r="BG436" s="3" t="s">
        <v>4683</v>
      </c>
    </row>
    <row r="437" spans="1:59" ht="58" x14ac:dyDescent="0.35">
      <c r="A437" s="2" t="s">
        <v>59</v>
      </c>
      <c r="B437" s="2" t="s">
        <v>60</v>
      </c>
      <c r="C437" s="2" t="s">
        <v>4684</v>
      </c>
      <c r="D437" s="2" t="s">
        <v>4685</v>
      </c>
      <c r="E437" s="2" t="s">
        <v>4686</v>
      </c>
      <c r="G437" s="3" t="s">
        <v>65</v>
      </c>
      <c r="I437" s="3" t="s">
        <v>65</v>
      </c>
      <c r="J437" s="3" t="s">
        <v>209</v>
      </c>
      <c r="K437" s="3" t="s">
        <v>66</v>
      </c>
      <c r="L437" s="2" t="s">
        <v>613</v>
      </c>
      <c r="M437" s="2" t="s">
        <v>4687</v>
      </c>
      <c r="N437" s="3" t="s">
        <v>4688</v>
      </c>
      <c r="O437" s="2" t="s">
        <v>4689</v>
      </c>
      <c r="P437" s="3" t="s">
        <v>140</v>
      </c>
      <c r="Q437" s="2" t="s">
        <v>4690</v>
      </c>
      <c r="R437" s="3" t="s">
        <v>71</v>
      </c>
      <c r="S437" s="4">
        <v>9</v>
      </c>
      <c r="T437" s="4">
        <v>9</v>
      </c>
      <c r="U437" s="5" t="s">
        <v>4691</v>
      </c>
      <c r="V437" s="5" t="s">
        <v>4691</v>
      </c>
      <c r="W437" s="5" t="s">
        <v>72</v>
      </c>
      <c r="X437" s="5" t="s">
        <v>72</v>
      </c>
      <c r="Y437" s="4">
        <v>42</v>
      </c>
      <c r="Z437" s="4">
        <v>3</v>
      </c>
      <c r="AA437" s="4">
        <v>19</v>
      </c>
      <c r="AB437" s="4">
        <v>2</v>
      </c>
      <c r="AC437" s="4">
        <v>3</v>
      </c>
      <c r="AD437" s="4">
        <v>21</v>
      </c>
      <c r="AE437" s="4">
        <v>83</v>
      </c>
      <c r="AF437" s="4">
        <v>0</v>
      </c>
      <c r="AG437" s="4">
        <v>1</v>
      </c>
      <c r="AH437" s="4">
        <v>19</v>
      </c>
      <c r="AI437" s="4">
        <v>75</v>
      </c>
      <c r="AJ437" s="4">
        <v>1</v>
      </c>
      <c r="AK437" s="4">
        <v>11</v>
      </c>
      <c r="AL437" s="4">
        <v>15</v>
      </c>
      <c r="AM437" s="4">
        <v>52</v>
      </c>
      <c r="AN437" s="4">
        <v>0</v>
      </c>
      <c r="AO437" s="4">
        <v>0</v>
      </c>
      <c r="AP437" s="4">
        <v>1</v>
      </c>
      <c r="AQ437" s="4">
        <v>11</v>
      </c>
      <c r="AR437" s="3" t="s">
        <v>65</v>
      </c>
      <c r="AS437" s="3" t="s">
        <v>65</v>
      </c>
      <c r="AT437" s="3" t="s">
        <v>65</v>
      </c>
      <c r="AV437" s="6" t="str">
        <f>HYPERLINK("http://mcgill.on.worldcat.org/oclc/15047510","Catalog Record")</f>
        <v>Catalog Record</v>
      </c>
      <c r="AW437" s="6" t="str">
        <f>HYPERLINK("http://www.worldcat.org/oclc/15047510","WorldCat Record")</f>
        <v>WorldCat Record</v>
      </c>
      <c r="AX437" s="3" t="s">
        <v>4692</v>
      </c>
      <c r="AY437" s="3" t="s">
        <v>4693</v>
      </c>
      <c r="AZ437" s="3" t="s">
        <v>4694</v>
      </c>
      <c r="BA437" s="3" t="s">
        <v>4694</v>
      </c>
      <c r="BB437" s="3" t="s">
        <v>4695</v>
      </c>
      <c r="BC437" s="3" t="s">
        <v>77</v>
      </c>
      <c r="BD437" s="3" t="s">
        <v>78</v>
      </c>
      <c r="BE437" s="3" t="s">
        <v>4696</v>
      </c>
      <c r="BF437" s="3" t="s">
        <v>4695</v>
      </c>
      <c r="BG437" s="3" t="s">
        <v>4697</v>
      </c>
    </row>
    <row r="438" spans="1:59" ht="58" x14ac:dyDescent="0.35">
      <c r="A438" s="2" t="s">
        <v>59</v>
      </c>
      <c r="B438" s="2" t="s">
        <v>60</v>
      </c>
      <c r="C438" s="2" t="s">
        <v>4698</v>
      </c>
      <c r="D438" s="2" t="s">
        <v>4699</v>
      </c>
      <c r="E438" s="2" t="s">
        <v>4700</v>
      </c>
      <c r="G438" s="3" t="s">
        <v>65</v>
      </c>
      <c r="I438" s="3" t="s">
        <v>65</v>
      </c>
      <c r="J438" s="3" t="s">
        <v>65</v>
      </c>
      <c r="K438" s="3" t="s">
        <v>66</v>
      </c>
      <c r="L438" s="2" t="s">
        <v>4701</v>
      </c>
      <c r="M438" s="2" t="s">
        <v>4702</v>
      </c>
      <c r="N438" s="3" t="s">
        <v>188</v>
      </c>
      <c r="P438" s="3" t="s">
        <v>140</v>
      </c>
      <c r="Q438" s="2" t="s">
        <v>4703</v>
      </c>
      <c r="R438" s="3" t="s">
        <v>71</v>
      </c>
      <c r="S438" s="4">
        <v>0</v>
      </c>
      <c r="T438" s="4">
        <v>0</v>
      </c>
      <c r="W438" s="5" t="s">
        <v>72</v>
      </c>
      <c r="X438" s="5" t="s">
        <v>72</v>
      </c>
      <c r="Y438" s="4">
        <v>28</v>
      </c>
      <c r="Z438" s="4">
        <v>1</v>
      </c>
      <c r="AA438" s="4">
        <v>1</v>
      </c>
      <c r="AB438" s="4">
        <v>1</v>
      </c>
      <c r="AC438" s="4">
        <v>1</v>
      </c>
      <c r="AD438" s="4">
        <v>15</v>
      </c>
      <c r="AE438" s="4">
        <v>15</v>
      </c>
      <c r="AF438" s="4">
        <v>0</v>
      </c>
      <c r="AG438" s="4">
        <v>0</v>
      </c>
      <c r="AH438" s="4">
        <v>14</v>
      </c>
      <c r="AI438" s="4">
        <v>14</v>
      </c>
      <c r="AJ438" s="4">
        <v>0</v>
      </c>
      <c r="AK438" s="4">
        <v>0</v>
      </c>
      <c r="AL438" s="4">
        <v>13</v>
      </c>
      <c r="AM438" s="4">
        <v>13</v>
      </c>
      <c r="AN438" s="4">
        <v>0</v>
      </c>
      <c r="AO438" s="4">
        <v>0</v>
      </c>
      <c r="AP438" s="4">
        <v>0</v>
      </c>
      <c r="AQ438" s="4">
        <v>0</v>
      </c>
      <c r="AR438" s="3" t="s">
        <v>65</v>
      </c>
      <c r="AS438" s="3" t="s">
        <v>65</v>
      </c>
      <c r="AT438" s="3" t="s">
        <v>65</v>
      </c>
      <c r="AV438" s="6" t="str">
        <f>HYPERLINK("http://mcgill.on.worldcat.org/oclc/974712025","Catalog Record")</f>
        <v>Catalog Record</v>
      </c>
      <c r="AW438" s="6" t="str">
        <f>HYPERLINK("http://www.worldcat.org/oclc/974712025","WorldCat Record")</f>
        <v>WorldCat Record</v>
      </c>
      <c r="AX438" s="3" t="s">
        <v>4704</v>
      </c>
      <c r="AY438" s="3" t="s">
        <v>4705</v>
      </c>
      <c r="AZ438" s="3" t="s">
        <v>4706</v>
      </c>
      <c r="BA438" s="3" t="s">
        <v>4706</v>
      </c>
      <c r="BB438" s="3" t="s">
        <v>4707</v>
      </c>
      <c r="BC438" s="3" t="s">
        <v>77</v>
      </c>
      <c r="BD438" s="3" t="s">
        <v>78</v>
      </c>
      <c r="BE438" s="3" t="s">
        <v>4708</v>
      </c>
      <c r="BF438" s="3" t="s">
        <v>4707</v>
      </c>
      <c r="BG438" s="3" t="s">
        <v>4709</v>
      </c>
    </row>
    <row r="439" spans="1:59" ht="58" x14ac:dyDescent="0.35">
      <c r="A439" s="2" t="s">
        <v>59</v>
      </c>
      <c r="B439" s="2" t="s">
        <v>60</v>
      </c>
      <c r="C439" s="2" t="s">
        <v>4710</v>
      </c>
      <c r="D439" s="2" t="s">
        <v>4711</v>
      </c>
      <c r="E439" s="2" t="s">
        <v>4712</v>
      </c>
      <c r="G439" s="3" t="s">
        <v>65</v>
      </c>
      <c r="I439" s="3" t="s">
        <v>65</v>
      </c>
      <c r="J439" s="3" t="s">
        <v>65</v>
      </c>
      <c r="K439" s="3" t="s">
        <v>66</v>
      </c>
      <c r="L439" s="2" t="s">
        <v>4713</v>
      </c>
      <c r="M439" s="2" t="s">
        <v>4714</v>
      </c>
      <c r="N439" s="3" t="s">
        <v>113</v>
      </c>
      <c r="P439" s="3" t="s">
        <v>140</v>
      </c>
      <c r="Q439" s="2" t="s">
        <v>4715</v>
      </c>
      <c r="R439" s="3" t="s">
        <v>71</v>
      </c>
      <c r="S439" s="4">
        <v>1</v>
      </c>
      <c r="T439" s="4">
        <v>1</v>
      </c>
      <c r="U439" s="5" t="s">
        <v>4716</v>
      </c>
      <c r="V439" s="5" t="s">
        <v>4716</v>
      </c>
      <c r="W439" s="5" t="s">
        <v>72</v>
      </c>
      <c r="X439" s="5" t="s">
        <v>72</v>
      </c>
      <c r="Y439" s="4">
        <v>47</v>
      </c>
      <c r="Z439" s="4">
        <v>3</v>
      </c>
      <c r="AA439" s="4">
        <v>3</v>
      </c>
      <c r="AB439" s="4">
        <v>1</v>
      </c>
      <c r="AC439" s="4">
        <v>1</v>
      </c>
      <c r="AD439" s="4">
        <v>30</v>
      </c>
      <c r="AE439" s="4">
        <v>30</v>
      </c>
      <c r="AF439" s="4">
        <v>0</v>
      </c>
      <c r="AG439" s="4">
        <v>0</v>
      </c>
      <c r="AH439" s="4">
        <v>29</v>
      </c>
      <c r="AI439" s="4">
        <v>29</v>
      </c>
      <c r="AJ439" s="4">
        <v>1</v>
      </c>
      <c r="AK439" s="4">
        <v>1</v>
      </c>
      <c r="AL439" s="4">
        <v>25</v>
      </c>
      <c r="AM439" s="4">
        <v>25</v>
      </c>
      <c r="AN439" s="4">
        <v>0</v>
      </c>
      <c r="AO439" s="4">
        <v>0</v>
      </c>
      <c r="AP439" s="4">
        <v>1</v>
      </c>
      <c r="AQ439" s="4">
        <v>1</v>
      </c>
      <c r="AR439" s="3" t="s">
        <v>65</v>
      </c>
      <c r="AS439" s="3" t="s">
        <v>65</v>
      </c>
      <c r="AT439" s="3" t="s">
        <v>65</v>
      </c>
      <c r="AV439" s="6" t="str">
        <f>HYPERLINK("http://mcgill.on.worldcat.org/oclc/646007137","Catalog Record")</f>
        <v>Catalog Record</v>
      </c>
      <c r="AW439" s="6" t="str">
        <f>HYPERLINK("http://www.worldcat.org/oclc/646007137","WorldCat Record")</f>
        <v>WorldCat Record</v>
      </c>
      <c r="AX439" s="3" t="s">
        <v>4717</v>
      </c>
      <c r="AY439" s="3" t="s">
        <v>4718</v>
      </c>
      <c r="AZ439" s="3" t="s">
        <v>4719</v>
      </c>
      <c r="BA439" s="3" t="s">
        <v>4719</v>
      </c>
      <c r="BB439" s="3" t="s">
        <v>4720</v>
      </c>
      <c r="BC439" s="3" t="s">
        <v>77</v>
      </c>
      <c r="BD439" s="3" t="s">
        <v>78</v>
      </c>
      <c r="BE439" s="3" t="s">
        <v>4721</v>
      </c>
      <c r="BF439" s="3" t="s">
        <v>4720</v>
      </c>
      <c r="BG439" s="3" t="s">
        <v>4722</v>
      </c>
    </row>
    <row r="440" spans="1:59" ht="58" x14ac:dyDescent="0.35">
      <c r="A440" s="2" t="s">
        <v>59</v>
      </c>
      <c r="B440" s="2" t="s">
        <v>60</v>
      </c>
      <c r="C440" s="2" t="s">
        <v>4723</v>
      </c>
      <c r="D440" s="2" t="s">
        <v>4724</v>
      </c>
      <c r="E440" s="2" t="s">
        <v>4725</v>
      </c>
      <c r="G440" s="3" t="s">
        <v>65</v>
      </c>
      <c r="I440" s="3" t="s">
        <v>65</v>
      </c>
      <c r="J440" s="3" t="s">
        <v>65</v>
      </c>
      <c r="K440" s="3" t="s">
        <v>66</v>
      </c>
      <c r="L440" s="2" t="s">
        <v>4726</v>
      </c>
      <c r="M440" s="2" t="s">
        <v>4727</v>
      </c>
      <c r="N440" s="3" t="s">
        <v>126</v>
      </c>
      <c r="P440" s="3" t="s">
        <v>140</v>
      </c>
      <c r="Q440" s="2" t="s">
        <v>4728</v>
      </c>
      <c r="R440" s="3" t="s">
        <v>71</v>
      </c>
      <c r="S440" s="4">
        <v>0</v>
      </c>
      <c r="T440" s="4">
        <v>0</v>
      </c>
      <c r="W440" s="5" t="s">
        <v>72</v>
      </c>
      <c r="X440" s="5" t="s">
        <v>72</v>
      </c>
      <c r="Y440" s="4">
        <v>43</v>
      </c>
      <c r="Z440" s="4">
        <v>4</v>
      </c>
      <c r="AA440" s="4">
        <v>4</v>
      </c>
      <c r="AB440" s="4">
        <v>1</v>
      </c>
      <c r="AC440" s="4">
        <v>1</v>
      </c>
      <c r="AD440" s="4">
        <v>30</v>
      </c>
      <c r="AE440" s="4">
        <v>30</v>
      </c>
      <c r="AF440" s="4">
        <v>0</v>
      </c>
      <c r="AG440" s="4">
        <v>0</v>
      </c>
      <c r="AH440" s="4">
        <v>29</v>
      </c>
      <c r="AI440" s="4">
        <v>29</v>
      </c>
      <c r="AJ440" s="4">
        <v>2</v>
      </c>
      <c r="AK440" s="4">
        <v>2</v>
      </c>
      <c r="AL440" s="4">
        <v>22</v>
      </c>
      <c r="AM440" s="4">
        <v>22</v>
      </c>
      <c r="AN440" s="4">
        <v>0</v>
      </c>
      <c r="AO440" s="4">
        <v>0</v>
      </c>
      <c r="AP440" s="4">
        <v>2</v>
      </c>
      <c r="AQ440" s="4">
        <v>2</v>
      </c>
      <c r="AR440" s="3" t="s">
        <v>65</v>
      </c>
      <c r="AS440" s="3" t="s">
        <v>65</v>
      </c>
      <c r="AT440" s="3" t="s">
        <v>65</v>
      </c>
      <c r="AV440" s="6" t="str">
        <f>HYPERLINK("http://mcgill.on.worldcat.org/oclc/773016819","Catalog Record")</f>
        <v>Catalog Record</v>
      </c>
      <c r="AW440" s="6" t="str">
        <f>HYPERLINK("http://www.worldcat.org/oclc/773016819","WorldCat Record")</f>
        <v>WorldCat Record</v>
      </c>
      <c r="AX440" s="3" t="s">
        <v>4729</v>
      </c>
      <c r="AY440" s="3" t="s">
        <v>4730</v>
      </c>
      <c r="AZ440" s="3" t="s">
        <v>4731</v>
      </c>
      <c r="BA440" s="3" t="s">
        <v>4731</v>
      </c>
      <c r="BB440" s="3" t="s">
        <v>4732</v>
      </c>
      <c r="BC440" s="3" t="s">
        <v>77</v>
      </c>
      <c r="BD440" s="3" t="s">
        <v>78</v>
      </c>
      <c r="BE440" s="3" t="s">
        <v>4733</v>
      </c>
      <c r="BF440" s="3" t="s">
        <v>4732</v>
      </c>
      <c r="BG440" s="3" t="s">
        <v>4734</v>
      </c>
    </row>
    <row r="441" spans="1:59" ht="58" x14ac:dyDescent="0.35">
      <c r="A441" s="2" t="s">
        <v>59</v>
      </c>
      <c r="B441" s="2" t="s">
        <v>60</v>
      </c>
      <c r="C441" s="2" t="s">
        <v>4735</v>
      </c>
      <c r="D441" s="2" t="s">
        <v>4736</v>
      </c>
      <c r="E441" s="2" t="s">
        <v>4737</v>
      </c>
      <c r="G441" s="3" t="s">
        <v>65</v>
      </c>
      <c r="I441" s="3" t="s">
        <v>65</v>
      </c>
      <c r="J441" s="3" t="s">
        <v>65</v>
      </c>
      <c r="K441" s="3" t="s">
        <v>66</v>
      </c>
      <c r="L441" s="2" t="s">
        <v>4738</v>
      </c>
      <c r="M441" s="2" t="s">
        <v>4739</v>
      </c>
      <c r="N441" s="3" t="s">
        <v>126</v>
      </c>
      <c r="P441" s="3" t="s">
        <v>140</v>
      </c>
      <c r="Q441" s="2" t="s">
        <v>4740</v>
      </c>
      <c r="R441" s="3" t="s">
        <v>71</v>
      </c>
      <c r="S441" s="4">
        <v>0</v>
      </c>
      <c r="T441" s="4">
        <v>0</v>
      </c>
      <c r="W441" s="5" t="s">
        <v>72</v>
      </c>
      <c r="X441" s="5" t="s">
        <v>72</v>
      </c>
      <c r="Y441" s="4">
        <v>30</v>
      </c>
      <c r="Z441" s="4">
        <v>3</v>
      </c>
      <c r="AA441" s="4">
        <v>3</v>
      </c>
      <c r="AB441" s="4">
        <v>1</v>
      </c>
      <c r="AC441" s="4">
        <v>1</v>
      </c>
      <c r="AD441" s="4">
        <v>23</v>
      </c>
      <c r="AE441" s="4">
        <v>23</v>
      </c>
      <c r="AF441" s="4">
        <v>0</v>
      </c>
      <c r="AG441" s="4">
        <v>0</v>
      </c>
      <c r="AH441" s="4">
        <v>22</v>
      </c>
      <c r="AI441" s="4">
        <v>22</v>
      </c>
      <c r="AJ441" s="4">
        <v>1</v>
      </c>
      <c r="AK441" s="4">
        <v>1</v>
      </c>
      <c r="AL441" s="4">
        <v>18</v>
      </c>
      <c r="AM441" s="4">
        <v>18</v>
      </c>
      <c r="AN441" s="4">
        <v>0</v>
      </c>
      <c r="AO441" s="4">
        <v>0</v>
      </c>
      <c r="AP441" s="4">
        <v>1</v>
      </c>
      <c r="AQ441" s="4">
        <v>1</v>
      </c>
      <c r="AR441" s="3" t="s">
        <v>65</v>
      </c>
      <c r="AS441" s="3" t="s">
        <v>65</v>
      </c>
      <c r="AT441" s="3" t="s">
        <v>65</v>
      </c>
      <c r="AV441" s="6" t="str">
        <f>HYPERLINK("http://mcgill.on.worldcat.org/oclc/733222610","Catalog Record")</f>
        <v>Catalog Record</v>
      </c>
      <c r="AW441" s="6" t="str">
        <f>HYPERLINK("http://www.worldcat.org/oclc/733222610","WorldCat Record")</f>
        <v>WorldCat Record</v>
      </c>
      <c r="AX441" s="3" t="s">
        <v>4741</v>
      </c>
      <c r="AY441" s="3" t="s">
        <v>4742</v>
      </c>
      <c r="AZ441" s="3" t="s">
        <v>4743</v>
      </c>
      <c r="BA441" s="3" t="s">
        <v>4743</v>
      </c>
      <c r="BB441" s="3" t="s">
        <v>4744</v>
      </c>
      <c r="BC441" s="3" t="s">
        <v>77</v>
      </c>
      <c r="BD441" s="3" t="s">
        <v>78</v>
      </c>
      <c r="BE441" s="3" t="s">
        <v>4745</v>
      </c>
      <c r="BF441" s="3" t="s">
        <v>4744</v>
      </c>
      <c r="BG441" s="3" t="s">
        <v>4746</v>
      </c>
    </row>
    <row r="442" spans="1:59" ht="58" x14ac:dyDescent="0.35">
      <c r="A442" s="2" t="s">
        <v>59</v>
      </c>
      <c r="B442" s="2" t="s">
        <v>60</v>
      </c>
      <c r="C442" s="2" t="s">
        <v>4747</v>
      </c>
      <c r="D442" s="2" t="s">
        <v>4748</v>
      </c>
      <c r="E442" s="2" t="s">
        <v>4749</v>
      </c>
      <c r="G442" s="3" t="s">
        <v>65</v>
      </c>
      <c r="I442" s="3" t="s">
        <v>65</v>
      </c>
      <c r="J442" s="3" t="s">
        <v>65</v>
      </c>
      <c r="K442" s="3" t="s">
        <v>66</v>
      </c>
      <c r="L442" s="2" t="s">
        <v>4750</v>
      </c>
      <c r="M442" s="2" t="s">
        <v>2603</v>
      </c>
      <c r="N442" s="3" t="s">
        <v>139</v>
      </c>
      <c r="O442" s="2" t="s">
        <v>365</v>
      </c>
      <c r="P442" s="3" t="s">
        <v>140</v>
      </c>
      <c r="Q442" s="2" t="s">
        <v>4751</v>
      </c>
      <c r="R442" s="3" t="s">
        <v>71</v>
      </c>
      <c r="S442" s="4">
        <v>0</v>
      </c>
      <c r="T442" s="4">
        <v>0</v>
      </c>
      <c r="W442" s="5" t="s">
        <v>72</v>
      </c>
      <c r="X442" s="5" t="s">
        <v>72</v>
      </c>
      <c r="Y442" s="4">
        <v>21</v>
      </c>
      <c r="Z442" s="4">
        <v>3</v>
      </c>
      <c r="AA442" s="4">
        <v>3</v>
      </c>
      <c r="AB442" s="4">
        <v>1</v>
      </c>
      <c r="AC442" s="4">
        <v>1</v>
      </c>
      <c r="AD442" s="4">
        <v>13</v>
      </c>
      <c r="AE442" s="4">
        <v>18</v>
      </c>
      <c r="AF442" s="4">
        <v>0</v>
      </c>
      <c r="AG442" s="4">
        <v>0</v>
      </c>
      <c r="AH442" s="4">
        <v>13</v>
      </c>
      <c r="AI442" s="4">
        <v>17</v>
      </c>
      <c r="AJ442" s="4">
        <v>1</v>
      </c>
      <c r="AK442" s="4">
        <v>1</v>
      </c>
      <c r="AL442" s="4">
        <v>9</v>
      </c>
      <c r="AM442" s="4">
        <v>14</v>
      </c>
      <c r="AN442" s="4">
        <v>0</v>
      </c>
      <c r="AO442" s="4">
        <v>0</v>
      </c>
      <c r="AP442" s="4">
        <v>1</v>
      </c>
      <c r="AQ442" s="4">
        <v>1</v>
      </c>
      <c r="AR442" s="3" t="s">
        <v>65</v>
      </c>
      <c r="AS442" s="3" t="s">
        <v>65</v>
      </c>
      <c r="AT442" s="3" t="s">
        <v>65</v>
      </c>
      <c r="AV442" s="6" t="str">
        <f>HYPERLINK("http://mcgill.on.worldcat.org/oclc/793723325","Catalog Record")</f>
        <v>Catalog Record</v>
      </c>
      <c r="AW442" s="6" t="str">
        <f>HYPERLINK("http://www.worldcat.org/oclc/793723325","WorldCat Record")</f>
        <v>WorldCat Record</v>
      </c>
      <c r="AX442" s="3" t="s">
        <v>4752</v>
      </c>
      <c r="AY442" s="3" t="s">
        <v>4753</v>
      </c>
      <c r="AZ442" s="3" t="s">
        <v>4754</v>
      </c>
      <c r="BA442" s="3" t="s">
        <v>4754</v>
      </c>
      <c r="BB442" s="3" t="s">
        <v>4755</v>
      </c>
      <c r="BC442" s="3" t="s">
        <v>77</v>
      </c>
      <c r="BD442" s="3" t="s">
        <v>78</v>
      </c>
      <c r="BE442" s="3" t="s">
        <v>4756</v>
      </c>
      <c r="BF442" s="3" t="s">
        <v>4755</v>
      </c>
      <c r="BG442" s="3" t="s">
        <v>4757</v>
      </c>
    </row>
    <row r="443" spans="1:59" ht="58" x14ac:dyDescent="0.35">
      <c r="A443" s="2" t="s">
        <v>59</v>
      </c>
      <c r="B443" s="2" t="s">
        <v>60</v>
      </c>
      <c r="C443" s="2" t="s">
        <v>4758</v>
      </c>
      <c r="D443" s="2" t="s">
        <v>4759</v>
      </c>
      <c r="E443" s="2" t="s">
        <v>4760</v>
      </c>
      <c r="G443" s="3" t="s">
        <v>65</v>
      </c>
      <c r="I443" s="3" t="s">
        <v>65</v>
      </c>
      <c r="J443" s="3" t="s">
        <v>65</v>
      </c>
      <c r="K443" s="3" t="s">
        <v>66</v>
      </c>
      <c r="L443" s="2" t="s">
        <v>4761</v>
      </c>
      <c r="M443" s="2" t="s">
        <v>4006</v>
      </c>
      <c r="N443" s="3" t="s">
        <v>152</v>
      </c>
      <c r="P443" s="3" t="s">
        <v>69</v>
      </c>
      <c r="Q443" s="2" t="s">
        <v>1197</v>
      </c>
      <c r="R443" s="3" t="s">
        <v>71</v>
      </c>
      <c r="S443" s="4">
        <v>0</v>
      </c>
      <c r="T443" s="4">
        <v>0</v>
      </c>
      <c r="W443" s="5" t="s">
        <v>72</v>
      </c>
      <c r="X443" s="5" t="s">
        <v>72</v>
      </c>
      <c r="Y443" s="4">
        <v>146</v>
      </c>
      <c r="Z443" s="4">
        <v>21</v>
      </c>
      <c r="AA443" s="4">
        <v>91</v>
      </c>
      <c r="AB443" s="4">
        <v>1</v>
      </c>
      <c r="AC443" s="4">
        <v>16</v>
      </c>
      <c r="AD443" s="4">
        <v>81</v>
      </c>
      <c r="AE443" s="4">
        <v>129</v>
      </c>
      <c r="AF443" s="4">
        <v>0</v>
      </c>
      <c r="AG443" s="4">
        <v>8</v>
      </c>
      <c r="AH443" s="4">
        <v>68</v>
      </c>
      <c r="AI443" s="4">
        <v>87</v>
      </c>
      <c r="AJ443" s="4">
        <v>16</v>
      </c>
      <c r="AK443" s="4">
        <v>26</v>
      </c>
      <c r="AL443" s="4">
        <v>45</v>
      </c>
      <c r="AM443" s="4">
        <v>50</v>
      </c>
      <c r="AN443" s="4">
        <v>0</v>
      </c>
      <c r="AO443" s="4">
        <v>0</v>
      </c>
      <c r="AP443" s="4">
        <v>17</v>
      </c>
      <c r="AQ443" s="4">
        <v>50</v>
      </c>
      <c r="AR443" s="3" t="s">
        <v>209</v>
      </c>
      <c r="AS443" s="3" t="s">
        <v>65</v>
      </c>
      <c r="AT443" s="3" t="s">
        <v>65</v>
      </c>
      <c r="AV443" s="6" t="str">
        <f>HYPERLINK("http://mcgill.on.worldcat.org/oclc/830628000","Catalog Record")</f>
        <v>Catalog Record</v>
      </c>
      <c r="AW443" s="6" t="str">
        <f>HYPERLINK("http://www.worldcat.org/oclc/830628000","WorldCat Record")</f>
        <v>WorldCat Record</v>
      </c>
      <c r="AX443" s="3" t="s">
        <v>4762</v>
      </c>
      <c r="AY443" s="3" t="s">
        <v>4763</v>
      </c>
      <c r="AZ443" s="3" t="s">
        <v>4764</v>
      </c>
      <c r="BA443" s="3" t="s">
        <v>4764</v>
      </c>
      <c r="BB443" s="3" t="s">
        <v>4765</v>
      </c>
      <c r="BC443" s="3" t="s">
        <v>77</v>
      </c>
      <c r="BD443" s="3" t="s">
        <v>78</v>
      </c>
      <c r="BE443" s="3" t="s">
        <v>4766</v>
      </c>
      <c r="BF443" s="3" t="s">
        <v>4765</v>
      </c>
      <c r="BG443" s="3" t="s">
        <v>4767</v>
      </c>
    </row>
    <row r="444" spans="1:59" ht="72.5" x14ac:dyDescent="0.35">
      <c r="A444" s="2" t="s">
        <v>59</v>
      </c>
      <c r="B444" s="2" t="s">
        <v>60</v>
      </c>
      <c r="C444" s="2" t="s">
        <v>4768</v>
      </c>
      <c r="D444" s="2" t="s">
        <v>4769</v>
      </c>
      <c r="E444" s="2" t="s">
        <v>4770</v>
      </c>
      <c r="G444" s="3" t="s">
        <v>65</v>
      </c>
      <c r="I444" s="3" t="s">
        <v>65</v>
      </c>
      <c r="J444" s="3" t="s">
        <v>65</v>
      </c>
      <c r="K444" s="3" t="s">
        <v>66</v>
      </c>
      <c r="L444" s="2" t="s">
        <v>4771</v>
      </c>
      <c r="M444" s="2" t="s">
        <v>4772</v>
      </c>
      <c r="N444" s="3" t="s">
        <v>152</v>
      </c>
      <c r="P444" s="3" t="s">
        <v>140</v>
      </c>
      <c r="Q444" s="2" t="s">
        <v>4773</v>
      </c>
      <c r="R444" s="3" t="s">
        <v>71</v>
      </c>
      <c r="S444" s="4">
        <v>0</v>
      </c>
      <c r="T444" s="4">
        <v>0</v>
      </c>
      <c r="U444" s="5" t="s">
        <v>2061</v>
      </c>
      <c r="V444" s="5" t="s">
        <v>2061</v>
      </c>
      <c r="W444" s="5" t="s">
        <v>72</v>
      </c>
      <c r="X444" s="5" t="s">
        <v>72</v>
      </c>
      <c r="Y444" s="4">
        <v>35</v>
      </c>
      <c r="Z444" s="4">
        <v>3</v>
      </c>
      <c r="AA444" s="4">
        <v>3</v>
      </c>
      <c r="AB444" s="4">
        <v>1</v>
      </c>
      <c r="AC444" s="4">
        <v>1</v>
      </c>
      <c r="AD444" s="4">
        <v>23</v>
      </c>
      <c r="AE444" s="4">
        <v>23</v>
      </c>
      <c r="AF444" s="4">
        <v>0</v>
      </c>
      <c r="AG444" s="4">
        <v>0</v>
      </c>
      <c r="AH444" s="4">
        <v>22</v>
      </c>
      <c r="AI444" s="4">
        <v>22</v>
      </c>
      <c r="AJ444" s="4">
        <v>1</v>
      </c>
      <c r="AK444" s="4">
        <v>1</v>
      </c>
      <c r="AL444" s="4">
        <v>19</v>
      </c>
      <c r="AM444" s="4">
        <v>19</v>
      </c>
      <c r="AN444" s="4">
        <v>0</v>
      </c>
      <c r="AO444" s="4">
        <v>0</v>
      </c>
      <c r="AP444" s="4">
        <v>1</v>
      </c>
      <c r="AQ444" s="4">
        <v>1</v>
      </c>
      <c r="AR444" s="3" t="s">
        <v>65</v>
      </c>
      <c r="AS444" s="3" t="s">
        <v>65</v>
      </c>
      <c r="AT444" s="3" t="s">
        <v>65</v>
      </c>
      <c r="AV444" s="6" t="str">
        <f>HYPERLINK("http://mcgill.on.worldcat.org/oclc/841762444","Catalog Record")</f>
        <v>Catalog Record</v>
      </c>
      <c r="AW444" s="6" t="str">
        <f>HYPERLINK("http://www.worldcat.org/oclc/841762444","WorldCat Record")</f>
        <v>WorldCat Record</v>
      </c>
      <c r="AX444" s="3" t="s">
        <v>4774</v>
      </c>
      <c r="AY444" s="3" t="s">
        <v>4775</v>
      </c>
      <c r="AZ444" s="3" t="s">
        <v>4776</v>
      </c>
      <c r="BA444" s="3" t="s">
        <v>4776</v>
      </c>
      <c r="BB444" s="3" t="s">
        <v>4777</v>
      </c>
      <c r="BC444" s="3" t="s">
        <v>77</v>
      </c>
      <c r="BD444" s="3" t="s">
        <v>78</v>
      </c>
      <c r="BE444" s="3" t="s">
        <v>4778</v>
      </c>
      <c r="BF444" s="3" t="s">
        <v>4777</v>
      </c>
      <c r="BG444" s="3" t="s">
        <v>4779</v>
      </c>
    </row>
    <row r="445" spans="1:59" ht="58" x14ac:dyDescent="0.35">
      <c r="A445" s="2" t="s">
        <v>59</v>
      </c>
      <c r="B445" s="2" t="s">
        <v>60</v>
      </c>
      <c r="C445" s="2" t="s">
        <v>4780</v>
      </c>
      <c r="D445" s="2" t="s">
        <v>4781</v>
      </c>
      <c r="E445" s="2" t="s">
        <v>4782</v>
      </c>
      <c r="G445" s="3" t="s">
        <v>65</v>
      </c>
      <c r="I445" s="3" t="s">
        <v>65</v>
      </c>
      <c r="J445" s="3" t="s">
        <v>65</v>
      </c>
      <c r="K445" s="3" t="s">
        <v>66</v>
      </c>
      <c r="M445" s="2" t="s">
        <v>4783</v>
      </c>
      <c r="N445" s="3" t="s">
        <v>221</v>
      </c>
      <c r="P445" s="3" t="s">
        <v>140</v>
      </c>
      <c r="Q445" s="2" t="s">
        <v>4784</v>
      </c>
      <c r="R445" s="3" t="s">
        <v>71</v>
      </c>
      <c r="S445" s="4">
        <v>5</v>
      </c>
      <c r="T445" s="4">
        <v>5</v>
      </c>
      <c r="U445" s="5" t="s">
        <v>2306</v>
      </c>
      <c r="V445" s="5" t="s">
        <v>2306</v>
      </c>
      <c r="W445" s="5" t="s">
        <v>72</v>
      </c>
      <c r="X445" s="5" t="s">
        <v>72</v>
      </c>
      <c r="Y445" s="4">
        <v>60</v>
      </c>
      <c r="Z445" s="4">
        <v>5</v>
      </c>
      <c r="AA445" s="4">
        <v>5</v>
      </c>
      <c r="AB445" s="4">
        <v>1</v>
      </c>
      <c r="AC445" s="4">
        <v>1</v>
      </c>
      <c r="AD445" s="4">
        <v>33</v>
      </c>
      <c r="AE445" s="4">
        <v>33</v>
      </c>
      <c r="AF445" s="4">
        <v>0</v>
      </c>
      <c r="AG445" s="4">
        <v>0</v>
      </c>
      <c r="AH445" s="4">
        <v>30</v>
      </c>
      <c r="AI445" s="4">
        <v>30</v>
      </c>
      <c r="AJ445" s="4">
        <v>3</v>
      </c>
      <c r="AK445" s="4">
        <v>3</v>
      </c>
      <c r="AL445" s="4">
        <v>26</v>
      </c>
      <c r="AM445" s="4">
        <v>26</v>
      </c>
      <c r="AN445" s="4">
        <v>0</v>
      </c>
      <c r="AO445" s="4">
        <v>0</v>
      </c>
      <c r="AP445" s="4">
        <v>3</v>
      </c>
      <c r="AQ445" s="4">
        <v>3</v>
      </c>
      <c r="AR445" s="3" t="s">
        <v>65</v>
      </c>
      <c r="AS445" s="3" t="s">
        <v>65</v>
      </c>
      <c r="AT445" s="3" t="s">
        <v>209</v>
      </c>
      <c r="AU445" s="6" t="str">
        <f>HYPERLINK("http://catalog.hathitrust.org/Record/005667662","HathiTrust Record")</f>
        <v>HathiTrust Record</v>
      </c>
      <c r="AV445" s="6" t="str">
        <f>HYPERLINK("http://mcgill.on.worldcat.org/oclc/180014329","Catalog Record")</f>
        <v>Catalog Record</v>
      </c>
      <c r="AW445" s="6" t="str">
        <f>HYPERLINK("http://www.worldcat.org/oclc/180014329","WorldCat Record")</f>
        <v>WorldCat Record</v>
      </c>
      <c r="AX445" s="3" t="s">
        <v>4785</v>
      </c>
      <c r="AY445" s="3" t="s">
        <v>4786</v>
      </c>
      <c r="AZ445" s="3" t="s">
        <v>4787</v>
      </c>
      <c r="BA445" s="3" t="s">
        <v>4787</v>
      </c>
      <c r="BB445" s="3" t="s">
        <v>4788</v>
      </c>
      <c r="BC445" s="3" t="s">
        <v>77</v>
      </c>
      <c r="BD445" s="3" t="s">
        <v>78</v>
      </c>
      <c r="BE445" s="3" t="s">
        <v>4789</v>
      </c>
      <c r="BF445" s="3" t="s">
        <v>4788</v>
      </c>
      <c r="BG445" s="3" t="s">
        <v>4790</v>
      </c>
    </row>
    <row r="446" spans="1:59" ht="58" x14ac:dyDescent="0.35">
      <c r="A446" s="2" t="s">
        <v>59</v>
      </c>
      <c r="B446" s="2" t="s">
        <v>60</v>
      </c>
      <c r="C446" s="2" t="s">
        <v>4791</v>
      </c>
      <c r="D446" s="2" t="s">
        <v>4792</v>
      </c>
      <c r="E446" s="2" t="s">
        <v>4793</v>
      </c>
      <c r="G446" s="3" t="s">
        <v>65</v>
      </c>
      <c r="I446" s="3" t="s">
        <v>65</v>
      </c>
      <c r="J446" s="3" t="s">
        <v>65</v>
      </c>
      <c r="K446" s="3" t="s">
        <v>66</v>
      </c>
      <c r="M446" s="2" t="s">
        <v>4794</v>
      </c>
      <c r="N446" s="3" t="s">
        <v>164</v>
      </c>
      <c r="P446" s="3" t="s">
        <v>69</v>
      </c>
      <c r="Q446" s="2" t="s">
        <v>4795</v>
      </c>
      <c r="R446" s="3" t="s">
        <v>71</v>
      </c>
      <c r="S446" s="4">
        <v>0</v>
      </c>
      <c r="T446" s="4">
        <v>0</v>
      </c>
      <c r="W446" s="5" t="s">
        <v>72</v>
      </c>
      <c r="X446" s="5" t="s">
        <v>72</v>
      </c>
      <c r="Y446" s="4">
        <v>222</v>
      </c>
      <c r="Z446" s="4">
        <v>19</v>
      </c>
      <c r="AA446" s="4">
        <v>19</v>
      </c>
      <c r="AB446" s="4">
        <v>1</v>
      </c>
      <c r="AC446" s="4">
        <v>1</v>
      </c>
      <c r="AD446" s="4">
        <v>70</v>
      </c>
      <c r="AE446" s="4">
        <v>70</v>
      </c>
      <c r="AF446" s="4">
        <v>0</v>
      </c>
      <c r="AG446" s="4">
        <v>0</v>
      </c>
      <c r="AH446" s="4">
        <v>65</v>
      </c>
      <c r="AI446" s="4">
        <v>65</v>
      </c>
      <c r="AJ446" s="4">
        <v>9</v>
      </c>
      <c r="AK446" s="4">
        <v>9</v>
      </c>
      <c r="AL446" s="4">
        <v>37</v>
      </c>
      <c r="AM446" s="4">
        <v>37</v>
      </c>
      <c r="AN446" s="4">
        <v>0</v>
      </c>
      <c r="AO446" s="4">
        <v>0</v>
      </c>
      <c r="AP446" s="4">
        <v>9</v>
      </c>
      <c r="AQ446" s="4">
        <v>9</v>
      </c>
      <c r="AR446" s="3" t="s">
        <v>65</v>
      </c>
      <c r="AS446" s="3" t="s">
        <v>65</v>
      </c>
      <c r="AT446" s="3" t="s">
        <v>65</v>
      </c>
      <c r="AV446" s="6" t="str">
        <f>HYPERLINK("http://mcgill.on.worldcat.org/oclc/859252930","Catalog Record")</f>
        <v>Catalog Record</v>
      </c>
      <c r="AW446" s="6" t="str">
        <f>HYPERLINK("http://www.worldcat.org/oclc/859252930","WorldCat Record")</f>
        <v>WorldCat Record</v>
      </c>
      <c r="AX446" s="3" t="s">
        <v>4796</v>
      </c>
      <c r="AY446" s="3" t="s">
        <v>4797</v>
      </c>
      <c r="AZ446" s="3" t="s">
        <v>4798</v>
      </c>
      <c r="BA446" s="3" t="s">
        <v>4798</v>
      </c>
      <c r="BB446" s="3" t="s">
        <v>4799</v>
      </c>
      <c r="BC446" s="3" t="s">
        <v>77</v>
      </c>
      <c r="BD446" s="3" t="s">
        <v>78</v>
      </c>
      <c r="BE446" s="3" t="s">
        <v>4800</v>
      </c>
      <c r="BF446" s="3" t="s">
        <v>4799</v>
      </c>
      <c r="BG446" s="3" t="s">
        <v>4801</v>
      </c>
    </row>
    <row r="447" spans="1:59" ht="58" x14ac:dyDescent="0.35">
      <c r="A447" s="2" t="s">
        <v>59</v>
      </c>
      <c r="B447" s="2" t="s">
        <v>60</v>
      </c>
      <c r="C447" s="2" t="s">
        <v>4802</v>
      </c>
      <c r="D447" s="2" t="s">
        <v>4803</v>
      </c>
      <c r="E447" s="2" t="s">
        <v>4804</v>
      </c>
      <c r="G447" s="3" t="s">
        <v>65</v>
      </c>
      <c r="I447" s="3" t="s">
        <v>65</v>
      </c>
      <c r="J447" s="3" t="s">
        <v>65</v>
      </c>
      <c r="K447" s="3" t="s">
        <v>66</v>
      </c>
      <c r="L447" s="2" t="s">
        <v>4805</v>
      </c>
      <c r="M447" s="2" t="s">
        <v>4806</v>
      </c>
      <c r="N447" s="3" t="s">
        <v>188</v>
      </c>
      <c r="P447" s="3" t="s">
        <v>140</v>
      </c>
      <c r="Q447" s="2" t="s">
        <v>4807</v>
      </c>
      <c r="R447" s="3" t="s">
        <v>71</v>
      </c>
      <c r="S447" s="4">
        <v>0</v>
      </c>
      <c r="T447" s="4">
        <v>0</v>
      </c>
      <c r="W447" s="5" t="s">
        <v>72</v>
      </c>
      <c r="X447" s="5" t="s">
        <v>72</v>
      </c>
      <c r="Y447" s="4">
        <v>23</v>
      </c>
      <c r="Z447" s="4">
        <v>1</v>
      </c>
      <c r="AA447" s="4">
        <v>1</v>
      </c>
      <c r="AB447" s="4">
        <v>1</v>
      </c>
      <c r="AC447" s="4">
        <v>1</v>
      </c>
      <c r="AD447" s="4">
        <v>17</v>
      </c>
      <c r="AE447" s="4">
        <v>17</v>
      </c>
      <c r="AF447" s="4">
        <v>0</v>
      </c>
      <c r="AG447" s="4">
        <v>0</v>
      </c>
      <c r="AH447" s="4">
        <v>16</v>
      </c>
      <c r="AI447" s="4">
        <v>16</v>
      </c>
      <c r="AJ447" s="4">
        <v>0</v>
      </c>
      <c r="AK447" s="4">
        <v>0</v>
      </c>
      <c r="AL447" s="4">
        <v>16</v>
      </c>
      <c r="AM447" s="4">
        <v>16</v>
      </c>
      <c r="AN447" s="4">
        <v>0</v>
      </c>
      <c r="AO447" s="4">
        <v>0</v>
      </c>
      <c r="AP447" s="4">
        <v>0</v>
      </c>
      <c r="AQ447" s="4">
        <v>0</v>
      </c>
      <c r="AR447" s="3" t="s">
        <v>65</v>
      </c>
      <c r="AS447" s="3" t="s">
        <v>65</v>
      </c>
      <c r="AT447" s="3" t="s">
        <v>65</v>
      </c>
      <c r="AV447" s="6" t="str">
        <f>HYPERLINK("http://mcgill.on.worldcat.org/oclc/1019739360","Catalog Record")</f>
        <v>Catalog Record</v>
      </c>
      <c r="AW447" s="6" t="str">
        <f>HYPERLINK("http://www.worldcat.org/oclc/1019739360","WorldCat Record")</f>
        <v>WorldCat Record</v>
      </c>
      <c r="AX447" s="3" t="s">
        <v>4808</v>
      </c>
      <c r="AY447" s="3" t="s">
        <v>4809</v>
      </c>
      <c r="AZ447" s="3" t="s">
        <v>4810</v>
      </c>
      <c r="BA447" s="3" t="s">
        <v>4810</v>
      </c>
      <c r="BB447" s="3" t="s">
        <v>4811</v>
      </c>
      <c r="BC447" s="3" t="s">
        <v>77</v>
      </c>
      <c r="BD447" s="3" t="s">
        <v>78</v>
      </c>
      <c r="BE447" s="3" t="s">
        <v>4812</v>
      </c>
      <c r="BF447" s="3" t="s">
        <v>4811</v>
      </c>
      <c r="BG447" s="3" t="s">
        <v>4813</v>
      </c>
    </row>
    <row r="448" spans="1:59" ht="58" x14ac:dyDescent="0.35">
      <c r="A448" s="2" t="s">
        <v>59</v>
      </c>
      <c r="B448" s="2" t="s">
        <v>60</v>
      </c>
      <c r="C448" s="2" t="s">
        <v>4814</v>
      </c>
      <c r="D448" s="2" t="s">
        <v>4815</v>
      </c>
      <c r="E448" s="2" t="s">
        <v>4816</v>
      </c>
      <c r="G448" s="3" t="s">
        <v>65</v>
      </c>
      <c r="I448" s="3" t="s">
        <v>65</v>
      </c>
      <c r="J448" s="3" t="s">
        <v>65</v>
      </c>
      <c r="K448" s="3" t="s">
        <v>66</v>
      </c>
      <c r="L448" s="2" t="s">
        <v>4817</v>
      </c>
      <c r="M448" s="2" t="s">
        <v>4818</v>
      </c>
      <c r="N448" s="3" t="s">
        <v>2750</v>
      </c>
      <c r="P448" s="3" t="s">
        <v>4819</v>
      </c>
      <c r="Q448" s="2" t="s">
        <v>4820</v>
      </c>
      <c r="R448" s="3" t="s">
        <v>71</v>
      </c>
      <c r="S448" s="4">
        <v>1</v>
      </c>
      <c r="T448" s="4">
        <v>1</v>
      </c>
      <c r="U448" s="5" t="s">
        <v>4821</v>
      </c>
      <c r="V448" s="5" t="s">
        <v>4821</v>
      </c>
      <c r="W448" s="5" t="s">
        <v>72</v>
      </c>
      <c r="X448" s="5" t="s">
        <v>72</v>
      </c>
      <c r="Y448" s="4">
        <v>76</v>
      </c>
      <c r="Z448" s="4">
        <v>8</v>
      </c>
      <c r="AA448" s="4">
        <v>8</v>
      </c>
      <c r="AB448" s="4">
        <v>1</v>
      </c>
      <c r="AC448" s="4">
        <v>1</v>
      </c>
      <c r="AD448" s="4">
        <v>42</v>
      </c>
      <c r="AE448" s="4">
        <v>42</v>
      </c>
      <c r="AF448" s="4">
        <v>0</v>
      </c>
      <c r="AG448" s="4">
        <v>0</v>
      </c>
      <c r="AH448" s="4">
        <v>38</v>
      </c>
      <c r="AI448" s="4">
        <v>38</v>
      </c>
      <c r="AJ448" s="4">
        <v>5</v>
      </c>
      <c r="AK448" s="4">
        <v>5</v>
      </c>
      <c r="AL448" s="4">
        <v>27</v>
      </c>
      <c r="AM448" s="4">
        <v>27</v>
      </c>
      <c r="AN448" s="4">
        <v>0</v>
      </c>
      <c r="AO448" s="4">
        <v>0</v>
      </c>
      <c r="AP448" s="4">
        <v>5</v>
      </c>
      <c r="AQ448" s="4">
        <v>5</v>
      </c>
      <c r="AR448" s="3" t="s">
        <v>65</v>
      </c>
      <c r="AS448" s="3" t="s">
        <v>65</v>
      </c>
      <c r="AT448" s="3" t="s">
        <v>209</v>
      </c>
      <c r="AU448" s="6" t="str">
        <f>HYPERLINK("http://catalog.hathitrust.org/Record/000683844","HathiTrust Record")</f>
        <v>HathiTrust Record</v>
      </c>
      <c r="AV448" s="6" t="str">
        <f>HYPERLINK("http://mcgill.on.worldcat.org/oclc/2151789","Catalog Record")</f>
        <v>Catalog Record</v>
      </c>
      <c r="AW448" s="6" t="str">
        <f>HYPERLINK("http://www.worldcat.org/oclc/2151789","WorldCat Record")</f>
        <v>WorldCat Record</v>
      </c>
      <c r="AX448" s="3" t="s">
        <v>4822</v>
      </c>
      <c r="AY448" s="3" t="s">
        <v>4823</v>
      </c>
      <c r="AZ448" s="3" t="s">
        <v>4824</v>
      </c>
      <c r="BA448" s="3" t="s">
        <v>4824</v>
      </c>
      <c r="BB448" s="3" t="s">
        <v>4825</v>
      </c>
      <c r="BC448" s="3" t="s">
        <v>77</v>
      </c>
      <c r="BD448" s="3" t="s">
        <v>78</v>
      </c>
      <c r="BE448" s="3" t="s">
        <v>4826</v>
      </c>
      <c r="BF448" s="3" t="s">
        <v>4825</v>
      </c>
      <c r="BG448" s="3" t="s">
        <v>4827</v>
      </c>
    </row>
    <row r="449" spans="1:59" ht="58" x14ac:dyDescent="0.35">
      <c r="A449" s="2" t="s">
        <v>59</v>
      </c>
      <c r="B449" s="2" t="s">
        <v>60</v>
      </c>
      <c r="C449" s="2" t="s">
        <v>4828</v>
      </c>
      <c r="D449" s="2" t="s">
        <v>4829</v>
      </c>
      <c r="E449" s="2" t="s">
        <v>4830</v>
      </c>
      <c r="G449" s="3" t="s">
        <v>65</v>
      </c>
      <c r="I449" s="3" t="s">
        <v>65</v>
      </c>
      <c r="J449" s="3" t="s">
        <v>65</v>
      </c>
      <c r="K449" s="3" t="s">
        <v>66</v>
      </c>
      <c r="L449" s="2" t="s">
        <v>4831</v>
      </c>
      <c r="M449" s="2" t="s">
        <v>2256</v>
      </c>
      <c r="N449" s="3" t="s">
        <v>126</v>
      </c>
      <c r="O449" s="2" t="s">
        <v>365</v>
      </c>
      <c r="P449" s="3" t="s">
        <v>140</v>
      </c>
      <c r="Q449" s="2" t="s">
        <v>4832</v>
      </c>
      <c r="R449" s="3" t="s">
        <v>71</v>
      </c>
      <c r="S449" s="4">
        <v>2</v>
      </c>
      <c r="T449" s="4">
        <v>2</v>
      </c>
      <c r="U449" s="5" t="s">
        <v>4833</v>
      </c>
      <c r="V449" s="5" t="s">
        <v>4833</v>
      </c>
      <c r="W449" s="5" t="s">
        <v>72</v>
      </c>
      <c r="X449" s="5" t="s">
        <v>72</v>
      </c>
      <c r="Y449" s="4">
        <v>54</v>
      </c>
      <c r="Z449" s="4">
        <v>5</v>
      </c>
      <c r="AA449" s="4">
        <v>5</v>
      </c>
      <c r="AB449" s="4">
        <v>1</v>
      </c>
      <c r="AC449" s="4">
        <v>1</v>
      </c>
      <c r="AD449" s="4">
        <v>35</v>
      </c>
      <c r="AE449" s="4">
        <v>35</v>
      </c>
      <c r="AF449" s="4">
        <v>0</v>
      </c>
      <c r="AG449" s="4">
        <v>0</v>
      </c>
      <c r="AH449" s="4">
        <v>33</v>
      </c>
      <c r="AI449" s="4">
        <v>33</v>
      </c>
      <c r="AJ449" s="4">
        <v>3</v>
      </c>
      <c r="AK449" s="4">
        <v>3</v>
      </c>
      <c r="AL449" s="4">
        <v>26</v>
      </c>
      <c r="AM449" s="4">
        <v>26</v>
      </c>
      <c r="AN449" s="4">
        <v>0</v>
      </c>
      <c r="AO449" s="4">
        <v>0</v>
      </c>
      <c r="AP449" s="4">
        <v>3</v>
      </c>
      <c r="AQ449" s="4">
        <v>3</v>
      </c>
      <c r="AR449" s="3" t="s">
        <v>65</v>
      </c>
      <c r="AS449" s="3" t="s">
        <v>65</v>
      </c>
      <c r="AT449" s="3" t="s">
        <v>65</v>
      </c>
      <c r="AV449" s="6" t="str">
        <f>HYPERLINK("http://mcgill.on.worldcat.org/oclc/682881326","Catalog Record")</f>
        <v>Catalog Record</v>
      </c>
      <c r="AW449" s="6" t="str">
        <f>HYPERLINK("http://www.worldcat.org/oclc/682881326","WorldCat Record")</f>
        <v>WorldCat Record</v>
      </c>
      <c r="AX449" s="3" t="s">
        <v>4834</v>
      </c>
      <c r="AY449" s="3" t="s">
        <v>4835</v>
      </c>
      <c r="AZ449" s="3" t="s">
        <v>4836</v>
      </c>
      <c r="BA449" s="3" t="s">
        <v>4836</v>
      </c>
      <c r="BB449" s="3" t="s">
        <v>4837</v>
      </c>
      <c r="BC449" s="3" t="s">
        <v>77</v>
      </c>
      <c r="BD449" s="3" t="s">
        <v>78</v>
      </c>
      <c r="BE449" s="3" t="s">
        <v>4838</v>
      </c>
      <c r="BF449" s="3" t="s">
        <v>4837</v>
      </c>
      <c r="BG449" s="3" t="s">
        <v>4839</v>
      </c>
    </row>
    <row r="450" spans="1:59" ht="58" x14ac:dyDescent="0.35">
      <c r="A450" s="2" t="s">
        <v>59</v>
      </c>
      <c r="B450" s="2" t="s">
        <v>60</v>
      </c>
      <c r="C450" s="2" t="s">
        <v>4840</v>
      </c>
      <c r="D450" s="2" t="s">
        <v>4841</v>
      </c>
      <c r="E450" s="2" t="s">
        <v>4842</v>
      </c>
      <c r="G450" s="3" t="s">
        <v>65</v>
      </c>
      <c r="I450" s="3" t="s">
        <v>65</v>
      </c>
      <c r="J450" s="3" t="s">
        <v>65</v>
      </c>
      <c r="K450" s="3" t="s">
        <v>66</v>
      </c>
      <c r="L450" s="2" t="s">
        <v>4843</v>
      </c>
      <c r="M450" s="2" t="s">
        <v>4844</v>
      </c>
      <c r="N450" s="3" t="s">
        <v>139</v>
      </c>
      <c r="P450" s="3" t="s">
        <v>140</v>
      </c>
      <c r="Q450" s="2" t="s">
        <v>4845</v>
      </c>
      <c r="R450" s="3" t="s">
        <v>71</v>
      </c>
      <c r="S450" s="4">
        <v>0</v>
      </c>
      <c r="T450" s="4">
        <v>0</v>
      </c>
      <c r="W450" s="5" t="s">
        <v>72</v>
      </c>
      <c r="X450" s="5" t="s">
        <v>72</v>
      </c>
      <c r="Y450" s="4">
        <v>34</v>
      </c>
      <c r="Z450" s="4">
        <v>3</v>
      </c>
      <c r="AA450" s="4">
        <v>3</v>
      </c>
      <c r="AB450" s="4">
        <v>1</v>
      </c>
      <c r="AC450" s="4">
        <v>1</v>
      </c>
      <c r="AD450" s="4">
        <v>24</v>
      </c>
      <c r="AE450" s="4">
        <v>24</v>
      </c>
      <c r="AF450" s="4">
        <v>0</v>
      </c>
      <c r="AG450" s="4">
        <v>0</v>
      </c>
      <c r="AH450" s="4">
        <v>23</v>
      </c>
      <c r="AI450" s="4">
        <v>23</v>
      </c>
      <c r="AJ450" s="4">
        <v>1</v>
      </c>
      <c r="AK450" s="4">
        <v>1</v>
      </c>
      <c r="AL450" s="4">
        <v>20</v>
      </c>
      <c r="AM450" s="4">
        <v>20</v>
      </c>
      <c r="AN450" s="4">
        <v>0</v>
      </c>
      <c r="AO450" s="4">
        <v>0</v>
      </c>
      <c r="AP450" s="4">
        <v>1</v>
      </c>
      <c r="AQ450" s="4">
        <v>1</v>
      </c>
      <c r="AR450" s="3" t="s">
        <v>65</v>
      </c>
      <c r="AS450" s="3" t="s">
        <v>65</v>
      </c>
      <c r="AT450" s="3" t="s">
        <v>65</v>
      </c>
      <c r="AV450" s="6" t="str">
        <f>HYPERLINK("http://mcgill.on.worldcat.org/oclc/816040755","Catalog Record")</f>
        <v>Catalog Record</v>
      </c>
      <c r="AW450" s="6" t="str">
        <f>HYPERLINK("http://www.worldcat.org/oclc/816040755","WorldCat Record")</f>
        <v>WorldCat Record</v>
      </c>
      <c r="AX450" s="3" t="s">
        <v>4846</v>
      </c>
      <c r="AY450" s="3" t="s">
        <v>4847</v>
      </c>
      <c r="AZ450" s="3" t="s">
        <v>4848</v>
      </c>
      <c r="BA450" s="3" t="s">
        <v>4848</v>
      </c>
      <c r="BB450" s="3" t="s">
        <v>4849</v>
      </c>
      <c r="BC450" s="3" t="s">
        <v>77</v>
      </c>
      <c r="BD450" s="3" t="s">
        <v>78</v>
      </c>
      <c r="BE450" s="3" t="s">
        <v>4850</v>
      </c>
      <c r="BF450" s="3" t="s">
        <v>4849</v>
      </c>
      <c r="BG450" s="3" t="s">
        <v>4851</v>
      </c>
    </row>
    <row r="451" spans="1:59" ht="58" x14ac:dyDescent="0.35">
      <c r="A451" s="2" t="s">
        <v>59</v>
      </c>
      <c r="B451" s="2" t="s">
        <v>60</v>
      </c>
      <c r="C451" s="2" t="s">
        <v>4852</v>
      </c>
      <c r="D451" s="2" t="s">
        <v>4853</v>
      </c>
      <c r="E451" s="2" t="s">
        <v>4854</v>
      </c>
      <c r="G451" s="3" t="s">
        <v>65</v>
      </c>
      <c r="I451" s="3" t="s">
        <v>65</v>
      </c>
      <c r="J451" s="3" t="s">
        <v>65</v>
      </c>
      <c r="K451" s="3" t="s">
        <v>66</v>
      </c>
      <c r="L451" s="2" t="s">
        <v>4855</v>
      </c>
      <c r="M451" s="2" t="s">
        <v>4856</v>
      </c>
      <c r="N451" s="3" t="s">
        <v>493</v>
      </c>
      <c r="P451" s="3" t="s">
        <v>140</v>
      </c>
      <c r="R451" s="3" t="s">
        <v>71</v>
      </c>
      <c r="S451" s="4">
        <v>4</v>
      </c>
      <c r="T451" s="4">
        <v>4</v>
      </c>
      <c r="U451" s="5" t="s">
        <v>4857</v>
      </c>
      <c r="V451" s="5" t="s">
        <v>4857</v>
      </c>
      <c r="W451" s="5" t="s">
        <v>72</v>
      </c>
      <c r="X451" s="5" t="s">
        <v>72</v>
      </c>
      <c r="Y451" s="4">
        <v>143</v>
      </c>
      <c r="Z451" s="4">
        <v>9</v>
      </c>
      <c r="AA451" s="4">
        <v>9</v>
      </c>
      <c r="AB451" s="4">
        <v>1</v>
      </c>
      <c r="AC451" s="4">
        <v>1</v>
      </c>
      <c r="AD451" s="4">
        <v>58</v>
      </c>
      <c r="AE451" s="4">
        <v>58</v>
      </c>
      <c r="AF451" s="4">
        <v>0</v>
      </c>
      <c r="AG451" s="4">
        <v>0</v>
      </c>
      <c r="AH451" s="4">
        <v>55</v>
      </c>
      <c r="AI451" s="4">
        <v>55</v>
      </c>
      <c r="AJ451" s="4">
        <v>5</v>
      </c>
      <c r="AK451" s="4">
        <v>5</v>
      </c>
      <c r="AL451" s="4">
        <v>40</v>
      </c>
      <c r="AM451" s="4">
        <v>40</v>
      </c>
      <c r="AN451" s="4">
        <v>0</v>
      </c>
      <c r="AO451" s="4">
        <v>0</v>
      </c>
      <c r="AP451" s="4">
        <v>5</v>
      </c>
      <c r="AQ451" s="4">
        <v>5</v>
      </c>
      <c r="AR451" s="3" t="s">
        <v>65</v>
      </c>
      <c r="AS451" s="3" t="s">
        <v>65</v>
      </c>
      <c r="AT451" s="3" t="s">
        <v>209</v>
      </c>
      <c r="AU451" s="6" t="str">
        <f>HYPERLINK("http://catalog.hathitrust.org/Record/001804076","HathiTrust Record")</f>
        <v>HathiTrust Record</v>
      </c>
      <c r="AV451" s="6" t="str">
        <f>HYPERLINK("http://mcgill.on.worldcat.org/oclc/864186","Catalog Record")</f>
        <v>Catalog Record</v>
      </c>
      <c r="AW451" s="6" t="str">
        <f>HYPERLINK("http://www.worldcat.org/oclc/864186","WorldCat Record")</f>
        <v>WorldCat Record</v>
      </c>
      <c r="AX451" s="3" t="s">
        <v>4858</v>
      </c>
      <c r="AY451" s="3" t="s">
        <v>4859</v>
      </c>
      <c r="AZ451" s="3" t="s">
        <v>4860</v>
      </c>
      <c r="BA451" s="3" t="s">
        <v>4860</v>
      </c>
      <c r="BB451" s="3" t="s">
        <v>4861</v>
      </c>
      <c r="BC451" s="3" t="s">
        <v>77</v>
      </c>
      <c r="BD451" s="3" t="s">
        <v>78</v>
      </c>
      <c r="BF451" s="3" t="s">
        <v>4861</v>
      </c>
      <c r="BG451" s="3" t="s">
        <v>4862</v>
      </c>
    </row>
    <row r="452" spans="1:59" ht="58" x14ac:dyDescent="0.35">
      <c r="A452" s="2" t="s">
        <v>59</v>
      </c>
      <c r="B452" s="2" t="s">
        <v>60</v>
      </c>
      <c r="C452" s="2" t="s">
        <v>4863</v>
      </c>
      <c r="D452" s="2" t="s">
        <v>4864</v>
      </c>
      <c r="E452" s="2" t="s">
        <v>4865</v>
      </c>
      <c r="G452" s="3" t="s">
        <v>65</v>
      </c>
      <c r="I452" s="3" t="s">
        <v>65</v>
      </c>
      <c r="J452" s="3" t="s">
        <v>65</v>
      </c>
      <c r="K452" s="3" t="s">
        <v>66</v>
      </c>
      <c r="L452" s="2" t="s">
        <v>4866</v>
      </c>
      <c r="M452" s="2" t="s">
        <v>4867</v>
      </c>
      <c r="N452" s="3" t="s">
        <v>126</v>
      </c>
      <c r="O452" s="2" t="s">
        <v>365</v>
      </c>
      <c r="P452" s="3" t="s">
        <v>140</v>
      </c>
      <c r="Q452" s="2" t="s">
        <v>4868</v>
      </c>
      <c r="R452" s="3" t="s">
        <v>71</v>
      </c>
      <c r="S452" s="4">
        <v>0</v>
      </c>
      <c r="T452" s="4">
        <v>0</v>
      </c>
      <c r="W452" s="5" t="s">
        <v>72</v>
      </c>
      <c r="X452" s="5" t="s">
        <v>72</v>
      </c>
      <c r="Y452" s="4">
        <v>32</v>
      </c>
      <c r="Z452" s="4">
        <v>3</v>
      </c>
      <c r="AA452" s="4">
        <v>3</v>
      </c>
      <c r="AB452" s="4">
        <v>1</v>
      </c>
      <c r="AC452" s="4">
        <v>1</v>
      </c>
      <c r="AD452" s="4">
        <v>26</v>
      </c>
      <c r="AE452" s="4">
        <v>26</v>
      </c>
      <c r="AF452" s="4">
        <v>0</v>
      </c>
      <c r="AG452" s="4">
        <v>0</v>
      </c>
      <c r="AH452" s="4">
        <v>25</v>
      </c>
      <c r="AI452" s="4">
        <v>25</v>
      </c>
      <c r="AJ452" s="4">
        <v>1</v>
      </c>
      <c r="AK452" s="4">
        <v>1</v>
      </c>
      <c r="AL452" s="4">
        <v>22</v>
      </c>
      <c r="AM452" s="4">
        <v>22</v>
      </c>
      <c r="AN452" s="4">
        <v>0</v>
      </c>
      <c r="AO452" s="4">
        <v>0</v>
      </c>
      <c r="AP452" s="4">
        <v>1</v>
      </c>
      <c r="AQ452" s="4">
        <v>1</v>
      </c>
      <c r="AR452" s="3" t="s">
        <v>65</v>
      </c>
      <c r="AS452" s="3" t="s">
        <v>65</v>
      </c>
      <c r="AT452" s="3" t="s">
        <v>65</v>
      </c>
      <c r="AV452" s="6" t="str">
        <f>HYPERLINK("http://mcgill.on.worldcat.org/oclc/771656751","Catalog Record")</f>
        <v>Catalog Record</v>
      </c>
      <c r="AW452" s="6" t="str">
        <f>HYPERLINK("http://www.worldcat.org/oclc/771656751","WorldCat Record")</f>
        <v>WorldCat Record</v>
      </c>
      <c r="AX452" s="3" t="s">
        <v>4869</v>
      </c>
      <c r="AY452" s="3" t="s">
        <v>4870</v>
      </c>
      <c r="AZ452" s="3" t="s">
        <v>4871</v>
      </c>
      <c r="BA452" s="3" t="s">
        <v>4871</v>
      </c>
      <c r="BB452" s="3" t="s">
        <v>4872</v>
      </c>
      <c r="BC452" s="3" t="s">
        <v>77</v>
      </c>
      <c r="BD452" s="3" t="s">
        <v>78</v>
      </c>
      <c r="BE452" s="3" t="s">
        <v>4873</v>
      </c>
      <c r="BF452" s="3" t="s">
        <v>4872</v>
      </c>
      <c r="BG452" s="3" t="s">
        <v>4874</v>
      </c>
    </row>
    <row r="453" spans="1:59" ht="58" x14ac:dyDescent="0.35">
      <c r="A453" s="2" t="s">
        <v>59</v>
      </c>
      <c r="B453" s="2" t="s">
        <v>60</v>
      </c>
      <c r="C453" s="2" t="s">
        <v>4875</v>
      </c>
      <c r="D453" s="2" t="s">
        <v>4876</v>
      </c>
      <c r="E453" s="2" t="s">
        <v>4877</v>
      </c>
      <c r="G453" s="3" t="s">
        <v>65</v>
      </c>
      <c r="I453" s="3" t="s">
        <v>65</v>
      </c>
      <c r="J453" s="3" t="s">
        <v>65</v>
      </c>
      <c r="K453" s="3" t="s">
        <v>66</v>
      </c>
      <c r="L453" s="2" t="s">
        <v>4878</v>
      </c>
      <c r="M453" s="2" t="s">
        <v>4879</v>
      </c>
      <c r="N453" s="3" t="s">
        <v>3385</v>
      </c>
      <c r="P453" s="3" t="s">
        <v>140</v>
      </c>
      <c r="Q453" s="2" t="s">
        <v>4880</v>
      </c>
      <c r="R453" s="3" t="s">
        <v>71</v>
      </c>
      <c r="S453" s="4">
        <v>4</v>
      </c>
      <c r="T453" s="4">
        <v>4</v>
      </c>
      <c r="U453" s="5" t="s">
        <v>4881</v>
      </c>
      <c r="V453" s="5" t="s">
        <v>4881</v>
      </c>
      <c r="W453" s="5" t="s">
        <v>72</v>
      </c>
      <c r="X453" s="5" t="s">
        <v>72</v>
      </c>
      <c r="Y453" s="4">
        <v>2</v>
      </c>
      <c r="Z453" s="4">
        <v>1</v>
      </c>
      <c r="AA453" s="4">
        <v>1</v>
      </c>
      <c r="AB453" s="4">
        <v>1</v>
      </c>
      <c r="AC453" s="4">
        <v>1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3" t="s">
        <v>65</v>
      </c>
      <c r="AS453" s="3" t="s">
        <v>65</v>
      </c>
      <c r="AT453" s="3" t="s">
        <v>65</v>
      </c>
      <c r="AV453" s="6" t="str">
        <f>HYPERLINK("http://mcgill.on.worldcat.org/oclc/58593996","Catalog Record")</f>
        <v>Catalog Record</v>
      </c>
      <c r="AW453" s="6" t="str">
        <f>HYPERLINK("http://www.worldcat.org/oclc/58593996","WorldCat Record")</f>
        <v>WorldCat Record</v>
      </c>
      <c r="AX453" s="3" t="s">
        <v>4882</v>
      </c>
      <c r="AY453" s="3" t="s">
        <v>4883</v>
      </c>
      <c r="AZ453" s="3" t="s">
        <v>4884</v>
      </c>
      <c r="BA453" s="3" t="s">
        <v>4884</v>
      </c>
      <c r="BB453" s="3" t="s">
        <v>4885</v>
      </c>
      <c r="BC453" s="3" t="s">
        <v>77</v>
      </c>
      <c r="BD453" s="3" t="s">
        <v>78</v>
      </c>
      <c r="BE453" s="3" t="s">
        <v>4886</v>
      </c>
      <c r="BF453" s="3" t="s">
        <v>4885</v>
      </c>
      <c r="BG453" s="3" t="s">
        <v>4887</v>
      </c>
    </row>
    <row r="454" spans="1:59" ht="58" x14ac:dyDescent="0.35">
      <c r="A454" s="2" t="s">
        <v>59</v>
      </c>
      <c r="B454" s="2" t="s">
        <v>60</v>
      </c>
      <c r="C454" s="2" t="s">
        <v>4888</v>
      </c>
      <c r="D454" s="2" t="s">
        <v>4889</v>
      </c>
      <c r="E454" s="2" t="s">
        <v>4890</v>
      </c>
      <c r="F454" s="3" t="s">
        <v>792</v>
      </c>
      <c r="G454" s="3" t="s">
        <v>209</v>
      </c>
      <c r="I454" s="3" t="s">
        <v>65</v>
      </c>
      <c r="J454" s="3" t="s">
        <v>65</v>
      </c>
      <c r="K454" s="3" t="s">
        <v>66</v>
      </c>
      <c r="M454" s="2" t="s">
        <v>4891</v>
      </c>
      <c r="N454" s="3" t="s">
        <v>1944</v>
      </c>
      <c r="P454" s="3" t="s">
        <v>140</v>
      </c>
      <c r="Q454" s="2" t="s">
        <v>4892</v>
      </c>
      <c r="R454" s="3" t="s">
        <v>71</v>
      </c>
      <c r="S454" s="4">
        <v>1</v>
      </c>
      <c r="T454" s="4">
        <v>2</v>
      </c>
      <c r="U454" s="5" t="s">
        <v>4207</v>
      </c>
      <c r="V454" s="5" t="s">
        <v>4207</v>
      </c>
      <c r="W454" s="5" t="s">
        <v>72</v>
      </c>
      <c r="X454" s="5" t="s">
        <v>72</v>
      </c>
      <c r="Y454" s="4">
        <v>36</v>
      </c>
      <c r="Z454" s="4">
        <v>4</v>
      </c>
      <c r="AA454" s="4">
        <v>4</v>
      </c>
      <c r="AB454" s="4">
        <v>1</v>
      </c>
      <c r="AC454" s="4">
        <v>1</v>
      </c>
      <c r="AD454" s="4">
        <v>16</v>
      </c>
      <c r="AE454" s="4">
        <v>16</v>
      </c>
      <c r="AF454" s="4">
        <v>0</v>
      </c>
      <c r="AG454" s="4">
        <v>0</v>
      </c>
      <c r="AH454" s="4">
        <v>15</v>
      </c>
      <c r="AI454" s="4">
        <v>15</v>
      </c>
      <c r="AJ454" s="4">
        <v>2</v>
      </c>
      <c r="AK454" s="4">
        <v>2</v>
      </c>
      <c r="AL454" s="4">
        <v>13</v>
      </c>
      <c r="AM454" s="4">
        <v>13</v>
      </c>
      <c r="AN454" s="4">
        <v>0</v>
      </c>
      <c r="AO454" s="4">
        <v>0</v>
      </c>
      <c r="AP454" s="4">
        <v>2</v>
      </c>
      <c r="AQ454" s="4">
        <v>2</v>
      </c>
      <c r="AR454" s="3" t="s">
        <v>65</v>
      </c>
      <c r="AS454" s="3" t="s">
        <v>65</v>
      </c>
      <c r="AT454" s="3" t="s">
        <v>209</v>
      </c>
      <c r="AU454" s="6" t="str">
        <f>HYPERLINK("http://catalog.hathitrust.org/Record/004930624","HathiTrust Record")</f>
        <v>HathiTrust Record</v>
      </c>
      <c r="AV454" s="6" t="str">
        <f>HYPERLINK("http://mcgill.on.worldcat.org/oclc/48626767","Catalog Record")</f>
        <v>Catalog Record</v>
      </c>
      <c r="AW454" s="6" t="str">
        <f>HYPERLINK("http://www.worldcat.org/oclc/48626767","WorldCat Record")</f>
        <v>WorldCat Record</v>
      </c>
      <c r="AX454" s="3" t="s">
        <v>4893</v>
      </c>
      <c r="AY454" s="3" t="s">
        <v>4894</v>
      </c>
      <c r="AZ454" s="3" t="s">
        <v>4895</v>
      </c>
      <c r="BA454" s="3" t="s">
        <v>4895</v>
      </c>
      <c r="BB454" s="3" t="s">
        <v>4896</v>
      </c>
      <c r="BC454" s="3" t="s">
        <v>77</v>
      </c>
      <c r="BD454" s="3" t="s">
        <v>78</v>
      </c>
      <c r="BE454" s="3" t="s">
        <v>4897</v>
      </c>
      <c r="BF454" s="3" t="s">
        <v>4896</v>
      </c>
      <c r="BG454" s="3" t="s">
        <v>4898</v>
      </c>
    </row>
    <row r="455" spans="1:59" ht="58" x14ac:dyDescent="0.35">
      <c r="A455" s="2" t="s">
        <v>59</v>
      </c>
      <c r="B455" s="2" t="s">
        <v>60</v>
      </c>
      <c r="C455" s="2" t="s">
        <v>4888</v>
      </c>
      <c r="D455" s="2" t="s">
        <v>4889</v>
      </c>
      <c r="E455" s="2" t="s">
        <v>4890</v>
      </c>
      <c r="F455" s="3" t="s">
        <v>258</v>
      </c>
      <c r="G455" s="3" t="s">
        <v>209</v>
      </c>
      <c r="I455" s="3" t="s">
        <v>65</v>
      </c>
      <c r="J455" s="3" t="s">
        <v>65</v>
      </c>
      <c r="K455" s="3" t="s">
        <v>66</v>
      </c>
      <c r="M455" s="2" t="s">
        <v>4891</v>
      </c>
      <c r="N455" s="3" t="s">
        <v>1944</v>
      </c>
      <c r="P455" s="3" t="s">
        <v>140</v>
      </c>
      <c r="Q455" s="2" t="s">
        <v>4892</v>
      </c>
      <c r="R455" s="3" t="s">
        <v>71</v>
      </c>
      <c r="S455" s="4">
        <v>1</v>
      </c>
      <c r="T455" s="4">
        <v>2</v>
      </c>
      <c r="U455" s="5" t="s">
        <v>4899</v>
      </c>
      <c r="V455" s="5" t="s">
        <v>4207</v>
      </c>
      <c r="W455" s="5" t="s">
        <v>72</v>
      </c>
      <c r="X455" s="5" t="s">
        <v>72</v>
      </c>
      <c r="Y455" s="4">
        <v>36</v>
      </c>
      <c r="Z455" s="4">
        <v>4</v>
      </c>
      <c r="AA455" s="4">
        <v>4</v>
      </c>
      <c r="AB455" s="4">
        <v>1</v>
      </c>
      <c r="AC455" s="4">
        <v>1</v>
      </c>
      <c r="AD455" s="4">
        <v>16</v>
      </c>
      <c r="AE455" s="4">
        <v>16</v>
      </c>
      <c r="AF455" s="4">
        <v>0</v>
      </c>
      <c r="AG455" s="4">
        <v>0</v>
      </c>
      <c r="AH455" s="4">
        <v>15</v>
      </c>
      <c r="AI455" s="4">
        <v>15</v>
      </c>
      <c r="AJ455" s="4">
        <v>2</v>
      </c>
      <c r="AK455" s="4">
        <v>2</v>
      </c>
      <c r="AL455" s="4">
        <v>13</v>
      </c>
      <c r="AM455" s="4">
        <v>13</v>
      </c>
      <c r="AN455" s="4">
        <v>0</v>
      </c>
      <c r="AO455" s="4">
        <v>0</v>
      </c>
      <c r="AP455" s="4">
        <v>2</v>
      </c>
      <c r="AQ455" s="4">
        <v>2</v>
      </c>
      <c r="AR455" s="3" t="s">
        <v>65</v>
      </c>
      <c r="AS455" s="3" t="s">
        <v>65</v>
      </c>
      <c r="AT455" s="3" t="s">
        <v>209</v>
      </c>
      <c r="AU455" s="6" t="str">
        <f>HYPERLINK("http://catalog.hathitrust.org/Record/004930624","HathiTrust Record")</f>
        <v>HathiTrust Record</v>
      </c>
      <c r="AV455" s="6" t="str">
        <f>HYPERLINK("http://mcgill.on.worldcat.org/oclc/48626767","Catalog Record")</f>
        <v>Catalog Record</v>
      </c>
      <c r="AW455" s="6" t="str">
        <f>HYPERLINK("http://www.worldcat.org/oclc/48626767","WorldCat Record")</f>
        <v>WorldCat Record</v>
      </c>
      <c r="AX455" s="3" t="s">
        <v>4893</v>
      </c>
      <c r="AY455" s="3" t="s">
        <v>4894</v>
      </c>
      <c r="AZ455" s="3" t="s">
        <v>4895</v>
      </c>
      <c r="BA455" s="3" t="s">
        <v>4895</v>
      </c>
      <c r="BB455" s="3" t="s">
        <v>4900</v>
      </c>
      <c r="BC455" s="3" t="s">
        <v>77</v>
      </c>
      <c r="BD455" s="3" t="s">
        <v>78</v>
      </c>
      <c r="BE455" s="3" t="s">
        <v>4897</v>
      </c>
      <c r="BF455" s="3" t="s">
        <v>4900</v>
      </c>
      <c r="BG455" s="3" t="s">
        <v>4901</v>
      </c>
    </row>
    <row r="456" spans="1:59" ht="58" x14ac:dyDescent="0.35">
      <c r="A456" s="2" t="s">
        <v>59</v>
      </c>
      <c r="B456" s="2" t="s">
        <v>60</v>
      </c>
      <c r="C456" s="2" t="s">
        <v>4888</v>
      </c>
      <c r="D456" s="2" t="s">
        <v>4889</v>
      </c>
      <c r="E456" s="2" t="s">
        <v>4890</v>
      </c>
      <c r="F456" s="3" t="s">
        <v>255</v>
      </c>
      <c r="G456" s="3" t="s">
        <v>209</v>
      </c>
      <c r="I456" s="3" t="s">
        <v>65</v>
      </c>
      <c r="J456" s="3" t="s">
        <v>65</v>
      </c>
      <c r="K456" s="3" t="s">
        <v>66</v>
      </c>
      <c r="M456" s="2" t="s">
        <v>4891</v>
      </c>
      <c r="N456" s="3" t="s">
        <v>1944</v>
      </c>
      <c r="P456" s="3" t="s">
        <v>140</v>
      </c>
      <c r="Q456" s="2" t="s">
        <v>4892</v>
      </c>
      <c r="R456" s="3" t="s">
        <v>71</v>
      </c>
      <c r="S456" s="4">
        <v>0</v>
      </c>
      <c r="T456" s="4">
        <v>2</v>
      </c>
      <c r="V456" s="5" t="s">
        <v>4207</v>
      </c>
      <c r="W456" s="5" t="s">
        <v>72</v>
      </c>
      <c r="X456" s="5" t="s">
        <v>72</v>
      </c>
      <c r="Y456" s="4">
        <v>36</v>
      </c>
      <c r="Z456" s="4">
        <v>4</v>
      </c>
      <c r="AA456" s="4">
        <v>4</v>
      </c>
      <c r="AB456" s="4">
        <v>1</v>
      </c>
      <c r="AC456" s="4">
        <v>1</v>
      </c>
      <c r="AD456" s="4">
        <v>16</v>
      </c>
      <c r="AE456" s="4">
        <v>16</v>
      </c>
      <c r="AF456" s="4">
        <v>0</v>
      </c>
      <c r="AG456" s="4">
        <v>0</v>
      </c>
      <c r="AH456" s="4">
        <v>15</v>
      </c>
      <c r="AI456" s="4">
        <v>15</v>
      </c>
      <c r="AJ456" s="4">
        <v>2</v>
      </c>
      <c r="AK456" s="4">
        <v>2</v>
      </c>
      <c r="AL456" s="4">
        <v>13</v>
      </c>
      <c r="AM456" s="4">
        <v>13</v>
      </c>
      <c r="AN456" s="4">
        <v>0</v>
      </c>
      <c r="AO456" s="4">
        <v>0</v>
      </c>
      <c r="AP456" s="4">
        <v>2</v>
      </c>
      <c r="AQ456" s="4">
        <v>2</v>
      </c>
      <c r="AR456" s="3" t="s">
        <v>65</v>
      </c>
      <c r="AS456" s="3" t="s">
        <v>65</v>
      </c>
      <c r="AT456" s="3" t="s">
        <v>209</v>
      </c>
      <c r="AU456" s="6" t="str">
        <f>HYPERLINK("http://catalog.hathitrust.org/Record/004930624","HathiTrust Record")</f>
        <v>HathiTrust Record</v>
      </c>
      <c r="AV456" s="6" t="str">
        <f>HYPERLINK("http://mcgill.on.worldcat.org/oclc/48626767","Catalog Record")</f>
        <v>Catalog Record</v>
      </c>
      <c r="AW456" s="6" t="str">
        <f>HYPERLINK("http://www.worldcat.org/oclc/48626767","WorldCat Record")</f>
        <v>WorldCat Record</v>
      </c>
      <c r="AX456" s="3" t="s">
        <v>4893</v>
      </c>
      <c r="AY456" s="3" t="s">
        <v>4894</v>
      </c>
      <c r="AZ456" s="3" t="s">
        <v>4895</v>
      </c>
      <c r="BA456" s="3" t="s">
        <v>4895</v>
      </c>
      <c r="BB456" s="3" t="s">
        <v>4902</v>
      </c>
      <c r="BC456" s="3" t="s">
        <v>77</v>
      </c>
      <c r="BD456" s="3" t="s">
        <v>78</v>
      </c>
      <c r="BE456" s="3" t="s">
        <v>4897</v>
      </c>
      <c r="BF456" s="3" t="s">
        <v>4902</v>
      </c>
      <c r="BG456" s="3" t="s">
        <v>4903</v>
      </c>
    </row>
    <row r="457" spans="1:59" ht="58" x14ac:dyDescent="0.35">
      <c r="A457" s="2" t="s">
        <v>59</v>
      </c>
      <c r="B457" s="2" t="s">
        <v>60</v>
      </c>
      <c r="C457" s="2" t="s">
        <v>4888</v>
      </c>
      <c r="D457" s="2" t="s">
        <v>4889</v>
      </c>
      <c r="E457" s="2" t="s">
        <v>4890</v>
      </c>
      <c r="F457" s="3" t="s">
        <v>245</v>
      </c>
      <c r="G457" s="3" t="s">
        <v>209</v>
      </c>
      <c r="I457" s="3" t="s">
        <v>65</v>
      </c>
      <c r="J457" s="3" t="s">
        <v>65</v>
      </c>
      <c r="K457" s="3" t="s">
        <v>66</v>
      </c>
      <c r="M457" s="2" t="s">
        <v>4891</v>
      </c>
      <c r="N457" s="3" t="s">
        <v>1944</v>
      </c>
      <c r="P457" s="3" t="s">
        <v>140</v>
      </c>
      <c r="Q457" s="2" t="s">
        <v>4892</v>
      </c>
      <c r="R457" s="3" t="s">
        <v>71</v>
      </c>
      <c r="S457" s="4">
        <v>0</v>
      </c>
      <c r="T457" s="4">
        <v>2</v>
      </c>
      <c r="V457" s="5" t="s">
        <v>4207</v>
      </c>
      <c r="W457" s="5" t="s">
        <v>72</v>
      </c>
      <c r="X457" s="5" t="s">
        <v>72</v>
      </c>
      <c r="Y457" s="4">
        <v>36</v>
      </c>
      <c r="Z457" s="4">
        <v>4</v>
      </c>
      <c r="AA457" s="4">
        <v>4</v>
      </c>
      <c r="AB457" s="4">
        <v>1</v>
      </c>
      <c r="AC457" s="4">
        <v>1</v>
      </c>
      <c r="AD457" s="4">
        <v>16</v>
      </c>
      <c r="AE457" s="4">
        <v>16</v>
      </c>
      <c r="AF457" s="4">
        <v>0</v>
      </c>
      <c r="AG457" s="4">
        <v>0</v>
      </c>
      <c r="AH457" s="4">
        <v>15</v>
      </c>
      <c r="AI457" s="4">
        <v>15</v>
      </c>
      <c r="AJ457" s="4">
        <v>2</v>
      </c>
      <c r="AK457" s="4">
        <v>2</v>
      </c>
      <c r="AL457" s="4">
        <v>13</v>
      </c>
      <c r="AM457" s="4">
        <v>13</v>
      </c>
      <c r="AN457" s="4">
        <v>0</v>
      </c>
      <c r="AO457" s="4">
        <v>0</v>
      </c>
      <c r="AP457" s="4">
        <v>2</v>
      </c>
      <c r="AQ457" s="4">
        <v>2</v>
      </c>
      <c r="AR457" s="3" t="s">
        <v>65</v>
      </c>
      <c r="AS457" s="3" t="s">
        <v>65</v>
      </c>
      <c r="AT457" s="3" t="s">
        <v>209</v>
      </c>
      <c r="AU457" s="6" t="str">
        <f>HYPERLINK("http://catalog.hathitrust.org/Record/004930624","HathiTrust Record")</f>
        <v>HathiTrust Record</v>
      </c>
      <c r="AV457" s="6" t="str">
        <f>HYPERLINK("http://mcgill.on.worldcat.org/oclc/48626767","Catalog Record")</f>
        <v>Catalog Record</v>
      </c>
      <c r="AW457" s="6" t="str">
        <f>HYPERLINK("http://www.worldcat.org/oclc/48626767","WorldCat Record")</f>
        <v>WorldCat Record</v>
      </c>
      <c r="AX457" s="3" t="s">
        <v>4893</v>
      </c>
      <c r="AY457" s="3" t="s">
        <v>4894</v>
      </c>
      <c r="AZ457" s="3" t="s">
        <v>4895</v>
      </c>
      <c r="BA457" s="3" t="s">
        <v>4895</v>
      </c>
      <c r="BB457" s="3" t="s">
        <v>4904</v>
      </c>
      <c r="BC457" s="3" t="s">
        <v>77</v>
      </c>
      <c r="BD457" s="3" t="s">
        <v>78</v>
      </c>
      <c r="BE457" s="3" t="s">
        <v>4897</v>
      </c>
      <c r="BF457" s="3" t="s">
        <v>4904</v>
      </c>
      <c r="BG457" s="3" t="s">
        <v>4905</v>
      </c>
    </row>
    <row r="458" spans="1:59" ht="72.5" x14ac:dyDescent="0.35">
      <c r="A458" s="2" t="s">
        <v>59</v>
      </c>
      <c r="B458" s="2" t="s">
        <v>60</v>
      </c>
      <c r="C458" s="2" t="s">
        <v>4906</v>
      </c>
      <c r="D458" s="2" t="s">
        <v>4907</v>
      </c>
      <c r="E458" s="2" t="s">
        <v>4908</v>
      </c>
      <c r="G458" s="3" t="s">
        <v>65</v>
      </c>
      <c r="I458" s="3" t="s">
        <v>65</v>
      </c>
      <c r="J458" s="3" t="s">
        <v>65</v>
      </c>
      <c r="K458" s="3" t="s">
        <v>66</v>
      </c>
      <c r="L458" s="2" t="s">
        <v>4909</v>
      </c>
      <c r="M458" s="2" t="s">
        <v>4910</v>
      </c>
      <c r="N458" s="3" t="s">
        <v>176</v>
      </c>
      <c r="P458" s="3" t="s">
        <v>140</v>
      </c>
      <c r="Q458" s="2" t="s">
        <v>4911</v>
      </c>
      <c r="R458" s="3" t="s">
        <v>71</v>
      </c>
      <c r="S458" s="4">
        <v>0</v>
      </c>
      <c r="T458" s="4">
        <v>0</v>
      </c>
      <c r="W458" s="5" t="s">
        <v>72</v>
      </c>
      <c r="X458" s="5" t="s">
        <v>72</v>
      </c>
      <c r="Y458" s="4">
        <v>41</v>
      </c>
      <c r="Z458" s="4">
        <v>3</v>
      </c>
      <c r="AA458" s="4">
        <v>3</v>
      </c>
      <c r="AB458" s="4">
        <v>1</v>
      </c>
      <c r="AC458" s="4">
        <v>1</v>
      </c>
      <c r="AD458" s="4">
        <v>27</v>
      </c>
      <c r="AE458" s="4">
        <v>27</v>
      </c>
      <c r="AF458" s="4">
        <v>0</v>
      </c>
      <c r="AG458" s="4">
        <v>0</v>
      </c>
      <c r="AH458" s="4">
        <v>26</v>
      </c>
      <c r="AI458" s="4">
        <v>26</v>
      </c>
      <c r="AJ458" s="4">
        <v>1</v>
      </c>
      <c r="AK458" s="4">
        <v>1</v>
      </c>
      <c r="AL458" s="4">
        <v>22</v>
      </c>
      <c r="AM458" s="4">
        <v>22</v>
      </c>
      <c r="AN458" s="4">
        <v>0</v>
      </c>
      <c r="AO458" s="4">
        <v>0</v>
      </c>
      <c r="AP458" s="4">
        <v>1</v>
      </c>
      <c r="AQ458" s="4">
        <v>1</v>
      </c>
      <c r="AR458" s="3" t="s">
        <v>65</v>
      </c>
      <c r="AS458" s="3" t="s">
        <v>65</v>
      </c>
      <c r="AT458" s="3" t="s">
        <v>65</v>
      </c>
      <c r="AV458" s="6" t="str">
        <f>HYPERLINK("http://mcgill.on.worldcat.org/oclc/921842894","Catalog Record")</f>
        <v>Catalog Record</v>
      </c>
      <c r="AW458" s="6" t="str">
        <f>HYPERLINK("http://www.worldcat.org/oclc/921842894","WorldCat Record")</f>
        <v>WorldCat Record</v>
      </c>
      <c r="AX458" s="3" t="s">
        <v>4912</v>
      </c>
      <c r="AY458" s="3" t="s">
        <v>4913</v>
      </c>
      <c r="AZ458" s="3" t="s">
        <v>4914</v>
      </c>
      <c r="BA458" s="3" t="s">
        <v>4914</v>
      </c>
      <c r="BB458" s="3" t="s">
        <v>4915</v>
      </c>
      <c r="BC458" s="3" t="s">
        <v>77</v>
      </c>
      <c r="BD458" s="3" t="s">
        <v>78</v>
      </c>
      <c r="BE458" s="3" t="s">
        <v>4916</v>
      </c>
      <c r="BF458" s="3" t="s">
        <v>4915</v>
      </c>
      <c r="BG458" s="3" t="s">
        <v>4917</v>
      </c>
    </row>
    <row r="459" spans="1:59" ht="58" x14ac:dyDescent="0.35">
      <c r="A459" s="2" t="s">
        <v>59</v>
      </c>
      <c r="B459" s="2" t="s">
        <v>60</v>
      </c>
      <c r="C459" s="2" t="s">
        <v>4918</v>
      </c>
      <c r="D459" s="2" t="s">
        <v>4919</v>
      </c>
      <c r="E459" s="2" t="s">
        <v>4920</v>
      </c>
      <c r="G459" s="3" t="s">
        <v>65</v>
      </c>
      <c r="I459" s="3" t="s">
        <v>65</v>
      </c>
      <c r="J459" s="3" t="s">
        <v>65</v>
      </c>
      <c r="K459" s="3" t="s">
        <v>66</v>
      </c>
      <c r="L459" s="2" t="s">
        <v>4738</v>
      </c>
      <c r="M459" s="2" t="s">
        <v>4921</v>
      </c>
      <c r="N459" s="3" t="s">
        <v>139</v>
      </c>
      <c r="P459" s="3" t="s">
        <v>140</v>
      </c>
      <c r="Q459" s="2" t="s">
        <v>4922</v>
      </c>
      <c r="R459" s="3" t="s">
        <v>71</v>
      </c>
      <c r="S459" s="4">
        <v>0</v>
      </c>
      <c r="T459" s="4">
        <v>0</v>
      </c>
      <c r="W459" s="5" t="s">
        <v>72</v>
      </c>
      <c r="X459" s="5" t="s">
        <v>72</v>
      </c>
      <c r="Y459" s="4">
        <v>13</v>
      </c>
      <c r="Z459" s="4">
        <v>1</v>
      </c>
      <c r="AA459" s="4">
        <v>1</v>
      </c>
      <c r="AB459" s="4">
        <v>1</v>
      </c>
      <c r="AC459" s="4">
        <v>1</v>
      </c>
      <c r="AD459" s="4">
        <v>3</v>
      </c>
      <c r="AE459" s="4">
        <v>3</v>
      </c>
      <c r="AF459" s="4">
        <v>0</v>
      </c>
      <c r="AG459" s="4">
        <v>0</v>
      </c>
      <c r="AH459" s="4">
        <v>3</v>
      </c>
      <c r="AI459" s="4">
        <v>3</v>
      </c>
      <c r="AJ459" s="4">
        <v>0</v>
      </c>
      <c r="AK459" s="4">
        <v>0</v>
      </c>
      <c r="AL459" s="4">
        <v>3</v>
      </c>
      <c r="AM459" s="4">
        <v>3</v>
      </c>
      <c r="AN459" s="4">
        <v>0</v>
      </c>
      <c r="AO459" s="4">
        <v>0</v>
      </c>
      <c r="AP459" s="4">
        <v>0</v>
      </c>
      <c r="AQ459" s="4">
        <v>0</v>
      </c>
      <c r="AR459" s="3" t="s">
        <v>65</v>
      </c>
      <c r="AS459" s="3" t="s">
        <v>65</v>
      </c>
      <c r="AT459" s="3" t="s">
        <v>65</v>
      </c>
      <c r="AV459" s="6" t="str">
        <f>HYPERLINK("http://mcgill.on.worldcat.org/oclc/798610361","Catalog Record")</f>
        <v>Catalog Record</v>
      </c>
      <c r="AW459" s="6" t="str">
        <f>HYPERLINK("http://www.worldcat.org/oclc/798610361","WorldCat Record")</f>
        <v>WorldCat Record</v>
      </c>
      <c r="AX459" s="3" t="s">
        <v>4923</v>
      </c>
      <c r="AY459" s="3" t="s">
        <v>4924</v>
      </c>
      <c r="AZ459" s="3" t="s">
        <v>4925</v>
      </c>
      <c r="BA459" s="3" t="s">
        <v>4925</v>
      </c>
      <c r="BB459" s="3" t="s">
        <v>4926</v>
      </c>
      <c r="BC459" s="3" t="s">
        <v>77</v>
      </c>
      <c r="BD459" s="3" t="s">
        <v>78</v>
      </c>
      <c r="BE459" s="3" t="s">
        <v>4927</v>
      </c>
      <c r="BF459" s="3" t="s">
        <v>4926</v>
      </c>
      <c r="BG459" s="3" t="s">
        <v>4928</v>
      </c>
    </row>
    <row r="460" spans="1:59" ht="58" x14ac:dyDescent="0.35">
      <c r="A460" s="2" t="s">
        <v>59</v>
      </c>
      <c r="B460" s="2" t="s">
        <v>60</v>
      </c>
      <c r="C460" s="2" t="s">
        <v>4929</v>
      </c>
      <c r="D460" s="2" t="s">
        <v>4930</v>
      </c>
      <c r="E460" s="2" t="s">
        <v>4931</v>
      </c>
      <c r="G460" s="3" t="s">
        <v>65</v>
      </c>
      <c r="I460" s="3" t="s">
        <v>65</v>
      </c>
      <c r="J460" s="3" t="s">
        <v>65</v>
      </c>
      <c r="K460" s="3" t="s">
        <v>66</v>
      </c>
      <c r="M460" s="2" t="s">
        <v>4932</v>
      </c>
      <c r="N460" s="3" t="s">
        <v>188</v>
      </c>
      <c r="O460" s="2" t="s">
        <v>1410</v>
      </c>
      <c r="P460" s="3" t="s">
        <v>140</v>
      </c>
      <c r="Q460" s="2" t="s">
        <v>4933</v>
      </c>
      <c r="R460" s="3" t="s">
        <v>71</v>
      </c>
      <c r="S460" s="4">
        <v>0</v>
      </c>
      <c r="T460" s="4">
        <v>0</v>
      </c>
      <c r="W460" s="5" t="s">
        <v>72</v>
      </c>
      <c r="X460" s="5" t="s">
        <v>72</v>
      </c>
      <c r="Y460" s="4">
        <v>48</v>
      </c>
      <c r="Z460" s="4">
        <v>1</v>
      </c>
      <c r="AA460" s="4">
        <v>1</v>
      </c>
      <c r="AB460" s="4">
        <v>1</v>
      </c>
      <c r="AC460" s="4">
        <v>1</v>
      </c>
      <c r="AD460" s="4">
        <v>34</v>
      </c>
      <c r="AE460" s="4">
        <v>34</v>
      </c>
      <c r="AF460" s="4">
        <v>0</v>
      </c>
      <c r="AG460" s="4">
        <v>0</v>
      </c>
      <c r="AH460" s="4">
        <v>33</v>
      </c>
      <c r="AI460" s="4">
        <v>33</v>
      </c>
      <c r="AJ460" s="4">
        <v>0</v>
      </c>
      <c r="AK460" s="4">
        <v>0</v>
      </c>
      <c r="AL460" s="4">
        <v>27</v>
      </c>
      <c r="AM460" s="4">
        <v>27</v>
      </c>
      <c r="AN460" s="4">
        <v>0</v>
      </c>
      <c r="AO460" s="4">
        <v>0</v>
      </c>
      <c r="AP460" s="4">
        <v>0</v>
      </c>
      <c r="AQ460" s="4">
        <v>0</v>
      </c>
      <c r="AR460" s="3" t="s">
        <v>65</v>
      </c>
      <c r="AS460" s="3" t="s">
        <v>65</v>
      </c>
      <c r="AT460" s="3" t="s">
        <v>65</v>
      </c>
      <c r="AV460" s="6" t="str">
        <f>HYPERLINK("http://mcgill.on.worldcat.org/oclc/993954392","Catalog Record")</f>
        <v>Catalog Record</v>
      </c>
      <c r="AW460" s="6" t="str">
        <f>HYPERLINK("http://www.worldcat.org/oclc/993954392","WorldCat Record")</f>
        <v>WorldCat Record</v>
      </c>
      <c r="AX460" s="3" t="s">
        <v>4934</v>
      </c>
      <c r="AY460" s="3" t="s">
        <v>4935</v>
      </c>
      <c r="AZ460" s="3" t="s">
        <v>4936</v>
      </c>
      <c r="BA460" s="3" t="s">
        <v>4936</v>
      </c>
      <c r="BB460" s="3" t="s">
        <v>4937</v>
      </c>
      <c r="BC460" s="3" t="s">
        <v>77</v>
      </c>
      <c r="BD460" s="3" t="s">
        <v>78</v>
      </c>
      <c r="BE460" s="3" t="s">
        <v>4938</v>
      </c>
      <c r="BF460" s="3" t="s">
        <v>4937</v>
      </c>
      <c r="BG460" s="3" t="s">
        <v>4939</v>
      </c>
    </row>
    <row r="461" spans="1:59" ht="58" x14ac:dyDescent="0.35">
      <c r="A461" s="2" t="s">
        <v>59</v>
      </c>
      <c r="B461" s="2" t="s">
        <v>60</v>
      </c>
      <c r="C461" s="2" t="s">
        <v>4940</v>
      </c>
      <c r="D461" s="2" t="s">
        <v>4941</v>
      </c>
      <c r="E461" s="2" t="s">
        <v>4942</v>
      </c>
      <c r="G461" s="3" t="s">
        <v>65</v>
      </c>
      <c r="I461" s="3" t="s">
        <v>65</v>
      </c>
      <c r="J461" s="3" t="s">
        <v>65</v>
      </c>
      <c r="K461" s="3" t="s">
        <v>66</v>
      </c>
      <c r="M461" s="2" t="s">
        <v>4943</v>
      </c>
      <c r="N461" s="3" t="s">
        <v>188</v>
      </c>
      <c r="O461" s="2" t="s">
        <v>235</v>
      </c>
      <c r="P461" s="3" t="s">
        <v>140</v>
      </c>
      <c r="R461" s="3" t="s">
        <v>71</v>
      </c>
      <c r="S461" s="4">
        <v>0</v>
      </c>
      <c r="T461" s="4">
        <v>0</v>
      </c>
      <c r="W461" s="5" t="s">
        <v>72</v>
      </c>
      <c r="X461" s="5" t="s">
        <v>72</v>
      </c>
      <c r="Y461" s="4">
        <v>13</v>
      </c>
      <c r="Z461" s="4">
        <v>1</v>
      </c>
      <c r="AA461" s="4">
        <v>1</v>
      </c>
      <c r="AB461" s="4">
        <v>1</v>
      </c>
      <c r="AC461" s="4">
        <v>1</v>
      </c>
      <c r="AD461" s="4">
        <v>9</v>
      </c>
      <c r="AE461" s="4">
        <v>9</v>
      </c>
      <c r="AF461" s="4">
        <v>0</v>
      </c>
      <c r="AG461" s="4">
        <v>0</v>
      </c>
      <c r="AH461" s="4">
        <v>9</v>
      </c>
      <c r="AI461" s="4">
        <v>9</v>
      </c>
      <c r="AJ461" s="4">
        <v>0</v>
      </c>
      <c r="AK461" s="4">
        <v>0</v>
      </c>
      <c r="AL461" s="4">
        <v>7</v>
      </c>
      <c r="AM461" s="4">
        <v>7</v>
      </c>
      <c r="AN461" s="4">
        <v>0</v>
      </c>
      <c r="AO461" s="4">
        <v>0</v>
      </c>
      <c r="AP461" s="4">
        <v>0</v>
      </c>
      <c r="AQ461" s="4">
        <v>0</v>
      </c>
      <c r="AR461" s="3" t="s">
        <v>65</v>
      </c>
      <c r="AS461" s="3" t="s">
        <v>65</v>
      </c>
      <c r="AT461" s="3" t="s">
        <v>65</v>
      </c>
      <c r="AV461" s="6" t="str">
        <f>HYPERLINK("http://mcgill.on.worldcat.org/oclc/1000097918","Catalog Record")</f>
        <v>Catalog Record</v>
      </c>
      <c r="AW461" s="6" t="str">
        <f>HYPERLINK("http://www.worldcat.org/oclc/1000097918","WorldCat Record")</f>
        <v>WorldCat Record</v>
      </c>
      <c r="AX461" s="3" t="s">
        <v>4944</v>
      </c>
      <c r="AY461" s="3" t="s">
        <v>4945</v>
      </c>
      <c r="AZ461" s="3" t="s">
        <v>4946</v>
      </c>
      <c r="BA461" s="3" t="s">
        <v>4946</v>
      </c>
      <c r="BB461" s="3" t="s">
        <v>4947</v>
      </c>
      <c r="BC461" s="3" t="s">
        <v>77</v>
      </c>
      <c r="BD461" s="3" t="s">
        <v>78</v>
      </c>
      <c r="BE461" s="3" t="s">
        <v>4948</v>
      </c>
      <c r="BF461" s="3" t="s">
        <v>4947</v>
      </c>
      <c r="BG461" s="3" t="s">
        <v>4949</v>
      </c>
    </row>
    <row r="462" spans="1:59" ht="72.5" x14ac:dyDescent="0.35">
      <c r="A462" s="2" t="s">
        <v>59</v>
      </c>
      <c r="B462" s="2" t="s">
        <v>60</v>
      </c>
      <c r="C462" s="2" t="s">
        <v>4950</v>
      </c>
      <c r="D462" s="2" t="s">
        <v>4951</v>
      </c>
      <c r="E462" s="2" t="s">
        <v>4952</v>
      </c>
      <c r="G462" s="3" t="s">
        <v>65</v>
      </c>
      <c r="I462" s="3" t="s">
        <v>65</v>
      </c>
      <c r="J462" s="3" t="s">
        <v>65</v>
      </c>
      <c r="K462" s="3" t="s">
        <v>66</v>
      </c>
      <c r="L462" s="2" t="s">
        <v>4953</v>
      </c>
      <c r="M462" s="2" t="s">
        <v>4954</v>
      </c>
      <c r="N462" s="3" t="s">
        <v>176</v>
      </c>
      <c r="P462" s="3" t="s">
        <v>69</v>
      </c>
      <c r="Q462" s="2" t="s">
        <v>1197</v>
      </c>
      <c r="R462" s="3" t="s">
        <v>71</v>
      </c>
      <c r="S462" s="4">
        <v>3</v>
      </c>
      <c r="T462" s="4">
        <v>3</v>
      </c>
      <c r="U462" s="5" t="s">
        <v>4955</v>
      </c>
      <c r="V462" s="5" t="s">
        <v>4955</v>
      </c>
      <c r="W462" s="5" t="s">
        <v>72</v>
      </c>
      <c r="X462" s="5" t="s">
        <v>72</v>
      </c>
      <c r="Y462" s="4">
        <v>131</v>
      </c>
      <c r="Z462" s="4">
        <v>14</v>
      </c>
      <c r="AA462" s="4">
        <v>90</v>
      </c>
      <c r="AB462" s="4">
        <v>2</v>
      </c>
      <c r="AC462" s="4">
        <v>16</v>
      </c>
      <c r="AD462" s="4">
        <v>69</v>
      </c>
      <c r="AE462" s="4">
        <v>129</v>
      </c>
      <c r="AF462" s="4">
        <v>1</v>
      </c>
      <c r="AG462" s="4">
        <v>8</v>
      </c>
      <c r="AH462" s="4">
        <v>61</v>
      </c>
      <c r="AI462" s="4">
        <v>87</v>
      </c>
      <c r="AJ462" s="4">
        <v>10</v>
      </c>
      <c r="AK462" s="4">
        <v>23</v>
      </c>
      <c r="AL462" s="4">
        <v>42</v>
      </c>
      <c r="AM462" s="4">
        <v>50</v>
      </c>
      <c r="AN462" s="4">
        <v>0</v>
      </c>
      <c r="AO462" s="4">
        <v>0</v>
      </c>
      <c r="AP462" s="4">
        <v>10</v>
      </c>
      <c r="AQ462" s="4">
        <v>49</v>
      </c>
      <c r="AR462" s="3" t="s">
        <v>209</v>
      </c>
      <c r="AS462" s="3" t="s">
        <v>65</v>
      </c>
      <c r="AT462" s="3" t="s">
        <v>65</v>
      </c>
      <c r="AV462" s="6" t="str">
        <f>HYPERLINK("http://mcgill.on.worldcat.org/oclc/898087053","Catalog Record")</f>
        <v>Catalog Record</v>
      </c>
      <c r="AW462" s="6" t="str">
        <f>HYPERLINK("http://www.worldcat.org/oclc/898087053","WorldCat Record")</f>
        <v>WorldCat Record</v>
      </c>
      <c r="AX462" s="3" t="s">
        <v>4956</v>
      </c>
      <c r="AY462" s="3" t="s">
        <v>4957</v>
      </c>
      <c r="AZ462" s="3" t="s">
        <v>4958</v>
      </c>
      <c r="BA462" s="3" t="s">
        <v>4958</v>
      </c>
      <c r="BB462" s="3" t="s">
        <v>4959</v>
      </c>
      <c r="BC462" s="3" t="s">
        <v>77</v>
      </c>
      <c r="BD462" s="3" t="s">
        <v>78</v>
      </c>
      <c r="BE462" s="3" t="s">
        <v>4960</v>
      </c>
      <c r="BF462" s="3" t="s">
        <v>4959</v>
      </c>
      <c r="BG462" s="3" t="s">
        <v>4961</v>
      </c>
    </row>
    <row r="463" spans="1:59" ht="58" x14ac:dyDescent="0.35">
      <c r="A463" s="2" t="s">
        <v>59</v>
      </c>
      <c r="B463" s="2" t="s">
        <v>60</v>
      </c>
      <c r="C463" s="2" t="s">
        <v>4962</v>
      </c>
      <c r="D463" s="2" t="s">
        <v>4963</v>
      </c>
      <c r="E463" s="2" t="s">
        <v>4964</v>
      </c>
      <c r="G463" s="3" t="s">
        <v>65</v>
      </c>
      <c r="I463" s="3" t="s">
        <v>65</v>
      </c>
      <c r="J463" s="3" t="s">
        <v>65</v>
      </c>
      <c r="K463" s="3" t="s">
        <v>213</v>
      </c>
      <c r="L463" s="2" t="s">
        <v>904</v>
      </c>
      <c r="M463" s="2" t="s">
        <v>4965</v>
      </c>
      <c r="N463" s="3" t="s">
        <v>742</v>
      </c>
      <c r="P463" s="3" t="s">
        <v>69</v>
      </c>
      <c r="R463" s="3" t="s">
        <v>71</v>
      </c>
      <c r="S463" s="4">
        <v>3</v>
      </c>
      <c r="T463" s="4">
        <v>3</v>
      </c>
      <c r="U463" s="5" t="s">
        <v>4966</v>
      </c>
      <c r="V463" s="5" t="s">
        <v>4966</v>
      </c>
      <c r="W463" s="5" t="s">
        <v>72</v>
      </c>
      <c r="X463" s="5" t="s">
        <v>72</v>
      </c>
      <c r="Y463" s="4">
        <v>383</v>
      </c>
      <c r="Z463" s="4">
        <v>8</v>
      </c>
      <c r="AA463" s="4">
        <v>16</v>
      </c>
      <c r="AB463" s="4">
        <v>1</v>
      </c>
      <c r="AC463" s="4">
        <v>2</v>
      </c>
      <c r="AD463" s="4">
        <v>60</v>
      </c>
      <c r="AE463" s="4">
        <v>97</v>
      </c>
      <c r="AF463" s="4">
        <v>0</v>
      </c>
      <c r="AG463" s="4">
        <v>0</v>
      </c>
      <c r="AH463" s="4">
        <v>57</v>
      </c>
      <c r="AI463" s="4">
        <v>88</v>
      </c>
      <c r="AJ463" s="4">
        <v>4</v>
      </c>
      <c r="AK463" s="4">
        <v>7</v>
      </c>
      <c r="AL463" s="4">
        <v>33</v>
      </c>
      <c r="AM463" s="4">
        <v>55</v>
      </c>
      <c r="AN463" s="4">
        <v>0</v>
      </c>
      <c r="AO463" s="4">
        <v>0</v>
      </c>
      <c r="AP463" s="4">
        <v>3</v>
      </c>
      <c r="AQ463" s="4">
        <v>8</v>
      </c>
      <c r="AR463" s="3" t="s">
        <v>65</v>
      </c>
      <c r="AS463" s="3" t="s">
        <v>65</v>
      </c>
      <c r="AT463" s="3" t="s">
        <v>209</v>
      </c>
      <c r="AU463" s="6" t="str">
        <f>HYPERLINK("http://catalog.hathitrust.org/Record/000845298","HathiTrust Record")</f>
        <v>HathiTrust Record</v>
      </c>
      <c r="AV463" s="6" t="str">
        <f>HYPERLINK("http://mcgill.on.worldcat.org/oclc/1019358","Catalog Record")</f>
        <v>Catalog Record</v>
      </c>
      <c r="AW463" s="6" t="str">
        <f>HYPERLINK("http://www.worldcat.org/oclc/1019358","WorldCat Record")</f>
        <v>WorldCat Record</v>
      </c>
      <c r="AX463" s="3" t="s">
        <v>4967</v>
      </c>
      <c r="AY463" s="3" t="s">
        <v>4968</v>
      </c>
      <c r="AZ463" s="3" t="s">
        <v>4969</v>
      </c>
      <c r="BA463" s="3" t="s">
        <v>4969</v>
      </c>
      <c r="BB463" s="3" t="s">
        <v>4970</v>
      </c>
      <c r="BC463" s="3" t="s">
        <v>77</v>
      </c>
      <c r="BD463" s="3" t="s">
        <v>78</v>
      </c>
      <c r="BF463" s="3" t="s">
        <v>4970</v>
      </c>
      <c r="BG463" s="3" t="s">
        <v>4971</v>
      </c>
    </row>
    <row r="464" spans="1:59" ht="58" x14ac:dyDescent="0.35">
      <c r="A464" s="2" t="s">
        <v>59</v>
      </c>
      <c r="B464" s="2" t="s">
        <v>60</v>
      </c>
      <c r="C464" s="2" t="s">
        <v>4972</v>
      </c>
      <c r="D464" s="2" t="s">
        <v>4973</v>
      </c>
      <c r="E464" s="2" t="s">
        <v>4974</v>
      </c>
      <c r="G464" s="3" t="s">
        <v>65</v>
      </c>
      <c r="I464" s="3" t="s">
        <v>65</v>
      </c>
      <c r="J464" s="3" t="s">
        <v>65</v>
      </c>
      <c r="K464" s="3" t="s">
        <v>66</v>
      </c>
      <c r="L464" s="2" t="s">
        <v>4975</v>
      </c>
      <c r="M464" s="2" t="s">
        <v>4976</v>
      </c>
      <c r="N464" s="3" t="s">
        <v>2210</v>
      </c>
      <c r="P464" s="3" t="s">
        <v>140</v>
      </c>
      <c r="Q464" s="2" t="s">
        <v>4977</v>
      </c>
      <c r="R464" s="3" t="s">
        <v>71</v>
      </c>
      <c r="S464" s="4">
        <v>1</v>
      </c>
      <c r="T464" s="4">
        <v>1</v>
      </c>
      <c r="U464" s="5" t="s">
        <v>4391</v>
      </c>
      <c r="V464" s="5" t="s">
        <v>4391</v>
      </c>
      <c r="W464" s="5" t="s">
        <v>72</v>
      </c>
      <c r="X464" s="5" t="s">
        <v>72</v>
      </c>
      <c r="Y464" s="4">
        <v>24</v>
      </c>
      <c r="Z464" s="4">
        <v>1</v>
      </c>
      <c r="AA464" s="4">
        <v>3</v>
      </c>
      <c r="AB464" s="4">
        <v>1</v>
      </c>
      <c r="AC464" s="4">
        <v>1</v>
      </c>
      <c r="AD464" s="4">
        <v>10</v>
      </c>
      <c r="AE464" s="4">
        <v>17</v>
      </c>
      <c r="AF464" s="4">
        <v>0</v>
      </c>
      <c r="AG464" s="4">
        <v>0</v>
      </c>
      <c r="AH464" s="4">
        <v>9</v>
      </c>
      <c r="AI464" s="4">
        <v>16</v>
      </c>
      <c r="AJ464" s="4">
        <v>0</v>
      </c>
      <c r="AK464" s="4">
        <v>1</v>
      </c>
      <c r="AL464" s="4">
        <v>9</v>
      </c>
      <c r="AM464" s="4">
        <v>14</v>
      </c>
      <c r="AN464" s="4">
        <v>0</v>
      </c>
      <c r="AO464" s="4">
        <v>0</v>
      </c>
      <c r="AP464" s="4">
        <v>0</v>
      </c>
      <c r="AQ464" s="4">
        <v>1</v>
      </c>
      <c r="AR464" s="3" t="s">
        <v>65</v>
      </c>
      <c r="AS464" s="3" t="s">
        <v>65</v>
      </c>
      <c r="AT464" s="3" t="s">
        <v>209</v>
      </c>
      <c r="AU464" s="6" t="str">
        <f>HYPERLINK("http://catalog.hathitrust.org/Record/003870159","HathiTrust Record")</f>
        <v>HathiTrust Record</v>
      </c>
      <c r="AV464" s="6" t="str">
        <f>HYPERLINK("http://mcgill.on.worldcat.org/oclc/49879587","Catalog Record")</f>
        <v>Catalog Record</v>
      </c>
      <c r="AW464" s="6" t="str">
        <f>HYPERLINK("http://www.worldcat.org/oclc/49879587","WorldCat Record")</f>
        <v>WorldCat Record</v>
      </c>
      <c r="AX464" s="3" t="s">
        <v>4978</v>
      </c>
      <c r="AY464" s="3" t="s">
        <v>4979</v>
      </c>
      <c r="AZ464" s="3" t="s">
        <v>4980</v>
      </c>
      <c r="BA464" s="3" t="s">
        <v>4980</v>
      </c>
      <c r="BB464" s="3" t="s">
        <v>4981</v>
      </c>
      <c r="BC464" s="3" t="s">
        <v>77</v>
      </c>
      <c r="BD464" s="3" t="s">
        <v>78</v>
      </c>
      <c r="BE464" s="3" t="s">
        <v>4982</v>
      </c>
      <c r="BF464" s="3" t="s">
        <v>4981</v>
      </c>
      <c r="BG464" s="3" t="s">
        <v>4983</v>
      </c>
    </row>
    <row r="465" spans="1:59" ht="58" x14ac:dyDescent="0.35">
      <c r="A465" s="2" t="s">
        <v>59</v>
      </c>
      <c r="B465" s="2" t="s">
        <v>60</v>
      </c>
      <c r="C465" s="2" t="s">
        <v>4984</v>
      </c>
      <c r="D465" s="2" t="s">
        <v>4985</v>
      </c>
      <c r="E465" s="2" t="s">
        <v>4986</v>
      </c>
      <c r="G465" s="3" t="s">
        <v>65</v>
      </c>
      <c r="I465" s="3" t="s">
        <v>65</v>
      </c>
      <c r="J465" s="3" t="s">
        <v>65</v>
      </c>
      <c r="K465" s="3" t="s">
        <v>66</v>
      </c>
      <c r="L465" s="2" t="s">
        <v>4987</v>
      </c>
      <c r="M465" s="2" t="s">
        <v>4988</v>
      </c>
      <c r="N465" s="3" t="s">
        <v>2210</v>
      </c>
      <c r="P465" s="3" t="s">
        <v>140</v>
      </c>
      <c r="Q465" s="2" t="s">
        <v>4989</v>
      </c>
      <c r="R465" s="3" t="s">
        <v>71</v>
      </c>
      <c r="S465" s="4">
        <v>1</v>
      </c>
      <c r="T465" s="4">
        <v>1</v>
      </c>
      <c r="U465" s="5" t="s">
        <v>2354</v>
      </c>
      <c r="V465" s="5" t="s">
        <v>2354</v>
      </c>
      <c r="W465" s="5" t="s">
        <v>72</v>
      </c>
      <c r="X465" s="5" t="s">
        <v>72</v>
      </c>
      <c r="Y465" s="4">
        <v>37</v>
      </c>
      <c r="Z465" s="4">
        <v>3</v>
      </c>
      <c r="AA465" s="4">
        <v>3</v>
      </c>
      <c r="AB465" s="4">
        <v>1</v>
      </c>
      <c r="AC465" s="4">
        <v>1</v>
      </c>
      <c r="AD465" s="4">
        <v>25</v>
      </c>
      <c r="AE465" s="4">
        <v>25</v>
      </c>
      <c r="AF465" s="4">
        <v>0</v>
      </c>
      <c r="AG465" s="4">
        <v>0</v>
      </c>
      <c r="AH465" s="4">
        <v>24</v>
      </c>
      <c r="AI465" s="4">
        <v>24</v>
      </c>
      <c r="AJ465" s="4">
        <v>1</v>
      </c>
      <c r="AK465" s="4">
        <v>1</v>
      </c>
      <c r="AL465" s="4">
        <v>20</v>
      </c>
      <c r="AM465" s="4">
        <v>20</v>
      </c>
      <c r="AN465" s="4">
        <v>0</v>
      </c>
      <c r="AO465" s="4">
        <v>0</v>
      </c>
      <c r="AP465" s="4">
        <v>1</v>
      </c>
      <c r="AQ465" s="4">
        <v>1</v>
      </c>
      <c r="AR465" s="3" t="s">
        <v>65</v>
      </c>
      <c r="AS465" s="3" t="s">
        <v>65</v>
      </c>
      <c r="AT465" s="3" t="s">
        <v>209</v>
      </c>
      <c r="AU465" s="6" t="str">
        <f>HYPERLINK("http://catalog.hathitrust.org/Record/004261137","HathiTrust Record")</f>
        <v>HathiTrust Record</v>
      </c>
      <c r="AV465" s="6" t="str">
        <f>HYPERLINK("http://mcgill.on.worldcat.org/oclc/49983227","Catalog Record")</f>
        <v>Catalog Record</v>
      </c>
      <c r="AW465" s="6" t="str">
        <f>HYPERLINK("http://www.worldcat.org/oclc/49983227","WorldCat Record")</f>
        <v>WorldCat Record</v>
      </c>
      <c r="AX465" s="3" t="s">
        <v>4990</v>
      </c>
      <c r="AY465" s="3" t="s">
        <v>4991</v>
      </c>
      <c r="AZ465" s="3" t="s">
        <v>4992</v>
      </c>
      <c r="BA465" s="3" t="s">
        <v>4992</v>
      </c>
      <c r="BB465" s="3" t="s">
        <v>4993</v>
      </c>
      <c r="BC465" s="3" t="s">
        <v>77</v>
      </c>
      <c r="BD465" s="3" t="s">
        <v>78</v>
      </c>
      <c r="BE465" s="3" t="s">
        <v>4994</v>
      </c>
      <c r="BF465" s="3" t="s">
        <v>4993</v>
      </c>
      <c r="BG465" s="3" t="s">
        <v>4995</v>
      </c>
    </row>
    <row r="466" spans="1:59" ht="58" x14ac:dyDescent="0.35">
      <c r="A466" s="2" t="s">
        <v>59</v>
      </c>
      <c r="B466" s="2" t="s">
        <v>60</v>
      </c>
      <c r="C466" s="2" t="s">
        <v>4996</v>
      </c>
      <c r="D466" s="2" t="s">
        <v>4997</v>
      </c>
      <c r="E466" s="2" t="s">
        <v>4998</v>
      </c>
      <c r="G466" s="3" t="s">
        <v>65</v>
      </c>
      <c r="I466" s="3" t="s">
        <v>65</v>
      </c>
      <c r="J466" s="3" t="s">
        <v>65</v>
      </c>
      <c r="K466" s="3" t="s">
        <v>66</v>
      </c>
      <c r="L466" s="2" t="s">
        <v>4999</v>
      </c>
      <c r="M466" s="2" t="s">
        <v>5000</v>
      </c>
      <c r="N466" s="3" t="s">
        <v>113</v>
      </c>
      <c r="P466" s="3" t="s">
        <v>140</v>
      </c>
      <c r="Q466" s="2" t="s">
        <v>5001</v>
      </c>
      <c r="R466" s="3" t="s">
        <v>71</v>
      </c>
      <c r="S466" s="4">
        <v>0</v>
      </c>
      <c r="T466" s="4">
        <v>0</v>
      </c>
      <c r="W466" s="5" t="s">
        <v>72</v>
      </c>
      <c r="X466" s="5" t="s">
        <v>72</v>
      </c>
      <c r="Y466" s="4">
        <v>53</v>
      </c>
      <c r="Z466" s="4">
        <v>5</v>
      </c>
      <c r="AA466" s="4">
        <v>5</v>
      </c>
      <c r="AB466" s="4">
        <v>1</v>
      </c>
      <c r="AC466" s="4">
        <v>1</v>
      </c>
      <c r="AD466" s="4">
        <v>36</v>
      </c>
      <c r="AE466" s="4">
        <v>37</v>
      </c>
      <c r="AF466" s="4">
        <v>0</v>
      </c>
      <c r="AG466" s="4">
        <v>0</v>
      </c>
      <c r="AH466" s="4">
        <v>36</v>
      </c>
      <c r="AI466" s="4">
        <v>36</v>
      </c>
      <c r="AJ466" s="4">
        <v>3</v>
      </c>
      <c r="AK466" s="4">
        <v>3</v>
      </c>
      <c r="AL466" s="4">
        <v>28</v>
      </c>
      <c r="AM466" s="4">
        <v>29</v>
      </c>
      <c r="AN466" s="4">
        <v>5</v>
      </c>
      <c r="AO466" s="4">
        <v>5</v>
      </c>
      <c r="AP466" s="4">
        <v>3</v>
      </c>
      <c r="AQ466" s="4">
        <v>3</v>
      </c>
      <c r="AR466" s="3" t="s">
        <v>65</v>
      </c>
      <c r="AS466" s="3" t="s">
        <v>65</v>
      </c>
      <c r="AT466" s="3" t="s">
        <v>209</v>
      </c>
      <c r="AU466" s="6" t="str">
        <f>HYPERLINK("http://catalog.hathitrust.org/Record/011228234","HathiTrust Record")</f>
        <v>HathiTrust Record</v>
      </c>
      <c r="AV466" s="6" t="str">
        <f>HYPERLINK("http://mcgill.on.worldcat.org/oclc/681072154","Catalog Record")</f>
        <v>Catalog Record</v>
      </c>
      <c r="AW466" s="6" t="str">
        <f>HYPERLINK("http://www.worldcat.org/oclc/681072154","WorldCat Record")</f>
        <v>WorldCat Record</v>
      </c>
      <c r="AX466" s="3" t="s">
        <v>5002</v>
      </c>
      <c r="AY466" s="3" t="s">
        <v>5003</v>
      </c>
      <c r="AZ466" s="3" t="s">
        <v>5004</v>
      </c>
      <c r="BA466" s="3" t="s">
        <v>5004</v>
      </c>
      <c r="BB466" s="3" t="s">
        <v>5005</v>
      </c>
      <c r="BC466" s="3" t="s">
        <v>77</v>
      </c>
      <c r="BD466" s="3" t="s">
        <v>78</v>
      </c>
      <c r="BE466" s="3" t="s">
        <v>5006</v>
      </c>
      <c r="BF466" s="3" t="s">
        <v>5005</v>
      </c>
      <c r="BG466" s="3" t="s">
        <v>5007</v>
      </c>
    </row>
    <row r="467" spans="1:59" ht="58" x14ac:dyDescent="0.35">
      <c r="A467" s="2" t="s">
        <v>59</v>
      </c>
      <c r="B467" s="2" t="s">
        <v>60</v>
      </c>
      <c r="C467" s="2" t="s">
        <v>5008</v>
      </c>
      <c r="D467" s="2" t="s">
        <v>5009</v>
      </c>
      <c r="E467" s="2" t="s">
        <v>5010</v>
      </c>
      <c r="G467" s="3" t="s">
        <v>65</v>
      </c>
      <c r="I467" s="3" t="s">
        <v>65</v>
      </c>
      <c r="J467" s="3" t="s">
        <v>65</v>
      </c>
      <c r="K467" s="3" t="s">
        <v>66</v>
      </c>
      <c r="L467" s="2" t="s">
        <v>5011</v>
      </c>
      <c r="M467" s="2" t="s">
        <v>5012</v>
      </c>
      <c r="N467" s="3" t="s">
        <v>392</v>
      </c>
      <c r="P467" s="3" t="s">
        <v>69</v>
      </c>
      <c r="R467" s="3" t="s">
        <v>71</v>
      </c>
      <c r="S467" s="4">
        <v>24</v>
      </c>
      <c r="T467" s="4">
        <v>24</v>
      </c>
      <c r="U467" s="5" t="s">
        <v>5013</v>
      </c>
      <c r="V467" s="5" t="s">
        <v>5013</v>
      </c>
      <c r="W467" s="5" t="s">
        <v>72</v>
      </c>
      <c r="X467" s="5" t="s">
        <v>72</v>
      </c>
      <c r="Y467" s="4">
        <v>562</v>
      </c>
      <c r="Z467" s="4">
        <v>27</v>
      </c>
      <c r="AA467" s="4">
        <v>33</v>
      </c>
      <c r="AB467" s="4">
        <v>2</v>
      </c>
      <c r="AC467" s="4">
        <v>5</v>
      </c>
      <c r="AD467" s="4">
        <v>119</v>
      </c>
      <c r="AE467" s="4">
        <v>124</v>
      </c>
      <c r="AF467" s="4">
        <v>1</v>
      </c>
      <c r="AG467" s="4">
        <v>3</v>
      </c>
      <c r="AH467" s="4">
        <v>103</v>
      </c>
      <c r="AI467" s="4">
        <v>106</v>
      </c>
      <c r="AJ467" s="4">
        <v>16</v>
      </c>
      <c r="AK467" s="4">
        <v>19</v>
      </c>
      <c r="AL467" s="4">
        <v>58</v>
      </c>
      <c r="AM467" s="4">
        <v>59</v>
      </c>
      <c r="AN467" s="4">
        <v>0</v>
      </c>
      <c r="AO467" s="4">
        <v>0</v>
      </c>
      <c r="AP467" s="4">
        <v>21</v>
      </c>
      <c r="AQ467" s="4">
        <v>25</v>
      </c>
      <c r="AR467" s="3" t="s">
        <v>65</v>
      </c>
      <c r="AS467" s="3" t="s">
        <v>65</v>
      </c>
      <c r="AT467" s="3" t="s">
        <v>65</v>
      </c>
      <c r="AV467" s="6" t="str">
        <f>HYPERLINK("http://mcgill.on.worldcat.org/oclc/19515006","Catalog Record")</f>
        <v>Catalog Record</v>
      </c>
      <c r="AW467" s="6" t="str">
        <f>HYPERLINK("http://www.worldcat.org/oclc/19515006","WorldCat Record")</f>
        <v>WorldCat Record</v>
      </c>
      <c r="AX467" s="3" t="s">
        <v>5014</v>
      </c>
      <c r="AY467" s="3" t="s">
        <v>5015</v>
      </c>
      <c r="AZ467" s="3" t="s">
        <v>5016</v>
      </c>
      <c r="BA467" s="3" t="s">
        <v>5016</v>
      </c>
      <c r="BB467" s="3" t="s">
        <v>5017</v>
      </c>
      <c r="BC467" s="3" t="s">
        <v>77</v>
      </c>
      <c r="BD467" s="3" t="s">
        <v>78</v>
      </c>
      <c r="BE467" s="3" t="s">
        <v>5018</v>
      </c>
      <c r="BF467" s="3" t="s">
        <v>5017</v>
      </c>
      <c r="BG467" s="3" t="s">
        <v>5019</v>
      </c>
    </row>
    <row r="468" spans="1:59" ht="58" x14ac:dyDescent="0.35">
      <c r="A468" s="2" t="s">
        <v>59</v>
      </c>
      <c r="B468" s="2" t="s">
        <v>60</v>
      </c>
      <c r="C468" s="2" t="s">
        <v>5020</v>
      </c>
      <c r="D468" s="2" t="s">
        <v>5021</v>
      </c>
      <c r="E468" s="2" t="s">
        <v>5022</v>
      </c>
      <c r="G468" s="3" t="s">
        <v>65</v>
      </c>
      <c r="I468" s="3" t="s">
        <v>65</v>
      </c>
      <c r="J468" s="3" t="s">
        <v>65</v>
      </c>
      <c r="K468" s="3" t="s">
        <v>66</v>
      </c>
      <c r="L468" s="2" t="s">
        <v>5023</v>
      </c>
      <c r="M468" s="2" t="s">
        <v>5024</v>
      </c>
      <c r="N468" s="3" t="s">
        <v>152</v>
      </c>
      <c r="P468" s="3" t="s">
        <v>69</v>
      </c>
      <c r="Q468" s="2" t="s">
        <v>1197</v>
      </c>
      <c r="R468" s="3" t="s">
        <v>71</v>
      </c>
      <c r="S468" s="4">
        <v>1</v>
      </c>
      <c r="T468" s="4">
        <v>1</v>
      </c>
      <c r="U468" s="5" t="s">
        <v>5025</v>
      </c>
      <c r="V468" s="5" t="s">
        <v>5025</v>
      </c>
      <c r="W468" s="5" t="s">
        <v>72</v>
      </c>
      <c r="X468" s="5" t="s">
        <v>72</v>
      </c>
      <c r="Y468" s="4">
        <v>147</v>
      </c>
      <c r="Z468" s="4">
        <v>20</v>
      </c>
      <c r="AA468" s="4">
        <v>92</v>
      </c>
      <c r="AB468" s="4">
        <v>1</v>
      </c>
      <c r="AC468" s="4">
        <v>16</v>
      </c>
      <c r="AD468" s="4">
        <v>83</v>
      </c>
      <c r="AE468" s="4">
        <v>134</v>
      </c>
      <c r="AF468" s="4">
        <v>0</v>
      </c>
      <c r="AG468" s="4">
        <v>8</v>
      </c>
      <c r="AH468" s="4">
        <v>72</v>
      </c>
      <c r="AI468" s="4">
        <v>92</v>
      </c>
      <c r="AJ468" s="4">
        <v>15</v>
      </c>
      <c r="AK468" s="4">
        <v>26</v>
      </c>
      <c r="AL468" s="4">
        <v>49</v>
      </c>
      <c r="AM468" s="4">
        <v>54</v>
      </c>
      <c r="AN468" s="4">
        <v>0</v>
      </c>
      <c r="AO468" s="4">
        <v>0</v>
      </c>
      <c r="AP468" s="4">
        <v>15</v>
      </c>
      <c r="AQ468" s="4">
        <v>50</v>
      </c>
      <c r="AR468" s="3" t="s">
        <v>209</v>
      </c>
      <c r="AS468" s="3" t="s">
        <v>65</v>
      </c>
      <c r="AT468" s="3" t="s">
        <v>65</v>
      </c>
      <c r="AV468" s="6" t="str">
        <f>HYPERLINK("http://mcgill.on.worldcat.org/oclc/832256514","Catalog Record")</f>
        <v>Catalog Record</v>
      </c>
      <c r="AW468" s="6" t="str">
        <f>HYPERLINK("http://www.worldcat.org/oclc/832256514","WorldCat Record")</f>
        <v>WorldCat Record</v>
      </c>
      <c r="AX468" s="3" t="s">
        <v>5026</v>
      </c>
      <c r="AY468" s="3" t="s">
        <v>5027</v>
      </c>
      <c r="AZ468" s="3" t="s">
        <v>5028</v>
      </c>
      <c r="BA468" s="3" t="s">
        <v>5028</v>
      </c>
      <c r="BB468" s="3" t="s">
        <v>5029</v>
      </c>
      <c r="BC468" s="3" t="s">
        <v>77</v>
      </c>
      <c r="BD468" s="3" t="s">
        <v>78</v>
      </c>
      <c r="BE468" s="3" t="s">
        <v>5030</v>
      </c>
      <c r="BF468" s="3" t="s">
        <v>5029</v>
      </c>
      <c r="BG468" s="3" t="s">
        <v>5031</v>
      </c>
    </row>
    <row r="469" spans="1:59" ht="58" x14ac:dyDescent="0.35">
      <c r="A469" s="2" t="s">
        <v>59</v>
      </c>
      <c r="B469" s="2" t="s">
        <v>60</v>
      </c>
      <c r="C469" s="2" t="s">
        <v>5032</v>
      </c>
      <c r="D469" s="2" t="s">
        <v>5033</v>
      </c>
      <c r="E469" s="2" t="s">
        <v>5034</v>
      </c>
      <c r="G469" s="3" t="s">
        <v>65</v>
      </c>
      <c r="I469" s="3" t="s">
        <v>65</v>
      </c>
      <c r="J469" s="3" t="s">
        <v>65</v>
      </c>
      <c r="K469" s="3" t="s">
        <v>66</v>
      </c>
      <c r="L469" s="2" t="s">
        <v>5035</v>
      </c>
      <c r="M469" s="2" t="s">
        <v>4594</v>
      </c>
      <c r="N469" s="3" t="s">
        <v>126</v>
      </c>
      <c r="P469" s="3" t="s">
        <v>140</v>
      </c>
      <c r="Q469" s="2" t="s">
        <v>5036</v>
      </c>
      <c r="R469" s="3" t="s">
        <v>71</v>
      </c>
      <c r="S469" s="4">
        <v>0</v>
      </c>
      <c r="T469" s="4">
        <v>0</v>
      </c>
      <c r="W469" s="5" t="s">
        <v>72</v>
      </c>
      <c r="X469" s="5" t="s">
        <v>72</v>
      </c>
      <c r="Y469" s="4">
        <v>24</v>
      </c>
      <c r="Z469" s="4">
        <v>3</v>
      </c>
      <c r="AA469" s="4">
        <v>3</v>
      </c>
      <c r="AB469" s="4">
        <v>1</v>
      </c>
      <c r="AC469" s="4">
        <v>1</v>
      </c>
      <c r="AD469" s="4">
        <v>13</v>
      </c>
      <c r="AE469" s="4">
        <v>13</v>
      </c>
      <c r="AF469" s="4">
        <v>0</v>
      </c>
      <c r="AG469" s="4">
        <v>0</v>
      </c>
      <c r="AH469" s="4">
        <v>12</v>
      </c>
      <c r="AI469" s="4">
        <v>12</v>
      </c>
      <c r="AJ469" s="4">
        <v>1</v>
      </c>
      <c r="AK469" s="4">
        <v>1</v>
      </c>
      <c r="AL469" s="4">
        <v>9</v>
      </c>
      <c r="AM469" s="4">
        <v>9</v>
      </c>
      <c r="AN469" s="4">
        <v>0</v>
      </c>
      <c r="AO469" s="4">
        <v>0</v>
      </c>
      <c r="AP469" s="4">
        <v>1</v>
      </c>
      <c r="AQ469" s="4">
        <v>1</v>
      </c>
      <c r="AR469" s="3" t="s">
        <v>65</v>
      </c>
      <c r="AS469" s="3" t="s">
        <v>65</v>
      </c>
      <c r="AT469" s="3" t="s">
        <v>65</v>
      </c>
      <c r="AV469" s="6" t="str">
        <f>HYPERLINK("http://mcgill.on.worldcat.org/oclc/795156394","Catalog Record")</f>
        <v>Catalog Record</v>
      </c>
      <c r="AW469" s="6" t="str">
        <f>HYPERLINK("http://www.worldcat.org/oclc/795156394","WorldCat Record")</f>
        <v>WorldCat Record</v>
      </c>
      <c r="AX469" s="3" t="s">
        <v>5037</v>
      </c>
      <c r="AY469" s="3" t="s">
        <v>5038</v>
      </c>
      <c r="AZ469" s="3" t="s">
        <v>5039</v>
      </c>
      <c r="BA469" s="3" t="s">
        <v>5039</v>
      </c>
      <c r="BB469" s="3" t="s">
        <v>5040</v>
      </c>
      <c r="BC469" s="3" t="s">
        <v>77</v>
      </c>
      <c r="BD469" s="3" t="s">
        <v>78</v>
      </c>
      <c r="BE469" s="3" t="s">
        <v>5041</v>
      </c>
      <c r="BF469" s="3" t="s">
        <v>5040</v>
      </c>
      <c r="BG469" s="3" t="s">
        <v>5042</v>
      </c>
    </row>
    <row r="470" spans="1:59" ht="87" x14ac:dyDescent="0.35">
      <c r="A470" s="2" t="s">
        <v>59</v>
      </c>
      <c r="B470" s="2" t="s">
        <v>60</v>
      </c>
      <c r="C470" s="2" t="s">
        <v>5043</v>
      </c>
      <c r="D470" s="2" t="s">
        <v>5044</v>
      </c>
      <c r="E470" s="2" t="s">
        <v>5045</v>
      </c>
      <c r="G470" s="3" t="s">
        <v>65</v>
      </c>
      <c r="I470" s="3" t="s">
        <v>65</v>
      </c>
      <c r="J470" s="3" t="s">
        <v>65</v>
      </c>
      <c r="K470" s="3" t="s">
        <v>66</v>
      </c>
      <c r="L470" s="2" t="s">
        <v>5046</v>
      </c>
      <c r="M470" s="2" t="s">
        <v>5047</v>
      </c>
      <c r="N470" s="3" t="s">
        <v>152</v>
      </c>
      <c r="P470" s="3" t="s">
        <v>616</v>
      </c>
      <c r="Q470" s="2" t="s">
        <v>5048</v>
      </c>
      <c r="R470" s="3" t="s">
        <v>71</v>
      </c>
      <c r="S470" s="4">
        <v>0</v>
      </c>
      <c r="T470" s="4">
        <v>0</v>
      </c>
      <c r="W470" s="5" t="s">
        <v>72</v>
      </c>
      <c r="X470" s="5" t="s">
        <v>72</v>
      </c>
      <c r="Y470" s="4">
        <v>36</v>
      </c>
      <c r="Z470" s="4">
        <v>2</v>
      </c>
      <c r="AA470" s="4">
        <v>3</v>
      </c>
      <c r="AB470" s="4">
        <v>1</v>
      </c>
      <c r="AC470" s="4">
        <v>1</v>
      </c>
      <c r="AD470" s="4">
        <v>17</v>
      </c>
      <c r="AE470" s="4">
        <v>18</v>
      </c>
      <c r="AF470" s="4">
        <v>0</v>
      </c>
      <c r="AG470" s="4">
        <v>0</v>
      </c>
      <c r="AH470" s="4">
        <v>16</v>
      </c>
      <c r="AI470" s="4">
        <v>17</v>
      </c>
      <c r="AJ470" s="4">
        <v>1</v>
      </c>
      <c r="AK470" s="4">
        <v>2</v>
      </c>
      <c r="AL470" s="4">
        <v>13</v>
      </c>
      <c r="AM470" s="4">
        <v>13</v>
      </c>
      <c r="AN470" s="4">
        <v>0</v>
      </c>
      <c r="AO470" s="4">
        <v>0</v>
      </c>
      <c r="AP470" s="4">
        <v>1</v>
      </c>
      <c r="AQ470" s="4">
        <v>2</v>
      </c>
      <c r="AR470" s="3" t="s">
        <v>65</v>
      </c>
      <c r="AS470" s="3" t="s">
        <v>65</v>
      </c>
      <c r="AT470" s="3" t="s">
        <v>65</v>
      </c>
      <c r="AV470" s="6" t="str">
        <f>HYPERLINK("http://mcgill.on.worldcat.org/oclc/884239644","Catalog Record")</f>
        <v>Catalog Record</v>
      </c>
      <c r="AW470" s="6" t="str">
        <f>HYPERLINK("http://www.worldcat.org/oclc/884239644","WorldCat Record")</f>
        <v>WorldCat Record</v>
      </c>
      <c r="AX470" s="3" t="s">
        <v>5049</v>
      </c>
      <c r="AY470" s="3" t="s">
        <v>5050</v>
      </c>
      <c r="AZ470" s="3" t="s">
        <v>5051</v>
      </c>
      <c r="BA470" s="3" t="s">
        <v>5051</v>
      </c>
      <c r="BB470" s="3" t="s">
        <v>5052</v>
      </c>
      <c r="BC470" s="3" t="s">
        <v>77</v>
      </c>
      <c r="BD470" s="3" t="s">
        <v>78</v>
      </c>
      <c r="BE470" s="3" t="s">
        <v>5053</v>
      </c>
      <c r="BF470" s="3" t="s">
        <v>5052</v>
      </c>
      <c r="BG470" s="3" t="s">
        <v>5054</v>
      </c>
    </row>
    <row r="471" spans="1:59" ht="58" x14ac:dyDescent="0.35">
      <c r="A471" s="2" t="s">
        <v>59</v>
      </c>
      <c r="B471" s="2" t="s">
        <v>60</v>
      </c>
      <c r="C471" s="2" t="s">
        <v>5055</v>
      </c>
      <c r="D471" s="2" t="s">
        <v>5056</v>
      </c>
      <c r="E471" s="2" t="s">
        <v>5057</v>
      </c>
      <c r="G471" s="3" t="s">
        <v>65</v>
      </c>
      <c r="I471" s="3" t="s">
        <v>65</v>
      </c>
      <c r="J471" s="3" t="s">
        <v>65</v>
      </c>
      <c r="K471" s="3" t="s">
        <v>66</v>
      </c>
      <c r="L471" s="2" t="s">
        <v>5058</v>
      </c>
      <c r="M471" s="2" t="s">
        <v>5059</v>
      </c>
      <c r="N471" s="3" t="s">
        <v>5060</v>
      </c>
      <c r="P471" s="3" t="s">
        <v>69</v>
      </c>
      <c r="R471" s="3" t="s">
        <v>71</v>
      </c>
      <c r="S471" s="4">
        <v>8</v>
      </c>
      <c r="T471" s="4">
        <v>8</v>
      </c>
      <c r="U471" s="5" t="s">
        <v>5061</v>
      </c>
      <c r="V471" s="5" t="s">
        <v>5061</v>
      </c>
      <c r="W471" s="5" t="s">
        <v>72</v>
      </c>
      <c r="X471" s="5" t="s">
        <v>72</v>
      </c>
      <c r="Y471" s="4">
        <v>657</v>
      </c>
      <c r="Z471" s="4">
        <v>31</v>
      </c>
      <c r="AA471" s="4">
        <v>32</v>
      </c>
      <c r="AB471" s="4">
        <v>1</v>
      </c>
      <c r="AC471" s="4">
        <v>2</v>
      </c>
      <c r="AD471" s="4">
        <v>117</v>
      </c>
      <c r="AE471" s="4">
        <v>118</v>
      </c>
      <c r="AF471" s="4">
        <v>0</v>
      </c>
      <c r="AG471" s="4">
        <v>1</v>
      </c>
      <c r="AH471" s="4">
        <v>102</v>
      </c>
      <c r="AI471" s="4">
        <v>103</v>
      </c>
      <c r="AJ471" s="4">
        <v>18</v>
      </c>
      <c r="AK471" s="4">
        <v>19</v>
      </c>
      <c r="AL471" s="4">
        <v>56</v>
      </c>
      <c r="AM471" s="4">
        <v>56</v>
      </c>
      <c r="AN471" s="4">
        <v>0</v>
      </c>
      <c r="AO471" s="4">
        <v>0</v>
      </c>
      <c r="AP471" s="4">
        <v>20</v>
      </c>
      <c r="AQ471" s="4">
        <v>21</v>
      </c>
      <c r="AR471" s="3" t="s">
        <v>65</v>
      </c>
      <c r="AS471" s="3" t="s">
        <v>65</v>
      </c>
      <c r="AT471" s="3" t="s">
        <v>209</v>
      </c>
      <c r="AU471" s="6" t="str">
        <f>HYPERLINK("http://catalog.hathitrust.org/Record/001218365","HathiTrust Record")</f>
        <v>HathiTrust Record</v>
      </c>
      <c r="AV471" s="6" t="str">
        <f>HYPERLINK("http://mcgill.on.worldcat.org/oclc/229935","Catalog Record")</f>
        <v>Catalog Record</v>
      </c>
      <c r="AW471" s="6" t="str">
        <f>HYPERLINK("http://www.worldcat.org/oclc/229935","WorldCat Record")</f>
        <v>WorldCat Record</v>
      </c>
      <c r="AX471" s="3" t="s">
        <v>5062</v>
      </c>
      <c r="AY471" s="3" t="s">
        <v>5063</v>
      </c>
      <c r="AZ471" s="3" t="s">
        <v>5064</v>
      </c>
      <c r="BA471" s="3" t="s">
        <v>5064</v>
      </c>
      <c r="BB471" s="3" t="s">
        <v>5065</v>
      </c>
      <c r="BC471" s="3" t="s">
        <v>77</v>
      </c>
      <c r="BD471" s="3" t="s">
        <v>78</v>
      </c>
      <c r="BF471" s="3" t="s">
        <v>5065</v>
      </c>
      <c r="BG471" s="3" t="s">
        <v>5066</v>
      </c>
    </row>
    <row r="472" spans="1:59" ht="58" x14ac:dyDescent="0.35">
      <c r="A472" s="2" t="s">
        <v>59</v>
      </c>
      <c r="B472" s="2" t="s">
        <v>60</v>
      </c>
      <c r="C472" s="2" t="s">
        <v>5067</v>
      </c>
      <c r="D472" s="2" t="s">
        <v>5068</v>
      </c>
      <c r="E472" s="2" t="s">
        <v>5069</v>
      </c>
      <c r="G472" s="3" t="s">
        <v>65</v>
      </c>
      <c r="I472" s="3" t="s">
        <v>65</v>
      </c>
      <c r="J472" s="3" t="s">
        <v>65</v>
      </c>
      <c r="K472" s="3" t="s">
        <v>66</v>
      </c>
      <c r="M472" s="2" t="s">
        <v>5070</v>
      </c>
      <c r="N472" s="3" t="s">
        <v>4042</v>
      </c>
      <c r="P472" s="3" t="s">
        <v>140</v>
      </c>
      <c r="Q472" s="2" t="s">
        <v>5071</v>
      </c>
      <c r="R472" s="3" t="s">
        <v>71</v>
      </c>
      <c r="S472" s="4">
        <v>5</v>
      </c>
      <c r="T472" s="4">
        <v>5</v>
      </c>
      <c r="U472" s="5" t="s">
        <v>5072</v>
      </c>
      <c r="V472" s="5" t="s">
        <v>5072</v>
      </c>
      <c r="W472" s="5" t="s">
        <v>72</v>
      </c>
      <c r="X472" s="5" t="s">
        <v>72</v>
      </c>
      <c r="Y472" s="4">
        <v>121</v>
      </c>
      <c r="Z472" s="4">
        <v>6</v>
      </c>
      <c r="AA472" s="4">
        <v>8</v>
      </c>
      <c r="AB472" s="4">
        <v>1</v>
      </c>
      <c r="AC472" s="4">
        <v>2</v>
      </c>
      <c r="AD472" s="4">
        <v>54</v>
      </c>
      <c r="AE472" s="4">
        <v>56</v>
      </c>
      <c r="AF472" s="4">
        <v>0</v>
      </c>
      <c r="AG472" s="4">
        <v>1</v>
      </c>
      <c r="AH472" s="4">
        <v>51</v>
      </c>
      <c r="AI472" s="4">
        <v>51</v>
      </c>
      <c r="AJ472" s="4">
        <v>5</v>
      </c>
      <c r="AK472" s="4">
        <v>7</v>
      </c>
      <c r="AL472" s="4">
        <v>35</v>
      </c>
      <c r="AM472" s="4">
        <v>35</v>
      </c>
      <c r="AN472" s="4">
        <v>0</v>
      </c>
      <c r="AO472" s="4">
        <v>0</v>
      </c>
      <c r="AP472" s="4">
        <v>5</v>
      </c>
      <c r="AQ472" s="4">
        <v>6</v>
      </c>
      <c r="AR472" s="3" t="s">
        <v>65</v>
      </c>
      <c r="AS472" s="3" t="s">
        <v>65</v>
      </c>
      <c r="AT472" s="3" t="s">
        <v>209</v>
      </c>
      <c r="AU472" s="6" t="str">
        <f>HYPERLINK("http://catalog.hathitrust.org/Record/001218368","HathiTrust Record")</f>
        <v>HathiTrust Record</v>
      </c>
      <c r="AV472" s="6" t="str">
        <f>HYPERLINK("http://mcgill.on.worldcat.org/oclc/1189870","Catalog Record")</f>
        <v>Catalog Record</v>
      </c>
      <c r="AW472" s="6" t="str">
        <f>HYPERLINK("http://www.worldcat.org/oclc/1189870","WorldCat Record")</f>
        <v>WorldCat Record</v>
      </c>
      <c r="AX472" s="3" t="s">
        <v>5073</v>
      </c>
      <c r="AY472" s="3" t="s">
        <v>5074</v>
      </c>
      <c r="AZ472" s="3" t="s">
        <v>5075</v>
      </c>
      <c r="BA472" s="3" t="s">
        <v>5075</v>
      </c>
      <c r="BB472" s="3" t="s">
        <v>5076</v>
      </c>
      <c r="BC472" s="3" t="s">
        <v>77</v>
      </c>
      <c r="BD472" s="3" t="s">
        <v>78</v>
      </c>
      <c r="BF472" s="3" t="s">
        <v>5076</v>
      </c>
      <c r="BG472" s="3" t="s">
        <v>5077</v>
      </c>
    </row>
    <row r="473" spans="1:59" ht="58" x14ac:dyDescent="0.35">
      <c r="A473" s="2" t="s">
        <v>59</v>
      </c>
      <c r="B473" s="2" t="s">
        <v>60</v>
      </c>
      <c r="C473" s="2" t="s">
        <v>5078</v>
      </c>
      <c r="D473" s="2" t="s">
        <v>5079</v>
      </c>
      <c r="E473" s="2" t="s">
        <v>5080</v>
      </c>
      <c r="G473" s="3" t="s">
        <v>65</v>
      </c>
      <c r="I473" s="3" t="s">
        <v>65</v>
      </c>
      <c r="J473" s="3" t="s">
        <v>65</v>
      </c>
      <c r="K473" s="3" t="s">
        <v>66</v>
      </c>
      <c r="L473" s="2" t="s">
        <v>5081</v>
      </c>
      <c r="M473" s="2" t="s">
        <v>5082</v>
      </c>
      <c r="N473" s="3" t="s">
        <v>756</v>
      </c>
      <c r="P473" s="3" t="s">
        <v>140</v>
      </c>
      <c r="Q473" s="2" t="s">
        <v>5083</v>
      </c>
      <c r="R473" s="3" t="s">
        <v>71</v>
      </c>
      <c r="S473" s="4">
        <v>7</v>
      </c>
      <c r="T473" s="4">
        <v>7</v>
      </c>
      <c r="U473" s="5" t="s">
        <v>5084</v>
      </c>
      <c r="V473" s="5" t="s">
        <v>5084</v>
      </c>
      <c r="W473" s="5" t="s">
        <v>72</v>
      </c>
      <c r="X473" s="5" t="s">
        <v>72</v>
      </c>
      <c r="Y473" s="4">
        <v>61</v>
      </c>
      <c r="Z473" s="4">
        <v>10</v>
      </c>
      <c r="AA473" s="4">
        <v>10</v>
      </c>
      <c r="AB473" s="4">
        <v>1</v>
      </c>
      <c r="AC473" s="4">
        <v>1</v>
      </c>
      <c r="AD473" s="4">
        <v>30</v>
      </c>
      <c r="AE473" s="4">
        <v>30</v>
      </c>
      <c r="AF473" s="4">
        <v>0</v>
      </c>
      <c r="AG473" s="4">
        <v>0</v>
      </c>
      <c r="AH473" s="4">
        <v>27</v>
      </c>
      <c r="AI473" s="4">
        <v>27</v>
      </c>
      <c r="AJ473" s="4">
        <v>6</v>
      </c>
      <c r="AK473" s="4">
        <v>6</v>
      </c>
      <c r="AL473" s="4">
        <v>19</v>
      </c>
      <c r="AM473" s="4">
        <v>19</v>
      </c>
      <c r="AN473" s="4">
        <v>0</v>
      </c>
      <c r="AO473" s="4">
        <v>0</v>
      </c>
      <c r="AP473" s="4">
        <v>7</v>
      </c>
      <c r="AQ473" s="4">
        <v>7</v>
      </c>
      <c r="AR473" s="3" t="s">
        <v>65</v>
      </c>
      <c r="AS473" s="3" t="s">
        <v>65</v>
      </c>
      <c r="AT473" s="3" t="s">
        <v>65</v>
      </c>
      <c r="AV473" s="6" t="str">
        <f>HYPERLINK("http://mcgill.on.worldcat.org/oclc/646689","Catalog Record")</f>
        <v>Catalog Record</v>
      </c>
      <c r="AW473" s="6" t="str">
        <f>HYPERLINK("http://www.worldcat.org/oclc/646689","WorldCat Record")</f>
        <v>WorldCat Record</v>
      </c>
      <c r="AX473" s="3" t="s">
        <v>5085</v>
      </c>
      <c r="AY473" s="3" t="s">
        <v>5086</v>
      </c>
      <c r="AZ473" s="3" t="s">
        <v>5087</v>
      </c>
      <c r="BA473" s="3" t="s">
        <v>5087</v>
      </c>
      <c r="BB473" s="3" t="s">
        <v>5088</v>
      </c>
      <c r="BC473" s="3" t="s">
        <v>77</v>
      </c>
      <c r="BD473" s="3" t="s">
        <v>78</v>
      </c>
      <c r="BF473" s="3" t="s">
        <v>5088</v>
      </c>
      <c r="BG473" s="3" t="s">
        <v>5089</v>
      </c>
    </row>
    <row r="474" spans="1:59" ht="58" x14ac:dyDescent="0.35">
      <c r="A474" s="2" t="s">
        <v>59</v>
      </c>
      <c r="B474" s="2" t="s">
        <v>60</v>
      </c>
      <c r="C474" s="2" t="s">
        <v>5090</v>
      </c>
      <c r="D474" s="2" t="s">
        <v>5091</v>
      </c>
      <c r="E474" s="2" t="s">
        <v>5092</v>
      </c>
      <c r="G474" s="3" t="s">
        <v>65</v>
      </c>
      <c r="I474" s="3" t="s">
        <v>65</v>
      </c>
      <c r="J474" s="3" t="s">
        <v>65</v>
      </c>
      <c r="K474" s="3" t="s">
        <v>66</v>
      </c>
      <c r="L474" s="2" t="s">
        <v>5093</v>
      </c>
      <c r="M474" s="2" t="s">
        <v>5094</v>
      </c>
      <c r="N474" s="3" t="s">
        <v>126</v>
      </c>
      <c r="P474" s="3" t="s">
        <v>69</v>
      </c>
      <c r="R474" s="3" t="s">
        <v>71</v>
      </c>
      <c r="S474" s="4">
        <v>3</v>
      </c>
      <c r="T474" s="4">
        <v>3</v>
      </c>
      <c r="U474" s="5" t="s">
        <v>5095</v>
      </c>
      <c r="V474" s="5" t="s">
        <v>5095</v>
      </c>
      <c r="W474" s="5" t="s">
        <v>72</v>
      </c>
      <c r="X474" s="5" t="s">
        <v>72</v>
      </c>
      <c r="Y474" s="4">
        <v>240</v>
      </c>
      <c r="Z474" s="4">
        <v>14</v>
      </c>
      <c r="AA474" s="4">
        <v>23</v>
      </c>
      <c r="AB474" s="4">
        <v>1</v>
      </c>
      <c r="AC474" s="4">
        <v>7</v>
      </c>
      <c r="AD474" s="4">
        <v>80</v>
      </c>
      <c r="AE474" s="4">
        <v>86</v>
      </c>
      <c r="AF474" s="4">
        <v>0</v>
      </c>
      <c r="AG474" s="4">
        <v>2</v>
      </c>
      <c r="AH474" s="4">
        <v>73</v>
      </c>
      <c r="AI474" s="4">
        <v>78</v>
      </c>
      <c r="AJ474" s="4">
        <v>11</v>
      </c>
      <c r="AK474" s="4">
        <v>14</v>
      </c>
      <c r="AL474" s="4">
        <v>43</v>
      </c>
      <c r="AM474" s="4">
        <v>46</v>
      </c>
      <c r="AN474" s="4">
        <v>0</v>
      </c>
      <c r="AO474" s="4">
        <v>0</v>
      </c>
      <c r="AP474" s="4">
        <v>13</v>
      </c>
      <c r="AQ474" s="4">
        <v>15</v>
      </c>
      <c r="AR474" s="3" t="s">
        <v>65</v>
      </c>
      <c r="AS474" s="3" t="s">
        <v>65</v>
      </c>
      <c r="AT474" s="3" t="s">
        <v>65</v>
      </c>
      <c r="AV474" s="6" t="str">
        <f>HYPERLINK("http://mcgill.on.worldcat.org/oclc/671541176","Catalog Record")</f>
        <v>Catalog Record</v>
      </c>
      <c r="AW474" s="6" t="str">
        <f>HYPERLINK("http://www.worldcat.org/oclc/671541176","WorldCat Record")</f>
        <v>WorldCat Record</v>
      </c>
      <c r="AX474" s="3" t="s">
        <v>5096</v>
      </c>
      <c r="AY474" s="3" t="s">
        <v>5097</v>
      </c>
      <c r="AZ474" s="3" t="s">
        <v>5098</v>
      </c>
      <c r="BA474" s="3" t="s">
        <v>5098</v>
      </c>
      <c r="BB474" s="3" t="s">
        <v>5099</v>
      </c>
      <c r="BC474" s="3" t="s">
        <v>77</v>
      </c>
      <c r="BD474" s="3" t="s">
        <v>106</v>
      </c>
      <c r="BE474" s="3" t="s">
        <v>5100</v>
      </c>
      <c r="BF474" s="3" t="s">
        <v>5099</v>
      </c>
      <c r="BG474" s="3" t="s">
        <v>5101</v>
      </c>
    </row>
    <row r="475" spans="1:59" ht="58" x14ac:dyDescent="0.35">
      <c r="A475" s="2" t="s">
        <v>59</v>
      </c>
      <c r="B475" s="2" t="s">
        <v>60</v>
      </c>
      <c r="C475" s="2" t="s">
        <v>5102</v>
      </c>
      <c r="D475" s="2" t="s">
        <v>5103</v>
      </c>
      <c r="E475" s="2" t="s">
        <v>5104</v>
      </c>
      <c r="G475" s="3" t="s">
        <v>65</v>
      </c>
      <c r="I475" s="3" t="s">
        <v>65</v>
      </c>
      <c r="J475" s="3" t="s">
        <v>65</v>
      </c>
      <c r="K475" s="3" t="s">
        <v>66</v>
      </c>
      <c r="L475" s="2" t="s">
        <v>5105</v>
      </c>
      <c r="M475" s="2" t="s">
        <v>5106</v>
      </c>
      <c r="N475" s="3" t="s">
        <v>247</v>
      </c>
      <c r="P475" s="3" t="s">
        <v>69</v>
      </c>
      <c r="R475" s="3" t="s">
        <v>71</v>
      </c>
      <c r="S475" s="4">
        <v>3</v>
      </c>
      <c r="T475" s="4">
        <v>3</v>
      </c>
      <c r="U475" s="5" t="s">
        <v>5107</v>
      </c>
      <c r="V475" s="5" t="s">
        <v>5107</v>
      </c>
      <c r="W475" s="5" t="s">
        <v>72</v>
      </c>
      <c r="X475" s="5" t="s">
        <v>72</v>
      </c>
      <c r="Y475" s="4">
        <v>69</v>
      </c>
      <c r="Z475" s="4">
        <v>4</v>
      </c>
      <c r="AA475" s="4">
        <v>4</v>
      </c>
      <c r="AB475" s="4">
        <v>1</v>
      </c>
      <c r="AC475" s="4">
        <v>1</v>
      </c>
      <c r="AD475" s="4">
        <v>29</v>
      </c>
      <c r="AE475" s="4">
        <v>29</v>
      </c>
      <c r="AF475" s="4">
        <v>0</v>
      </c>
      <c r="AG475" s="4">
        <v>0</v>
      </c>
      <c r="AH475" s="4">
        <v>29</v>
      </c>
      <c r="AI475" s="4">
        <v>29</v>
      </c>
      <c r="AJ475" s="4">
        <v>2</v>
      </c>
      <c r="AK475" s="4">
        <v>2</v>
      </c>
      <c r="AL475" s="4">
        <v>15</v>
      </c>
      <c r="AM475" s="4">
        <v>15</v>
      </c>
      <c r="AN475" s="4">
        <v>0</v>
      </c>
      <c r="AO475" s="4">
        <v>0</v>
      </c>
      <c r="AP475" s="4">
        <v>2</v>
      </c>
      <c r="AQ475" s="4">
        <v>2</v>
      </c>
      <c r="AR475" s="3" t="s">
        <v>65</v>
      </c>
      <c r="AS475" s="3" t="s">
        <v>65</v>
      </c>
      <c r="AT475" s="3" t="s">
        <v>65</v>
      </c>
      <c r="AV475" s="6" t="str">
        <f>HYPERLINK("http://mcgill.on.worldcat.org/oclc/29026638","Catalog Record")</f>
        <v>Catalog Record</v>
      </c>
      <c r="AW475" s="6" t="str">
        <f>HYPERLINK("http://www.worldcat.org/oclc/29026638","WorldCat Record")</f>
        <v>WorldCat Record</v>
      </c>
      <c r="AX475" s="3" t="s">
        <v>5108</v>
      </c>
      <c r="AY475" s="3" t="s">
        <v>5109</v>
      </c>
      <c r="AZ475" s="3" t="s">
        <v>5110</v>
      </c>
      <c r="BA475" s="3" t="s">
        <v>5110</v>
      </c>
      <c r="BB475" s="3" t="s">
        <v>5111</v>
      </c>
      <c r="BC475" s="3" t="s">
        <v>77</v>
      </c>
      <c r="BD475" s="3" t="s">
        <v>78</v>
      </c>
      <c r="BE475" s="3" t="s">
        <v>5112</v>
      </c>
      <c r="BF475" s="3" t="s">
        <v>5111</v>
      </c>
      <c r="BG475" s="3" t="s">
        <v>5113</v>
      </c>
    </row>
    <row r="476" spans="1:59" ht="58" x14ac:dyDescent="0.35">
      <c r="A476" s="2" t="s">
        <v>59</v>
      </c>
      <c r="B476" s="2" t="s">
        <v>60</v>
      </c>
      <c r="C476" s="2" t="s">
        <v>5114</v>
      </c>
      <c r="D476" s="2" t="s">
        <v>5115</v>
      </c>
      <c r="E476" s="2" t="s">
        <v>5116</v>
      </c>
      <c r="G476" s="3" t="s">
        <v>65</v>
      </c>
      <c r="I476" s="3" t="s">
        <v>65</v>
      </c>
      <c r="J476" s="3" t="s">
        <v>65</v>
      </c>
      <c r="K476" s="3" t="s">
        <v>66</v>
      </c>
      <c r="M476" s="2" t="s">
        <v>5117</v>
      </c>
      <c r="N476" s="3" t="s">
        <v>770</v>
      </c>
      <c r="P476" s="3" t="s">
        <v>69</v>
      </c>
      <c r="Q476" s="2" t="s">
        <v>5118</v>
      </c>
      <c r="R476" s="3" t="s">
        <v>71</v>
      </c>
      <c r="S476" s="4">
        <v>39</v>
      </c>
      <c r="T476" s="4">
        <v>39</v>
      </c>
      <c r="U476" s="5" t="s">
        <v>5107</v>
      </c>
      <c r="V476" s="5" t="s">
        <v>5107</v>
      </c>
      <c r="W476" s="5" t="s">
        <v>72</v>
      </c>
      <c r="X476" s="5" t="s">
        <v>72</v>
      </c>
      <c r="Y476" s="4">
        <v>99</v>
      </c>
      <c r="Z476" s="4">
        <v>9</v>
      </c>
      <c r="AA476" s="4">
        <v>22</v>
      </c>
      <c r="AB476" s="4">
        <v>1</v>
      </c>
      <c r="AC476" s="4">
        <v>3</v>
      </c>
      <c r="AD476" s="4">
        <v>25</v>
      </c>
      <c r="AE476" s="4">
        <v>91</v>
      </c>
      <c r="AF476" s="4">
        <v>0</v>
      </c>
      <c r="AG476" s="4">
        <v>1</v>
      </c>
      <c r="AH476" s="4">
        <v>23</v>
      </c>
      <c r="AI476" s="4">
        <v>81</v>
      </c>
      <c r="AJ476" s="4">
        <v>6</v>
      </c>
      <c r="AK476" s="4">
        <v>16</v>
      </c>
      <c r="AL476" s="4">
        <v>15</v>
      </c>
      <c r="AM476" s="4">
        <v>50</v>
      </c>
      <c r="AN476" s="4">
        <v>0</v>
      </c>
      <c r="AO476" s="4">
        <v>0</v>
      </c>
      <c r="AP476" s="4">
        <v>6</v>
      </c>
      <c r="AQ476" s="4">
        <v>18</v>
      </c>
      <c r="AR476" s="3" t="s">
        <v>65</v>
      </c>
      <c r="AS476" s="3" t="s">
        <v>65</v>
      </c>
      <c r="AT476" s="3" t="s">
        <v>209</v>
      </c>
      <c r="AU476" s="6" t="str">
        <f>HYPERLINK("http://catalog.hathitrust.org/Record/007109752","HathiTrust Record")</f>
        <v>HathiTrust Record</v>
      </c>
      <c r="AV476" s="6" t="str">
        <f>HYPERLINK("http://mcgill.on.worldcat.org/oclc/21972874","Catalog Record")</f>
        <v>Catalog Record</v>
      </c>
      <c r="AW476" s="6" t="str">
        <f>HYPERLINK("http://www.worldcat.org/oclc/21972874","WorldCat Record")</f>
        <v>WorldCat Record</v>
      </c>
      <c r="AX476" s="3" t="s">
        <v>5119</v>
      </c>
      <c r="AY476" s="3" t="s">
        <v>5120</v>
      </c>
      <c r="AZ476" s="3" t="s">
        <v>5121</v>
      </c>
      <c r="BA476" s="3" t="s">
        <v>5121</v>
      </c>
      <c r="BB476" s="3" t="s">
        <v>5122</v>
      </c>
      <c r="BC476" s="3" t="s">
        <v>77</v>
      </c>
      <c r="BD476" s="3" t="s">
        <v>78</v>
      </c>
      <c r="BE476" s="3" t="s">
        <v>5123</v>
      </c>
      <c r="BF476" s="3" t="s">
        <v>5122</v>
      </c>
      <c r="BG476" s="3" t="s">
        <v>5124</v>
      </c>
    </row>
    <row r="477" spans="1:59" ht="58" x14ac:dyDescent="0.35">
      <c r="A477" s="2" t="s">
        <v>59</v>
      </c>
      <c r="B477" s="2" t="s">
        <v>60</v>
      </c>
      <c r="C477" s="2" t="s">
        <v>5125</v>
      </c>
      <c r="D477" s="2" t="s">
        <v>5126</v>
      </c>
      <c r="E477" s="2" t="s">
        <v>5127</v>
      </c>
      <c r="G477" s="3" t="s">
        <v>65</v>
      </c>
      <c r="I477" s="3" t="s">
        <v>65</v>
      </c>
      <c r="J477" s="3" t="s">
        <v>65</v>
      </c>
      <c r="K477" s="3" t="s">
        <v>66</v>
      </c>
      <c r="L477" s="2" t="s">
        <v>5128</v>
      </c>
      <c r="M477" s="2" t="s">
        <v>5129</v>
      </c>
      <c r="N477" s="3" t="s">
        <v>5130</v>
      </c>
      <c r="P477" s="3" t="s">
        <v>140</v>
      </c>
      <c r="Q477" s="2" t="s">
        <v>5131</v>
      </c>
      <c r="R477" s="3" t="s">
        <v>71</v>
      </c>
      <c r="S477" s="4">
        <v>4</v>
      </c>
      <c r="T477" s="4">
        <v>4</v>
      </c>
      <c r="U477" s="5" t="s">
        <v>5132</v>
      </c>
      <c r="V477" s="5" t="s">
        <v>5132</v>
      </c>
      <c r="W477" s="5" t="s">
        <v>72</v>
      </c>
      <c r="X477" s="5" t="s">
        <v>72</v>
      </c>
      <c r="Y477" s="4">
        <v>41</v>
      </c>
      <c r="Z477" s="4">
        <v>7</v>
      </c>
      <c r="AA477" s="4">
        <v>8</v>
      </c>
      <c r="AB477" s="4">
        <v>1</v>
      </c>
      <c r="AC477" s="4">
        <v>1</v>
      </c>
      <c r="AD477" s="4">
        <v>32</v>
      </c>
      <c r="AE477" s="4">
        <v>37</v>
      </c>
      <c r="AF477" s="4">
        <v>0</v>
      </c>
      <c r="AG477" s="4">
        <v>0</v>
      </c>
      <c r="AH477" s="4">
        <v>27</v>
      </c>
      <c r="AI477" s="4">
        <v>32</v>
      </c>
      <c r="AJ477" s="4">
        <v>5</v>
      </c>
      <c r="AK477" s="4">
        <v>6</v>
      </c>
      <c r="AL477" s="4">
        <v>24</v>
      </c>
      <c r="AM477" s="4">
        <v>25</v>
      </c>
      <c r="AN477" s="4">
        <v>0</v>
      </c>
      <c r="AO477" s="4">
        <v>0</v>
      </c>
      <c r="AP477" s="4">
        <v>4</v>
      </c>
      <c r="AQ477" s="4">
        <v>5</v>
      </c>
      <c r="AR477" s="3" t="s">
        <v>65</v>
      </c>
      <c r="AS477" s="3" t="s">
        <v>65</v>
      </c>
      <c r="AT477" s="3" t="s">
        <v>209</v>
      </c>
      <c r="AU477" s="6" t="str">
        <f>HYPERLINK("http://catalog.hathitrust.org/Record/000017262","HathiTrust Record")</f>
        <v>HathiTrust Record</v>
      </c>
      <c r="AV477" s="6" t="str">
        <f>HYPERLINK("http://mcgill.on.worldcat.org/oclc/1609582","Catalog Record")</f>
        <v>Catalog Record</v>
      </c>
      <c r="AW477" s="6" t="str">
        <f>HYPERLINK("http://www.worldcat.org/oclc/1609582","WorldCat Record")</f>
        <v>WorldCat Record</v>
      </c>
      <c r="AX477" s="3" t="s">
        <v>5133</v>
      </c>
      <c r="AY477" s="3" t="s">
        <v>5134</v>
      </c>
      <c r="AZ477" s="3" t="s">
        <v>5135</v>
      </c>
      <c r="BA477" s="3" t="s">
        <v>5135</v>
      </c>
      <c r="BB477" s="3" t="s">
        <v>5136</v>
      </c>
      <c r="BC477" s="3" t="s">
        <v>77</v>
      </c>
      <c r="BD477" s="3" t="s">
        <v>78</v>
      </c>
      <c r="BF477" s="3" t="s">
        <v>5136</v>
      </c>
      <c r="BG477" s="3" t="s">
        <v>5137</v>
      </c>
    </row>
    <row r="478" spans="1:59" ht="58" x14ac:dyDescent="0.35">
      <c r="A478" s="2" t="s">
        <v>59</v>
      </c>
      <c r="B478" s="2" t="s">
        <v>60</v>
      </c>
      <c r="C478" s="2" t="s">
        <v>5138</v>
      </c>
      <c r="D478" s="2" t="s">
        <v>5139</v>
      </c>
      <c r="E478" s="2" t="s">
        <v>5140</v>
      </c>
      <c r="G478" s="3" t="s">
        <v>65</v>
      </c>
      <c r="I478" s="3" t="s">
        <v>65</v>
      </c>
      <c r="J478" s="3" t="s">
        <v>65</v>
      </c>
      <c r="K478" s="3" t="s">
        <v>66</v>
      </c>
      <c r="M478" s="2" t="s">
        <v>5141</v>
      </c>
      <c r="N478" s="3" t="s">
        <v>126</v>
      </c>
      <c r="P478" s="3" t="s">
        <v>69</v>
      </c>
      <c r="Q478" s="2" t="s">
        <v>5142</v>
      </c>
      <c r="R478" s="3" t="s">
        <v>71</v>
      </c>
      <c r="S478" s="4">
        <v>0</v>
      </c>
      <c r="T478" s="4">
        <v>0</v>
      </c>
      <c r="W478" s="5" t="s">
        <v>72</v>
      </c>
      <c r="X478" s="5" t="s">
        <v>72</v>
      </c>
      <c r="Y478" s="4">
        <v>26</v>
      </c>
      <c r="Z478" s="4">
        <v>10</v>
      </c>
      <c r="AA478" s="4">
        <v>10</v>
      </c>
      <c r="AB478" s="4">
        <v>1</v>
      </c>
      <c r="AC478" s="4">
        <v>1</v>
      </c>
      <c r="AD478" s="4">
        <v>18</v>
      </c>
      <c r="AE478" s="4">
        <v>18</v>
      </c>
      <c r="AF478" s="4">
        <v>0</v>
      </c>
      <c r="AG478" s="4">
        <v>0</v>
      </c>
      <c r="AH478" s="4">
        <v>16</v>
      </c>
      <c r="AI478" s="4">
        <v>16</v>
      </c>
      <c r="AJ478" s="4">
        <v>8</v>
      </c>
      <c r="AK478" s="4">
        <v>8</v>
      </c>
      <c r="AL478" s="4">
        <v>9</v>
      </c>
      <c r="AM478" s="4">
        <v>9</v>
      </c>
      <c r="AN478" s="4">
        <v>0</v>
      </c>
      <c r="AO478" s="4">
        <v>0</v>
      </c>
      <c r="AP478" s="4">
        <v>7</v>
      </c>
      <c r="AQ478" s="4">
        <v>7</v>
      </c>
      <c r="AR478" s="3" t="s">
        <v>209</v>
      </c>
      <c r="AS478" s="3" t="s">
        <v>65</v>
      </c>
      <c r="AT478" s="3" t="s">
        <v>65</v>
      </c>
      <c r="AV478" s="6" t="str">
        <f>HYPERLINK("http://mcgill.on.worldcat.org/oclc/696908677","Catalog Record")</f>
        <v>Catalog Record</v>
      </c>
      <c r="AW478" s="6" t="str">
        <f>HYPERLINK("http://www.worldcat.org/oclc/696908677","WorldCat Record")</f>
        <v>WorldCat Record</v>
      </c>
      <c r="AX478" s="3" t="s">
        <v>5143</v>
      </c>
      <c r="AY478" s="3" t="s">
        <v>5144</v>
      </c>
      <c r="AZ478" s="3" t="s">
        <v>5145</v>
      </c>
      <c r="BA478" s="3" t="s">
        <v>5145</v>
      </c>
      <c r="BB478" s="3" t="s">
        <v>5146</v>
      </c>
      <c r="BC478" s="3" t="s">
        <v>77</v>
      </c>
      <c r="BD478" s="3" t="s">
        <v>78</v>
      </c>
      <c r="BE478" s="3" t="s">
        <v>5147</v>
      </c>
      <c r="BF478" s="3" t="s">
        <v>5146</v>
      </c>
      <c r="BG478" s="3" t="s">
        <v>5148</v>
      </c>
    </row>
    <row r="479" spans="1:59" ht="58" x14ac:dyDescent="0.35">
      <c r="A479" s="2" t="s">
        <v>59</v>
      </c>
      <c r="B479" s="2" t="s">
        <v>60</v>
      </c>
      <c r="C479" s="2" t="s">
        <v>5149</v>
      </c>
      <c r="D479" s="2" t="s">
        <v>5150</v>
      </c>
      <c r="E479" s="2" t="s">
        <v>5151</v>
      </c>
      <c r="G479" s="3" t="s">
        <v>65</v>
      </c>
      <c r="I479" s="3" t="s">
        <v>65</v>
      </c>
      <c r="J479" s="3" t="s">
        <v>65</v>
      </c>
      <c r="K479" s="3" t="s">
        <v>66</v>
      </c>
      <c r="L479" s="2" t="s">
        <v>5152</v>
      </c>
      <c r="M479" s="2" t="s">
        <v>1393</v>
      </c>
      <c r="N479" s="3" t="s">
        <v>139</v>
      </c>
      <c r="P479" s="3" t="s">
        <v>140</v>
      </c>
      <c r="Q479" s="2" t="s">
        <v>5153</v>
      </c>
      <c r="R479" s="3" t="s">
        <v>71</v>
      </c>
      <c r="S479" s="4">
        <v>0</v>
      </c>
      <c r="T479" s="4">
        <v>0</v>
      </c>
      <c r="W479" s="5" t="s">
        <v>72</v>
      </c>
      <c r="X479" s="5" t="s">
        <v>72</v>
      </c>
      <c r="Y479" s="4">
        <v>30</v>
      </c>
      <c r="Z479" s="4">
        <v>3</v>
      </c>
      <c r="AA479" s="4">
        <v>3</v>
      </c>
      <c r="AB479" s="4">
        <v>1</v>
      </c>
      <c r="AC479" s="4">
        <v>1</v>
      </c>
      <c r="AD479" s="4">
        <v>22</v>
      </c>
      <c r="AE479" s="4">
        <v>22</v>
      </c>
      <c r="AF479" s="4">
        <v>0</v>
      </c>
      <c r="AG479" s="4">
        <v>0</v>
      </c>
      <c r="AH479" s="4">
        <v>21</v>
      </c>
      <c r="AI479" s="4">
        <v>21</v>
      </c>
      <c r="AJ479" s="4">
        <v>1</v>
      </c>
      <c r="AK479" s="4">
        <v>1</v>
      </c>
      <c r="AL479" s="4">
        <v>19</v>
      </c>
      <c r="AM479" s="4">
        <v>19</v>
      </c>
      <c r="AN479" s="4">
        <v>0</v>
      </c>
      <c r="AO479" s="4">
        <v>0</v>
      </c>
      <c r="AP479" s="4">
        <v>1</v>
      </c>
      <c r="AQ479" s="4">
        <v>1</v>
      </c>
      <c r="AR479" s="3" t="s">
        <v>65</v>
      </c>
      <c r="AS479" s="3" t="s">
        <v>65</v>
      </c>
      <c r="AT479" s="3" t="s">
        <v>65</v>
      </c>
      <c r="AV479" s="6" t="str">
        <f>HYPERLINK("http://mcgill.on.worldcat.org/oclc/841181426","Catalog Record")</f>
        <v>Catalog Record</v>
      </c>
      <c r="AW479" s="6" t="str">
        <f>HYPERLINK("http://www.worldcat.org/oclc/841181426","WorldCat Record")</f>
        <v>WorldCat Record</v>
      </c>
      <c r="AX479" s="3" t="s">
        <v>5154</v>
      </c>
      <c r="AY479" s="3" t="s">
        <v>5155</v>
      </c>
      <c r="AZ479" s="3" t="s">
        <v>5156</v>
      </c>
      <c r="BA479" s="3" t="s">
        <v>5156</v>
      </c>
      <c r="BB479" s="3" t="s">
        <v>5157</v>
      </c>
      <c r="BC479" s="3" t="s">
        <v>77</v>
      </c>
      <c r="BD479" s="3" t="s">
        <v>78</v>
      </c>
      <c r="BE479" s="3" t="s">
        <v>5158</v>
      </c>
      <c r="BF479" s="3" t="s">
        <v>5157</v>
      </c>
      <c r="BG479" s="3" t="s">
        <v>5159</v>
      </c>
    </row>
    <row r="480" spans="1:59" ht="58" x14ac:dyDescent="0.35">
      <c r="A480" s="2" t="s">
        <v>59</v>
      </c>
      <c r="B480" s="2" t="s">
        <v>60</v>
      </c>
      <c r="C480" s="2" t="s">
        <v>5160</v>
      </c>
      <c r="D480" s="2" t="s">
        <v>5161</v>
      </c>
      <c r="E480" s="2" t="s">
        <v>5162</v>
      </c>
      <c r="G480" s="3" t="s">
        <v>65</v>
      </c>
      <c r="I480" s="3" t="s">
        <v>65</v>
      </c>
      <c r="J480" s="3" t="s">
        <v>65</v>
      </c>
      <c r="K480" s="3" t="s">
        <v>66</v>
      </c>
      <c r="L480" s="2" t="s">
        <v>5163</v>
      </c>
      <c r="M480" s="2" t="s">
        <v>5164</v>
      </c>
      <c r="N480" s="3" t="s">
        <v>68</v>
      </c>
      <c r="O480" s="2" t="s">
        <v>1410</v>
      </c>
      <c r="P480" s="3" t="s">
        <v>140</v>
      </c>
      <c r="Q480" s="2" t="s">
        <v>5165</v>
      </c>
      <c r="R480" s="3" t="s">
        <v>71</v>
      </c>
      <c r="S480" s="4">
        <v>0</v>
      </c>
      <c r="T480" s="4">
        <v>0</v>
      </c>
      <c r="W480" s="5" t="s">
        <v>72</v>
      </c>
      <c r="X480" s="5" t="s">
        <v>72</v>
      </c>
      <c r="Y480" s="4">
        <v>46</v>
      </c>
      <c r="Z480" s="4">
        <v>4</v>
      </c>
      <c r="AA480" s="4">
        <v>4</v>
      </c>
      <c r="AB480" s="4">
        <v>1</v>
      </c>
      <c r="AC480" s="4">
        <v>1</v>
      </c>
      <c r="AD480" s="4">
        <v>36</v>
      </c>
      <c r="AE480" s="4">
        <v>36</v>
      </c>
      <c r="AF480" s="4">
        <v>0</v>
      </c>
      <c r="AG480" s="4">
        <v>0</v>
      </c>
      <c r="AH480" s="4">
        <v>35</v>
      </c>
      <c r="AI480" s="4">
        <v>35</v>
      </c>
      <c r="AJ480" s="4">
        <v>2</v>
      </c>
      <c r="AK480" s="4">
        <v>2</v>
      </c>
      <c r="AL480" s="4">
        <v>28</v>
      </c>
      <c r="AM480" s="4">
        <v>28</v>
      </c>
      <c r="AN480" s="4">
        <v>0</v>
      </c>
      <c r="AO480" s="4">
        <v>0</v>
      </c>
      <c r="AP480" s="4">
        <v>2</v>
      </c>
      <c r="AQ480" s="4">
        <v>2</v>
      </c>
      <c r="AR480" s="3" t="s">
        <v>65</v>
      </c>
      <c r="AS480" s="3" t="s">
        <v>65</v>
      </c>
      <c r="AT480" s="3" t="s">
        <v>65</v>
      </c>
      <c r="AV480" s="6" t="str">
        <f>HYPERLINK("http://mcgill.on.worldcat.org/oclc/939396011","Catalog Record")</f>
        <v>Catalog Record</v>
      </c>
      <c r="AW480" s="6" t="str">
        <f>HYPERLINK("http://www.worldcat.org/oclc/939396011","WorldCat Record")</f>
        <v>WorldCat Record</v>
      </c>
      <c r="AX480" s="3" t="s">
        <v>5166</v>
      </c>
      <c r="AY480" s="3" t="s">
        <v>5167</v>
      </c>
      <c r="AZ480" s="3" t="s">
        <v>5168</v>
      </c>
      <c r="BA480" s="3" t="s">
        <v>5168</v>
      </c>
      <c r="BB480" s="3" t="s">
        <v>5169</v>
      </c>
      <c r="BC480" s="3" t="s">
        <v>77</v>
      </c>
      <c r="BD480" s="3" t="s">
        <v>78</v>
      </c>
      <c r="BE480" s="3" t="s">
        <v>5170</v>
      </c>
      <c r="BF480" s="3" t="s">
        <v>5169</v>
      </c>
      <c r="BG480" s="3" t="s">
        <v>5171</v>
      </c>
    </row>
    <row r="481" spans="1:59" ht="58" x14ac:dyDescent="0.35">
      <c r="A481" s="2" t="s">
        <v>59</v>
      </c>
      <c r="B481" s="2" t="s">
        <v>60</v>
      </c>
      <c r="C481" s="2" t="s">
        <v>5172</v>
      </c>
      <c r="D481" s="2" t="s">
        <v>5173</v>
      </c>
      <c r="E481" s="2" t="s">
        <v>5174</v>
      </c>
      <c r="G481" s="3" t="s">
        <v>65</v>
      </c>
      <c r="I481" s="3" t="s">
        <v>65</v>
      </c>
      <c r="J481" s="3" t="s">
        <v>65</v>
      </c>
      <c r="K481" s="3" t="s">
        <v>66</v>
      </c>
      <c r="L481" s="2" t="s">
        <v>5175</v>
      </c>
      <c r="M481" s="2" t="s">
        <v>5176</v>
      </c>
      <c r="N481" s="3" t="s">
        <v>2210</v>
      </c>
      <c r="P481" s="3" t="s">
        <v>69</v>
      </c>
      <c r="R481" s="3" t="s">
        <v>71</v>
      </c>
      <c r="S481" s="4">
        <v>15</v>
      </c>
      <c r="T481" s="4">
        <v>15</v>
      </c>
      <c r="U481" s="5" t="s">
        <v>5177</v>
      </c>
      <c r="V481" s="5" t="s">
        <v>5177</v>
      </c>
      <c r="W481" s="5" t="s">
        <v>72</v>
      </c>
      <c r="X481" s="5" t="s">
        <v>72</v>
      </c>
      <c r="Y481" s="4">
        <v>257</v>
      </c>
      <c r="Z481" s="4">
        <v>18</v>
      </c>
      <c r="AA481" s="4">
        <v>20</v>
      </c>
      <c r="AB481" s="4">
        <v>2</v>
      </c>
      <c r="AC481" s="4">
        <v>4</v>
      </c>
      <c r="AD481" s="4">
        <v>107</v>
      </c>
      <c r="AE481" s="4">
        <v>108</v>
      </c>
      <c r="AF481" s="4">
        <v>0</v>
      </c>
      <c r="AG481" s="4">
        <v>1</v>
      </c>
      <c r="AH481" s="4">
        <v>99</v>
      </c>
      <c r="AI481" s="4">
        <v>99</v>
      </c>
      <c r="AJ481" s="4">
        <v>13</v>
      </c>
      <c r="AK481" s="4">
        <v>14</v>
      </c>
      <c r="AL481" s="4">
        <v>57</v>
      </c>
      <c r="AM481" s="4">
        <v>57</v>
      </c>
      <c r="AN481" s="4">
        <v>0</v>
      </c>
      <c r="AO481" s="4">
        <v>0</v>
      </c>
      <c r="AP481" s="4">
        <v>13</v>
      </c>
      <c r="AQ481" s="4">
        <v>13</v>
      </c>
      <c r="AR481" s="3" t="s">
        <v>65</v>
      </c>
      <c r="AS481" s="3" t="s">
        <v>65</v>
      </c>
      <c r="AT481" s="3" t="s">
        <v>209</v>
      </c>
      <c r="AU481" s="6" t="str">
        <f>HYPERLINK("http://catalog.hathitrust.org/Record/003601076","HathiTrust Record")</f>
        <v>HathiTrust Record</v>
      </c>
      <c r="AV481" s="6" t="str">
        <f>HYPERLINK("http://mcgill.on.worldcat.org/oclc/46909575","Catalog Record")</f>
        <v>Catalog Record</v>
      </c>
      <c r="AW481" s="6" t="str">
        <f>HYPERLINK("http://www.worldcat.org/oclc/46909575","WorldCat Record")</f>
        <v>WorldCat Record</v>
      </c>
      <c r="AX481" s="3" t="s">
        <v>5178</v>
      </c>
      <c r="AY481" s="3" t="s">
        <v>5179</v>
      </c>
      <c r="AZ481" s="3" t="s">
        <v>5180</v>
      </c>
      <c r="BA481" s="3" t="s">
        <v>5180</v>
      </c>
      <c r="BB481" s="3" t="s">
        <v>5181</v>
      </c>
      <c r="BC481" s="3" t="s">
        <v>77</v>
      </c>
      <c r="BD481" s="3" t="s">
        <v>78</v>
      </c>
      <c r="BE481" s="3" t="s">
        <v>5182</v>
      </c>
      <c r="BF481" s="3" t="s">
        <v>5181</v>
      </c>
      <c r="BG481" s="3" t="s">
        <v>5183</v>
      </c>
    </row>
    <row r="482" spans="1:59" ht="72.5" x14ac:dyDescent="0.35">
      <c r="A482" s="2" t="s">
        <v>59</v>
      </c>
      <c r="B482" s="2" t="s">
        <v>60</v>
      </c>
      <c r="C482" s="2" t="s">
        <v>5184</v>
      </c>
      <c r="D482" s="2" t="s">
        <v>5185</v>
      </c>
      <c r="E482" s="2" t="s">
        <v>5186</v>
      </c>
      <c r="G482" s="3" t="s">
        <v>65</v>
      </c>
      <c r="I482" s="3" t="s">
        <v>65</v>
      </c>
      <c r="J482" s="3" t="s">
        <v>65</v>
      </c>
      <c r="K482" s="3" t="s">
        <v>66</v>
      </c>
      <c r="L482" s="2" t="s">
        <v>5187</v>
      </c>
      <c r="M482" s="2" t="s">
        <v>5188</v>
      </c>
      <c r="N482" s="3" t="s">
        <v>770</v>
      </c>
      <c r="P482" s="3" t="s">
        <v>140</v>
      </c>
      <c r="Q482" s="2" t="s">
        <v>5189</v>
      </c>
      <c r="R482" s="3" t="s">
        <v>71</v>
      </c>
      <c r="S482" s="4">
        <v>12</v>
      </c>
      <c r="T482" s="4">
        <v>12</v>
      </c>
      <c r="U482" s="5" t="s">
        <v>5190</v>
      </c>
      <c r="V482" s="5" t="s">
        <v>5190</v>
      </c>
      <c r="W482" s="5" t="s">
        <v>72</v>
      </c>
      <c r="X482" s="5" t="s">
        <v>72</v>
      </c>
      <c r="Y482" s="4">
        <v>37</v>
      </c>
      <c r="Z482" s="4">
        <v>4</v>
      </c>
      <c r="AA482" s="4">
        <v>4</v>
      </c>
      <c r="AB482" s="4">
        <v>1</v>
      </c>
      <c r="AC482" s="4">
        <v>1</v>
      </c>
      <c r="AD482" s="4">
        <v>15</v>
      </c>
      <c r="AE482" s="4">
        <v>15</v>
      </c>
      <c r="AF482" s="4">
        <v>0</v>
      </c>
      <c r="AG482" s="4">
        <v>0</v>
      </c>
      <c r="AH482" s="4">
        <v>14</v>
      </c>
      <c r="AI482" s="4">
        <v>14</v>
      </c>
      <c r="AJ482" s="4">
        <v>2</v>
      </c>
      <c r="AK482" s="4">
        <v>2</v>
      </c>
      <c r="AL482" s="4">
        <v>12</v>
      </c>
      <c r="AM482" s="4">
        <v>12</v>
      </c>
      <c r="AN482" s="4">
        <v>0</v>
      </c>
      <c r="AO482" s="4">
        <v>0</v>
      </c>
      <c r="AP482" s="4">
        <v>2</v>
      </c>
      <c r="AQ482" s="4">
        <v>2</v>
      </c>
      <c r="AR482" s="3" t="s">
        <v>65</v>
      </c>
      <c r="AS482" s="3" t="s">
        <v>65</v>
      </c>
      <c r="AT482" s="3" t="s">
        <v>65</v>
      </c>
      <c r="AV482" s="6" t="str">
        <f>HYPERLINK("http://mcgill.on.worldcat.org/oclc/25387749","Catalog Record")</f>
        <v>Catalog Record</v>
      </c>
      <c r="AW482" s="6" t="str">
        <f>HYPERLINK("http://www.worldcat.org/oclc/25387749","WorldCat Record")</f>
        <v>WorldCat Record</v>
      </c>
      <c r="AX482" s="3" t="s">
        <v>5191</v>
      </c>
      <c r="AY482" s="3" t="s">
        <v>5192</v>
      </c>
      <c r="AZ482" s="3" t="s">
        <v>5193</v>
      </c>
      <c r="BA482" s="3" t="s">
        <v>5193</v>
      </c>
      <c r="BB482" s="3" t="s">
        <v>5194</v>
      </c>
      <c r="BC482" s="3" t="s">
        <v>77</v>
      </c>
      <c r="BD482" s="3" t="s">
        <v>106</v>
      </c>
      <c r="BE482" s="3" t="s">
        <v>5195</v>
      </c>
      <c r="BF482" s="3" t="s">
        <v>5194</v>
      </c>
      <c r="BG482" s="3" t="s">
        <v>5196</v>
      </c>
    </row>
    <row r="483" spans="1:59" ht="58" x14ac:dyDescent="0.35">
      <c r="A483" s="2" t="s">
        <v>59</v>
      </c>
      <c r="B483" s="2" t="s">
        <v>60</v>
      </c>
      <c r="C483" s="2" t="s">
        <v>5197</v>
      </c>
      <c r="D483" s="2" t="s">
        <v>5198</v>
      </c>
      <c r="E483" s="2" t="s">
        <v>5199</v>
      </c>
      <c r="G483" s="3" t="s">
        <v>65</v>
      </c>
      <c r="I483" s="3" t="s">
        <v>65</v>
      </c>
      <c r="J483" s="3" t="s">
        <v>65</v>
      </c>
      <c r="K483" s="3" t="s">
        <v>66</v>
      </c>
      <c r="L483" s="2" t="s">
        <v>5200</v>
      </c>
      <c r="M483" s="2" t="s">
        <v>5201</v>
      </c>
      <c r="N483" s="3" t="s">
        <v>164</v>
      </c>
      <c r="P483" s="3" t="s">
        <v>140</v>
      </c>
      <c r="Q483" s="2" t="s">
        <v>5202</v>
      </c>
      <c r="R483" s="3" t="s">
        <v>71</v>
      </c>
      <c r="S483" s="4">
        <v>0</v>
      </c>
      <c r="T483" s="4">
        <v>0</v>
      </c>
      <c r="W483" s="5" t="s">
        <v>72</v>
      </c>
      <c r="X483" s="5" t="s">
        <v>72</v>
      </c>
      <c r="Y483" s="4">
        <v>25</v>
      </c>
      <c r="Z483" s="4">
        <v>3</v>
      </c>
      <c r="AA483" s="4">
        <v>3</v>
      </c>
      <c r="AB483" s="4">
        <v>1</v>
      </c>
      <c r="AC483" s="4">
        <v>1</v>
      </c>
      <c r="AD483" s="4">
        <v>15</v>
      </c>
      <c r="AE483" s="4">
        <v>15</v>
      </c>
      <c r="AF483" s="4">
        <v>0</v>
      </c>
      <c r="AG483" s="4">
        <v>0</v>
      </c>
      <c r="AH483" s="4">
        <v>14</v>
      </c>
      <c r="AI483" s="4">
        <v>14</v>
      </c>
      <c r="AJ483" s="4">
        <v>1</v>
      </c>
      <c r="AK483" s="4">
        <v>1</v>
      </c>
      <c r="AL483" s="4">
        <v>12</v>
      </c>
      <c r="AM483" s="4">
        <v>12</v>
      </c>
      <c r="AN483" s="4">
        <v>0</v>
      </c>
      <c r="AO483" s="4">
        <v>0</v>
      </c>
      <c r="AP483" s="4">
        <v>1</v>
      </c>
      <c r="AQ483" s="4">
        <v>1</v>
      </c>
      <c r="AR483" s="3" t="s">
        <v>65</v>
      </c>
      <c r="AS483" s="3" t="s">
        <v>65</v>
      </c>
      <c r="AT483" s="3" t="s">
        <v>65</v>
      </c>
      <c r="AV483" s="6" t="str">
        <f>HYPERLINK("http://mcgill.on.worldcat.org/oclc/889717333","Catalog Record")</f>
        <v>Catalog Record</v>
      </c>
      <c r="AW483" s="6" t="str">
        <f>HYPERLINK("http://www.worldcat.org/oclc/889717333","WorldCat Record")</f>
        <v>WorldCat Record</v>
      </c>
      <c r="AX483" s="3" t="s">
        <v>5203</v>
      </c>
      <c r="AY483" s="3" t="s">
        <v>5204</v>
      </c>
      <c r="AZ483" s="3" t="s">
        <v>5205</v>
      </c>
      <c r="BA483" s="3" t="s">
        <v>5205</v>
      </c>
      <c r="BB483" s="3" t="s">
        <v>5206</v>
      </c>
      <c r="BC483" s="3" t="s">
        <v>77</v>
      </c>
      <c r="BD483" s="3" t="s">
        <v>78</v>
      </c>
      <c r="BE483" s="3" t="s">
        <v>5207</v>
      </c>
      <c r="BF483" s="3" t="s">
        <v>5206</v>
      </c>
      <c r="BG483" s="3" t="s">
        <v>5208</v>
      </c>
    </row>
    <row r="484" spans="1:59" ht="58" x14ac:dyDescent="0.35">
      <c r="A484" s="2" t="s">
        <v>59</v>
      </c>
      <c r="B484" s="2" t="s">
        <v>60</v>
      </c>
      <c r="C484" s="2" t="s">
        <v>5209</v>
      </c>
      <c r="D484" s="2" t="s">
        <v>5210</v>
      </c>
      <c r="E484" s="2" t="s">
        <v>5211</v>
      </c>
      <c r="G484" s="3" t="s">
        <v>65</v>
      </c>
      <c r="I484" s="3" t="s">
        <v>65</v>
      </c>
      <c r="J484" s="3" t="s">
        <v>65</v>
      </c>
      <c r="K484" s="3" t="s">
        <v>66</v>
      </c>
      <c r="L484" s="2" t="s">
        <v>5212</v>
      </c>
      <c r="M484" s="2" t="s">
        <v>2292</v>
      </c>
      <c r="N484" s="3" t="s">
        <v>113</v>
      </c>
      <c r="O484" s="2" t="s">
        <v>365</v>
      </c>
      <c r="P484" s="3" t="s">
        <v>140</v>
      </c>
      <c r="R484" s="3" t="s">
        <v>71</v>
      </c>
      <c r="S484" s="4">
        <v>1</v>
      </c>
      <c r="T484" s="4">
        <v>1</v>
      </c>
      <c r="U484" s="5" t="s">
        <v>5213</v>
      </c>
      <c r="V484" s="5" t="s">
        <v>5213</v>
      </c>
      <c r="W484" s="5" t="s">
        <v>72</v>
      </c>
      <c r="X484" s="5" t="s">
        <v>72</v>
      </c>
      <c r="Y484" s="4">
        <v>27</v>
      </c>
      <c r="Z484" s="4">
        <v>3</v>
      </c>
      <c r="AA484" s="4">
        <v>3</v>
      </c>
      <c r="AB484" s="4">
        <v>1</v>
      </c>
      <c r="AC484" s="4">
        <v>1</v>
      </c>
      <c r="AD484" s="4">
        <v>22</v>
      </c>
      <c r="AE484" s="4">
        <v>22</v>
      </c>
      <c r="AF484" s="4">
        <v>0</v>
      </c>
      <c r="AG484" s="4">
        <v>0</v>
      </c>
      <c r="AH484" s="4">
        <v>21</v>
      </c>
      <c r="AI484" s="4">
        <v>21</v>
      </c>
      <c r="AJ484" s="4">
        <v>1</v>
      </c>
      <c r="AK484" s="4">
        <v>1</v>
      </c>
      <c r="AL484" s="4">
        <v>17</v>
      </c>
      <c r="AM484" s="4">
        <v>17</v>
      </c>
      <c r="AN484" s="4">
        <v>0</v>
      </c>
      <c r="AO484" s="4">
        <v>0</v>
      </c>
      <c r="AP484" s="4">
        <v>1</v>
      </c>
      <c r="AQ484" s="4">
        <v>1</v>
      </c>
      <c r="AR484" s="3" t="s">
        <v>65</v>
      </c>
      <c r="AS484" s="3" t="s">
        <v>65</v>
      </c>
      <c r="AT484" s="3" t="s">
        <v>65</v>
      </c>
      <c r="AV484" s="6" t="str">
        <f>HYPERLINK("http://mcgill.on.worldcat.org/oclc/535487967","Catalog Record")</f>
        <v>Catalog Record</v>
      </c>
      <c r="AW484" s="6" t="str">
        <f>HYPERLINK("http://www.worldcat.org/oclc/535487967","WorldCat Record")</f>
        <v>WorldCat Record</v>
      </c>
      <c r="AX484" s="3" t="s">
        <v>5214</v>
      </c>
      <c r="AY484" s="3" t="s">
        <v>5215</v>
      </c>
      <c r="AZ484" s="3" t="s">
        <v>5216</v>
      </c>
      <c r="BA484" s="3" t="s">
        <v>5216</v>
      </c>
      <c r="BB484" s="3" t="s">
        <v>5217</v>
      </c>
      <c r="BC484" s="3" t="s">
        <v>77</v>
      </c>
      <c r="BD484" s="3" t="s">
        <v>78</v>
      </c>
      <c r="BE484" s="3" t="s">
        <v>5218</v>
      </c>
      <c r="BF484" s="3" t="s">
        <v>5217</v>
      </c>
      <c r="BG484" s="3" t="s">
        <v>5219</v>
      </c>
    </row>
    <row r="485" spans="1:59" ht="58" x14ac:dyDescent="0.35">
      <c r="A485" s="2" t="s">
        <v>59</v>
      </c>
      <c r="B485" s="2" t="s">
        <v>60</v>
      </c>
      <c r="C485" s="2" t="s">
        <v>5220</v>
      </c>
      <c r="D485" s="2" t="s">
        <v>5221</v>
      </c>
      <c r="E485" s="2" t="s">
        <v>5222</v>
      </c>
      <c r="G485" s="3" t="s">
        <v>65</v>
      </c>
      <c r="I485" s="3" t="s">
        <v>65</v>
      </c>
      <c r="J485" s="3" t="s">
        <v>65</v>
      </c>
      <c r="K485" s="3" t="s">
        <v>66</v>
      </c>
      <c r="L485" s="2" t="s">
        <v>5223</v>
      </c>
      <c r="M485" s="2" t="s">
        <v>5224</v>
      </c>
      <c r="N485" s="3" t="s">
        <v>1122</v>
      </c>
      <c r="P485" s="3" t="s">
        <v>69</v>
      </c>
      <c r="Q485" s="2" t="s">
        <v>1197</v>
      </c>
      <c r="R485" s="3" t="s">
        <v>71</v>
      </c>
      <c r="S485" s="4">
        <v>4</v>
      </c>
      <c r="T485" s="4">
        <v>4</v>
      </c>
      <c r="U485" s="5" t="s">
        <v>5225</v>
      </c>
      <c r="V485" s="5" t="s">
        <v>5225</v>
      </c>
      <c r="W485" s="5" t="s">
        <v>72</v>
      </c>
      <c r="X485" s="5" t="s">
        <v>72</v>
      </c>
      <c r="Y485" s="4">
        <v>172</v>
      </c>
      <c r="Z485" s="4">
        <v>26</v>
      </c>
      <c r="AA485" s="4">
        <v>110</v>
      </c>
      <c r="AB485" s="4">
        <v>2</v>
      </c>
      <c r="AC485" s="4">
        <v>20</v>
      </c>
      <c r="AD485" s="4">
        <v>95</v>
      </c>
      <c r="AE485" s="4">
        <v>146</v>
      </c>
      <c r="AF485" s="4">
        <v>0</v>
      </c>
      <c r="AG485" s="4">
        <v>8</v>
      </c>
      <c r="AH485" s="4">
        <v>82</v>
      </c>
      <c r="AI485" s="4">
        <v>103</v>
      </c>
      <c r="AJ485" s="4">
        <v>17</v>
      </c>
      <c r="AK485" s="4">
        <v>27</v>
      </c>
      <c r="AL485" s="4">
        <v>49</v>
      </c>
      <c r="AM485" s="4">
        <v>57</v>
      </c>
      <c r="AN485" s="4">
        <v>0</v>
      </c>
      <c r="AO485" s="4">
        <v>0</v>
      </c>
      <c r="AP485" s="4">
        <v>18</v>
      </c>
      <c r="AQ485" s="4">
        <v>50</v>
      </c>
      <c r="AR485" s="3" t="s">
        <v>209</v>
      </c>
      <c r="AS485" s="3" t="s">
        <v>65</v>
      </c>
      <c r="AT485" s="3" t="s">
        <v>65</v>
      </c>
      <c r="AV485" s="6" t="str">
        <f>HYPERLINK("http://mcgill.on.worldcat.org/oclc/428868529","Catalog Record")</f>
        <v>Catalog Record</v>
      </c>
      <c r="AW485" s="6" t="str">
        <f>HYPERLINK("http://www.worldcat.org/oclc/428868529","WorldCat Record")</f>
        <v>WorldCat Record</v>
      </c>
      <c r="AX485" s="3" t="s">
        <v>5226</v>
      </c>
      <c r="AY485" s="3" t="s">
        <v>5227</v>
      </c>
      <c r="AZ485" s="3" t="s">
        <v>5228</v>
      </c>
      <c r="BA485" s="3" t="s">
        <v>5228</v>
      </c>
      <c r="BB485" s="3" t="s">
        <v>5229</v>
      </c>
      <c r="BC485" s="3" t="s">
        <v>77</v>
      </c>
      <c r="BD485" s="3" t="s">
        <v>78</v>
      </c>
      <c r="BE485" s="3" t="s">
        <v>5230</v>
      </c>
      <c r="BF485" s="3" t="s">
        <v>5229</v>
      </c>
      <c r="BG485" s="3" t="s">
        <v>5231</v>
      </c>
    </row>
    <row r="486" spans="1:59" ht="58" x14ac:dyDescent="0.35">
      <c r="A486" s="2" t="s">
        <v>59</v>
      </c>
      <c r="B486" s="2" t="s">
        <v>60</v>
      </c>
      <c r="C486" s="2" t="s">
        <v>5232</v>
      </c>
      <c r="D486" s="2" t="s">
        <v>5233</v>
      </c>
      <c r="E486" s="2" t="s">
        <v>5234</v>
      </c>
      <c r="G486" s="3" t="s">
        <v>65</v>
      </c>
      <c r="I486" s="3" t="s">
        <v>65</v>
      </c>
      <c r="J486" s="3" t="s">
        <v>65</v>
      </c>
      <c r="K486" s="3" t="s">
        <v>66</v>
      </c>
      <c r="L486" s="2" t="s">
        <v>5235</v>
      </c>
      <c r="M486" s="2" t="s">
        <v>5236</v>
      </c>
      <c r="N486" s="3" t="s">
        <v>126</v>
      </c>
      <c r="P486" s="3" t="s">
        <v>69</v>
      </c>
      <c r="Q486" s="2" t="s">
        <v>5237</v>
      </c>
      <c r="R486" s="3" t="s">
        <v>71</v>
      </c>
      <c r="S486" s="4">
        <v>1</v>
      </c>
      <c r="T486" s="4">
        <v>1</v>
      </c>
      <c r="U486" s="5" t="s">
        <v>5238</v>
      </c>
      <c r="V486" s="5" t="s">
        <v>5238</v>
      </c>
      <c r="W486" s="5" t="s">
        <v>72</v>
      </c>
      <c r="X486" s="5" t="s">
        <v>72</v>
      </c>
      <c r="Y486" s="4">
        <v>110</v>
      </c>
      <c r="Z486" s="4">
        <v>15</v>
      </c>
      <c r="AA486" s="4">
        <v>40</v>
      </c>
      <c r="AB486" s="4">
        <v>1</v>
      </c>
      <c r="AC486" s="4">
        <v>7</v>
      </c>
      <c r="AD486" s="4">
        <v>57</v>
      </c>
      <c r="AE486" s="4">
        <v>69</v>
      </c>
      <c r="AF486" s="4">
        <v>0</v>
      </c>
      <c r="AG486" s="4">
        <v>0</v>
      </c>
      <c r="AH486" s="4">
        <v>53</v>
      </c>
      <c r="AI486" s="4">
        <v>61</v>
      </c>
      <c r="AJ486" s="4">
        <v>12</v>
      </c>
      <c r="AK486" s="4">
        <v>13</v>
      </c>
      <c r="AL486" s="4">
        <v>32</v>
      </c>
      <c r="AM486" s="4">
        <v>39</v>
      </c>
      <c r="AN486" s="4">
        <v>0</v>
      </c>
      <c r="AO486" s="4">
        <v>0</v>
      </c>
      <c r="AP486" s="4">
        <v>13</v>
      </c>
      <c r="AQ486" s="4">
        <v>17</v>
      </c>
      <c r="AR486" s="3" t="s">
        <v>65</v>
      </c>
      <c r="AS486" s="3" t="s">
        <v>65</v>
      </c>
      <c r="AT486" s="3" t="s">
        <v>65</v>
      </c>
      <c r="AV486" s="6" t="str">
        <f>HYPERLINK("http://mcgill.on.worldcat.org/oclc/741273536","Catalog Record")</f>
        <v>Catalog Record</v>
      </c>
      <c r="AW486" s="6" t="str">
        <f>HYPERLINK("http://www.worldcat.org/oclc/741273536","WorldCat Record")</f>
        <v>WorldCat Record</v>
      </c>
      <c r="AX486" s="3" t="s">
        <v>5239</v>
      </c>
      <c r="AY486" s="3" t="s">
        <v>5240</v>
      </c>
      <c r="AZ486" s="3" t="s">
        <v>5241</v>
      </c>
      <c r="BA486" s="3" t="s">
        <v>5241</v>
      </c>
      <c r="BB486" s="3" t="s">
        <v>5242</v>
      </c>
      <c r="BC486" s="3" t="s">
        <v>77</v>
      </c>
      <c r="BD486" s="3" t="s">
        <v>78</v>
      </c>
      <c r="BE486" s="3" t="s">
        <v>5243</v>
      </c>
      <c r="BF486" s="3" t="s">
        <v>5242</v>
      </c>
      <c r="BG486" s="3" t="s">
        <v>5244</v>
      </c>
    </row>
    <row r="487" spans="1:59" ht="58" x14ac:dyDescent="0.35">
      <c r="A487" s="2" t="s">
        <v>59</v>
      </c>
      <c r="B487" s="2" t="s">
        <v>60</v>
      </c>
      <c r="C487" s="2" t="s">
        <v>5245</v>
      </c>
      <c r="D487" s="2" t="s">
        <v>5246</v>
      </c>
      <c r="E487" s="2" t="s">
        <v>5247</v>
      </c>
      <c r="G487" s="3" t="s">
        <v>65</v>
      </c>
      <c r="I487" s="3" t="s">
        <v>65</v>
      </c>
      <c r="J487" s="3" t="s">
        <v>65</v>
      </c>
      <c r="K487" s="3" t="s">
        <v>66</v>
      </c>
      <c r="L487" s="2" t="s">
        <v>5248</v>
      </c>
      <c r="M487" s="2" t="s">
        <v>5249</v>
      </c>
      <c r="N487" s="3" t="s">
        <v>831</v>
      </c>
      <c r="P487" s="3" t="s">
        <v>140</v>
      </c>
      <c r="Q487" s="2" t="s">
        <v>5250</v>
      </c>
      <c r="R487" s="3" t="s">
        <v>71</v>
      </c>
      <c r="S487" s="4">
        <v>8</v>
      </c>
      <c r="T487" s="4">
        <v>8</v>
      </c>
      <c r="U487" s="5" t="s">
        <v>3793</v>
      </c>
      <c r="V487" s="5" t="s">
        <v>3793</v>
      </c>
      <c r="W487" s="5" t="s">
        <v>72</v>
      </c>
      <c r="X487" s="5" t="s">
        <v>72</v>
      </c>
      <c r="Y487" s="4">
        <v>84</v>
      </c>
      <c r="Z487" s="4">
        <v>5</v>
      </c>
      <c r="AA487" s="4">
        <v>5</v>
      </c>
      <c r="AB487" s="4">
        <v>1</v>
      </c>
      <c r="AC487" s="4">
        <v>1</v>
      </c>
      <c r="AD487" s="4">
        <v>37</v>
      </c>
      <c r="AE487" s="4">
        <v>37</v>
      </c>
      <c r="AF487" s="4">
        <v>0</v>
      </c>
      <c r="AG487" s="4">
        <v>0</v>
      </c>
      <c r="AH487" s="4">
        <v>35</v>
      </c>
      <c r="AI487" s="4">
        <v>35</v>
      </c>
      <c r="AJ487" s="4">
        <v>3</v>
      </c>
      <c r="AK487" s="4">
        <v>3</v>
      </c>
      <c r="AL487" s="4">
        <v>29</v>
      </c>
      <c r="AM487" s="4">
        <v>29</v>
      </c>
      <c r="AN487" s="4">
        <v>0</v>
      </c>
      <c r="AO487" s="4">
        <v>0</v>
      </c>
      <c r="AP487" s="4">
        <v>3</v>
      </c>
      <c r="AQ487" s="4">
        <v>3</v>
      </c>
      <c r="AR487" s="3" t="s">
        <v>65</v>
      </c>
      <c r="AS487" s="3" t="s">
        <v>65</v>
      </c>
      <c r="AT487" s="3" t="s">
        <v>65</v>
      </c>
      <c r="AV487" s="6" t="str">
        <f>HYPERLINK("http://mcgill.on.worldcat.org/oclc/10230522","Catalog Record")</f>
        <v>Catalog Record</v>
      </c>
      <c r="AW487" s="6" t="str">
        <f>HYPERLINK("http://www.worldcat.org/oclc/10230522","WorldCat Record")</f>
        <v>WorldCat Record</v>
      </c>
      <c r="AX487" s="3" t="s">
        <v>5251</v>
      </c>
      <c r="AY487" s="3" t="s">
        <v>5252</v>
      </c>
      <c r="AZ487" s="3" t="s">
        <v>5253</v>
      </c>
      <c r="BA487" s="3" t="s">
        <v>5253</v>
      </c>
      <c r="BB487" s="3" t="s">
        <v>5254</v>
      </c>
      <c r="BC487" s="3" t="s">
        <v>77</v>
      </c>
      <c r="BD487" s="3" t="s">
        <v>78</v>
      </c>
      <c r="BF487" s="3" t="s">
        <v>5254</v>
      </c>
      <c r="BG487" s="3" t="s">
        <v>5255</v>
      </c>
    </row>
    <row r="488" spans="1:59" ht="58" x14ac:dyDescent="0.35">
      <c r="A488" s="2" t="s">
        <v>59</v>
      </c>
      <c r="B488" s="2" t="s">
        <v>60</v>
      </c>
      <c r="C488" s="2" t="s">
        <v>5256</v>
      </c>
      <c r="D488" s="2" t="s">
        <v>5257</v>
      </c>
      <c r="E488" s="2" t="s">
        <v>5258</v>
      </c>
      <c r="G488" s="3" t="s">
        <v>65</v>
      </c>
      <c r="I488" s="3" t="s">
        <v>65</v>
      </c>
      <c r="J488" s="3" t="s">
        <v>65</v>
      </c>
      <c r="K488" s="3" t="s">
        <v>66</v>
      </c>
      <c r="L488" s="2" t="s">
        <v>5259</v>
      </c>
      <c r="M488" s="2" t="s">
        <v>5260</v>
      </c>
      <c r="N488" s="3" t="s">
        <v>756</v>
      </c>
      <c r="P488" s="3" t="s">
        <v>69</v>
      </c>
      <c r="R488" s="3" t="s">
        <v>71</v>
      </c>
      <c r="S488" s="4">
        <v>19</v>
      </c>
      <c r="T488" s="4">
        <v>19</v>
      </c>
      <c r="U488" s="5" t="s">
        <v>5061</v>
      </c>
      <c r="V488" s="5" t="s">
        <v>5061</v>
      </c>
      <c r="W488" s="5" t="s">
        <v>72</v>
      </c>
      <c r="X488" s="5" t="s">
        <v>72</v>
      </c>
      <c r="Y488" s="4">
        <v>604</v>
      </c>
      <c r="Z488" s="4">
        <v>36</v>
      </c>
      <c r="AA488" s="4">
        <v>37</v>
      </c>
      <c r="AB488" s="4">
        <v>2</v>
      </c>
      <c r="AC488" s="4">
        <v>2</v>
      </c>
      <c r="AD488" s="4">
        <v>129</v>
      </c>
      <c r="AE488" s="4">
        <v>132</v>
      </c>
      <c r="AF488" s="4">
        <v>1</v>
      </c>
      <c r="AG488" s="4">
        <v>1</v>
      </c>
      <c r="AH488" s="4">
        <v>110</v>
      </c>
      <c r="AI488" s="4">
        <v>112</v>
      </c>
      <c r="AJ488" s="4">
        <v>21</v>
      </c>
      <c r="AK488" s="4">
        <v>21</v>
      </c>
      <c r="AL488" s="4">
        <v>58</v>
      </c>
      <c r="AM488" s="4">
        <v>59</v>
      </c>
      <c r="AN488" s="4">
        <v>0</v>
      </c>
      <c r="AO488" s="4">
        <v>0</v>
      </c>
      <c r="AP488" s="4">
        <v>28</v>
      </c>
      <c r="AQ488" s="4">
        <v>29</v>
      </c>
      <c r="AR488" s="3" t="s">
        <v>65</v>
      </c>
      <c r="AS488" s="3" t="s">
        <v>65</v>
      </c>
      <c r="AT488" s="3" t="s">
        <v>65</v>
      </c>
      <c r="AV488" s="6" t="str">
        <f>HYPERLINK("http://mcgill.on.worldcat.org/oclc/12636","Catalog Record")</f>
        <v>Catalog Record</v>
      </c>
      <c r="AW488" s="6" t="str">
        <f>HYPERLINK("http://www.worldcat.org/oclc/12636","WorldCat Record")</f>
        <v>WorldCat Record</v>
      </c>
      <c r="AX488" s="3" t="s">
        <v>5261</v>
      </c>
      <c r="AY488" s="3" t="s">
        <v>5262</v>
      </c>
      <c r="AZ488" s="3" t="s">
        <v>5263</v>
      </c>
      <c r="BA488" s="3" t="s">
        <v>5263</v>
      </c>
      <c r="BB488" s="3" t="s">
        <v>5264</v>
      </c>
      <c r="BC488" s="3" t="s">
        <v>77</v>
      </c>
      <c r="BD488" s="3" t="s">
        <v>78</v>
      </c>
      <c r="BF488" s="3" t="s">
        <v>5264</v>
      </c>
      <c r="BG488" s="3" t="s">
        <v>5265</v>
      </c>
    </row>
    <row r="489" spans="1:59" ht="58" x14ac:dyDescent="0.35">
      <c r="A489" s="2" t="s">
        <v>59</v>
      </c>
      <c r="B489" s="2" t="s">
        <v>60</v>
      </c>
      <c r="C489" s="2" t="s">
        <v>5266</v>
      </c>
      <c r="D489" s="2" t="s">
        <v>5267</v>
      </c>
      <c r="E489" s="2" t="s">
        <v>5268</v>
      </c>
      <c r="F489" s="3" t="s">
        <v>3549</v>
      </c>
      <c r="G489" s="3" t="s">
        <v>209</v>
      </c>
      <c r="I489" s="3" t="s">
        <v>65</v>
      </c>
      <c r="J489" s="3" t="s">
        <v>65</v>
      </c>
      <c r="K489" s="3" t="s">
        <v>66</v>
      </c>
      <c r="L489" s="2" t="s">
        <v>5269</v>
      </c>
      <c r="M489" s="2" t="s">
        <v>5270</v>
      </c>
      <c r="N489" s="3" t="s">
        <v>221</v>
      </c>
      <c r="P489" s="3" t="s">
        <v>140</v>
      </c>
      <c r="Q489" s="2" t="s">
        <v>5271</v>
      </c>
      <c r="R489" s="3" t="s">
        <v>71</v>
      </c>
      <c r="S489" s="4">
        <v>1</v>
      </c>
      <c r="T489" s="4">
        <v>1</v>
      </c>
      <c r="U489" s="5" t="s">
        <v>5272</v>
      </c>
      <c r="V489" s="5" t="s">
        <v>5272</v>
      </c>
      <c r="W489" s="5" t="s">
        <v>72</v>
      </c>
      <c r="X489" s="5" t="s">
        <v>72</v>
      </c>
      <c r="Y489" s="4">
        <v>13</v>
      </c>
      <c r="Z489" s="4">
        <v>2</v>
      </c>
      <c r="AA489" s="4">
        <v>2</v>
      </c>
      <c r="AB489" s="4">
        <v>2</v>
      </c>
      <c r="AC489" s="4">
        <v>2</v>
      </c>
      <c r="AD489" s="4">
        <v>6</v>
      </c>
      <c r="AE489" s="4">
        <v>6</v>
      </c>
      <c r="AF489" s="4">
        <v>0</v>
      </c>
      <c r="AG489" s="4">
        <v>0</v>
      </c>
      <c r="AH489" s="4">
        <v>6</v>
      </c>
      <c r="AI489" s="4">
        <v>6</v>
      </c>
      <c r="AJ489" s="4">
        <v>0</v>
      </c>
      <c r="AK489" s="4">
        <v>0</v>
      </c>
      <c r="AL489" s="4">
        <v>6</v>
      </c>
      <c r="AM489" s="4">
        <v>6</v>
      </c>
      <c r="AN489" s="4">
        <v>0</v>
      </c>
      <c r="AO489" s="4">
        <v>0</v>
      </c>
      <c r="AP489" s="4">
        <v>0</v>
      </c>
      <c r="AQ489" s="4">
        <v>0</v>
      </c>
      <c r="AR489" s="3" t="s">
        <v>65</v>
      </c>
      <c r="AS489" s="3" t="s">
        <v>65</v>
      </c>
      <c r="AT489" s="3" t="s">
        <v>65</v>
      </c>
      <c r="AV489" s="6" t="str">
        <f>HYPERLINK("http://mcgill.on.worldcat.org/oclc/213458592","Catalog Record")</f>
        <v>Catalog Record</v>
      </c>
      <c r="AW489" s="6" t="str">
        <f>HYPERLINK("http://www.worldcat.org/oclc/213458592","WorldCat Record")</f>
        <v>WorldCat Record</v>
      </c>
      <c r="AX489" s="3" t="s">
        <v>5273</v>
      </c>
      <c r="AY489" s="3" t="s">
        <v>5274</v>
      </c>
      <c r="AZ489" s="3" t="s">
        <v>5275</v>
      </c>
      <c r="BA489" s="3" t="s">
        <v>5275</v>
      </c>
      <c r="BB489" s="3" t="s">
        <v>5276</v>
      </c>
      <c r="BC489" s="3" t="s">
        <v>77</v>
      </c>
      <c r="BD489" s="3" t="s">
        <v>78</v>
      </c>
      <c r="BE489" s="3" t="s">
        <v>5277</v>
      </c>
      <c r="BF489" s="3" t="s">
        <v>5276</v>
      </c>
      <c r="BG489" s="3" t="s">
        <v>5278</v>
      </c>
    </row>
    <row r="490" spans="1:59" ht="58" x14ac:dyDescent="0.35">
      <c r="A490" s="2" t="s">
        <v>59</v>
      </c>
      <c r="B490" s="2" t="s">
        <v>60</v>
      </c>
      <c r="C490" s="2" t="s">
        <v>5279</v>
      </c>
      <c r="D490" s="2" t="s">
        <v>5267</v>
      </c>
      <c r="E490" s="2" t="s">
        <v>5268</v>
      </c>
      <c r="F490" s="3" t="s">
        <v>5280</v>
      </c>
      <c r="G490" s="3" t="s">
        <v>209</v>
      </c>
      <c r="I490" s="3" t="s">
        <v>65</v>
      </c>
      <c r="J490" s="3" t="s">
        <v>65</v>
      </c>
      <c r="K490" s="3" t="s">
        <v>66</v>
      </c>
      <c r="L490" s="2" t="s">
        <v>5269</v>
      </c>
      <c r="M490" s="2" t="s">
        <v>5270</v>
      </c>
      <c r="N490" s="3" t="s">
        <v>221</v>
      </c>
      <c r="P490" s="3" t="s">
        <v>140</v>
      </c>
      <c r="Q490" s="2" t="s">
        <v>5271</v>
      </c>
      <c r="R490" s="3" t="s">
        <v>71</v>
      </c>
      <c r="S490" s="4">
        <v>0</v>
      </c>
      <c r="T490" s="4">
        <v>1</v>
      </c>
      <c r="V490" s="5" t="s">
        <v>5272</v>
      </c>
      <c r="W490" s="5" t="s">
        <v>72</v>
      </c>
      <c r="X490" s="5" t="s">
        <v>72</v>
      </c>
      <c r="Y490" s="4">
        <v>13</v>
      </c>
      <c r="Z490" s="4">
        <v>2</v>
      </c>
      <c r="AA490" s="4">
        <v>2</v>
      </c>
      <c r="AB490" s="4">
        <v>2</v>
      </c>
      <c r="AC490" s="4">
        <v>2</v>
      </c>
      <c r="AD490" s="4">
        <v>6</v>
      </c>
      <c r="AE490" s="4">
        <v>6</v>
      </c>
      <c r="AF490" s="4">
        <v>0</v>
      </c>
      <c r="AG490" s="4">
        <v>0</v>
      </c>
      <c r="AH490" s="4">
        <v>6</v>
      </c>
      <c r="AI490" s="4">
        <v>6</v>
      </c>
      <c r="AJ490" s="4">
        <v>0</v>
      </c>
      <c r="AK490" s="4">
        <v>0</v>
      </c>
      <c r="AL490" s="4">
        <v>6</v>
      </c>
      <c r="AM490" s="4">
        <v>6</v>
      </c>
      <c r="AN490" s="4">
        <v>0</v>
      </c>
      <c r="AO490" s="4">
        <v>0</v>
      </c>
      <c r="AP490" s="4">
        <v>0</v>
      </c>
      <c r="AQ490" s="4">
        <v>0</v>
      </c>
      <c r="AR490" s="3" t="s">
        <v>65</v>
      </c>
      <c r="AS490" s="3" t="s">
        <v>65</v>
      </c>
      <c r="AT490" s="3" t="s">
        <v>65</v>
      </c>
      <c r="AV490" s="6" t="str">
        <f>HYPERLINK("http://mcgill.on.worldcat.org/oclc/213458592","Catalog Record")</f>
        <v>Catalog Record</v>
      </c>
      <c r="AW490" s="6" t="str">
        <f>HYPERLINK("http://www.worldcat.org/oclc/213458592","WorldCat Record")</f>
        <v>WorldCat Record</v>
      </c>
      <c r="AX490" s="3" t="s">
        <v>5273</v>
      </c>
      <c r="AY490" s="3" t="s">
        <v>5274</v>
      </c>
      <c r="AZ490" s="3" t="s">
        <v>5275</v>
      </c>
      <c r="BA490" s="3" t="s">
        <v>5275</v>
      </c>
      <c r="BB490" s="3" t="s">
        <v>5281</v>
      </c>
      <c r="BC490" s="3" t="s">
        <v>77</v>
      </c>
      <c r="BD490" s="3" t="s">
        <v>78</v>
      </c>
      <c r="BE490" s="3" t="s">
        <v>5277</v>
      </c>
      <c r="BF490" s="3" t="s">
        <v>5281</v>
      </c>
      <c r="BG490" s="3" t="s">
        <v>5282</v>
      </c>
    </row>
    <row r="491" spans="1:59" ht="58" x14ac:dyDescent="0.35">
      <c r="A491" s="2" t="s">
        <v>59</v>
      </c>
      <c r="B491" s="2" t="s">
        <v>60</v>
      </c>
      <c r="C491" s="2" t="s">
        <v>5283</v>
      </c>
      <c r="D491" s="2" t="s">
        <v>5284</v>
      </c>
      <c r="E491" s="2" t="s">
        <v>5285</v>
      </c>
      <c r="G491" s="3" t="s">
        <v>65</v>
      </c>
      <c r="I491" s="3" t="s">
        <v>65</v>
      </c>
      <c r="J491" s="3" t="s">
        <v>65</v>
      </c>
      <c r="K491" s="3" t="s">
        <v>66</v>
      </c>
      <c r="L491" s="2" t="s">
        <v>5286</v>
      </c>
      <c r="M491" s="2" t="s">
        <v>5287</v>
      </c>
      <c r="N491" s="3" t="s">
        <v>152</v>
      </c>
      <c r="O491" s="2" t="s">
        <v>235</v>
      </c>
      <c r="P491" s="3" t="s">
        <v>140</v>
      </c>
      <c r="Q491" s="2" t="s">
        <v>5288</v>
      </c>
      <c r="R491" s="3" t="s">
        <v>71</v>
      </c>
      <c r="S491" s="4">
        <v>0</v>
      </c>
      <c r="T491" s="4">
        <v>0</v>
      </c>
      <c r="W491" s="5" t="s">
        <v>72</v>
      </c>
      <c r="X491" s="5" t="s">
        <v>72</v>
      </c>
      <c r="Y491" s="4">
        <v>32</v>
      </c>
      <c r="Z491" s="4">
        <v>3</v>
      </c>
      <c r="AA491" s="4">
        <v>3</v>
      </c>
      <c r="AB491" s="4">
        <v>1</v>
      </c>
      <c r="AC491" s="4">
        <v>1</v>
      </c>
      <c r="AD491" s="4">
        <v>21</v>
      </c>
      <c r="AE491" s="4">
        <v>21</v>
      </c>
      <c r="AF491" s="4">
        <v>0</v>
      </c>
      <c r="AG491" s="4">
        <v>0</v>
      </c>
      <c r="AH491" s="4">
        <v>20</v>
      </c>
      <c r="AI491" s="4">
        <v>20</v>
      </c>
      <c r="AJ491" s="4">
        <v>1</v>
      </c>
      <c r="AK491" s="4">
        <v>1</v>
      </c>
      <c r="AL491" s="4">
        <v>18</v>
      </c>
      <c r="AM491" s="4">
        <v>18</v>
      </c>
      <c r="AN491" s="4">
        <v>0</v>
      </c>
      <c r="AO491" s="4">
        <v>0</v>
      </c>
      <c r="AP491" s="4">
        <v>1</v>
      </c>
      <c r="AQ491" s="4">
        <v>1</v>
      </c>
      <c r="AR491" s="3" t="s">
        <v>65</v>
      </c>
      <c r="AS491" s="3" t="s">
        <v>65</v>
      </c>
      <c r="AT491" s="3" t="s">
        <v>65</v>
      </c>
      <c r="AV491" s="6" t="str">
        <f>HYPERLINK("http://mcgill.on.worldcat.org/oclc/815378676","Catalog Record")</f>
        <v>Catalog Record</v>
      </c>
      <c r="AW491" s="6" t="str">
        <f>HYPERLINK("http://www.worldcat.org/oclc/815378676","WorldCat Record")</f>
        <v>WorldCat Record</v>
      </c>
      <c r="AX491" s="3" t="s">
        <v>5289</v>
      </c>
      <c r="AY491" s="3" t="s">
        <v>5290</v>
      </c>
      <c r="AZ491" s="3" t="s">
        <v>5291</v>
      </c>
      <c r="BA491" s="3" t="s">
        <v>5291</v>
      </c>
      <c r="BB491" s="3" t="s">
        <v>5292</v>
      </c>
      <c r="BC491" s="3" t="s">
        <v>77</v>
      </c>
      <c r="BD491" s="3" t="s">
        <v>78</v>
      </c>
      <c r="BE491" s="3" t="s">
        <v>5293</v>
      </c>
      <c r="BF491" s="3" t="s">
        <v>5292</v>
      </c>
      <c r="BG491" s="3" t="s">
        <v>5294</v>
      </c>
    </row>
    <row r="492" spans="1:59" ht="58" x14ac:dyDescent="0.35">
      <c r="A492" s="2" t="s">
        <v>59</v>
      </c>
      <c r="B492" s="2" t="s">
        <v>60</v>
      </c>
      <c r="C492" s="2" t="s">
        <v>5295</v>
      </c>
      <c r="D492" s="2" t="s">
        <v>5296</v>
      </c>
      <c r="E492" s="2" t="s">
        <v>5297</v>
      </c>
      <c r="G492" s="3" t="s">
        <v>65</v>
      </c>
      <c r="I492" s="3" t="s">
        <v>65</v>
      </c>
      <c r="J492" s="3" t="s">
        <v>65</v>
      </c>
      <c r="K492" s="3" t="s">
        <v>66</v>
      </c>
      <c r="L492" s="2" t="s">
        <v>5298</v>
      </c>
      <c r="M492" s="2" t="s">
        <v>5299</v>
      </c>
      <c r="N492" s="3" t="s">
        <v>863</v>
      </c>
      <c r="P492" s="3" t="s">
        <v>69</v>
      </c>
      <c r="Q492" s="2" t="s">
        <v>5300</v>
      </c>
      <c r="R492" s="3" t="s">
        <v>71</v>
      </c>
      <c r="S492" s="4">
        <v>26</v>
      </c>
      <c r="T492" s="4">
        <v>26</v>
      </c>
      <c r="U492" s="5" t="s">
        <v>5301</v>
      </c>
      <c r="V492" s="5" t="s">
        <v>5301</v>
      </c>
      <c r="W492" s="5" t="s">
        <v>72</v>
      </c>
      <c r="X492" s="5" t="s">
        <v>72</v>
      </c>
      <c r="Y492" s="4">
        <v>240</v>
      </c>
      <c r="Z492" s="4">
        <v>21</v>
      </c>
      <c r="AA492" s="4">
        <v>23</v>
      </c>
      <c r="AB492" s="4">
        <v>2</v>
      </c>
      <c r="AC492" s="4">
        <v>3</v>
      </c>
      <c r="AD492" s="4">
        <v>83</v>
      </c>
      <c r="AE492" s="4">
        <v>88</v>
      </c>
      <c r="AF492" s="4">
        <v>1</v>
      </c>
      <c r="AG492" s="4">
        <v>2</v>
      </c>
      <c r="AH492" s="4">
        <v>71</v>
      </c>
      <c r="AI492" s="4">
        <v>74</v>
      </c>
      <c r="AJ492" s="4">
        <v>16</v>
      </c>
      <c r="AK492" s="4">
        <v>18</v>
      </c>
      <c r="AL492" s="4">
        <v>39</v>
      </c>
      <c r="AM492" s="4">
        <v>40</v>
      </c>
      <c r="AN492" s="4">
        <v>0</v>
      </c>
      <c r="AO492" s="4">
        <v>0</v>
      </c>
      <c r="AP492" s="4">
        <v>18</v>
      </c>
      <c r="AQ492" s="4">
        <v>20</v>
      </c>
      <c r="AR492" s="3" t="s">
        <v>65</v>
      </c>
      <c r="AS492" s="3" t="s">
        <v>65</v>
      </c>
      <c r="AT492" s="3" t="s">
        <v>209</v>
      </c>
      <c r="AU492" s="6" t="str">
        <f>HYPERLINK("http://catalog.hathitrust.org/Record/002932036","HathiTrust Record")</f>
        <v>HathiTrust Record</v>
      </c>
      <c r="AV492" s="6" t="str">
        <f>HYPERLINK("http://mcgill.on.worldcat.org/oclc/24906929","Catalog Record")</f>
        <v>Catalog Record</v>
      </c>
      <c r="AW492" s="6" t="str">
        <f>HYPERLINK("http://www.worldcat.org/oclc/24906929","WorldCat Record")</f>
        <v>WorldCat Record</v>
      </c>
      <c r="AX492" s="3" t="s">
        <v>5302</v>
      </c>
      <c r="AY492" s="3" t="s">
        <v>5303</v>
      </c>
      <c r="AZ492" s="3" t="s">
        <v>5304</v>
      </c>
      <c r="BA492" s="3" t="s">
        <v>5304</v>
      </c>
      <c r="BB492" s="3" t="s">
        <v>5305</v>
      </c>
      <c r="BC492" s="3" t="s">
        <v>77</v>
      </c>
      <c r="BD492" s="3" t="s">
        <v>78</v>
      </c>
      <c r="BE492" s="3" t="s">
        <v>5306</v>
      </c>
      <c r="BF492" s="3" t="s">
        <v>5305</v>
      </c>
      <c r="BG492" s="3" t="s">
        <v>5307</v>
      </c>
    </row>
    <row r="493" spans="1:59" ht="58" x14ac:dyDescent="0.35">
      <c r="A493" s="2" t="s">
        <v>59</v>
      </c>
      <c r="B493" s="2" t="s">
        <v>60</v>
      </c>
      <c r="C493" s="2" t="s">
        <v>5308</v>
      </c>
      <c r="D493" s="2" t="s">
        <v>5309</v>
      </c>
      <c r="E493" s="2" t="s">
        <v>5310</v>
      </c>
      <c r="F493" s="3" t="s">
        <v>245</v>
      </c>
      <c r="G493" s="3" t="s">
        <v>209</v>
      </c>
      <c r="I493" s="3" t="s">
        <v>65</v>
      </c>
      <c r="J493" s="3" t="s">
        <v>65</v>
      </c>
      <c r="K493" s="3" t="s">
        <v>66</v>
      </c>
      <c r="M493" s="2" t="s">
        <v>5311</v>
      </c>
      <c r="N493" s="3" t="s">
        <v>756</v>
      </c>
      <c r="P493" s="3" t="s">
        <v>140</v>
      </c>
      <c r="Q493" s="2" t="s">
        <v>5312</v>
      </c>
      <c r="R493" s="3" t="s">
        <v>71</v>
      </c>
      <c r="S493" s="4">
        <v>21</v>
      </c>
      <c r="T493" s="4">
        <v>27</v>
      </c>
      <c r="U493" s="5" t="s">
        <v>5313</v>
      </c>
      <c r="V493" s="5" t="s">
        <v>5084</v>
      </c>
      <c r="W493" s="5" t="s">
        <v>72</v>
      </c>
      <c r="X493" s="5" t="s">
        <v>72</v>
      </c>
      <c r="Y493" s="4">
        <v>46</v>
      </c>
      <c r="Z493" s="4">
        <v>3</v>
      </c>
      <c r="AA493" s="4">
        <v>3</v>
      </c>
      <c r="AB493" s="4">
        <v>1</v>
      </c>
      <c r="AC493" s="4">
        <v>1</v>
      </c>
      <c r="AD493" s="4">
        <v>19</v>
      </c>
      <c r="AE493" s="4">
        <v>19</v>
      </c>
      <c r="AF493" s="4">
        <v>0</v>
      </c>
      <c r="AG493" s="4">
        <v>0</v>
      </c>
      <c r="AH493" s="4">
        <v>19</v>
      </c>
      <c r="AI493" s="4">
        <v>19</v>
      </c>
      <c r="AJ493" s="4">
        <v>2</v>
      </c>
      <c r="AK493" s="4">
        <v>2</v>
      </c>
      <c r="AL493" s="4">
        <v>12</v>
      </c>
      <c r="AM493" s="4">
        <v>12</v>
      </c>
      <c r="AN493" s="4">
        <v>0</v>
      </c>
      <c r="AO493" s="4">
        <v>0</v>
      </c>
      <c r="AP493" s="4">
        <v>2</v>
      </c>
      <c r="AQ493" s="4">
        <v>2</v>
      </c>
      <c r="AR493" s="3" t="s">
        <v>65</v>
      </c>
      <c r="AS493" s="3" t="s">
        <v>65</v>
      </c>
      <c r="AT493" s="3" t="s">
        <v>209</v>
      </c>
      <c r="AU493" s="6" t="str">
        <f>HYPERLINK("http://catalog.hathitrust.org/Record/000239819","HathiTrust Record")</f>
        <v>HathiTrust Record</v>
      </c>
      <c r="AV493" s="6" t="str">
        <f>HYPERLINK("http://mcgill.on.worldcat.org/oclc/23495363","Catalog Record")</f>
        <v>Catalog Record</v>
      </c>
      <c r="AW493" s="6" t="str">
        <f>HYPERLINK("http://www.worldcat.org/oclc/23495363","WorldCat Record")</f>
        <v>WorldCat Record</v>
      </c>
      <c r="AX493" s="3" t="s">
        <v>5314</v>
      </c>
      <c r="AY493" s="3" t="s">
        <v>5315</v>
      </c>
      <c r="AZ493" s="3" t="s">
        <v>5316</v>
      </c>
      <c r="BA493" s="3" t="s">
        <v>5316</v>
      </c>
      <c r="BB493" s="3" t="s">
        <v>5317</v>
      </c>
      <c r="BC493" s="3" t="s">
        <v>77</v>
      </c>
      <c r="BD493" s="3" t="s">
        <v>78</v>
      </c>
      <c r="BE493" s="3" t="s">
        <v>5318</v>
      </c>
      <c r="BF493" s="3" t="s">
        <v>5317</v>
      </c>
      <c r="BG493" s="3" t="s">
        <v>5319</v>
      </c>
    </row>
    <row r="494" spans="1:59" ht="58" x14ac:dyDescent="0.35">
      <c r="A494" s="2" t="s">
        <v>59</v>
      </c>
      <c r="B494" s="2" t="s">
        <v>60</v>
      </c>
      <c r="C494" s="2" t="s">
        <v>5308</v>
      </c>
      <c r="D494" s="2" t="s">
        <v>5309</v>
      </c>
      <c r="E494" s="2" t="s">
        <v>5310</v>
      </c>
      <c r="F494" s="3" t="s">
        <v>258</v>
      </c>
      <c r="G494" s="3" t="s">
        <v>209</v>
      </c>
      <c r="I494" s="3" t="s">
        <v>65</v>
      </c>
      <c r="J494" s="3" t="s">
        <v>65</v>
      </c>
      <c r="K494" s="3" t="s">
        <v>66</v>
      </c>
      <c r="M494" s="2" t="s">
        <v>5311</v>
      </c>
      <c r="N494" s="3" t="s">
        <v>756</v>
      </c>
      <c r="P494" s="3" t="s">
        <v>140</v>
      </c>
      <c r="Q494" s="2" t="s">
        <v>5312</v>
      </c>
      <c r="R494" s="3" t="s">
        <v>71</v>
      </c>
      <c r="S494" s="4">
        <v>6</v>
      </c>
      <c r="T494" s="4">
        <v>27</v>
      </c>
      <c r="U494" s="5" t="s">
        <v>5084</v>
      </c>
      <c r="V494" s="5" t="s">
        <v>5084</v>
      </c>
      <c r="W494" s="5" t="s">
        <v>72</v>
      </c>
      <c r="X494" s="5" t="s">
        <v>72</v>
      </c>
      <c r="Y494" s="4">
        <v>46</v>
      </c>
      <c r="Z494" s="4">
        <v>3</v>
      </c>
      <c r="AA494" s="4">
        <v>3</v>
      </c>
      <c r="AB494" s="4">
        <v>1</v>
      </c>
      <c r="AC494" s="4">
        <v>1</v>
      </c>
      <c r="AD494" s="4">
        <v>19</v>
      </c>
      <c r="AE494" s="4">
        <v>19</v>
      </c>
      <c r="AF494" s="4">
        <v>0</v>
      </c>
      <c r="AG494" s="4">
        <v>0</v>
      </c>
      <c r="AH494" s="4">
        <v>19</v>
      </c>
      <c r="AI494" s="4">
        <v>19</v>
      </c>
      <c r="AJ494" s="4">
        <v>2</v>
      </c>
      <c r="AK494" s="4">
        <v>2</v>
      </c>
      <c r="AL494" s="4">
        <v>12</v>
      </c>
      <c r="AM494" s="4">
        <v>12</v>
      </c>
      <c r="AN494" s="4">
        <v>0</v>
      </c>
      <c r="AO494" s="4">
        <v>0</v>
      </c>
      <c r="AP494" s="4">
        <v>2</v>
      </c>
      <c r="AQ494" s="4">
        <v>2</v>
      </c>
      <c r="AR494" s="3" t="s">
        <v>65</v>
      </c>
      <c r="AS494" s="3" t="s">
        <v>65</v>
      </c>
      <c r="AT494" s="3" t="s">
        <v>209</v>
      </c>
      <c r="AU494" s="6" t="str">
        <f>HYPERLINK("http://catalog.hathitrust.org/Record/000239819","HathiTrust Record")</f>
        <v>HathiTrust Record</v>
      </c>
      <c r="AV494" s="6" t="str">
        <f>HYPERLINK("http://mcgill.on.worldcat.org/oclc/23495363","Catalog Record")</f>
        <v>Catalog Record</v>
      </c>
      <c r="AW494" s="6" t="str">
        <f>HYPERLINK("http://www.worldcat.org/oclc/23495363","WorldCat Record")</f>
        <v>WorldCat Record</v>
      </c>
      <c r="AX494" s="3" t="s">
        <v>5314</v>
      </c>
      <c r="AY494" s="3" t="s">
        <v>5315</v>
      </c>
      <c r="AZ494" s="3" t="s">
        <v>5316</v>
      </c>
      <c r="BA494" s="3" t="s">
        <v>5316</v>
      </c>
      <c r="BB494" s="3" t="s">
        <v>5320</v>
      </c>
      <c r="BC494" s="3" t="s">
        <v>77</v>
      </c>
      <c r="BD494" s="3" t="s">
        <v>78</v>
      </c>
      <c r="BE494" s="3" t="s">
        <v>5318</v>
      </c>
      <c r="BF494" s="3" t="s">
        <v>5320</v>
      </c>
      <c r="BG494" s="3" t="s">
        <v>5321</v>
      </c>
    </row>
    <row r="495" spans="1:59" ht="58" x14ac:dyDescent="0.35">
      <c r="A495" s="2" t="s">
        <v>59</v>
      </c>
      <c r="B495" s="2" t="s">
        <v>60</v>
      </c>
      <c r="C495" s="2" t="s">
        <v>5322</v>
      </c>
      <c r="D495" s="2" t="s">
        <v>5323</v>
      </c>
      <c r="E495" s="2" t="s">
        <v>5324</v>
      </c>
      <c r="G495" s="3" t="s">
        <v>65</v>
      </c>
      <c r="I495" s="3" t="s">
        <v>65</v>
      </c>
      <c r="J495" s="3" t="s">
        <v>65</v>
      </c>
      <c r="K495" s="3" t="s">
        <v>66</v>
      </c>
      <c r="M495" s="2" t="s">
        <v>5325</v>
      </c>
      <c r="N495" s="3" t="s">
        <v>392</v>
      </c>
      <c r="P495" s="3" t="s">
        <v>69</v>
      </c>
      <c r="Q495" s="2" t="s">
        <v>5326</v>
      </c>
      <c r="R495" s="3" t="s">
        <v>71</v>
      </c>
      <c r="S495" s="4">
        <v>30</v>
      </c>
      <c r="T495" s="4">
        <v>30</v>
      </c>
      <c r="U495" s="5" t="s">
        <v>5084</v>
      </c>
      <c r="V495" s="5" t="s">
        <v>5084</v>
      </c>
      <c r="W495" s="5" t="s">
        <v>72</v>
      </c>
      <c r="X495" s="5" t="s">
        <v>72</v>
      </c>
      <c r="Y495" s="4">
        <v>226</v>
      </c>
      <c r="Z495" s="4">
        <v>12</v>
      </c>
      <c r="AA495" s="4">
        <v>13</v>
      </c>
      <c r="AB495" s="4">
        <v>1</v>
      </c>
      <c r="AC495" s="4">
        <v>1</v>
      </c>
      <c r="AD495" s="4">
        <v>54</v>
      </c>
      <c r="AE495" s="4">
        <v>57</v>
      </c>
      <c r="AF495" s="4">
        <v>0</v>
      </c>
      <c r="AG495" s="4">
        <v>0</v>
      </c>
      <c r="AH495" s="4">
        <v>50</v>
      </c>
      <c r="AI495" s="4">
        <v>53</v>
      </c>
      <c r="AJ495" s="4">
        <v>9</v>
      </c>
      <c r="AK495" s="4">
        <v>10</v>
      </c>
      <c r="AL495" s="4">
        <v>27</v>
      </c>
      <c r="AM495" s="4">
        <v>28</v>
      </c>
      <c r="AN495" s="4">
        <v>0</v>
      </c>
      <c r="AO495" s="4">
        <v>0</v>
      </c>
      <c r="AP495" s="4">
        <v>9</v>
      </c>
      <c r="AQ495" s="4">
        <v>10</v>
      </c>
      <c r="AR495" s="3" t="s">
        <v>65</v>
      </c>
      <c r="AS495" s="3" t="s">
        <v>65</v>
      </c>
      <c r="AT495" s="3" t="s">
        <v>209</v>
      </c>
      <c r="AU495" s="6" t="str">
        <f>HYPERLINK("http://catalog.hathitrust.org/Record/002594933","HathiTrust Record")</f>
        <v>HathiTrust Record</v>
      </c>
      <c r="AV495" s="6" t="str">
        <f>HYPERLINK("http://mcgill.on.worldcat.org/oclc/20671697","Catalog Record")</f>
        <v>Catalog Record</v>
      </c>
      <c r="AW495" s="6" t="str">
        <f>HYPERLINK("http://www.worldcat.org/oclc/20671697","WorldCat Record")</f>
        <v>WorldCat Record</v>
      </c>
      <c r="AX495" s="3" t="s">
        <v>5327</v>
      </c>
      <c r="AY495" s="3" t="s">
        <v>5328</v>
      </c>
      <c r="AZ495" s="3" t="s">
        <v>5329</v>
      </c>
      <c r="BA495" s="3" t="s">
        <v>5329</v>
      </c>
      <c r="BB495" s="3" t="s">
        <v>5330</v>
      </c>
      <c r="BC495" s="3" t="s">
        <v>77</v>
      </c>
      <c r="BD495" s="3" t="s">
        <v>78</v>
      </c>
      <c r="BE495" s="3" t="s">
        <v>5331</v>
      </c>
      <c r="BF495" s="3" t="s">
        <v>5330</v>
      </c>
      <c r="BG495" s="3" t="s">
        <v>5332</v>
      </c>
    </row>
    <row r="496" spans="1:59" ht="116" x14ac:dyDescent="0.35">
      <c r="A496" s="2" t="s">
        <v>59</v>
      </c>
      <c r="B496" s="2" t="s">
        <v>60</v>
      </c>
      <c r="C496" s="2" t="s">
        <v>5333</v>
      </c>
      <c r="D496" s="2" t="s">
        <v>5334</v>
      </c>
      <c r="E496" s="2" t="s">
        <v>5335</v>
      </c>
      <c r="G496" s="3" t="s">
        <v>65</v>
      </c>
      <c r="I496" s="3" t="s">
        <v>209</v>
      </c>
      <c r="J496" s="3" t="s">
        <v>209</v>
      </c>
      <c r="K496" s="3" t="s">
        <v>66</v>
      </c>
      <c r="L496" s="2" t="s">
        <v>5336</v>
      </c>
      <c r="M496" s="2" t="s">
        <v>5337</v>
      </c>
      <c r="N496" s="3" t="s">
        <v>5338</v>
      </c>
      <c r="P496" s="3" t="s">
        <v>69</v>
      </c>
      <c r="R496" s="3" t="s">
        <v>71</v>
      </c>
      <c r="S496" s="4">
        <v>50</v>
      </c>
      <c r="T496" s="4">
        <v>95</v>
      </c>
      <c r="U496" s="5" t="s">
        <v>5084</v>
      </c>
      <c r="V496" s="5" t="s">
        <v>5084</v>
      </c>
      <c r="W496" s="5" t="s">
        <v>72</v>
      </c>
      <c r="X496" s="5" t="s">
        <v>72</v>
      </c>
      <c r="Y496" s="4">
        <v>920</v>
      </c>
      <c r="Z496" s="4">
        <v>54</v>
      </c>
      <c r="AA496" s="4">
        <v>71</v>
      </c>
      <c r="AB496" s="4">
        <v>4</v>
      </c>
      <c r="AC496" s="4">
        <v>7</v>
      </c>
      <c r="AD496" s="4">
        <v>123</v>
      </c>
      <c r="AE496" s="4">
        <v>137</v>
      </c>
      <c r="AF496" s="4">
        <v>2</v>
      </c>
      <c r="AG496" s="4">
        <v>3</v>
      </c>
      <c r="AH496" s="4">
        <v>98</v>
      </c>
      <c r="AI496" s="4">
        <v>105</v>
      </c>
      <c r="AJ496" s="4">
        <v>18</v>
      </c>
      <c r="AK496" s="4">
        <v>21</v>
      </c>
      <c r="AL496" s="4">
        <v>57</v>
      </c>
      <c r="AM496" s="4">
        <v>60</v>
      </c>
      <c r="AN496" s="4">
        <v>0</v>
      </c>
      <c r="AO496" s="4">
        <v>0</v>
      </c>
      <c r="AP496" s="4">
        <v>29</v>
      </c>
      <c r="AQ496" s="4">
        <v>35</v>
      </c>
      <c r="AR496" s="3" t="s">
        <v>65</v>
      </c>
      <c r="AS496" s="3" t="s">
        <v>65</v>
      </c>
      <c r="AT496" s="3" t="s">
        <v>209</v>
      </c>
      <c r="AU496" s="6" t="str">
        <f>HYPERLINK("http://catalog.hathitrust.org/Record/001015690","HathiTrust Record")</f>
        <v>HathiTrust Record</v>
      </c>
      <c r="AV496" s="6" t="str">
        <f>HYPERLINK("http://mcgill.on.worldcat.org/oclc/890604","Catalog Record")</f>
        <v>Catalog Record</v>
      </c>
      <c r="AW496" s="6" t="str">
        <f>HYPERLINK("http://www.worldcat.org/oclc/890604","WorldCat Record")</f>
        <v>WorldCat Record</v>
      </c>
      <c r="AX496" s="3" t="s">
        <v>5339</v>
      </c>
      <c r="AY496" s="3" t="s">
        <v>5340</v>
      </c>
      <c r="AZ496" s="3" t="s">
        <v>5341</v>
      </c>
      <c r="BA496" s="3" t="s">
        <v>5341</v>
      </c>
      <c r="BB496" s="3" t="s">
        <v>5342</v>
      </c>
      <c r="BC496" s="3" t="s">
        <v>77</v>
      </c>
      <c r="BD496" s="3" t="s">
        <v>78</v>
      </c>
      <c r="BE496" s="3" t="s">
        <v>5343</v>
      </c>
      <c r="BF496" s="3" t="s">
        <v>5342</v>
      </c>
      <c r="BG496" s="3" t="s">
        <v>5344</v>
      </c>
    </row>
    <row r="497" spans="1:59" ht="116" x14ac:dyDescent="0.35">
      <c r="A497" s="2" t="s">
        <v>59</v>
      </c>
      <c r="B497" s="2" t="s">
        <v>60</v>
      </c>
      <c r="C497" s="2" t="s">
        <v>5333</v>
      </c>
      <c r="D497" s="2" t="s">
        <v>5334</v>
      </c>
      <c r="E497" s="2" t="s">
        <v>5335</v>
      </c>
      <c r="G497" s="3" t="s">
        <v>65</v>
      </c>
      <c r="I497" s="3" t="s">
        <v>209</v>
      </c>
      <c r="J497" s="3" t="s">
        <v>209</v>
      </c>
      <c r="K497" s="3" t="s">
        <v>66</v>
      </c>
      <c r="L497" s="2" t="s">
        <v>5336</v>
      </c>
      <c r="M497" s="2" t="s">
        <v>5337</v>
      </c>
      <c r="N497" s="3" t="s">
        <v>5338</v>
      </c>
      <c r="P497" s="3" t="s">
        <v>69</v>
      </c>
      <c r="R497" s="3" t="s">
        <v>71</v>
      </c>
      <c r="S497" s="4">
        <v>45</v>
      </c>
      <c r="T497" s="4">
        <v>95</v>
      </c>
      <c r="U497" s="5" t="s">
        <v>5177</v>
      </c>
      <c r="V497" s="5" t="s">
        <v>5084</v>
      </c>
      <c r="W497" s="5" t="s">
        <v>72</v>
      </c>
      <c r="X497" s="5" t="s">
        <v>72</v>
      </c>
      <c r="Y497" s="4">
        <v>920</v>
      </c>
      <c r="Z497" s="4">
        <v>54</v>
      </c>
      <c r="AA497" s="4">
        <v>71</v>
      </c>
      <c r="AB497" s="4">
        <v>4</v>
      </c>
      <c r="AC497" s="4">
        <v>7</v>
      </c>
      <c r="AD497" s="4">
        <v>123</v>
      </c>
      <c r="AE497" s="4">
        <v>137</v>
      </c>
      <c r="AF497" s="4">
        <v>2</v>
      </c>
      <c r="AG497" s="4">
        <v>3</v>
      </c>
      <c r="AH497" s="4">
        <v>98</v>
      </c>
      <c r="AI497" s="4">
        <v>105</v>
      </c>
      <c r="AJ497" s="4">
        <v>18</v>
      </c>
      <c r="AK497" s="4">
        <v>21</v>
      </c>
      <c r="AL497" s="4">
        <v>57</v>
      </c>
      <c r="AM497" s="4">
        <v>60</v>
      </c>
      <c r="AN497" s="4">
        <v>0</v>
      </c>
      <c r="AO497" s="4">
        <v>0</v>
      </c>
      <c r="AP497" s="4">
        <v>29</v>
      </c>
      <c r="AQ497" s="4">
        <v>35</v>
      </c>
      <c r="AR497" s="3" t="s">
        <v>65</v>
      </c>
      <c r="AS497" s="3" t="s">
        <v>65</v>
      </c>
      <c r="AT497" s="3" t="s">
        <v>209</v>
      </c>
      <c r="AU497" s="6" t="str">
        <f>HYPERLINK("http://catalog.hathitrust.org/Record/001015690","HathiTrust Record")</f>
        <v>HathiTrust Record</v>
      </c>
      <c r="AV497" s="6" t="str">
        <f>HYPERLINK("http://mcgill.on.worldcat.org/oclc/890604","Catalog Record")</f>
        <v>Catalog Record</v>
      </c>
      <c r="AW497" s="6" t="str">
        <f>HYPERLINK("http://www.worldcat.org/oclc/890604","WorldCat Record")</f>
        <v>WorldCat Record</v>
      </c>
      <c r="AX497" s="3" t="s">
        <v>5339</v>
      </c>
      <c r="AY497" s="3" t="s">
        <v>5340</v>
      </c>
      <c r="AZ497" s="3" t="s">
        <v>5341</v>
      </c>
      <c r="BA497" s="3" t="s">
        <v>5341</v>
      </c>
      <c r="BB497" s="3" t="s">
        <v>5345</v>
      </c>
      <c r="BC497" s="3" t="s">
        <v>77</v>
      </c>
      <c r="BD497" s="3" t="s">
        <v>78</v>
      </c>
      <c r="BE497" s="3" t="s">
        <v>5343</v>
      </c>
      <c r="BF497" s="3" t="s">
        <v>5345</v>
      </c>
      <c r="BG497" s="3" t="s">
        <v>5346</v>
      </c>
    </row>
    <row r="498" spans="1:59" ht="58" x14ac:dyDescent="0.35">
      <c r="A498" s="2" t="s">
        <v>59</v>
      </c>
      <c r="B498" s="2" t="s">
        <v>60</v>
      </c>
      <c r="C498" s="2" t="s">
        <v>5347</v>
      </c>
      <c r="D498" s="2" t="s">
        <v>5348</v>
      </c>
      <c r="E498" s="2" t="s">
        <v>5349</v>
      </c>
      <c r="G498" s="3" t="s">
        <v>65</v>
      </c>
      <c r="I498" s="3" t="s">
        <v>65</v>
      </c>
      <c r="J498" s="3" t="s">
        <v>65</v>
      </c>
      <c r="K498" s="3" t="s">
        <v>66</v>
      </c>
      <c r="L498" s="2" t="s">
        <v>5350</v>
      </c>
      <c r="M498" s="2" t="s">
        <v>5351</v>
      </c>
      <c r="N498" s="3" t="s">
        <v>164</v>
      </c>
      <c r="P498" s="3" t="s">
        <v>140</v>
      </c>
      <c r="Q498" s="2" t="s">
        <v>5352</v>
      </c>
      <c r="R498" s="3" t="s">
        <v>71</v>
      </c>
      <c r="S498" s="4">
        <v>2</v>
      </c>
      <c r="T498" s="4">
        <v>2</v>
      </c>
      <c r="U498" s="5" t="s">
        <v>5353</v>
      </c>
      <c r="V498" s="5" t="s">
        <v>5353</v>
      </c>
      <c r="W498" s="5" t="s">
        <v>72</v>
      </c>
      <c r="X498" s="5" t="s">
        <v>72</v>
      </c>
      <c r="Y498" s="4">
        <v>32</v>
      </c>
      <c r="Z498" s="4">
        <v>1</v>
      </c>
      <c r="AA498" s="4">
        <v>1</v>
      </c>
      <c r="AB498" s="4">
        <v>1</v>
      </c>
      <c r="AC498" s="4">
        <v>1</v>
      </c>
      <c r="AD498" s="4">
        <v>15</v>
      </c>
      <c r="AE498" s="4">
        <v>15</v>
      </c>
      <c r="AF498" s="4">
        <v>0</v>
      </c>
      <c r="AG498" s="4">
        <v>0</v>
      </c>
      <c r="AH498" s="4">
        <v>14</v>
      </c>
      <c r="AI498" s="4">
        <v>14</v>
      </c>
      <c r="AJ498" s="4">
        <v>0</v>
      </c>
      <c r="AK498" s="4">
        <v>0</v>
      </c>
      <c r="AL498" s="4">
        <v>11</v>
      </c>
      <c r="AM498" s="4">
        <v>11</v>
      </c>
      <c r="AN498" s="4">
        <v>0</v>
      </c>
      <c r="AO498" s="4">
        <v>0</v>
      </c>
      <c r="AP498" s="4">
        <v>0</v>
      </c>
      <c r="AQ498" s="4">
        <v>0</v>
      </c>
      <c r="AR498" s="3" t="s">
        <v>65</v>
      </c>
      <c r="AS498" s="3" t="s">
        <v>65</v>
      </c>
      <c r="AT498" s="3" t="s">
        <v>65</v>
      </c>
      <c r="AV498" s="6" t="str">
        <f>HYPERLINK("http://mcgill.on.worldcat.org/oclc/874573288","Catalog Record")</f>
        <v>Catalog Record</v>
      </c>
      <c r="AW498" s="6" t="str">
        <f>HYPERLINK("http://www.worldcat.org/oclc/874573288","WorldCat Record")</f>
        <v>WorldCat Record</v>
      </c>
      <c r="AX498" s="3" t="s">
        <v>5354</v>
      </c>
      <c r="AY498" s="3" t="s">
        <v>5355</v>
      </c>
      <c r="AZ498" s="3" t="s">
        <v>5356</v>
      </c>
      <c r="BA498" s="3" t="s">
        <v>5356</v>
      </c>
      <c r="BB498" s="3" t="s">
        <v>5357</v>
      </c>
      <c r="BC498" s="3" t="s">
        <v>77</v>
      </c>
      <c r="BD498" s="3" t="s">
        <v>78</v>
      </c>
      <c r="BE498" s="3" t="s">
        <v>5358</v>
      </c>
      <c r="BF498" s="3" t="s">
        <v>5357</v>
      </c>
      <c r="BG498" s="3" t="s">
        <v>5359</v>
      </c>
    </row>
    <row r="499" spans="1:59" ht="58" x14ac:dyDescent="0.35">
      <c r="A499" s="2" t="s">
        <v>59</v>
      </c>
      <c r="B499" s="2" t="s">
        <v>60</v>
      </c>
      <c r="C499" s="2" t="s">
        <v>5360</v>
      </c>
      <c r="D499" s="2" t="s">
        <v>5361</v>
      </c>
      <c r="E499" s="2" t="s">
        <v>5362</v>
      </c>
      <c r="G499" s="3" t="s">
        <v>65</v>
      </c>
      <c r="I499" s="3" t="s">
        <v>209</v>
      </c>
      <c r="J499" s="3" t="s">
        <v>65</v>
      </c>
      <c r="K499" s="3" t="s">
        <v>66</v>
      </c>
      <c r="L499" s="2" t="s">
        <v>5363</v>
      </c>
      <c r="M499" s="2" t="s">
        <v>5364</v>
      </c>
      <c r="N499" s="3" t="s">
        <v>863</v>
      </c>
      <c r="P499" s="3" t="s">
        <v>69</v>
      </c>
      <c r="Q499" s="2" t="s">
        <v>5365</v>
      </c>
      <c r="R499" s="3" t="s">
        <v>71</v>
      </c>
      <c r="S499" s="4">
        <v>6</v>
      </c>
      <c r="T499" s="4">
        <v>17</v>
      </c>
      <c r="U499" s="5" t="s">
        <v>5366</v>
      </c>
      <c r="V499" s="5" t="s">
        <v>5367</v>
      </c>
      <c r="W499" s="5" t="s">
        <v>72</v>
      </c>
      <c r="X499" s="5" t="s">
        <v>72</v>
      </c>
      <c r="Y499" s="4">
        <v>247</v>
      </c>
      <c r="Z499" s="4">
        <v>20</v>
      </c>
      <c r="AA499" s="4">
        <v>20</v>
      </c>
      <c r="AB499" s="4">
        <v>1</v>
      </c>
      <c r="AC499" s="4">
        <v>1</v>
      </c>
      <c r="AD499" s="4">
        <v>78</v>
      </c>
      <c r="AE499" s="4">
        <v>78</v>
      </c>
      <c r="AF499" s="4">
        <v>0</v>
      </c>
      <c r="AG499" s="4">
        <v>0</v>
      </c>
      <c r="AH499" s="4">
        <v>67</v>
      </c>
      <c r="AI499" s="4">
        <v>67</v>
      </c>
      <c r="AJ499" s="4">
        <v>15</v>
      </c>
      <c r="AK499" s="4">
        <v>15</v>
      </c>
      <c r="AL499" s="4">
        <v>35</v>
      </c>
      <c r="AM499" s="4">
        <v>35</v>
      </c>
      <c r="AN499" s="4">
        <v>0</v>
      </c>
      <c r="AO499" s="4">
        <v>0</v>
      </c>
      <c r="AP499" s="4">
        <v>17</v>
      </c>
      <c r="AQ499" s="4">
        <v>17</v>
      </c>
      <c r="AR499" s="3" t="s">
        <v>65</v>
      </c>
      <c r="AS499" s="3" t="s">
        <v>65</v>
      </c>
      <c r="AT499" s="3" t="s">
        <v>209</v>
      </c>
      <c r="AU499" s="6" t="str">
        <f>HYPERLINK("http://catalog.hathitrust.org/Record/002579836","HathiTrust Record")</f>
        <v>HathiTrust Record</v>
      </c>
      <c r="AV499" s="6" t="str">
        <f>HYPERLINK("http://mcgill.on.worldcat.org/oclc/25747424","Catalog Record")</f>
        <v>Catalog Record</v>
      </c>
      <c r="AW499" s="6" t="str">
        <f>HYPERLINK("http://www.worldcat.org/oclc/25747424","WorldCat Record")</f>
        <v>WorldCat Record</v>
      </c>
      <c r="AX499" s="3" t="s">
        <v>5368</v>
      </c>
      <c r="AY499" s="3" t="s">
        <v>5369</v>
      </c>
      <c r="AZ499" s="3" t="s">
        <v>5370</v>
      </c>
      <c r="BA499" s="3" t="s">
        <v>5370</v>
      </c>
      <c r="BB499" s="3" t="s">
        <v>5371</v>
      </c>
      <c r="BC499" s="3" t="s">
        <v>77</v>
      </c>
      <c r="BD499" s="3" t="s">
        <v>78</v>
      </c>
      <c r="BE499" s="3" t="s">
        <v>5372</v>
      </c>
      <c r="BF499" s="3" t="s">
        <v>5371</v>
      </c>
      <c r="BG499" s="3" t="s">
        <v>5373</v>
      </c>
    </row>
    <row r="500" spans="1:59" ht="58" x14ac:dyDescent="0.35">
      <c r="A500" s="2" t="s">
        <v>59</v>
      </c>
      <c r="B500" s="2" t="s">
        <v>60</v>
      </c>
      <c r="C500" s="2" t="s">
        <v>5360</v>
      </c>
      <c r="D500" s="2" t="s">
        <v>5361</v>
      </c>
      <c r="E500" s="2" t="s">
        <v>5362</v>
      </c>
      <c r="G500" s="3" t="s">
        <v>65</v>
      </c>
      <c r="I500" s="3" t="s">
        <v>209</v>
      </c>
      <c r="J500" s="3" t="s">
        <v>65</v>
      </c>
      <c r="K500" s="3" t="s">
        <v>66</v>
      </c>
      <c r="L500" s="2" t="s">
        <v>5363</v>
      </c>
      <c r="M500" s="2" t="s">
        <v>5364</v>
      </c>
      <c r="N500" s="3" t="s">
        <v>863</v>
      </c>
      <c r="P500" s="3" t="s">
        <v>69</v>
      </c>
      <c r="Q500" s="2" t="s">
        <v>5365</v>
      </c>
      <c r="R500" s="3" t="s">
        <v>71</v>
      </c>
      <c r="S500" s="4">
        <v>11</v>
      </c>
      <c r="T500" s="4">
        <v>17</v>
      </c>
      <c r="U500" s="5" t="s">
        <v>5367</v>
      </c>
      <c r="V500" s="5" t="s">
        <v>5367</v>
      </c>
      <c r="W500" s="5" t="s">
        <v>72</v>
      </c>
      <c r="X500" s="5" t="s">
        <v>72</v>
      </c>
      <c r="Y500" s="4">
        <v>247</v>
      </c>
      <c r="Z500" s="4">
        <v>20</v>
      </c>
      <c r="AA500" s="4">
        <v>20</v>
      </c>
      <c r="AB500" s="4">
        <v>1</v>
      </c>
      <c r="AC500" s="4">
        <v>1</v>
      </c>
      <c r="AD500" s="4">
        <v>78</v>
      </c>
      <c r="AE500" s="4">
        <v>78</v>
      </c>
      <c r="AF500" s="4">
        <v>0</v>
      </c>
      <c r="AG500" s="4">
        <v>0</v>
      </c>
      <c r="AH500" s="4">
        <v>67</v>
      </c>
      <c r="AI500" s="4">
        <v>67</v>
      </c>
      <c r="AJ500" s="4">
        <v>15</v>
      </c>
      <c r="AK500" s="4">
        <v>15</v>
      </c>
      <c r="AL500" s="4">
        <v>35</v>
      </c>
      <c r="AM500" s="4">
        <v>35</v>
      </c>
      <c r="AN500" s="4">
        <v>0</v>
      </c>
      <c r="AO500" s="4">
        <v>0</v>
      </c>
      <c r="AP500" s="4">
        <v>17</v>
      </c>
      <c r="AQ500" s="4">
        <v>17</v>
      </c>
      <c r="AR500" s="3" t="s">
        <v>65</v>
      </c>
      <c r="AS500" s="3" t="s">
        <v>65</v>
      </c>
      <c r="AT500" s="3" t="s">
        <v>209</v>
      </c>
      <c r="AU500" s="6" t="str">
        <f>HYPERLINK("http://catalog.hathitrust.org/Record/002579836","HathiTrust Record")</f>
        <v>HathiTrust Record</v>
      </c>
      <c r="AV500" s="6" t="str">
        <f>HYPERLINK("http://mcgill.on.worldcat.org/oclc/25747424","Catalog Record")</f>
        <v>Catalog Record</v>
      </c>
      <c r="AW500" s="6" t="str">
        <f>HYPERLINK("http://www.worldcat.org/oclc/25747424","WorldCat Record")</f>
        <v>WorldCat Record</v>
      </c>
      <c r="AX500" s="3" t="s">
        <v>5368</v>
      </c>
      <c r="AY500" s="3" t="s">
        <v>5369</v>
      </c>
      <c r="AZ500" s="3" t="s">
        <v>5370</v>
      </c>
      <c r="BA500" s="3" t="s">
        <v>5370</v>
      </c>
      <c r="BB500" s="3" t="s">
        <v>5374</v>
      </c>
      <c r="BC500" s="3" t="s">
        <v>77</v>
      </c>
      <c r="BD500" s="3" t="s">
        <v>78</v>
      </c>
      <c r="BE500" s="3" t="s">
        <v>5372</v>
      </c>
      <c r="BF500" s="3" t="s">
        <v>5374</v>
      </c>
      <c r="BG500" s="3" t="s">
        <v>5375</v>
      </c>
    </row>
    <row r="501" spans="1:59" ht="58" x14ac:dyDescent="0.35">
      <c r="A501" s="2" t="s">
        <v>59</v>
      </c>
      <c r="B501" s="2" t="s">
        <v>60</v>
      </c>
      <c r="C501" s="2" t="s">
        <v>5376</v>
      </c>
      <c r="D501" s="2" t="s">
        <v>5377</v>
      </c>
      <c r="E501" s="2" t="s">
        <v>5378</v>
      </c>
      <c r="G501" s="3" t="s">
        <v>65</v>
      </c>
      <c r="I501" s="3" t="s">
        <v>65</v>
      </c>
      <c r="J501" s="3" t="s">
        <v>65</v>
      </c>
      <c r="K501" s="3" t="s">
        <v>66</v>
      </c>
      <c r="L501" s="2" t="s">
        <v>5379</v>
      </c>
      <c r="M501" s="2" t="s">
        <v>5380</v>
      </c>
      <c r="N501" s="3" t="s">
        <v>1944</v>
      </c>
      <c r="P501" s="3" t="s">
        <v>69</v>
      </c>
      <c r="R501" s="3" t="s">
        <v>71</v>
      </c>
      <c r="S501" s="4">
        <v>25</v>
      </c>
      <c r="T501" s="4">
        <v>25</v>
      </c>
      <c r="U501" s="5" t="s">
        <v>5353</v>
      </c>
      <c r="V501" s="5" t="s">
        <v>5353</v>
      </c>
      <c r="W501" s="5" t="s">
        <v>72</v>
      </c>
      <c r="X501" s="5" t="s">
        <v>72</v>
      </c>
      <c r="Y501" s="4">
        <v>328</v>
      </c>
      <c r="Z501" s="4">
        <v>13</v>
      </c>
      <c r="AA501" s="4">
        <v>31</v>
      </c>
      <c r="AB501" s="4">
        <v>2</v>
      </c>
      <c r="AC501" s="4">
        <v>6</v>
      </c>
      <c r="AD501" s="4">
        <v>30</v>
      </c>
      <c r="AE501" s="4">
        <v>97</v>
      </c>
      <c r="AF501" s="4">
        <v>0</v>
      </c>
      <c r="AG501" s="4">
        <v>2</v>
      </c>
      <c r="AH501" s="4">
        <v>23</v>
      </c>
      <c r="AI501" s="4">
        <v>82</v>
      </c>
      <c r="AJ501" s="4">
        <v>2</v>
      </c>
      <c r="AK501" s="4">
        <v>13</v>
      </c>
      <c r="AL501" s="4">
        <v>13</v>
      </c>
      <c r="AM501" s="4">
        <v>44</v>
      </c>
      <c r="AN501" s="4">
        <v>0</v>
      </c>
      <c r="AO501" s="4">
        <v>0</v>
      </c>
      <c r="AP501" s="4">
        <v>6</v>
      </c>
      <c r="AQ501" s="4">
        <v>19</v>
      </c>
      <c r="AR501" s="3" t="s">
        <v>65</v>
      </c>
      <c r="AS501" s="3" t="s">
        <v>65</v>
      </c>
      <c r="AT501" s="3" t="s">
        <v>65</v>
      </c>
      <c r="AV501" s="6" t="str">
        <f>HYPERLINK("http://mcgill.on.worldcat.org/oclc/48711142","Catalog Record")</f>
        <v>Catalog Record</v>
      </c>
      <c r="AW501" s="6" t="str">
        <f>HYPERLINK("http://www.worldcat.org/oclc/48711142","WorldCat Record")</f>
        <v>WorldCat Record</v>
      </c>
      <c r="AX501" s="3" t="s">
        <v>5381</v>
      </c>
      <c r="AY501" s="3" t="s">
        <v>5382</v>
      </c>
      <c r="AZ501" s="3" t="s">
        <v>5383</v>
      </c>
      <c r="BA501" s="3" t="s">
        <v>5383</v>
      </c>
      <c r="BB501" s="3" t="s">
        <v>5384</v>
      </c>
      <c r="BC501" s="3" t="s">
        <v>77</v>
      </c>
      <c r="BD501" s="3" t="s">
        <v>106</v>
      </c>
      <c r="BE501" s="3" t="s">
        <v>5385</v>
      </c>
      <c r="BF501" s="3" t="s">
        <v>5384</v>
      </c>
      <c r="BG501" s="3" t="s">
        <v>5386</v>
      </c>
    </row>
    <row r="502" spans="1:59" ht="58" x14ac:dyDescent="0.35">
      <c r="A502" s="2" t="s">
        <v>59</v>
      </c>
      <c r="B502" s="2" t="s">
        <v>60</v>
      </c>
      <c r="C502" s="2" t="s">
        <v>5387</v>
      </c>
      <c r="D502" s="2" t="s">
        <v>5388</v>
      </c>
      <c r="E502" s="2" t="s">
        <v>5389</v>
      </c>
      <c r="G502" s="3" t="s">
        <v>65</v>
      </c>
      <c r="I502" s="3" t="s">
        <v>65</v>
      </c>
      <c r="J502" s="3" t="s">
        <v>65</v>
      </c>
      <c r="K502" s="3" t="s">
        <v>66</v>
      </c>
      <c r="L502" s="2" t="s">
        <v>5390</v>
      </c>
      <c r="M502" s="2" t="s">
        <v>5391</v>
      </c>
      <c r="N502" s="3" t="s">
        <v>176</v>
      </c>
      <c r="P502" s="3" t="s">
        <v>69</v>
      </c>
      <c r="Q502" s="2" t="s">
        <v>5392</v>
      </c>
      <c r="R502" s="3" t="s">
        <v>71</v>
      </c>
      <c r="S502" s="4">
        <v>3</v>
      </c>
      <c r="T502" s="4">
        <v>3</v>
      </c>
      <c r="U502" s="5" t="s">
        <v>5272</v>
      </c>
      <c r="V502" s="5" t="s">
        <v>5272</v>
      </c>
      <c r="W502" s="5" t="s">
        <v>72</v>
      </c>
      <c r="X502" s="5" t="s">
        <v>72</v>
      </c>
      <c r="Y502" s="4">
        <v>79</v>
      </c>
      <c r="Z502" s="4">
        <v>8</v>
      </c>
      <c r="AA502" s="4">
        <v>11</v>
      </c>
      <c r="AB502" s="4">
        <v>1</v>
      </c>
      <c r="AC502" s="4">
        <v>4</v>
      </c>
      <c r="AD502" s="4">
        <v>44</v>
      </c>
      <c r="AE502" s="4">
        <v>50</v>
      </c>
      <c r="AF502" s="4">
        <v>0</v>
      </c>
      <c r="AG502" s="4">
        <v>0</v>
      </c>
      <c r="AH502" s="4">
        <v>42</v>
      </c>
      <c r="AI502" s="4">
        <v>48</v>
      </c>
      <c r="AJ502" s="4">
        <v>5</v>
      </c>
      <c r="AK502" s="4">
        <v>5</v>
      </c>
      <c r="AL502" s="4">
        <v>28</v>
      </c>
      <c r="AM502" s="4">
        <v>30</v>
      </c>
      <c r="AN502" s="4">
        <v>0</v>
      </c>
      <c r="AO502" s="4">
        <v>0</v>
      </c>
      <c r="AP502" s="4">
        <v>6</v>
      </c>
      <c r="AQ502" s="4">
        <v>6</v>
      </c>
      <c r="AR502" s="3" t="s">
        <v>65</v>
      </c>
      <c r="AS502" s="3" t="s">
        <v>65</v>
      </c>
      <c r="AT502" s="3" t="s">
        <v>65</v>
      </c>
      <c r="AV502" s="6" t="str">
        <f>HYPERLINK("http://mcgill.on.worldcat.org/oclc/907494617","Catalog Record")</f>
        <v>Catalog Record</v>
      </c>
      <c r="AW502" s="6" t="str">
        <f>HYPERLINK("http://www.worldcat.org/oclc/907494617","WorldCat Record")</f>
        <v>WorldCat Record</v>
      </c>
      <c r="AX502" s="3" t="s">
        <v>5393</v>
      </c>
      <c r="AY502" s="3" t="s">
        <v>5394</v>
      </c>
      <c r="AZ502" s="3" t="s">
        <v>5395</v>
      </c>
      <c r="BA502" s="3" t="s">
        <v>5395</v>
      </c>
      <c r="BB502" s="3" t="s">
        <v>5396</v>
      </c>
      <c r="BC502" s="3" t="s">
        <v>77</v>
      </c>
      <c r="BD502" s="3" t="s">
        <v>78</v>
      </c>
      <c r="BE502" s="3" t="s">
        <v>5397</v>
      </c>
      <c r="BF502" s="3" t="s">
        <v>5396</v>
      </c>
      <c r="BG502" s="3" t="s">
        <v>5398</v>
      </c>
    </row>
    <row r="503" spans="1:59" ht="58" x14ac:dyDescent="0.35">
      <c r="A503" s="2" t="s">
        <v>59</v>
      </c>
      <c r="B503" s="2" t="s">
        <v>60</v>
      </c>
      <c r="C503" s="2" t="s">
        <v>5399</v>
      </c>
      <c r="D503" s="2" t="s">
        <v>5400</v>
      </c>
      <c r="E503" s="2" t="s">
        <v>5401</v>
      </c>
      <c r="G503" s="3" t="s">
        <v>65</v>
      </c>
      <c r="I503" s="3" t="s">
        <v>65</v>
      </c>
      <c r="J503" s="3" t="s">
        <v>65</v>
      </c>
      <c r="K503" s="3" t="s">
        <v>66</v>
      </c>
      <c r="L503" s="2" t="s">
        <v>5390</v>
      </c>
      <c r="M503" s="2" t="s">
        <v>5402</v>
      </c>
      <c r="N503" s="3" t="s">
        <v>1122</v>
      </c>
      <c r="P503" s="3" t="s">
        <v>69</v>
      </c>
      <c r="Q503" s="2" t="s">
        <v>5403</v>
      </c>
      <c r="R503" s="3" t="s">
        <v>71</v>
      </c>
      <c r="S503" s="4">
        <v>6</v>
      </c>
      <c r="T503" s="4">
        <v>6</v>
      </c>
      <c r="U503" s="5" t="s">
        <v>5404</v>
      </c>
      <c r="V503" s="5" t="s">
        <v>5404</v>
      </c>
      <c r="W503" s="5" t="s">
        <v>72</v>
      </c>
      <c r="X503" s="5" t="s">
        <v>72</v>
      </c>
      <c r="Y503" s="4">
        <v>27</v>
      </c>
      <c r="Z503" s="4">
        <v>14</v>
      </c>
      <c r="AA503" s="4">
        <v>14</v>
      </c>
      <c r="AB503" s="4">
        <v>2</v>
      </c>
      <c r="AC503" s="4">
        <v>2</v>
      </c>
      <c r="AD503" s="4">
        <v>17</v>
      </c>
      <c r="AE503" s="4">
        <v>17</v>
      </c>
      <c r="AF503" s="4">
        <v>0</v>
      </c>
      <c r="AG503" s="4">
        <v>0</v>
      </c>
      <c r="AH503" s="4">
        <v>14</v>
      </c>
      <c r="AI503" s="4">
        <v>14</v>
      </c>
      <c r="AJ503" s="4">
        <v>9</v>
      </c>
      <c r="AK503" s="4">
        <v>9</v>
      </c>
      <c r="AL503" s="4">
        <v>6</v>
      </c>
      <c r="AM503" s="4">
        <v>6</v>
      </c>
      <c r="AN503" s="4">
        <v>0</v>
      </c>
      <c r="AO503" s="4">
        <v>0</v>
      </c>
      <c r="AP503" s="4">
        <v>8</v>
      </c>
      <c r="AQ503" s="4">
        <v>8</v>
      </c>
      <c r="AR503" s="3" t="s">
        <v>209</v>
      </c>
      <c r="AS503" s="3" t="s">
        <v>65</v>
      </c>
      <c r="AT503" s="3" t="s">
        <v>209</v>
      </c>
      <c r="AU503" s="6" t="str">
        <f>HYPERLINK("http://catalog.hathitrust.org/Record/006815523","HathiTrust Record")</f>
        <v>HathiTrust Record</v>
      </c>
      <c r="AV503" s="6" t="str">
        <f>HYPERLINK("http://mcgill.on.worldcat.org/oclc/248955276","Catalog Record")</f>
        <v>Catalog Record</v>
      </c>
      <c r="AW503" s="6" t="str">
        <f>HYPERLINK("http://www.worldcat.org/oclc/248955276","WorldCat Record")</f>
        <v>WorldCat Record</v>
      </c>
      <c r="AX503" s="3" t="s">
        <v>5405</v>
      </c>
      <c r="AY503" s="3" t="s">
        <v>5406</v>
      </c>
      <c r="AZ503" s="3" t="s">
        <v>5407</v>
      </c>
      <c r="BA503" s="3" t="s">
        <v>5407</v>
      </c>
      <c r="BB503" s="3" t="s">
        <v>5408</v>
      </c>
      <c r="BC503" s="3" t="s">
        <v>77</v>
      </c>
      <c r="BD503" s="3" t="s">
        <v>78</v>
      </c>
      <c r="BE503" s="3" t="s">
        <v>5409</v>
      </c>
      <c r="BF503" s="3" t="s">
        <v>5408</v>
      </c>
      <c r="BG503" s="3" t="s">
        <v>5410</v>
      </c>
    </row>
    <row r="504" spans="1:59" ht="72.5" x14ac:dyDescent="0.35">
      <c r="A504" s="2" t="s">
        <v>59</v>
      </c>
      <c r="B504" s="2" t="s">
        <v>5411</v>
      </c>
      <c r="C504" s="2" t="s">
        <v>5412</v>
      </c>
      <c r="D504" s="2" t="s">
        <v>5413</v>
      </c>
      <c r="E504" s="2" t="s">
        <v>5414</v>
      </c>
      <c r="G504" s="3" t="s">
        <v>65</v>
      </c>
      <c r="I504" s="3" t="s">
        <v>65</v>
      </c>
      <c r="J504" s="3" t="s">
        <v>65</v>
      </c>
      <c r="K504" s="3" t="s">
        <v>66</v>
      </c>
      <c r="L504" s="2" t="s">
        <v>5415</v>
      </c>
      <c r="M504" s="2" t="s">
        <v>5416</v>
      </c>
      <c r="N504" s="3" t="s">
        <v>99</v>
      </c>
      <c r="P504" s="3" t="s">
        <v>69</v>
      </c>
      <c r="Q504" s="2" t="s">
        <v>5417</v>
      </c>
      <c r="R504" s="3" t="s">
        <v>71</v>
      </c>
      <c r="S504" s="4">
        <v>12</v>
      </c>
      <c r="T504" s="4">
        <v>12</v>
      </c>
      <c r="U504" s="5" t="s">
        <v>5084</v>
      </c>
      <c r="V504" s="5" t="s">
        <v>5084</v>
      </c>
      <c r="W504" s="5" t="s">
        <v>72</v>
      </c>
      <c r="X504" s="5" t="s">
        <v>72</v>
      </c>
      <c r="Y504" s="4">
        <v>131</v>
      </c>
      <c r="Z504" s="4">
        <v>15</v>
      </c>
      <c r="AA504" s="4">
        <v>96</v>
      </c>
      <c r="AB504" s="4">
        <v>1</v>
      </c>
      <c r="AC504" s="4">
        <v>17</v>
      </c>
      <c r="AD504" s="4">
        <v>51</v>
      </c>
      <c r="AE504" s="4">
        <v>104</v>
      </c>
      <c r="AF504" s="4">
        <v>0</v>
      </c>
      <c r="AG504" s="4">
        <v>8</v>
      </c>
      <c r="AH504" s="4">
        <v>44</v>
      </c>
      <c r="AI504" s="4">
        <v>69</v>
      </c>
      <c r="AJ504" s="4">
        <v>9</v>
      </c>
      <c r="AK504" s="4">
        <v>21</v>
      </c>
      <c r="AL504" s="4">
        <v>30</v>
      </c>
      <c r="AM504" s="4">
        <v>37</v>
      </c>
      <c r="AN504" s="4">
        <v>0</v>
      </c>
      <c r="AO504" s="4">
        <v>0</v>
      </c>
      <c r="AP504" s="4">
        <v>11</v>
      </c>
      <c r="AQ504" s="4">
        <v>43</v>
      </c>
      <c r="AR504" s="3" t="s">
        <v>65</v>
      </c>
      <c r="AS504" s="3" t="s">
        <v>65</v>
      </c>
      <c r="AT504" s="3" t="s">
        <v>209</v>
      </c>
      <c r="AU504" s="6" t="str">
        <f>HYPERLINK("http://catalog.hathitrust.org/Record/005424581","HathiTrust Record")</f>
        <v>HathiTrust Record</v>
      </c>
      <c r="AV504" s="6" t="str">
        <f>HYPERLINK("http://mcgill.on.worldcat.org/oclc/69983670","Catalog Record")</f>
        <v>Catalog Record</v>
      </c>
      <c r="AW504" s="6" t="str">
        <f>HYPERLINK("http://www.worldcat.org/oclc/69983670","WorldCat Record")</f>
        <v>WorldCat Record</v>
      </c>
      <c r="AX504" s="3" t="s">
        <v>5418</v>
      </c>
      <c r="AY504" s="3" t="s">
        <v>5419</v>
      </c>
      <c r="AZ504" s="3" t="s">
        <v>5420</v>
      </c>
      <c r="BA504" s="3" t="s">
        <v>5420</v>
      </c>
      <c r="BB504" s="3" t="s">
        <v>5421</v>
      </c>
      <c r="BC504" s="3" t="s">
        <v>77</v>
      </c>
      <c r="BD504" s="3" t="s">
        <v>78</v>
      </c>
      <c r="BE504" s="3" t="s">
        <v>5422</v>
      </c>
      <c r="BF504" s="3" t="s">
        <v>5421</v>
      </c>
      <c r="BG504" s="3" t="s">
        <v>5423</v>
      </c>
    </row>
    <row r="505" spans="1:59" ht="58" x14ac:dyDescent="0.35">
      <c r="A505" s="2" t="s">
        <v>59</v>
      </c>
      <c r="B505" s="2" t="s">
        <v>60</v>
      </c>
      <c r="C505" s="2" t="s">
        <v>5424</v>
      </c>
      <c r="D505" s="2" t="s">
        <v>5425</v>
      </c>
      <c r="E505" s="2" t="s">
        <v>5426</v>
      </c>
      <c r="G505" s="3" t="s">
        <v>65</v>
      </c>
      <c r="I505" s="3" t="s">
        <v>209</v>
      </c>
      <c r="J505" s="3" t="s">
        <v>65</v>
      </c>
      <c r="K505" s="3" t="s">
        <v>66</v>
      </c>
      <c r="L505" s="2" t="s">
        <v>5427</v>
      </c>
      <c r="M505" s="2" t="s">
        <v>5428</v>
      </c>
      <c r="N505" s="3" t="s">
        <v>718</v>
      </c>
      <c r="P505" s="3" t="s">
        <v>69</v>
      </c>
      <c r="R505" s="3" t="s">
        <v>71</v>
      </c>
      <c r="S505" s="4">
        <v>16</v>
      </c>
      <c r="T505" s="4">
        <v>16</v>
      </c>
      <c r="U505" s="5" t="s">
        <v>5367</v>
      </c>
      <c r="V505" s="5" t="s">
        <v>5367</v>
      </c>
      <c r="W505" s="5" t="s">
        <v>72</v>
      </c>
      <c r="X505" s="5" t="s">
        <v>72</v>
      </c>
      <c r="Y505" s="4">
        <v>3</v>
      </c>
      <c r="Z505" s="4">
        <v>2</v>
      </c>
      <c r="AA505" s="4">
        <v>36</v>
      </c>
      <c r="AB505" s="4">
        <v>1</v>
      </c>
      <c r="AC505" s="4">
        <v>5</v>
      </c>
      <c r="AD505" s="4">
        <v>2</v>
      </c>
      <c r="AE505" s="4">
        <v>123</v>
      </c>
      <c r="AF505" s="4">
        <v>0</v>
      </c>
      <c r="AG505" s="4">
        <v>3</v>
      </c>
      <c r="AH505" s="4">
        <v>2</v>
      </c>
      <c r="AI505" s="4">
        <v>103</v>
      </c>
      <c r="AJ505" s="4">
        <v>1</v>
      </c>
      <c r="AK505" s="4">
        <v>21</v>
      </c>
      <c r="AL505" s="4">
        <v>0</v>
      </c>
      <c r="AM505" s="4">
        <v>60</v>
      </c>
      <c r="AN505" s="4">
        <v>0</v>
      </c>
      <c r="AO505" s="4">
        <v>0</v>
      </c>
      <c r="AP505" s="4">
        <v>1</v>
      </c>
      <c r="AQ505" s="4">
        <v>26</v>
      </c>
      <c r="AR505" s="3" t="s">
        <v>65</v>
      </c>
      <c r="AS505" s="3" t="s">
        <v>65</v>
      </c>
      <c r="AT505" s="3" t="s">
        <v>209</v>
      </c>
      <c r="AU505" s="6" t="str">
        <f>HYPERLINK("http://catalog.hathitrust.org/Record/007558345","HathiTrust Record")</f>
        <v>HathiTrust Record</v>
      </c>
      <c r="AV505" s="6" t="str">
        <f>HYPERLINK("http://mcgill.on.worldcat.org/oclc/427521014","Catalog Record")</f>
        <v>Catalog Record</v>
      </c>
      <c r="AW505" s="6" t="str">
        <f>HYPERLINK("http://www.worldcat.org/oclc/427521014","WorldCat Record")</f>
        <v>WorldCat Record</v>
      </c>
      <c r="AX505" s="3" t="s">
        <v>5429</v>
      </c>
      <c r="AY505" s="3" t="s">
        <v>5430</v>
      </c>
      <c r="AZ505" s="3" t="s">
        <v>5431</v>
      </c>
      <c r="BA505" s="3" t="s">
        <v>5431</v>
      </c>
      <c r="BB505" s="3" t="s">
        <v>5432</v>
      </c>
      <c r="BC505" s="3" t="s">
        <v>77</v>
      </c>
      <c r="BD505" s="3" t="s">
        <v>78</v>
      </c>
      <c r="BF505" s="3" t="s">
        <v>5432</v>
      </c>
      <c r="BG505" s="3" t="s">
        <v>5433</v>
      </c>
    </row>
    <row r="506" spans="1:59" ht="58" x14ac:dyDescent="0.35">
      <c r="A506" s="2" t="s">
        <v>59</v>
      </c>
      <c r="B506" s="2" t="s">
        <v>60</v>
      </c>
      <c r="C506" s="2" t="s">
        <v>5434</v>
      </c>
      <c r="D506" s="2" t="s">
        <v>5435</v>
      </c>
      <c r="E506" s="2" t="s">
        <v>5436</v>
      </c>
      <c r="F506" s="3" t="s">
        <v>258</v>
      </c>
      <c r="G506" s="3" t="s">
        <v>209</v>
      </c>
      <c r="I506" s="3" t="s">
        <v>209</v>
      </c>
      <c r="J506" s="3" t="s">
        <v>65</v>
      </c>
      <c r="K506" s="3" t="s">
        <v>66</v>
      </c>
      <c r="L506" s="2" t="s">
        <v>5437</v>
      </c>
      <c r="M506" s="2" t="s">
        <v>5438</v>
      </c>
      <c r="N506" s="3" t="s">
        <v>5439</v>
      </c>
      <c r="P506" s="3" t="s">
        <v>69</v>
      </c>
      <c r="R506" s="3" t="s">
        <v>71</v>
      </c>
      <c r="S506" s="4">
        <v>16</v>
      </c>
      <c r="T506" s="4">
        <v>75</v>
      </c>
      <c r="U506" s="5" t="s">
        <v>5440</v>
      </c>
      <c r="V506" s="5" t="s">
        <v>5441</v>
      </c>
      <c r="W506" s="5" t="s">
        <v>72</v>
      </c>
      <c r="X506" s="5" t="s">
        <v>72</v>
      </c>
      <c r="Y506" s="4">
        <v>605</v>
      </c>
      <c r="Z506" s="4">
        <v>36</v>
      </c>
      <c r="AA506" s="4">
        <v>44</v>
      </c>
      <c r="AB506" s="4">
        <v>3</v>
      </c>
      <c r="AC506" s="4">
        <v>7</v>
      </c>
      <c r="AD506" s="4">
        <v>93</v>
      </c>
      <c r="AE506" s="4">
        <v>133</v>
      </c>
      <c r="AF506" s="4">
        <v>1</v>
      </c>
      <c r="AG506" s="4">
        <v>5</v>
      </c>
      <c r="AH506" s="4">
        <v>77</v>
      </c>
      <c r="AI506" s="4">
        <v>109</v>
      </c>
      <c r="AJ506" s="4">
        <v>20</v>
      </c>
      <c r="AK506" s="4">
        <v>27</v>
      </c>
      <c r="AL506" s="4">
        <v>40</v>
      </c>
      <c r="AM506" s="4">
        <v>59</v>
      </c>
      <c r="AN506" s="4">
        <v>0</v>
      </c>
      <c r="AO506" s="4">
        <v>0</v>
      </c>
      <c r="AP506" s="4">
        <v>25</v>
      </c>
      <c r="AQ506" s="4">
        <v>31</v>
      </c>
      <c r="AR506" s="3" t="s">
        <v>65</v>
      </c>
      <c r="AS506" s="3" t="s">
        <v>65</v>
      </c>
      <c r="AT506" s="3" t="s">
        <v>209</v>
      </c>
      <c r="AU506" s="6" t="str">
        <f>HYPERLINK("http://catalog.hathitrust.org/Record/001111527","HathiTrust Record")</f>
        <v>HathiTrust Record</v>
      </c>
      <c r="AV506" s="6" t="str">
        <f>HYPERLINK("http://mcgill.on.worldcat.org/oclc/1134107","Catalog Record")</f>
        <v>Catalog Record</v>
      </c>
      <c r="AW506" s="6" t="str">
        <f>HYPERLINK("http://www.worldcat.org/oclc/1134107","WorldCat Record")</f>
        <v>WorldCat Record</v>
      </c>
      <c r="AX506" s="3" t="s">
        <v>5442</v>
      </c>
      <c r="AY506" s="3" t="s">
        <v>5443</v>
      </c>
      <c r="AZ506" s="3" t="s">
        <v>5444</v>
      </c>
      <c r="BA506" s="3" t="s">
        <v>5444</v>
      </c>
      <c r="BB506" s="3" t="s">
        <v>5445</v>
      </c>
      <c r="BC506" s="3" t="s">
        <v>77</v>
      </c>
      <c r="BD506" s="3" t="s">
        <v>78</v>
      </c>
      <c r="BE506" s="3" t="s">
        <v>5446</v>
      </c>
      <c r="BF506" s="3" t="s">
        <v>5445</v>
      </c>
      <c r="BG506" s="3" t="s">
        <v>5447</v>
      </c>
    </row>
    <row r="507" spans="1:59" ht="58" x14ac:dyDescent="0.35">
      <c r="A507" s="2" t="s">
        <v>59</v>
      </c>
      <c r="B507" s="2" t="s">
        <v>60</v>
      </c>
      <c r="C507" s="2" t="s">
        <v>5434</v>
      </c>
      <c r="D507" s="2" t="s">
        <v>5435</v>
      </c>
      <c r="E507" s="2" t="s">
        <v>5436</v>
      </c>
      <c r="F507" s="3" t="s">
        <v>245</v>
      </c>
      <c r="G507" s="3" t="s">
        <v>209</v>
      </c>
      <c r="I507" s="3" t="s">
        <v>209</v>
      </c>
      <c r="J507" s="3" t="s">
        <v>65</v>
      </c>
      <c r="K507" s="3" t="s">
        <v>66</v>
      </c>
      <c r="L507" s="2" t="s">
        <v>5437</v>
      </c>
      <c r="M507" s="2" t="s">
        <v>5438</v>
      </c>
      <c r="N507" s="3" t="s">
        <v>5439</v>
      </c>
      <c r="P507" s="3" t="s">
        <v>69</v>
      </c>
      <c r="R507" s="3" t="s">
        <v>71</v>
      </c>
      <c r="S507" s="4">
        <v>22</v>
      </c>
      <c r="T507" s="4">
        <v>75</v>
      </c>
      <c r="U507" s="5" t="s">
        <v>5441</v>
      </c>
      <c r="V507" s="5" t="s">
        <v>5441</v>
      </c>
      <c r="W507" s="5" t="s">
        <v>72</v>
      </c>
      <c r="X507" s="5" t="s">
        <v>72</v>
      </c>
      <c r="Y507" s="4">
        <v>605</v>
      </c>
      <c r="Z507" s="4">
        <v>36</v>
      </c>
      <c r="AA507" s="4">
        <v>44</v>
      </c>
      <c r="AB507" s="4">
        <v>3</v>
      </c>
      <c r="AC507" s="4">
        <v>7</v>
      </c>
      <c r="AD507" s="4">
        <v>93</v>
      </c>
      <c r="AE507" s="4">
        <v>133</v>
      </c>
      <c r="AF507" s="4">
        <v>1</v>
      </c>
      <c r="AG507" s="4">
        <v>5</v>
      </c>
      <c r="AH507" s="4">
        <v>77</v>
      </c>
      <c r="AI507" s="4">
        <v>109</v>
      </c>
      <c r="AJ507" s="4">
        <v>20</v>
      </c>
      <c r="AK507" s="4">
        <v>27</v>
      </c>
      <c r="AL507" s="4">
        <v>40</v>
      </c>
      <c r="AM507" s="4">
        <v>59</v>
      </c>
      <c r="AN507" s="4">
        <v>0</v>
      </c>
      <c r="AO507" s="4">
        <v>0</v>
      </c>
      <c r="AP507" s="4">
        <v>25</v>
      </c>
      <c r="AQ507" s="4">
        <v>31</v>
      </c>
      <c r="AR507" s="3" t="s">
        <v>65</v>
      </c>
      <c r="AS507" s="3" t="s">
        <v>65</v>
      </c>
      <c r="AT507" s="3" t="s">
        <v>209</v>
      </c>
      <c r="AU507" s="6" t="str">
        <f>HYPERLINK("http://catalog.hathitrust.org/Record/001111527","HathiTrust Record")</f>
        <v>HathiTrust Record</v>
      </c>
      <c r="AV507" s="6" t="str">
        <f>HYPERLINK("http://mcgill.on.worldcat.org/oclc/1134107","Catalog Record")</f>
        <v>Catalog Record</v>
      </c>
      <c r="AW507" s="6" t="str">
        <f>HYPERLINK("http://www.worldcat.org/oclc/1134107","WorldCat Record")</f>
        <v>WorldCat Record</v>
      </c>
      <c r="AX507" s="3" t="s">
        <v>5442</v>
      </c>
      <c r="AY507" s="3" t="s">
        <v>5443</v>
      </c>
      <c r="AZ507" s="3" t="s">
        <v>5444</v>
      </c>
      <c r="BA507" s="3" t="s">
        <v>5444</v>
      </c>
      <c r="BB507" s="3" t="s">
        <v>5448</v>
      </c>
      <c r="BC507" s="3" t="s">
        <v>77</v>
      </c>
      <c r="BD507" s="3" t="s">
        <v>78</v>
      </c>
      <c r="BE507" s="3" t="s">
        <v>5446</v>
      </c>
      <c r="BF507" s="3" t="s">
        <v>5448</v>
      </c>
      <c r="BG507" s="3" t="s">
        <v>5449</v>
      </c>
    </row>
    <row r="508" spans="1:59" ht="58" x14ac:dyDescent="0.35">
      <c r="A508" s="2" t="s">
        <v>59</v>
      </c>
      <c r="B508" s="2" t="s">
        <v>60</v>
      </c>
      <c r="C508" s="2" t="s">
        <v>5434</v>
      </c>
      <c r="D508" s="2" t="s">
        <v>5435</v>
      </c>
      <c r="E508" s="2" t="s">
        <v>5436</v>
      </c>
      <c r="F508" s="3" t="s">
        <v>503</v>
      </c>
      <c r="G508" s="3" t="s">
        <v>209</v>
      </c>
      <c r="I508" s="3" t="s">
        <v>209</v>
      </c>
      <c r="J508" s="3" t="s">
        <v>65</v>
      </c>
      <c r="K508" s="3" t="s">
        <v>66</v>
      </c>
      <c r="L508" s="2" t="s">
        <v>5437</v>
      </c>
      <c r="M508" s="2" t="s">
        <v>5438</v>
      </c>
      <c r="N508" s="3" t="s">
        <v>5439</v>
      </c>
      <c r="P508" s="3" t="s">
        <v>69</v>
      </c>
      <c r="R508" s="3" t="s">
        <v>71</v>
      </c>
      <c r="S508" s="4">
        <v>12</v>
      </c>
      <c r="T508" s="4">
        <v>75</v>
      </c>
      <c r="U508" s="5" t="s">
        <v>5450</v>
      </c>
      <c r="V508" s="5" t="s">
        <v>5441</v>
      </c>
      <c r="W508" s="5" t="s">
        <v>72</v>
      </c>
      <c r="X508" s="5" t="s">
        <v>72</v>
      </c>
      <c r="Y508" s="4">
        <v>605</v>
      </c>
      <c r="Z508" s="4">
        <v>36</v>
      </c>
      <c r="AA508" s="4">
        <v>44</v>
      </c>
      <c r="AB508" s="4">
        <v>3</v>
      </c>
      <c r="AC508" s="4">
        <v>7</v>
      </c>
      <c r="AD508" s="4">
        <v>93</v>
      </c>
      <c r="AE508" s="4">
        <v>133</v>
      </c>
      <c r="AF508" s="4">
        <v>1</v>
      </c>
      <c r="AG508" s="4">
        <v>5</v>
      </c>
      <c r="AH508" s="4">
        <v>77</v>
      </c>
      <c r="AI508" s="4">
        <v>109</v>
      </c>
      <c r="AJ508" s="4">
        <v>20</v>
      </c>
      <c r="AK508" s="4">
        <v>27</v>
      </c>
      <c r="AL508" s="4">
        <v>40</v>
      </c>
      <c r="AM508" s="4">
        <v>59</v>
      </c>
      <c r="AN508" s="4">
        <v>0</v>
      </c>
      <c r="AO508" s="4">
        <v>0</v>
      </c>
      <c r="AP508" s="4">
        <v>25</v>
      </c>
      <c r="AQ508" s="4">
        <v>31</v>
      </c>
      <c r="AR508" s="3" t="s">
        <v>65</v>
      </c>
      <c r="AS508" s="3" t="s">
        <v>65</v>
      </c>
      <c r="AT508" s="3" t="s">
        <v>209</v>
      </c>
      <c r="AU508" s="6" t="str">
        <f>HYPERLINK("http://catalog.hathitrust.org/Record/001111527","HathiTrust Record")</f>
        <v>HathiTrust Record</v>
      </c>
      <c r="AV508" s="6" t="str">
        <f>HYPERLINK("http://mcgill.on.worldcat.org/oclc/1134107","Catalog Record")</f>
        <v>Catalog Record</v>
      </c>
      <c r="AW508" s="6" t="str">
        <f>HYPERLINK("http://www.worldcat.org/oclc/1134107","WorldCat Record")</f>
        <v>WorldCat Record</v>
      </c>
      <c r="AX508" s="3" t="s">
        <v>5442</v>
      </c>
      <c r="AY508" s="3" t="s">
        <v>5443</v>
      </c>
      <c r="AZ508" s="3" t="s">
        <v>5444</v>
      </c>
      <c r="BA508" s="3" t="s">
        <v>5444</v>
      </c>
      <c r="BB508" s="3" t="s">
        <v>5451</v>
      </c>
      <c r="BC508" s="3" t="s">
        <v>77</v>
      </c>
      <c r="BD508" s="3" t="s">
        <v>78</v>
      </c>
      <c r="BE508" s="3" t="s">
        <v>5446</v>
      </c>
      <c r="BF508" s="3" t="s">
        <v>5451</v>
      </c>
      <c r="BG508" s="3" t="s">
        <v>5452</v>
      </c>
    </row>
    <row r="509" spans="1:59" ht="58" x14ac:dyDescent="0.35">
      <c r="A509" s="2" t="s">
        <v>59</v>
      </c>
      <c r="B509" s="2" t="s">
        <v>60</v>
      </c>
      <c r="C509" s="2" t="s">
        <v>5434</v>
      </c>
      <c r="D509" s="2" t="s">
        <v>5435</v>
      </c>
      <c r="E509" s="2" t="s">
        <v>5436</v>
      </c>
      <c r="F509" s="3" t="s">
        <v>490</v>
      </c>
      <c r="G509" s="3" t="s">
        <v>209</v>
      </c>
      <c r="I509" s="3" t="s">
        <v>209</v>
      </c>
      <c r="J509" s="3" t="s">
        <v>65</v>
      </c>
      <c r="K509" s="3" t="s">
        <v>66</v>
      </c>
      <c r="L509" s="2" t="s">
        <v>5437</v>
      </c>
      <c r="M509" s="2" t="s">
        <v>5438</v>
      </c>
      <c r="N509" s="3" t="s">
        <v>5439</v>
      </c>
      <c r="P509" s="3" t="s">
        <v>69</v>
      </c>
      <c r="R509" s="3" t="s">
        <v>71</v>
      </c>
      <c r="S509" s="4">
        <v>25</v>
      </c>
      <c r="T509" s="4">
        <v>75</v>
      </c>
      <c r="U509" s="5" t="s">
        <v>5450</v>
      </c>
      <c r="V509" s="5" t="s">
        <v>5441</v>
      </c>
      <c r="W509" s="5" t="s">
        <v>72</v>
      </c>
      <c r="X509" s="5" t="s">
        <v>72</v>
      </c>
      <c r="Y509" s="4">
        <v>605</v>
      </c>
      <c r="Z509" s="4">
        <v>36</v>
      </c>
      <c r="AA509" s="4">
        <v>44</v>
      </c>
      <c r="AB509" s="4">
        <v>3</v>
      </c>
      <c r="AC509" s="4">
        <v>7</v>
      </c>
      <c r="AD509" s="4">
        <v>93</v>
      </c>
      <c r="AE509" s="4">
        <v>133</v>
      </c>
      <c r="AF509" s="4">
        <v>1</v>
      </c>
      <c r="AG509" s="4">
        <v>5</v>
      </c>
      <c r="AH509" s="4">
        <v>77</v>
      </c>
      <c r="AI509" s="4">
        <v>109</v>
      </c>
      <c r="AJ509" s="4">
        <v>20</v>
      </c>
      <c r="AK509" s="4">
        <v>27</v>
      </c>
      <c r="AL509" s="4">
        <v>40</v>
      </c>
      <c r="AM509" s="4">
        <v>59</v>
      </c>
      <c r="AN509" s="4">
        <v>0</v>
      </c>
      <c r="AO509" s="4">
        <v>0</v>
      </c>
      <c r="AP509" s="4">
        <v>25</v>
      </c>
      <c r="AQ509" s="4">
        <v>31</v>
      </c>
      <c r="AR509" s="3" t="s">
        <v>65</v>
      </c>
      <c r="AS509" s="3" t="s">
        <v>65</v>
      </c>
      <c r="AT509" s="3" t="s">
        <v>209</v>
      </c>
      <c r="AU509" s="6" t="str">
        <f>HYPERLINK("http://catalog.hathitrust.org/Record/001111527","HathiTrust Record")</f>
        <v>HathiTrust Record</v>
      </c>
      <c r="AV509" s="6" t="str">
        <f>HYPERLINK("http://mcgill.on.worldcat.org/oclc/1134107","Catalog Record")</f>
        <v>Catalog Record</v>
      </c>
      <c r="AW509" s="6" t="str">
        <f>HYPERLINK("http://www.worldcat.org/oclc/1134107","WorldCat Record")</f>
        <v>WorldCat Record</v>
      </c>
      <c r="AX509" s="3" t="s">
        <v>5442</v>
      </c>
      <c r="AY509" s="3" t="s">
        <v>5443</v>
      </c>
      <c r="AZ509" s="3" t="s">
        <v>5444</v>
      </c>
      <c r="BA509" s="3" t="s">
        <v>5444</v>
      </c>
      <c r="BB509" s="3" t="s">
        <v>5453</v>
      </c>
      <c r="BC509" s="3" t="s">
        <v>77</v>
      </c>
      <c r="BD509" s="3" t="s">
        <v>78</v>
      </c>
      <c r="BE509" s="3" t="s">
        <v>5446</v>
      </c>
      <c r="BF509" s="3" t="s">
        <v>5453</v>
      </c>
      <c r="BG509" s="3" t="s">
        <v>5454</v>
      </c>
    </row>
    <row r="510" spans="1:59" ht="58" x14ac:dyDescent="0.35">
      <c r="A510" s="2" t="s">
        <v>59</v>
      </c>
      <c r="B510" s="2" t="s">
        <v>60</v>
      </c>
      <c r="C510" s="2" t="s">
        <v>5455</v>
      </c>
      <c r="D510" s="2" t="s">
        <v>5456</v>
      </c>
      <c r="E510" s="2" t="s">
        <v>5457</v>
      </c>
      <c r="G510" s="3" t="s">
        <v>65</v>
      </c>
      <c r="I510" s="3" t="s">
        <v>65</v>
      </c>
      <c r="J510" s="3" t="s">
        <v>65</v>
      </c>
      <c r="K510" s="3" t="s">
        <v>66</v>
      </c>
      <c r="L510" s="2" t="s">
        <v>5458</v>
      </c>
      <c r="M510" s="2" t="s">
        <v>5459</v>
      </c>
      <c r="N510" s="3" t="s">
        <v>1967</v>
      </c>
      <c r="P510" s="3" t="s">
        <v>69</v>
      </c>
      <c r="Q510" s="2" t="s">
        <v>5460</v>
      </c>
      <c r="R510" s="3" t="s">
        <v>71</v>
      </c>
      <c r="S510" s="4">
        <v>15</v>
      </c>
      <c r="T510" s="4">
        <v>15</v>
      </c>
      <c r="U510" s="5" t="s">
        <v>5272</v>
      </c>
      <c r="V510" s="5" t="s">
        <v>5272</v>
      </c>
      <c r="W510" s="5" t="s">
        <v>72</v>
      </c>
      <c r="X510" s="5" t="s">
        <v>72</v>
      </c>
      <c r="Y510" s="4">
        <v>324</v>
      </c>
      <c r="Z510" s="4">
        <v>24</v>
      </c>
      <c r="AA510" s="4">
        <v>25</v>
      </c>
      <c r="AB510" s="4">
        <v>2</v>
      </c>
      <c r="AC510" s="4">
        <v>3</v>
      </c>
      <c r="AD510" s="4">
        <v>112</v>
      </c>
      <c r="AE510" s="4">
        <v>113</v>
      </c>
      <c r="AF510" s="4">
        <v>1</v>
      </c>
      <c r="AG510" s="4">
        <v>2</v>
      </c>
      <c r="AH510" s="4">
        <v>99</v>
      </c>
      <c r="AI510" s="4">
        <v>99</v>
      </c>
      <c r="AJ510" s="4">
        <v>16</v>
      </c>
      <c r="AK510" s="4">
        <v>17</v>
      </c>
      <c r="AL510" s="4">
        <v>56</v>
      </c>
      <c r="AM510" s="4">
        <v>56</v>
      </c>
      <c r="AN510" s="4">
        <v>0</v>
      </c>
      <c r="AO510" s="4">
        <v>0</v>
      </c>
      <c r="AP510" s="4">
        <v>20</v>
      </c>
      <c r="AQ510" s="4">
        <v>20</v>
      </c>
      <c r="AR510" s="3" t="s">
        <v>65</v>
      </c>
      <c r="AS510" s="3" t="s">
        <v>65</v>
      </c>
      <c r="AT510" s="3" t="s">
        <v>65</v>
      </c>
      <c r="AV510" s="6" t="str">
        <f>HYPERLINK("http://mcgill.on.worldcat.org/oclc/50653894","Catalog Record")</f>
        <v>Catalog Record</v>
      </c>
      <c r="AW510" s="6" t="str">
        <f>HYPERLINK("http://www.worldcat.org/oclc/50653894","WorldCat Record")</f>
        <v>WorldCat Record</v>
      </c>
      <c r="AX510" s="3" t="s">
        <v>5461</v>
      </c>
      <c r="AY510" s="3" t="s">
        <v>5462</v>
      </c>
      <c r="AZ510" s="3" t="s">
        <v>5463</v>
      </c>
      <c r="BA510" s="3" t="s">
        <v>5463</v>
      </c>
      <c r="BB510" s="3" t="s">
        <v>5464</v>
      </c>
      <c r="BC510" s="3" t="s">
        <v>77</v>
      </c>
      <c r="BD510" s="3" t="s">
        <v>78</v>
      </c>
      <c r="BE510" s="3" t="s">
        <v>5465</v>
      </c>
      <c r="BF510" s="3" t="s">
        <v>5464</v>
      </c>
      <c r="BG510" s="3" t="s">
        <v>5466</v>
      </c>
    </row>
    <row r="511" spans="1:59" ht="58" x14ac:dyDescent="0.35">
      <c r="A511" s="2" t="s">
        <v>59</v>
      </c>
      <c r="B511" s="2" t="s">
        <v>60</v>
      </c>
      <c r="C511" s="2" t="s">
        <v>5467</v>
      </c>
      <c r="D511" s="2" t="s">
        <v>5468</v>
      </c>
      <c r="E511" s="2" t="s">
        <v>5469</v>
      </c>
      <c r="G511" s="3" t="s">
        <v>65</v>
      </c>
      <c r="I511" s="3" t="s">
        <v>65</v>
      </c>
      <c r="J511" s="3" t="s">
        <v>65</v>
      </c>
      <c r="K511" s="3" t="s">
        <v>66</v>
      </c>
      <c r="M511" s="2" t="s">
        <v>5470</v>
      </c>
      <c r="N511" s="3" t="s">
        <v>1151</v>
      </c>
      <c r="P511" s="3" t="s">
        <v>140</v>
      </c>
      <c r="Q511" s="2" t="s">
        <v>5471</v>
      </c>
      <c r="R511" s="3" t="s">
        <v>71</v>
      </c>
      <c r="S511" s="4">
        <v>12</v>
      </c>
      <c r="T511" s="4">
        <v>12</v>
      </c>
      <c r="U511" s="5" t="s">
        <v>5472</v>
      </c>
      <c r="V511" s="5" t="s">
        <v>5472</v>
      </c>
      <c r="W511" s="5" t="s">
        <v>72</v>
      </c>
      <c r="X511" s="5" t="s">
        <v>72</v>
      </c>
      <c r="Y511" s="4">
        <v>10</v>
      </c>
      <c r="Z511" s="4">
        <v>2</v>
      </c>
      <c r="AA511" s="4">
        <v>2</v>
      </c>
      <c r="AB511" s="4">
        <v>1</v>
      </c>
      <c r="AC511" s="4">
        <v>1</v>
      </c>
      <c r="AD511" s="4">
        <v>7</v>
      </c>
      <c r="AE511" s="4">
        <v>7</v>
      </c>
      <c r="AF511" s="4">
        <v>0</v>
      </c>
      <c r="AG511" s="4">
        <v>0</v>
      </c>
      <c r="AH511" s="4">
        <v>7</v>
      </c>
      <c r="AI511" s="4">
        <v>7</v>
      </c>
      <c r="AJ511" s="4">
        <v>0</v>
      </c>
      <c r="AK511" s="4">
        <v>0</v>
      </c>
      <c r="AL511" s="4">
        <v>3</v>
      </c>
      <c r="AM511" s="4">
        <v>3</v>
      </c>
      <c r="AN511" s="4">
        <v>0</v>
      </c>
      <c r="AO511" s="4">
        <v>0</v>
      </c>
      <c r="AP511" s="4">
        <v>0</v>
      </c>
      <c r="AQ511" s="4">
        <v>0</v>
      </c>
      <c r="AR511" s="3" t="s">
        <v>65</v>
      </c>
      <c r="AS511" s="3" t="s">
        <v>65</v>
      </c>
      <c r="AT511" s="3" t="s">
        <v>65</v>
      </c>
      <c r="AV511" s="6" t="str">
        <f>HYPERLINK("http://mcgill.on.worldcat.org/oclc/3605998","Catalog Record")</f>
        <v>Catalog Record</v>
      </c>
      <c r="AW511" s="6" t="str">
        <f>HYPERLINK("http://www.worldcat.org/oclc/3605998","WorldCat Record")</f>
        <v>WorldCat Record</v>
      </c>
      <c r="AX511" s="3" t="s">
        <v>5473</v>
      </c>
      <c r="AY511" s="3" t="s">
        <v>5474</v>
      </c>
      <c r="AZ511" s="3" t="s">
        <v>5475</v>
      </c>
      <c r="BA511" s="3" t="s">
        <v>5475</v>
      </c>
      <c r="BB511" s="3" t="s">
        <v>5476</v>
      </c>
      <c r="BC511" s="3" t="s">
        <v>77</v>
      </c>
      <c r="BD511" s="3" t="s">
        <v>78</v>
      </c>
      <c r="BF511" s="3" t="s">
        <v>5476</v>
      </c>
      <c r="BG511" s="3" t="s">
        <v>5477</v>
      </c>
    </row>
    <row r="512" spans="1:59" ht="58" x14ac:dyDescent="0.35">
      <c r="A512" s="2" t="s">
        <v>59</v>
      </c>
      <c r="B512" s="2" t="s">
        <v>60</v>
      </c>
      <c r="C512" s="2" t="s">
        <v>5478</v>
      </c>
      <c r="D512" s="2" t="s">
        <v>5479</v>
      </c>
      <c r="E512" s="2" t="s">
        <v>5480</v>
      </c>
      <c r="G512" s="3" t="s">
        <v>65</v>
      </c>
      <c r="I512" s="3" t="s">
        <v>65</v>
      </c>
      <c r="J512" s="3" t="s">
        <v>65</v>
      </c>
      <c r="K512" s="3" t="s">
        <v>66</v>
      </c>
      <c r="L512" s="2" t="s">
        <v>5481</v>
      </c>
      <c r="M512" s="2" t="s">
        <v>5482</v>
      </c>
      <c r="N512" s="3" t="s">
        <v>1835</v>
      </c>
      <c r="O512" s="2" t="s">
        <v>3829</v>
      </c>
      <c r="P512" s="3" t="s">
        <v>140</v>
      </c>
      <c r="Q512" s="2" t="s">
        <v>340</v>
      </c>
      <c r="R512" s="3" t="s">
        <v>71</v>
      </c>
      <c r="S512" s="4">
        <v>11</v>
      </c>
      <c r="T512" s="4">
        <v>11</v>
      </c>
      <c r="U512" s="5" t="s">
        <v>5472</v>
      </c>
      <c r="V512" s="5" t="s">
        <v>5472</v>
      </c>
      <c r="W512" s="5" t="s">
        <v>72</v>
      </c>
      <c r="X512" s="5" t="s">
        <v>72</v>
      </c>
      <c r="Y512" s="4">
        <v>7</v>
      </c>
      <c r="Z512" s="4">
        <v>1</v>
      </c>
      <c r="AA512" s="4">
        <v>4</v>
      </c>
      <c r="AB512" s="4">
        <v>1</v>
      </c>
      <c r="AC512" s="4">
        <v>1</v>
      </c>
      <c r="AD512" s="4">
        <v>1</v>
      </c>
      <c r="AE512" s="4">
        <v>9</v>
      </c>
      <c r="AF512" s="4">
        <v>0</v>
      </c>
      <c r="AG512" s="4">
        <v>0</v>
      </c>
      <c r="AH512" s="4">
        <v>1</v>
      </c>
      <c r="AI512" s="4">
        <v>9</v>
      </c>
      <c r="AJ512" s="4">
        <v>0</v>
      </c>
      <c r="AK512" s="4">
        <v>3</v>
      </c>
      <c r="AL512" s="4">
        <v>1</v>
      </c>
      <c r="AM512" s="4">
        <v>6</v>
      </c>
      <c r="AN512" s="4">
        <v>0</v>
      </c>
      <c r="AO512" s="4">
        <v>0</v>
      </c>
      <c r="AP512" s="4">
        <v>0</v>
      </c>
      <c r="AQ512" s="4">
        <v>3</v>
      </c>
      <c r="AR512" s="3" t="s">
        <v>65</v>
      </c>
      <c r="AS512" s="3" t="s">
        <v>65</v>
      </c>
      <c r="AT512" s="3" t="s">
        <v>65</v>
      </c>
      <c r="AV512" s="6" t="str">
        <f>HYPERLINK("http://mcgill.on.worldcat.org/oclc/427517809","Catalog Record")</f>
        <v>Catalog Record</v>
      </c>
      <c r="AW512" s="6" t="str">
        <f>HYPERLINK("http://www.worldcat.org/oclc/427517809","WorldCat Record")</f>
        <v>WorldCat Record</v>
      </c>
      <c r="AX512" s="3" t="s">
        <v>5483</v>
      </c>
      <c r="AY512" s="3" t="s">
        <v>5484</v>
      </c>
      <c r="AZ512" s="3" t="s">
        <v>5485</v>
      </c>
      <c r="BA512" s="3" t="s">
        <v>5485</v>
      </c>
      <c r="BB512" s="3" t="s">
        <v>5486</v>
      </c>
      <c r="BC512" s="3" t="s">
        <v>77</v>
      </c>
      <c r="BD512" s="3" t="s">
        <v>78</v>
      </c>
      <c r="BE512" s="3" t="s">
        <v>5487</v>
      </c>
      <c r="BF512" s="3" t="s">
        <v>5486</v>
      </c>
      <c r="BG512" s="3" t="s">
        <v>5488</v>
      </c>
    </row>
    <row r="513" spans="1:59" ht="58" x14ac:dyDescent="0.35">
      <c r="A513" s="2" t="s">
        <v>59</v>
      </c>
      <c r="B513" s="2" t="s">
        <v>60</v>
      </c>
      <c r="C513" s="2" t="s">
        <v>5489</v>
      </c>
      <c r="D513" s="2" t="s">
        <v>5490</v>
      </c>
      <c r="E513" s="2" t="s">
        <v>5491</v>
      </c>
      <c r="G513" s="3" t="s">
        <v>65</v>
      </c>
      <c r="I513" s="3" t="s">
        <v>65</v>
      </c>
      <c r="J513" s="3" t="s">
        <v>65</v>
      </c>
      <c r="K513" s="3" t="s">
        <v>66</v>
      </c>
      <c r="L513" s="2" t="s">
        <v>5492</v>
      </c>
      <c r="M513" s="2" t="s">
        <v>5493</v>
      </c>
      <c r="N513" s="3" t="s">
        <v>4688</v>
      </c>
      <c r="O513" s="2" t="s">
        <v>654</v>
      </c>
      <c r="P513" s="3" t="s">
        <v>140</v>
      </c>
      <c r="R513" s="3" t="s">
        <v>71</v>
      </c>
      <c r="S513" s="4">
        <v>53</v>
      </c>
      <c r="T513" s="4">
        <v>53</v>
      </c>
      <c r="U513" s="5" t="s">
        <v>5441</v>
      </c>
      <c r="V513" s="5" t="s">
        <v>5441</v>
      </c>
      <c r="W513" s="5" t="s">
        <v>72</v>
      </c>
      <c r="X513" s="5" t="s">
        <v>72</v>
      </c>
      <c r="Y513" s="4">
        <v>100</v>
      </c>
      <c r="Z513" s="4">
        <v>11</v>
      </c>
      <c r="AA513" s="4">
        <v>12</v>
      </c>
      <c r="AB513" s="4">
        <v>1</v>
      </c>
      <c r="AC513" s="4">
        <v>1</v>
      </c>
      <c r="AD513" s="4">
        <v>40</v>
      </c>
      <c r="AE513" s="4">
        <v>41</v>
      </c>
      <c r="AF513" s="4">
        <v>0</v>
      </c>
      <c r="AG513" s="4">
        <v>0</v>
      </c>
      <c r="AH513" s="4">
        <v>37</v>
      </c>
      <c r="AI513" s="4">
        <v>38</v>
      </c>
      <c r="AJ513" s="4">
        <v>7</v>
      </c>
      <c r="AK513" s="4">
        <v>8</v>
      </c>
      <c r="AL513" s="4">
        <v>28</v>
      </c>
      <c r="AM513" s="4">
        <v>28</v>
      </c>
      <c r="AN513" s="4">
        <v>0</v>
      </c>
      <c r="AO513" s="4">
        <v>0</v>
      </c>
      <c r="AP513" s="4">
        <v>8</v>
      </c>
      <c r="AQ513" s="4">
        <v>9</v>
      </c>
      <c r="AR513" s="3" t="s">
        <v>65</v>
      </c>
      <c r="AS513" s="3" t="s">
        <v>65</v>
      </c>
      <c r="AT513" s="3" t="s">
        <v>209</v>
      </c>
      <c r="AU513" s="6" t="str">
        <f>HYPERLINK("http://catalog.hathitrust.org/Record/000446636","HathiTrust Record")</f>
        <v>HathiTrust Record</v>
      </c>
      <c r="AV513" s="6" t="str">
        <f>HYPERLINK("http://mcgill.on.worldcat.org/oclc/13643672","Catalog Record")</f>
        <v>Catalog Record</v>
      </c>
      <c r="AW513" s="6" t="str">
        <f>HYPERLINK("http://www.worldcat.org/oclc/13643672","WorldCat Record")</f>
        <v>WorldCat Record</v>
      </c>
      <c r="AX513" s="3" t="s">
        <v>5494</v>
      </c>
      <c r="AY513" s="3" t="s">
        <v>5495</v>
      </c>
      <c r="AZ513" s="3" t="s">
        <v>5496</v>
      </c>
      <c r="BA513" s="3" t="s">
        <v>5496</v>
      </c>
      <c r="BB513" s="3" t="s">
        <v>5497</v>
      </c>
      <c r="BC513" s="3" t="s">
        <v>77</v>
      </c>
      <c r="BD513" s="3" t="s">
        <v>78</v>
      </c>
      <c r="BF513" s="3" t="s">
        <v>5497</v>
      </c>
      <c r="BG513" s="3" t="s">
        <v>5498</v>
      </c>
    </row>
    <row r="514" spans="1:59" ht="58" x14ac:dyDescent="0.35">
      <c r="A514" s="2" t="s">
        <v>59</v>
      </c>
      <c r="B514" s="2" t="s">
        <v>60</v>
      </c>
      <c r="C514" s="2" t="s">
        <v>5499</v>
      </c>
      <c r="D514" s="2" t="s">
        <v>5500</v>
      </c>
      <c r="E514" s="2" t="s">
        <v>5501</v>
      </c>
      <c r="G514" s="3" t="s">
        <v>65</v>
      </c>
      <c r="I514" s="3" t="s">
        <v>65</v>
      </c>
      <c r="J514" s="3" t="s">
        <v>65</v>
      </c>
      <c r="K514" s="3" t="s">
        <v>66</v>
      </c>
      <c r="L514" s="2" t="s">
        <v>5502</v>
      </c>
      <c r="M514" s="2" t="s">
        <v>5503</v>
      </c>
      <c r="N514" s="3" t="s">
        <v>2377</v>
      </c>
      <c r="P514" s="3" t="s">
        <v>69</v>
      </c>
      <c r="R514" s="3" t="s">
        <v>71</v>
      </c>
      <c r="S514" s="4">
        <v>54</v>
      </c>
      <c r="T514" s="4">
        <v>54</v>
      </c>
      <c r="U514" s="5" t="s">
        <v>5301</v>
      </c>
      <c r="V514" s="5" t="s">
        <v>5301</v>
      </c>
      <c r="W514" s="5" t="s">
        <v>72</v>
      </c>
      <c r="X514" s="5" t="s">
        <v>72</v>
      </c>
      <c r="Y514" s="4">
        <v>288</v>
      </c>
      <c r="Z514" s="4">
        <v>28</v>
      </c>
      <c r="AA514" s="4">
        <v>31</v>
      </c>
      <c r="AB514" s="4">
        <v>2</v>
      </c>
      <c r="AC514" s="4">
        <v>4</v>
      </c>
      <c r="AD514" s="4">
        <v>91</v>
      </c>
      <c r="AE514" s="4">
        <v>94</v>
      </c>
      <c r="AF514" s="4">
        <v>1</v>
      </c>
      <c r="AG514" s="4">
        <v>2</v>
      </c>
      <c r="AH514" s="4">
        <v>82</v>
      </c>
      <c r="AI514" s="4">
        <v>83</v>
      </c>
      <c r="AJ514" s="4">
        <v>16</v>
      </c>
      <c r="AK514" s="4">
        <v>18</v>
      </c>
      <c r="AL514" s="4">
        <v>46</v>
      </c>
      <c r="AM514" s="4">
        <v>47</v>
      </c>
      <c r="AN514" s="4">
        <v>0</v>
      </c>
      <c r="AO514" s="4">
        <v>0</v>
      </c>
      <c r="AP514" s="4">
        <v>19</v>
      </c>
      <c r="AQ514" s="4">
        <v>21</v>
      </c>
      <c r="AR514" s="3" t="s">
        <v>65</v>
      </c>
      <c r="AS514" s="3" t="s">
        <v>65</v>
      </c>
      <c r="AT514" s="3" t="s">
        <v>65</v>
      </c>
      <c r="AV514" s="6" t="str">
        <f>HYPERLINK("http://mcgill.on.worldcat.org/oclc/18441928","Catalog Record")</f>
        <v>Catalog Record</v>
      </c>
      <c r="AW514" s="6" t="str">
        <f>HYPERLINK("http://www.worldcat.org/oclc/18441928","WorldCat Record")</f>
        <v>WorldCat Record</v>
      </c>
      <c r="AX514" s="3" t="s">
        <v>5504</v>
      </c>
      <c r="AY514" s="3" t="s">
        <v>5505</v>
      </c>
      <c r="AZ514" s="3" t="s">
        <v>5506</v>
      </c>
      <c r="BA514" s="3" t="s">
        <v>5506</v>
      </c>
      <c r="BB514" s="3" t="s">
        <v>5507</v>
      </c>
      <c r="BC514" s="3" t="s">
        <v>77</v>
      </c>
      <c r="BD514" s="3" t="s">
        <v>106</v>
      </c>
      <c r="BE514" s="3" t="s">
        <v>5508</v>
      </c>
      <c r="BF514" s="3" t="s">
        <v>5507</v>
      </c>
      <c r="BG514" s="3" t="s">
        <v>5509</v>
      </c>
    </row>
    <row r="515" spans="1:59" ht="58" x14ac:dyDescent="0.35">
      <c r="A515" s="2" t="s">
        <v>59</v>
      </c>
      <c r="B515" s="2" t="s">
        <v>60</v>
      </c>
      <c r="C515" s="2" t="s">
        <v>5510</v>
      </c>
      <c r="D515" s="2" t="s">
        <v>5511</v>
      </c>
      <c r="E515" s="2" t="s">
        <v>5512</v>
      </c>
      <c r="G515" s="3" t="s">
        <v>65</v>
      </c>
      <c r="I515" s="3" t="s">
        <v>65</v>
      </c>
      <c r="J515" s="3" t="s">
        <v>65</v>
      </c>
      <c r="K515" s="3" t="s">
        <v>66</v>
      </c>
      <c r="M515" s="2" t="s">
        <v>5513</v>
      </c>
      <c r="N515" s="3" t="s">
        <v>176</v>
      </c>
      <c r="P515" s="3" t="s">
        <v>69</v>
      </c>
      <c r="Q515" s="2" t="s">
        <v>5514</v>
      </c>
      <c r="R515" s="3" t="s">
        <v>71</v>
      </c>
      <c r="S515" s="4">
        <v>11</v>
      </c>
      <c r="T515" s="4">
        <v>11</v>
      </c>
      <c r="U515" s="5" t="s">
        <v>5515</v>
      </c>
      <c r="V515" s="5" t="s">
        <v>5515</v>
      </c>
      <c r="W515" s="5" t="s">
        <v>72</v>
      </c>
      <c r="X515" s="5" t="s">
        <v>72</v>
      </c>
      <c r="Y515" s="4">
        <v>136</v>
      </c>
      <c r="Z515" s="4">
        <v>14</v>
      </c>
      <c r="AA515" s="4">
        <v>19</v>
      </c>
      <c r="AB515" s="4">
        <v>1</v>
      </c>
      <c r="AC515" s="4">
        <v>5</v>
      </c>
      <c r="AD515" s="4">
        <v>51</v>
      </c>
      <c r="AE515" s="4">
        <v>68</v>
      </c>
      <c r="AF515" s="4">
        <v>0</v>
      </c>
      <c r="AG515" s="4">
        <v>1</v>
      </c>
      <c r="AH515" s="4">
        <v>45</v>
      </c>
      <c r="AI515" s="4">
        <v>61</v>
      </c>
      <c r="AJ515" s="4">
        <v>10</v>
      </c>
      <c r="AK515" s="4">
        <v>11</v>
      </c>
      <c r="AL515" s="4">
        <v>28</v>
      </c>
      <c r="AM515" s="4">
        <v>36</v>
      </c>
      <c r="AN515" s="4">
        <v>0</v>
      </c>
      <c r="AO515" s="4">
        <v>0</v>
      </c>
      <c r="AP515" s="4">
        <v>11</v>
      </c>
      <c r="AQ515" s="4">
        <v>13</v>
      </c>
      <c r="AR515" s="3" t="s">
        <v>65</v>
      </c>
      <c r="AS515" s="3" t="s">
        <v>65</v>
      </c>
      <c r="AT515" s="3" t="s">
        <v>65</v>
      </c>
      <c r="AV515" s="6" t="str">
        <f>HYPERLINK("http://mcgill.on.worldcat.org/oclc/877366486","Catalog Record")</f>
        <v>Catalog Record</v>
      </c>
      <c r="AW515" s="6" t="str">
        <f>HYPERLINK("http://www.worldcat.org/oclc/877366486","WorldCat Record")</f>
        <v>WorldCat Record</v>
      </c>
      <c r="AX515" s="3" t="s">
        <v>5516</v>
      </c>
      <c r="AY515" s="3" t="s">
        <v>5517</v>
      </c>
      <c r="AZ515" s="3" t="s">
        <v>5518</v>
      </c>
      <c r="BA515" s="3" t="s">
        <v>5518</v>
      </c>
      <c r="BB515" s="3" t="s">
        <v>5519</v>
      </c>
      <c r="BC515" s="3" t="s">
        <v>77</v>
      </c>
      <c r="BD515" s="3" t="s">
        <v>78</v>
      </c>
      <c r="BE515" s="3" t="s">
        <v>5520</v>
      </c>
      <c r="BF515" s="3" t="s">
        <v>5519</v>
      </c>
      <c r="BG515" s="3" t="s">
        <v>5521</v>
      </c>
    </row>
    <row r="516" spans="1:59" ht="58" x14ac:dyDescent="0.35">
      <c r="A516" s="2" t="s">
        <v>59</v>
      </c>
      <c r="B516" s="2" t="s">
        <v>60</v>
      </c>
      <c r="C516" s="2" t="s">
        <v>5522</v>
      </c>
      <c r="D516" s="2" t="s">
        <v>5523</v>
      </c>
      <c r="E516" s="2" t="s">
        <v>5524</v>
      </c>
      <c r="G516" s="3" t="s">
        <v>65</v>
      </c>
      <c r="I516" s="3" t="s">
        <v>65</v>
      </c>
      <c r="J516" s="3" t="s">
        <v>65</v>
      </c>
      <c r="K516" s="3" t="s">
        <v>66</v>
      </c>
      <c r="L516" s="2" t="s">
        <v>5525</v>
      </c>
      <c r="M516" s="2" t="s">
        <v>5526</v>
      </c>
      <c r="N516" s="3" t="s">
        <v>364</v>
      </c>
      <c r="P516" s="3" t="s">
        <v>69</v>
      </c>
      <c r="R516" s="3" t="s">
        <v>71</v>
      </c>
      <c r="S516" s="4">
        <v>21</v>
      </c>
      <c r="T516" s="4">
        <v>21</v>
      </c>
      <c r="U516" s="5" t="s">
        <v>5177</v>
      </c>
      <c r="V516" s="5" t="s">
        <v>5177</v>
      </c>
      <c r="W516" s="5" t="s">
        <v>72</v>
      </c>
      <c r="X516" s="5" t="s">
        <v>72</v>
      </c>
      <c r="Y516" s="4">
        <v>169</v>
      </c>
      <c r="Z516" s="4">
        <v>29</v>
      </c>
      <c r="AA516" s="4">
        <v>79</v>
      </c>
      <c r="AB516" s="4">
        <v>4</v>
      </c>
      <c r="AC516" s="4">
        <v>19</v>
      </c>
      <c r="AD516" s="4">
        <v>31</v>
      </c>
      <c r="AE516" s="4">
        <v>130</v>
      </c>
      <c r="AF516" s="4">
        <v>1</v>
      </c>
      <c r="AG516" s="4">
        <v>8</v>
      </c>
      <c r="AH516" s="4">
        <v>21</v>
      </c>
      <c r="AI516" s="4">
        <v>89</v>
      </c>
      <c r="AJ516" s="4">
        <v>13</v>
      </c>
      <c r="AK516" s="4">
        <v>26</v>
      </c>
      <c r="AL516" s="4">
        <v>8</v>
      </c>
      <c r="AM516" s="4">
        <v>43</v>
      </c>
      <c r="AN516" s="4">
        <v>0</v>
      </c>
      <c r="AO516" s="4">
        <v>0</v>
      </c>
      <c r="AP516" s="4">
        <v>16</v>
      </c>
      <c r="AQ516" s="4">
        <v>50</v>
      </c>
      <c r="AR516" s="3" t="s">
        <v>65</v>
      </c>
      <c r="AS516" s="3" t="s">
        <v>65</v>
      </c>
      <c r="AT516" s="3" t="s">
        <v>65</v>
      </c>
      <c r="AV516" s="6" t="str">
        <f>HYPERLINK("http://mcgill.on.worldcat.org/oclc/123144024","Catalog Record")</f>
        <v>Catalog Record</v>
      </c>
      <c r="AW516" s="6" t="str">
        <f>HYPERLINK("http://www.worldcat.org/oclc/123144024","WorldCat Record")</f>
        <v>WorldCat Record</v>
      </c>
      <c r="AX516" s="3" t="s">
        <v>5527</v>
      </c>
      <c r="AY516" s="3" t="s">
        <v>5528</v>
      </c>
      <c r="AZ516" s="3" t="s">
        <v>5529</v>
      </c>
      <c r="BA516" s="3" t="s">
        <v>5529</v>
      </c>
      <c r="BB516" s="3" t="s">
        <v>5530</v>
      </c>
      <c r="BC516" s="3" t="s">
        <v>77</v>
      </c>
      <c r="BD516" s="3" t="s">
        <v>106</v>
      </c>
      <c r="BE516" s="3" t="s">
        <v>5531</v>
      </c>
      <c r="BF516" s="3" t="s">
        <v>5530</v>
      </c>
      <c r="BG516" s="3" t="s">
        <v>5532</v>
      </c>
    </row>
    <row r="517" spans="1:59" ht="58" x14ac:dyDescent="0.35">
      <c r="A517" s="2" t="s">
        <v>59</v>
      </c>
      <c r="B517" s="2" t="s">
        <v>60</v>
      </c>
      <c r="C517" s="2" t="s">
        <v>5533</v>
      </c>
      <c r="D517" s="2" t="s">
        <v>5534</v>
      </c>
      <c r="E517" s="2" t="s">
        <v>5535</v>
      </c>
      <c r="G517" s="3" t="s">
        <v>65</v>
      </c>
      <c r="I517" s="3" t="s">
        <v>65</v>
      </c>
      <c r="J517" s="3" t="s">
        <v>65</v>
      </c>
      <c r="K517" s="3" t="s">
        <v>66</v>
      </c>
      <c r="L517" s="2" t="s">
        <v>5525</v>
      </c>
      <c r="M517" s="2" t="s">
        <v>5536</v>
      </c>
      <c r="N517" s="3" t="s">
        <v>1932</v>
      </c>
      <c r="P517" s="3" t="s">
        <v>69</v>
      </c>
      <c r="R517" s="3" t="s">
        <v>71</v>
      </c>
      <c r="S517" s="4">
        <v>59</v>
      </c>
      <c r="T517" s="4">
        <v>59</v>
      </c>
      <c r="U517" s="5" t="s">
        <v>5537</v>
      </c>
      <c r="V517" s="5" t="s">
        <v>5537</v>
      </c>
      <c r="W517" s="5" t="s">
        <v>72</v>
      </c>
      <c r="X517" s="5" t="s">
        <v>72</v>
      </c>
      <c r="Y517" s="4">
        <v>717</v>
      </c>
      <c r="Z517" s="4">
        <v>40</v>
      </c>
      <c r="AA517" s="4">
        <v>80</v>
      </c>
      <c r="AB517" s="4">
        <v>4</v>
      </c>
      <c r="AC517" s="4">
        <v>19</v>
      </c>
      <c r="AD517" s="4">
        <v>110</v>
      </c>
      <c r="AE517" s="4">
        <v>140</v>
      </c>
      <c r="AF517" s="4">
        <v>2</v>
      </c>
      <c r="AG517" s="4">
        <v>9</v>
      </c>
      <c r="AH517" s="4">
        <v>90</v>
      </c>
      <c r="AI517" s="4">
        <v>95</v>
      </c>
      <c r="AJ517" s="4">
        <v>18</v>
      </c>
      <c r="AK517" s="4">
        <v>27</v>
      </c>
      <c r="AL517" s="4">
        <v>46</v>
      </c>
      <c r="AM517" s="4">
        <v>47</v>
      </c>
      <c r="AN517" s="4">
        <v>0</v>
      </c>
      <c r="AO517" s="4">
        <v>0</v>
      </c>
      <c r="AP517" s="4">
        <v>27</v>
      </c>
      <c r="AQ517" s="4">
        <v>54</v>
      </c>
      <c r="AR517" s="3" t="s">
        <v>65</v>
      </c>
      <c r="AS517" s="3" t="s">
        <v>65</v>
      </c>
      <c r="AT517" s="3" t="s">
        <v>65</v>
      </c>
      <c r="AV517" s="6" t="str">
        <f>HYPERLINK("http://mcgill.on.worldcat.org/oclc/27976194","Catalog Record")</f>
        <v>Catalog Record</v>
      </c>
      <c r="AW517" s="6" t="str">
        <f>HYPERLINK("http://www.worldcat.org/oclc/27976194","WorldCat Record")</f>
        <v>WorldCat Record</v>
      </c>
      <c r="AX517" s="3" t="s">
        <v>5538</v>
      </c>
      <c r="AY517" s="3" t="s">
        <v>5539</v>
      </c>
      <c r="AZ517" s="3" t="s">
        <v>5540</v>
      </c>
      <c r="BA517" s="3" t="s">
        <v>5540</v>
      </c>
      <c r="BB517" s="3" t="s">
        <v>5541</v>
      </c>
      <c r="BC517" s="3" t="s">
        <v>77</v>
      </c>
      <c r="BD517" s="3" t="s">
        <v>106</v>
      </c>
      <c r="BE517" s="3" t="s">
        <v>5542</v>
      </c>
      <c r="BF517" s="3" t="s">
        <v>5541</v>
      </c>
      <c r="BG517" s="3" t="s">
        <v>5543</v>
      </c>
    </row>
    <row r="518" spans="1:59" ht="58" x14ac:dyDescent="0.35">
      <c r="A518" s="2" t="s">
        <v>59</v>
      </c>
      <c r="B518" s="2" t="s">
        <v>60</v>
      </c>
      <c r="C518" s="2" t="s">
        <v>5544</v>
      </c>
      <c r="D518" s="2" t="s">
        <v>5545</v>
      </c>
      <c r="E518" s="2" t="s">
        <v>5546</v>
      </c>
      <c r="G518" s="3" t="s">
        <v>65</v>
      </c>
      <c r="I518" s="3" t="s">
        <v>65</v>
      </c>
      <c r="J518" s="3" t="s">
        <v>65</v>
      </c>
      <c r="K518" s="3" t="s">
        <v>66</v>
      </c>
      <c r="M518" s="2" t="s">
        <v>5547</v>
      </c>
      <c r="N518" s="3" t="s">
        <v>392</v>
      </c>
      <c r="P518" s="3" t="s">
        <v>69</v>
      </c>
      <c r="Q518" s="2" t="s">
        <v>5548</v>
      </c>
      <c r="R518" s="3" t="s">
        <v>71</v>
      </c>
      <c r="S518" s="4">
        <v>35</v>
      </c>
      <c r="T518" s="4">
        <v>35</v>
      </c>
      <c r="U518" s="5" t="s">
        <v>5084</v>
      </c>
      <c r="V518" s="5" t="s">
        <v>5084</v>
      </c>
      <c r="W518" s="5" t="s">
        <v>72</v>
      </c>
      <c r="X518" s="5" t="s">
        <v>72</v>
      </c>
      <c r="Y518" s="4">
        <v>208</v>
      </c>
      <c r="Z518" s="4">
        <v>35</v>
      </c>
      <c r="AA518" s="4">
        <v>36</v>
      </c>
      <c r="AB518" s="4">
        <v>4</v>
      </c>
      <c r="AC518" s="4">
        <v>5</v>
      </c>
      <c r="AD518" s="4">
        <v>84</v>
      </c>
      <c r="AE518" s="4">
        <v>85</v>
      </c>
      <c r="AF518" s="4">
        <v>2</v>
      </c>
      <c r="AG518" s="4">
        <v>3</v>
      </c>
      <c r="AH518" s="4">
        <v>70</v>
      </c>
      <c r="AI518" s="4">
        <v>71</v>
      </c>
      <c r="AJ518" s="4">
        <v>19</v>
      </c>
      <c r="AK518" s="4">
        <v>20</v>
      </c>
      <c r="AL518" s="4">
        <v>44</v>
      </c>
      <c r="AM518" s="4">
        <v>44</v>
      </c>
      <c r="AN518" s="4">
        <v>0</v>
      </c>
      <c r="AO518" s="4">
        <v>0</v>
      </c>
      <c r="AP518" s="4">
        <v>23</v>
      </c>
      <c r="AQ518" s="4">
        <v>24</v>
      </c>
      <c r="AR518" s="3" t="s">
        <v>209</v>
      </c>
      <c r="AS518" s="3" t="s">
        <v>65</v>
      </c>
      <c r="AT518" s="3" t="s">
        <v>209</v>
      </c>
      <c r="AU518" s="6" t="str">
        <f>HYPERLINK("http://catalog.hathitrust.org/Record/001818561","HathiTrust Record")</f>
        <v>HathiTrust Record</v>
      </c>
      <c r="AV518" s="6" t="str">
        <f>HYPERLINK("http://mcgill.on.worldcat.org/oclc/18018423","Catalog Record")</f>
        <v>Catalog Record</v>
      </c>
      <c r="AW518" s="6" t="str">
        <f>HYPERLINK("http://www.worldcat.org/oclc/18018423","WorldCat Record")</f>
        <v>WorldCat Record</v>
      </c>
      <c r="AX518" s="3" t="s">
        <v>5549</v>
      </c>
      <c r="AY518" s="3" t="s">
        <v>5550</v>
      </c>
      <c r="AZ518" s="3" t="s">
        <v>5551</v>
      </c>
      <c r="BA518" s="3" t="s">
        <v>5551</v>
      </c>
      <c r="BB518" s="3" t="s">
        <v>5552</v>
      </c>
      <c r="BC518" s="3" t="s">
        <v>77</v>
      </c>
      <c r="BD518" s="3" t="s">
        <v>78</v>
      </c>
      <c r="BE518" s="3" t="s">
        <v>5553</v>
      </c>
      <c r="BF518" s="3" t="s">
        <v>5552</v>
      </c>
      <c r="BG518" s="3" t="s">
        <v>5554</v>
      </c>
    </row>
    <row r="519" spans="1:59" ht="58" x14ac:dyDescent="0.35">
      <c r="A519" s="2" t="s">
        <v>59</v>
      </c>
      <c r="B519" s="2" t="s">
        <v>60</v>
      </c>
      <c r="C519" s="2" t="s">
        <v>5555</v>
      </c>
      <c r="D519" s="2" t="s">
        <v>5556</v>
      </c>
      <c r="E519" s="2" t="s">
        <v>5557</v>
      </c>
      <c r="G519" s="3" t="s">
        <v>65</v>
      </c>
      <c r="I519" s="3" t="s">
        <v>65</v>
      </c>
      <c r="J519" s="3" t="s">
        <v>65</v>
      </c>
      <c r="K519" s="3" t="s">
        <v>66</v>
      </c>
      <c r="L519" s="2" t="s">
        <v>5558</v>
      </c>
      <c r="M519" s="2" t="s">
        <v>5559</v>
      </c>
      <c r="N519" s="3" t="s">
        <v>5560</v>
      </c>
      <c r="P519" s="3" t="s">
        <v>69</v>
      </c>
      <c r="Q519" s="2" t="s">
        <v>5561</v>
      </c>
      <c r="R519" s="3" t="s">
        <v>71</v>
      </c>
      <c r="S519" s="4">
        <v>41</v>
      </c>
      <c r="T519" s="4">
        <v>41</v>
      </c>
      <c r="U519" s="5" t="s">
        <v>5562</v>
      </c>
      <c r="V519" s="5" t="s">
        <v>5562</v>
      </c>
      <c r="W519" s="5" t="s">
        <v>72</v>
      </c>
      <c r="X519" s="5" t="s">
        <v>72</v>
      </c>
      <c r="Y519" s="4">
        <v>151</v>
      </c>
      <c r="Z519" s="4">
        <v>5</v>
      </c>
      <c r="AA519" s="4">
        <v>20</v>
      </c>
      <c r="AB519" s="4">
        <v>1</v>
      </c>
      <c r="AC519" s="4">
        <v>1</v>
      </c>
      <c r="AD519" s="4">
        <v>50</v>
      </c>
      <c r="AE519" s="4">
        <v>59</v>
      </c>
      <c r="AF519" s="4">
        <v>0</v>
      </c>
      <c r="AG519" s="4">
        <v>0</v>
      </c>
      <c r="AH519" s="4">
        <v>47</v>
      </c>
      <c r="AI519" s="4">
        <v>52</v>
      </c>
      <c r="AJ519" s="4">
        <v>3</v>
      </c>
      <c r="AK519" s="4">
        <v>6</v>
      </c>
      <c r="AL519" s="4">
        <v>32</v>
      </c>
      <c r="AM519" s="4">
        <v>34</v>
      </c>
      <c r="AN519" s="4">
        <v>0</v>
      </c>
      <c r="AO519" s="4">
        <v>0</v>
      </c>
      <c r="AP519" s="4">
        <v>3</v>
      </c>
      <c r="AQ519" s="4">
        <v>9</v>
      </c>
      <c r="AR519" s="3" t="s">
        <v>65</v>
      </c>
      <c r="AS519" s="3" t="s">
        <v>209</v>
      </c>
      <c r="AT519" s="3" t="s">
        <v>65</v>
      </c>
      <c r="AU519" s="6" t="str">
        <f>HYPERLINK("http://catalog.hathitrust.org/Record/001015693","HathiTrust Record")</f>
        <v>HathiTrust Record</v>
      </c>
      <c r="AV519" s="6" t="str">
        <f>HYPERLINK("http://mcgill.on.worldcat.org/oclc/2203608","Catalog Record")</f>
        <v>Catalog Record</v>
      </c>
      <c r="AW519" s="6" t="str">
        <f>HYPERLINK("http://www.worldcat.org/oclc/2203608","WorldCat Record")</f>
        <v>WorldCat Record</v>
      </c>
      <c r="AX519" s="3" t="s">
        <v>5563</v>
      </c>
      <c r="AY519" s="3" t="s">
        <v>5564</v>
      </c>
      <c r="AZ519" s="3" t="s">
        <v>5565</v>
      </c>
      <c r="BA519" s="3" t="s">
        <v>5565</v>
      </c>
      <c r="BB519" s="3" t="s">
        <v>5566</v>
      </c>
      <c r="BC519" s="3" t="s">
        <v>5567</v>
      </c>
      <c r="BD519" s="3" t="s">
        <v>78</v>
      </c>
      <c r="BF519" s="3" t="s">
        <v>5566</v>
      </c>
      <c r="BG519" s="3" t="s">
        <v>5568</v>
      </c>
    </row>
    <row r="520" spans="1:59" ht="58" x14ac:dyDescent="0.35">
      <c r="A520" s="2" t="s">
        <v>59</v>
      </c>
      <c r="B520" s="2" t="s">
        <v>60</v>
      </c>
      <c r="C520" s="2" t="s">
        <v>5569</v>
      </c>
      <c r="D520" s="2" t="s">
        <v>5570</v>
      </c>
      <c r="E520" s="2" t="s">
        <v>5571</v>
      </c>
      <c r="G520" s="3" t="s">
        <v>65</v>
      </c>
      <c r="I520" s="3" t="s">
        <v>65</v>
      </c>
      <c r="J520" s="3" t="s">
        <v>65</v>
      </c>
      <c r="K520" s="3" t="s">
        <v>66</v>
      </c>
      <c r="M520" s="2" t="s">
        <v>5572</v>
      </c>
      <c r="N520" s="3" t="s">
        <v>247</v>
      </c>
      <c r="P520" s="3" t="s">
        <v>69</v>
      </c>
      <c r="R520" s="3" t="s">
        <v>71</v>
      </c>
      <c r="S520" s="4">
        <v>34</v>
      </c>
      <c r="T520" s="4">
        <v>34</v>
      </c>
      <c r="U520" s="5" t="s">
        <v>5367</v>
      </c>
      <c r="V520" s="5" t="s">
        <v>5367</v>
      </c>
      <c r="W520" s="5" t="s">
        <v>72</v>
      </c>
      <c r="X520" s="5" t="s">
        <v>72</v>
      </c>
      <c r="Y520" s="4">
        <v>268</v>
      </c>
      <c r="Z520" s="4">
        <v>22</v>
      </c>
      <c r="AA520" s="4">
        <v>33</v>
      </c>
      <c r="AB520" s="4">
        <v>2</v>
      </c>
      <c r="AC520" s="4">
        <v>4</v>
      </c>
      <c r="AD520" s="4">
        <v>88</v>
      </c>
      <c r="AE520" s="4">
        <v>98</v>
      </c>
      <c r="AF520" s="4">
        <v>1</v>
      </c>
      <c r="AG520" s="4">
        <v>2</v>
      </c>
      <c r="AH520" s="4">
        <v>77</v>
      </c>
      <c r="AI520" s="4">
        <v>84</v>
      </c>
      <c r="AJ520" s="4">
        <v>13</v>
      </c>
      <c r="AK520" s="4">
        <v>14</v>
      </c>
      <c r="AL520" s="4">
        <v>45</v>
      </c>
      <c r="AM520" s="4">
        <v>48</v>
      </c>
      <c r="AN520" s="4">
        <v>0</v>
      </c>
      <c r="AO520" s="4">
        <v>0</v>
      </c>
      <c r="AP520" s="4">
        <v>19</v>
      </c>
      <c r="AQ520" s="4">
        <v>21</v>
      </c>
      <c r="AR520" s="3" t="s">
        <v>65</v>
      </c>
      <c r="AS520" s="3" t="s">
        <v>65</v>
      </c>
      <c r="AT520" s="3" t="s">
        <v>209</v>
      </c>
      <c r="AU520" s="6" t="str">
        <f>HYPERLINK("http://catalog.hathitrust.org/Record/002738605","HathiTrust Record")</f>
        <v>HathiTrust Record</v>
      </c>
      <c r="AV520" s="6" t="str">
        <f>HYPERLINK("http://mcgill.on.worldcat.org/oclc/28917511","Catalog Record")</f>
        <v>Catalog Record</v>
      </c>
      <c r="AW520" s="6" t="str">
        <f>HYPERLINK("http://www.worldcat.org/oclc/28917511","WorldCat Record")</f>
        <v>WorldCat Record</v>
      </c>
      <c r="AX520" s="3" t="s">
        <v>5573</v>
      </c>
      <c r="AY520" s="3" t="s">
        <v>5574</v>
      </c>
      <c r="AZ520" s="3" t="s">
        <v>5575</v>
      </c>
      <c r="BA520" s="3" t="s">
        <v>5575</v>
      </c>
      <c r="BB520" s="3" t="s">
        <v>5576</v>
      </c>
      <c r="BC520" s="3" t="s">
        <v>77</v>
      </c>
      <c r="BD520" s="3" t="s">
        <v>78</v>
      </c>
      <c r="BE520" s="3" t="s">
        <v>5577</v>
      </c>
      <c r="BF520" s="3" t="s">
        <v>5576</v>
      </c>
      <c r="BG520" s="3" t="s">
        <v>5578</v>
      </c>
    </row>
    <row r="521" spans="1:59" ht="58" x14ac:dyDescent="0.35">
      <c r="A521" s="2" t="s">
        <v>59</v>
      </c>
      <c r="B521" s="2" t="s">
        <v>60</v>
      </c>
      <c r="C521" s="2" t="s">
        <v>5579</v>
      </c>
      <c r="D521" s="2" t="s">
        <v>5580</v>
      </c>
      <c r="E521" s="2" t="s">
        <v>5581</v>
      </c>
      <c r="G521" s="3" t="s">
        <v>65</v>
      </c>
      <c r="I521" s="3" t="s">
        <v>65</v>
      </c>
      <c r="J521" s="3" t="s">
        <v>65</v>
      </c>
      <c r="K521" s="3" t="s">
        <v>66</v>
      </c>
      <c r="L521" s="2" t="s">
        <v>5582</v>
      </c>
      <c r="M521" s="2" t="s">
        <v>5583</v>
      </c>
      <c r="N521" s="3" t="s">
        <v>756</v>
      </c>
      <c r="P521" s="3" t="s">
        <v>140</v>
      </c>
      <c r="Q521" s="2" t="s">
        <v>5584</v>
      </c>
      <c r="R521" s="3" t="s">
        <v>71</v>
      </c>
      <c r="S521" s="4">
        <v>7</v>
      </c>
      <c r="T521" s="4">
        <v>7</v>
      </c>
      <c r="U521" s="5" t="s">
        <v>5585</v>
      </c>
      <c r="V521" s="5" t="s">
        <v>5585</v>
      </c>
      <c r="W521" s="5" t="s">
        <v>72</v>
      </c>
      <c r="X521" s="5" t="s">
        <v>72</v>
      </c>
      <c r="Y521" s="4">
        <v>161</v>
      </c>
      <c r="Z521" s="4">
        <v>13</v>
      </c>
      <c r="AA521" s="4">
        <v>15</v>
      </c>
      <c r="AB521" s="4">
        <v>2</v>
      </c>
      <c r="AC521" s="4">
        <v>3</v>
      </c>
      <c r="AD521" s="4">
        <v>72</v>
      </c>
      <c r="AE521" s="4">
        <v>75</v>
      </c>
      <c r="AF521" s="4">
        <v>1</v>
      </c>
      <c r="AG521" s="4">
        <v>2</v>
      </c>
      <c r="AH521" s="4">
        <v>67</v>
      </c>
      <c r="AI521" s="4">
        <v>69</v>
      </c>
      <c r="AJ521" s="4">
        <v>10</v>
      </c>
      <c r="AK521" s="4">
        <v>12</v>
      </c>
      <c r="AL521" s="4">
        <v>42</v>
      </c>
      <c r="AM521" s="4">
        <v>43</v>
      </c>
      <c r="AN521" s="4">
        <v>0</v>
      </c>
      <c r="AO521" s="4">
        <v>0</v>
      </c>
      <c r="AP521" s="4">
        <v>10</v>
      </c>
      <c r="AQ521" s="4">
        <v>11</v>
      </c>
      <c r="AR521" s="3" t="s">
        <v>65</v>
      </c>
      <c r="AS521" s="3" t="s">
        <v>65</v>
      </c>
      <c r="AT521" s="3" t="s">
        <v>209</v>
      </c>
      <c r="AU521" s="6" t="str">
        <f>HYPERLINK("http://catalog.hathitrust.org/Record/000088799","HathiTrust Record")</f>
        <v>HathiTrust Record</v>
      </c>
      <c r="AV521" s="6" t="str">
        <f>HYPERLINK("http://mcgill.on.worldcat.org/oclc/3521160","Catalog Record")</f>
        <v>Catalog Record</v>
      </c>
      <c r="AW521" s="6" t="str">
        <f>HYPERLINK("http://www.worldcat.org/oclc/3521160","WorldCat Record")</f>
        <v>WorldCat Record</v>
      </c>
      <c r="AX521" s="3" t="s">
        <v>5586</v>
      </c>
      <c r="AY521" s="3" t="s">
        <v>5587</v>
      </c>
      <c r="AZ521" s="3" t="s">
        <v>5588</v>
      </c>
      <c r="BA521" s="3" t="s">
        <v>5588</v>
      </c>
      <c r="BB521" s="3" t="s">
        <v>5589</v>
      </c>
      <c r="BC521" s="3" t="s">
        <v>77</v>
      </c>
      <c r="BD521" s="3" t="s">
        <v>78</v>
      </c>
      <c r="BF521" s="3" t="s">
        <v>5589</v>
      </c>
      <c r="BG521" s="3" t="s">
        <v>5590</v>
      </c>
    </row>
    <row r="522" spans="1:59" ht="72.5" x14ac:dyDescent="0.35">
      <c r="A522" s="2" t="s">
        <v>59</v>
      </c>
      <c r="B522" s="2" t="s">
        <v>60</v>
      </c>
      <c r="C522" s="2" t="s">
        <v>5591</v>
      </c>
      <c r="D522" s="2" t="s">
        <v>5592</v>
      </c>
      <c r="E522" s="2" t="s">
        <v>5593</v>
      </c>
      <c r="G522" s="3" t="s">
        <v>65</v>
      </c>
      <c r="I522" s="3" t="s">
        <v>65</v>
      </c>
      <c r="J522" s="3" t="s">
        <v>65</v>
      </c>
      <c r="K522" s="3" t="s">
        <v>66</v>
      </c>
      <c r="L522" s="2" t="s">
        <v>5594</v>
      </c>
      <c r="M522" s="2" t="s">
        <v>5595</v>
      </c>
      <c r="N522" s="3" t="s">
        <v>188</v>
      </c>
      <c r="P522" s="3" t="s">
        <v>140</v>
      </c>
      <c r="Q522" s="2" t="s">
        <v>5596</v>
      </c>
      <c r="R522" s="3" t="s">
        <v>71</v>
      </c>
      <c r="S522" s="4">
        <v>0</v>
      </c>
      <c r="T522" s="4">
        <v>0</v>
      </c>
      <c r="W522" s="5" t="s">
        <v>72</v>
      </c>
      <c r="X522" s="5" t="s">
        <v>72</v>
      </c>
      <c r="Y522" s="4">
        <v>17</v>
      </c>
      <c r="Z522" s="4">
        <v>1</v>
      </c>
      <c r="AA522" s="4">
        <v>1</v>
      </c>
      <c r="AB522" s="4">
        <v>1</v>
      </c>
      <c r="AC522" s="4">
        <v>1</v>
      </c>
      <c r="AD522" s="4">
        <v>11</v>
      </c>
      <c r="AE522" s="4">
        <v>11</v>
      </c>
      <c r="AF522" s="4">
        <v>0</v>
      </c>
      <c r="AG522" s="4">
        <v>0</v>
      </c>
      <c r="AH522" s="4">
        <v>10</v>
      </c>
      <c r="AI522" s="4">
        <v>10</v>
      </c>
      <c r="AJ522" s="4">
        <v>0</v>
      </c>
      <c r="AK522" s="4">
        <v>0</v>
      </c>
      <c r="AL522" s="4">
        <v>8</v>
      </c>
      <c r="AM522" s="4">
        <v>8</v>
      </c>
      <c r="AN522" s="4">
        <v>0</v>
      </c>
      <c r="AO522" s="4">
        <v>0</v>
      </c>
      <c r="AP522" s="4">
        <v>0</v>
      </c>
      <c r="AQ522" s="4">
        <v>0</v>
      </c>
      <c r="AR522" s="3" t="s">
        <v>65</v>
      </c>
      <c r="AS522" s="3" t="s">
        <v>65</v>
      </c>
      <c r="AT522" s="3" t="s">
        <v>65</v>
      </c>
      <c r="AV522" s="6" t="str">
        <f>HYPERLINK("http://mcgill.on.worldcat.org/oclc/1000072958","Catalog Record")</f>
        <v>Catalog Record</v>
      </c>
      <c r="AW522" s="6" t="str">
        <f>HYPERLINK("http://www.worldcat.org/oclc/1000072958","WorldCat Record")</f>
        <v>WorldCat Record</v>
      </c>
      <c r="AX522" s="3" t="s">
        <v>5597</v>
      </c>
      <c r="AY522" s="3" t="s">
        <v>5598</v>
      </c>
      <c r="AZ522" s="3" t="s">
        <v>5599</v>
      </c>
      <c r="BA522" s="3" t="s">
        <v>5599</v>
      </c>
      <c r="BB522" s="3" t="s">
        <v>5600</v>
      </c>
      <c r="BC522" s="3" t="s">
        <v>77</v>
      </c>
      <c r="BD522" s="3" t="s">
        <v>78</v>
      </c>
      <c r="BE522" s="3" t="s">
        <v>5601</v>
      </c>
      <c r="BF522" s="3" t="s">
        <v>5600</v>
      </c>
      <c r="BG522" s="3" t="s">
        <v>5602</v>
      </c>
    </row>
    <row r="523" spans="1:59" ht="58" x14ac:dyDescent="0.35">
      <c r="A523" s="2" t="s">
        <v>59</v>
      </c>
      <c r="B523" s="2" t="s">
        <v>60</v>
      </c>
      <c r="C523" s="2" t="s">
        <v>5603</v>
      </c>
      <c r="D523" s="2" t="s">
        <v>5604</v>
      </c>
      <c r="E523" s="2" t="s">
        <v>5605</v>
      </c>
      <c r="G523" s="3" t="s">
        <v>65</v>
      </c>
      <c r="I523" s="3" t="s">
        <v>65</v>
      </c>
      <c r="J523" s="3" t="s">
        <v>65</v>
      </c>
      <c r="K523" s="3" t="s">
        <v>66</v>
      </c>
      <c r="L523" s="2" t="s">
        <v>5606</v>
      </c>
      <c r="M523" s="2" t="s">
        <v>5607</v>
      </c>
      <c r="N523" s="3" t="s">
        <v>164</v>
      </c>
      <c r="P523" s="3" t="s">
        <v>69</v>
      </c>
      <c r="R523" s="3" t="s">
        <v>71</v>
      </c>
      <c r="S523" s="4">
        <v>9</v>
      </c>
      <c r="T523" s="4">
        <v>9</v>
      </c>
      <c r="U523" s="5" t="s">
        <v>5084</v>
      </c>
      <c r="V523" s="5" t="s">
        <v>5084</v>
      </c>
      <c r="W523" s="5" t="s">
        <v>72</v>
      </c>
      <c r="X523" s="5" t="s">
        <v>72</v>
      </c>
      <c r="Y523" s="4">
        <v>147</v>
      </c>
      <c r="Z523" s="4">
        <v>18</v>
      </c>
      <c r="AA523" s="4">
        <v>23</v>
      </c>
      <c r="AB523" s="4">
        <v>1</v>
      </c>
      <c r="AC523" s="4">
        <v>4</v>
      </c>
      <c r="AD523" s="4">
        <v>66</v>
      </c>
      <c r="AE523" s="4">
        <v>77</v>
      </c>
      <c r="AF523" s="4">
        <v>0</v>
      </c>
      <c r="AG523" s="4">
        <v>0</v>
      </c>
      <c r="AH523" s="4">
        <v>59</v>
      </c>
      <c r="AI523" s="4">
        <v>68</v>
      </c>
      <c r="AJ523" s="4">
        <v>13</v>
      </c>
      <c r="AK523" s="4">
        <v>14</v>
      </c>
      <c r="AL523" s="4">
        <v>36</v>
      </c>
      <c r="AM523" s="4">
        <v>41</v>
      </c>
      <c r="AN523" s="4">
        <v>0</v>
      </c>
      <c r="AO523" s="4">
        <v>0</v>
      </c>
      <c r="AP523" s="4">
        <v>14</v>
      </c>
      <c r="AQ523" s="4">
        <v>16</v>
      </c>
      <c r="AR523" s="3" t="s">
        <v>65</v>
      </c>
      <c r="AS523" s="3" t="s">
        <v>65</v>
      </c>
      <c r="AT523" s="3" t="s">
        <v>65</v>
      </c>
      <c r="AV523" s="6" t="str">
        <f>HYPERLINK("http://mcgill.on.worldcat.org/oclc/767569463","Catalog Record")</f>
        <v>Catalog Record</v>
      </c>
      <c r="AW523" s="6" t="str">
        <f>HYPERLINK("http://www.worldcat.org/oclc/767569463","WorldCat Record")</f>
        <v>WorldCat Record</v>
      </c>
      <c r="AX523" s="3" t="s">
        <v>5608</v>
      </c>
      <c r="AY523" s="3" t="s">
        <v>5609</v>
      </c>
      <c r="AZ523" s="3" t="s">
        <v>5610</v>
      </c>
      <c r="BA523" s="3" t="s">
        <v>5610</v>
      </c>
      <c r="BB523" s="3" t="s">
        <v>5611</v>
      </c>
      <c r="BC523" s="3" t="s">
        <v>77</v>
      </c>
      <c r="BD523" s="3" t="s">
        <v>106</v>
      </c>
      <c r="BE523" s="3" t="s">
        <v>5612</v>
      </c>
      <c r="BF523" s="3" t="s">
        <v>5611</v>
      </c>
      <c r="BG523" s="3" t="s">
        <v>5613</v>
      </c>
    </row>
    <row r="524" spans="1:59" ht="58" x14ac:dyDescent="0.35">
      <c r="A524" s="2" t="s">
        <v>59</v>
      </c>
      <c r="B524" s="2" t="s">
        <v>60</v>
      </c>
      <c r="C524" s="2" t="s">
        <v>5614</v>
      </c>
      <c r="D524" s="2" t="s">
        <v>5615</v>
      </c>
      <c r="E524" s="2" t="s">
        <v>5616</v>
      </c>
      <c r="G524" s="3" t="s">
        <v>65</v>
      </c>
      <c r="I524" s="3" t="s">
        <v>65</v>
      </c>
      <c r="J524" s="3" t="s">
        <v>65</v>
      </c>
      <c r="K524" s="3" t="s">
        <v>66</v>
      </c>
      <c r="L524" s="2" t="s">
        <v>4183</v>
      </c>
      <c r="M524" s="2" t="s">
        <v>5617</v>
      </c>
      <c r="N524" s="3" t="s">
        <v>3052</v>
      </c>
      <c r="P524" s="3" t="s">
        <v>140</v>
      </c>
      <c r="Q524" s="2" t="s">
        <v>5618</v>
      </c>
      <c r="R524" s="3" t="s">
        <v>71</v>
      </c>
      <c r="S524" s="4">
        <v>1</v>
      </c>
      <c r="T524" s="4">
        <v>1</v>
      </c>
      <c r="U524" s="5" t="s">
        <v>5619</v>
      </c>
      <c r="V524" s="5" t="s">
        <v>5619</v>
      </c>
      <c r="W524" s="5" t="s">
        <v>72</v>
      </c>
      <c r="X524" s="5" t="s">
        <v>72</v>
      </c>
      <c r="Y524" s="4">
        <v>119</v>
      </c>
      <c r="Z524" s="4">
        <v>6</v>
      </c>
      <c r="AA524" s="4">
        <v>7</v>
      </c>
      <c r="AB524" s="4">
        <v>1</v>
      </c>
      <c r="AC524" s="4">
        <v>2</v>
      </c>
      <c r="AD524" s="4">
        <v>58</v>
      </c>
      <c r="AE524" s="4">
        <v>63</v>
      </c>
      <c r="AF524" s="4">
        <v>0</v>
      </c>
      <c r="AG524" s="4">
        <v>1</v>
      </c>
      <c r="AH524" s="4">
        <v>53</v>
      </c>
      <c r="AI524" s="4">
        <v>57</v>
      </c>
      <c r="AJ524" s="4">
        <v>3</v>
      </c>
      <c r="AK524" s="4">
        <v>4</v>
      </c>
      <c r="AL524" s="4">
        <v>40</v>
      </c>
      <c r="AM524" s="4">
        <v>42</v>
      </c>
      <c r="AN524" s="4">
        <v>0</v>
      </c>
      <c r="AO524" s="4">
        <v>0</v>
      </c>
      <c r="AP524" s="4">
        <v>4</v>
      </c>
      <c r="AQ524" s="4">
        <v>4</v>
      </c>
      <c r="AR524" s="3" t="s">
        <v>65</v>
      </c>
      <c r="AS524" s="3" t="s">
        <v>65</v>
      </c>
      <c r="AT524" s="3" t="s">
        <v>209</v>
      </c>
      <c r="AU524" s="6" t="str">
        <f>HYPERLINK("http://catalog.hathitrust.org/Record/001803388","HathiTrust Record")</f>
        <v>HathiTrust Record</v>
      </c>
      <c r="AV524" s="6" t="str">
        <f>HYPERLINK("http://mcgill.on.worldcat.org/oclc/2031513","Catalog Record")</f>
        <v>Catalog Record</v>
      </c>
      <c r="AW524" s="6" t="str">
        <f>HYPERLINK("http://www.worldcat.org/oclc/2031513","WorldCat Record")</f>
        <v>WorldCat Record</v>
      </c>
      <c r="AX524" s="3" t="s">
        <v>5620</v>
      </c>
      <c r="AY524" s="3" t="s">
        <v>5621</v>
      </c>
      <c r="AZ524" s="3" t="s">
        <v>5622</v>
      </c>
      <c r="BA524" s="3" t="s">
        <v>5622</v>
      </c>
      <c r="BB524" s="3" t="s">
        <v>5623</v>
      </c>
      <c r="BC524" s="3" t="s">
        <v>77</v>
      </c>
      <c r="BD524" s="3" t="s">
        <v>78</v>
      </c>
      <c r="BF524" s="3" t="s">
        <v>5623</v>
      </c>
      <c r="BG524" s="3" t="s">
        <v>5624</v>
      </c>
    </row>
    <row r="525" spans="1:59" ht="58" x14ac:dyDescent="0.35">
      <c r="A525" s="2" t="s">
        <v>59</v>
      </c>
      <c r="B525" s="2" t="s">
        <v>60</v>
      </c>
      <c r="C525" s="2" t="s">
        <v>5625</v>
      </c>
      <c r="D525" s="2" t="s">
        <v>5626</v>
      </c>
      <c r="E525" s="2" t="s">
        <v>5627</v>
      </c>
      <c r="G525" s="3" t="s">
        <v>65</v>
      </c>
      <c r="I525" s="3" t="s">
        <v>65</v>
      </c>
      <c r="J525" s="3" t="s">
        <v>65</v>
      </c>
      <c r="K525" s="3" t="s">
        <v>66</v>
      </c>
      <c r="L525" s="2" t="s">
        <v>5628</v>
      </c>
      <c r="M525" s="2" t="s">
        <v>5629</v>
      </c>
      <c r="N525" s="3" t="s">
        <v>139</v>
      </c>
      <c r="P525" s="3" t="s">
        <v>140</v>
      </c>
      <c r="Q525" s="2" t="s">
        <v>5630</v>
      </c>
      <c r="R525" s="3" t="s">
        <v>71</v>
      </c>
      <c r="S525" s="4">
        <v>0</v>
      </c>
      <c r="T525" s="4">
        <v>0</v>
      </c>
      <c r="W525" s="5" t="s">
        <v>72</v>
      </c>
      <c r="X525" s="5" t="s">
        <v>72</v>
      </c>
      <c r="Y525" s="4">
        <v>44</v>
      </c>
      <c r="Z525" s="4">
        <v>3</v>
      </c>
      <c r="AA525" s="4">
        <v>3</v>
      </c>
      <c r="AB525" s="4">
        <v>1</v>
      </c>
      <c r="AC525" s="4">
        <v>1</v>
      </c>
      <c r="AD525" s="4">
        <v>31</v>
      </c>
      <c r="AE525" s="4">
        <v>32</v>
      </c>
      <c r="AF525" s="4">
        <v>0</v>
      </c>
      <c r="AG525" s="4">
        <v>0</v>
      </c>
      <c r="AH525" s="4">
        <v>30</v>
      </c>
      <c r="AI525" s="4">
        <v>31</v>
      </c>
      <c r="AJ525" s="4">
        <v>1</v>
      </c>
      <c r="AK525" s="4">
        <v>1</v>
      </c>
      <c r="AL525" s="4">
        <v>24</v>
      </c>
      <c r="AM525" s="4">
        <v>25</v>
      </c>
      <c r="AN525" s="4">
        <v>0</v>
      </c>
      <c r="AO525" s="4">
        <v>0</v>
      </c>
      <c r="AP525" s="4">
        <v>1</v>
      </c>
      <c r="AQ525" s="4">
        <v>1</v>
      </c>
      <c r="AR525" s="3" t="s">
        <v>65</v>
      </c>
      <c r="AS525" s="3" t="s">
        <v>65</v>
      </c>
      <c r="AT525" s="3" t="s">
        <v>65</v>
      </c>
      <c r="AV525" s="6" t="str">
        <f>HYPERLINK("http://mcgill.on.worldcat.org/oclc/785335916","Catalog Record")</f>
        <v>Catalog Record</v>
      </c>
      <c r="AW525" s="6" t="str">
        <f>HYPERLINK("http://www.worldcat.org/oclc/785335916","WorldCat Record")</f>
        <v>WorldCat Record</v>
      </c>
      <c r="AX525" s="3" t="s">
        <v>5631</v>
      </c>
      <c r="AY525" s="3" t="s">
        <v>5632</v>
      </c>
      <c r="AZ525" s="3" t="s">
        <v>5633</v>
      </c>
      <c r="BA525" s="3" t="s">
        <v>5633</v>
      </c>
      <c r="BB525" s="3" t="s">
        <v>5634</v>
      </c>
      <c r="BC525" s="3" t="s">
        <v>77</v>
      </c>
      <c r="BD525" s="3" t="s">
        <v>78</v>
      </c>
      <c r="BE525" s="3" t="s">
        <v>5635</v>
      </c>
      <c r="BF525" s="3" t="s">
        <v>5634</v>
      </c>
      <c r="BG525" s="3" t="s">
        <v>5636</v>
      </c>
    </row>
    <row r="526" spans="1:59" ht="58" x14ac:dyDescent="0.35">
      <c r="A526" s="2" t="s">
        <v>59</v>
      </c>
      <c r="B526" s="2" t="s">
        <v>60</v>
      </c>
      <c r="C526" s="2" t="s">
        <v>5637</v>
      </c>
      <c r="D526" s="2" t="s">
        <v>5638</v>
      </c>
      <c r="E526" s="2" t="s">
        <v>5639</v>
      </c>
      <c r="G526" s="3" t="s">
        <v>65</v>
      </c>
      <c r="I526" s="3" t="s">
        <v>65</v>
      </c>
      <c r="J526" s="3" t="s">
        <v>65</v>
      </c>
      <c r="K526" s="3" t="s">
        <v>66</v>
      </c>
      <c r="L526" s="2" t="s">
        <v>5640</v>
      </c>
      <c r="M526" s="2" t="s">
        <v>5641</v>
      </c>
      <c r="N526" s="3" t="s">
        <v>5642</v>
      </c>
      <c r="P526" s="3" t="s">
        <v>69</v>
      </c>
      <c r="R526" s="3" t="s">
        <v>71</v>
      </c>
      <c r="S526" s="4">
        <v>8</v>
      </c>
      <c r="T526" s="4">
        <v>8</v>
      </c>
      <c r="U526" s="5" t="s">
        <v>5643</v>
      </c>
      <c r="V526" s="5" t="s">
        <v>5643</v>
      </c>
      <c r="W526" s="5" t="s">
        <v>72</v>
      </c>
      <c r="X526" s="5" t="s">
        <v>72</v>
      </c>
      <c r="Y526" s="4">
        <v>380</v>
      </c>
      <c r="Z526" s="4">
        <v>23</v>
      </c>
      <c r="AA526" s="4">
        <v>51</v>
      </c>
      <c r="AB526" s="4">
        <v>1</v>
      </c>
      <c r="AC526" s="4">
        <v>3</v>
      </c>
      <c r="AD526" s="4">
        <v>101</v>
      </c>
      <c r="AE526" s="4">
        <v>131</v>
      </c>
      <c r="AF526" s="4">
        <v>0</v>
      </c>
      <c r="AG526" s="4">
        <v>1</v>
      </c>
      <c r="AH526" s="4">
        <v>87</v>
      </c>
      <c r="AI526" s="4">
        <v>103</v>
      </c>
      <c r="AJ526" s="4">
        <v>13</v>
      </c>
      <c r="AK526" s="4">
        <v>21</v>
      </c>
      <c r="AL526" s="4">
        <v>51</v>
      </c>
      <c r="AM526" s="4">
        <v>57</v>
      </c>
      <c r="AN526" s="4">
        <v>0</v>
      </c>
      <c r="AO526" s="4">
        <v>0</v>
      </c>
      <c r="AP526" s="4">
        <v>18</v>
      </c>
      <c r="AQ526" s="4">
        <v>33</v>
      </c>
      <c r="AR526" s="3" t="s">
        <v>65</v>
      </c>
      <c r="AS526" s="3" t="s">
        <v>65</v>
      </c>
      <c r="AT526" s="3" t="s">
        <v>209</v>
      </c>
      <c r="AU526" s="6" t="str">
        <f>HYPERLINK("http://catalog.hathitrust.org/Record/001218096","HathiTrust Record")</f>
        <v>HathiTrust Record</v>
      </c>
      <c r="AV526" s="6" t="str">
        <f>HYPERLINK("http://mcgill.on.worldcat.org/oclc/1591921","Catalog Record")</f>
        <v>Catalog Record</v>
      </c>
      <c r="AW526" s="6" t="str">
        <f>HYPERLINK("http://www.worldcat.org/oclc/1591921","WorldCat Record")</f>
        <v>WorldCat Record</v>
      </c>
      <c r="AX526" s="3" t="s">
        <v>5644</v>
      </c>
      <c r="AY526" s="3" t="s">
        <v>5645</v>
      </c>
      <c r="AZ526" s="3" t="s">
        <v>5646</v>
      </c>
      <c r="BA526" s="3" t="s">
        <v>5646</v>
      </c>
      <c r="BB526" s="3" t="s">
        <v>5647</v>
      </c>
      <c r="BC526" s="3" t="s">
        <v>77</v>
      </c>
      <c r="BD526" s="3" t="s">
        <v>78</v>
      </c>
      <c r="BF526" s="3" t="s">
        <v>5647</v>
      </c>
      <c r="BG526" s="3" t="s">
        <v>5648</v>
      </c>
    </row>
    <row r="527" spans="1:59" ht="58" x14ac:dyDescent="0.35">
      <c r="A527" s="2" t="s">
        <v>59</v>
      </c>
      <c r="B527" s="2" t="s">
        <v>60</v>
      </c>
      <c r="C527" s="2" t="s">
        <v>5649</v>
      </c>
      <c r="D527" s="2" t="s">
        <v>5650</v>
      </c>
      <c r="E527" s="2" t="s">
        <v>5651</v>
      </c>
      <c r="G527" s="3" t="s">
        <v>65</v>
      </c>
      <c r="I527" s="3" t="s">
        <v>65</v>
      </c>
      <c r="J527" s="3" t="s">
        <v>65</v>
      </c>
      <c r="K527" s="3" t="s">
        <v>66</v>
      </c>
      <c r="L527" s="2" t="s">
        <v>5652</v>
      </c>
      <c r="M527" s="2" t="s">
        <v>5653</v>
      </c>
      <c r="N527" s="3" t="s">
        <v>188</v>
      </c>
      <c r="P527" s="3" t="s">
        <v>140</v>
      </c>
      <c r="Q527" s="2" t="s">
        <v>5654</v>
      </c>
      <c r="R527" s="3" t="s">
        <v>71</v>
      </c>
      <c r="S527" s="4">
        <v>0</v>
      </c>
      <c r="T527" s="4">
        <v>0</v>
      </c>
      <c r="W527" s="5" t="s">
        <v>72</v>
      </c>
      <c r="X527" s="5" t="s">
        <v>72</v>
      </c>
      <c r="Y527" s="4">
        <v>43</v>
      </c>
      <c r="Z527" s="4">
        <v>3</v>
      </c>
      <c r="AA527" s="4">
        <v>4</v>
      </c>
      <c r="AB527" s="4">
        <v>3</v>
      </c>
      <c r="AC527" s="4">
        <v>4</v>
      </c>
      <c r="AD527" s="4">
        <v>22</v>
      </c>
      <c r="AE527" s="4">
        <v>22</v>
      </c>
      <c r="AF527" s="4">
        <v>1</v>
      </c>
      <c r="AG527" s="4">
        <v>1</v>
      </c>
      <c r="AH527" s="4">
        <v>20</v>
      </c>
      <c r="AI527" s="4">
        <v>20</v>
      </c>
      <c r="AJ527" s="4">
        <v>1</v>
      </c>
      <c r="AK527" s="4">
        <v>1</v>
      </c>
      <c r="AL527" s="4">
        <v>16</v>
      </c>
      <c r="AM527" s="4">
        <v>16</v>
      </c>
      <c r="AN527" s="4">
        <v>0</v>
      </c>
      <c r="AO527" s="4">
        <v>0</v>
      </c>
      <c r="AP527" s="4">
        <v>1</v>
      </c>
      <c r="AQ527" s="4">
        <v>1</v>
      </c>
      <c r="AR527" s="3" t="s">
        <v>65</v>
      </c>
      <c r="AS527" s="3" t="s">
        <v>65</v>
      </c>
      <c r="AT527" s="3" t="s">
        <v>65</v>
      </c>
      <c r="AV527" s="6" t="str">
        <f>HYPERLINK("http://mcgill.on.worldcat.org/oclc/1004738303","Catalog Record")</f>
        <v>Catalog Record</v>
      </c>
      <c r="AW527" s="6" t="str">
        <f>HYPERLINK("http://www.worldcat.org/oclc/1004738303","WorldCat Record")</f>
        <v>WorldCat Record</v>
      </c>
      <c r="AX527" s="3" t="s">
        <v>5655</v>
      </c>
      <c r="AY527" s="3" t="s">
        <v>5656</v>
      </c>
      <c r="AZ527" s="3" t="s">
        <v>5657</v>
      </c>
      <c r="BA527" s="3" t="s">
        <v>5657</v>
      </c>
      <c r="BB527" s="3" t="s">
        <v>5658</v>
      </c>
      <c r="BC527" s="3" t="s">
        <v>77</v>
      </c>
      <c r="BD527" s="3" t="s">
        <v>78</v>
      </c>
      <c r="BE527" s="3" t="s">
        <v>5659</v>
      </c>
      <c r="BF527" s="3" t="s">
        <v>5658</v>
      </c>
      <c r="BG527" s="3" t="s">
        <v>5660</v>
      </c>
    </row>
    <row r="528" spans="1:59" ht="58" x14ac:dyDescent="0.35">
      <c r="A528" s="2" t="s">
        <v>59</v>
      </c>
      <c r="B528" s="2" t="s">
        <v>60</v>
      </c>
      <c r="C528" s="2" t="s">
        <v>5661</v>
      </c>
      <c r="D528" s="2" t="s">
        <v>5662</v>
      </c>
      <c r="E528" s="2" t="s">
        <v>5663</v>
      </c>
      <c r="G528" s="3" t="s">
        <v>65</v>
      </c>
      <c r="I528" s="3" t="s">
        <v>65</v>
      </c>
      <c r="J528" s="3" t="s">
        <v>65</v>
      </c>
      <c r="K528" s="3" t="s">
        <v>66</v>
      </c>
      <c r="L528" s="2" t="s">
        <v>5664</v>
      </c>
      <c r="M528" s="2" t="s">
        <v>5665</v>
      </c>
      <c r="N528" s="3" t="s">
        <v>139</v>
      </c>
      <c r="P528" s="3" t="s">
        <v>140</v>
      </c>
      <c r="Q528" s="2" t="s">
        <v>5666</v>
      </c>
      <c r="R528" s="3" t="s">
        <v>71</v>
      </c>
      <c r="S528" s="4">
        <v>0</v>
      </c>
      <c r="T528" s="4">
        <v>0</v>
      </c>
      <c r="W528" s="5" t="s">
        <v>72</v>
      </c>
      <c r="X528" s="5" t="s">
        <v>72</v>
      </c>
      <c r="Y528" s="4">
        <v>26</v>
      </c>
      <c r="Z528" s="4">
        <v>3</v>
      </c>
      <c r="AA528" s="4">
        <v>3</v>
      </c>
      <c r="AB528" s="4">
        <v>1</v>
      </c>
      <c r="AC528" s="4">
        <v>1</v>
      </c>
      <c r="AD528" s="4">
        <v>16</v>
      </c>
      <c r="AE528" s="4">
        <v>17</v>
      </c>
      <c r="AF528" s="4">
        <v>0</v>
      </c>
      <c r="AG528" s="4">
        <v>0</v>
      </c>
      <c r="AH528" s="4">
        <v>15</v>
      </c>
      <c r="AI528" s="4">
        <v>16</v>
      </c>
      <c r="AJ528" s="4">
        <v>1</v>
      </c>
      <c r="AK528" s="4">
        <v>1</v>
      </c>
      <c r="AL528" s="4">
        <v>13</v>
      </c>
      <c r="AM528" s="4">
        <v>13</v>
      </c>
      <c r="AN528" s="4">
        <v>0</v>
      </c>
      <c r="AO528" s="4">
        <v>0</v>
      </c>
      <c r="AP528" s="4">
        <v>1</v>
      </c>
      <c r="AQ528" s="4">
        <v>1</v>
      </c>
      <c r="AR528" s="3" t="s">
        <v>65</v>
      </c>
      <c r="AS528" s="3" t="s">
        <v>65</v>
      </c>
      <c r="AT528" s="3" t="s">
        <v>65</v>
      </c>
      <c r="AV528" s="6" t="str">
        <f>HYPERLINK("http://mcgill.on.worldcat.org/oclc/829690430","Catalog Record")</f>
        <v>Catalog Record</v>
      </c>
      <c r="AW528" s="6" t="str">
        <f>HYPERLINK("http://www.worldcat.org/oclc/829690430","WorldCat Record")</f>
        <v>WorldCat Record</v>
      </c>
      <c r="AX528" s="3" t="s">
        <v>5667</v>
      </c>
      <c r="AY528" s="3" t="s">
        <v>5668</v>
      </c>
      <c r="AZ528" s="3" t="s">
        <v>5669</v>
      </c>
      <c r="BA528" s="3" t="s">
        <v>5669</v>
      </c>
      <c r="BB528" s="3" t="s">
        <v>5670</v>
      </c>
      <c r="BC528" s="3" t="s">
        <v>77</v>
      </c>
      <c r="BD528" s="3" t="s">
        <v>78</v>
      </c>
      <c r="BE528" s="3" t="s">
        <v>5671</v>
      </c>
      <c r="BF528" s="3" t="s">
        <v>5670</v>
      </c>
      <c r="BG528" s="3" t="s">
        <v>5672</v>
      </c>
    </row>
    <row r="529" spans="1:59" ht="58" x14ac:dyDescent="0.35">
      <c r="A529" s="2" t="s">
        <v>59</v>
      </c>
      <c r="B529" s="2" t="s">
        <v>60</v>
      </c>
      <c r="C529" s="2" t="s">
        <v>5673</v>
      </c>
      <c r="D529" s="2" t="s">
        <v>5674</v>
      </c>
      <c r="E529" s="2" t="s">
        <v>5675</v>
      </c>
      <c r="G529" s="3" t="s">
        <v>65</v>
      </c>
      <c r="I529" s="3" t="s">
        <v>65</v>
      </c>
      <c r="J529" s="3" t="s">
        <v>65</v>
      </c>
      <c r="K529" s="3" t="s">
        <v>66</v>
      </c>
      <c r="L529" s="2" t="s">
        <v>2794</v>
      </c>
      <c r="M529" s="2" t="s">
        <v>5676</v>
      </c>
      <c r="N529" s="3" t="s">
        <v>126</v>
      </c>
      <c r="P529" s="3" t="s">
        <v>140</v>
      </c>
      <c r="Q529" s="2" t="s">
        <v>5677</v>
      </c>
      <c r="R529" s="3" t="s">
        <v>71</v>
      </c>
      <c r="S529" s="4">
        <v>0</v>
      </c>
      <c r="T529" s="4">
        <v>0</v>
      </c>
      <c r="W529" s="5" t="s">
        <v>72</v>
      </c>
      <c r="X529" s="5" t="s">
        <v>72</v>
      </c>
      <c r="Y529" s="4">
        <v>57</v>
      </c>
      <c r="Z529" s="4">
        <v>4</v>
      </c>
      <c r="AA529" s="4">
        <v>6</v>
      </c>
      <c r="AB529" s="4">
        <v>1</v>
      </c>
      <c r="AC529" s="4">
        <v>3</v>
      </c>
      <c r="AD529" s="4">
        <v>40</v>
      </c>
      <c r="AE529" s="4">
        <v>41</v>
      </c>
      <c r="AF529" s="4">
        <v>0</v>
      </c>
      <c r="AG529" s="4">
        <v>1</v>
      </c>
      <c r="AH529" s="4">
        <v>39</v>
      </c>
      <c r="AI529" s="4">
        <v>39</v>
      </c>
      <c r="AJ529" s="4">
        <v>2</v>
      </c>
      <c r="AK529" s="4">
        <v>3</v>
      </c>
      <c r="AL529" s="4">
        <v>29</v>
      </c>
      <c r="AM529" s="4">
        <v>29</v>
      </c>
      <c r="AN529" s="4">
        <v>0</v>
      </c>
      <c r="AO529" s="4">
        <v>0</v>
      </c>
      <c r="AP529" s="4">
        <v>2</v>
      </c>
      <c r="AQ529" s="4">
        <v>2</v>
      </c>
      <c r="AR529" s="3" t="s">
        <v>65</v>
      </c>
      <c r="AS529" s="3" t="s">
        <v>65</v>
      </c>
      <c r="AT529" s="3" t="s">
        <v>65</v>
      </c>
      <c r="AV529" s="6" t="str">
        <f>HYPERLINK("http://mcgill.on.worldcat.org/oclc/775410849","Catalog Record")</f>
        <v>Catalog Record</v>
      </c>
      <c r="AW529" s="6" t="str">
        <f>HYPERLINK("http://www.worldcat.org/oclc/775410849","WorldCat Record")</f>
        <v>WorldCat Record</v>
      </c>
      <c r="AX529" s="3" t="s">
        <v>5678</v>
      </c>
      <c r="AY529" s="3" t="s">
        <v>5679</v>
      </c>
      <c r="AZ529" s="3" t="s">
        <v>5680</v>
      </c>
      <c r="BA529" s="3" t="s">
        <v>5680</v>
      </c>
      <c r="BB529" s="3" t="s">
        <v>5681</v>
      </c>
      <c r="BC529" s="3" t="s">
        <v>77</v>
      </c>
      <c r="BD529" s="3" t="s">
        <v>78</v>
      </c>
      <c r="BE529" s="3" t="s">
        <v>5682</v>
      </c>
      <c r="BF529" s="3" t="s">
        <v>5681</v>
      </c>
      <c r="BG529" s="3" t="s">
        <v>5683</v>
      </c>
    </row>
    <row r="530" spans="1:59" ht="58" x14ac:dyDescent="0.35">
      <c r="A530" s="2" t="s">
        <v>59</v>
      </c>
      <c r="B530" s="2" t="s">
        <v>60</v>
      </c>
      <c r="C530" s="2" t="s">
        <v>5684</v>
      </c>
      <c r="D530" s="2" t="s">
        <v>5685</v>
      </c>
      <c r="E530" s="2" t="s">
        <v>5686</v>
      </c>
      <c r="F530" s="3" t="s">
        <v>245</v>
      </c>
      <c r="G530" s="3" t="s">
        <v>209</v>
      </c>
      <c r="I530" s="3" t="s">
        <v>65</v>
      </c>
      <c r="J530" s="3" t="s">
        <v>65</v>
      </c>
      <c r="K530" s="3" t="s">
        <v>66</v>
      </c>
      <c r="M530" s="2" t="s">
        <v>5687</v>
      </c>
      <c r="N530" s="3" t="s">
        <v>113</v>
      </c>
      <c r="P530" s="3" t="s">
        <v>140</v>
      </c>
      <c r="Q530" s="2" t="s">
        <v>5688</v>
      </c>
      <c r="R530" s="3" t="s">
        <v>71</v>
      </c>
      <c r="S530" s="4">
        <v>0</v>
      </c>
      <c r="T530" s="4">
        <v>0</v>
      </c>
      <c r="W530" s="5" t="s">
        <v>72</v>
      </c>
      <c r="X530" s="5" t="s">
        <v>72</v>
      </c>
      <c r="Y530" s="4">
        <v>31</v>
      </c>
      <c r="Z530" s="4">
        <v>3</v>
      </c>
      <c r="AA530" s="4">
        <v>3</v>
      </c>
      <c r="AB530" s="4">
        <v>1</v>
      </c>
      <c r="AC530" s="4">
        <v>1</v>
      </c>
      <c r="AD530" s="4">
        <v>17</v>
      </c>
      <c r="AE530" s="4">
        <v>17</v>
      </c>
      <c r="AF530" s="4">
        <v>0</v>
      </c>
      <c r="AG530" s="4">
        <v>0</v>
      </c>
      <c r="AH530" s="4">
        <v>16</v>
      </c>
      <c r="AI530" s="4">
        <v>16</v>
      </c>
      <c r="AJ530" s="4">
        <v>1</v>
      </c>
      <c r="AK530" s="4">
        <v>1</v>
      </c>
      <c r="AL530" s="4">
        <v>14</v>
      </c>
      <c r="AM530" s="4">
        <v>14</v>
      </c>
      <c r="AN530" s="4">
        <v>0</v>
      </c>
      <c r="AO530" s="4">
        <v>0</v>
      </c>
      <c r="AP530" s="4">
        <v>1</v>
      </c>
      <c r="AQ530" s="4">
        <v>1</v>
      </c>
      <c r="AR530" s="3" t="s">
        <v>65</v>
      </c>
      <c r="AS530" s="3" t="s">
        <v>65</v>
      </c>
      <c r="AT530" s="3" t="s">
        <v>65</v>
      </c>
      <c r="AV530" s="6" t="str">
        <f>HYPERLINK("http://mcgill.on.worldcat.org/oclc/652361778","Catalog Record")</f>
        <v>Catalog Record</v>
      </c>
      <c r="AW530" s="6" t="str">
        <f>HYPERLINK("http://www.worldcat.org/oclc/652361778","WorldCat Record")</f>
        <v>WorldCat Record</v>
      </c>
      <c r="AX530" s="3" t="s">
        <v>5689</v>
      </c>
      <c r="AY530" s="3" t="s">
        <v>5690</v>
      </c>
      <c r="AZ530" s="3" t="s">
        <v>5691</v>
      </c>
      <c r="BA530" s="3" t="s">
        <v>5691</v>
      </c>
      <c r="BB530" s="3" t="s">
        <v>5692</v>
      </c>
      <c r="BC530" s="3" t="s">
        <v>77</v>
      </c>
      <c r="BD530" s="3" t="s">
        <v>78</v>
      </c>
      <c r="BE530" s="3" t="s">
        <v>5693</v>
      </c>
      <c r="BF530" s="3" t="s">
        <v>5692</v>
      </c>
      <c r="BG530" s="3" t="s">
        <v>5694</v>
      </c>
    </row>
    <row r="531" spans="1:59" ht="58" x14ac:dyDescent="0.35">
      <c r="A531" s="2" t="s">
        <v>59</v>
      </c>
      <c r="B531" s="2" t="s">
        <v>60</v>
      </c>
      <c r="C531" s="2" t="s">
        <v>5695</v>
      </c>
      <c r="D531" s="2" t="s">
        <v>5696</v>
      </c>
      <c r="E531" s="2" t="s">
        <v>5697</v>
      </c>
      <c r="G531" s="3" t="s">
        <v>65</v>
      </c>
      <c r="I531" s="3" t="s">
        <v>65</v>
      </c>
      <c r="J531" s="3" t="s">
        <v>65</v>
      </c>
      <c r="K531" s="3" t="s">
        <v>66</v>
      </c>
      <c r="L531" s="2" t="s">
        <v>5698</v>
      </c>
      <c r="M531" s="2" t="s">
        <v>5699</v>
      </c>
      <c r="N531" s="3" t="s">
        <v>188</v>
      </c>
      <c r="P531" s="3" t="s">
        <v>140</v>
      </c>
      <c r="Q531" s="2" t="s">
        <v>5700</v>
      </c>
      <c r="R531" s="3" t="s">
        <v>71</v>
      </c>
      <c r="S531" s="4">
        <v>0</v>
      </c>
      <c r="T531" s="4">
        <v>0</v>
      </c>
      <c r="W531" s="5" t="s">
        <v>72</v>
      </c>
      <c r="X531" s="5" t="s">
        <v>72</v>
      </c>
      <c r="Y531" s="4">
        <v>20</v>
      </c>
      <c r="Z531" s="4">
        <v>1</v>
      </c>
      <c r="AA531" s="4">
        <v>1</v>
      </c>
      <c r="AB531" s="4">
        <v>1</v>
      </c>
      <c r="AC531" s="4">
        <v>1</v>
      </c>
      <c r="AD531" s="4">
        <v>15</v>
      </c>
      <c r="AE531" s="4">
        <v>15</v>
      </c>
      <c r="AF531" s="4">
        <v>0</v>
      </c>
      <c r="AG531" s="4">
        <v>0</v>
      </c>
      <c r="AH531" s="4">
        <v>14</v>
      </c>
      <c r="AI531" s="4">
        <v>14</v>
      </c>
      <c r="AJ531" s="4">
        <v>0</v>
      </c>
      <c r="AK531" s="4">
        <v>0</v>
      </c>
      <c r="AL531" s="4">
        <v>11</v>
      </c>
      <c r="AM531" s="4">
        <v>11</v>
      </c>
      <c r="AN531" s="4">
        <v>0</v>
      </c>
      <c r="AO531" s="4">
        <v>0</v>
      </c>
      <c r="AP531" s="4">
        <v>0</v>
      </c>
      <c r="AQ531" s="4">
        <v>0</v>
      </c>
      <c r="AR531" s="3" t="s">
        <v>65</v>
      </c>
      <c r="AS531" s="3" t="s">
        <v>65</v>
      </c>
      <c r="AT531" s="3" t="s">
        <v>65</v>
      </c>
      <c r="AV531" s="6" t="str">
        <f>HYPERLINK("http://mcgill.on.worldcat.org/oclc/1022083742","Catalog Record")</f>
        <v>Catalog Record</v>
      </c>
      <c r="AW531" s="6" t="str">
        <f>HYPERLINK("http://www.worldcat.org/oclc/1022083742","WorldCat Record")</f>
        <v>WorldCat Record</v>
      </c>
      <c r="AX531" s="3" t="s">
        <v>5701</v>
      </c>
      <c r="AY531" s="3" t="s">
        <v>5702</v>
      </c>
      <c r="AZ531" s="3" t="s">
        <v>5703</v>
      </c>
      <c r="BA531" s="3" t="s">
        <v>5703</v>
      </c>
      <c r="BB531" s="3" t="s">
        <v>5704</v>
      </c>
      <c r="BC531" s="3" t="s">
        <v>77</v>
      </c>
      <c r="BD531" s="3" t="s">
        <v>78</v>
      </c>
      <c r="BE531" s="3" t="s">
        <v>5705</v>
      </c>
      <c r="BF531" s="3" t="s">
        <v>5704</v>
      </c>
      <c r="BG531" s="3" t="s">
        <v>5706</v>
      </c>
    </row>
    <row r="532" spans="1:59" ht="58" x14ac:dyDescent="0.35">
      <c r="A532" s="2" t="s">
        <v>59</v>
      </c>
      <c r="B532" s="2" t="s">
        <v>60</v>
      </c>
      <c r="C532" s="2" t="s">
        <v>5707</v>
      </c>
      <c r="D532" s="2" t="s">
        <v>5708</v>
      </c>
      <c r="E532" s="2" t="s">
        <v>5709</v>
      </c>
      <c r="G532" s="3" t="s">
        <v>65</v>
      </c>
      <c r="I532" s="3" t="s">
        <v>65</v>
      </c>
      <c r="J532" s="3" t="s">
        <v>65</v>
      </c>
      <c r="K532" s="3" t="s">
        <v>66</v>
      </c>
      <c r="L532" s="2" t="s">
        <v>5710</v>
      </c>
      <c r="M532" s="2" t="s">
        <v>5711</v>
      </c>
      <c r="N532" s="3" t="s">
        <v>68</v>
      </c>
      <c r="O532" s="2" t="s">
        <v>1410</v>
      </c>
      <c r="P532" s="3" t="s">
        <v>140</v>
      </c>
      <c r="Q532" s="2" t="s">
        <v>5712</v>
      </c>
      <c r="R532" s="3" t="s">
        <v>71</v>
      </c>
      <c r="S532" s="4">
        <v>0</v>
      </c>
      <c r="T532" s="4">
        <v>0</v>
      </c>
      <c r="W532" s="5" t="s">
        <v>72</v>
      </c>
      <c r="X532" s="5" t="s">
        <v>72</v>
      </c>
      <c r="Y532" s="4">
        <v>30</v>
      </c>
      <c r="Z532" s="4">
        <v>1</v>
      </c>
      <c r="AA532" s="4">
        <v>1</v>
      </c>
      <c r="AB532" s="4">
        <v>1</v>
      </c>
      <c r="AC532" s="4">
        <v>1</v>
      </c>
      <c r="AD532" s="4">
        <v>22</v>
      </c>
      <c r="AE532" s="4">
        <v>22</v>
      </c>
      <c r="AF532" s="4">
        <v>0</v>
      </c>
      <c r="AG532" s="4">
        <v>0</v>
      </c>
      <c r="AH532" s="4">
        <v>21</v>
      </c>
      <c r="AI532" s="4">
        <v>21</v>
      </c>
      <c r="AJ532" s="4">
        <v>0</v>
      </c>
      <c r="AK532" s="4">
        <v>0</v>
      </c>
      <c r="AL532" s="4">
        <v>16</v>
      </c>
      <c r="AM532" s="4">
        <v>16</v>
      </c>
      <c r="AN532" s="4">
        <v>0</v>
      </c>
      <c r="AO532" s="4">
        <v>0</v>
      </c>
      <c r="AP532" s="4">
        <v>0</v>
      </c>
      <c r="AQ532" s="4">
        <v>0</v>
      </c>
      <c r="AR532" s="3" t="s">
        <v>65</v>
      </c>
      <c r="AS532" s="3" t="s">
        <v>65</v>
      </c>
      <c r="AT532" s="3" t="s">
        <v>65</v>
      </c>
      <c r="AV532" s="6" t="str">
        <f>HYPERLINK("http://mcgill.on.worldcat.org/oclc/981213695","Catalog Record")</f>
        <v>Catalog Record</v>
      </c>
      <c r="AW532" s="6" t="str">
        <f>HYPERLINK("http://www.worldcat.org/oclc/981213695","WorldCat Record")</f>
        <v>WorldCat Record</v>
      </c>
      <c r="AX532" s="3" t="s">
        <v>5713</v>
      </c>
      <c r="AY532" s="3" t="s">
        <v>5714</v>
      </c>
      <c r="AZ532" s="3" t="s">
        <v>5715</v>
      </c>
      <c r="BA532" s="3" t="s">
        <v>5715</v>
      </c>
      <c r="BB532" s="3" t="s">
        <v>5716</v>
      </c>
      <c r="BC532" s="3" t="s">
        <v>77</v>
      </c>
      <c r="BD532" s="3" t="s">
        <v>78</v>
      </c>
      <c r="BE532" s="3" t="s">
        <v>5717</v>
      </c>
      <c r="BF532" s="3" t="s">
        <v>5716</v>
      </c>
      <c r="BG532" s="3" t="s">
        <v>5718</v>
      </c>
    </row>
    <row r="533" spans="1:59" ht="58" x14ac:dyDescent="0.35">
      <c r="A533" s="2" t="s">
        <v>59</v>
      </c>
      <c r="B533" s="2" t="s">
        <v>60</v>
      </c>
      <c r="C533" s="2" t="s">
        <v>5719</v>
      </c>
      <c r="D533" s="2" t="s">
        <v>5720</v>
      </c>
      <c r="E533" s="2" t="s">
        <v>5721</v>
      </c>
      <c r="G533" s="3" t="s">
        <v>65</v>
      </c>
      <c r="I533" s="3" t="s">
        <v>65</v>
      </c>
      <c r="J533" s="3" t="s">
        <v>65</v>
      </c>
      <c r="K533" s="3" t="s">
        <v>66</v>
      </c>
      <c r="L533" s="2" t="s">
        <v>5722</v>
      </c>
      <c r="M533" s="2" t="s">
        <v>5723</v>
      </c>
      <c r="N533" s="3" t="s">
        <v>126</v>
      </c>
      <c r="P533" s="3" t="s">
        <v>140</v>
      </c>
      <c r="Q533" s="2" t="s">
        <v>4845</v>
      </c>
      <c r="R533" s="3" t="s">
        <v>71</v>
      </c>
      <c r="S533" s="4">
        <v>0</v>
      </c>
      <c r="T533" s="4">
        <v>0</v>
      </c>
      <c r="W533" s="5" t="s">
        <v>72</v>
      </c>
      <c r="X533" s="5" t="s">
        <v>72</v>
      </c>
      <c r="Y533" s="4">
        <v>52</v>
      </c>
      <c r="Z533" s="4">
        <v>5</v>
      </c>
      <c r="AA533" s="4">
        <v>5</v>
      </c>
      <c r="AB533" s="4">
        <v>1</v>
      </c>
      <c r="AC533" s="4">
        <v>1</v>
      </c>
      <c r="AD533" s="4">
        <v>34</v>
      </c>
      <c r="AE533" s="4">
        <v>34</v>
      </c>
      <c r="AF533" s="4">
        <v>0</v>
      </c>
      <c r="AG533" s="4">
        <v>0</v>
      </c>
      <c r="AH533" s="4">
        <v>33</v>
      </c>
      <c r="AI533" s="4">
        <v>33</v>
      </c>
      <c r="AJ533" s="4">
        <v>2</v>
      </c>
      <c r="AK533" s="4">
        <v>2</v>
      </c>
      <c r="AL533" s="4">
        <v>26</v>
      </c>
      <c r="AM533" s="4">
        <v>26</v>
      </c>
      <c r="AN533" s="4">
        <v>0</v>
      </c>
      <c r="AO533" s="4">
        <v>0</v>
      </c>
      <c r="AP533" s="4">
        <v>2</v>
      </c>
      <c r="AQ533" s="4">
        <v>2</v>
      </c>
      <c r="AR533" s="3" t="s">
        <v>65</v>
      </c>
      <c r="AS533" s="3" t="s">
        <v>65</v>
      </c>
      <c r="AT533" s="3" t="s">
        <v>65</v>
      </c>
      <c r="AV533" s="6" t="str">
        <f>HYPERLINK("http://mcgill.on.worldcat.org/oclc/715911056","Catalog Record")</f>
        <v>Catalog Record</v>
      </c>
      <c r="AW533" s="6" t="str">
        <f>HYPERLINK("http://www.worldcat.org/oclc/715911056","WorldCat Record")</f>
        <v>WorldCat Record</v>
      </c>
      <c r="AX533" s="3" t="s">
        <v>5724</v>
      </c>
      <c r="AY533" s="3" t="s">
        <v>5725</v>
      </c>
      <c r="AZ533" s="3" t="s">
        <v>5726</v>
      </c>
      <c r="BA533" s="3" t="s">
        <v>5726</v>
      </c>
      <c r="BB533" s="3" t="s">
        <v>5727</v>
      </c>
      <c r="BC533" s="3" t="s">
        <v>77</v>
      </c>
      <c r="BD533" s="3" t="s">
        <v>78</v>
      </c>
      <c r="BE533" s="3" t="s">
        <v>5728</v>
      </c>
      <c r="BF533" s="3" t="s">
        <v>5727</v>
      </c>
      <c r="BG533" s="3" t="s">
        <v>5729</v>
      </c>
    </row>
    <row r="534" spans="1:59" ht="58" x14ac:dyDescent="0.35">
      <c r="A534" s="2" t="s">
        <v>59</v>
      </c>
      <c r="B534" s="2" t="s">
        <v>60</v>
      </c>
      <c r="C534" s="2" t="s">
        <v>5730</v>
      </c>
      <c r="D534" s="2" t="s">
        <v>5731</v>
      </c>
      <c r="E534" s="2" t="s">
        <v>5732</v>
      </c>
      <c r="G534" s="3" t="s">
        <v>65</v>
      </c>
      <c r="I534" s="3" t="s">
        <v>65</v>
      </c>
      <c r="J534" s="3" t="s">
        <v>65</v>
      </c>
      <c r="K534" s="3" t="s">
        <v>66</v>
      </c>
      <c r="L534" s="2" t="s">
        <v>5733</v>
      </c>
      <c r="M534" s="2" t="s">
        <v>5734</v>
      </c>
      <c r="N534" s="3" t="s">
        <v>139</v>
      </c>
      <c r="P534" s="3" t="s">
        <v>140</v>
      </c>
      <c r="Q534" s="2" t="s">
        <v>5735</v>
      </c>
      <c r="R534" s="3" t="s">
        <v>71</v>
      </c>
      <c r="S534" s="4">
        <v>0</v>
      </c>
      <c r="T534" s="4">
        <v>0</v>
      </c>
      <c r="W534" s="5" t="s">
        <v>72</v>
      </c>
      <c r="X534" s="5" t="s">
        <v>72</v>
      </c>
      <c r="Y534" s="4">
        <v>39</v>
      </c>
      <c r="Z534" s="4">
        <v>4</v>
      </c>
      <c r="AA534" s="4">
        <v>4</v>
      </c>
      <c r="AB534" s="4">
        <v>1</v>
      </c>
      <c r="AC534" s="4">
        <v>1</v>
      </c>
      <c r="AD534" s="4">
        <v>28</v>
      </c>
      <c r="AE534" s="4">
        <v>28</v>
      </c>
      <c r="AF534" s="4">
        <v>0</v>
      </c>
      <c r="AG534" s="4">
        <v>0</v>
      </c>
      <c r="AH534" s="4">
        <v>27</v>
      </c>
      <c r="AI534" s="4">
        <v>27</v>
      </c>
      <c r="AJ534" s="4">
        <v>2</v>
      </c>
      <c r="AK534" s="4">
        <v>2</v>
      </c>
      <c r="AL534" s="4">
        <v>20</v>
      </c>
      <c r="AM534" s="4">
        <v>20</v>
      </c>
      <c r="AN534" s="4">
        <v>0</v>
      </c>
      <c r="AO534" s="4">
        <v>0</v>
      </c>
      <c r="AP534" s="4">
        <v>2</v>
      </c>
      <c r="AQ534" s="4">
        <v>2</v>
      </c>
      <c r="AR534" s="3" t="s">
        <v>65</v>
      </c>
      <c r="AS534" s="3" t="s">
        <v>65</v>
      </c>
      <c r="AT534" s="3" t="s">
        <v>65</v>
      </c>
      <c r="AV534" s="6" t="str">
        <f>HYPERLINK("http://mcgill.on.worldcat.org/oclc/783120358","Catalog Record")</f>
        <v>Catalog Record</v>
      </c>
      <c r="AW534" s="6" t="str">
        <f>HYPERLINK("http://www.worldcat.org/oclc/783120358","WorldCat Record")</f>
        <v>WorldCat Record</v>
      </c>
      <c r="AX534" s="3" t="s">
        <v>5736</v>
      </c>
      <c r="AY534" s="3" t="s">
        <v>5737</v>
      </c>
      <c r="AZ534" s="3" t="s">
        <v>5738</v>
      </c>
      <c r="BA534" s="3" t="s">
        <v>5738</v>
      </c>
      <c r="BB534" s="3" t="s">
        <v>5739</v>
      </c>
      <c r="BC534" s="3" t="s">
        <v>77</v>
      </c>
      <c r="BD534" s="3" t="s">
        <v>78</v>
      </c>
      <c r="BE534" s="3" t="s">
        <v>5740</v>
      </c>
      <c r="BF534" s="3" t="s">
        <v>5739</v>
      </c>
      <c r="BG534" s="3" t="s">
        <v>5741</v>
      </c>
    </row>
    <row r="535" spans="1:59" ht="58" x14ac:dyDescent="0.35">
      <c r="A535" s="2" t="s">
        <v>59</v>
      </c>
      <c r="B535" s="2" t="s">
        <v>60</v>
      </c>
      <c r="C535" s="2" t="s">
        <v>5742</v>
      </c>
      <c r="D535" s="2" t="s">
        <v>5743</v>
      </c>
      <c r="E535" s="2" t="s">
        <v>5744</v>
      </c>
      <c r="G535" s="3" t="s">
        <v>65</v>
      </c>
      <c r="I535" s="3" t="s">
        <v>65</v>
      </c>
      <c r="J535" s="3" t="s">
        <v>65</v>
      </c>
      <c r="K535" s="3" t="s">
        <v>66</v>
      </c>
      <c r="L535" s="2" t="s">
        <v>5745</v>
      </c>
      <c r="M535" s="2" t="s">
        <v>5746</v>
      </c>
      <c r="N535" s="3" t="s">
        <v>139</v>
      </c>
      <c r="O535" s="2" t="s">
        <v>365</v>
      </c>
      <c r="P535" s="3" t="s">
        <v>140</v>
      </c>
      <c r="Q535" s="2" t="s">
        <v>565</v>
      </c>
      <c r="R535" s="3" t="s">
        <v>71</v>
      </c>
      <c r="S535" s="4">
        <v>0</v>
      </c>
      <c r="T535" s="4">
        <v>0</v>
      </c>
      <c r="W535" s="5" t="s">
        <v>72</v>
      </c>
      <c r="X535" s="5" t="s">
        <v>72</v>
      </c>
      <c r="Y535" s="4">
        <v>30</v>
      </c>
      <c r="Z535" s="4">
        <v>3</v>
      </c>
      <c r="AA535" s="4">
        <v>3</v>
      </c>
      <c r="AB535" s="4">
        <v>1</v>
      </c>
      <c r="AC535" s="4">
        <v>1</v>
      </c>
      <c r="AD535" s="4">
        <v>16</v>
      </c>
      <c r="AE535" s="4">
        <v>16</v>
      </c>
      <c r="AF535" s="4">
        <v>0</v>
      </c>
      <c r="AG535" s="4">
        <v>0</v>
      </c>
      <c r="AH535" s="4">
        <v>15</v>
      </c>
      <c r="AI535" s="4">
        <v>15</v>
      </c>
      <c r="AJ535" s="4">
        <v>1</v>
      </c>
      <c r="AK535" s="4">
        <v>1</v>
      </c>
      <c r="AL535" s="4">
        <v>13</v>
      </c>
      <c r="AM535" s="4">
        <v>13</v>
      </c>
      <c r="AN535" s="4">
        <v>0</v>
      </c>
      <c r="AO535" s="4">
        <v>0</v>
      </c>
      <c r="AP535" s="4">
        <v>1</v>
      </c>
      <c r="AQ535" s="4">
        <v>1</v>
      </c>
      <c r="AR535" s="3" t="s">
        <v>65</v>
      </c>
      <c r="AS535" s="3" t="s">
        <v>65</v>
      </c>
      <c r="AT535" s="3" t="s">
        <v>65</v>
      </c>
      <c r="AV535" s="6" t="str">
        <f>HYPERLINK("http://mcgill.on.worldcat.org/oclc/830363060","Catalog Record")</f>
        <v>Catalog Record</v>
      </c>
      <c r="AW535" s="6" t="str">
        <f>HYPERLINK("http://www.worldcat.org/oclc/830363060","WorldCat Record")</f>
        <v>WorldCat Record</v>
      </c>
      <c r="AX535" s="3" t="s">
        <v>5747</v>
      </c>
      <c r="AY535" s="3" t="s">
        <v>5748</v>
      </c>
      <c r="AZ535" s="3" t="s">
        <v>5749</v>
      </c>
      <c r="BA535" s="3" t="s">
        <v>5749</v>
      </c>
      <c r="BB535" s="3" t="s">
        <v>5750</v>
      </c>
      <c r="BC535" s="3" t="s">
        <v>77</v>
      </c>
      <c r="BD535" s="3" t="s">
        <v>78</v>
      </c>
      <c r="BE535" s="3" t="s">
        <v>5751</v>
      </c>
      <c r="BF535" s="3" t="s">
        <v>5750</v>
      </c>
      <c r="BG535" s="3" t="s">
        <v>5752</v>
      </c>
    </row>
    <row r="536" spans="1:59" ht="58" x14ac:dyDescent="0.35">
      <c r="A536" s="2" t="s">
        <v>59</v>
      </c>
      <c r="B536" s="2" t="s">
        <v>60</v>
      </c>
      <c r="C536" s="2" t="s">
        <v>5753</v>
      </c>
      <c r="D536" s="2" t="s">
        <v>5754</v>
      </c>
      <c r="E536" s="2" t="s">
        <v>5755</v>
      </c>
      <c r="G536" s="3" t="s">
        <v>65</v>
      </c>
      <c r="I536" s="3" t="s">
        <v>65</v>
      </c>
      <c r="J536" s="3" t="s">
        <v>65</v>
      </c>
      <c r="K536" s="3" t="s">
        <v>66</v>
      </c>
      <c r="L536" s="2" t="s">
        <v>5756</v>
      </c>
      <c r="M536" s="2" t="s">
        <v>5757</v>
      </c>
      <c r="N536" s="3" t="s">
        <v>139</v>
      </c>
      <c r="P536" s="3" t="s">
        <v>140</v>
      </c>
      <c r="Q536" s="2" t="s">
        <v>5758</v>
      </c>
      <c r="R536" s="3" t="s">
        <v>71</v>
      </c>
      <c r="S536" s="4">
        <v>0</v>
      </c>
      <c r="T536" s="4">
        <v>0</v>
      </c>
      <c r="W536" s="5" t="s">
        <v>72</v>
      </c>
      <c r="X536" s="5" t="s">
        <v>72</v>
      </c>
      <c r="Y536" s="4">
        <v>32</v>
      </c>
      <c r="Z536" s="4">
        <v>5</v>
      </c>
      <c r="AA536" s="4">
        <v>5</v>
      </c>
      <c r="AB536" s="4">
        <v>1</v>
      </c>
      <c r="AC536" s="4">
        <v>1</v>
      </c>
      <c r="AD536" s="4">
        <v>20</v>
      </c>
      <c r="AE536" s="4">
        <v>20</v>
      </c>
      <c r="AF536" s="4">
        <v>0</v>
      </c>
      <c r="AG536" s="4">
        <v>0</v>
      </c>
      <c r="AH536" s="4">
        <v>19</v>
      </c>
      <c r="AI536" s="4">
        <v>19</v>
      </c>
      <c r="AJ536" s="4">
        <v>3</v>
      </c>
      <c r="AK536" s="4">
        <v>3</v>
      </c>
      <c r="AL536" s="4">
        <v>14</v>
      </c>
      <c r="AM536" s="4">
        <v>14</v>
      </c>
      <c r="AN536" s="4">
        <v>0</v>
      </c>
      <c r="AO536" s="4">
        <v>0</v>
      </c>
      <c r="AP536" s="4">
        <v>3</v>
      </c>
      <c r="AQ536" s="4">
        <v>3</v>
      </c>
      <c r="AR536" s="3" t="s">
        <v>65</v>
      </c>
      <c r="AS536" s="3" t="s">
        <v>65</v>
      </c>
      <c r="AT536" s="3" t="s">
        <v>65</v>
      </c>
      <c r="AV536" s="6" t="str">
        <f>HYPERLINK("http://mcgill.on.worldcat.org/oclc/850438879","Catalog Record")</f>
        <v>Catalog Record</v>
      </c>
      <c r="AW536" s="6" t="str">
        <f>HYPERLINK("http://www.worldcat.org/oclc/850438879","WorldCat Record")</f>
        <v>WorldCat Record</v>
      </c>
      <c r="AX536" s="3" t="s">
        <v>5759</v>
      </c>
      <c r="AY536" s="3" t="s">
        <v>5760</v>
      </c>
      <c r="AZ536" s="3" t="s">
        <v>5761</v>
      </c>
      <c r="BA536" s="3" t="s">
        <v>5761</v>
      </c>
      <c r="BB536" s="3" t="s">
        <v>5762</v>
      </c>
      <c r="BC536" s="3" t="s">
        <v>77</v>
      </c>
      <c r="BD536" s="3" t="s">
        <v>78</v>
      </c>
      <c r="BE536" s="3" t="s">
        <v>5763</v>
      </c>
      <c r="BF536" s="3" t="s">
        <v>5762</v>
      </c>
      <c r="BG536" s="3" t="s">
        <v>5764</v>
      </c>
    </row>
    <row r="537" spans="1:59" ht="58" x14ac:dyDescent="0.35">
      <c r="A537" s="2" t="s">
        <v>59</v>
      </c>
      <c r="B537" s="2" t="s">
        <v>60</v>
      </c>
      <c r="C537" s="2" t="s">
        <v>5765</v>
      </c>
      <c r="D537" s="2" t="s">
        <v>5766</v>
      </c>
      <c r="E537" s="2" t="s">
        <v>5767</v>
      </c>
      <c r="G537" s="3" t="s">
        <v>65</v>
      </c>
      <c r="I537" s="3" t="s">
        <v>65</v>
      </c>
      <c r="J537" s="3" t="s">
        <v>65</v>
      </c>
      <c r="K537" s="3" t="s">
        <v>66</v>
      </c>
      <c r="L537" s="2" t="s">
        <v>5768</v>
      </c>
      <c r="M537" s="2" t="s">
        <v>5769</v>
      </c>
      <c r="N537" s="3" t="s">
        <v>164</v>
      </c>
      <c r="P537" s="3" t="s">
        <v>69</v>
      </c>
      <c r="Q537" s="2" t="s">
        <v>1197</v>
      </c>
      <c r="R537" s="3" t="s">
        <v>71</v>
      </c>
      <c r="S537" s="4">
        <v>2</v>
      </c>
      <c r="T537" s="4">
        <v>2</v>
      </c>
      <c r="U537" s="5" t="s">
        <v>5770</v>
      </c>
      <c r="V537" s="5" t="s">
        <v>5770</v>
      </c>
      <c r="W537" s="5" t="s">
        <v>72</v>
      </c>
      <c r="X537" s="5" t="s">
        <v>72</v>
      </c>
      <c r="Y537" s="4">
        <v>149</v>
      </c>
      <c r="Z537" s="4">
        <v>18</v>
      </c>
      <c r="AA537" s="4">
        <v>99</v>
      </c>
      <c r="AB537" s="4">
        <v>3</v>
      </c>
      <c r="AC537" s="4">
        <v>17</v>
      </c>
      <c r="AD537" s="4">
        <v>70</v>
      </c>
      <c r="AE537" s="4">
        <v>130</v>
      </c>
      <c r="AF537" s="4">
        <v>2</v>
      </c>
      <c r="AG537" s="4">
        <v>8</v>
      </c>
      <c r="AH537" s="4">
        <v>60</v>
      </c>
      <c r="AI537" s="4">
        <v>88</v>
      </c>
      <c r="AJ537" s="4">
        <v>12</v>
      </c>
      <c r="AK537" s="4">
        <v>25</v>
      </c>
      <c r="AL537" s="4">
        <v>42</v>
      </c>
      <c r="AM537" s="4">
        <v>50</v>
      </c>
      <c r="AN537" s="4">
        <v>0</v>
      </c>
      <c r="AO537" s="4">
        <v>0</v>
      </c>
      <c r="AP537" s="4">
        <v>13</v>
      </c>
      <c r="AQ537" s="4">
        <v>50</v>
      </c>
      <c r="AR537" s="3" t="s">
        <v>209</v>
      </c>
      <c r="AS537" s="3" t="s">
        <v>65</v>
      </c>
      <c r="AT537" s="3" t="s">
        <v>65</v>
      </c>
      <c r="AV537" s="6" t="str">
        <f>HYPERLINK("http://mcgill.on.worldcat.org/oclc/870916772","Catalog Record")</f>
        <v>Catalog Record</v>
      </c>
      <c r="AW537" s="6" t="str">
        <f>HYPERLINK("http://www.worldcat.org/oclc/870916772","WorldCat Record")</f>
        <v>WorldCat Record</v>
      </c>
      <c r="AX537" s="3" t="s">
        <v>5771</v>
      </c>
      <c r="AY537" s="3" t="s">
        <v>5772</v>
      </c>
      <c r="AZ537" s="3" t="s">
        <v>5773</v>
      </c>
      <c r="BA537" s="3" t="s">
        <v>5773</v>
      </c>
      <c r="BB537" s="3" t="s">
        <v>5774</v>
      </c>
      <c r="BC537" s="3" t="s">
        <v>77</v>
      </c>
      <c r="BD537" s="3" t="s">
        <v>78</v>
      </c>
      <c r="BE537" s="3" t="s">
        <v>5775</v>
      </c>
      <c r="BF537" s="3" t="s">
        <v>5774</v>
      </c>
      <c r="BG537" s="3" t="s">
        <v>5776</v>
      </c>
    </row>
    <row r="538" spans="1:59" ht="58" x14ac:dyDescent="0.35">
      <c r="A538" s="2" t="s">
        <v>59</v>
      </c>
      <c r="B538" s="2" t="s">
        <v>60</v>
      </c>
      <c r="C538" s="2" t="s">
        <v>5777</v>
      </c>
      <c r="D538" s="2" t="s">
        <v>5778</v>
      </c>
      <c r="E538" s="2" t="s">
        <v>5779</v>
      </c>
      <c r="G538" s="3" t="s">
        <v>65</v>
      </c>
      <c r="I538" s="3" t="s">
        <v>65</v>
      </c>
      <c r="J538" s="3" t="s">
        <v>65</v>
      </c>
      <c r="K538" s="3" t="s">
        <v>66</v>
      </c>
      <c r="L538" s="2" t="s">
        <v>5780</v>
      </c>
      <c r="M538" s="2" t="s">
        <v>5781</v>
      </c>
      <c r="N538" s="3" t="s">
        <v>5130</v>
      </c>
      <c r="P538" s="3" t="s">
        <v>69</v>
      </c>
      <c r="Q538" s="2" t="s">
        <v>5782</v>
      </c>
      <c r="R538" s="3" t="s">
        <v>71</v>
      </c>
      <c r="S538" s="4">
        <v>4</v>
      </c>
      <c r="T538" s="4">
        <v>4</v>
      </c>
      <c r="U538" s="5" t="s">
        <v>5783</v>
      </c>
      <c r="V538" s="5" t="s">
        <v>5783</v>
      </c>
      <c r="W538" s="5" t="s">
        <v>72</v>
      </c>
      <c r="X538" s="5" t="s">
        <v>72</v>
      </c>
      <c r="Y538" s="4">
        <v>445</v>
      </c>
      <c r="Z538" s="4">
        <v>22</v>
      </c>
      <c r="AA538" s="4">
        <v>35</v>
      </c>
      <c r="AB538" s="4">
        <v>2</v>
      </c>
      <c r="AC538" s="4">
        <v>4</v>
      </c>
      <c r="AD538" s="4">
        <v>74</v>
      </c>
      <c r="AE538" s="4">
        <v>131</v>
      </c>
      <c r="AF538" s="4">
        <v>1</v>
      </c>
      <c r="AG538" s="4">
        <v>3</v>
      </c>
      <c r="AH538" s="4">
        <v>59</v>
      </c>
      <c r="AI538" s="4">
        <v>108</v>
      </c>
      <c r="AJ538" s="4">
        <v>13</v>
      </c>
      <c r="AK538" s="4">
        <v>21</v>
      </c>
      <c r="AL538" s="4">
        <v>30</v>
      </c>
      <c r="AM538" s="4">
        <v>58</v>
      </c>
      <c r="AN538" s="4">
        <v>0</v>
      </c>
      <c r="AO538" s="4">
        <v>0</v>
      </c>
      <c r="AP538" s="4">
        <v>16</v>
      </c>
      <c r="AQ538" s="4">
        <v>26</v>
      </c>
      <c r="AR538" s="3" t="s">
        <v>65</v>
      </c>
      <c r="AS538" s="3" t="s">
        <v>65</v>
      </c>
      <c r="AT538" s="3" t="s">
        <v>209</v>
      </c>
      <c r="AU538" s="6" t="str">
        <f>HYPERLINK("http://catalog.hathitrust.org/Record/001218219","HathiTrust Record")</f>
        <v>HathiTrust Record</v>
      </c>
      <c r="AV538" s="6" t="str">
        <f>HYPERLINK("http://mcgill.on.worldcat.org/oclc/448047","Catalog Record")</f>
        <v>Catalog Record</v>
      </c>
      <c r="AW538" s="6" t="str">
        <f>HYPERLINK("http://www.worldcat.org/oclc/448047","WorldCat Record")</f>
        <v>WorldCat Record</v>
      </c>
      <c r="AX538" s="3" t="s">
        <v>5784</v>
      </c>
      <c r="AY538" s="3" t="s">
        <v>5785</v>
      </c>
      <c r="AZ538" s="3" t="s">
        <v>5786</v>
      </c>
      <c r="BA538" s="3" t="s">
        <v>5786</v>
      </c>
      <c r="BB538" s="3" t="s">
        <v>5787</v>
      </c>
      <c r="BC538" s="3" t="s">
        <v>77</v>
      </c>
      <c r="BD538" s="3" t="s">
        <v>78</v>
      </c>
      <c r="BE538" s="3" t="s">
        <v>5788</v>
      </c>
      <c r="BF538" s="3" t="s">
        <v>5787</v>
      </c>
      <c r="BG538" s="3" t="s">
        <v>5789</v>
      </c>
    </row>
    <row r="539" spans="1:59" ht="58" x14ac:dyDescent="0.35">
      <c r="A539" s="2" t="s">
        <v>59</v>
      </c>
      <c r="B539" s="2" t="s">
        <v>60</v>
      </c>
      <c r="C539" s="2" t="s">
        <v>5790</v>
      </c>
      <c r="D539" s="2" t="s">
        <v>5791</v>
      </c>
      <c r="E539" s="2" t="s">
        <v>5792</v>
      </c>
      <c r="G539" s="3" t="s">
        <v>65</v>
      </c>
      <c r="I539" s="3" t="s">
        <v>65</v>
      </c>
      <c r="J539" s="3" t="s">
        <v>65</v>
      </c>
      <c r="K539" s="3" t="s">
        <v>66</v>
      </c>
      <c r="L539" s="2" t="s">
        <v>5793</v>
      </c>
      <c r="M539" s="2" t="s">
        <v>5794</v>
      </c>
      <c r="N539" s="3" t="s">
        <v>164</v>
      </c>
      <c r="P539" s="3" t="s">
        <v>69</v>
      </c>
      <c r="Q539" s="2" t="s">
        <v>1197</v>
      </c>
      <c r="R539" s="3" t="s">
        <v>71</v>
      </c>
      <c r="S539" s="4">
        <v>0</v>
      </c>
      <c r="T539" s="4">
        <v>0</v>
      </c>
      <c r="W539" s="5" t="s">
        <v>72</v>
      </c>
      <c r="X539" s="5" t="s">
        <v>72</v>
      </c>
      <c r="Y539" s="4">
        <v>126</v>
      </c>
      <c r="Z539" s="4">
        <v>13</v>
      </c>
      <c r="AA539" s="4">
        <v>94</v>
      </c>
      <c r="AB539" s="4">
        <v>2</v>
      </c>
      <c r="AC539" s="4">
        <v>16</v>
      </c>
      <c r="AD539" s="4">
        <v>66</v>
      </c>
      <c r="AE539" s="4">
        <v>134</v>
      </c>
      <c r="AF539" s="4">
        <v>1</v>
      </c>
      <c r="AG539" s="4">
        <v>8</v>
      </c>
      <c r="AH539" s="4">
        <v>58</v>
      </c>
      <c r="AI539" s="4">
        <v>91</v>
      </c>
      <c r="AJ539" s="4">
        <v>10</v>
      </c>
      <c r="AK539" s="4">
        <v>26</v>
      </c>
      <c r="AL539" s="4">
        <v>39</v>
      </c>
      <c r="AM539" s="4">
        <v>49</v>
      </c>
      <c r="AN539" s="4">
        <v>0</v>
      </c>
      <c r="AO539" s="4">
        <v>0</v>
      </c>
      <c r="AP539" s="4">
        <v>9</v>
      </c>
      <c r="AQ539" s="4">
        <v>51</v>
      </c>
      <c r="AR539" s="3" t="s">
        <v>209</v>
      </c>
      <c r="AS539" s="3" t="s">
        <v>65</v>
      </c>
      <c r="AT539" s="3" t="s">
        <v>65</v>
      </c>
      <c r="AV539" s="6" t="str">
        <f>HYPERLINK("http://mcgill.on.worldcat.org/oclc/900242126","Catalog Record")</f>
        <v>Catalog Record</v>
      </c>
      <c r="AW539" s="6" t="str">
        <f>HYPERLINK("http://www.worldcat.org/oclc/900242126","WorldCat Record")</f>
        <v>WorldCat Record</v>
      </c>
      <c r="AX539" s="3" t="s">
        <v>5795</v>
      </c>
      <c r="AY539" s="3" t="s">
        <v>5796</v>
      </c>
      <c r="AZ539" s="3" t="s">
        <v>5797</v>
      </c>
      <c r="BA539" s="3" t="s">
        <v>5797</v>
      </c>
      <c r="BB539" s="3" t="s">
        <v>5798</v>
      </c>
      <c r="BC539" s="3" t="s">
        <v>77</v>
      </c>
      <c r="BD539" s="3" t="s">
        <v>78</v>
      </c>
      <c r="BE539" s="3" t="s">
        <v>5799</v>
      </c>
      <c r="BF539" s="3" t="s">
        <v>5798</v>
      </c>
      <c r="BG539" s="3" t="s">
        <v>5800</v>
      </c>
    </row>
    <row r="540" spans="1:59" ht="58" x14ac:dyDescent="0.35">
      <c r="A540" s="2" t="s">
        <v>59</v>
      </c>
      <c r="B540" s="2" t="s">
        <v>60</v>
      </c>
      <c r="C540" s="2" t="s">
        <v>5801</v>
      </c>
      <c r="D540" s="2" t="s">
        <v>5802</v>
      </c>
      <c r="E540" s="2" t="s">
        <v>5803</v>
      </c>
      <c r="G540" s="3" t="s">
        <v>65</v>
      </c>
      <c r="I540" s="3" t="s">
        <v>65</v>
      </c>
      <c r="J540" s="3" t="s">
        <v>65</v>
      </c>
      <c r="K540" s="3" t="s">
        <v>66</v>
      </c>
      <c r="L540" s="2" t="s">
        <v>5804</v>
      </c>
      <c r="M540" s="2" t="s">
        <v>5805</v>
      </c>
      <c r="N540" s="3" t="s">
        <v>615</v>
      </c>
      <c r="P540" s="3" t="s">
        <v>140</v>
      </c>
      <c r="Q540" s="2" t="s">
        <v>5806</v>
      </c>
      <c r="R540" s="3" t="s">
        <v>71</v>
      </c>
      <c r="S540" s="4">
        <v>4</v>
      </c>
      <c r="T540" s="4">
        <v>4</v>
      </c>
      <c r="U540" s="5" t="s">
        <v>5807</v>
      </c>
      <c r="V540" s="5" t="s">
        <v>5807</v>
      </c>
      <c r="W540" s="5" t="s">
        <v>72</v>
      </c>
      <c r="X540" s="5" t="s">
        <v>72</v>
      </c>
      <c r="Y540" s="4">
        <v>70</v>
      </c>
      <c r="Z540" s="4">
        <v>4</v>
      </c>
      <c r="AA540" s="4">
        <v>4</v>
      </c>
      <c r="AB540" s="4">
        <v>1</v>
      </c>
      <c r="AC540" s="4">
        <v>1</v>
      </c>
      <c r="AD540" s="4">
        <v>38</v>
      </c>
      <c r="AE540" s="4">
        <v>38</v>
      </c>
      <c r="AF540" s="4">
        <v>0</v>
      </c>
      <c r="AG540" s="4">
        <v>0</v>
      </c>
      <c r="AH540" s="4">
        <v>35</v>
      </c>
      <c r="AI540" s="4">
        <v>35</v>
      </c>
      <c r="AJ540" s="4">
        <v>3</v>
      </c>
      <c r="AK540" s="4">
        <v>3</v>
      </c>
      <c r="AL540" s="4">
        <v>29</v>
      </c>
      <c r="AM540" s="4">
        <v>29</v>
      </c>
      <c r="AN540" s="4">
        <v>0</v>
      </c>
      <c r="AO540" s="4">
        <v>0</v>
      </c>
      <c r="AP540" s="4">
        <v>3</v>
      </c>
      <c r="AQ540" s="4">
        <v>3</v>
      </c>
      <c r="AR540" s="3" t="s">
        <v>65</v>
      </c>
      <c r="AS540" s="3" t="s">
        <v>65</v>
      </c>
      <c r="AT540" s="3" t="s">
        <v>65</v>
      </c>
      <c r="AV540" s="6" t="str">
        <f>HYPERLINK("http://mcgill.on.worldcat.org/oclc/12315571","Catalog Record")</f>
        <v>Catalog Record</v>
      </c>
      <c r="AW540" s="6" t="str">
        <f>HYPERLINK("http://www.worldcat.org/oclc/12315571","WorldCat Record")</f>
        <v>WorldCat Record</v>
      </c>
      <c r="AX540" s="3" t="s">
        <v>5808</v>
      </c>
      <c r="AY540" s="3" t="s">
        <v>5809</v>
      </c>
      <c r="AZ540" s="3" t="s">
        <v>5810</v>
      </c>
      <c r="BA540" s="3" t="s">
        <v>5810</v>
      </c>
      <c r="BB540" s="3" t="s">
        <v>5811</v>
      </c>
      <c r="BC540" s="3" t="s">
        <v>77</v>
      </c>
      <c r="BD540" s="3" t="s">
        <v>78</v>
      </c>
      <c r="BE540" s="3" t="s">
        <v>5812</v>
      </c>
      <c r="BF540" s="3" t="s">
        <v>5811</v>
      </c>
      <c r="BG540" s="3" t="s">
        <v>5813</v>
      </c>
    </row>
    <row r="541" spans="1:59" ht="58" x14ac:dyDescent="0.35">
      <c r="A541" s="2" t="s">
        <v>59</v>
      </c>
      <c r="B541" s="2" t="s">
        <v>60</v>
      </c>
      <c r="C541" s="2" t="s">
        <v>5814</v>
      </c>
      <c r="D541" s="2" t="s">
        <v>5815</v>
      </c>
      <c r="E541" s="2" t="s">
        <v>5816</v>
      </c>
      <c r="G541" s="3" t="s">
        <v>65</v>
      </c>
      <c r="I541" s="3" t="s">
        <v>65</v>
      </c>
      <c r="J541" s="3" t="s">
        <v>65</v>
      </c>
      <c r="K541" s="3" t="s">
        <v>66</v>
      </c>
      <c r="L541" s="2" t="s">
        <v>5817</v>
      </c>
      <c r="M541" s="2" t="s">
        <v>5818</v>
      </c>
      <c r="N541" s="3" t="s">
        <v>139</v>
      </c>
      <c r="P541" s="3" t="s">
        <v>69</v>
      </c>
      <c r="Q541" s="2" t="s">
        <v>5819</v>
      </c>
      <c r="R541" s="3" t="s">
        <v>71</v>
      </c>
      <c r="S541" s="4">
        <v>0</v>
      </c>
      <c r="T541" s="4">
        <v>0</v>
      </c>
      <c r="W541" s="5" t="s">
        <v>72</v>
      </c>
      <c r="X541" s="5" t="s">
        <v>72</v>
      </c>
      <c r="Y541" s="4">
        <v>109</v>
      </c>
      <c r="Z541" s="4">
        <v>13</v>
      </c>
      <c r="AA541" s="4">
        <v>16</v>
      </c>
      <c r="AB541" s="4">
        <v>1</v>
      </c>
      <c r="AC541" s="4">
        <v>4</v>
      </c>
      <c r="AD541" s="4">
        <v>58</v>
      </c>
      <c r="AE541" s="4">
        <v>60</v>
      </c>
      <c r="AF541" s="4">
        <v>0</v>
      </c>
      <c r="AG541" s="4">
        <v>0</v>
      </c>
      <c r="AH541" s="4">
        <v>56</v>
      </c>
      <c r="AI541" s="4">
        <v>58</v>
      </c>
      <c r="AJ541" s="4">
        <v>9</v>
      </c>
      <c r="AK541" s="4">
        <v>9</v>
      </c>
      <c r="AL541" s="4">
        <v>37</v>
      </c>
      <c r="AM541" s="4">
        <v>38</v>
      </c>
      <c r="AN541" s="4">
        <v>0</v>
      </c>
      <c r="AO541" s="4">
        <v>0</v>
      </c>
      <c r="AP541" s="4">
        <v>9</v>
      </c>
      <c r="AQ541" s="4">
        <v>9</v>
      </c>
      <c r="AR541" s="3" t="s">
        <v>65</v>
      </c>
      <c r="AS541" s="3" t="s">
        <v>65</v>
      </c>
      <c r="AT541" s="3" t="s">
        <v>65</v>
      </c>
      <c r="AV541" s="6" t="str">
        <f>HYPERLINK("http://mcgill.on.worldcat.org/oclc/757932088","Catalog Record")</f>
        <v>Catalog Record</v>
      </c>
      <c r="AW541" s="6" t="str">
        <f>HYPERLINK("http://www.worldcat.org/oclc/757932088","WorldCat Record")</f>
        <v>WorldCat Record</v>
      </c>
      <c r="AX541" s="3" t="s">
        <v>5820</v>
      </c>
      <c r="AY541" s="3" t="s">
        <v>5821</v>
      </c>
      <c r="AZ541" s="3" t="s">
        <v>5822</v>
      </c>
      <c r="BA541" s="3" t="s">
        <v>5822</v>
      </c>
      <c r="BB541" s="3" t="s">
        <v>5823</v>
      </c>
      <c r="BC541" s="3" t="s">
        <v>77</v>
      </c>
      <c r="BD541" s="3" t="s">
        <v>78</v>
      </c>
      <c r="BE541" s="3" t="s">
        <v>5824</v>
      </c>
      <c r="BF541" s="3" t="s">
        <v>5823</v>
      </c>
      <c r="BG541" s="3" t="s">
        <v>5825</v>
      </c>
    </row>
    <row r="542" spans="1:59" ht="72.5" x14ac:dyDescent="0.35">
      <c r="A542" s="2" t="s">
        <v>59</v>
      </c>
      <c r="B542" s="2" t="s">
        <v>60</v>
      </c>
      <c r="C542" s="2" t="s">
        <v>5826</v>
      </c>
      <c r="D542" s="2" t="s">
        <v>5827</v>
      </c>
      <c r="E542" s="2" t="s">
        <v>5828</v>
      </c>
      <c r="F542" s="3" t="s">
        <v>258</v>
      </c>
      <c r="G542" s="3" t="s">
        <v>209</v>
      </c>
      <c r="I542" s="3" t="s">
        <v>65</v>
      </c>
      <c r="J542" s="3" t="s">
        <v>65</v>
      </c>
      <c r="K542" s="3" t="s">
        <v>66</v>
      </c>
      <c r="M542" s="2" t="s">
        <v>5829</v>
      </c>
      <c r="N542" s="3" t="s">
        <v>1032</v>
      </c>
      <c r="P542" s="3" t="s">
        <v>140</v>
      </c>
      <c r="Q542" s="2" t="s">
        <v>5830</v>
      </c>
      <c r="R542" s="3" t="s">
        <v>71</v>
      </c>
      <c r="S542" s="4">
        <v>1</v>
      </c>
      <c r="T542" s="4">
        <v>3</v>
      </c>
      <c r="U542" s="5" t="s">
        <v>5831</v>
      </c>
      <c r="V542" s="5" t="s">
        <v>5832</v>
      </c>
      <c r="W542" s="5" t="s">
        <v>72</v>
      </c>
      <c r="X542" s="5" t="s">
        <v>72</v>
      </c>
      <c r="Y542" s="4">
        <v>52</v>
      </c>
      <c r="Z542" s="4">
        <v>4</v>
      </c>
      <c r="AA542" s="4">
        <v>4</v>
      </c>
      <c r="AB542" s="4">
        <v>1</v>
      </c>
      <c r="AC542" s="4">
        <v>1</v>
      </c>
      <c r="AD542" s="4">
        <v>36</v>
      </c>
      <c r="AE542" s="4">
        <v>36</v>
      </c>
      <c r="AF542" s="4">
        <v>0</v>
      </c>
      <c r="AG542" s="4">
        <v>0</v>
      </c>
      <c r="AH542" s="4">
        <v>35</v>
      </c>
      <c r="AI542" s="4">
        <v>35</v>
      </c>
      <c r="AJ542" s="4">
        <v>2</v>
      </c>
      <c r="AK542" s="4">
        <v>2</v>
      </c>
      <c r="AL542" s="4">
        <v>27</v>
      </c>
      <c r="AM542" s="4">
        <v>27</v>
      </c>
      <c r="AN542" s="4">
        <v>0</v>
      </c>
      <c r="AO542" s="4">
        <v>0</v>
      </c>
      <c r="AP542" s="4">
        <v>2</v>
      </c>
      <c r="AQ542" s="4">
        <v>2</v>
      </c>
      <c r="AR542" s="3" t="s">
        <v>65</v>
      </c>
      <c r="AS542" s="3" t="s">
        <v>65</v>
      </c>
      <c r="AT542" s="3" t="s">
        <v>209</v>
      </c>
      <c r="AU542" s="6" t="str">
        <f>HYPERLINK("http://catalog.hathitrust.org/Record/007558402","HathiTrust Record")</f>
        <v>HathiTrust Record</v>
      </c>
      <c r="AV542" s="6" t="str">
        <f>HYPERLINK("http://mcgill.on.worldcat.org/oclc/34517493","Catalog Record")</f>
        <v>Catalog Record</v>
      </c>
      <c r="AW542" s="6" t="str">
        <f>HYPERLINK("http://www.worldcat.org/oclc/34517493","WorldCat Record")</f>
        <v>WorldCat Record</v>
      </c>
      <c r="AX542" s="3" t="s">
        <v>5833</v>
      </c>
      <c r="AY542" s="3" t="s">
        <v>5834</v>
      </c>
      <c r="AZ542" s="3" t="s">
        <v>5835</v>
      </c>
      <c r="BA542" s="3" t="s">
        <v>5835</v>
      </c>
      <c r="BB542" s="3" t="s">
        <v>5836</v>
      </c>
      <c r="BC542" s="3" t="s">
        <v>77</v>
      </c>
      <c r="BD542" s="3" t="s">
        <v>78</v>
      </c>
      <c r="BE542" s="3" t="s">
        <v>5837</v>
      </c>
      <c r="BF542" s="3" t="s">
        <v>5836</v>
      </c>
      <c r="BG542" s="3" t="s">
        <v>5838</v>
      </c>
    </row>
    <row r="543" spans="1:59" ht="72.5" x14ac:dyDescent="0.35">
      <c r="A543" s="2" t="s">
        <v>59</v>
      </c>
      <c r="B543" s="2" t="s">
        <v>60</v>
      </c>
      <c r="C543" s="2" t="s">
        <v>5826</v>
      </c>
      <c r="D543" s="2" t="s">
        <v>5827</v>
      </c>
      <c r="E543" s="2" t="s">
        <v>5828</v>
      </c>
      <c r="F543" s="3" t="s">
        <v>245</v>
      </c>
      <c r="G543" s="3" t="s">
        <v>209</v>
      </c>
      <c r="I543" s="3" t="s">
        <v>65</v>
      </c>
      <c r="J543" s="3" t="s">
        <v>65</v>
      </c>
      <c r="K543" s="3" t="s">
        <v>66</v>
      </c>
      <c r="M543" s="2" t="s">
        <v>5829</v>
      </c>
      <c r="N543" s="3" t="s">
        <v>1032</v>
      </c>
      <c r="P543" s="3" t="s">
        <v>140</v>
      </c>
      <c r="Q543" s="2" t="s">
        <v>5830</v>
      </c>
      <c r="R543" s="3" t="s">
        <v>71</v>
      </c>
      <c r="S543" s="4">
        <v>2</v>
      </c>
      <c r="T543" s="4">
        <v>3</v>
      </c>
      <c r="U543" s="5" t="s">
        <v>5832</v>
      </c>
      <c r="V543" s="5" t="s">
        <v>5832</v>
      </c>
      <c r="W543" s="5" t="s">
        <v>72</v>
      </c>
      <c r="X543" s="5" t="s">
        <v>72</v>
      </c>
      <c r="Y543" s="4">
        <v>52</v>
      </c>
      <c r="Z543" s="4">
        <v>4</v>
      </c>
      <c r="AA543" s="4">
        <v>4</v>
      </c>
      <c r="AB543" s="4">
        <v>1</v>
      </c>
      <c r="AC543" s="4">
        <v>1</v>
      </c>
      <c r="AD543" s="4">
        <v>36</v>
      </c>
      <c r="AE543" s="4">
        <v>36</v>
      </c>
      <c r="AF543" s="4">
        <v>0</v>
      </c>
      <c r="AG543" s="4">
        <v>0</v>
      </c>
      <c r="AH543" s="4">
        <v>35</v>
      </c>
      <c r="AI543" s="4">
        <v>35</v>
      </c>
      <c r="AJ543" s="4">
        <v>2</v>
      </c>
      <c r="AK543" s="4">
        <v>2</v>
      </c>
      <c r="AL543" s="4">
        <v>27</v>
      </c>
      <c r="AM543" s="4">
        <v>27</v>
      </c>
      <c r="AN543" s="4">
        <v>0</v>
      </c>
      <c r="AO543" s="4">
        <v>0</v>
      </c>
      <c r="AP543" s="4">
        <v>2</v>
      </c>
      <c r="AQ543" s="4">
        <v>2</v>
      </c>
      <c r="AR543" s="3" t="s">
        <v>65</v>
      </c>
      <c r="AS543" s="3" t="s">
        <v>65</v>
      </c>
      <c r="AT543" s="3" t="s">
        <v>209</v>
      </c>
      <c r="AU543" s="6" t="str">
        <f>HYPERLINK("http://catalog.hathitrust.org/Record/007558402","HathiTrust Record")</f>
        <v>HathiTrust Record</v>
      </c>
      <c r="AV543" s="6" t="str">
        <f>HYPERLINK("http://mcgill.on.worldcat.org/oclc/34517493","Catalog Record")</f>
        <v>Catalog Record</v>
      </c>
      <c r="AW543" s="6" t="str">
        <f>HYPERLINK("http://www.worldcat.org/oclc/34517493","WorldCat Record")</f>
        <v>WorldCat Record</v>
      </c>
      <c r="AX543" s="3" t="s">
        <v>5833</v>
      </c>
      <c r="AY543" s="3" t="s">
        <v>5834</v>
      </c>
      <c r="AZ543" s="3" t="s">
        <v>5835</v>
      </c>
      <c r="BA543" s="3" t="s">
        <v>5835</v>
      </c>
      <c r="BB543" s="3" t="s">
        <v>5839</v>
      </c>
      <c r="BC543" s="3" t="s">
        <v>77</v>
      </c>
      <c r="BD543" s="3" t="s">
        <v>78</v>
      </c>
      <c r="BE543" s="3" t="s">
        <v>5837</v>
      </c>
      <c r="BF543" s="3" t="s">
        <v>5839</v>
      </c>
      <c r="BG543" s="3" t="s">
        <v>5840</v>
      </c>
    </row>
    <row r="544" spans="1:59" ht="58" x14ac:dyDescent="0.35">
      <c r="A544" s="2" t="s">
        <v>59</v>
      </c>
      <c r="B544" s="2" t="s">
        <v>60</v>
      </c>
      <c r="C544" s="2" t="s">
        <v>5841</v>
      </c>
      <c r="D544" s="2" t="s">
        <v>5842</v>
      </c>
      <c r="E544" s="2" t="s">
        <v>5843</v>
      </c>
      <c r="G544" s="3" t="s">
        <v>65</v>
      </c>
      <c r="I544" s="3" t="s">
        <v>65</v>
      </c>
      <c r="J544" s="3" t="s">
        <v>65</v>
      </c>
      <c r="K544" s="3" t="s">
        <v>66</v>
      </c>
      <c r="L544" s="2" t="s">
        <v>5844</v>
      </c>
      <c r="M544" s="2" t="s">
        <v>5845</v>
      </c>
      <c r="N544" s="3" t="s">
        <v>176</v>
      </c>
      <c r="P544" s="3" t="s">
        <v>140</v>
      </c>
      <c r="Q544" s="2" t="s">
        <v>5846</v>
      </c>
      <c r="R544" s="3" t="s">
        <v>71</v>
      </c>
      <c r="S544" s="4">
        <v>0</v>
      </c>
      <c r="T544" s="4">
        <v>0</v>
      </c>
      <c r="W544" s="5" t="s">
        <v>72</v>
      </c>
      <c r="X544" s="5" t="s">
        <v>72</v>
      </c>
      <c r="Y544" s="4">
        <v>43</v>
      </c>
      <c r="Z544" s="4">
        <v>3</v>
      </c>
      <c r="AA544" s="4">
        <v>3</v>
      </c>
      <c r="AB544" s="4">
        <v>1</v>
      </c>
      <c r="AC544" s="4">
        <v>1</v>
      </c>
      <c r="AD544" s="4">
        <v>31</v>
      </c>
      <c r="AE544" s="4">
        <v>31</v>
      </c>
      <c r="AF544" s="4">
        <v>0</v>
      </c>
      <c r="AG544" s="4">
        <v>0</v>
      </c>
      <c r="AH544" s="4">
        <v>30</v>
      </c>
      <c r="AI544" s="4">
        <v>30</v>
      </c>
      <c r="AJ544" s="4">
        <v>1</v>
      </c>
      <c r="AK544" s="4">
        <v>1</v>
      </c>
      <c r="AL544" s="4">
        <v>26</v>
      </c>
      <c r="AM544" s="4">
        <v>26</v>
      </c>
      <c r="AN544" s="4">
        <v>0</v>
      </c>
      <c r="AO544" s="4">
        <v>0</v>
      </c>
      <c r="AP544" s="4">
        <v>1</v>
      </c>
      <c r="AQ544" s="4">
        <v>1</v>
      </c>
      <c r="AR544" s="3" t="s">
        <v>65</v>
      </c>
      <c r="AS544" s="3" t="s">
        <v>65</v>
      </c>
      <c r="AT544" s="3" t="s">
        <v>65</v>
      </c>
      <c r="AV544" s="6" t="str">
        <f>HYPERLINK("http://mcgill.on.worldcat.org/oclc/919001707","Catalog Record")</f>
        <v>Catalog Record</v>
      </c>
      <c r="AW544" s="6" t="str">
        <f>HYPERLINK("http://www.worldcat.org/oclc/919001707","WorldCat Record")</f>
        <v>WorldCat Record</v>
      </c>
      <c r="AX544" s="3" t="s">
        <v>5847</v>
      </c>
      <c r="AY544" s="3" t="s">
        <v>5848</v>
      </c>
      <c r="AZ544" s="3" t="s">
        <v>5849</v>
      </c>
      <c r="BA544" s="3" t="s">
        <v>5849</v>
      </c>
      <c r="BB544" s="3" t="s">
        <v>5850</v>
      </c>
      <c r="BC544" s="3" t="s">
        <v>77</v>
      </c>
      <c r="BD544" s="3" t="s">
        <v>78</v>
      </c>
      <c r="BE544" s="3" t="s">
        <v>5851</v>
      </c>
      <c r="BF544" s="3" t="s">
        <v>5850</v>
      </c>
      <c r="BG544" s="3" t="s">
        <v>5852</v>
      </c>
    </row>
    <row r="545" spans="1:59" ht="58" x14ac:dyDescent="0.35">
      <c r="A545" s="2" t="s">
        <v>59</v>
      </c>
      <c r="B545" s="2" t="s">
        <v>60</v>
      </c>
      <c r="C545" s="2" t="s">
        <v>5853</v>
      </c>
      <c r="D545" s="2" t="s">
        <v>5854</v>
      </c>
      <c r="E545" s="2" t="s">
        <v>5855</v>
      </c>
      <c r="G545" s="3" t="s">
        <v>65</v>
      </c>
      <c r="I545" s="3" t="s">
        <v>65</v>
      </c>
      <c r="J545" s="3" t="s">
        <v>65</v>
      </c>
      <c r="K545" s="3" t="s">
        <v>66</v>
      </c>
      <c r="L545" s="2" t="s">
        <v>5856</v>
      </c>
      <c r="M545" s="2" t="s">
        <v>5818</v>
      </c>
      <c r="N545" s="3" t="s">
        <v>139</v>
      </c>
      <c r="P545" s="3" t="s">
        <v>69</v>
      </c>
      <c r="Q545" s="2" t="s">
        <v>5857</v>
      </c>
      <c r="R545" s="3" t="s">
        <v>71</v>
      </c>
      <c r="S545" s="4">
        <v>1</v>
      </c>
      <c r="T545" s="4">
        <v>1</v>
      </c>
      <c r="U545" s="5" t="s">
        <v>5858</v>
      </c>
      <c r="V545" s="5" t="s">
        <v>5858</v>
      </c>
      <c r="W545" s="5" t="s">
        <v>72</v>
      </c>
      <c r="X545" s="5" t="s">
        <v>72</v>
      </c>
      <c r="Y545" s="4">
        <v>68</v>
      </c>
      <c r="Z545" s="4">
        <v>5</v>
      </c>
      <c r="AA545" s="4">
        <v>9</v>
      </c>
      <c r="AB545" s="4">
        <v>1</v>
      </c>
      <c r="AC545" s="4">
        <v>4</v>
      </c>
      <c r="AD545" s="4">
        <v>31</v>
      </c>
      <c r="AE545" s="4">
        <v>39</v>
      </c>
      <c r="AF545" s="4">
        <v>0</v>
      </c>
      <c r="AG545" s="4">
        <v>0</v>
      </c>
      <c r="AH545" s="4">
        <v>30</v>
      </c>
      <c r="AI545" s="4">
        <v>38</v>
      </c>
      <c r="AJ545" s="4">
        <v>4</v>
      </c>
      <c r="AK545" s="4">
        <v>5</v>
      </c>
      <c r="AL545" s="4">
        <v>20</v>
      </c>
      <c r="AM545" s="4">
        <v>26</v>
      </c>
      <c r="AN545" s="4">
        <v>0</v>
      </c>
      <c r="AO545" s="4">
        <v>0</v>
      </c>
      <c r="AP545" s="4">
        <v>4</v>
      </c>
      <c r="AQ545" s="4">
        <v>5</v>
      </c>
      <c r="AR545" s="3" t="s">
        <v>65</v>
      </c>
      <c r="AS545" s="3" t="s">
        <v>65</v>
      </c>
      <c r="AT545" s="3" t="s">
        <v>65</v>
      </c>
      <c r="AV545" s="6" t="str">
        <f>HYPERLINK("http://mcgill.on.worldcat.org/oclc/775030521","Catalog Record")</f>
        <v>Catalog Record</v>
      </c>
      <c r="AW545" s="6" t="str">
        <f>HYPERLINK("http://www.worldcat.org/oclc/775030521","WorldCat Record")</f>
        <v>WorldCat Record</v>
      </c>
      <c r="AX545" s="3" t="s">
        <v>5859</v>
      </c>
      <c r="AY545" s="3" t="s">
        <v>5860</v>
      </c>
      <c r="AZ545" s="3" t="s">
        <v>5861</v>
      </c>
      <c r="BA545" s="3" t="s">
        <v>5861</v>
      </c>
      <c r="BB545" s="3" t="s">
        <v>5862</v>
      </c>
      <c r="BC545" s="3" t="s">
        <v>77</v>
      </c>
      <c r="BD545" s="3" t="s">
        <v>78</v>
      </c>
      <c r="BE545" s="3" t="s">
        <v>5863</v>
      </c>
      <c r="BF545" s="3" t="s">
        <v>5862</v>
      </c>
      <c r="BG545" s="3" t="s">
        <v>5864</v>
      </c>
    </row>
    <row r="546" spans="1:59" ht="58" x14ac:dyDescent="0.35">
      <c r="A546" s="2" t="s">
        <v>59</v>
      </c>
      <c r="B546" s="2" t="s">
        <v>60</v>
      </c>
      <c r="C546" s="2" t="s">
        <v>5865</v>
      </c>
      <c r="D546" s="2" t="s">
        <v>5866</v>
      </c>
      <c r="E546" s="2" t="s">
        <v>5867</v>
      </c>
      <c r="G546" s="3" t="s">
        <v>65</v>
      </c>
      <c r="I546" s="3" t="s">
        <v>65</v>
      </c>
      <c r="J546" s="3" t="s">
        <v>65</v>
      </c>
      <c r="K546" s="3" t="s">
        <v>66</v>
      </c>
      <c r="L546" s="2" t="s">
        <v>3434</v>
      </c>
      <c r="M546" s="2" t="s">
        <v>5868</v>
      </c>
      <c r="N546" s="3" t="s">
        <v>221</v>
      </c>
      <c r="P546" s="3" t="s">
        <v>140</v>
      </c>
      <c r="Q546" s="2" t="s">
        <v>5869</v>
      </c>
      <c r="R546" s="3" t="s">
        <v>71</v>
      </c>
      <c r="S546" s="4">
        <v>12</v>
      </c>
      <c r="T546" s="4">
        <v>12</v>
      </c>
      <c r="U546" s="5" t="s">
        <v>2415</v>
      </c>
      <c r="V546" s="5" t="s">
        <v>2415</v>
      </c>
      <c r="W546" s="5" t="s">
        <v>72</v>
      </c>
      <c r="X546" s="5" t="s">
        <v>72</v>
      </c>
      <c r="Y546" s="4">
        <v>95</v>
      </c>
      <c r="Z546" s="4">
        <v>7</v>
      </c>
      <c r="AA546" s="4">
        <v>8</v>
      </c>
      <c r="AB546" s="4">
        <v>2</v>
      </c>
      <c r="AC546" s="4">
        <v>3</v>
      </c>
      <c r="AD546" s="4">
        <v>44</v>
      </c>
      <c r="AE546" s="4">
        <v>45</v>
      </c>
      <c r="AF546" s="4">
        <v>1</v>
      </c>
      <c r="AG546" s="4">
        <v>2</v>
      </c>
      <c r="AH546" s="4">
        <v>41</v>
      </c>
      <c r="AI546" s="4">
        <v>41</v>
      </c>
      <c r="AJ546" s="4">
        <v>5</v>
      </c>
      <c r="AK546" s="4">
        <v>6</v>
      </c>
      <c r="AL546" s="4">
        <v>30</v>
      </c>
      <c r="AM546" s="4">
        <v>30</v>
      </c>
      <c r="AN546" s="4">
        <v>0</v>
      </c>
      <c r="AO546" s="4">
        <v>0</v>
      </c>
      <c r="AP546" s="4">
        <v>5</v>
      </c>
      <c r="AQ546" s="4">
        <v>5</v>
      </c>
      <c r="AR546" s="3" t="s">
        <v>65</v>
      </c>
      <c r="AS546" s="3" t="s">
        <v>65</v>
      </c>
      <c r="AT546" s="3" t="s">
        <v>209</v>
      </c>
      <c r="AU546" s="6" t="str">
        <f>HYPERLINK("http://catalog.hathitrust.org/Record/007148302","HathiTrust Record")</f>
        <v>HathiTrust Record</v>
      </c>
      <c r="AV546" s="6" t="str">
        <f>HYPERLINK("http://mcgill.on.worldcat.org/oclc/143593435","Catalog Record")</f>
        <v>Catalog Record</v>
      </c>
      <c r="AW546" s="6" t="str">
        <f>HYPERLINK("http://www.worldcat.org/oclc/143593435","WorldCat Record")</f>
        <v>WorldCat Record</v>
      </c>
      <c r="AX546" s="3" t="s">
        <v>5870</v>
      </c>
      <c r="AY546" s="3" t="s">
        <v>5871</v>
      </c>
      <c r="AZ546" s="3" t="s">
        <v>5872</v>
      </c>
      <c r="BA546" s="3" t="s">
        <v>5872</v>
      </c>
      <c r="BB546" s="3" t="s">
        <v>5873</v>
      </c>
      <c r="BC546" s="3" t="s">
        <v>77</v>
      </c>
      <c r="BD546" s="3" t="s">
        <v>78</v>
      </c>
      <c r="BE546" s="3" t="s">
        <v>5874</v>
      </c>
      <c r="BF546" s="3" t="s">
        <v>5873</v>
      </c>
      <c r="BG546" s="3" t="s">
        <v>5875</v>
      </c>
    </row>
    <row r="547" spans="1:59" ht="58" x14ac:dyDescent="0.35">
      <c r="A547" s="2" t="s">
        <v>59</v>
      </c>
      <c r="B547" s="2" t="s">
        <v>60</v>
      </c>
      <c r="C547" s="2" t="s">
        <v>5876</v>
      </c>
      <c r="D547" s="2" t="s">
        <v>5877</v>
      </c>
      <c r="E547" s="2" t="s">
        <v>5878</v>
      </c>
      <c r="G547" s="3" t="s">
        <v>65</v>
      </c>
      <c r="I547" s="3" t="s">
        <v>65</v>
      </c>
      <c r="J547" s="3" t="s">
        <v>209</v>
      </c>
      <c r="K547" s="3" t="s">
        <v>66</v>
      </c>
      <c r="L547" s="2" t="s">
        <v>5879</v>
      </c>
      <c r="M547" s="2" t="s">
        <v>5880</v>
      </c>
      <c r="N547" s="3" t="s">
        <v>1173</v>
      </c>
      <c r="O547" s="2" t="s">
        <v>5881</v>
      </c>
      <c r="P547" s="3" t="s">
        <v>140</v>
      </c>
      <c r="Q547" s="2" t="s">
        <v>5882</v>
      </c>
      <c r="R547" s="3" t="s">
        <v>71</v>
      </c>
      <c r="S547" s="4">
        <v>15</v>
      </c>
      <c r="T547" s="4">
        <v>15</v>
      </c>
      <c r="U547" s="5" t="s">
        <v>3606</v>
      </c>
      <c r="V547" s="5" t="s">
        <v>3606</v>
      </c>
      <c r="W547" s="5" t="s">
        <v>72</v>
      </c>
      <c r="X547" s="5" t="s">
        <v>72</v>
      </c>
      <c r="Y547" s="4">
        <v>140</v>
      </c>
      <c r="Z547" s="4">
        <v>15</v>
      </c>
      <c r="AA547" s="4">
        <v>21</v>
      </c>
      <c r="AB547" s="4">
        <v>2</v>
      </c>
      <c r="AC547" s="4">
        <v>3</v>
      </c>
      <c r="AD547" s="4">
        <v>63</v>
      </c>
      <c r="AE547" s="4">
        <v>89</v>
      </c>
      <c r="AF547" s="4">
        <v>1</v>
      </c>
      <c r="AG547" s="4">
        <v>2</v>
      </c>
      <c r="AH547" s="4">
        <v>57</v>
      </c>
      <c r="AI547" s="4">
        <v>80</v>
      </c>
      <c r="AJ547" s="4">
        <v>11</v>
      </c>
      <c r="AK547" s="4">
        <v>15</v>
      </c>
      <c r="AL547" s="4">
        <v>34</v>
      </c>
      <c r="AM547" s="4">
        <v>50</v>
      </c>
      <c r="AN547" s="4">
        <v>0</v>
      </c>
      <c r="AO547" s="4">
        <v>0</v>
      </c>
      <c r="AP547" s="4">
        <v>11</v>
      </c>
      <c r="AQ547" s="4">
        <v>14</v>
      </c>
      <c r="AR547" s="3" t="s">
        <v>65</v>
      </c>
      <c r="AS547" s="3" t="s">
        <v>65</v>
      </c>
      <c r="AT547" s="3" t="s">
        <v>209</v>
      </c>
      <c r="AU547" s="6" t="str">
        <f>HYPERLINK("http://catalog.hathitrust.org/Record/001218137","HathiTrust Record")</f>
        <v>HathiTrust Record</v>
      </c>
      <c r="AV547" s="6" t="str">
        <f>HYPERLINK("http://mcgill.on.worldcat.org/oclc/366148","Catalog Record")</f>
        <v>Catalog Record</v>
      </c>
      <c r="AW547" s="6" t="str">
        <f>HYPERLINK("http://www.worldcat.org/oclc/366148","WorldCat Record")</f>
        <v>WorldCat Record</v>
      </c>
      <c r="AX547" s="3" t="s">
        <v>5883</v>
      </c>
      <c r="AY547" s="3" t="s">
        <v>5884</v>
      </c>
      <c r="AZ547" s="3" t="s">
        <v>5885</v>
      </c>
      <c r="BA547" s="3" t="s">
        <v>5885</v>
      </c>
      <c r="BB547" s="3" t="s">
        <v>5886</v>
      </c>
      <c r="BC547" s="3" t="s">
        <v>77</v>
      </c>
      <c r="BD547" s="3" t="s">
        <v>78</v>
      </c>
      <c r="BF547" s="3" t="s">
        <v>5886</v>
      </c>
      <c r="BG547" s="3" t="s">
        <v>5887</v>
      </c>
    </row>
    <row r="548" spans="1:59" ht="58" x14ac:dyDescent="0.35">
      <c r="A548" s="2" t="s">
        <v>59</v>
      </c>
      <c r="B548" s="2" t="s">
        <v>60</v>
      </c>
      <c r="C548" s="2" t="s">
        <v>5888</v>
      </c>
      <c r="D548" s="2" t="s">
        <v>5889</v>
      </c>
      <c r="E548" s="2" t="s">
        <v>5890</v>
      </c>
      <c r="G548" s="3" t="s">
        <v>65</v>
      </c>
      <c r="I548" s="3" t="s">
        <v>65</v>
      </c>
      <c r="J548" s="3" t="s">
        <v>65</v>
      </c>
      <c r="K548" s="3" t="s">
        <v>66</v>
      </c>
      <c r="L548" s="2" t="s">
        <v>5891</v>
      </c>
      <c r="M548" s="2" t="s">
        <v>5892</v>
      </c>
      <c r="N548" s="3" t="s">
        <v>68</v>
      </c>
      <c r="O548" s="2" t="s">
        <v>235</v>
      </c>
      <c r="P548" s="3" t="s">
        <v>140</v>
      </c>
      <c r="R548" s="3" t="s">
        <v>71</v>
      </c>
      <c r="S548" s="4">
        <v>0</v>
      </c>
      <c r="T548" s="4">
        <v>0</v>
      </c>
      <c r="W548" s="5" t="s">
        <v>72</v>
      </c>
      <c r="X548" s="5" t="s">
        <v>72</v>
      </c>
      <c r="Y548" s="4">
        <v>24</v>
      </c>
      <c r="Z548" s="4">
        <v>4</v>
      </c>
      <c r="AA548" s="4">
        <v>4</v>
      </c>
      <c r="AB548" s="4">
        <v>1</v>
      </c>
      <c r="AC548" s="4">
        <v>1</v>
      </c>
      <c r="AD548" s="4">
        <v>14</v>
      </c>
      <c r="AE548" s="4">
        <v>14</v>
      </c>
      <c r="AF548" s="4">
        <v>0</v>
      </c>
      <c r="AG548" s="4">
        <v>0</v>
      </c>
      <c r="AH548" s="4">
        <v>13</v>
      </c>
      <c r="AI548" s="4">
        <v>13</v>
      </c>
      <c r="AJ548" s="4">
        <v>2</v>
      </c>
      <c r="AK548" s="4">
        <v>2</v>
      </c>
      <c r="AL548" s="4">
        <v>10</v>
      </c>
      <c r="AM548" s="4">
        <v>10</v>
      </c>
      <c r="AN548" s="4">
        <v>0</v>
      </c>
      <c r="AO548" s="4">
        <v>0</v>
      </c>
      <c r="AP548" s="4">
        <v>2</v>
      </c>
      <c r="AQ548" s="4">
        <v>2</v>
      </c>
      <c r="AR548" s="3" t="s">
        <v>65</v>
      </c>
      <c r="AS548" s="3" t="s">
        <v>65</v>
      </c>
      <c r="AT548" s="3" t="s">
        <v>65</v>
      </c>
      <c r="AV548" s="6" t="str">
        <f>HYPERLINK("http://mcgill.on.worldcat.org/oclc/950888904","Catalog Record")</f>
        <v>Catalog Record</v>
      </c>
      <c r="AW548" s="6" t="str">
        <f>HYPERLINK("http://www.worldcat.org/oclc/950888904","WorldCat Record")</f>
        <v>WorldCat Record</v>
      </c>
      <c r="AX548" s="3" t="s">
        <v>5893</v>
      </c>
      <c r="AY548" s="3" t="s">
        <v>5894</v>
      </c>
      <c r="AZ548" s="3" t="s">
        <v>5895</v>
      </c>
      <c r="BA548" s="3" t="s">
        <v>5895</v>
      </c>
      <c r="BB548" s="3" t="s">
        <v>5896</v>
      </c>
      <c r="BC548" s="3" t="s">
        <v>77</v>
      </c>
      <c r="BD548" s="3" t="s">
        <v>78</v>
      </c>
      <c r="BE548" s="3" t="s">
        <v>5897</v>
      </c>
      <c r="BF548" s="3" t="s">
        <v>5896</v>
      </c>
      <c r="BG548" s="3" t="s">
        <v>5898</v>
      </c>
    </row>
    <row r="549" spans="1:59" ht="58" x14ac:dyDescent="0.35">
      <c r="A549" s="2" t="s">
        <v>59</v>
      </c>
      <c r="B549" s="2" t="s">
        <v>60</v>
      </c>
      <c r="C549" s="2" t="s">
        <v>5899</v>
      </c>
      <c r="D549" s="2" t="s">
        <v>5900</v>
      </c>
      <c r="E549" s="2" t="s">
        <v>5901</v>
      </c>
      <c r="G549" s="3" t="s">
        <v>65</v>
      </c>
      <c r="I549" s="3" t="s">
        <v>65</v>
      </c>
      <c r="J549" s="3" t="s">
        <v>65</v>
      </c>
      <c r="K549" s="3" t="s">
        <v>66</v>
      </c>
      <c r="L549" s="2" t="s">
        <v>5902</v>
      </c>
      <c r="M549" s="2" t="s">
        <v>5903</v>
      </c>
      <c r="N549" s="3" t="s">
        <v>176</v>
      </c>
      <c r="P549" s="3" t="s">
        <v>69</v>
      </c>
      <c r="Q549" s="2" t="s">
        <v>5904</v>
      </c>
      <c r="R549" s="3" t="s">
        <v>71</v>
      </c>
      <c r="S549" s="4">
        <v>1</v>
      </c>
      <c r="T549" s="4">
        <v>1</v>
      </c>
      <c r="U549" s="5" t="s">
        <v>1211</v>
      </c>
      <c r="V549" s="5" t="s">
        <v>1211</v>
      </c>
      <c r="W549" s="5" t="s">
        <v>72</v>
      </c>
      <c r="X549" s="5" t="s">
        <v>72</v>
      </c>
      <c r="Y549" s="4">
        <v>25</v>
      </c>
      <c r="Z549" s="4">
        <v>3</v>
      </c>
      <c r="AA549" s="4">
        <v>15</v>
      </c>
      <c r="AB549" s="4">
        <v>1</v>
      </c>
      <c r="AC549" s="4">
        <v>4</v>
      </c>
      <c r="AD549" s="4">
        <v>12</v>
      </c>
      <c r="AE549" s="4">
        <v>46</v>
      </c>
      <c r="AF549" s="4">
        <v>0</v>
      </c>
      <c r="AG549" s="4">
        <v>0</v>
      </c>
      <c r="AH549" s="4">
        <v>12</v>
      </c>
      <c r="AI549" s="4">
        <v>44</v>
      </c>
      <c r="AJ549" s="4">
        <v>2</v>
      </c>
      <c r="AK549" s="4">
        <v>8</v>
      </c>
      <c r="AL549" s="4">
        <v>8</v>
      </c>
      <c r="AM549" s="4">
        <v>28</v>
      </c>
      <c r="AN549" s="4">
        <v>0</v>
      </c>
      <c r="AO549" s="4">
        <v>0</v>
      </c>
      <c r="AP549" s="4">
        <v>2</v>
      </c>
      <c r="AQ549" s="4">
        <v>8</v>
      </c>
      <c r="AR549" s="3" t="s">
        <v>65</v>
      </c>
      <c r="AS549" s="3" t="s">
        <v>65</v>
      </c>
      <c r="AT549" s="3" t="s">
        <v>65</v>
      </c>
      <c r="AV549" s="6" t="str">
        <f>HYPERLINK("http://mcgill.on.worldcat.org/oclc/926876231","Catalog Record")</f>
        <v>Catalog Record</v>
      </c>
      <c r="AW549" s="6" t="str">
        <f>HYPERLINK("http://www.worldcat.org/oclc/926876231","WorldCat Record")</f>
        <v>WorldCat Record</v>
      </c>
      <c r="AX549" s="3" t="s">
        <v>5905</v>
      </c>
      <c r="AY549" s="3" t="s">
        <v>5906</v>
      </c>
      <c r="AZ549" s="3" t="s">
        <v>5907</v>
      </c>
      <c r="BA549" s="3" t="s">
        <v>5907</v>
      </c>
      <c r="BB549" s="3" t="s">
        <v>5908</v>
      </c>
      <c r="BC549" s="3" t="s">
        <v>77</v>
      </c>
      <c r="BD549" s="3" t="s">
        <v>78</v>
      </c>
      <c r="BE549" s="3" t="s">
        <v>5909</v>
      </c>
      <c r="BF549" s="3" t="s">
        <v>5908</v>
      </c>
      <c r="BG549" s="3" t="s">
        <v>5910</v>
      </c>
    </row>
    <row r="550" spans="1:59" ht="72.5" x14ac:dyDescent="0.35">
      <c r="A550" s="2" t="s">
        <v>59</v>
      </c>
      <c r="B550" s="2" t="s">
        <v>60</v>
      </c>
      <c r="C550" s="2" t="s">
        <v>5911</v>
      </c>
      <c r="D550" s="2" t="s">
        <v>5912</v>
      </c>
      <c r="E550" s="2" t="s">
        <v>5913</v>
      </c>
      <c r="G550" s="3" t="s">
        <v>65</v>
      </c>
      <c r="I550" s="3" t="s">
        <v>65</v>
      </c>
      <c r="J550" s="3" t="s">
        <v>65</v>
      </c>
      <c r="K550" s="3" t="s">
        <v>66</v>
      </c>
      <c r="M550" s="2" t="s">
        <v>5914</v>
      </c>
      <c r="N550" s="3" t="s">
        <v>126</v>
      </c>
      <c r="P550" s="3" t="s">
        <v>140</v>
      </c>
      <c r="R550" s="3" t="s">
        <v>71</v>
      </c>
      <c r="S550" s="4">
        <v>0</v>
      </c>
      <c r="T550" s="4">
        <v>0</v>
      </c>
      <c r="W550" s="5" t="s">
        <v>72</v>
      </c>
      <c r="X550" s="5" t="s">
        <v>72</v>
      </c>
      <c r="Y550" s="4">
        <v>13</v>
      </c>
      <c r="Z550" s="4">
        <v>1</v>
      </c>
      <c r="AA550" s="4">
        <v>1</v>
      </c>
      <c r="AB550" s="4">
        <v>1</v>
      </c>
      <c r="AC550" s="4">
        <v>1</v>
      </c>
      <c r="AD550" s="4">
        <v>8</v>
      </c>
      <c r="AE550" s="4">
        <v>8</v>
      </c>
      <c r="AF550" s="4">
        <v>0</v>
      </c>
      <c r="AG550" s="4">
        <v>0</v>
      </c>
      <c r="AH550" s="4">
        <v>7</v>
      </c>
      <c r="AI550" s="4">
        <v>7</v>
      </c>
      <c r="AJ550" s="4">
        <v>0</v>
      </c>
      <c r="AK550" s="4">
        <v>0</v>
      </c>
      <c r="AL550" s="4">
        <v>8</v>
      </c>
      <c r="AM550" s="4">
        <v>8</v>
      </c>
      <c r="AN550" s="4">
        <v>0</v>
      </c>
      <c r="AO550" s="4">
        <v>0</v>
      </c>
      <c r="AP550" s="4">
        <v>0</v>
      </c>
      <c r="AQ550" s="4">
        <v>0</v>
      </c>
      <c r="AR550" s="3" t="s">
        <v>65</v>
      </c>
      <c r="AS550" s="3" t="s">
        <v>65</v>
      </c>
      <c r="AT550" s="3" t="s">
        <v>65</v>
      </c>
      <c r="AV550" s="6" t="str">
        <f>HYPERLINK("http://mcgill.on.worldcat.org/oclc/778785643","Catalog Record")</f>
        <v>Catalog Record</v>
      </c>
      <c r="AW550" s="6" t="str">
        <f>HYPERLINK("http://www.worldcat.org/oclc/778785643","WorldCat Record")</f>
        <v>WorldCat Record</v>
      </c>
      <c r="AX550" s="3" t="s">
        <v>5915</v>
      </c>
      <c r="AY550" s="3" t="s">
        <v>5916</v>
      </c>
      <c r="AZ550" s="3" t="s">
        <v>5917</v>
      </c>
      <c r="BA550" s="3" t="s">
        <v>5917</v>
      </c>
      <c r="BB550" s="3" t="s">
        <v>5918</v>
      </c>
      <c r="BC550" s="3" t="s">
        <v>77</v>
      </c>
      <c r="BD550" s="3" t="s">
        <v>78</v>
      </c>
      <c r="BE550" s="3" t="s">
        <v>5919</v>
      </c>
      <c r="BF550" s="3" t="s">
        <v>5918</v>
      </c>
      <c r="BG550" s="3" t="s">
        <v>5920</v>
      </c>
    </row>
    <row r="551" spans="1:59" ht="58" x14ac:dyDescent="0.35">
      <c r="A551" s="2" t="s">
        <v>59</v>
      </c>
      <c r="B551" s="2" t="s">
        <v>60</v>
      </c>
      <c r="C551" s="2" t="s">
        <v>5921</v>
      </c>
      <c r="D551" s="2" t="s">
        <v>5922</v>
      </c>
      <c r="E551" s="2" t="s">
        <v>5923</v>
      </c>
      <c r="G551" s="3" t="s">
        <v>65</v>
      </c>
      <c r="I551" s="3" t="s">
        <v>65</v>
      </c>
      <c r="J551" s="3" t="s">
        <v>65</v>
      </c>
      <c r="K551" s="3" t="s">
        <v>66</v>
      </c>
      <c r="L551" s="2" t="s">
        <v>5924</v>
      </c>
      <c r="M551" s="2" t="s">
        <v>5925</v>
      </c>
      <c r="N551" s="3" t="s">
        <v>126</v>
      </c>
      <c r="O551" s="2" t="s">
        <v>365</v>
      </c>
      <c r="P551" s="3" t="s">
        <v>140</v>
      </c>
      <c r="Q551" s="2" t="s">
        <v>5926</v>
      </c>
      <c r="R551" s="3" t="s">
        <v>71</v>
      </c>
      <c r="S551" s="4">
        <v>0</v>
      </c>
      <c r="T551" s="4">
        <v>0</v>
      </c>
      <c r="W551" s="5" t="s">
        <v>72</v>
      </c>
      <c r="X551" s="5" t="s">
        <v>72</v>
      </c>
      <c r="Y551" s="4">
        <v>24</v>
      </c>
      <c r="Z551" s="4">
        <v>3</v>
      </c>
      <c r="AA551" s="4">
        <v>5</v>
      </c>
      <c r="AB551" s="4">
        <v>1</v>
      </c>
      <c r="AC551" s="4">
        <v>3</v>
      </c>
      <c r="AD551" s="4">
        <v>18</v>
      </c>
      <c r="AE551" s="4">
        <v>19</v>
      </c>
      <c r="AF551" s="4">
        <v>0</v>
      </c>
      <c r="AG551" s="4">
        <v>1</v>
      </c>
      <c r="AH551" s="4">
        <v>17</v>
      </c>
      <c r="AI551" s="4">
        <v>17</v>
      </c>
      <c r="AJ551" s="4">
        <v>1</v>
      </c>
      <c r="AK551" s="4">
        <v>2</v>
      </c>
      <c r="AL551" s="4">
        <v>15</v>
      </c>
      <c r="AM551" s="4">
        <v>15</v>
      </c>
      <c r="AN551" s="4">
        <v>0</v>
      </c>
      <c r="AO551" s="4">
        <v>0</v>
      </c>
      <c r="AP551" s="4">
        <v>1</v>
      </c>
      <c r="AQ551" s="4">
        <v>1</v>
      </c>
      <c r="AR551" s="3" t="s">
        <v>65</v>
      </c>
      <c r="AS551" s="3" t="s">
        <v>65</v>
      </c>
      <c r="AT551" s="3" t="s">
        <v>65</v>
      </c>
      <c r="AV551" s="6" t="str">
        <f>HYPERLINK("http://mcgill.on.worldcat.org/oclc/774488233","Catalog Record")</f>
        <v>Catalog Record</v>
      </c>
      <c r="AW551" s="6" t="str">
        <f>HYPERLINK("http://www.worldcat.org/oclc/774488233","WorldCat Record")</f>
        <v>WorldCat Record</v>
      </c>
      <c r="AX551" s="3" t="s">
        <v>5927</v>
      </c>
      <c r="AY551" s="3" t="s">
        <v>5928</v>
      </c>
      <c r="AZ551" s="3" t="s">
        <v>5929</v>
      </c>
      <c r="BA551" s="3" t="s">
        <v>5929</v>
      </c>
      <c r="BB551" s="3" t="s">
        <v>5930</v>
      </c>
      <c r="BC551" s="3" t="s">
        <v>77</v>
      </c>
      <c r="BD551" s="3" t="s">
        <v>78</v>
      </c>
      <c r="BE551" s="3" t="s">
        <v>5931</v>
      </c>
      <c r="BF551" s="3" t="s">
        <v>5930</v>
      </c>
      <c r="BG551" s="3" t="s">
        <v>5932</v>
      </c>
    </row>
    <row r="552" spans="1:59" ht="58" x14ac:dyDescent="0.35">
      <c r="A552" s="2" t="s">
        <v>59</v>
      </c>
      <c r="B552" s="2" t="s">
        <v>60</v>
      </c>
      <c r="C552" s="2" t="s">
        <v>5933</v>
      </c>
      <c r="D552" s="2" t="s">
        <v>5934</v>
      </c>
      <c r="E552" s="2" t="s">
        <v>5935</v>
      </c>
      <c r="G552" s="3" t="s">
        <v>65</v>
      </c>
      <c r="I552" s="3" t="s">
        <v>65</v>
      </c>
      <c r="J552" s="3" t="s">
        <v>65</v>
      </c>
      <c r="K552" s="3" t="s">
        <v>66</v>
      </c>
      <c r="L552" s="2" t="s">
        <v>5936</v>
      </c>
      <c r="M552" s="2" t="s">
        <v>5364</v>
      </c>
      <c r="N552" s="3" t="s">
        <v>863</v>
      </c>
      <c r="P552" s="3" t="s">
        <v>69</v>
      </c>
      <c r="R552" s="3" t="s">
        <v>71</v>
      </c>
      <c r="S552" s="4">
        <v>24</v>
      </c>
      <c r="T552" s="4">
        <v>24</v>
      </c>
      <c r="U552" s="5" t="s">
        <v>1871</v>
      </c>
      <c r="V552" s="5" t="s">
        <v>1871</v>
      </c>
      <c r="W552" s="5" t="s">
        <v>72</v>
      </c>
      <c r="X552" s="5" t="s">
        <v>72</v>
      </c>
      <c r="Y552" s="4">
        <v>179</v>
      </c>
      <c r="Z552" s="4">
        <v>20</v>
      </c>
      <c r="AA552" s="4">
        <v>21</v>
      </c>
      <c r="AB552" s="4">
        <v>1</v>
      </c>
      <c r="AC552" s="4">
        <v>2</v>
      </c>
      <c r="AD552" s="4">
        <v>79</v>
      </c>
      <c r="AE552" s="4">
        <v>80</v>
      </c>
      <c r="AF552" s="4">
        <v>0</v>
      </c>
      <c r="AG552" s="4">
        <v>1</v>
      </c>
      <c r="AH552" s="4">
        <v>68</v>
      </c>
      <c r="AI552" s="4">
        <v>68</v>
      </c>
      <c r="AJ552" s="4">
        <v>14</v>
      </c>
      <c r="AK552" s="4">
        <v>15</v>
      </c>
      <c r="AL552" s="4">
        <v>39</v>
      </c>
      <c r="AM552" s="4">
        <v>39</v>
      </c>
      <c r="AN552" s="4">
        <v>0</v>
      </c>
      <c r="AO552" s="4">
        <v>0</v>
      </c>
      <c r="AP552" s="4">
        <v>15</v>
      </c>
      <c r="AQ552" s="4">
        <v>16</v>
      </c>
      <c r="AR552" s="3" t="s">
        <v>65</v>
      </c>
      <c r="AS552" s="3" t="s">
        <v>65</v>
      </c>
      <c r="AT552" s="3" t="s">
        <v>209</v>
      </c>
      <c r="AU552" s="6" t="str">
        <f>HYPERLINK("http://catalog.hathitrust.org/Record/002562426","HathiTrust Record")</f>
        <v>HathiTrust Record</v>
      </c>
      <c r="AV552" s="6" t="str">
        <f>HYPERLINK("http://mcgill.on.worldcat.org/oclc/25631577","Catalog Record")</f>
        <v>Catalog Record</v>
      </c>
      <c r="AW552" s="6" t="str">
        <f>HYPERLINK("http://www.worldcat.org/oclc/25631577","WorldCat Record")</f>
        <v>WorldCat Record</v>
      </c>
      <c r="AX552" s="3" t="s">
        <v>5937</v>
      </c>
      <c r="AY552" s="3" t="s">
        <v>5938</v>
      </c>
      <c r="AZ552" s="3" t="s">
        <v>5939</v>
      </c>
      <c r="BA552" s="3" t="s">
        <v>5939</v>
      </c>
      <c r="BB552" s="3" t="s">
        <v>5940</v>
      </c>
      <c r="BC552" s="3" t="s">
        <v>77</v>
      </c>
      <c r="BD552" s="3" t="s">
        <v>78</v>
      </c>
      <c r="BE552" s="3" t="s">
        <v>5941</v>
      </c>
      <c r="BF552" s="3" t="s">
        <v>5940</v>
      </c>
      <c r="BG552" s="3" t="s">
        <v>5942</v>
      </c>
    </row>
    <row r="553" spans="1:59" ht="58" x14ac:dyDescent="0.35">
      <c r="A553" s="2" t="s">
        <v>59</v>
      </c>
      <c r="B553" s="2" t="s">
        <v>60</v>
      </c>
      <c r="C553" s="2" t="s">
        <v>5943</v>
      </c>
      <c r="D553" s="2" t="s">
        <v>5944</v>
      </c>
      <c r="E553" s="2" t="s">
        <v>5945</v>
      </c>
      <c r="G553" s="3" t="s">
        <v>65</v>
      </c>
      <c r="I553" s="3" t="s">
        <v>65</v>
      </c>
      <c r="J553" s="3" t="s">
        <v>209</v>
      </c>
      <c r="K553" s="3" t="s">
        <v>66</v>
      </c>
      <c r="L553" s="2" t="s">
        <v>5946</v>
      </c>
      <c r="M553" s="2" t="s">
        <v>5947</v>
      </c>
      <c r="N553" s="3" t="s">
        <v>3385</v>
      </c>
      <c r="O553" s="2" t="s">
        <v>365</v>
      </c>
      <c r="P553" s="3" t="s">
        <v>140</v>
      </c>
      <c r="Q553" s="2" t="s">
        <v>5948</v>
      </c>
      <c r="R553" s="3" t="s">
        <v>71</v>
      </c>
      <c r="S553" s="4">
        <v>8</v>
      </c>
      <c r="T553" s="4">
        <v>8</v>
      </c>
      <c r="U553" s="5" t="s">
        <v>5949</v>
      </c>
      <c r="V553" s="5" t="s">
        <v>5949</v>
      </c>
      <c r="W553" s="5" t="s">
        <v>72</v>
      </c>
      <c r="X553" s="5" t="s">
        <v>72</v>
      </c>
      <c r="Y553" s="4">
        <v>67</v>
      </c>
      <c r="Z553" s="4">
        <v>3</v>
      </c>
      <c r="AA553" s="4">
        <v>10</v>
      </c>
      <c r="AB553" s="4">
        <v>1</v>
      </c>
      <c r="AC553" s="4">
        <v>2</v>
      </c>
      <c r="AD553" s="4">
        <v>38</v>
      </c>
      <c r="AE553" s="4">
        <v>54</v>
      </c>
      <c r="AF553" s="4">
        <v>0</v>
      </c>
      <c r="AG553" s="4">
        <v>1</v>
      </c>
      <c r="AH553" s="4">
        <v>38</v>
      </c>
      <c r="AI553" s="4">
        <v>50</v>
      </c>
      <c r="AJ553" s="4">
        <v>2</v>
      </c>
      <c r="AK553" s="4">
        <v>8</v>
      </c>
      <c r="AL553" s="4">
        <v>29</v>
      </c>
      <c r="AM553" s="4">
        <v>37</v>
      </c>
      <c r="AN553" s="4">
        <v>0</v>
      </c>
      <c r="AO553" s="4">
        <v>0</v>
      </c>
      <c r="AP553" s="4">
        <v>2</v>
      </c>
      <c r="AQ553" s="4">
        <v>7</v>
      </c>
      <c r="AR553" s="3" t="s">
        <v>65</v>
      </c>
      <c r="AS553" s="3" t="s">
        <v>65</v>
      </c>
      <c r="AT553" s="3" t="s">
        <v>209</v>
      </c>
      <c r="AU553" s="6" t="str">
        <f>HYPERLINK("http://catalog.hathitrust.org/Record/004072798","HathiTrust Record")</f>
        <v>HathiTrust Record</v>
      </c>
      <c r="AV553" s="6" t="str">
        <f>HYPERLINK("http://mcgill.on.worldcat.org/oclc/42461771","Catalog Record")</f>
        <v>Catalog Record</v>
      </c>
      <c r="AW553" s="6" t="str">
        <f>HYPERLINK("http://www.worldcat.org/oclc/42461771","WorldCat Record")</f>
        <v>WorldCat Record</v>
      </c>
      <c r="AX553" s="3" t="s">
        <v>5950</v>
      </c>
      <c r="AY553" s="3" t="s">
        <v>5951</v>
      </c>
      <c r="AZ553" s="3" t="s">
        <v>5952</v>
      </c>
      <c r="BA553" s="3" t="s">
        <v>5952</v>
      </c>
      <c r="BB553" s="3" t="s">
        <v>5953</v>
      </c>
      <c r="BC553" s="3" t="s">
        <v>77</v>
      </c>
      <c r="BD553" s="3" t="s">
        <v>78</v>
      </c>
      <c r="BE553" s="3" t="s">
        <v>5954</v>
      </c>
      <c r="BF553" s="3" t="s">
        <v>5953</v>
      </c>
      <c r="BG553" s="3" t="s">
        <v>5955</v>
      </c>
    </row>
    <row r="554" spans="1:59" ht="58" x14ac:dyDescent="0.35">
      <c r="A554" s="2" t="s">
        <v>59</v>
      </c>
      <c r="B554" s="2" t="s">
        <v>60</v>
      </c>
      <c r="C554" s="2" t="s">
        <v>5956</v>
      </c>
      <c r="D554" s="2" t="s">
        <v>5957</v>
      </c>
      <c r="E554" s="2" t="s">
        <v>5958</v>
      </c>
      <c r="G554" s="3" t="s">
        <v>65</v>
      </c>
      <c r="I554" s="3" t="s">
        <v>65</v>
      </c>
      <c r="J554" s="3" t="s">
        <v>65</v>
      </c>
      <c r="K554" s="3" t="s">
        <v>66</v>
      </c>
      <c r="L554" s="2" t="s">
        <v>5959</v>
      </c>
      <c r="M554" s="2" t="s">
        <v>5960</v>
      </c>
      <c r="N554" s="3" t="s">
        <v>5961</v>
      </c>
      <c r="P554" s="3" t="s">
        <v>69</v>
      </c>
      <c r="R554" s="3" t="s">
        <v>71</v>
      </c>
      <c r="S554" s="4">
        <v>8</v>
      </c>
      <c r="T554" s="4">
        <v>8</v>
      </c>
      <c r="U554" s="5" t="s">
        <v>3091</v>
      </c>
      <c r="V554" s="5" t="s">
        <v>3091</v>
      </c>
      <c r="W554" s="5" t="s">
        <v>72</v>
      </c>
      <c r="X554" s="5" t="s">
        <v>72</v>
      </c>
      <c r="Y554" s="4">
        <v>410</v>
      </c>
      <c r="Z554" s="4">
        <v>23</v>
      </c>
      <c r="AA554" s="4">
        <v>23</v>
      </c>
      <c r="AB554" s="4">
        <v>2</v>
      </c>
      <c r="AC554" s="4">
        <v>2</v>
      </c>
      <c r="AD554" s="4">
        <v>115</v>
      </c>
      <c r="AE554" s="4">
        <v>115</v>
      </c>
      <c r="AF554" s="4">
        <v>1</v>
      </c>
      <c r="AG554" s="4">
        <v>1</v>
      </c>
      <c r="AH554" s="4">
        <v>104</v>
      </c>
      <c r="AI554" s="4">
        <v>104</v>
      </c>
      <c r="AJ554" s="4">
        <v>15</v>
      </c>
      <c r="AK554" s="4">
        <v>15</v>
      </c>
      <c r="AL554" s="4">
        <v>58</v>
      </c>
      <c r="AM554" s="4">
        <v>58</v>
      </c>
      <c r="AN554" s="4">
        <v>0</v>
      </c>
      <c r="AO554" s="4">
        <v>0</v>
      </c>
      <c r="AP554" s="4">
        <v>16</v>
      </c>
      <c r="AQ554" s="4">
        <v>16</v>
      </c>
      <c r="AR554" s="3" t="s">
        <v>65</v>
      </c>
      <c r="AS554" s="3" t="s">
        <v>65</v>
      </c>
      <c r="AT554" s="3" t="s">
        <v>209</v>
      </c>
      <c r="AU554" s="6" t="str">
        <f>HYPERLINK("http://catalog.hathitrust.org/Record/000596830","HathiTrust Record")</f>
        <v>HathiTrust Record</v>
      </c>
      <c r="AV554" s="6" t="str">
        <f>HYPERLINK("http://mcgill.on.worldcat.org/oclc/13424651","Catalog Record")</f>
        <v>Catalog Record</v>
      </c>
      <c r="AW554" s="6" t="str">
        <f>HYPERLINK("http://www.worldcat.org/oclc/13424651","WorldCat Record")</f>
        <v>WorldCat Record</v>
      </c>
      <c r="AX554" s="3" t="s">
        <v>5962</v>
      </c>
      <c r="AY554" s="3" t="s">
        <v>5963</v>
      </c>
      <c r="AZ554" s="3" t="s">
        <v>5964</v>
      </c>
      <c r="BA554" s="3" t="s">
        <v>5964</v>
      </c>
      <c r="BB554" s="3" t="s">
        <v>5965</v>
      </c>
      <c r="BC554" s="3" t="s">
        <v>77</v>
      </c>
      <c r="BD554" s="3" t="s">
        <v>78</v>
      </c>
      <c r="BE554" s="3" t="s">
        <v>5966</v>
      </c>
      <c r="BF554" s="3" t="s">
        <v>5965</v>
      </c>
      <c r="BG554" s="3" t="s">
        <v>5967</v>
      </c>
    </row>
    <row r="555" spans="1:59" ht="58" x14ac:dyDescent="0.35">
      <c r="A555" s="2" t="s">
        <v>59</v>
      </c>
      <c r="B555" s="2" t="s">
        <v>60</v>
      </c>
      <c r="C555" s="2" t="s">
        <v>5968</v>
      </c>
      <c r="D555" s="2" t="s">
        <v>5969</v>
      </c>
      <c r="E555" s="2" t="s">
        <v>5970</v>
      </c>
      <c r="G555" s="3" t="s">
        <v>65</v>
      </c>
      <c r="I555" s="3" t="s">
        <v>65</v>
      </c>
      <c r="J555" s="3" t="s">
        <v>65</v>
      </c>
      <c r="K555" s="3" t="s">
        <v>66</v>
      </c>
      <c r="L555" s="2" t="s">
        <v>5971</v>
      </c>
      <c r="M555" s="2" t="s">
        <v>5972</v>
      </c>
      <c r="N555" s="3" t="s">
        <v>221</v>
      </c>
      <c r="P555" s="3" t="s">
        <v>140</v>
      </c>
      <c r="Q555" s="2" t="s">
        <v>5973</v>
      </c>
      <c r="R555" s="3" t="s">
        <v>71</v>
      </c>
      <c r="S555" s="4">
        <v>4</v>
      </c>
      <c r="T555" s="4">
        <v>4</v>
      </c>
      <c r="U555" s="5" t="s">
        <v>5974</v>
      </c>
      <c r="V555" s="5" t="s">
        <v>5974</v>
      </c>
      <c r="W555" s="5" t="s">
        <v>72</v>
      </c>
      <c r="X555" s="5" t="s">
        <v>72</v>
      </c>
      <c r="Y555" s="4">
        <v>35</v>
      </c>
      <c r="Z555" s="4">
        <v>7</v>
      </c>
      <c r="AA555" s="4">
        <v>8</v>
      </c>
      <c r="AB555" s="4">
        <v>1</v>
      </c>
      <c r="AC555" s="4">
        <v>2</v>
      </c>
      <c r="AD555" s="4">
        <v>18</v>
      </c>
      <c r="AE555" s="4">
        <v>19</v>
      </c>
      <c r="AF555" s="4">
        <v>0</v>
      </c>
      <c r="AG555" s="4">
        <v>1</v>
      </c>
      <c r="AH555" s="4">
        <v>15</v>
      </c>
      <c r="AI555" s="4">
        <v>15</v>
      </c>
      <c r="AJ555" s="4">
        <v>3</v>
      </c>
      <c r="AK555" s="4">
        <v>4</v>
      </c>
      <c r="AL555" s="4">
        <v>12</v>
      </c>
      <c r="AM555" s="4">
        <v>12</v>
      </c>
      <c r="AN555" s="4">
        <v>0</v>
      </c>
      <c r="AO555" s="4">
        <v>0</v>
      </c>
      <c r="AP555" s="4">
        <v>4</v>
      </c>
      <c r="AQ555" s="4">
        <v>4</v>
      </c>
      <c r="AR555" s="3" t="s">
        <v>65</v>
      </c>
      <c r="AS555" s="3" t="s">
        <v>65</v>
      </c>
      <c r="AT555" s="3" t="s">
        <v>65</v>
      </c>
      <c r="AV555" s="6" t="str">
        <f>HYPERLINK("http://mcgill.on.worldcat.org/oclc/82148545","Catalog Record")</f>
        <v>Catalog Record</v>
      </c>
      <c r="AW555" s="6" t="str">
        <f>HYPERLINK("http://www.worldcat.org/oclc/82148545","WorldCat Record")</f>
        <v>WorldCat Record</v>
      </c>
      <c r="AX555" s="3" t="s">
        <v>5975</v>
      </c>
      <c r="AY555" s="3" t="s">
        <v>5976</v>
      </c>
      <c r="AZ555" s="3" t="s">
        <v>5977</v>
      </c>
      <c r="BA555" s="3" t="s">
        <v>5977</v>
      </c>
      <c r="BB555" s="3" t="s">
        <v>5978</v>
      </c>
      <c r="BC555" s="3" t="s">
        <v>77</v>
      </c>
      <c r="BD555" s="3" t="s">
        <v>78</v>
      </c>
      <c r="BE555" s="3" t="s">
        <v>5979</v>
      </c>
      <c r="BF555" s="3" t="s">
        <v>5978</v>
      </c>
      <c r="BG555" s="3" t="s">
        <v>5980</v>
      </c>
    </row>
    <row r="556" spans="1:59" ht="58" x14ac:dyDescent="0.35">
      <c r="A556" s="2" t="s">
        <v>59</v>
      </c>
      <c r="B556" s="2" t="s">
        <v>60</v>
      </c>
      <c r="C556" s="2" t="s">
        <v>5981</v>
      </c>
      <c r="D556" s="2" t="s">
        <v>5982</v>
      </c>
      <c r="E556" s="2" t="s">
        <v>5983</v>
      </c>
      <c r="G556" s="3" t="s">
        <v>65</v>
      </c>
      <c r="I556" s="3" t="s">
        <v>65</v>
      </c>
      <c r="J556" s="3" t="s">
        <v>65</v>
      </c>
      <c r="K556" s="3" t="s">
        <v>66</v>
      </c>
      <c r="M556" s="2" t="s">
        <v>5984</v>
      </c>
      <c r="N556" s="3" t="s">
        <v>525</v>
      </c>
      <c r="P556" s="3" t="s">
        <v>140</v>
      </c>
      <c r="Q556" s="2" t="s">
        <v>5985</v>
      </c>
      <c r="R556" s="3" t="s">
        <v>71</v>
      </c>
      <c r="S556" s="4">
        <v>9</v>
      </c>
      <c r="T556" s="4">
        <v>9</v>
      </c>
      <c r="U556" s="5" t="s">
        <v>5831</v>
      </c>
      <c r="V556" s="5" t="s">
        <v>5831</v>
      </c>
      <c r="W556" s="5" t="s">
        <v>72</v>
      </c>
      <c r="X556" s="5" t="s">
        <v>72</v>
      </c>
      <c r="Y556" s="4">
        <v>46</v>
      </c>
      <c r="Z556" s="4">
        <v>4</v>
      </c>
      <c r="AA556" s="4">
        <v>5</v>
      </c>
      <c r="AB556" s="4">
        <v>1</v>
      </c>
      <c r="AC556" s="4">
        <v>2</v>
      </c>
      <c r="AD556" s="4">
        <v>23</v>
      </c>
      <c r="AE556" s="4">
        <v>24</v>
      </c>
      <c r="AF556" s="4">
        <v>0</v>
      </c>
      <c r="AG556" s="4">
        <v>1</v>
      </c>
      <c r="AH556" s="4">
        <v>21</v>
      </c>
      <c r="AI556" s="4">
        <v>21</v>
      </c>
      <c r="AJ556" s="4">
        <v>2</v>
      </c>
      <c r="AK556" s="4">
        <v>3</v>
      </c>
      <c r="AL556" s="4">
        <v>18</v>
      </c>
      <c r="AM556" s="4">
        <v>18</v>
      </c>
      <c r="AN556" s="4">
        <v>0</v>
      </c>
      <c r="AO556" s="4">
        <v>0</v>
      </c>
      <c r="AP556" s="4">
        <v>2</v>
      </c>
      <c r="AQ556" s="4">
        <v>2</v>
      </c>
      <c r="AR556" s="3" t="s">
        <v>65</v>
      </c>
      <c r="AS556" s="3" t="s">
        <v>65</v>
      </c>
      <c r="AT556" s="3" t="s">
        <v>65</v>
      </c>
      <c r="AV556" s="6" t="str">
        <f>HYPERLINK("http://mcgill.on.worldcat.org/oclc/55971981","Catalog Record")</f>
        <v>Catalog Record</v>
      </c>
      <c r="AW556" s="6" t="str">
        <f>HYPERLINK("http://www.worldcat.org/oclc/55971981","WorldCat Record")</f>
        <v>WorldCat Record</v>
      </c>
      <c r="AX556" s="3" t="s">
        <v>5986</v>
      </c>
      <c r="AY556" s="3" t="s">
        <v>5987</v>
      </c>
      <c r="AZ556" s="3" t="s">
        <v>5988</v>
      </c>
      <c r="BA556" s="3" t="s">
        <v>5988</v>
      </c>
      <c r="BB556" s="3" t="s">
        <v>5989</v>
      </c>
      <c r="BC556" s="3" t="s">
        <v>77</v>
      </c>
      <c r="BD556" s="3" t="s">
        <v>78</v>
      </c>
      <c r="BE556" s="3" t="s">
        <v>5990</v>
      </c>
      <c r="BF556" s="3" t="s">
        <v>5989</v>
      </c>
      <c r="BG556" s="3" t="s">
        <v>5991</v>
      </c>
    </row>
    <row r="557" spans="1:59" ht="58" x14ac:dyDescent="0.35">
      <c r="A557" s="2" t="s">
        <v>59</v>
      </c>
      <c r="B557" s="2" t="s">
        <v>60</v>
      </c>
      <c r="C557" s="2" t="s">
        <v>5992</v>
      </c>
      <c r="D557" s="2" t="s">
        <v>5993</v>
      </c>
      <c r="E557" s="2" t="s">
        <v>5994</v>
      </c>
      <c r="G557" s="3" t="s">
        <v>65</v>
      </c>
      <c r="I557" s="3" t="s">
        <v>65</v>
      </c>
      <c r="J557" s="3" t="s">
        <v>65</v>
      </c>
      <c r="K557" s="3" t="s">
        <v>66</v>
      </c>
      <c r="M557" s="2" t="s">
        <v>5995</v>
      </c>
      <c r="N557" s="3" t="s">
        <v>247</v>
      </c>
      <c r="P557" s="3" t="s">
        <v>69</v>
      </c>
      <c r="Q557" s="2" t="s">
        <v>5996</v>
      </c>
      <c r="R557" s="3" t="s">
        <v>71</v>
      </c>
      <c r="S557" s="4">
        <v>23</v>
      </c>
      <c r="T557" s="4">
        <v>23</v>
      </c>
      <c r="U557" s="5" t="s">
        <v>5831</v>
      </c>
      <c r="V557" s="5" t="s">
        <v>5831</v>
      </c>
      <c r="W557" s="5" t="s">
        <v>72</v>
      </c>
      <c r="X557" s="5" t="s">
        <v>72</v>
      </c>
      <c r="Y557" s="4">
        <v>306</v>
      </c>
      <c r="Z557" s="4">
        <v>22</v>
      </c>
      <c r="AA557" s="4">
        <v>40</v>
      </c>
      <c r="AB557" s="4">
        <v>2</v>
      </c>
      <c r="AC557" s="4">
        <v>7</v>
      </c>
      <c r="AD557" s="4">
        <v>98</v>
      </c>
      <c r="AE557" s="4">
        <v>118</v>
      </c>
      <c r="AF557" s="4">
        <v>1</v>
      </c>
      <c r="AG557" s="4">
        <v>3</v>
      </c>
      <c r="AH557" s="4">
        <v>89</v>
      </c>
      <c r="AI557" s="4">
        <v>103</v>
      </c>
      <c r="AJ557" s="4">
        <v>15</v>
      </c>
      <c r="AK557" s="4">
        <v>20</v>
      </c>
      <c r="AL557" s="4">
        <v>52</v>
      </c>
      <c r="AM557" s="4">
        <v>55</v>
      </c>
      <c r="AN557" s="4">
        <v>0</v>
      </c>
      <c r="AO557" s="4">
        <v>0</v>
      </c>
      <c r="AP557" s="4">
        <v>18</v>
      </c>
      <c r="AQ557" s="4">
        <v>22</v>
      </c>
      <c r="AR557" s="3" t="s">
        <v>65</v>
      </c>
      <c r="AS557" s="3" t="s">
        <v>65</v>
      </c>
      <c r="AT557" s="3" t="s">
        <v>209</v>
      </c>
      <c r="AU557" s="6" t="str">
        <f>HYPERLINK("http://catalog.hathitrust.org/Record/002889583","HathiTrust Record")</f>
        <v>HathiTrust Record</v>
      </c>
      <c r="AV557" s="6" t="str">
        <f>HYPERLINK("http://mcgill.on.worldcat.org/oclc/29792932","Catalog Record")</f>
        <v>Catalog Record</v>
      </c>
      <c r="AW557" s="6" t="str">
        <f>HYPERLINK("http://www.worldcat.org/oclc/29792932","WorldCat Record")</f>
        <v>WorldCat Record</v>
      </c>
      <c r="AX557" s="3" t="s">
        <v>5997</v>
      </c>
      <c r="AY557" s="3" t="s">
        <v>5998</v>
      </c>
      <c r="AZ557" s="3" t="s">
        <v>5999</v>
      </c>
      <c r="BA557" s="3" t="s">
        <v>5999</v>
      </c>
      <c r="BB557" s="3" t="s">
        <v>6000</v>
      </c>
      <c r="BC557" s="3" t="s">
        <v>77</v>
      </c>
      <c r="BD557" s="3" t="s">
        <v>78</v>
      </c>
      <c r="BE557" s="3" t="s">
        <v>6001</v>
      </c>
      <c r="BF557" s="3" t="s">
        <v>6000</v>
      </c>
      <c r="BG557" s="3" t="s">
        <v>6002</v>
      </c>
    </row>
    <row r="558" spans="1:59" ht="58" x14ac:dyDescent="0.35">
      <c r="A558" s="2" t="s">
        <v>59</v>
      </c>
      <c r="B558" s="2" t="s">
        <v>60</v>
      </c>
      <c r="C558" s="2" t="s">
        <v>6003</v>
      </c>
      <c r="D558" s="2" t="s">
        <v>6004</v>
      </c>
      <c r="E558" s="2" t="s">
        <v>6005</v>
      </c>
      <c r="G558" s="3" t="s">
        <v>65</v>
      </c>
      <c r="I558" s="3" t="s">
        <v>65</v>
      </c>
      <c r="J558" s="3" t="s">
        <v>65</v>
      </c>
      <c r="K558" s="3" t="s">
        <v>66</v>
      </c>
      <c r="L558" s="2" t="s">
        <v>6006</v>
      </c>
      <c r="M558" s="2" t="s">
        <v>6007</v>
      </c>
      <c r="N558" s="3" t="s">
        <v>479</v>
      </c>
      <c r="P558" s="3" t="s">
        <v>140</v>
      </c>
      <c r="Q558" s="2" t="s">
        <v>5926</v>
      </c>
      <c r="R558" s="3" t="s">
        <v>71</v>
      </c>
      <c r="S558" s="4">
        <v>1</v>
      </c>
      <c r="T558" s="4">
        <v>1</v>
      </c>
      <c r="U558" s="5" t="s">
        <v>6008</v>
      </c>
      <c r="V558" s="5" t="s">
        <v>6008</v>
      </c>
      <c r="W558" s="5" t="s">
        <v>72</v>
      </c>
      <c r="X558" s="5" t="s">
        <v>72</v>
      </c>
      <c r="Y558" s="4">
        <v>41</v>
      </c>
      <c r="Z558" s="4">
        <v>4</v>
      </c>
      <c r="AA558" s="4">
        <v>4</v>
      </c>
      <c r="AB558" s="4">
        <v>1</v>
      </c>
      <c r="AC558" s="4">
        <v>1</v>
      </c>
      <c r="AD558" s="4">
        <v>28</v>
      </c>
      <c r="AE558" s="4">
        <v>28</v>
      </c>
      <c r="AF558" s="4">
        <v>0</v>
      </c>
      <c r="AG558" s="4">
        <v>0</v>
      </c>
      <c r="AH558" s="4">
        <v>27</v>
      </c>
      <c r="AI558" s="4">
        <v>27</v>
      </c>
      <c r="AJ558" s="4">
        <v>1</v>
      </c>
      <c r="AK558" s="4">
        <v>1</v>
      </c>
      <c r="AL558" s="4">
        <v>25</v>
      </c>
      <c r="AM558" s="4">
        <v>25</v>
      </c>
      <c r="AN558" s="4">
        <v>0</v>
      </c>
      <c r="AO558" s="4">
        <v>0</v>
      </c>
      <c r="AP558" s="4">
        <v>1</v>
      </c>
      <c r="AQ558" s="4">
        <v>1</v>
      </c>
      <c r="AR558" s="3" t="s">
        <v>65</v>
      </c>
      <c r="AS558" s="3" t="s">
        <v>65</v>
      </c>
      <c r="AT558" s="3" t="s">
        <v>209</v>
      </c>
      <c r="AU558" s="6" t="str">
        <f>HYPERLINK("http://catalog.hathitrust.org/Record/005664779","HathiTrust Record")</f>
        <v>HathiTrust Record</v>
      </c>
      <c r="AV558" s="6" t="str">
        <f>HYPERLINK("http://mcgill.on.worldcat.org/oclc/191923107","Catalog Record")</f>
        <v>Catalog Record</v>
      </c>
      <c r="AW558" s="6" t="str">
        <f>HYPERLINK("http://www.worldcat.org/oclc/191923107","WorldCat Record")</f>
        <v>WorldCat Record</v>
      </c>
      <c r="AX558" s="3" t="s">
        <v>6009</v>
      </c>
      <c r="AY558" s="3" t="s">
        <v>6010</v>
      </c>
      <c r="AZ558" s="3" t="s">
        <v>6011</v>
      </c>
      <c r="BA558" s="3" t="s">
        <v>6011</v>
      </c>
      <c r="BB558" s="3" t="s">
        <v>6012</v>
      </c>
      <c r="BC558" s="3" t="s">
        <v>77</v>
      </c>
      <c r="BD558" s="3" t="s">
        <v>78</v>
      </c>
      <c r="BE558" s="3" t="s">
        <v>6013</v>
      </c>
      <c r="BF558" s="3" t="s">
        <v>6012</v>
      </c>
      <c r="BG558" s="3" t="s">
        <v>6014</v>
      </c>
    </row>
    <row r="559" spans="1:59" ht="58" x14ac:dyDescent="0.35">
      <c r="A559" s="2" t="s">
        <v>59</v>
      </c>
      <c r="B559" s="2" t="s">
        <v>60</v>
      </c>
      <c r="C559" s="2" t="s">
        <v>6015</v>
      </c>
      <c r="D559" s="2" t="s">
        <v>6016</v>
      </c>
      <c r="E559" s="2" t="s">
        <v>6017</v>
      </c>
      <c r="G559" s="3" t="s">
        <v>65</v>
      </c>
      <c r="I559" s="3" t="s">
        <v>65</v>
      </c>
      <c r="J559" s="3" t="s">
        <v>65</v>
      </c>
      <c r="K559" s="3" t="s">
        <v>66</v>
      </c>
      <c r="L559" s="2" t="s">
        <v>6018</v>
      </c>
      <c r="M559" s="2" t="s">
        <v>6019</v>
      </c>
      <c r="N559" s="3" t="s">
        <v>188</v>
      </c>
      <c r="P559" s="3" t="s">
        <v>140</v>
      </c>
      <c r="R559" s="3" t="s">
        <v>71</v>
      </c>
      <c r="S559" s="4">
        <v>5</v>
      </c>
      <c r="T559" s="4">
        <v>5</v>
      </c>
      <c r="U559" s="5" t="s">
        <v>6020</v>
      </c>
      <c r="V559" s="5" t="s">
        <v>6020</v>
      </c>
      <c r="W559" s="5" t="s">
        <v>72</v>
      </c>
      <c r="X559" s="5" t="s">
        <v>72</v>
      </c>
      <c r="Y559" s="4">
        <v>28</v>
      </c>
      <c r="Z559" s="4">
        <v>1</v>
      </c>
      <c r="AA559" s="4">
        <v>1</v>
      </c>
      <c r="AB559" s="4">
        <v>1</v>
      </c>
      <c r="AC559" s="4">
        <v>1</v>
      </c>
      <c r="AD559" s="4">
        <v>19</v>
      </c>
      <c r="AE559" s="4">
        <v>19</v>
      </c>
      <c r="AF559" s="4">
        <v>0</v>
      </c>
      <c r="AG559" s="4">
        <v>0</v>
      </c>
      <c r="AH559" s="4">
        <v>18</v>
      </c>
      <c r="AI559" s="4">
        <v>18</v>
      </c>
      <c r="AJ559" s="4">
        <v>0</v>
      </c>
      <c r="AK559" s="4">
        <v>0</v>
      </c>
      <c r="AL559" s="4">
        <v>15</v>
      </c>
      <c r="AM559" s="4">
        <v>15</v>
      </c>
      <c r="AN559" s="4">
        <v>0</v>
      </c>
      <c r="AO559" s="4">
        <v>0</v>
      </c>
      <c r="AP559" s="4">
        <v>0</v>
      </c>
      <c r="AQ559" s="4">
        <v>0</v>
      </c>
      <c r="AR559" s="3" t="s">
        <v>65</v>
      </c>
      <c r="AS559" s="3" t="s">
        <v>65</v>
      </c>
      <c r="AT559" s="3" t="s">
        <v>65</v>
      </c>
      <c r="AV559" s="6" t="str">
        <f>HYPERLINK("http://mcgill.on.worldcat.org/oclc/983209348","Catalog Record")</f>
        <v>Catalog Record</v>
      </c>
      <c r="AW559" s="6" t="str">
        <f>HYPERLINK("http://www.worldcat.org/oclc/983209348","WorldCat Record")</f>
        <v>WorldCat Record</v>
      </c>
      <c r="AX559" s="3" t="s">
        <v>6021</v>
      </c>
      <c r="AY559" s="3" t="s">
        <v>6022</v>
      </c>
      <c r="AZ559" s="3" t="s">
        <v>6023</v>
      </c>
      <c r="BA559" s="3" t="s">
        <v>6023</v>
      </c>
      <c r="BB559" s="3" t="s">
        <v>6024</v>
      </c>
      <c r="BC559" s="3" t="s">
        <v>77</v>
      </c>
      <c r="BD559" s="3" t="s">
        <v>106</v>
      </c>
      <c r="BE559" s="3" t="s">
        <v>6025</v>
      </c>
      <c r="BF559" s="3" t="s">
        <v>6024</v>
      </c>
      <c r="BG559" s="3" t="s">
        <v>6026</v>
      </c>
    </row>
    <row r="560" spans="1:59" ht="58" x14ac:dyDescent="0.35">
      <c r="A560" s="2" t="s">
        <v>59</v>
      </c>
      <c r="B560" s="2" t="s">
        <v>60</v>
      </c>
      <c r="C560" s="2" t="s">
        <v>6027</v>
      </c>
      <c r="D560" s="2" t="s">
        <v>6028</v>
      </c>
      <c r="E560" s="2" t="s">
        <v>6029</v>
      </c>
      <c r="G560" s="3" t="s">
        <v>65</v>
      </c>
      <c r="I560" s="3" t="s">
        <v>65</v>
      </c>
      <c r="J560" s="3" t="s">
        <v>65</v>
      </c>
      <c r="K560" s="3" t="s">
        <v>66</v>
      </c>
      <c r="L560" s="2" t="s">
        <v>6030</v>
      </c>
      <c r="M560" s="2" t="s">
        <v>6031</v>
      </c>
      <c r="N560" s="3" t="s">
        <v>139</v>
      </c>
      <c r="P560" s="3" t="s">
        <v>140</v>
      </c>
      <c r="Q560" s="2" t="s">
        <v>6032</v>
      </c>
      <c r="R560" s="3" t="s">
        <v>71</v>
      </c>
      <c r="S560" s="4">
        <v>0</v>
      </c>
      <c r="T560" s="4">
        <v>0</v>
      </c>
      <c r="W560" s="5" t="s">
        <v>72</v>
      </c>
      <c r="X560" s="5" t="s">
        <v>72</v>
      </c>
      <c r="Y560" s="4">
        <v>15</v>
      </c>
      <c r="Z560" s="4">
        <v>1</v>
      </c>
      <c r="AA560" s="4">
        <v>5</v>
      </c>
      <c r="AB560" s="4">
        <v>1</v>
      </c>
      <c r="AC560" s="4">
        <v>1</v>
      </c>
      <c r="AD560" s="4">
        <v>8</v>
      </c>
      <c r="AE560" s="4">
        <v>25</v>
      </c>
      <c r="AF560" s="4">
        <v>0</v>
      </c>
      <c r="AG560" s="4">
        <v>0</v>
      </c>
      <c r="AH560" s="4">
        <v>7</v>
      </c>
      <c r="AI560" s="4">
        <v>24</v>
      </c>
      <c r="AJ560" s="4">
        <v>0</v>
      </c>
      <c r="AK560" s="4">
        <v>2</v>
      </c>
      <c r="AL560" s="4">
        <v>8</v>
      </c>
      <c r="AM560" s="4">
        <v>19</v>
      </c>
      <c r="AN560" s="4">
        <v>0</v>
      </c>
      <c r="AO560" s="4">
        <v>0</v>
      </c>
      <c r="AP560" s="4">
        <v>0</v>
      </c>
      <c r="AQ560" s="4">
        <v>2</v>
      </c>
      <c r="AR560" s="3" t="s">
        <v>65</v>
      </c>
      <c r="AS560" s="3" t="s">
        <v>65</v>
      </c>
      <c r="AT560" s="3" t="s">
        <v>65</v>
      </c>
      <c r="AV560" s="6" t="str">
        <f>HYPERLINK("http://mcgill.on.worldcat.org/oclc/825554611","Catalog Record")</f>
        <v>Catalog Record</v>
      </c>
      <c r="AW560" s="6" t="str">
        <f>HYPERLINK("http://www.worldcat.org/oclc/825554611","WorldCat Record")</f>
        <v>WorldCat Record</v>
      </c>
      <c r="AX560" s="3" t="s">
        <v>6033</v>
      </c>
      <c r="AY560" s="3" t="s">
        <v>6034</v>
      </c>
      <c r="AZ560" s="3" t="s">
        <v>6035</v>
      </c>
      <c r="BA560" s="3" t="s">
        <v>6035</v>
      </c>
      <c r="BB560" s="3" t="s">
        <v>6036</v>
      </c>
      <c r="BC560" s="3" t="s">
        <v>77</v>
      </c>
      <c r="BD560" s="3" t="s">
        <v>78</v>
      </c>
      <c r="BE560" s="3" t="s">
        <v>6037</v>
      </c>
      <c r="BF560" s="3" t="s">
        <v>6036</v>
      </c>
      <c r="BG560" s="3" t="s">
        <v>6038</v>
      </c>
    </row>
    <row r="561" spans="1:59" ht="58" x14ac:dyDescent="0.35">
      <c r="A561" s="2" t="s">
        <v>59</v>
      </c>
      <c r="B561" s="2" t="s">
        <v>60</v>
      </c>
      <c r="C561" s="2" t="s">
        <v>6039</v>
      </c>
      <c r="D561" s="2" t="s">
        <v>6040</v>
      </c>
      <c r="E561" s="2" t="s">
        <v>6041</v>
      </c>
      <c r="G561" s="3" t="s">
        <v>65</v>
      </c>
      <c r="I561" s="3" t="s">
        <v>65</v>
      </c>
      <c r="J561" s="3" t="s">
        <v>65</v>
      </c>
      <c r="K561" s="3" t="s">
        <v>66</v>
      </c>
      <c r="L561" s="2" t="s">
        <v>6042</v>
      </c>
      <c r="M561" s="2" t="s">
        <v>6043</v>
      </c>
      <c r="N561" s="3" t="s">
        <v>139</v>
      </c>
      <c r="P561" s="3" t="s">
        <v>69</v>
      </c>
      <c r="Q561" s="2" t="s">
        <v>1197</v>
      </c>
      <c r="R561" s="3" t="s">
        <v>71</v>
      </c>
      <c r="S561" s="4">
        <v>2</v>
      </c>
      <c r="T561" s="4">
        <v>2</v>
      </c>
      <c r="U561" s="5" t="s">
        <v>6044</v>
      </c>
      <c r="V561" s="5" t="s">
        <v>6044</v>
      </c>
      <c r="W561" s="5" t="s">
        <v>72</v>
      </c>
      <c r="X561" s="5" t="s">
        <v>72</v>
      </c>
      <c r="Y561" s="4">
        <v>175</v>
      </c>
      <c r="Z561" s="4">
        <v>27</v>
      </c>
      <c r="AA561" s="4">
        <v>116</v>
      </c>
      <c r="AB561" s="4">
        <v>2</v>
      </c>
      <c r="AC561" s="4">
        <v>19</v>
      </c>
      <c r="AD561" s="4">
        <v>86</v>
      </c>
      <c r="AE561" s="4">
        <v>136</v>
      </c>
      <c r="AF561" s="4">
        <v>1</v>
      </c>
      <c r="AG561" s="4">
        <v>8</v>
      </c>
      <c r="AH561" s="4">
        <v>71</v>
      </c>
      <c r="AI561" s="4">
        <v>94</v>
      </c>
      <c r="AJ561" s="4">
        <v>20</v>
      </c>
      <c r="AK561" s="4">
        <v>27</v>
      </c>
      <c r="AL561" s="4">
        <v>46</v>
      </c>
      <c r="AM561" s="4">
        <v>54</v>
      </c>
      <c r="AN561" s="4">
        <v>0</v>
      </c>
      <c r="AO561" s="4">
        <v>0</v>
      </c>
      <c r="AP561" s="4">
        <v>21</v>
      </c>
      <c r="AQ561" s="4">
        <v>51</v>
      </c>
      <c r="AR561" s="3" t="s">
        <v>209</v>
      </c>
      <c r="AS561" s="3" t="s">
        <v>65</v>
      </c>
      <c r="AT561" s="3" t="s">
        <v>65</v>
      </c>
      <c r="AV561" s="6" t="str">
        <f>HYPERLINK("http://mcgill.on.worldcat.org/oclc/778189883","Catalog Record")</f>
        <v>Catalog Record</v>
      </c>
      <c r="AW561" s="6" t="str">
        <f>HYPERLINK("http://www.worldcat.org/oclc/778189883","WorldCat Record")</f>
        <v>WorldCat Record</v>
      </c>
      <c r="AX561" s="3" t="s">
        <v>6045</v>
      </c>
      <c r="AY561" s="3" t="s">
        <v>6046</v>
      </c>
      <c r="AZ561" s="3" t="s">
        <v>6047</v>
      </c>
      <c r="BA561" s="3" t="s">
        <v>6047</v>
      </c>
      <c r="BB561" s="3" t="s">
        <v>6048</v>
      </c>
      <c r="BC561" s="3" t="s">
        <v>77</v>
      </c>
      <c r="BD561" s="3" t="s">
        <v>78</v>
      </c>
      <c r="BE561" s="3" t="s">
        <v>6049</v>
      </c>
      <c r="BF561" s="3" t="s">
        <v>6048</v>
      </c>
      <c r="BG561" s="3" t="s">
        <v>6050</v>
      </c>
    </row>
    <row r="562" spans="1:59" ht="58" x14ac:dyDescent="0.35">
      <c r="A562" s="2" t="s">
        <v>59</v>
      </c>
      <c r="B562" s="2" t="s">
        <v>60</v>
      </c>
      <c r="C562" s="2" t="s">
        <v>6051</v>
      </c>
      <c r="D562" s="2" t="s">
        <v>6052</v>
      </c>
      <c r="E562" s="2" t="s">
        <v>6053</v>
      </c>
      <c r="G562" s="3" t="s">
        <v>65</v>
      </c>
      <c r="I562" s="3" t="s">
        <v>65</v>
      </c>
      <c r="J562" s="3" t="s">
        <v>65</v>
      </c>
      <c r="K562" s="3" t="s">
        <v>66</v>
      </c>
      <c r="M562" s="2" t="s">
        <v>6054</v>
      </c>
      <c r="N562" s="3" t="s">
        <v>126</v>
      </c>
      <c r="P562" s="3" t="s">
        <v>140</v>
      </c>
      <c r="Q562" s="2" t="s">
        <v>6055</v>
      </c>
      <c r="R562" s="3" t="s">
        <v>71</v>
      </c>
      <c r="S562" s="4">
        <v>0</v>
      </c>
      <c r="T562" s="4">
        <v>0</v>
      </c>
      <c r="W562" s="5" t="s">
        <v>72</v>
      </c>
      <c r="X562" s="5" t="s">
        <v>72</v>
      </c>
      <c r="Y562" s="4">
        <v>34</v>
      </c>
      <c r="Z562" s="4">
        <v>4</v>
      </c>
      <c r="AA562" s="4">
        <v>4</v>
      </c>
      <c r="AB562" s="4">
        <v>1</v>
      </c>
      <c r="AC562" s="4">
        <v>1</v>
      </c>
      <c r="AD562" s="4">
        <v>26</v>
      </c>
      <c r="AE562" s="4">
        <v>26</v>
      </c>
      <c r="AF562" s="4">
        <v>0</v>
      </c>
      <c r="AG562" s="4">
        <v>0</v>
      </c>
      <c r="AH562" s="4">
        <v>24</v>
      </c>
      <c r="AI562" s="4">
        <v>24</v>
      </c>
      <c r="AJ562" s="4">
        <v>2</v>
      </c>
      <c r="AK562" s="4">
        <v>2</v>
      </c>
      <c r="AL562" s="4">
        <v>22</v>
      </c>
      <c r="AM562" s="4">
        <v>22</v>
      </c>
      <c r="AN562" s="4">
        <v>0</v>
      </c>
      <c r="AO562" s="4">
        <v>0</v>
      </c>
      <c r="AP562" s="4">
        <v>2</v>
      </c>
      <c r="AQ562" s="4">
        <v>2</v>
      </c>
      <c r="AR562" s="3" t="s">
        <v>65</v>
      </c>
      <c r="AS562" s="3" t="s">
        <v>65</v>
      </c>
      <c r="AT562" s="3" t="s">
        <v>65</v>
      </c>
      <c r="AV562" s="6" t="str">
        <f>HYPERLINK("http://mcgill.on.worldcat.org/oclc/709663190","Catalog Record")</f>
        <v>Catalog Record</v>
      </c>
      <c r="AW562" s="6" t="str">
        <f>HYPERLINK("http://www.worldcat.org/oclc/709663190","WorldCat Record")</f>
        <v>WorldCat Record</v>
      </c>
      <c r="AX562" s="3" t="s">
        <v>6056</v>
      </c>
      <c r="AY562" s="3" t="s">
        <v>6057</v>
      </c>
      <c r="AZ562" s="3" t="s">
        <v>6058</v>
      </c>
      <c r="BA562" s="3" t="s">
        <v>6058</v>
      </c>
      <c r="BB562" s="3" t="s">
        <v>6059</v>
      </c>
      <c r="BC562" s="3" t="s">
        <v>77</v>
      </c>
      <c r="BD562" s="3" t="s">
        <v>78</v>
      </c>
      <c r="BE562" s="3" t="s">
        <v>6060</v>
      </c>
      <c r="BF562" s="3" t="s">
        <v>6059</v>
      </c>
      <c r="BG562" s="3" t="s">
        <v>6061</v>
      </c>
    </row>
    <row r="563" spans="1:59" ht="58" x14ac:dyDescent="0.35">
      <c r="A563" s="2" t="s">
        <v>59</v>
      </c>
      <c r="B563" s="2" t="s">
        <v>60</v>
      </c>
      <c r="C563" s="2" t="s">
        <v>6062</v>
      </c>
      <c r="D563" s="2" t="s">
        <v>6063</v>
      </c>
      <c r="E563" s="2" t="s">
        <v>6064</v>
      </c>
      <c r="G563" s="3" t="s">
        <v>65</v>
      </c>
      <c r="I563" s="3" t="s">
        <v>65</v>
      </c>
      <c r="J563" s="3" t="s">
        <v>65</v>
      </c>
      <c r="K563" s="3" t="s">
        <v>66</v>
      </c>
      <c r="L563" s="2" t="s">
        <v>6065</v>
      </c>
      <c r="M563" s="2" t="s">
        <v>6066</v>
      </c>
      <c r="N563" s="3" t="s">
        <v>2377</v>
      </c>
      <c r="O563" s="2" t="s">
        <v>365</v>
      </c>
      <c r="P563" s="3" t="s">
        <v>140</v>
      </c>
      <c r="Q563" s="2" t="s">
        <v>6067</v>
      </c>
      <c r="R563" s="3" t="s">
        <v>71</v>
      </c>
      <c r="S563" s="4">
        <v>42</v>
      </c>
      <c r="T563" s="4">
        <v>42</v>
      </c>
      <c r="U563" s="5" t="s">
        <v>6068</v>
      </c>
      <c r="V563" s="5" t="s">
        <v>6068</v>
      </c>
      <c r="W563" s="5" t="s">
        <v>72</v>
      </c>
      <c r="X563" s="5" t="s">
        <v>72</v>
      </c>
      <c r="Y563" s="4">
        <v>57</v>
      </c>
      <c r="Z563" s="4">
        <v>4</v>
      </c>
      <c r="AA563" s="4">
        <v>4</v>
      </c>
      <c r="AB563" s="4">
        <v>1</v>
      </c>
      <c r="AC563" s="4">
        <v>1</v>
      </c>
      <c r="AD563" s="4">
        <v>28</v>
      </c>
      <c r="AE563" s="4">
        <v>36</v>
      </c>
      <c r="AF563" s="4">
        <v>0</v>
      </c>
      <c r="AG563" s="4">
        <v>0</v>
      </c>
      <c r="AH563" s="4">
        <v>27</v>
      </c>
      <c r="AI563" s="4">
        <v>35</v>
      </c>
      <c r="AJ563" s="4">
        <v>2</v>
      </c>
      <c r="AK563" s="4">
        <v>2</v>
      </c>
      <c r="AL563" s="4">
        <v>20</v>
      </c>
      <c r="AM563" s="4">
        <v>26</v>
      </c>
      <c r="AN563" s="4">
        <v>0</v>
      </c>
      <c r="AO563" s="4">
        <v>0</v>
      </c>
      <c r="AP563" s="4">
        <v>2</v>
      </c>
      <c r="AQ563" s="4">
        <v>2</v>
      </c>
      <c r="AR563" s="3" t="s">
        <v>65</v>
      </c>
      <c r="AS563" s="3" t="s">
        <v>65</v>
      </c>
      <c r="AT563" s="3" t="s">
        <v>209</v>
      </c>
      <c r="AU563" s="6" t="str">
        <f>HYPERLINK("http://catalog.hathitrust.org/Record/002434243","HathiTrust Record")</f>
        <v>HathiTrust Record</v>
      </c>
      <c r="AV563" s="6" t="str">
        <f>HYPERLINK("http://mcgill.on.worldcat.org/oclc/23219411","Catalog Record")</f>
        <v>Catalog Record</v>
      </c>
      <c r="AW563" s="6" t="str">
        <f>HYPERLINK("http://www.worldcat.org/oclc/23219411","WorldCat Record")</f>
        <v>WorldCat Record</v>
      </c>
      <c r="AX563" s="3" t="s">
        <v>6069</v>
      </c>
      <c r="AY563" s="3" t="s">
        <v>6070</v>
      </c>
      <c r="AZ563" s="3" t="s">
        <v>6071</v>
      </c>
      <c r="BA563" s="3" t="s">
        <v>6071</v>
      </c>
      <c r="BB563" s="3" t="s">
        <v>6072</v>
      </c>
      <c r="BC563" s="3" t="s">
        <v>77</v>
      </c>
      <c r="BD563" s="3" t="s">
        <v>78</v>
      </c>
      <c r="BE563" s="3" t="s">
        <v>6073</v>
      </c>
      <c r="BF563" s="3" t="s">
        <v>6072</v>
      </c>
      <c r="BG563" s="3" t="s">
        <v>6074</v>
      </c>
    </row>
    <row r="564" spans="1:59" ht="58" x14ac:dyDescent="0.35">
      <c r="A564" s="2" t="s">
        <v>59</v>
      </c>
      <c r="B564" s="2" t="s">
        <v>60</v>
      </c>
      <c r="C564" s="2" t="s">
        <v>6075</v>
      </c>
      <c r="D564" s="2" t="s">
        <v>6076</v>
      </c>
      <c r="E564" s="2" t="s">
        <v>6077</v>
      </c>
      <c r="G564" s="3" t="s">
        <v>65</v>
      </c>
      <c r="I564" s="3" t="s">
        <v>65</v>
      </c>
      <c r="J564" s="3" t="s">
        <v>65</v>
      </c>
      <c r="K564" s="3" t="s">
        <v>66</v>
      </c>
      <c r="L564" s="2" t="s">
        <v>6065</v>
      </c>
      <c r="M564" s="2" t="s">
        <v>6078</v>
      </c>
      <c r="N564" s="3" t="s">
        <v>221</v>
      </c>
      <c r="P564" s="3" t="s">
        <v>140</v>
      </c>
      <c r="R564" s="3" t="s">
        <v>71</v>
      </c>
      <c r="S564" s="4">
        <v>2</v>
      </c>
      <c r="T564" s="4">
        <v>2</v>
      </c>
      <c r="U564" s="5" t="s">
        <v>3200</v>
      </c>
      <c r="V564" s="5" t="s">
        <v>3200</v>
      </c>
      <c r="W564" s="5" t="s">
        <v>72</v>
      </c>
      <c r="X564" s="5" t="s">
        <v>72</v>
      </c>
      <c r="Y564" s="4">
        <v>48</v>
      </c>
      <c r="Z564" s="4">
        <v>5</v>
      </c>
      <c r="AA564" s="4">
        <v>5</v>
      </c>
      <c r="AB564" s="4">
        <v>1</v>
      </c>
      <c r="AC564" s="4">
        <v>1</v>
      </c>
      <c r="AD564" s="4">
        <v>27</v>
      </c>
      <c r="AE564" s="4">
        <v>27</v>
      </c>
      <c r="AF564" s="4">
        <v>0</v>
      </c>
      <c r="AG564" s="4">
        <v>0</v>
      </c>
      <c r="AH564" s="4">
        <v>24</v>
      </c>
      <c r="AI564" s="4">
        <v>24</v>
      </c>
      <c r="AJ564" s="4">
        <v>3</v>
      </c>
      <c r="AK564" s="4">
        <v>3</v>
      </c>
      <c r="AL564" s="4">
        <v>23</v>
      </c>
      <c r="AM564" s="4">
        <v>23</v>
      </c>
      <c r="AN564" s="4">
        <v>0</v>
      </c>
      <c r="AO564" s="4">
        <v>0</v>
      </c>
      <c r="AP564" s="4">
        <v>3</v>
      </c>
      <c r="AQ564" s="4">
        <v>3</v>
      </c>
      <c r="AR564" s="3" t="s">
        <v>65</v>
      </c>
      <c r="AS564" s="3" t="s">
        <v>65</v>
      </c>
      <c r="AT564" s="3" t="s">
        <v>209</v>
      </c>
      <c r="AU564" s="6" t="str">
        <f>HYPERLINK("http://catalog.hathitrust.org/Record/005632218","HathiTrust Record")</f>
        <v>HathiTrust Record</v>
      </c>
      <c r="AV564" s="6" t="str">
        <f>HYPERLINK("http://mcgill.on.worldcat.org/oclc/181090862","Catalog Record")</f>
        <v>Catalog Record</v>
      </c>
      <c r="AW564" s="6" t="str">
        <f>HYPERLINK("http://www.worldcat.org/oclc/181090862","WorldCat Record")</f>
        <v>WorldCat Record</v>
      </c>
      <c r="AX564" s="3" t="s">
        <v>6079</v>
      </c>
      <c r="AY564" s="3" t="s">
        <v>6080</v>
      </c>
      <c r="AZ564" s="3" t="s">
        <v>6081</v>
      </c>
      <c r="BA564" s="3" t="s">
        <v>6081</v>
      </c>
      <c r="BB564" s="3" t="s">
        <v>6082</v>
      </c>
      <c r="BC564" s="3" t="s">
        <v>77</v>
      </c>
      <c r="BD564" s="3" t="s">
        <v>78</v>
      </c>
      <c r="BE564" s="3" t="s">
        <v>6083</v>
      </c>
      <c r="BF564" s="3" t="s">
        <v>6082</v>
      </c>
      <c r="BG564" s="3" t="s">
        <v>6084</v>
      </c>
    </row>
    <row r="565" spans="1:59" ht="58" x14ac:dyDescent="0.35">
      <c r="A565" s="2" t="s">
        <v>59</v>
      </c>
      <c r="B565" s="2" t="s">
        <v>60</v>
      </c>
      <c r="C565" s="2" t="s">
        <v>6085</v>
      </c>
      <c r="D565" s="2" t="s">
        <v>6086</v>
      </c>
      <c r="E565" s="2" t="s">
        <v>6087</v>
      </c>
      <c r="G565" s="3" t="s">
        <v>65</v>
      </c>
      <c r="I565" s="3" t="s">
        <v>65</v>
      </c>
      <c r="J565" s="3" t="s">
        <v>65</v>
      </c>
      <c r="K565" s="3" t="s">
        <v>66</v>
      </c>
      <c r="L565" s="2" t="s">
        <v>6065</v>
      </c>
      <c r="M565" s="2" t="s">
        <v>1270</v>
      </c>
      <c r="N565" s="3" t="s">
        <v>139</v>
      </c>
      <c r="P565" s="3" t="s">
        <v>140</v>
      </c>
      <c r="Q565" s="2" t="s">
        <v>6088</v>
      </c>
      <c r="R565" s="3" t="s">
        <v>71</v>
      </c>
      <c r="S565" s="4">
        <v>1</v>
      </c>
      <c r="T565" s="4">
        <v>1</v>
      </c>
      <c r="U565" s="5" t="s">
        <v>6089</v>
      </c>
      <c r="V565" s="5" t="s">
        <v>6089</v>
      </c>
      <c r="W565" s="5" t="s">
        <v>72</v>
      </c>
      <c r="X565" s="5" t="s">
        <v>72</v>
      </c>
      <c r="Y565" s="4">
        <v>30</v>
      </c>
      <c r="Z565" s="4">
        <v>3</v>
      </c>
      <c r="AA565" s="4">
        <v>3</v>
      </c>
      <c r="AB565" s="4">
        <v>1</v>
      </c>
      <c r="AC565" s="4">
        <v>1</v>
      </c>
      <c r="AD565" s="4">
        <v>18</v>
      </c>
      <c r="AE565" s="4">
        <v>18</v>
      </c>
      <c r="AF565" s="4">
        <v>0</v>
      </c>
      <c r="AG565" s="4">
        <v>0</v>
      </c>
      <c r="AH565" s="4">
        <v>17</v>
      </c>
      <c r="AI565" s="4">
        <v>17</v>
      </c>
      <c r="AJ565" s="4">
        <v>1</v>
      </c>
      <c r="AK565" s="4">
        <v>1</v>
      </c>
      <c r="AL565" s="4">
        <v>14</v>
      </c>
      <c r="AM565" s="4">
        <v>14</v>
      </c>
      <c r="AN565" s="4">
        <v>0</v>
      </c>
      <c r="AO565" s="4">
        <v>0</v>
      </c>
      <c r="AP565" s="4">
        <v>1</v>
      </c>
      <c r="AQ565" s="4">
        <v>1</v>
      </c>
      <c r="AR565" s="3" t="s">
        <v>65</v>
      </c>
      <c r="AS565" s="3" t="s">
        <v>65</v>
      </c>
      <c r="AT565" s="3" t="s">
        <v>65</v>
      </c>
      <c r="AV565" s="6" t="str">
        <f>HYPERLINK("http://mcgill.on.worldcat.org/oclc/801440975","Catalog Record")</f>
        <v>Catalog Record</v>
      </c>
      <c r="AW565" s="6" t="str">
        <f>HYPERLINK("http://www.worldcat.org/oclc/801440975","WorldCat Record")</f>
        <v>WorldCat Record</v>
      </c>
      <c r="AX565" s="3" t="s">
        <v>6090</v>
      </c>
      <c r="AY565" s="3" t="s">
        <v>6091</v>
      </c>
      <c r="AZ565" s="3" t="s">
        <v>6092</v>
      </c>
      <c r="BA565" s="3" t="s">
        <v>6092</v>
      </c>
      <c r="BB565" s="3" t="s">
        <v>6093</v>
      </c>
      <c r="BC565" s="3" t="s">
        <v>77</v>
      </c>
      <c r="BD565" s="3" t="s">
        <v>78</v>
      </c>
      <c r="BE565" s="3" t="s">
        <v>6094</v>
      </c>
      <c r="BF565" s="3" t="s">
        <v>6093</v>
      </c>
      <c r="BG565" s="3" t="s">
        <v>6095</v>
      </c>
    </row>
    <row r="566" spans="1:59" ht="58" x14ac:dyDescent="0.35">
      <c r="A566" s="2" t="s">
        <v>59</v>
      </c>
      <c r="B566" s="2" t="s">
        <v>60</v>
      </c>
      <c r="C566" s="2" t="s">
        <v>6096</v>
      </c>
      <c r="D566" s="2" t="s">
        <v>6097</v>
      </c>
      <c r="E566" s="2" t="s">
        <v>6098</v>
      </c>
      <c r="G566" s="3" t="s">
        <v>65</v>
      </c>
      <c r="I566" s="3" t="s">
        <v>65</v>
      </c>
      <c r="J566" s="3" t="s">
        <v>65</v>
      </c>
      <c r="K566" s="3" t="s">
        <v>66</v>
      </c>
      <c r="L566" s="2" t="s">
        <v>6099</v>
      </c>
      <c r="M566" s="2" t="s">
        <v>6100</v>
      </c>
      <c r="N566" s="3" t="s">
        <v>113</v>
      </c>
      <c r="P566" s="3" t="s">
        <v>140</v>
      </c>
      <c r="Q566" s="2" t="s">
        <v>6101</v>
      </c>
      <c r="R566" s="3" t="s">
        <v>71</v>
      </c>
      <c r="S566" s="4">
        <v>0</v>
      </c>
      <c r="T566" s="4">
        <v>0</v>
      </c>
      <c r="W566" s="5" t="s">
        <v>72</v>
      </c>
      <c r="X566" s="5" t="s">
        <v>72</v>
      </c>
      <c r="Y566" s="4">
        <v>24</v>
      </c>
      <c r="Z566" s="4">
        <v>4</v>
      </c>
      <c r="AA566" s="4">
        <v>4</v>
      </c>
      <c r="AB566" s="4">
        <v>1</v>
      </c>
      <c r="AC566" s="4">
        <v>1</v>
      </c>
      <c r="AD566" s="4">
        <v>13</v>
      </c>
      <c r="AE566" s="4">
        <v>13</v>
      </c>
      <c r="AF566" s="4">
        <v>0</v>
      </c>
      <c r="AG566" s="4">
        <v>0</v>
      </c>
      <c r="AH566" s="4">
        <v>12</v>
      </c>
      <c r="AI566" s="4">
        <v>12</v>
      </c>
      <c r="AJ566" s="4">
        <v>2</v>
      </c>
      <c r="AK566" s="4">
        <v>2</v>
      </c>
      <c r="AL566" s="4">
        <v>10</v>
      </c>
      <c r="AM566" s="4">
        <v>10</v>
      </c>
      <c r="AN566" s="4">
        <v>0</v>
      </c>
      <c r="AO566" s="4">
        <v>0</v>
      </c>
      <c r="AP566" s="4">
        <v>2</v>
      </c>
      <c r="AQ566" s="4">
        <v>2</v>
      </c>
      <c r="AR566" s="3" t="s">
        <v>65</v>
      </c>
      <c r="AS566" s="3" t="s">
        <v>65</v>
      </c>
      <c r="AT566" s="3" t="s">
        <v>65</v>
      </c>
      <c r="AV566" s="6" t="str">
        <f>HYPERLINK("http://mcgill.on.worldcat.org/oclc/642806227","Catalog Record")</f>
        <v>Catalog Record</v>
      </c>
      <c r="AW566" s="6" t="str">
        <f>HYPERLINK("http://www.worldcat.org/oclc/642806227","WorldCat Record")</f>
        <v>WorldCat Record</v>
      </c>
      <c r="AX566" s="3" t="s">
        <v>6102</v>
      </c>
      <c r="AY566" s="3" t="s">
        <v>6103</v>
      </c>
      <c r="AZ566" s="3" t="s">
        <v>6104</v>
      </c>
      <c r="BA566" s="3" t="s">
        <v>6104</v>
      </c>
      <c r="BB566" s="3" t="s">
        <v>6105</v>
      </c>
      <c r="BC566" s="3" t="s">
        <v>77</v>
      </c>
      <c r="BD566" s="3" t="s">
        <v>78</v>
      </c>
      <c r="BE566" s="3" t="s">
        <v>6106</v>
      </c>
      <c r="BF566" s="3" t="s">
        <v>6105</v>
      </c>
      <c r="BG566" s="3" t="s">
        <v>6107</v>
      </c>
    </row>
    <row r="567" spans="1:59" ht="58" x14ac:dyDescent="0.35">
      <c r="A567" s="2" t="s">
        <v>59</v>
      </c>
      <c r="B567" s="2" t="s">
        <v>60</v>
      </c>
      <c r="C567" s="2" t="s">
        <v>6108</v>
      </c>
      <c r="D567" s="2" t="s">
        <v>6109</v>
      </c>
      <c r="E567" s="2" t="s">
        <v>6110</v>
      </c>
      <c r="G567" s="3" t="s">
        <v>65</v>
      </c>
      <c r="I567" s="3" t="s">
        <v>65</v>
      </c>
      <c r="J567" s="3" t="s">
        <v>65</v>
      </c>
      <c r="K567" s="3" t="s">
        <v>66</v>
      </c>
      <c r="L567" s="2" t="s">
        <v>6111</v>
      </c>
      <c r="M567" s="2" t="s">
        <v>6112</v>
      </c>
      <c r="N567" s="3" t="s">
        <v>1109</v>
      </c>
      <c r="P567" s="3" t="s">
        <v>140</v>
      </c>
      <c r="R567" s="3" t="s">
        <v>71</v>
      </c>
      <c r="S567" s="4">
        <v>4</v>
      </c>
      <c r="T567" s="4">
        <v>4</v>
      </c>
      <c r="U567" s="5" t="s">
        <v>6113</v>
      </c>
      <c r="V567" s="5" t="s">
        <v>6113</v>
      </c>
      <c r="W567" s="5" t="s">
        <v>72</v>
      </c>
      <c r="X567" s="5" t="s">
        <v>72</v>
      </c>
      <c r="Y567" s="4">
        <v>49</v>
      </c>
      <c r="Z567" s="4">
        <v>7</v>
      </c>
      <c r="AA567" s="4">
        <v>7</v>
      </c>
      <c r="AB567" s="4">
        <v>1</v>
      </c>
      <c r="AC567" s="4">
        <v>1</v>
      </c>
      <c r="AD567" s="4">
        <v>31</v>
      </c>
      <c r="AE567" s="4">
        <v>31</v>
      </c>
      <c r="AF567" s="4">
        <v>0</v>
      </c>
      <c r="AG567" s="4">
        <v>0</v>
      </c>
      <c r="AH567" s="4">
        <v>28</v>
      </c>
      <c r="AI567" s="4">
        <v>28</v>
      </c>
      <c r="AJ567" s="4">
        <v>5</v>
      </c>
      <c r="AK567" s="4">
        <v>5</v>
      </c>
      <c r="AL567" s="4">
        <v>21</v>
      </c>
      <c r="AM567" s="4">
        <v>21</v>
      </c>
      <c r="AN567" s="4">
        <v>0</v>
      </c>
      <c r="AO567" s="4">
        <v>0</v>
      </c>
      <c r="AP567" s="4">
        <v>5</v>
      </c>
      <c r="AQ567" s="4">
        <v>5</v>
      </c>
      <c r="AR567" s="3" t="s">
        <v>65</v>
      </c>
      <c r="AS567" s="3" t="s">
        <v>65</v>
      </c>
      <c r="AT567" s="3" t="s">
        <v>209</v>
      </c>
      <c r="AU567" s="6" t="str">
        <f>HYPERLINK("http://catalog.hathitrust.org/Record/009382440","HathiTrust Record")</f>
        <v>HathiTrust Record</v>
      </c>
      <c r="AV567" s="6" t="str">
        <f>HYPERLINK("http://mcgill.on.worldcat.org/oclc/1375495","Catalog Record")</f>
        <v>Catalog Record</v>
      </c>
      <c r="AW567" s="6" t="str">
        <f>HYPERLINK("http://www.worldcat.org/oclc/1375495","WorldCat Record")</f>
        <v>WorldCat Record</v>
      </c>
      <c r="AX567" s="3" t="s">
        <v>6114</v>
      </c>
      <c r="AY567" s="3" t="s">
        <v>6115</v>
      </c>
      <c r="AZ567" s="3" t="s">
        <v>6116</v>
      </c>
      <c r="BA567" s="3" t="s">
        <v>6116</v>
      </c>
      <c r="BB567" s="3" t="s">
        <v>6117</v>
      </c>
      <c r="BC567" s="3" t="s">
        <v>77</v>
      </c>
      <c r="BD567" s="3" t="s">
        <v>78</v>
      </c>
      <c r="BF567" s="3" t="s">
        <v>6117</v>
      </c>
      <c r="BG567" s="3" t="s">
        <v>6118</v>
      </c>
    </row>
    <row r="568" spans="1:59" ht="58" x14ac:dyDescent="0.35">
      <c r="A568" s="2" t="s">
        <v>59</v>
      </c>
      <c r="B568" s="2" t="s">
        <v>60</v>
      </c>
      <c r="C568" s="2" t="s">
        <v>6119</v>
      </c>
      <c r="D568" s="2" t="s">
        <v>6120</v>
      </c>
      <c r="E568" s="2" t="s">
        <v>6121</v>
      </c>
      <c r="G568" s="3" t="s">
        <v>65</v>
      </c>
      <c r="I568" s="3" t="s">
        <v>65</v>
      </c>
      <c r="J568" s="3" t="s">
        <v>65</v>
      </c>
      <c r="K568" s="3" t="s">
        <v>66</v>
      </c>
      <c r="L568" s="2" t="s">
        <v>6122</v>
      </c>
      <c r="M568" s="2" t="s">
        <v>653</v>
      </c>
      <c r="N568" s="3" t="s">
        <v>113</v>
      </c>
      <c r="O568" s="2" t="s">
        <v>654</v>
      </c>
      <c r="P568" s="3" t="s">
        <v>140</v>
      </c>
      <c r="Q568" s="2" t="s">
        <v>6123</v>
      </c>
      <c r="R568" s="3" t="s">
        <v>71</v>
      </c>
      <c r="S568" s="4">
        <v>3</v>
      </c>
      <c r="T568" s="4">
        <v>3</v>
      </c>
      <c r="W568" s="5" t="s">
        <v>72</v>
      </c>
      <c r="X568" s="5" t="s">
        <v>72</v>
      </c>
      <c r="Y568" s="4">
        <v>56</v>
      </c>
      <c r="Z568" s="4">
        <v>4</v>
      </c>
      <c r="AA568" s="4">
        <v>4</v>
      </c>
      <c r="AB568" s="4">
        <v>1</v>
      </c>
      <c r="AC568" s="4">
        <v>1</v>
      </c>
      <c r="AD568" s="4">
        <v>34</v>
      </c>
      <c r="AE568" s="4">
        <v>34</v>
      </c>
      <c r="AF568" s="4">
        <v>0</v>
      </c>
      <c r="AG568" s="4">
        <v>0</v>
      </c>
      <c r="AH568" s="4">
        <v>33</v>
      </c>
      <c r="AI568" s="4">
        <v>33</v>
      </c>
      <c r="AJ568" s="4">
        <v>2</v>
      </c>
      <c r="AK568" s="4">
        <v>2</v>
      </c>
      <c r="AL568" s="4">
        <v>28</v>
      </c>
      <c r="AM568" s="4">
        <v>28</v>
      </c>
      <c r="AN568" s="4">
        <v>0</v>
      </c>
      <c r="AO568" s="4">
        <v>0</v>
      </c>
      <c r="AP568" s="4">
        <v>2</v>
      </c>
      <c r="AQ568" s="4">
        <v>2</v>
      </c>
      <c r="AR568" s="3" t="s">
        <v>65</v>
      </c>
      <c r="AS568" s="3" t="s">
        <v>65</v>
      </c>
      <c r="AT568" s="3" t="s">
        <v>65</v>
      </c>
      <c r="AV568" s="6" t="str">
        <f>HYPERLINK("http://mcgill.on.worldcat.org/oclc/642806334","Catalog Record")</f>
        <v>Catalog Record</v>
      </c>
      <c r="AW568" s="6" t="str">
        <f>HYPERLINK("http://www.worldcat.org/oclc/642806334","WorldCat Record")</f>
        <v>WorldCat Record</v>
      </c>
      <c r="AX568" s="3" t="s">
        <v>6124</v>
      </c>
      <c r="AY568" s="3" t="s">
        <v>6125</v>
      </c>
      <c r="AZ568" s="3" t="s">
        <v>6126</v>
      </c>
      <c r="BA568" s="3" t="s">
        <v>6126</v>
      </c>
      <c r="BB568" s="3" t="s">
        <v>6127</v>
      </c>
      <c r="BC568" s="3" t="s">
        <v>77</v>
      </c>
      <c r="BD568" s="3" t="s">
        <v>106</v>
      </c>
      <c r="BE568" s="3" t="s">
        <v>6128</v>
      </c>
      <c r="BF568" s="3" t="s">
        <v>6127</v>
      </c>
      <c r="BG568" s="3" t="s">
        <v>6129</v>
      </c>
    </row>
    <row r="569" spans="1:59" ht="58" x14ac:dyDescent="0.35">
      <c r="A569" s="2" t="s">
        <v>59</v>
      </c>
      <c r="B569" s="2" t="s">
        <v>60</v>
      </c>
      <c r="C569" s="2" t="s">
        <v>6130</v>
      </c>
      <c r="D569" s="2" t="s">
        <v>6131</v>
      </c>
      <c r="E569" s="2" t="s">
        <v>6132</v>
      </c>
      <c r="G569" s="3" t="s">
        <v>65</v>
      </c>
      <c r="I569" s="3" t="s">
        <v>65</v>
      </c>
      <c r="J569" s="3" t="s">
        <v>65</v>
      </c>
      <c r="K569" s="3" t="s">
        <v>66</v>
      </c>
      <c r="L569" s="2" t="s">
        <v>6133</v>
      </c>
      <c r="M569" s="2" t="s">
        <v>6134</v>
      </c>
      <c r="N569" s="3" t="s">
        <v>1122</v>
      </c>
      <c r="P569" s="3" t="s">
        <v>140</v>
      </c>
      <c r="Q569" s="2" t="s">
        <v>6135</v>
      </c>
      <c r="R569" s="3" t="s">
        <v>71</v>
      </c>
      <c r="S569" s="4">
        <v>6</v>
      </c>
      <c r="T569" s="4">
        <v>6</v>
      </c>
      <c r="U569" s="5" t="s">
        <v>3200</v>
      </c>
      <c r="V569" s="5" t="s">
        <v>3200</v>
      </c>
      <c r="W569" s="5" t="s">
        <v>72</v>
      </c>
      <c r="X569" s="5" t="s">
        <v>72</v>
      </c>
      <c r="Y569" s="4">
        <v>75</v>
      </c>
      <c r="Z569" s="4">
        <v>7</v>
      </c>
      <c r="AA569" s="4">
        <v>7</v>
      </c>
      <c r="AB569" s="4">
        <v>2</v>
      </c>
      <c r="AC569" s="4">
        <v>2</v>
      </c>
      <c r="AD569" s="4">
        <v>39</v>
      </c>
      <c r="AE569" s="4">
        <v>39</v>
      </c>
      <c r="AF569" s="4">
        <v>0</v>
      </c>
      <c r="AG569" s="4">
        <v>0</v>
      </c>
      <c r="AH569" s="4">
        <v>37</v>
      </c>
      <c r="AI569" s="4">
        <v>37</v>
      </c>
      <c r="AJ569" s="4">
        <v>3</v>
      </c>
      <c r="AK569" s="4">
        <v>3</v>
      </c>
      <c r="AL569" s="4">
        <v>28</v>
      </c>
      <c r="AM569" s="4">
        <v>28</v>
      </c>
      <c r="AN569" s="4">
        <v>0</v>
      </c>
      <c r="AO569" s="4">
        <v>0</v>
      </c>
      <c r="AP569" s="4">
        <v>3</v>
      </c>
      <c r="AQ569" s="4">
        <v>3</v>
      </c>
      <c r="AR569" s="3" t="s">
        <v>65</v>
      </c>
      <c r="AS569" s="3" t="s">
        <v>65</v>
      </c>
      <c r="AT569" s="3" t="s">
        <v>209</v>
      </c>
      <c r="AU569" s="6" t="str">
        <f>HYPERLINK("http://catalog.hathitrust.org/Record/005984404","HathiTrust Record")</f>
        <v>HathiTrust Record</v>
      </c>
      <c r="AV569" s="6" t="str">
        <f>HYPERLINK("http://mcgill.on.worldcat.org/oclc/313646837","Catalog Record")</f>
        <v>Catalog Record</v>
      </c>
      <c r="AW569" s="6" t="str">
        <f>HYPERLINK("http://www.worldcat.org/oclc/313646837","WorldCat Record")</f>
        <v>WorldCat Record</v>
      </c>
      <c r="AX569" s="3" t="s">
        <v>6136</v>
      </c>
      <c r="AY569" s="3" t="s">
        <v>6137</v>
      </c>
      <c r="AZ569" s="3" t="s">
        <v>6138</v>
      </c>
      <c r="BA569" s="3" t="s">
        <v>6138</v>
      </c>
      <c r="BB569" s="3" t="s">
        <v>6139</v>
      </c>
      <c r="BC569" s="3" t="s">
        <v>77</v>
      </c>
      <c r="BD569" s="3" t="s">
        <v>106</v>
      </c>
      <c r="BE569" s="3" t="s">
        <v>6140</v>
      </c>
      <c r="BF569" s="3" t="s">
        <v>6139</v>
      </c>
      <c r="BG569" s="3" t="s">
        <v>6141</v>
      </c>
    </row>
    <row r="570" spans="1:59" ht="58" x14ac:dyDescent="0.35">
      <c r="A570" s="2" t="s">
        <v>59</v>
      </c>
      <c r="B570" s="2" t="s">
        <v>60</v>
      </c>
      <c r="C570" s="2" t="s">
        <v>6142</v>
      </c>
      <c r="D570" s="2" t="s">
        <v>6143</v>
      </c>
      <c r="E570" s="2" t="s">
        <v>6144</v>
      </c>
      <c r="G570" s="3" t="s">
        <v>65</v>
      </c>
      <c r="I570" s="3" t="s">
        <v>65</v>
      </c>
      <c r="J570" s="3" t="s">
        <v>65</v>
      </c>
      <c r="K570" s="3" t="s">
        <v>66</v>
      </c>
      <c r="L570" s="2" t="s">
        <v>6145</v>
      </c>
      <c r="M570" s="2" t="s">
        <v>3160</v>
      </c>
      <c r="N570" s="3" t="s">
        <v>139</v>
      </c>
      <c r="P570" s="3" t="s">
        <v>140</v>
      </c>
      <c r="Q570" s="2" t="s">
        <v>6146</v>
      </c>
      <c r="R570" s="3" t="s">
        <v>71</v>
      </c>
      <c r="S570" s="4">
        <v>0</v>
      </c>
      <c r="T570" s="4">
        <v>0</v>
      </c>
      <c r="W570" s="5" t="s">
        <v>72</v>
      </c>
      <c r="X570" s="5" t="s">
        <v>72</v>
      </c>
      <c r="Y570" s="4">
        <v>18</v>
      </c>
      <c r="Z570" s="4">
        <v>1</v>
      </c>
      <c r="AA570" s="4">
        <v>1</v>
      </c>
      <c r="AB570" s="4">
        <v>1</v>
      </c>
      <c r="AC570" s="4">
        <v>1</v>
      </c>
      <c r="AD570" s="4">
        <v>7</v>
      </c>
      <c r="AE570" s="4">
        <v>7</v>
      </c>
      <c r="AF570" s="4">
        <v>0</v>
      </c>
      <c r="AG570" s="4">
        <v>0</v>
      </c>
      <c r="AH570" s="4">
        <v>7</v>
      </c>
      <c r="AI570" s="4">
        <v>7</v>
      </c>
      <c r="AJ570" s="4">
        <v>0</v>
      </c>
      <c r="AK570" s="4">
        <v>0</v>
      </c>
      <c r="AL570" s="4">
        <v>7</v>
      </c>
      <c r="AM570" s="4">
        <v>7</v>
      </c>
      <c r="AN570" s="4">
        <v>0</v>
      </c>
      <c r="AO570" s="4">
        <v>0</v>
      </c>
      <c r="AP570" s="4">
        <v>0</v>
      </c>
      <c r="AQ570" s="4">
        <v>0</v>
      </c>
      <c r="AR570" s="3" t="s">
        <v>65</v>
      </c>
      <c r="AS570" s="3" t="s">
        <v>65</v>
      </c>
      <c r="AT570" s="3" t="s">
        <v>65</v>
      </c>
      <c r="AV570" s="6" t="str">
        <f>HYPERLINK("http://mcgill.on.worldcat.org/oclc/780945383","Catalog Record")</f>
        <v>Catalog Record</v>
      </c>
      <c r="AW570" s="6" t="str">
        <f>HYPERLINK("http://www.worldcat.org/oclc/780945383","WorldCat Record")</f>
        <v>WorldCat Record</v>
      </c>
      <c r="AX570" s="3" t="s">
        <v>6147</v>
      </c>
      <c r="AY570" s="3" t="s">
        <v>6148</v>
      </c>
      <c r="AZ570" s="3" t="s">
        <v>6149</v>
      </c>
      <c r="BA570" s="3" t="s">
        <v>6149</v>
      </c>
      <c r="BB570" s="3" t="s">
        <v>6150</v>
      </c>
      <c r="BC570" s="3" t="s">
        <v>77</v>
      </c>
      <c r="BD570" s="3" t="s">
        <v>78</v>
      </c>
      <c r="BE570" s="3" t="s">
        <v>6151</v>
      </c>
      <c r="BF570" s="3" t="s">
        <v>6150</v>
      </c>
      <c r="BG570" s="3" t="s">
        <v>6152</v>
      </c>
    </row>
    <row r="571" spans="1:59" ht="58" x14ac:dyDescent="0.35">
      <c r="A571" s="2" t="s">
        <v>59</v>
      </c>
      <c r="B571" s="2" t="s">
        <v>60</v>
      </c>
      <c r="C571" s="2" t="s">
        <v>6153</v>
      </c>
      <c r="D571" s="2" t="s">
        <v>6154</v>
      </c>
      <c r="E571" s="2" t="s">
        <v>6155</v>
      </c>
      <c r="G571" s="3" t="s">
        <v>65</v>
      </c>
      <c r="I571" s="3" t="s">
        <v>65</v>
      </c>
      <c r="J571" s="3" t="s">
        <v>65</v>
      </c>
      <c r="K571" s="3" t="s">
        <v>66</v>
      </c>
      <c r="M571" s="2" t="s">
        <v>6156</v>
      </c>
      <c r="N571" s="3" t="s">
        <v>1967</v>
      </c>
      <c r="P571" s="3" t="s">
        <v>69</v>
      </c>
      <c r="Q571" s="2" t="s">
        <v>6157</v>
      </c>
      <c r="R571" s="3" t="s">
        <v>71</v>
      </c>
      <c r="S571" s="4">
        <v>8</v>
      </c>
      <c r="T571" s="4">
        <v>8</v>
      </c>
      <c r="U571" s="5" t="s">
        <v>6158</v>
      </c>
      <c r="V571" s="5" t="s">
        <v>6158</v>
      </c>
      <c r="W571" s="5" t="s">
        <v>72</v>
      </c>
      <c r="X571" s="5" t="s">
        <v>72</v>
      </c>
      <c r="Y571" s="4">
        <v>55</v>
      </c>
      <c r="Z571" s="4">
        <v>12</v>
      </c>
      <c r="AA571" s="4">
        <v>13</v>
      </c>
      <c r="AB571" s="4">
        <v>2</v>
      </c>
      <c r="AC571" s="4">
        <v>3</v>
      </c>
      <c r="AD571" s="4">
        <v>26</v>
      </c>
      <c r="AE571" s="4">
        <v>29</v>
      </c>
      <c r="AF571" s="4">
        <v>1</v>
      </c>
      <c r="AG571" s="4">
        <v>1</v>
      </c>
      <c r="AH571" s="4">
        <v>23</v>
      </c>
      <c r="AI571" s="4">
        <v>26</v>
      </c>
      <c r="AJ571" s="4">
        <v>8</v>
      </c>
      <c r="AK571" s="4">
        <v>8</v>
      </c>
      <c r="AL571" s="4">
        <v>11</v>
      </c>
      <c r="AM571" s="4">
        <v>13</v>
      </c>
      <c r="AN571" s="4">
        <v>0</v>
      </c>
      <c r="AO571" s="4">
        <v>0</v>
      </c>
      <c r="AP571" s="4">
        <v>9</v>
      </c>
      <c r="AQ571" s="4">
        <v>9</v>
      </c>
      <c r="AR571" s="3" t="s">
        <v>65</v>
      </c>
      <c r="AS571" s="3" t="s">
        <v>65</v>
      </c>
      <c r="AT571" s="3" t="s">
        <v>65</v>
      </c>
      <c r="AV571" s="6" t="str">
        <f>HYPERLINK("http://mcgill.on.worldcat.org/oclc/123157664","Catalog Record")</f>
        <v>Catalog Record</v>
      </c>
      <c r="AW571" s="6" t="str">
        <f>HYPERLINK("http://www.worldcat.org/oclc/123157664","WorldCat Record")</f>
        <v>WorldCat Record</v>
      </c>
      <c r="AX571" s="3" t="s">
        <v>6159</v>
      </c>
      <c r="AY571" s="3" t="s">
        <v>6160</v>
      </c>
      <c r="AZ571" s="3" t="s">
        <v>6161</v>
      </c>
      <c r="BA571" s="3" t="s">
        <v>6161</v>
      </c>
      <c r="BB571" s="3" t="s">
        <v>6162</v>
      </c>
      <c r="BC571" s="3" t="s">
        <v>77</v>
      </c>
      <c r="BD571" s="3" t="s">
        <v>78</v>
      </c>
      <c r="BE571" s="3" t="s">
        <v>6163</v>
      </c>
      <c r="BF571" s="3" t="s">
        <v>6162</v>
      </c>
      <c r="BG571" s="3" t="s">
        <v>6164</v>
      </c>
    </row>
    <row r="572" spans="1:59" ht="58" x14ac:dyDescent="0.35">
      <c r="A572" s="2" t="s">
        <v>59</v>
      </c>
      <c r="B572" s="2" t="s">
        <v>60</v>
      </c>
      <c r="C572" s="2" t="s">
        <v>6165</v>
      </c>
      <c r="D572" s="2" t="s">
        <v>6166</v>
      </c>
      <c r="E572" s="2" t="s">
        <v>6167</v>
      </c>
      <c r="G572" s="3" t="s">
        <v>65</v>
      </c>
      <c r="I572" s="3" t="s">
        <v>65</v>
      </c>
      <c r="J572" s="3" t="s">
        <v>65</v>
      </c>
      <c r="K572" s="3" t="s">
        <v>66</v>
      </c>
      <c r="L572" s="2" t="s">
        <v>6168</v>
      </c>
      <c r="M572" s="2" t="s">
        <v>6169</v>
      </c>
      <c r="N572" s="3" t="s">
        <v>1085</v>
      </c>
      <c r="O572" s="2" t="s">
        <v>365</v>
      </c>
      <c r="P572" s="3" t="s">
        <v>140</v>
      </c>
      <c r="Q572" s="2" t="s">
        <v>6170</v>
      </c>
      <c r="R572" s="3" t="s">
        <v>71</v>
      </c>
      <c r="S572" s="4">
        <v>6</v>
      </c>
      <c r="T572" s="4">
        <v>6</v>
      </c>
      <c r="U572" s="5" t="s">
        <v>6158</v>
      </c>
      <c r="V572" s="5" t="s">
        <v>6158</v>
      </c>
      <c r="W572" s="5" t="s">
        <v>72</v>
      </c>
      <c r="X572" s="5" t="s">
        <v>72</v>
      </c>
      <c r="Y572" s="4">
        <v>59</v>
      </c>
      <c r="Z572" s="4">
        <v>6</v>
      </c>
      <c r="AA572" s="4">
        <v>6</v>
      </c>
      <c r="AB572" s="4">
        <v>1</v>
      </c>
      <c r="AC572" s="4">
        <v>1</v>
      </c>
      <c r="AD572" s="4">
        <v>27</v>
      </c>
      <c r="AE572" s="4">
        <v>27</v>
      </c>
      <c r="AF572" s="4">
        <v>0</v>
      </c>
      <c r="AG572" s="4">
        <v>0</v>
      </c>
      <c r="AH572" s="4">
        <v>25</v>
      </c>
      <c r="AI572" s="4">
        <v>25</v>
      </c>
      <c r="AJ572" s="4">
        <v>4</v>
      </c>
      <c r="AK572" s="4">
        <v>4</v>
      </c>
      <c r="AL572" s="4">
        <v>20</v>
      </c>
      <c r="AM572" s="4">
        <v>20</v>
      </c>
      <c r="AN572" s="4">
        <v>0</v>
      </c>
      <c r="AO572" s="4">
        <v>0</v>
      </c>
      <c r="AP572" s="4">
        <v>4</v>
      </c>
      <c r="AQ572" s="4">
        <v>4</v>
      </c>
      <c r="AR572" s="3" t="s">
        <v>65</v>
      </c>
      <c r="AS572" s="3" t="s">
        <v>65</v>
      </c>
      <c r="AT572" s="3" t="s">
        <v>209</v>
      </c>
      <c r="AU572" s="6" t="str">
        <f>HYPERLINK("http://catalog.hathitrust.org/Record/007558417","HathiTrust Record")</f>
        <v>HathiTrust Record</v>
      </c>
      <c r="AV572" s="6" t="str">
        <f>HYPERLINK("http://mcgill.on.worldcat.org/oclc/36768536","Catalog Record")</f>
        <v>Catalog Record</v>
      </c>
      <c r="AW572" s="6" t="str">
        <f>HYPERLINK("http://www.worldcat.org/oclc/36768536","WorldCat Record")</f>
        <v>WorldCat Record</v>
      </c>
      <c r="AX572" s="3" t="s">
        <v>6171</v>
      </c>
      <c r="AY572" s="3" t="s">
        <v>6172</v>
      </c>
      <c r="AZ572" s="3" t="s">
        <v>6173</v>
      </c>
      <c r="BA572" s="3" t="s">
        <v>6173</v>
      </c>
      <c r="BB572" s="3" t="s">
        <v>6174</v>
      </c>
      <c r="BC572" s="3" t="s">
        <v>77</v>
      </c>
      <c r="BD572" s="3" t="s">
        <v>78</v>
      </c>
      <c r="BE572" s="3" t="s">
        <v>6175</v>
      </c>
      <c r="BF572" s="3" t="s">
        <v>6174</v>
      </c>
      <c r="BG572" s="3" t="s">
        <v>6176</v>
      </c>
    </row>
    <row r="573" spans="1:59" ht="58" x14ac:dyDescent="0.35">
      <c r="A573" s="2" t="s">
        <v>59</v>
      </c>
      <c r="B573" s="2" t="s">
        <v>60</v>
      </c>
      <c r="C573" s="2" t="s">
        <v>6177</v>
      </c>
      <c r="D573" s="2" t="s">
        <v>6178</v>
      </c>
      <c r="E573" s="2" t="s">
        <v>6179</v>
      </c>
      <c r="G573" s="3" t="s">
        <v>65</v>
      </c>
      <c r="I573" s="3" t="s">
        <v>65</v>
      </c>
      <c r="J573" s="3" t="s">
        <v>65</v>
      </c>
      <c r="K573" s="3" t="s">
        <v>66</v>
      </c>
      <c r="M573" s="2" t="s">
        <v>6180</v>
      </c>
      <c r="N573" s="3" t="s">
        <v>68</v>
      </c>
      <c r="P573" s="3" t="s">
        <v>140</v>
      </c>
      <c r="Q573" s="2" t="s">
        <v>6181</v>
      </c>
      <c r="R573" s="3" t="s">
        <v>71</v>
      </c>
      <c r="S573" s="4">
        <v>0</v>
      </c>
      <c r="T573" s="4">
        <v>0</v>
      </c>
      <c r="W573" s="5" t="s">
        <v>72</v>
      </c>
      <c r="X573" s="5" t="s">
        <v>72</v>
      </c>
      <c r="Y573" s="4">
        <v>28</v>
      </c>
      <c r="Z573" s="4">
        <v>3</v>
      </c>
      <c r="AA573" s="4">
        <v>3</v>
      </c>
      <c r="AB573" s="4">
        <v>1</v>
      </c>
      <c r="AC573" s="4">
        <v>1</v>
      </c>
      <c r="AD573" s="4">
        <v>20</v>
      </c>
      <c r="AE573" s="4">
        <v>20</v>
      </c>
      <c r="AF573" s="4">
        <v>0</v>
      </c>
      <c r="AG573" s="4">
        <v>0</v>
      </c>
      <c r="AH573" s="4">
        <v>19</v>
      </c>
      <c r="AI573" s="4">
        <v>19</v>
      </c>
      <c r="AJ573" s="4">
        <v>1</v>
      </c>
      <c r="AK573" s="4">
        <v>1</v>
      </c>
      <c r="AL573" s="4">
        <v>17</v>
      </c>
      <c r="AM573" s="4">
        <v>17</v>
      </c>
      <c r="AN573" s="4">
        <v>0</v>
      </c>
      <c r="AO573" s="4">
        <v>0</v>
      </c>
      <c r="AP573" s="4">
        <v>1</v>
      </c>
      <c r="AQ573" s="4">
        <v>1</v>
      </c>
      <c r="AR573" s="3" t="s">
        <v>65</v>
      </c>
      <c r="AS573" s="3" t="s">
        <v>65</v>
      </c>
      <c r="AT573" s="3" t="s">
        <v>65</v>
      </c>
      <c r="AV573" s="6" t="str">
        <f>HYPERLINK("http://mcgill.on.worldcat.org/oclc/949855729","Catalog Record")</f>
        <v>Catalog Record</v>
      </c>
      <c r="AW573" s="6" t="str">
        <f>HYPERLINK("http://www.worldcat.org/oclc/949855729","WorldCat Record")</f>
        <v>WorldCat Record</v>
      </c>
      <c r="AX573" s="3" t="s">
        <v>6182</v>
      </c>
      <c r="AY573" s="3" t="s">
        <v>6183</v>
      </c>
      <c r="AZ573" s="3" t="s">
        <v>6184</v>
      </c>
      <c r="BA573" s="3" t="s">
        <v>6184</v>
      </c>
      <c r="BB573" s="3" t="s">
        <v>6185</v>
      </c>
      <c r="BC573" s="3" t="s">
        <v>77</v>
      </c>
      <c r="BD573" s="3" t="s">
        <v>78</v>
      </c>
      <c r="BE573" s="3" t="s">
        <v>6186</v>
      </c>
      <c r="BF573" s="3" t="s">
        <v>6185</v>
      </c>
      <c r="BG573" s="3" t="s">
        <v>6187</v>
      </c>
    </row>
    <row r="574" spans="1:59" ht="58" x14ac:dyDescent="0.35">
      <c r="A574" s="2" t="s">
        <v>59</v>
      </c>
      <c r="B574" s="2" t="s">
        <v>60</v>
      </c>
      <c r="C574" s="2" t="s">
        <v>6188</v>
      </c>
      <c r="D574" s="2" t="s">
        <v>6189</v>
      </c>
      <c r="E574" s="2" t="s">
        <v>6190</v>
      </c>
      <c r="G574" s="3" t="s">
        <v>65</v>
      </c>
      <c r="I574" s="3" t="s">
        <v>65</v>
      </c>
      <c r="J574" s="3" t="s">
        <v>65</v>
      </c>
      <c r="K574" s="3" t="s">
        <v>66</v>
      </c>
      <c r="L574" s="2" t="s">
        <v>6191</v>
      </c>
      <c r="M574" s="2" t="s">
        <v>6192</v>
      </c>
      <c r="N574" s="3" t="s">
        <v>5130</v>
      </c>
      <c r="P574" s="3" t="s">
        <v>69</v>
      </c>
      <c r="R574" s="3" t="s">
        <v>71</v>
      </c>
      <c r="S574" s="4">
        <v>6</v>
      </c>
      <c r="T574" s="4">
        <v>6</v>
      </c>
      <c r="U574" s="5" t="s">
        <v>6158</v>
      </c>
      <c r="V574" s="5" t="s">
        <v>6158</v>
      </c>
      <c r="W574" s="5" t="s">
        <v>72</v>
      </c>
      <c r="X574" s="5" t="s">
        <v>72</v>
      </c>
      <c r="Y574" s="4">
        <v>57</v>
      </c>
      <c r="Z574" s="4">
        <v>8</v>
      </c>
      <c r="AA574" s="4">
        <v>17</v>
      </c>
      <c r="AB574" s="4">
        <v>1</v>
      </c>
      <c r="AC574" s="4">
        <v>3</v>
      </c>
      <c r="AD574" s="4">
        <v>22</v>
      </c>
      <c r="AE574" s="4">
        <v>107</v>
      </c>
      <c r="AF574" s="4">
        <v>0</v>
      </c>
      <c r="AG574" s="4">
        <v>2</v>
      </c>
      <c r="AH574" s="4">
        <v>18</v>
      </c>
      <c r="AI574" s="4">
        <v>99</v>
      </c>
      <c r="AJ574" s="4">
        <v>7</v>
      </c>
      <c r="AK574" s="4">
        <v>15</v>
      </c>
      <c r="AL574" s="4">
        <v>9</v>
      </c>
      <c r="AM574" s="4">
        <v>53</v>
      </c>
      <c r="AN574" s="4">
        <v>0</v>
      </c>
      <c r="AO574" s="4">
        <v>0</v>
      </c>
      <c r="AP574" s="4">
        <v>7</v>
      </c>
      <c r="AQ574" s="4">
        <v>14</v>
      </c>
      <c r="AR574" s="3" t="s">
        <v>65</v>
      </c>
      <c r="AS574" s="3" t="s">
        <v>65</v>
      </c>
      <c r="AT574" s="3" t="s">
        <v>65</v>
      </c>
      <c r="AV574" s="6" t="str">
        <f>HYPERLINK("http://mcgill.on.worldcat.org/oclc/2634035","Catalog Record")</f>
        <v>Catalog Record</v>
      </c>
      <c r="AW574" s="6" t="str">
        <f>HYPERLINK("http://www.worldcat.org/oclc/2634035","WorldCat Record")</f>
        <v>WorldCat Record</v>
      </c>
      <c r="AX574" s="3" t="s">
        <v>6193</v>
      </c>
      <c r="AY574" s="3" t="s">
        <v>6194</v>
      </c>
      <c r="AZ574" s="3" t="s">
        <v>6195</v>
      </c>
      <c r="BA574" s="3" t="s">
        <v>6195</v>
      </c>
      <c r="BB574" s="3" t="s">
        <v>6196</v>
      </c>
      <c r="BC574" s="3" t="s">
        <v>77</v>
      </c>
      <c r="BD574" s="3" t="s">
        <v>78</v>
      </c>
      <c r="BE574" s="3" t="s">
        <v>6197</v>
      </c>
      <c r="BF574" s="3" t="s">
        <v>6196</v>
      </c>
      <c r="BG574" s="3" t="s">
        <v>6198</v>
      </c>
    </row>
    <row r="575" spans="1:59" ht="58" x14ac:dyDescent="0.35">
      <c r="A575" s="2" t="s">
        <v>59</v>
      </c>
      <c r="B575" s="2" t="s">
        <v>60</v>
      </c>
      <c r="C575" s="2" t="s">
        <v>6199</v>
      </c>
      <c r="D575" s="2" t="s">
        <v>6200</v>
      </c>
      <c r="E575" s="2" t="s">
        <v>6201</v>
      </c>
      <c r="G575" s="3" t="s">
        <v>65</v>
      </c>
      <c r="I575" s="3" t="s">
        <v>65</v>
      </c>
      <c r="J575" s="3" t="s">
        <v>65</v>
      </c>
      <c r="K575" s="3" t="s">
        <v>66</v>
      </c>
      <c r="M575" s="2" t="s">
        <v>6202</v>
      </c>
      <c r="N575" s="3" t="s">
        <v>139</v>
      </c>
      <c r="P575" s="3" t="s">
        <v>140</v>
      </c>
      <c r="Q575" s="2" t="s">
        <v>6203</v>
      </c>
      <c r="R575" s="3" t="s">
        <v>71</v>
      </c>
      <c r="S575" s="4">
        <v>0</v>
      </c>
      <c r="T575" s="4">
        <v>0</v>
      </c>
      <c r="W575" s="5" t="s">
        <v>72</v>
      </c>
      <c r="X575" s="5" t="s">
        <v>72</v>
      </c>
      <c r="Y575" s="4">
        <v>39</v>
      </c>
      <c r="Z575" s="4">
        <v>3</v>
      </c>
      <c r="AA575" s="4">
        <v>3</v>
      </c>
      <c r="AB575" s="4">
        <v>1</v>
      </c>
      <c r="AC575" s="4">
        <v>1</v>
      </c>
      <c r="AD575" s="4">
        <v>25</v>
      </c>
      <c r="AE575" s="4">
        <v>25</v>
      </c>
      <c r="AF575" s="4">
        <v>0</v>
      </c>
      <c r="AG575" s="4">
        <v>0</v>
      </c>
      <c r="AH575" s="4">
        <v>24</v>
      </c>
      <c r="AI575" s="4">
        <v>24</v>
      </c>
      <c r="AJ575" s="4">
        <v>1</v>
      </c>
      <c r="AK575" s="4">
        <v>1</v>
      </c>
      <c r="AL575" s="4">
        <v>18</v>
      </c>
      <c r="AM575" s="4">
        <v>18</v>
      </c>
      <c r="AN575" s="4">
        <v>0</v>
      </c>
      <c r="AO575" s="4">
        <v>0</v>
      </c>
      <c r="AP575" s="4">
        <v>1</v>
      </c>
      <c r="AQ575" s="4">
        <v>1</v>
      </c>
      <c r="AR575" s="3" t="s">
        <v>65</v>
      </c>
      <c r="AS575" s="3" t="s">
        <v>65</v>
      </c>
      <c r="AT575" s="3" t="s">
        <v>65</v>
      </c>
      <c r="AV575" s="6" t="str">
        <f>HYPERLINK("http://mcgill.on.worldcat.org/oclc/785335942","Catalog Record")</f>
        <v>Catalog Record</v>
      </c>
      <c r="AW575" s="6" t="str">
        <f>HYPERLINK("http://www.worldcat.org/oclc/785335942","WorldCat Record")</f>
        <v>WorldCat Record</v>
      </c>
      <c r="AX575" s="3" t="s">
        <v>6204</v>
      </c>
      <c r="AY575" s="3" t="s">
        <v>6205</v>
      </c>
      <c r="AZ575" s="3" t="s">
        <v>6206</v>
      </c>
      <c r="BA575" s="3" t="s">
        <v>6206</v>
      </c>
      <c r="BB575" s="3" t="s">
        <v>6207</v>
      </c>
      <c r="BC575" s="3" t="s">
        <v>77</v>
      </c>
      <c r="BD575" s="3" t="s">
        <v>78</v>
      </c>
      <c r="BE575" s="3" t="s">
        <v>6208</v>
      </c>
      <c r="BF575" s="3" t="s">
        <v>6207</v>
      </c>
      <c r="BG575" s="3" t="s">
        <v>6209</v>
      </c>
    </row>
    <row r="576" spans="1:59" ht="58" x14ac:dyDescent="0.35">
      <c r="A576" s="2" t="s">
        <v>59</v>
      </c>
      <c r="B576" s="2" t="s">
        <v>60</v>
      </c>
      <c r="C576" s="2" t="s">
        <v>6210</v>
      </c>
      <c r="D576" s="2" t="s">
        <v>6211</v>
      </c>
      <c r="E576" s="2" t="s">
        <v>6212</v>
      </c>
      <c r="G576" s="3" t="s">
        <v>65</v>
      </c>
      <c r="I576" s="3" t="s">
        <v>65</v>
      </c>
      <c r="J576" s="3" t="s">
        <v>65</v>
      </c>
      <c r="K576" s="3" t="s">
        <v>66</v>
      </c>
      <c r="L576" s="2" t="s">
        <v>6213</v>
      </c>
      <c r="M576" s="2" t="s">
        <v>2256</v>
      </c>
      <c r="N576" s="3" t="s">
        <v>126</v>
      </c>
      <c r="O576" s="2" t="s">
        <v>654</v>
      </c>
      <c r="P576" s="3" t="s">
        <v>140</v>
      </c>
      <c r="Q576" s="2" t="s">
        <v>6214</v>
      </c>
      <c r="R576" s="3" t="s">
        <v>71</v>
      </c>
      <c r="S576" s="4">
        <v>0</v>
      </c>
      <c r="T576" s="4">
        <v>0</v>
      </c>
      <c r="W576" s="5" t="s">
        <v>72</v>
      </c>
      <c r="X576" s="5" t="s">
        <v>72</v>
      </c>
      <c r="Y576" s="4">
        <v>31</v>
      </c>
      <c r="Z576" s="4">
        <v>3</v>
      </c>
      <c r="AA576" s="4">
        <v>3</v>
      </c>
      <c r="AB576" s="4">
        <v>1</v>
      </c>
      <c r="AC576" s="4">
        <v>1</v>
      </c>
      <c r="AD576" s="4">
        <v>21</v>
      </c>
      <c r="AE576" s="4">
        <v>21</v>
      </c>
      <c r="AF576" s="4">
        <v>0</v>
      </c>
      <c r="AG576" s="4">
        <v>0</v>
      </c>
      <c r="AH576" s="4">
        <v>20</v>
      </c>
      <c r="AI576" s="4">
        <v>20</v>
      </c>
      <c r="AJ576" s="4">
        <v>1</v>
      </c>
      <c r="AK576" s="4">
        <v>1</v>
      </c>
      <c r="AL576" s="4">
        <v>16</v>
      </c>
      <c r="AM576" s="4">
        <v>16</v>
      </c>
      <c r="AN576" s="4">
        <v>0</v>
      </c>
      <c r="AO576" s="4">
        <v>0</v>
      </c>
      <c r="AP576" s="4">
        <v>1</v>
      </c>
      <c r="AQ576" s="4">
        <v>1</v>
      </c>
      <c r="AR576" s="3" t="s">
        <v>65</v>
      </c>
      <c r="AS576" s="3" t="s">
        <v>65</v>
      </c>
      <c r="AT576" s="3" t="s">
        <v>65</v>
      </c>
      <c r="AV576" s="6" t="str">
        <f>HYPERLINK("http://mcgill.on.worldcat.org/oclc/778420076","Catalog Record")</f>
        <v>Catalog Record</v>
      </c>
      <c r="AW576" s="6" t="str">
        <f>HYPERLINK("http://www.worldcat.org/oclc/778420076","WorldCat Record")</f>
        <v>WorldCat Record</v>
      </c>
      <c r="AX576" s="3" t="s">
        <v>6215</v>
      </c>
      <c r="AY576" s="3" t="s">
        <v>6216</v>
      </c>
      <c r="AZ576" s="3" t="s">
        <v>6217</v>
      </c>
      <c r="BA576" s="3" t="s">
        <v>6217</v>
      </c>
      <c r="BB576" s="3" t="s">
        <v>6218</v>
      </c>
      <c r="BC576" s="3" t="s">
        <v>77</v>
      </c>
      <c r="BD576" s="3" t="s">
        <v>78</v>
      </c>
      <c r="BE576" s="3" t="s">
        <v>6219</v>
      </c>
      <c r="BF576" s="3" t="s">
        <v>6218</v>
      </c>
      <c r="BG576" s="3" t="s">
        <v>6220</v>
      </c>
    </row>
    <row r="577" spans="1:59" ht="58" x14ac:dyDescent="0.35">
      <c r="A577" s="2" t="s">
        <v>59</v>
      </c>
      <c r="B577" s="2" t="s">
        <v>60</v>
      </c>
      <c r="C577" s="2" t="s">
        <v>6221</v>
      </c>
      <c r="D577" s="2" t="s">
        <v>6222</v>
      </c>
      <c r="E577" s="2" t="s">
        <v>6223</v>
      </c>
      <c r="G577" s="3" t="s">
        <v>65</v>
      </c>
      <c r="I577" s="3" t="s">
        <v>65</v>
      </c>
      <c r="J577" s="3" t="s">
        <v>65</v>
      </c>
      <c r="K577" s="3" t="s">
        <v>66</v>
      </c>
      <c r="L577" s="2" t="s">
        <v>6224</v>
      </c>
      <c r="M577" s="2" t="s">
        <v>6225</v>
      </c>
      <c r="N577" s="3" t="s">
        <v>164</v>
      </c>
      <c r="P577" s="3" t="s">
        <v>69</v>
      </c>
      <c r="Q577" s="2" t="s">
        <v>6226</v>
      </c>
      <c r="R577" s="3" t="s">
        <v>71</v>
      </c>
      <c r="S577" s="4">
        <v>1</v>
      </c>
      <c r="T577" s="4">
        <v>1</v>
      </c>
      <c r="U577" s="5" t="s">
        <v>6227</v>
      </c>
      <c r="V577" s="5" t="s">
        <v>6227</v>
      </c>
      <c r="W577" s="5" t="s">
        <v>72</v>
      </c>
      <c r="X577" s="5" t="s">
        <v>72</v>
      </c>
      <c r="Y577" s="4">
        <v>57</v>
      </c>
      <c r="Z577" s="4">
        <v>9</v>
      </c>
      <c r="AA577" s="4">
        <v>28</v>
      </c>
      <c r="AB577" s="4">
        <v>1</v>
      </c>
      <c r="AC577" s="4">
        <v>4</v>
      </c>
      <c r="AD577" s="4">
        <v>30</v>
      </c>
      <c r="AE577" s="4">
        <v>43</v>
      </c>
      <c r="AF577" s="4">
        <v>0</v>
      </c>
      <c r="AG577" s="4">
        <v>1</v>
      </c>
      <c r="AH577" s="4">
        <v>25</v>
      </c>
      <c r="AI577" s="4">
        <v>32</v>
      </c>
      <c r="AJ577" s="4">
        <v>7</v>
      </c>
      <c r="AK577" s="4">
        <v>8</v>
      </c>
      <c r="AL577" s="4">
        <v>13</v>
      </c>
      <c r="AM577" s="4">
        <v>17</v>
      </c>
      <c r="AN577" s="4">
        <v>0</v>
      </c>
      <c r="AO577" s="4">
        <v>0</v>
      </c>
      <c r="AP577" s="4">
        <v>8</v>
      </c>
      <c r="AQ577" s="4">
        <v>13</v>
      </c>
      <c r="AR577" s="3" t="s">
        <v>65</v>
      </c>
      <c r="AS577" s="3" t="s">
        <v>65</v>
      </c>
      <c r="AT577" s="3" t="s">
        <v>65</v>
      </c>
      <c r="AV577" s="6" t="str">
        <f>HYPERLINK("http://mcgill.on.worldcat.org/oclc/865297505","Catalog Record")</f>
        <v>Catalog Record</v>
      </c>
      <c r="AW577" s="6" t="str">
        <f>HYPERLINK("http://www.worldcat.org/oclc/865297505","WorldCat Record")</f>
        <v>WorldCat Record</v>
      </c>
      <c r="AX577" s="3" t="s">
        <v>6228</v>
      </c>
      <c r="AY577" s="3" t="s">
        <v>6229</v>
      </c>
      <c r="AZ577" s="3" t="s">
        <v>6230</v>
      </c>
      <c r="BA577" s="3" t="s">
        <v>6230</v>
      </c>
      <c r="BB577" s="3" t="s">
        <v>6231</v>
      </c>
      <c r="BC577" s="3" t="s">
        <v>77</v>
      </c>
      <c r="BD577" s="3" t="s">
        <v>78</v>
      </c>
      <c r="BE577" s="3" t="s">
        <v>6232</v>
      </c>
      <c r="BF577" s="3" t="s">
        <v>6231</v>
      </c>
      <c r="BG577" s="3" t="s">
        <v>6233</v>
      </c>
    </row>
    <row r="578" spans="1:59" ht="58" x14ac:dyDescent="0.35">
      <c r="A578" s="2" t="s">
        <v>59</v>
      </c>
      <c r="B578" s="2" t="s">
        <v>60</v>
      </c>
      <c r="C578" s="2" t="s">
        <v>6234</v>
      </c>
      <c r="D578" s="2" t="s">
        <v>6235</v>
      </c>
      <c r="E578" s="2" t="s">
        <v>6236</v>
      </c>
      <c r="G578" s="3" t="s">
        <v>65</v>
      </c>
      <c r="I578" s="3" t="s">
        <v>65</v>
      </c>
      <c r="J578" s="3" t="s">
        <v>65</v>
      </c>
      <c r="K578" s="3" t="s">
        <v>66</v>
      </c>
      <c r="L578" s="2" t="s">
        <v>6237</v>
      </c>
      <c r="M578" s="2" t="s">
        <v>6238</v>
      </c>
      <c r="N578" s="3" t="s">
        <v>113</v>
      </c>
      <c r="P578" s="3" t="s">
        <v>69</v>
      </c>
      <c r="R578" s="3" t="s">
        <v>71</v>
      </c>
      <c r="S578" s="4">
        <v>2</v>
      </c>
      <c r="T578" s="4">
        <v>2</v>
      </c>
      <c r="U578" s="5" t="s">
        <v>6239</v>
      </c>
      <c r="V578" s="5" t="s">
        <v>6239</v>
      </c>
      <c r="W578" s="5" t="s">
        <v>72</v>
      </c>
      <c r="X578" s="5" t="s">
        <v>72</v>
      </c>
      <c r="Y578" s="4">
        <v>62</v>
      </c>
      <c r="Z578" s="4">
        <v>10</v>
      </c>
      <c r="AA578" s="4">
        <v>10</v>
      </c>
      <c r="AB578" s="4">
        <v>1</v>
      </c>
      <c r="AC578" s="4">
        <v>1</v>
      </c>
      <c r="AD578" s="4">
        <v>33</v>
      </c>
      <c r="AE578" s="4">
        <v>33</v>
      </c>
      <c r="AF578" s="4">
        <v>0</v>
      </c>
      <c r="AG578" s="4">
        <v>0</v>
      </c>
      <c r="AH578" s="4">
        <v>31</v>
      </c>
      <c r="AI578" s="4">
        <v>31</v>
      </c>
      <c r="AJ578" s="4">
        <v>8</v>
      </c>
      <c r="AK578" s="4">
        <v>8</v>
      </c>
      <c r="AL578" s="4">
        <v>20</v>
      </c>
      <c r="AM578" s="4">
        <v>20</v>
      </c>
      <c r="AN578" s="4">
        <v>0</v>
      </c>
      <c r="AO578" s="4">
        <v>0</v>
      </c>
      <c r="AP578" s="4">
        <v>8</v>
      </c>
      <c r="AQ578" s="4">
        <v>8</v>
      </c>
      <c r="AR578" s="3" t="s">
        <v>65</v>
      </c>
      <c r="AS578" s="3" t="s">
        <v>65</v>
      </c>
      <c r="AT578" s="3" t="s">
        <v>65</v>
      </c>
      <c r="AV578" s="6" t="str">
        <f>HYPERLINK("http://mcgill.on.worldcat.org/oclc/666718217","Catalog Record")</f>
        <v>Catalog Record</v>
      </c>
      <c r="AW578" s="6" t="str">
        <f>HYPERLINK("http://www.worldcat.org/oclc/666718217","WorldCat Record")</f>
        <v>WorldCat Record</v>
      </c>
      <c r="AX578" s="3" t="s">
        <v>6240</v>
      </c>
      <c r="AY578" s="3" t="s">
        <v>6241</v>
      </c>
      <c r="AZ578" s="3" t="s">
        <v>6242</v>
      </c>
      <c r="BA578" s="3" t="s">
        <v>6242</v>
      </c>
      <c r="BB578" s="3" t="s">
        <v>6243</v>
      </c>
      <c r="BC578" s="3" t="s">
        <v>77</v>
      </c>
      <c r="BD578" s="3" t="s">
        <v>78</v>
      </c>
      <c r="BE578" s="3" t="s">
        <v>6244</v>
      </c>
      <c r="BF578" s="3" t="s">
        <v>6243</v>
      </c>
      <c r="BG578" s="3" t="s">
        <v>6245</v>
      </c>
    </row>
    <row r="579" spans="1:59" ht="58" x14ac:dyDescent="0.35">
      <c r="A579" s="2" t="s">
        <v>59</v>
      </c>
      <c r="B579" s="2" t="s">
        <v>60</v>
      </c>
      <c r="C579" s="2" t="s">
        <v>6246</v>
      </c>
      <c r="D579" s="2" t="s">
        <v>6247</v>
      </c>
      <c r="E579" s="2" t="s">
        <v>6248</v>
      </c>
      <c r="G579" s="3" t="s">
        <v>65</v>
      </c>
      <c r="I579" s="3" t="s">
        <v>65</v>
      </c>
      <c r="J579" s="3" t="s">
        <v>65</v>
      </c>
      <c r="K579" s="3" t="s">
        <v>66</v>
      </c>
      <c r="M579" s="2" t="s">
        <v>6249</v>
      </c>
      <c r="N579" s="3" t="s">
        <v>479</v>
      </c>
      <c r="O579" s="2" t="s">
        <v>2086</v>
      </c>
      <c r="P579" s="3" t="s">
        <v>69</v>
      </c>
      <c r="Q579" s="2" t="s">
        <v>6250</v>
      </c>
      <c r="R579" s="3" t="s">
        <v>71</v>
      </c>
      <c r="S579" s="4">
        <v>3</v>
      </c>
      <c r="T579" s="4">
        <v>3</v>
      </c>
      <c r="U579" s="5" t="s">
        <v>6251</v>
      </c>
      <c r="V579" s="5" t="s">
        <v>6251</v>
      </c>
      <c r="W579" s="5" t="s">
        <v>72</v>
      </c>
      <c r="X579" s="5" t="s">
        <v>72</v>
      </c>
      <c r="Y579" s="4">
        <v>157</v>
      </c>
      <c r="Z579" s="4">
        <v>12</v>
      </c>
      <c r="AA579" s="4">
        <v>13</v>
      </c>
      <c r="AB579" s="4">
        <v>1</v>
      </c>
      <c r="AC579" s="4">
        <v>2</v>
      </c>
      <c r="AD579" s="4">
        <v>76</v>
      </c>
      <c r="AE579" s="4">
        <v>77</v>
      </c>
      <c r="AF579" s="4">
        <v>0</v>
      </c>
      <c r="AG579" s="4">
        <v>1</v>
      </c>
      <c r="AH579" s="4">
        <v>71</v>
      </c>
      <c r="AI579" s="4">
        <v>71</v>
      </c>
      <c r="AJ579" s="4">
        <v>9</v>
      </c>
      <c r="AK579" s="4">
        <v>10</v>
      </c>
      <c r="AL579" s="4">
        <v>45</v>
      </c>
      <c r="AM579" s="4">
        <v>45</v>
      </c>
      <c r="AN579" s="4">
        <v>0</v>
      </c>
      <c r="AO579" s="4">
        <v>0</v>
      </c>
      <c r="AP579" s="4">
        <v>10</v>
      </c>
      <c r="AQ579" s="4">
        <v>10</v>
      </c>
      <c r="AR579" s="3" t="s">
        <v>65</v>
      </c>
      <c r="AS579" s="3" t="s">
        <v>65</v>
      </c>
      <c r="AT579" s="3" t="s">
        <v>65</v>
      </c>
      <c r="AV579" s="6" t="str">
        <f>HYPERLINK("http://mcgill.on.worldcat.org/oclc/228363610","Catalog Record")</f>
        <v>Catalog Record</v>
      </c>
      <c r="AW579" s="6" t="str">
        <f>HYPERLINK("http://www.worldcat.org/oclc/228363610","WorldCat Record")</f>
        <v>WorldCat Record</v>
      </c>
      <c r="AX579" s="3" t="s">
        <v>6252</v>
      </c>
      <c r="AY579" s="3" t="s">
        <v>6253</v>
      </c>
      <c r="AZ579" s="3" t="s">
        <v>6254</v>
      </c>
      <c r="BA579" s="3" t="s">
        <v>6254</v>
      </c>
      <c r="BB579" s="3" t="s">
        <v>6255</v>
      </c>
      <c r="BC579" s="3" t="s">
        <v>77</v>
      </c>
      <c r="BD579" s="3" t="s">
        <v>78</v>
      </c>
      <c r="BE579" s="3" t="s">
        <v>6256</v>
      </c>
      <c r="BF579" s="3" t="s">
        <v>6255</v>
      </c>
      <c r="BG579" s="3" t="s">
        <v>6257</v>
      </c>
    </row>
    <row r="580" spans="1:59" ht="58" x14ac:dyDescent="0.35">
      <c r="A580" s="2" t="s">
        <v>59</v>
      </c>
      <c r="B580" s="2" t="s">
        <v>60</v>
      </c>
      <c r="C580" s="2" t="s">
        <v>6258</v>
      </c>
      <c r="D580" s="2" t="s">
        <v>6259</v>
      </c>
      <c r="E580" s="2" t="s">
        <v>6260</v>
      </c>
      <c r="G580" s="3" t="s">
        <v>65</v>
      </c>
      <c r="I580" s="3" t="s">
        <v>65</v>
      </c>
      <c r="J580" s="3" t="s">
        <v>65</v>
      </c>
      <c r="K580" s="3" t="s">
        <v>66</v>
      </c>
      <c r="M580" s="2" t="s">
        <v>6261</v>
      </c>
      <c r="N580" s="3" t="s">
        <v>126</v>
      </c>
      <c r="P580" s="3" t="s">
        <v>69</v>
      </c>
      <c r="Q580" s="2" t="s">
        <v>6262</v>
      </c>
      <c r="R580" s="3" t="s">
        <v>71</v>
      </c>
      <c r="S580" s="4">
        <v>2</v>
      </c>
      <c r="T580" s="4">
        <v>2</v>
      </c>
      <c r="U580" s="5" t="s">
        <v>6239</v>
      </c>
      <c r="V580" s="5" t="s">
        <v>6239</v>
      </c>
      <c r="W580" s="5" t="s">
        <v>72</v>
      </c>
      <c r="X580" s="5" t="s">
        <v>72</v>
      </c>
      <c r="Y580" s="4">
        <v>109</v>
      </c>
      <c r="Z580" s="4">
        <v>10</v>
      </c>
      <c r="AA580" s="4">
        <v>91</v>
      </c>
      <c r="AB580" s="4">
        <v>1</v>
      </c>
      <c r="AC580" s="4">
        <v>18</v>
      </c>
      <c r="AD580" s="4">
        <v>56</v>
      </c>
      <c r="AE580" s="4">
        <v>130</v>
      </c>
      <c r="AF580" s="4">
        <v>0</v>
      </c>
      <c r="AG580" s="4">
        <v>8</v>
      </c>
      <c r="AH580" s="4">
        <v>54</v>
      </c>
      <c r="AI580" s="4">
        <v>94</v>
      </c>
      <c r="AJ580" s="4">
        <v>8</v>
      </c>
      <c r="AK580" s="4">
        <v>22</v>
      </c>
      <c r="AL580" s="4">
        <v>33</v>
      </c>
      <c r="AM580" s="4">
        <v>53</v>
      </c>
      <c r="AN580" s="4">
        <v>0</v>
      </c>
      <c r="AO580" s="4">
        <v>0</v>
      </c>
      <c r="AP580" s="4">
        <v>9</v>
      </c>
      <c r="AQ580" s="4">
        <v>44</v>
      </c>
      <c r="AR580" s="3" t="s">
        <v>65</v>
      </c>
      <c r="AS580" s="3" t="s">
        <v>65</v>
      </c>
      <c r="AT580" s="3" t="s">
        <v>65</v>
      </c>
      <c r="AV580" s="6" t="str">
        <f>HYPERLINK("http://mcgill.on.worldcat.org/oclc/245562395","Catalog Record")</f>
        <v>Catalog Record</v>
      </c>
      <c r="AW580" s="6" t="str">
        <f>HYPERLINK("http://www.worldcat.org/oclc/245562395","WorldCat Record")</f>
        <v>WorldCat Record</v>
      </c>
      <c r="AX580" s="3" t="s">
        <v>6263</v>
      </c>
      <c r="AY580" s="3" t="s">
        <v>6264</v>
      </c>
      <c r="AZ580" s="3" t="s">
        <v>6265</v>
      </c>
      <c r="BA580" s="3" t="s">
        <v>6265</v>
      </c>
      <c r="BB580" s="3" t="s">
        <v>6266</v>
      </c>
      <c r="BC580" s="3" t="s">
        <v>77</v>
      </c>
      <c r="BD580" s="3" t="s">
        <v>78</v>
      </c>
      <c r="BE580" s="3" t="s">
        <v>6267</v>
      </c>
      <c r="BF580" s="3" t="s">
        <v>6266</v>
      </c>
      <c r="BG580" s="3" t="s">
        <v>6268</v>
      </c>
    </row>
    <row r="581" spans="1:59" ht="58" x14ac:dyDescent="0.35">
      <c r="A581" s="2" t="s">
        <v>59</v>
      </c>
      <c r="B581" s="2" t="s">
        <v>60</v>
      </c>
      <c r="C581" s="2" t="s">
        <v>6269</v>
      </c>
      <c r="D581" s="2" t="s">
        <v>6270</v>
      </c>
      <c r="E581" s="2" t="s">
        <v>6271</v>
      </c>
      <c r="G581" s="3" t="s">
        <v>65</v>
      </c>
      <c r="I581" s="3" t="s">
        <v>65</v>
      </c>
      <c r="J581" s="3" t="s">
        <v>65</v>
      </c>
      <c r="K581" s="3" t="s">
        <v>66</v>
      </c>
      <c r="M581" s="2" t="s">
        <v>6272</v>
      </c>
      <c r="N581" s="3" t="s">
        <v>113</v>
      </c>
      <c r="P581" s="3" t="s">
        <v>616</v>
      </c>
      <c r="R581" s="3" t="s">
        <v>71</v>
      </c>
      <c r="S581" s="4">
        <v>2</v>
      </c>
      <c r="T581" s="4">
        <v>2</v>
      </c>
      <c r="U581" s="5" t="s">
        <v>6239</v>
      </c>
      <c r="V581" s="5" t="s">
        <v>6239</v>
      </c>
      <c r="W581" s="5" t="s">
        <v>72</v>
      </c>
      <c r="X581" s="5" t="s">
        <v>72</v>
      </c>
      <c r="Y581" s="4">
        <v>40</v>
      </c>
      <c r="Z581" s="4">
        <v>4</v>
      </c>
      <c r="AA581" s="4">
        <v>8</v>
      </c>
      <c r="AB581" s="4">
        <v>1</v>
      </c>
      <c r="AC581" s="4">
        <v>5</v>
      </c>
      <c r="AD581" s="4">
        <v>20</v>
      </c>
      <c r="AE581" s="4">
        <v>25</v>
      </c>
      <c r="AF581" s="4">
        <v>0</v>
      </c>
      <c r="AG581" s="4">
        <v>3</v>
      </c>
      <c r="AH581" s="4">
        <v>18</v>
      </c>
      <c r="AI581" s="4">
        <v>21</v>
      </c>
      <c r="AJ581" s="4">
        <v>2</v>
      </c>
      <c r="AK581" s="4">
        <v>5</v>
      </c>
      <c r="AL581" s="4">
        <v>14</v>
      </c>
      <c r="AM581" s="4">
        <v>15</v>
      </c>
      <c r="AN581" s="4">
        <v>0</v>
      </c>
      <c r="AO581" s="4">
        <v>0</v>
      </c>
      <c r="AP581" s="4">
        <v>2</v>
      </c>
      <c r="AQ581" s="4">
        <v>4</v>
      </c>
      <c r="AR581" s="3" t="s">
        <v>65</v>
      </c>
      <c r="AS581" s="3" t="s">
        <v>65</v>
      </c>
      <c r="AT581" s="3" t="s">
        <v>65</v>
      </c>
      <c r="AV581" s="6" t="str">
        <f>HYPERLINK("http://mcgill.on.worldcat.org/oclc/609532870","Catalog Record")</f>
        <v>Catalog Record</v>
      </c>
      <c r="AW581" s="6" t="str">
        <f>HYPERLINK("http://www.worldcat.org/oclc/609532870","WorldCat Record")</f>
        <v>WorldCat Record</v>
      </c>
      <c r="AX581" s="3" t="s">
        <v>6273</v>
      </c>
      <c r="AY581" s="3" t="s">
        <v>6274</v>
      </c>
      <c r="AZ581" s="3" t="s">
        <v>6275</v>
      </c>
      <c r="BA581" s="3" t="s">
        <v>6275</v>
      </c>
      <c r="BB581" s="3" t="s">
        <v>6276</v>
      </c>
      <c r="BC581" s="3" t="s">
        <v>77</v>
      </c>
      <c r="BD581" s="3" t="s">
        <v>78</v>
      </c>
      <c r="BE581" s="3" t="s">
        <v>6277</v>
      </c>
      <c r="BF581" s="3" t="s">
        <v>6276</v>
      </c>
      <c r="BG581" s="3" t="s">
        <v>6278</v>
      </c>
    </row>
    <row r="582" spans="1:59" ht="58" x14ac:dyDescent="0.35">
      <c r="A582" s="2" t="s">
        <v>59</v>
      </c>
      <c r="B582" s="2" t="s">
        <v>60</v>
      </c>
      <c r="C582" s="2" t="s">
        <v>6279</v>
      </c>
      <c r="D582" s="2" t="s">
        <v>6280</v>
      </c>
      <c r="E582" s="2" t="s">
        <v>6281</v>
      </c>
      <c r="G582" s="3" t="s">
        <v>65</v>
      </c>
      <c r="I582" s="3" t="s">
        <v>65</v>
      </c>
      <c r="J582" s="3" t="s">
        <v>65</v>
      </c>
      <c r="K582" s="3" t="s">
        <v>66</v>
      </c>
      <c r="L582" s="2" t="s">
        <v>5971</v>
      </c>
      <c r="M582" s="2" t="s">
        <v>6282</v>
      </c>
      <c r="N582" s="3" t="s">
        <v>113</v>
      </c>
      <c r="O582" s="2" t="s">
        <v>365</v>
      </c>
      <c r="P582" s="3" t="s">
        <v>140</v>
      </c>
      <c r="Q582" s="2" t="s">
        <v>6283</v>
      </c>
      <c r="R582" s="3" t="s">
        <v>71</v>
      </c>
      <c r="S582" s="4">
        <v>3</v>
      </c>
      <c r="T582" s="4">
        <v>3</v>
      </c>
      <c r="U582" s="5" t="s">
        <v>6251</v>
      </c>
      <c r="V582" s="5" t="s">
        <v>6251</v>
      </c>
      <c r="W582" s="5" t="s">
        <v>72</v>
      </c>
      <c r="X582" s="5" t="s">
        <v>72</v>
      </c>
      <c r="Y582" s="4">
        <v>36</v>
      </c>
      <c r="Z582" s="4">
        <v>6</v>
      </c>
      <c r="AA582" s="4">
        <v>6</v>
      </c>
      <c r="AB582" s="4">
        <v>1</v>
      </c>
      <c r="AC582" s="4">
        <v>1</v>
      </c>
      <c r="AD582" s="4">
        <v>24</v>
      </c>
      <c r="AE582" s="4">
        <v>24</v>
      </c>
      <c r="AF582" s="4">
        <v>0</v>
      </c>
      <c r="AG582" s="4">
        <v>0</v>
      </c>
      <c r="AH582" s="4">
        <v>22</v>
      </c>
      <c r="AI582" s="4">
        <v>22</v>
      </c>
      <c r="AJ582" s="4">
        <v>4</v>
      </c>
      <c r="AK582" s="4">
        <v>4</v>
      </c>
      <c r="AL582" s="4">
        <v>16</v>
      </c>
      <c r="AM582" s="4">
        <v>16</v>
      </c>
      <c r="AN582" s="4">
        <v>0</v>
      </c>
      <c r="AO582" s="4">
        <v>0</v>
      </c>
      <c r="AP582" s="4">
        <v>4</v>
      </c>
      <c r="AQ582" s="4">
        <v>4</v>
      </c>
      <c r="AR582" s="3" t="s">
        <v>65</v>
      </c>
      <c r="AS582" s="3" t="s">
        <v>65</v>
      </c>
      <c r="AT582" s="3" t="s">
        <v>65</v>
      </c>
      <c r="AV582" s="6" t="str">
        <f>HYPERLINK("http://mcgill.on.worldcat.org/oclc/752062035","Catalog Record")</f>
        <v>Catalog Record</v>
      </c>
      <c r="AW582" s="6" t="str">
        <f>HYPERLINK("http://www.worldcat.org/oclc/752062035","WorldCat Record")</f>
        <v>WorldCat Record</v>
      </c>
      <c r="AX582" s="3" t="s">
        <v>6284</v>
      </c>
      <c r="AY582" s="3" t="s">
        <v>6285</v>
      </c>
      <c r="AZ582" s="3" t="s">
        <v>6286</v>
      </c>
      <c r="BA582" s="3" t="s">
        <v>6286</v>
      </c>
      <c r="BB582" s="3" t="s">
        <v>6287</v>
      </c>
      <c r="BC582" s="3" t="s">
        <v>77</v>
      </c>
      <c r="BD582" s="3" t="s">
        <v>78</v>
      </c>
      <c r="BE582" s="3" t="s">
        <v>6288</v>
      </c>
      <c r="BF582" s="3" t="s">
        <v>6287</v>
      </c>
      <c r="BG582" s="3" t="s">
        <v>6289</v>
      </c>
    </row>
    <row r="583" spans="1:59" ht="58" x14ac:dyDescent="0.35">
      <c r="A583" s="2" t="s">
        <v>59</v>
      </c>
      <c r="B583" s="2" t="s">
        <v>60</v>
      </c>
      <c r="C583" s="2" t="s">
        <v>6290</v>
      </c>
      <c r="D583" s="2" t="s">
        <v>6291</v>
      </c>
      <c r="E583" s="2" t="s">
        <v>6292</v>
      </c>
      <c r="G583" s="3" t="s">
        <v>65</v>
      </c>
      <c r="I583" s="3" t="s">
        <v>65</v>
      </c>
      <c r="J583" s="3" t="s">
        <v>65</v>
      </c>
      <c r="K583" s="3" t="s">
        <v>66</v>
      </c>
      <c r="L583" s="2" t="s">
        <v>6293</v>
      </c>
      <c r="M583" s="2" t="s">
        <v>6043</v>
      </c>
      <c r="N583" s="3" t="s">
        <v>139</v>
      </c>
      <c r="P583" s="3" t="s">
        <v>69</v>
      </c>
      <c r="R583" s="3" t="s">
        <v>71</v>
      </c>
      <c r="S583" s="4">
        <v>1</v>
      </c>
      <c r="T583" s="4">
        <v>1</v>
      </c>
      <c r="U583" s="5" t="s">
        <v>6294</v>
      </c>
      <c r="V583" s="5" t="s">
        <v>6294</v>
      </c>
      <c r="W583" s="5" t="s">
        <v>72</v>
      </c>
      <c r="X583" s="5" t="s">
        <v>72</v>
      </c>
      <c r="Y583" s="4">
        <v>136</v>
      </c>
      <c r="Z583" s="4">
        <v>19</v>
      </c>
      <c r="AA583" s="4">
        <v>112</v>
      </c>
      <c r="AB583" s="4">
        <v>1</v>
      </c>
      <c r="AC583" s="4">
        <v>19</v>
      </c>
      <c r="AD583" s="4">
        <v>79</v>
      </c>
      <c r="AE583" s="4">
        <v>132</v>
      </c>
      <c r="AF583" s="4">
        <v>0</v>
      </c>
      <c r="AG583" s="4">
        <v>8</v>
      </c>
      <c r="AH583" s="4">
        <v>70</v>
      </c>
      <c r="AI583" s="4">
        <v>91</v>
      </c>
      <c r="AJ583" s="4">
        <v>17</v>
      </c>
      <c r="AK583" s="4">
        <v>26</v>
      </c>
      <c r="AL583" s="4">
        <v>43</v>
      </c>
      <c r="AM583" s="4">
        <v>49</v>
      </c>
      <c r="AN583" s="4">
        <v>0</v>
      </c>
      <c r="AO583" s="4">
        <v>0</v>
      </c>
      <c r="AP583" s="4">
        <v>16</v>
      </c>
      <c r="AQ583" s="4">
        <v>50</v>
      </c>
      <c r="AR583" s="3" t="s">
        <v>209</v>
      </c>
      <c r="AS583" s="3" t="s">
        <v>65</v>
      </c>
      <c r="AT583" s="3" t="s">
        <v>65</v>
      </c>
      <c r="AV583" s="6" t="str">
        <f>HYPERLINK("http://mcgill.on.worldcat.org/oclc/755210898","Catalog Record")</f>
        <v>Catalog Record</v>
      </c>
      <c r="AW583" s="6" t="str">
        <f>HYPERLINK("http://www.worldcat.org/oclc/755210898","WorldCat Record")</f>
        <v>WorldCat Record</v>
      </c>
      <c r="AX583" s="3" t="s">
        <v>6295</v>
      </c>
      <c r="AY583" s="3" t="s">
        <v>6296</v>
      </c>
      <c r="AZ583" s="3" t="s">
        <v>6297</v>
      </c>
      <c r="BA583" s="3" t="s">
        <v>6297</v>
      </c>
      <c r="BB583" s="3" t="s">
        <v>6298</v>
      </c>
      <c r="BC583" s="3" t="s">
        <v>77</v>
      </c>
      <c r="BD583" s="3" t="s">
        <v>78</v>
      </c>
      <c r="BE583" s="3" t="s">
        <v>6299</v>
      </c>
      <c r="BF583" s="3" t="s">
        <v>6298</v>
      </c>
      <c r="BG583" s="3" t="s">
        <v>6300</v>
      </c>
    </row>
    <row r="584" spans="1:59" ht="58" x14ac:dyDescent="0.35">
      <c r="A584" s="2" t="s">
        <v>59</v>
      </c>
      <c r="B584" s="2" t="s">
        <v>60</v>
      </c>
      <c r="C584" s="2" t="s">
        <v>6301</v>
      </c>
      <c r="D584" s="2" t="s">
        <v>6302</v>
      </c>
      <c r="E584" s="2" t="s">
        <v>6303</v>
      </c>
      <c r="G584" s="3" t="s">
        <v>65</v>
      </c>
      <c r="I584" s="3" t="s">
        <v>65</v>
      </c>
      <c r="J584" s="3" t="s">
        <v>65</v>
      </c>
      <c r="K584" s="3" t="s">
        <v>66</v>
      </c>
      <c r="L584" s="2" t="s">
        <v>6304</v>
      </c>
      <c r="M584" s="2" t="s">
        <v>6305</v>
      </c>
      <c r="N584" s="3" t="s">
        <v>139</v>
      </c>
      <c r="P584" s="3" t="s">
        <v>69</v>
      </c>
      <c r="Q584" s="2" t="s">
        <v>1600</v>
      </c>
      <c r="R584" s="3" t="s">
        <v>71</v>
      </c>
      <c r="S584" s="4">
        <v>2</v>
      </c>
      <c r="T584" s="4">
        <v>2</v>
      </c>
      <c r="U584" s="5" t="s">
        <v>6239</v>
      </c>
      <c r="V584" s="5" t="s">
        <v>6239</v>
      </c>
      <c r="W584" s="5" t="s">
        <v>72</v>
      </c>
      <c r="X584" s="5" t="s">
        <v>72</v>
      </c>
      <c r="Y584" s="4">
        <v>116</v>
      </c>
      <c r="Z584" s="4">
        <v>8</v>
      </c>
      <c r="AA584" s="4">
        <v>80</v>
      </c>
      <c r="AB584" s="4">
        <v>1</v>
      </c>
      <c r="AC584" s="4">
        <v>14</v>
      </c>
      <c r="AD584" s="4">
        <v>62</v>
      </c>
      <c r="AE584" s="4">
        <v>128</v>
      </c>
      <c r="AF584" s="4">
        <v>0</v>
      </c>
      <c r="AG584" s="4">
        <v>8</v>
      </c>
      <c r="AH584" s="4">
        <v>61</v>
      </c>
      <c r="AI584" s="4">
        <v>94</v>
      </c>
      <c r="AJ584" s="4">
        <v>6</v>
      </c>
      <c r="AK584" s="4">
        <v>22</v>
      </c>
      <c r="AL584" s="4">
        <v>41</v>
      </c>
      <c r="AM584" s="4">
        <v>51</v>
      </c>
      <c r="AN584" s="4">
        <v>0</v>
      </c>
      <c r="AO584" s="4">
        <v>0</v>
      </c>
      <c r="AP584" s="4">
        <v>6</v>
      </c>
      <c r="AQ584" s="4">
        <v>43</v>
      </c>
      <c r="AR584" s="3" t="s">
        <v>65</v>
      </c>
      <c r="AS584" s="3" t="s">
        <v>65</v>
      </c>
      <c r="AT584" s="3" t="s">
        <v>65</v>
      </c>
      <c r="AV584" s="6" t="str">
        <f>HYPERLINK("http://mcgill.on.worldcat.org/oclc/794363249","Catalog Record")</f>
        <v>Catalog Record</v>
      </c>
      <c r="AW584" s="6" t="str">
        <f>HYPERLINK("http://www.worldcat.org/oclc/794363249","WorldCat Record")</f>
        <v>WorldCat Record</v>
      </c>
      <c r="AX584" s="3" t="s">
        <v>6306</v>
      </c>
      <c r="AY584" s="3" t="s">
        <v>6307</v>
      </c>
      <c r="AZ584" s="3" t="s">
        <v>6308</v>
      </c>
      <c r="BA584" s="3" t="s">
        <v>6308</v>
      </c>
      <c r="BB584" s="3" t="s">
        <v>6309</v>
      </c>
      <c r="BC584" s="3" t="s">
        <v>77</v>
      </c>
      <c r="BD584" s="3" t="s">
        <v>78</v>
      </c>
      <c r="BE584" s="3" t="s">
        <v>6310</v>
      </c>
      <c r="BF584" s="3" t="s">
        <v>6309</v>
      </c>
      <c r="BG584" s="3" t="s">
        <v>6311</v>
      </c>
    </row>
    <row r="585" spans="1:59" ht="58" x14ac:dyDescent="0.35">
      <c r="A585" s="2" t="s">
        <v>59</v>
      </c>
      <c r="B585" s="2" t="s">
        <v>60</v>
      </c>
      <c r="C585" s="2" t="s">
        <v>6312</v>
      </c>
      <c r="D585" s="2" t="s">
        <v>6313</v>
      </c>
      <c r="E585" s="2" t="s">
        <v>6314</v>
      </c>
      <c r="G585" s="3" t="s">
        <v>65</v>
      </c>
      <c r="I585" s="3" t="s">
        <v>65</v>
      </c>
      <c r="J585" s="3" t="s">
        <v>65</v>
      </c>
      <c r="K585" s="3" t="s">
        <v>66</v>
      </c>
      <c r="L585" s="2" t="s">
        <v>6315</v>
      </c>
      <c r="M585" s="2" t="s">
        <v>6316</v>
      </c>
      <c r="N585" s="3" t="s">
        <v>68</v>
      </c>
      <c r="P585" s="3" t="s">
        <v>69</v>
      </c>
      <c r="Q585" s="2" t="s">
        <v>527</v>
      </c>
      <c r="R585" s="3" t="s">
        <v>71</v>
      </c>
      <c r="S585" s="4">
        <v>0</v>
      </c>
      <c r="T585" s="4">
        <v>0</v>
      </c>
      <c r="W585" s="5" t="s">
        <v>72</v>
      </c>
      <c r="X585" s="5" t="s">
        <v>72</v>
      </c>
      <c r="Y585" s="4">
        <v>70</v>
      </c>
      <c r="Z585" s="4">
        <v>5</v>
      </c>
      <c r="AA585" s="4">
        <v>17</v>
      </c>
      <c r="AB585" s="4">
        <v>1</v>
      </c>
      <c r="AC585" s="4">
        <v>6</v>
      </c>
      <c r="AD585" s="4">
        <v>34</v>
      </c>
      <c r="AE585" s="4">
        <v>55</v>
      </c>
      <c r="AF585" s="4">
        <v>0</v>
      </c>
      <c r="AG585" s="4">
        <v>3</v>
      </c>
      <c r="AH585" s="4">
        <v>32</v>
      </c>
      <c r="AI585" s="4">
        <v>47</v>
      </c>
      <c r="AJ585" s="4">
        <v>2</v>
      </c>
      <c r="AK585" s="4">
        <v>10</v>
      </c>
      <c r="AL585" s="4">
        <v>24</v>
      </c>
      <c r="AM585" s="4">
        <v>28</v>
      </c>
      <c r="AN585" s="4">
        <v>0</v>
      </c>
      <c r="AO585" s="4">
        <v>0</v>
      </c>
      <c r="AP585" s="4">
        <v>3</v>
      </c>
      <c r="AQ585" s="4">
        <v>13</v>
      </c>
      <c r="AR585" s="3" t="s">
        <v>65</v>
      </c>
      <c r="AS585" s="3" t="s">
        <v>65</v>
      </c>
      <c r="AT585" s="3" t="s">
        <v>65</v>
      </c>
      <c r="AV585" s="6" t="str">
        <f>HYPERLINK("http://mcgill.on.worldcat.org/oclc/945949217","Catalog Record")</f>
        <v>Catalog Record</v>
      </c>
      <c r="AW585" s="6" t="str">
        <f>HYPERLINK("http://www.worldcat.org/oclc/945949217","WorldCat Record")</f>
        <v>WorldCat Record</v>
      </c>
      <c r="AX585" s="3" t="s">
        <v>6317</v>
      </c>
      <c r="AY585" s="3" t="s">
        <v>6318</v>
      </c>
      <c r="AZ585" s="3" t="s">
        <v>6319</v>
      </c>
      <c r="BA585" s="3" t="s">
        <v>6319</v>
      </c>
      <c r="BB585" s="3" t="s">
        <v>6320</v>
      </c>
      <c r="BC585" s="3" t="s">
        <v>77</v>
      </c>
      <c r="BD585" s="3" t="s">
        <v>78</v>
      </c>
      <c r="BE585" s="3" t="s">
        <v>6321</v>
      </c>
      <c r="BF585" s="3" t="s">
        <v>6320</v>
      </c>
      <c r="BG585" s="3" t="s">
        <v>6322</v>
      </c>
    </row>
    <row r="586" spans="1:59" ht="58" x14ac:dyDescent="0.35">
      <c r="A586" s="2" t="s">
        <v>59</v>
      </c>
      <c r="B586" s="2" t="s">
        <v>60</v>
      </c>
      <c r="C586" s="2" t="s">
        <v>6323</v>
      </c>
      <c r="D586" s="2" t="s">
        <v>6324</v>
      </c>
      <c r="E586" s="2" t="s">
        <v>6325</v>
      </c>
      <c r="G586" s="3" t="s">
        <v>65</v>
      </c>
      <c r="I586" s="3" t="s">
        <v>65</v>
      </c>
      <c r="J586" s="3" t="s">
        <v>65</v>
      </c>
      <c r="K586" s="3" t="s">
        <v>66</v>
      </c>
      <c r="L586" s="2" t="s">
        <v>6326</v>
      </c>
      <c r="M586" s="2" t="s">
        <v>4139</v>
      </c>
      <c r="N586" s="3" t="s">
        <v>113</v>
      </c>
      <c r="P586" s="3" t="s">
        <v>69</v>
      </c>
      <c r="Q586" s="2" t="s">
        <v>1197</v>
      </c>
      <c r="R586" s="3" t="s">
        <v>71</v>
      </c>
      <c r="S586" s="4">
        <v>1</v>
      </c>
      <c r="T586" s="4">
        <v>1</v>
      </c>
      <c r="U586" s="5" t="s">
        <v>6327</v>
      </c>
      <c r="V586" s="5" t="s">
        <v>6327</v>
      </c>
      <c r="W586" s="5" t="s">
        <v>72</v>
      </c>
      <c r="X586" s="5" t="s">
        <v>72</v>
      </c>
      <c r="Y586" s="4">
        <v>194</v>
      </c>
      <c r="Z586" s="4">
        <v>23</v>
      </c>
      <c r="AA586" s="4">
        <v>117</v>
      </c>
      <c r="AB586" s="4">
        <v>2</v>
      </c>
      <c r="AC586" s="4">
        <v>19</v>
      </c>
      <c r="AD586" s="4">
        <v>92</v>
      </c>
      <c r="AE586" s="4">
        <v>141</v>
      </c>
      <c r="AF586" s="4">
        <v>1</v>
      </c>
      <c r="AG586" s="4">
        <v>8</v>
      </c>
      <c r="AH586" s="4">
        <v>80</v>
      </c>
      <c r="AI586" s="4">
        <v>98</v>
      </c>
      <c r="AJ586" s="4">
        <v>17</v>
      </c>
      <c r="AK586" s="4">
        <v>27</v>
      </c>
      <c r="AL586" s="4">
        <v>47</v>
      </c>
      <c r="AM586" s="4">
        <v>54</v>
      </c>
      <c r="AN586" s="4">
        <v>0</v>
      </c>
      <c r="AO586" s="4">
        <v>0</v>
      </c>
      <c r="AP586" s="4">
        <v>18</v>
      </c>
      <c r="AQ586" s="4">
        <v>52</v>
      </c>
      <c r="AR586" s="3" t="s">
        <v>209</v>
      </c>
      <c r="AS586" s="3" t="s">
        <v>65</v>
      </c>
      <c r="AT586" s="3" t="s">
        <v>65</v>
      </c>
      <c r="AV586" s="6" t="str">
        <f>HYPERLINK("http://mcgill.on.worldcat.org/oclc/606118997","Catalog Record")</f>
        <v>Catalog Record</v>
      </c>
      <c r="AW586" s="6" t="str">
        <f>HYPERLINK("http://www.worldcat.org/oclc/606118997","WorldCat Record")</f>
        <v>WorldCat Record</v>
      </c>
      <c r="AX586" s="3" t="s">
        <v>6328</v>
      </c>
      <c r="AY586" s="3" t="s">
        <v>6329</v>
      </c>
      <c r="AZ586" s="3" t="s">
        <v>6330</v>
      </c>
      <c r="BA586" s="3" t="s">
        <v>6330</v>
      </c>
      <c r="BB586" s="3" t="s">
        <v>6331</v>
      </c>
      <c r="BC586" s="3" t="s">
        <v>77</v>
      </c>
      <c r="BD586" s="3" t="s">
        <v>78</v>
      </c>
      <c r="BE586" s="3" t="s">
        <v>6332</v>
      </c>
      <c r="BF586" s="3" t="s">
        <v>6331</v>
      </c>
      <c r="BG586" s="3" t="s">
        <v>6333</v>
      </c>
    </row>
    <row r="587" spans="1:59" ht="58" x14ac:dyDescent="0.35">
      <c r="A587" s="2" t="s">
        <v>59</v>
      </c>
      <c r="B587" s="2" t="s">
        <v>60</v>
      </c>
      <c r="C587" s="2" t="s">
        <v>6334</v>
      </c>
      <c r="D587" s="2" t="s">
        <v>6335</v>
      </c>
      <c r="E587" s="2" t="s">
        <v>6336</v>
      </c>
      <c r="G587" s="3" t="s">
        <v>65</v>
      </c>
      <c r="I587" s="3" t="s">
        <v>65</v>
      </c>
      <c r="J587" s="3" t="s">
        <v>65</v>
      </c>
      <c r="K587" s="3" t="s">
        <v>66</v>
      </c>
      <c r="L587" s="2" t="s">
        <v>6337</v>
      </c>
      <c r="M587" s="2" t="s">
        <v>6338</v>
      </c>
      <c r="N587" s="3" t="s">
        <v>152</v>
      </c>
      <c r="O587" s="2" t="s">
        <v>379</v>
      </c>
      <c r="P587" s="3" t="s">
        <v>140</v>
      </c>
      <c r="Q587" s="2" t="s">
        <v>6339</v>
      </c>
      <c r="R587" s="3" t="s">
        <v>71</v>
      </c>
      <c r="S587" s="4">
        <v>0</v>
      </c>
      <c r="T587" s="4">
        <v>0</v>
      </c>
      <c r="U587" s="5" t="s">
        <v>2061</v>
      </c>
      <c r="V587" s="5" t="s">
        <v>2061</v>
      </c>
      <c r="W587" s="5" t="s">
        <v>72</v>
      </c>
      <c r="X587" s="5" t="s">
        <v>72</v>
      </c>
      <c r="Y587" s="4">
        <v>30</v>
      </c>
      <c r="Z587" s="4">
        <v>3</v>
      </c>
      <c r="AA587" s="4">
        <v>3</v>
      </c>
      <c r="AB587" s="4">
        <v>1</v>
      </c>
      <c r="AC587" s="4">
        <v>1</v>
      </c>
      <c r="AD587" s="4">
        <v>17</v>
      </c>
      <c r="AE587" s="4">
        <v>17</v>
      </c>
      <c r="AF587" s="4">
        <v>0</v>
      </c>
      <c r="AG587" s="4">
        <v>0</v>
      </c>
      <c r="AH587" s="4">
        <v>16</v>
      </c>
      <c r="AI587" s="4">
        <v>16</v>
      </c>
      <c r="AJ587" s="4">
        <v>1</v>
      </c>
      <c r="AK587" s="4">
        <v>1</v>
      </c>
      <c r="AL587" s="4">
        <v>15</v>
      </c>
      <c r="AM587" s="4">
        <v>15</v>
      </c>
      <c r="AN587" s="4">
        <v>0</v>
      </c>
      <c r="AO587" s="4">
        <v>0</v>
      </c>
      <c r="AP587" s="4">
        <v>1</v>
      </c>
      <c r="AQ587" s="4">
        <v>1</v>
      </c>
      <c r="AR587" s="3" t="s">
        <v>65</v>
      </c>
      <c r="AS587" s="3" t="s">
        <v>65</v>
      </c>
      <c r="AT587" s="3" t="s">
        <v>65</v>
      </c>
      <c r="AV587" s="6" t="str">
        <f>HYPERLINK("http://mcgill.on.worldcat.org/oclc/844695452","Catalog Record")</f>
        <v>Catalog Record</v>
      </c>
      <c r="AW587" s="6" t="str">
        <f>HYPERLINK("http://www.worldcat.org/oclc/844695452","WorldCat Record")</f>
        <v>WorldCat Record</v>
      </c>
      <c r="AX587" s="3" t="s">
        <v>6340</v>
      </c>
      <c r="AY587" s="3" t="s">
        <v>6341</v>
      </c>
      <c r="AZ587" s="3" t="s">
        <v>6342</v>
      </c>
      <c r="BA587" s="3" t="s">
        <v>6342</v>
      </c>
      <c r="BB587" s="3" t="s">
        <v>6343</v>
      </c>
      <c r="BC587" s="3" t="s">
        <v>77</v>
      </c>
      <c r="BD587" s="3" t="s">
        <v>78</v>
      </c>
      <c r="BE587" s="3" t="s">
        <v>6344</v>
      </c>
      <c r="BF587" s="3" t="s">
        <v>6343</v>
      </c>
      <c r="BG587" s="3" t="s">
        <v>6345</v>
      </c>
    </row>
    <row r="588" spans="1:59" ht="58" x14ac:dyDescent="0.35">
      <c r="A588" s="2" t="s">
        <v>59</v>
      </c>
      <c r="B588" s="2" t="s">
        <v>60</v>
      </c>
      <c r="C588" s="2" t="s">
        <v>6346</v>
      </c>
      <c r="D588" s="2" t="s">
        <v>6347</v>
      </c>
      <c r="E588" s="2" t="s">
        <v>6348</v>
      </c>
      <c r="G588" s="3" t="s">
        <v>65</v>
      </c>
      <c r="I588" s="3" t="s">
        <v>65</v>
      </c>
      <c r="J588" s="3" t="s">
        <v>65</v>
      </c>
      <c r="K588" s="3" t="s">
        <v>66</v>
      </c>
      <c r="L588" s="2" t="s">
        <v>6349</v>
      </c>
      <c r="M588" s="2" t="s">
        <v>6350</v>
      </c>
      <c r="N588" s="3" t="s">
        <v>139</v>
      </c>
      <c r="O588" s="2" t="s">
        <v>1410</v>
      </c>
      <c r="P588" s="3" t="s">
        <v>140</v>
      </c>
      <c r="Q588" s="2" t="s">
        <v>6351</v>
      </c>
      <c r="R588" s="3" t="s">
        <v>71</v>
      </c>
      <c r="S588" s="4">
        <v>4</v>
      </c>
      <c r="T588" s="4">
        <v>4</v>
      </c>
      <c r="W588" s="5" t="s">
        <v>72</v>
      </c>
      <c r="X588" s="5" t="s">
        <v>72</v>
      </c>
      <c r="Y588" s="4">
        <v>56</v>
      </c>
      <c r="Z588" s="4">
        <v>5</v>
      </c>
      <c r="AA588" s="4">
        <v>5</v>
      </c>
      <c r="AB588" s="4">
        <v>1</v>
      </c>
      <c r="AC588" s="4">
        <v>1</v>
      </c>
      <c r="AD588" s="4">
        <v>39</v>
      </c>
      <c r="AE588" s="4">
        <v>39</v>
      </c>
      <c r="AF588" s="4">
        <v>0</v>
      </c>
      <c r="AG588" s="4">
        <v>0</v>
      </c>
      <c r="AH588" s="4">
        <v>38</v>
      </c>
      <c r="AI588" s="4">
        <v>38</v>
      </c>
      <c r="AJ588" s="4">
        <v>3</v>
      </c>
      <c r="AK588" s="4">
        <v>3</v>
      </c>
      <c r="AL588" s="4">
        <v>32</v>
      </c>
      <c r="AM588" s="4">
        <v>32</v>
      </c>
      <c r="AN588" s="4">
        <v>0</v>
      </c>
      <c r="AO588" s="4">
        <v>0</v>
      </c>
      <c r="AP588" s="4">
        <v>3</v>
      </c>
      <c r="AQ588" s="4">
        <v>3</v>
      </c>
      <c r="AR588" s="3" t="s">
        <v>65</v>
      </c>
      <c r="AS588" s="3" t="s">
        <v>65</v>
      </c>
      <c r="AT588" s="3" t="s">
        <v>65</v>
      </c>
      <c r="AV588" s="6" t="str">
        <f>HYPERLINK("http://mcgill.on.worldcat.org/oclc/809029854","Catalog Record")</f>
        <v>Catalog Record</v>
      </c>
      <c r="AW588" s="6" t="str">
        <f>HYPERLINK("http://www.worldcat.org/oclc/809029854","WorldCat Record")</f>
        <v>WorldCat Record</v>
      </c>
      <c r="AX588" s="3" t="s">
        <v>6352</v>
      </c>
      <c r="AY588" s="3" t="s">
        <v>6353</v>
      </c>
      <c r="AZ588" s="3" t="s">
        <v>6354</v>
      </c>
      <c r="BA588" s="3" t="s">
        <v>6354</v>
      </c>
      <c r="BB588" s="3" t="s">
        <v>6355</v>
      </c>
      <c r="BC588" s="3" t="s">
        <v>77</v>
      </c>
      <c r="BD588" s="3" t="s">
        <v>106</v>
      </c>
      <c r="BE588" s="3" t="s">
        <v>6356</v>
      </c>
      <c r="BF588" s="3" t="s">
        <v>6355</v>
      </c>
      <c r="BG588" s="3" t="s">
        <v>6357</v>
      </c>
    </row>
    <row r="589" spans="1:59" ht="58" x14ac:dyDescent="0.35">
      <c r="A589" s="2" t="s">
        <v>59</v>
      </c>
      <c r="B589" s="2" t="s">
        <v>60</v>
      </c>
      <c r="C589" s="2" t="s">
        <v>6358</v>
      </c>
      <c r="D589" s="2" t="s">
        <v>6359</v>
      </c>
      <c r="E589" s="2" t="s">
        <v>6360</v>
      </c>
      <c r="G589" s="3" t="s">
        <v>65</v>
      </c>
      <c r="I589" s="3" t="s">
        <v>65</v>
      </c>
      <c r="J589" s="3" t="s">
        <v>65</v>
      </c>
      <c r="K589" s="3" t="s">
        <v>66</v>
      </c>
      <c r="L589" s="2" t="s">
        <v>6224</v>
      </c>
      <c r="M589" s="2" t="s">
        <v>6361</v>
      </c>
      <c r="N589" s="3" t="s">
        <v>188</v>
      </c>
      <c r="P589" s="3" t="s">
        <v>69</v>
      </c>
      <c r="Q589" s="2" t="s">
        <v>6362</v>
      </c>
      <c r="R589" s="3" t="s">
        <v>71</v>
      </c>
      <c r="S589" s="4">
        <v>0</v>
      </c>
      <c r="T589" s="4">
        <v>0</v>
      </c>
      <c r="W589" s="5" t="s">
        <v>72</v>
      </c>
      <c r="X589" s="5" t="s">
        <v>72</v>
      </c>
      <c r="Y589" s="4">
        <v>42</v>
      </c>
      <c r="Z589" s="4">
        <v>3</v>
      </c>
      <c r="AA589" s="4">
        <v>5</v>
      </c>
      <c r="AB589" s="4">
        <v>1</v>
      </c>
      <c r="AC589" s="4">
        <v>3</v>
      </c>
      <c r="AD589" s="4">
        <v>20</v>
      </c>
      <c r="AE589" s="4">
        <v>20</v>
      </c>
      <c r="AF589" s="4">
        <v>0</v>
      </c>
      <c r="AG589" s="4">
        <v>0</v>
      </c>
      <c r="AH589" s="4">
        <v>19</v>
      </c>
      <c r="AI589" s="4">
        <v>19</v>
      </c>
      <c r="AJ589" s="4">
        <v>1</v>
      </c>
      <c r="AK589" s="4">
        <v>1</v>
      </c>
      <c r="AL589" s="4">
        <v>13</v>
      </c>
      <c r="AM589" s="4">
        <v>13</v>
      </c>
      <c r="AN589" s="4">
        <v>0</v>
      </c>
      <c r="AO589" s="4">
        <v>0</v>
      </c>
      <c r="AP589" s="4">
        <v>2</v>
      </c>
      <c r="AQ589" s="4">
        <v>2</v>
      </c>
      <c r="AR589" s="3" t="s">
        <v>65</v>
      </c>
      <c r="AS589" s="3" t="s">
        <v>65</v>
      </c>
      <c r="AT589" s="3" t="s">
        <v>65</v>
      </c>
      <c r="AV589" s="6" t="str">
        <f>HYPERLINK("http://mcgill.on.worldcat.org/oclc/961034888","Catalog Record")</f>
        <v>Catalog Record</v>
      </c>
      <c r="AW589" s="6" t="str">
        <f>HYPERLINK("http://www.worldcat.org/oclc/961034888","WorldCat Record")</f>
        <v>WorldCat Record</v>
      </c>
      <c r="AX589" s="3" t="s">
        <v>6363</v>
      </c>
      <c r="AY589" s="3" t="s">
        <v>6364</v>
      </c>
      <c r="AZ589" s="3" t="s">
        <v>6365</v>
      </c>
      <c r="BA589" s="3" t="s">
        <v>6365</v>
      </c>
      <c r="BB589" s="3" t="s">
        <v>6366</v>
      </c>
      <c r="BC589" s="3" t="s">
        <v>77</v>
      </c>
      <c r="BD589" s="3" t="s">
        <v>78</v>
      </c>
      <c r="BE589" s="3" t="s">
        <v>6367</v>
      </c>
      <c r="BF589" s="3" t="s">
        <v>6366</v>
      </c>
      <c r="BG589" s="3" t="s">
        <v>6368</v>
      </c>
    </row>
    <row r="590" spans="1:59" ht="58" x14ac:dyDescent="0.35">
      <c r="A590" s="2" t="s">
        <v>59</v>
      </c>
      <c r="B590" s="2" t="s">
        <v>60</v>
      </c>
      <c r="C590" s="2" t="s">
        <v>6369</v>
      </c>
      <c r="D590" s="2" t="s">
        <v>6370</v>
      </c>
      <c r="E590" s="2" t="s">
        <v>6371</v>
      </c>
      <c r="G590" s="3" t="s">
        <v>65</v>
      </c>
      <c r="I590" s="3" t="s">
        <v>65</v>
      </c>
      <c r="J590" s="3" t="s">
        <v>65</v>
      </c>
      <c r="K590" s="3" t="s">
        <v>66</v>
      </c>
      <c r="L590" s="2" t="s">
        <v>6372</v>
      </c>
      <c r="M590" s="2" t="s">
        <v>6373</v>
      </c>
      <c r="N590" s="3" t="s">
        <v>86</v>
      </c>
      <c r="O590" s="2" t="s">
        <v>235</v>
      </c>
      <c r="P590" s="3" t="s">
        <v>140</v>
      </c>
      <c r="Q590" s="2" t="s">
        <v>6374</v>
      </c>
      <c r="R590" s="3" t="s">
        <v>71</v>
      </c>
      <c r="S590" s="4">
        <v>0</v>
      </c>
      <c r="T590" s="4">
        <v>0</v>
      </c>
      <c r="W590" s="5" t="s">
        <v>3282</v>
      </c>
      <c r="X590" s="5" t="s">
        <v>3282</v>
      </c>
      <c r="Y590" s="4">
        <v>27</v>
      </c>
      <c r="Z590" s="4">
        <v>2</v>
      </c>
      <c r="AA590" s="4">
        <v>2</v>
      </c>
      <c r="AB590" s="4">
        <v>1</v>
      </c>
      <c r="AC590" s="4">
        <v>1</v>
      </c>
      <c r="AD590" s="4">
        <v>21</v>
      </c>
      <c r="AE590" s="4">
        <v>22</v>
      </c>
      <c r="AF590" s="4">
        <v>0</v>
      </c>
      <c r="AG590" s="4">
        <v>0</v>
      </c>
      <c r="AH590" s="4">
        <v>20</v>
      </c>
      <c r="AI590" s="4">
        <v>21</v>
      </c>
      <c r="AJ590" s="4">
        <v>1</v>
      </c>
      <c r="AK590" s="4">
        <v>1</v>
      </c>
      <c r="AL590" s="4">
        <v>17</v>
      </c>
      <c r="AM590" s="4">
        <v>17</v>
      </c>
      <c r="AN590" s="4">
        <v>0</v>
      </c>
      <c r="AO590" s="4">
        <v>0</v>
      </c>
      <c r="AP590" s="4">
        <v>1</v>
      </c>
      <c r="AQ590" s="4">
        <v>1</v>
      </c>
      <c r="AR590" s="3" t="s">
        <v>65</v>
      </c>
      <c r="AS590" s="3" t="s">
        <v>65</v>
      </c>
      <c r="AT590" s="3" t="s">
        <v>65</v>
      </c>
      <c r="AV590" s="6" t="str">
        <f>HYPERLINK("http://mcgill.on.worldcat.org/oclc/1048952726","Catalog Record")</f>
        <v>Catalog Record</v>
      </c>
      <c r="AW590" s="6" t="str">
        <f>HYPERLINK("http://www.worldcat.org/oclc/1048952726","WorldCat Record")</f>
        <v>WorldCat Record</v>
      </c>
      <c r="AX590" s="3" t="s">
        <v>6375</v>
      </c>
      <c r="AY590" s="3" t="s">
        <v>6376</v>
      </c>
      <c r="AZ590" s="3" t="s">
        <v>6377</v>
      </c>
      <c r="BA590" s="3" t="s">
        <v>6377</v>
      </c>
      <c r="BB590" s="3" t="s">
        <v>6378</v>
      </c>
      <c r="BC590" s="3" t="s">
        <v>77</v>
      </c>
      <c r="BD590" s="3" t="s">
        <v>78</v>
      </c>
      <c r="BE590" s="3" t="s">
        <v>6379</v>
      </c>
      <c r="BF590" s="3" t="s">
        <v>6378</v>
      </c>
      <c r="BG590" s="3" t="s">
        <v>6380</v>
      </c>
    </row>
    <row r="591" spans="1:59" ht="58" x14ac:dyDescent="0.35">
      <c r="A591" s="2" t="s">
        <v>59</v>
      </c>
      <c r="B591" s="2" t="s">
        <v>60</v>
      </c>
      <c r="C591" s="2" t="s">
        <v>6381</v>
      </c>
      <c r="D591" s="2" t="s">
        <v>6382</v>
      </c>
      <c r="E591" s="2" t="s">
        <v>6383</v>
      </c>
      <c r="G591" s="3" t="s">
        <v>65</v>
      </c>
      <c r="I591" s="3" t="s">
        <v>65</v>
      </c>
      <c r="J591" s="3" t="s">
        <v>65</v>
      </c>
      <c r="K591" s="3" t="s">
        <v>66</v>
      </c>
      <c r="L591" s="2" t="s">
        <v>6384</v>
      </c>
      <c r="M591" s="2" t="s">
        <v>6385</v>
      </c>
      <c r="N591" s="3" t="s">
        <v>3385</v>
      </c>
      <c r="P591" s="3" t="s">
        <v>140</v>
      </c>
      <c r="Q591" s="2" t="s">
        <v>6386</v>
      </c>
      <c r="R591" s="3" t="s">
        <v>71</v>
      </c>
      <c r="S591" s="4">
        <v>5</v>
      </c>
      <c r="T591" s="4">
        <v>5</v>
      </c>
      <c r="U591" s="5" t="s">
        <v>3200</v>
      </c>
      <c r="V591" s="5" t="s">
        <v>3200</v>
      </c>
      <c r="W591" s="5" t="s">
        <v>72</v>
      </c>
      <c r="X591" s="5" t="s">
        <v>72</v>
      </c>
      <c r="Y591" s="4">
        <v>72</v>
      </c>
      <c r="Z591" s="4">
        <v>5</v>
      </c>
      <c r="AA591" s="4">
        <v>6</v>
      </c>
      <c r="AB591" s="4">
        <v>1</v>
      </c>
      <c r="AC591" s="4">
        <v>2</v>
      </c>
      <c r="AD591" s="4">
        <v>32</v>
      </c>
      <c r="AE591" s="4">
        <v>33</v>
      </c>
      <c r="AF591" s="4">
        <v>0</v>
      </c>
      <c r="AG591" s="4">
        <v>1</v>
      </c>
      <c r="AH591" s="4">
        <v>30</v>
      </c>
      <c r="AI591" s="4">
        <v>30</v>
      </c>
      <c r="AJ591" s="4">
        <v>3</v>
      </c>
      <c r="AK591" s="4">
        <v>4</v>
      </c>
      <c r="AL591" s="4">
        <v>24</v>
      </c>
      <c r="AM591" s="4">
        <v>24</v>
      </c>
      <c r="AN591" s="4">
        <v>0</v>
      </c>
      <c r="AO591" s="4">
        <v>0</v>
      </c>
      <c r="AP591" s="4">
        <v>3</v>
      </c>
      <c r="AQ591" s="4">
        <v>3</v>
      </c>
      <c r="AR591" s="3" t="s">
        <v>65</v>
      </c>
      <c r="AS591" s="3" t="s">
        <v>65</v>
      </c>
      <c r="AT591" s="3" t="s">
        <v>209</v>
      </c>
      <c r="AU591" s="6" t="str">
        <f>HYPERLINK("http://catalog.hathitrust.org/Record/004072801","HathiTrust Record")</f>
        <v>HathiTrust Record</v>
      </c>
      <c r="AV591" s="6" t="str">
        <f>HYPERLINK("http://mcgill.on.worldcat.org/oclc/42873317","Catalog Record")</f>
        <v>Catalog Record</v>
      </c>
      <c r="AW591" s="6" t="str">
        <f>HYPERLINK("http://www.worldcat.org/oclc/42873317","WorldCat Record")</f>
        <v>WorldCat Record</v>
      </c>
      <c r="AX591" s="3" t="s">
        <v>6387</v>
      </c>
      <c r="AY591" s="3" t="s">
        <v>6388</v>
      </c>
      <c r="AZ591" s="3" t="s">
        <v>6389</v>
      </c>
      <c r="BA591" s="3" t="s">
        <v>6389</v>
      </c>
      <c r="BB591" s="3" t="s">
        <v>6390</v>
      </c>
      <c r="BC591" s="3" t="s">
        <v>77</v>
      </c>
      <c r="BD591" s="3" t="s">
        <v>78</v>
      </c>
      <c r="BE591" s="3" t="s">
        <v>6391</v>
      </c>
      <c r="BF591" s="3" t="s">
        <v>6390</v>
      </c>
      <c r="BG591" s="3" t="s">
        <v>6392</v>
      </c>
    </row>
    <row r="592" spans="1:59" ht="58" x14ac:dyDescent="0.35">
      <c r="A592" s="2" t="s">
        <v>59</v>
      </c>
      <c r="B592" s="2" t="s">
        <v>60</v>
      </c>
      <c r="C592" s="2" t="s">
        <v>6393</v>
      </c>
      <c r="D592" s="2" t="s">
        <v>6394</v>
      </c>
      <c r="E592" s="2" t="s">
        <v>6395</v>
      </c>
      <c r="G592" s="3" t="s">
        <v>65</v>
      </c>
      <c r="I592" s="3" t="s">
        <v>65</v>
      </c>
      <c r="J592" s="3" t="s">
        <v>65</v>
      </c>
      <c r="K592" s="3" t="s">
        <v>66</v>
      </c>
      <c r="L592" s="2" t="s">
        <v>6396</v>
      </c>
      <c r="M592" s="2" t="s">
        <v>6397</v>
      </c>
      <c r="N592" s="3" t="s">
        <v>1196</v>
      </c>
      <c r="P592" s="3" t="s">
        <v>69</v>
      </c>
      <c r="Q592" s="2" t="s">
        <v>6398</v>
      </c>
      <c r="R592" s="3" t="s">
        <v>71</v>
      </c>
      <c r="S592" s="4">
        <v>6</v>
      </c>
      <c r="T592" s="4">
        <v>6</v>
      </c>
      <c r="U592" s="5" t="s">
        <v>6399</v>
      </c>
      <c r="V592" s="5" t="s">
        <v>6399</v>
      </c>
      <c r="W592" s="5" t="s">
        <v>72</v>
      </c>
      <c r="X592" s="5" t="s">
        <v>72</v>
      </c>
      <c r="Y592" s="4">
        <v>110</v>
      </c>
      <c r="Z592" s="4">
        <v>10</v>
      </c>
      <c r="AA592" s="4">
        <v>12</v>
      </c>
      <c r="AB592" s="4">
        <v>1</v>
      </c>
      <c r="AC592" s="4">
        <v>3</v>
      </c>
      <c r="AD592" s="4">
        <v>56</v>
      </c>
      <c r="AE592" s="4">
        <v>57</v>
      </c>
      <c r="AF592" s="4">
        <v>0</v>
      </c>
      <c r="AG592" s="4">
        <v>0</v>
      </c>
      <c r="AH592" s="4">
        <v>50</v>
      </c>
      <c r="AI592" s="4">
        <v>51</v>
      </c>
      <c r="AJ592" s="4">
        <v>7</v>
      </c>
      <c r="AK592" s="4">
        <v>7</v>
      </c>
      <c r="AL592" s="4">
        <v>33</v>
      </c>
      <c r="AM592" s="4">
        <v>34</v>
      </c>
      <c r="AN592" s="4">
        <v>0</v>
      </c>
      <c r="AO592" s="4">
        <v>0</v>
      </c>
      <c r="AP592" s="4">
        <v>7</v>
      </c>
      <c r="AQ592" s="4">
        <v>7</v>
      </c>
      <c r="AR592" s="3" t="s">
        <v>65</v>
      </c>
      <c r="AS592" s="3" t="s">
        <v>65</v>
      </c>
      <c r="AT592" s="3" t="s">
        <v>65</v>
      </c>
      <c r="AV592" s="6" t="str">
        <f>HYPERLINK("http://mcgill.on.worldcat.org/oclc/61432670","Catalog Record")</f>
        <v>Catalog Record</v>
      </c>
      <c r="AW592" s="6" t="str">
        <f>HYPERLINK("http://www.worldcat.org/oclc/61432670","WorldCat Record")</f>
        <v>WorldCat Record</v>
      </c>
      <c r="AX592" s="3" t="s">
        <v>6400</v>
      </c>
      <c r="AY592" s="3" t="s">
        <v>6401</v>
      </c>
      <c r="AZ592" s="3" t="s">
        <v>6402</v>
      </c>
      <c r="BA592" s="3" t="s">
        <v>6402</v>
      </c>
      <c r="BB592" s="3" t="s">
        <v>6403</v>
      </c>
      <c r="BC592" s="3" t="s">
        <v>77</v>
      </c>
      <c r="BD592" s="3" t="s">
        <v>78</v>
      </c>
      <c r="BE592" s="3" t="s">
        <v>6404</v>
      </c>
      <c r="BF592" s="3" t="s">
        <v>6403</v>
      </c>
      <c r="BG592" s="3" t="s">
        <v>6405</v>
      </c>
    </row>
    <row r="593" spans="1:59" ht="58" x14ac:dyDescent="0.35">
      <c r="A593" s="2" t="s">
        <v>59</v>
      </c>
      <c r="B593" s="2" t="s">
        <v>60</v>
      </c>
      <c r="C593" s="2" t="s">
        <v>6406</v>
      </c>
      <c r="D593" s="2" t="s">
        <v>6407</v>
      </c>
      <c r="E593" s="2" t="s">
        <v>6408</v>
      </c>
      <c r="G593" s="3" t="s">
        <v>65</v>
      </c>
      <c r="I593" s="3" t="s">
        <v>65</v>
      </c>
      <c r="J593" s="3" t="s">
        <v>65</v>
      </c>
      <c r="K593" s="3" t="s">
        <v>66</v>
      </c>
      <c r="L593" s="2" t="s">
        <v>2109</v>
      </c>
      <c r="M593" s="2" t="s">
        <v>6409</v>
      </c>
      <c r="N593" s="3" t="s">
        <v>863</v>
      </c>
      <c r="P593" s="3" t="s">
        <v>69</v>
      </c>
      <c r="Q593" s="2" t="s">
        <v>6410</v>
      </c>
      <c r="R593" s="3" t="s">
        <v>71</v>
      </c>
      <c r="S593" s="4">
        <v>23</v>
      </c>
      <c r="T593" s="4">
        <v>23</v>
      </c>
      <c r="U593" s="5" t="s">
        <v>6411</v>
      </c>
      <c r="V593" s="5" t="s">
        <v>6411</v>
      </c>
      <c r="W593" s="5" t="s">
        <v>72</v>
      </c>
      <c r="X593" s="5" t="s">
        <v>72</v>
      </c>
      <c r="Y593" s="4">
        <v>325</v>
      </c>
      <c r="Z593" s="4">
        <v>25</v>
      </c>
      <c r="AA593" s="4">
        <v>27</v>
      </c>
      <c r="AB593" s="4">
        <v>2</v>
      </c>
      <c r="AC593" s="4">
        <v>4</v>
      </c>
      <c r="AD593" s="4">
        <v>113</v>
      </c>
      <c r="AE593" s="4">
        <v>115</v>
      </c>
      <c r="AF593" s="4">
        <v>1</v>
      </c>
      <c r="AG593" s="4">
        <v>3</v>
      </c>
      <c r="AH593" s="4">
        <v>101</v>
      </c>
      <c r="AI593" s="4">
        <v>102</v>
      </c>
      <c r="AJ593" s="4">
        <v>18</v>
      </c>
      <c r="AK593" s="4">
        <v>20</v>
      </c>
      <c r="AL593" s="4">
        <v>56</v>
      </c>
      <c r="AM593" s="4">
        <v>56</v>
      </c>
      <c r="AN593" s="4">
        <v>0</v>
      </c>
      <c r="AO593" s="4">
        <v>0</v>
      </c>
      <c r="AP593" s="4">
        <v>21</v>
      </c>
      <c r="AQ593" s="4">
        <v>22</v>
      </c>
      <c r="AR593" s="3" t="s">
        <v>65</v>
      </c>
      <c r="AS593" s="3" t="s">
        <v>65</v>
      </c>
      <c r="AT593" s="3" t="s">
        <v>65</v>
      </c>
      <c r="AV593" s="6" t="str">
        <f>HYPERLINK("http://mcgill.on.worldcat.org/oclc/25164011","Catalog Record")</f>
        <v>Catalog Record</v>
      </c>
      <c r="AW593" s="6" t="str">
        <f>HYPERLINK("http://www.worldcat.org/oclc/25164011","WorldCat Record")</f>
        <v>WorldCat Record</v>
      </c>
      <c r="AX593" s="3" t="s">
        <v>6412</v>
      </c>
      <c r="AY593" s="3" t="s">
        <v>6413</v>
      </c>
      <c r="AZ593" s="3" t="s">
        <v>6414</v>
      </c>
      <c r="BA593" s="3" t="s">
        <v>6414</v>
      </c>
      <c r="BB593" s="3" t="s">
        <v>6415</v>
      </c>
      <c r="BC593" s="3" t="s">
        <v>77</v>
      </c>
      <c r="BD593" s="3" t="s">
        <v>78</v>
      </c>
      <c r="BE593" s="3" t="s">
        <v>6416</v>
      </c>
      <c r="BF593" s="3" t="s">
        <v>6415</v>
      </c>
      <c r="BG593" s="3" t="s">
        <v>6417</v>
      </c>
    </row>
    <row r="594" spans="1:59" ht="58" x14ac:dyDescent="0.35">
      <c r="A594" s="2" t="s">
        <v>59</v>
      </c>
      <c r="B594" s="2" t="s">
        <v>60</v>
      </c>
      <c r="C594" s="2" t="s">
        <v>6418</v>
      </c>
      <c r="D594" s="2" t="s">
        <v>6419</v>
      </c>
      <c r="E594" s="2" t="s">
        <v>6420</v>
      </c>
      <c r="G594" s="3" t="s">
        <v>65</v>
      </c>
      <c r="I594" s="3" t="s">
        <v>65</v>
      </c>
      <c r="J594" s="3" t="s">
        <v>65</v>
      </c>
      <c r="K594" s="3" t="s">
        <v>66</v>
      </c>
      <c r="L594" s="2" t="s">
        <v>2602</v>
      </c>
      <c r="M594" s="2" t="s">
        <v>6421</v>
      </c>
      <c r="N594" s="3" t="s">
        <v>863</v>
      </c>
      <c r="O594" s="2" t="s">
        <v>365</v>
      </c>
      <c r="P594" s="3" t="s">
        <v>140</v>
      </c>
      <c r="Q594" s="2" t="s">
        <v>6422</v>
      </c>
      <c r="R594" s="3" t="s">
        <v>71</v>
      </c>
      <c r="S594" s="4">
        <v>4</v>
      </c>
      <c r="T594" s="4">
        <v>4</v>
      </c>
      <c r="U594" s="5" t="s">
        <v>579</v>
      </c>
      <c r="V594" s="5" t="s">
        <v>579</v>
      </c>
      <c r="W594" s="5" t="s">
        <v>72</v>
      </c>
      <c r="X594" s="5" t="s">
        <v>72</v>
      </c>
      <c r="Y594" s="4">
        <v>41</v>
      </c>
      <c r="Z594" s="4">
        <v>3</v>
      </c>
      <c r="AA594" s="4">
        <v>3</v>
      </c>
      <c r="AB594" s="4">
        <v>1</v>
      </c>
      <c r="AC594" s="4">
        <v>1</v>
      </c>
      <c r="AD594" s="4">
        <v>20</v>
      </c>
      <c r="AE594" s="4">
        <v>20</v>
      </c>
      <c r="AF594" s="4">
        <v>0</v>
      </c>
      <c r="AG594" s="4">
        <v>0</v>
      </c>
      <c r="AH594" s="4">
        <v>19</v>
      </c>
      <c r="AI594" s="4">
        <v>19</v>
      </c>
      <c r="AJ594" s="4">
        <v>1</v>
      </c>
      <c r="AK594" s="4">
        <v>1</v>
      </c>
      <c r="AL594" s="4">
        <v>15</v>
      </c>
      <c r="AM594" s="4">
        <v>15</v>
      </c>
      <c r="AN594" s="4">
        <v>0</v>
      </c>
      <c r="AO594" s="4">
        <v>0</v>
      </c>
      <c r="AP594" s="4">
        <v>1</v>
      </c>
      <c r="AQ594" s="4">
        <v>1</v>
      </c>
      <c r="AR594" s="3" t="s">
        <v>65</v>
      </c>
      <c r="AS594" s="3" t="s">
        <v>65</v>
      </c>
      <c r="AT594" s="3" t="s">
        <v>65</v>
      </c>
      <c r="AV594" s="6" t="str">
        <f>HYPERLINK("http://mcgill.on.worldcat.org/oclc/28618726","Catalog Record")</f>
        <v>Catalog Record</v>
      </c>
      <c r="AW594" s="6" t="str">
        <f>HYPERLINK("http://www.worldcat.org/oclc/28618726","WorldCat Record")</f>
        <v>WorldCat Record</v>
      </c>
      <c r="AX594" s="3" t="s">
        <v>6423</v>
      </c>
      <c r="AY594" s="3" t="s">
        <v>6424</v>
      </c>
      <c r="AZ594" s="3" t="s">
        <v>6425</v>
      </c>
      <c r="BA594" s="3" t="s">
        <v>6425</v>
      </c>
      <c r="BB594" s="3" t="s">
        <v>6426</v>
      </c>
      <c r="BC594" s="3" t="s">
        <v>77</v>
      </c>
      <c r="BD594" s="3" t="s">
        <v>78</v>
      </c>
      <c r="BE594" s="3" t="s">
        <v>6427</v>
      </c>
      <c r="BF594" s="3" t="s">
        <v>6426</v>
      </c>
      <c r="BG594" s="3" t="s">
        <v>6428</v>
      </c>
    </row>
    <row r="595" spans="1:59" ht="58" x14ac:dyDescent="0.35">
      <c r="A595" s="2" t="s">
        <v>59</v>
      </c>
      <c r="B595" s="2" t="s">
        <v>60</v>
      </c>
      <c r="C595" s="2" t="s">
        <v>6429</v>
      </c>
      <c r="D595" s="2" t="s">
        <v>6430</v>
      </c>
      <c r="E595" s="2" t="s">
        <v>6431</v>
      </c>
      <c r="G595" s="3" t="s">
        <v>65</v>
      </c>
      <c r="I595" s="3" t="s">
        <v>65</v>
      </c>
      <c r="J595" s="3" t="s">
        <v>65</v>
      </c>
      <c r="K595" s="3" t="s">
        <v>66</v>
      </c>
      <c r="L595" s="2" t="s">
        <v>6432</v>
      </c>
      <c r="M595" s="2" t="s">
        <v>6433</v>
      </c>
      <c r="N595" s="3" t="s">
        <v>1122</v>
      </c>
      <c r="P595" s="3" t="s">
        <v>140</v>
      </c>
      <c r="Q595" s="2" t="s">
        <v>6434</v>
      </c>
      <c r="R595" s="3" t="s">
        <v>71</v>
      </c>
      <c r="S595" s="4">
        <v>2</v>
      </c>
      <c r="T595" s="4">
        <v>2</v>
      </c>
      <c r="U595" s="5" t="s">
        <v>6435</v>
      </c>
      <c r="V595" s="5" t="s">
        <v>6435</v>
      </c>
      <c r="W595" s="5" t="s">
        <v>72</v>
      </c>
      <c r="X595" s="5" t="s">
        <v>72</v>
      </c>
      <c r="Y595" s="4">
        <v>42</v>
      </c>
      <c r="Z595" s="4">
        <v>4</v>
      </c>
      <c r="AA595" s="4">
        <v>4</v>
      </c>
      <c r="AB595" s="4">
        <v>2</v>
      </c>
      <c r="AC595" s="4">
        <v>2</v>
      </c>
      <c r="AD595" s="4">
        <v>23</v>
      </c>
      <c r="AE595" s="4">
        <v>23</v>
      </c>
      <c r="AF595" s="4">
        <v>0</v>
      </c>
      <c r="AG595" s="4">
        <v>0</v>
      </c>
      <c r="AH595" s="4">
        <v>22</v>
      </c>
      <c r="AI595" s="4">
        <v>22</v>
      </c>
      <c r="AJ595" s="4">
        <v>1</v>
      </c>
      <c r="AK595" s="4">
        <v>1</v>
      </c>
      <c r="AL595" s="4">
        <v>19</v>
      </c>
      <c r="AM595" s="4">
        <v>19</v>
      </c>
      <c r="AN595" s="4">
        <v>0</v>
      </c>
      <c r="AO595" s="4">
        <v>0</v>
      </c>
      <c r="AP595" s="4">
        <v>1</v>
      </c>
      <c r="AQ595" s="4">
        <v>1</v>
      </c>
      <c r="AR595" s="3" t="s">
        <v>65</v>
      </c>
      <c r="AS595" s="3" t="s">
        <v>65</v>
      </c>
      <c r="AT595" s="3" t="s">
        <v>65</v>
      </c>
      <c r="AV595" s="6" t="str">
        <f>HYPERLINK("http://mcgill.on.worldcat.org/oclc/320314782","Catalog Record")</f>
        <v>Catalog Record</v>
      </c>
      <c r="AW595" s="6" t="str">
        <f>HYPERLINK("http://www.worldcat.org/oclc/320314782","WorldCat Record")</f>
        <v>WorldCat Record</v>
      </c>
      <c r="AX595" s="3" t="s">
        <v>6436</v>
      </c>
      <c r="AY595" s="3" t="s">
        <v>6437</v>
      </c>
      <c r="AZ595" s="3" t="s">
        <v>6438</v>
      </c>
      <c r="BA595" s="3" t="s">
        <v>6438</v>
      </c>
      <c r="BB595" s="3" t="s">
        <v>6439</v>
      </c>
      <c r="BC595" s="3" t="s">
        <v>77</v>
      </c>
      <c r="BD595" s="3" t="s">
        <v>78</v>
      </c>
      <c r="BE595" s="3" t="s">
        <v>6440</v>
      </c>
      <c r="BF595" s="3" t="s">
        <v>6439</v>
      </c>
      <c r="BG595" s="3" t="s">
        <v>6441</v>
      </c>
    </row>
    <row r="596" spans="1:59" ht="58" x14ac:dyDescent="0.35">
      <c r="A596" s="2" t="s">
        <v>59</v>
      </c>
      <c r="B596" s="2" t="s">
        <v>60</v>
      </c>
      <c r="C596" s="2" t="s">
        <v>6442</v>
      </c>
      <c r="D596" s="2" t="s">
        <v>6443</v>
      </c>
      <c r="E596" s="2" t="s">
        <v>6444</v>
      </c>
      <c r="G596" s="3" t="s">
        <v>65</v>
      </c>
      <c r="I596" s="3" t="s">
        <v>65</v>
      </c>
      <c r="J596" s="3" t="s">
        <v>65</v>
      </c>
      <c r="K596" s="3" t="s">
        <v>66</v>
      </c>
      <c r="L596" s="2" t="s">
        <v>6445</v>
      </c>
      <c r="M596" s="2" t="s">
        <v>1788</v>
      </c>
      <c r="N596" s="3" t="s">
        <v>176</v>
      </c>
      <c r="P596" s="3" t="s">
        <v>140</v>
      </c>
      <c r="Q596" s="2" t="s">
        <v>6446</v>
      </c>
      <c r="R596" s="3" t="s">
        <v>71</v>
      </c>
      <c r="S596" s="4">
        <v>0</v>
      </c>
      <c r="T596" s="4">
        <v>0</v>
      </c>
      <c r="W596" s="5" t="s">
        <v>72</v>
      </c>
      <c r="X596" s="5" t="s">
        <v>72</v>
      </c>
      <c r="Y596" s="4">
        <v>37</v>
      </c>
      <c r="Z596" s="4">
        <v>3</v>
      </c>
      <c r="AA596" s="4">
        <v>3</v>
      </c>
      <c r="AB596" s="4">
        <v>1</v>
      </c>
      <c r="AC596" s="4">
        <v>1</v>
      </c>
      <c r="AD596" s="4">
        <v>24</v>
      </c>
      <c r="AE596" s="4">
        <v>24</v>
      </c>
      <c r="AF596" s="4">
        <v>0</v>
      </c>
      <c r="AG596" s="4">
        <v>0</v>
      </c>
      <c r="AH596" s="4">
        <v>23</v>
      </c>
      <c r="AI596" s="4">
        <v>23</v>
      </c>
      <c r="AJ596" s="4">
        <v>1</v>
      </c>
      <c r="AK596" s="4">
        <v>1</v>
      </c>
      <c r="AL596" s="4">
        <v>20</v>
      </c>
      <c r="AM596" s="4">
        <v>20</v>
      </c>
      <c r="AN596" s="4">
        <v>0</v>
      </c>
      <c r="AO596" s="4">
        <v>0</v>
      </c>
      <c r="AP596" s="4">
        <v>1</v>
      </c>
      <c r="AQ596" s="4">
        <v>1</v>
      </c>
      <c r="AR596" s="3" t="s">
        <v>65</v>
      </c>
      <c r="AS596" s="3" t="s">
        <v>65</v>
      </c>
      <c r="AT596" s="3" t="s">
        <v>65</v>
      </c>
      <c r="AV596" s="6" t="str">
        <f>HYPERLINK("http://mcgill.on.worldcat.org/oclc/918819411","Catalog Record")</f>
        <v>Catalog Record</v>
      </c>
      <c r="AW596" s="6" t="str">
        <f>HYPERLINK("http://www.worldcat.org/oclc/918819411","WorldCat Record")</f>
        <v>WorldCat Record</v>
      </c>
      <c r="AX596" s="3" t="s">
        <v>6447</v>
      </c>
      <c r="AY596" s="3" t="s">
        <v>6448</v>
      </c>
      <c r="AZ596" s="3" t="s">
        <v>6449</v>
      </c>
      <c r="BA596" s="3" t="s">
        <v>6449</v>
      </c>
      <c r="BB596" s="3" t="s">
        <v>6450</v>
      </c>
      <c r="BC596" s="3" t="s">
        <v>77</v>
      </c>
      <c r="BD596" s="3" t="s">
        <v>78</v>
      </c>
      <c r="BE596" s="3" t="s">
        <v>6451</v>
      </c>
      <c r="BF596" s="3" t="s">
        <v>6450</v>
      </c>
      <c r="BG596" s="3" t="s">
        <v>6452</v>
      </c>
    </row>
    <row r="597" spans="1:59" ht="58" x14ac:dyDescent="0.35">
      <c r="A597" s="2" t="s">
        <v>59</v>
      </c>
      <c r="B597" s="2" t="s">
        <v>60</v>
      </c>
      <c r="C597" s="2" t="s">
        <v>6453</v>
      </c>
      <c r="D597" s="2" t="s">
        <v>6454</v>
      </c>
      <c r="E597" s="2" t="s">
        <v>6455</v>
      </c>
      <c r="G597" s="3" t="s">
        <v>65</v>
      </c>
      <c r="I597" s="3" t="s">
        <v>65</v>
      </c>
      <c r="J597" s="3" t="s">
        <v>65</v>
      </c>
      <c r="K597" s="3" t="s">
        <v>66</v>
      </c>
      <c r="L597" s="2" t="s">
        <v>6456</v>
      </c>
      <c r="M597" s="2" t="s">
        <v>6457</v>
      </c>
      <c r="N597" s="3" t="s">
        <v>188</v>
      </c>
      <c r="P597" s="3" t="s">
        <v>140</v>
      </c>
      <c r="Q597" s="2" t="s">
        <v>6458</v>
      </c>
      <c r="R597" s="3" t="s">
        <v>71</v>
      </c>
      <c r="S597" s="4">
        <v>0</v>
      </c>
      <c r="T597" s="4">
        <v>0</v>
      </c>
      <c r="W597" s="5" t="s">
        <v>3654</v>
      </c>
      <c r="X597" s="5" t="s">
        <v>3654</v>
      </c>
      <c r="Y597" s="4">
        <v>35</v>
      </c>
      <c r="Z597" s="4">
        <v>2</v>
      </c>
      <c r="AA597" s="4">
        <v>4</v>
      </c>
      <c r="AB597" s="4">
        <v>1</v>
      </c>
      <c r="AC597" s="4">
        <v>3</v>
      </c>
      <c r="AD597" s="4">
        <v>28</v>
      </c>
      <c r="AE597" s="4">
        <v>29</v>
      </c>
      <c r="AF597" s="4">
        <v>0</v>
      </c>
      <c r="AG597" s="4">
        <v>0</v>
      </c>
      <c r="AH597" s="4">
        <v>26</v>
      </c>
      <c r="AI597" s="4">
        <v>27</v>
      </c>
      <c r="AJ597" s="4">
        <v>1</v>
      </c>
      <c r="AK597" s="4">
        <v>1</v>
      </c>
      <c r="AL597" s="4">
        <v>22</v>
      </c>
      <c r="AM597" s="4">
        <v>22</v>
      </c>
      <c r="AN597" s="4">
        <v>0</v>
      </c>
      <c r="AO597" s="4">
        <v>0</v>
      </c>
      <c r="AP597" s="4">
        <v>1</v>
      </c>
      <c r="AQ597" s="4">
        <v>1</v>
      </c>
      <c r="AR597" s="3" t="s">
        <v>65</v>
      </c>
      <c r="AS597" s="3" t="s">
        <v>65</v>
      </c>
      <c r="AT597" s="3" t="s">
        <v>65</v>
      </c>
      <c r="AV597" s="6" t="str">
        <f>HYPERLINK("http://mcgill.on.worldcat.org/oclc/1024018678","Catalog Record")</f>
        <v>Catalog Record</v>
      </c>
      <c r="AW597" s="6" t="str">
        <f>HYPERLINK("http://www.worldcat.org/oclc/1024018678","WorldCat Record")</f>
        <v>WorldCat Record</v>
      </c>
      <c r="AX597" s="3" t="s">
        <v>6459</v>
      </c>
      <c r="AY597" s="3" t="s">
        <v>6460</v>
      </c>
      <c r="AZ597" s="3" t="s">
        <v>6461</v>
      </c>
      <c r="BA597" s="3" t="s">
        <v>6461</v>
      </c>
      <c r="BB597" s="3" t="s">
        <v>6462</v>
      </c>
      <c r="BC597" s="3" t="s">
        <v>77</v>
      </c>
      <c r="BD597" s="3" t="s">
        <v>78</v>
      </c>
      <c r="BE597" s="3" t="s">
        <v>6463</v>
      </c>
      <c r="BF597" s="3" t="s">
        <v>6462</v>
      </c>
      <c r="BG597" s="3" t="s">
        <v>6464</v>
      </c>
    </row>
    <row r="598" spans="1:59" ht="58" x14ac:dyDescent="0.35">
      <c r="A598" s="2" t="s">
        <v>59</v>
      </c>
      <c r="B598" s="2" t="s">
        <v>60</v>
      </c>
      <c r="C598" s="2" t="s">
        <v>6465</v>
      </c>
      <c r="D598" s="2" t="s">
        <v>6466</v>
      </c>
      <c r="E598" s="2" t="s">
        <v>6467</v>
      </c>
      <c r="G598" s="3" t="s">
        <v>65</v>
      </c>
      <c r="I598" s="3" t="s">
        <v>65</v>
      </c>
      <c r="J598" s="3" t="s">
        <v>65</v>
      </c>
      <c r="K598" s="3" t="s">
        <v>66</v>
      </c>
      <c r="L598" s="2" t="s">
        <v>6468</v>
      </c>
      <c r="M598" s="2" t="s">
        <v>5224</v>
      </c>
      <c r="N598" s="3" t="s">
        <v>1122</v>
      </c>
      <c r="P598" s="3" t="s">
        <v>69</v>
      </c>
      <c r="Q598" s="2" t="s">
        <v>1197</v>
      </c>
      <c r="R598" s="3" t="s">
        <v>71</v>
      </c>
      <c r="S598" s="4">
        <v>3</v>
      </c>
      <c r="T598" s="4">
        <v>3</v>
      </c>
      <c r="U598" s="5" t="s">
        <v>6469</v>
      </c>
      <c r="V598" s="5" t="s">
        <v>6469</v>
      </c>
      <c r="W598" s="5" t="s">
        <v>72</v>
      </c>
      <c r="X598" s="5" t="s">
        <v>72</v>
      </c>
      <c r="Y598" s="4">
        <v>179</v>
      </c>
      <c r="Z598" s="4">
        <v>26</v>
      </c>
      <c r="AA598" s="4">
        <v>117</v>
      </c>
      <c r="AB598" s="4">
        <v>2</v>
      </c>
      <c r="AC598" s="4">
        <v>20</v>
      </c>
      <c r="AD598" s="4">
        <v>96</v>
      </c>
      <c r="AE598" s="4">
        <v>141</v>
      </c>
      <c r="AF598" s="4">
        <v>0</v>
      </c>
      <c r="AG598" s="4">
        <v>8</v>
      </c>
      <c r="AH598" s="4">
        <v>83</v>
      </c>
      <c r="AI598" s="4">
        <v>98</v>
      </c>
      <c r="AJ598" s="4">
        <v>20</v>
      </c>
      <c r="AK598" s="4">
        <v>27</v>
      </c>
      <c r="AL598" s="4">
        <v>51</v>
      </c>
      <c r="AM598" s="4">
        <v>56</v>
      </c>
      <c r="AN598" s="4">
        <v>0</v>
      </c>
      <c r="AO598" s="4">
        <v>0</v>
      </c>
      <c r="AP598" s="4">
        <v>20</v>
      </c>
      <c r="AQ598" s="4">
        <v>51</v>
      </c>
      <c r="AR598" s="3" t="s">
        <v>209</v>
      </c>
      <c r="AS598" s="3" t="s">
        <v>65</v>
      </c>
      <c r="AT598" s="3" t="s">
        <v>65</v>
      </c>
      <c r="AV598" s="6" t="str">
        <f>HYPERLINK("http://mcgill.on.worldcat.org/oclc/312883262","Catalog Record")</f>
        <v>Catalog Record</v>
      </c>
      <c r="AW598" s="6" t="str">
        <f>HYPERLINK("http://www.worldcat.org/oclc/312883262","WorldCat Record")</f>
        <v>WorldCat Record</v>
      </c>
      <c r="AX598" s="3" t="s">
        <v>6470</v>
      </c>
      <c r="AY598" s="3" t="s">
        <v>6471</v>
      </c>
      <c r="AZ598" s="3" t="s">
        <v>6472</v>
      </c>
      <c r="BA598" s="3" t="s">
        <v>6472</v>
      </c>
      <c r="BB598" s="3" t="s">
        <v>6473</v>
      </c>
      <c r="BC598" s="3" t="s">
        <v>77</v>
      </c>
      <c r="BD598" s="3" t="s">
        <v>106</v>
      </c>
      <c r="BE598" s="3" t="s">
        <v>6474</v>
      </c>
      <c r="BF598" s="3" t="s">
        <v>6473</v>
      </c>
      <c r="BG598" s="3" t="s">
        <v>6475</v>
      </c>
    </row>
    <row r="599" spans="1:59" ht="58" x14ac:dyDescent="0.35">
      <c r="A599" s="2" t="s">
        <v>59</v>
      </c>
      <c r="B599" s="2" t="s">
        <v>60</v>
      </c>
      <c r="C599" s="2" t="s">
        <v>6476</v>
      </c>
      <c r="D599" s="2" t="s">
        <v>6477</v>
      </c>
      <c r="E599" s="2" t="s">
        <v>6478</v>
      </c>
      <c r="G599" s="3" t="s">
        <v>65</v>
      </c>
      <c r="I599" s="3" t="s">
        <v>65</v>
      </c>
      <c r="J599" s="3" t="s">
        <v>65</v>
      </c>
      <c r="K599" s="3" t="s">
        <v>66</v>
      </c>
      <c r="M599" s="2" t="s">
        <v>6479</v>
      </c>
      <c r="N599" s="3" t="s">
        <v>2750</v>
      </c>
      <c r="P599" s="3" t="s">
        <v>69</v>
      </c>
      <c r="R599" s="3" t="s">
        <v>71</v>
      </c>
      <c r="S599" s="4">
        <v>2</v>
      </c>
      <c r="T599" s="4">
        <v>2</v>
      </c>
      <c r="U599" s="5" t="s">
        <v>6480</v>
      </c>
      <c r="V599" s="5" t="s">
        <v>6480</v>
      </c>
      <c r="W599" s="5" t="s">
        <v>72</v>
      </c>
      <c r="X599" s="5" t="s">
        <v>72</v>
      </c>
      <c r="Y599" s="4">
        <v>4</v>
      </c>
      <c r="Z599" s="4">
        <v>4</v>
      </c>
      <c r="AA599" s="4">
        <v>4</v>
      </c>
      <c r="AB599" s="4">
        <v>2</v>
      </c>
      <c r="AC599" s="4">
        <v>2</v>
      </c>
      <c r="AD599" s="4">
        <v>2</v>
      </c>
      <c r="AE599" s="4">
        <v>2</v>
      </c>
      <c r="AF599" s="4">
        <v>1</v>
      </c>
      <c r="AG599" s="4">
        <v>1</v>
      </c>
      <c r="AH599" s="4">
        <v>1</v>
      </c>
      <c r="AI599" s="4">
        <v>1</v>
      </c>
      <c r="AJ599" s="4">
        <v>2</v>
      </c>
      <c r="AK599" s="4">
        <v>2</v>
      </c>
      <c r="AL599" s="4">
        <v>1</v>
      </c>
      <c r="AM599" s="4">
        <v>1</v>
      </c>
      <c r="AN599" s="4">
        <v>0</v>
      </c>
      <c r="AO599" s="4">
        <v>0</v>
      </c>
      <c r="AP599" s="4">
        <v>2</v>
      </c>
      <c r="AQ599" s="4">
        <v>2</v>
      </c>
      <c r="AR599" s="3" t="s">
        <v>65</v>
      </c>
      <c r="AS599" s="3" t="s">
        <v>65</v>
      </c>
      <c r="AT599" s="3" t="s">
        <v>65</v>
      </c>
      <c r="AV599" s="6" t="str">
        <f>HYPERLINK("http://mcgill.on.worldcat.org/oclc/427152565","Catalog Record")</f>
        <v>Catalog Record</v>
      </c>
      <c r="AW599" s="6" t="str">
        <f>HYPERLINK("http://www.worldcat.org/oclc/427152565","WorldCat Record")</f>
        <v>WorldCat Record</v>
      </c>
      <c r="AX599" s="3" t="s">
        <v>6481</v>
      </c>
      <c r="AY599" s="3" t="s">
        <v>6482</v>
      </c>
      <c r="AZ599" s="3" t="s">
        <v>6483</v>
      </c>
      <c r="BA599" s="3" t="s">
        <v>6483</v>
      </c>
      <c r="BB599" s="3" t="s">
        <v>6484</v>
      </c>
      <c r="BC599" s="3" t="s">
        <v>77</v>
      </c>
      <c r="BD599" s="3" t="s">
        <v>78</v>
      </c>
      <c r="BF599" s="3" t="s">
        <v>6484</v>
      </c>
      <c r="BG599" s="3" t="s">
        <v>6485</v>
      </c>
    </row>
    <row r="600" spans="1:59" ht="58" x14ac:dyDescent="0.35">
      <c r="A600" s="2" t="s">
        <v>59</v>
      </c>
      <c r="B600" s="2" t="s">
        <v>60</v>
      </c>
      <c r="C600" s="2" t="s">
        <v>6486</v>
      </c>
      <c r="D600" s="2" t="s">
        <v>6487</v>
      </c>
      <c r="E600" s="2" t="s">
        <v>6488</v>
      </c>
      <c r="G600" s="3" t="s">
        <v>65</v>
      </c>
      <c r="I600" s="3" t="s">
        <v>65</v>
      </c>
      <c r="J600" s="3" t="s">
        <v>65</v>
      </c>
      <c r="K600" s="3" t="s">
        <v>66</v>
      </c>
      <c r="L600" s="2" t="s">
        <v>6489</v>
      </c>
      <c r="M600" s="2" t="s">
        <v>6490</v>
      </c>
      <c r="N600" s="3" t="s">
        <v>1151</v>
      </c>
      <c r="P600" s="3" t="s">
        <v>140</v>
      </c>
      <c r="R600" s="3" t="s">
        <v>71</v>
      </c>
      <c r="S600" s="4">
        <v>21</v>
      </c>
      <c r="T600" s="4">
        <v>21</v>
      </c>
      <c r="U600" s="5" t="s">
        <v>6480</v>
      </c>
      <c r="V600" s="5" t="s">
        <v>6480</v>
      </c>
      <c r="W600" s="5" t="s">
        <v>72</v>
      </c>
      <c r="X600" s="5" t="s">
        <v>72</v>
      </c>
      <c r="Y600" s="4">
        <v>39</v>
      </c>
      <c r="Z600" s="4">
        <v>4</v>
      </c>
      <c r="AA600" s="4">
        <v>4</v>
      </c>
      <c r="AB600" s="4">
        <v>1</v>
      </c>
      <c r="AC600" s="4">
        <v>1</v>
      </c>
      <c r="AD600" s="4">
        <v>12</v>
      </c>
      <c r="AE600" s="4">
        <v>12</v>
      </c>
      <c r="AF600" s="4">
        <v>0</v>
      </c>
      <c r="AG600" s="4">
        <v>0</v>
      </c>
      <c r="AH600" s="4">
        <v>12</v>
      </c>
      <c r="AI600" s="4">
        <v>12</v>
      </c>
      <c r="AJ600" s="4">
        <v>3</v>
      </c>
      <c r="AK600" s="4">
        <v>3</v>
      </c>
      <c r="AL600" s="4">
        <v>6</v>
      </c>
      <c r="AM600" s="4">
        <v>6</v>
      </c>
      <c r="AN600" s="4">
        <v>0</v>
      </c>
      <c r="AO600" s="4">
        <v>0</v>
      </c>
      <c r="AP600" s="4">
        <v>3</v>
      </c>
      <c r="AQ600" s="4">
        <v>3</v>
      </c>
      <c r="AR600" s="3" t="s">
        <v>65</v>
      </c>
      <c r="AS600" s="3" t="s">
        <v>65</v>
      </c>
      <c r="AT600" s="3" t="s">
        <v>65</v>
      </c>
      <c r="AV600" s="6" t="str">
        <f>HYPERLINK("http://mcgill.on.worldcat.org/oclc/2914613","Catalog Record")</f>
        <v>Catalog Record</v>
      </c>
      <c r="AW600" s="6" t="str">
        <f>HYPERLINK("http://www.worldcat.org/oclc/2914613","WorldCat Record")</f>
        <v>WorldCat Record</v>
      </c>
      <c r="AX600" s="3" t="s">
        <v>6491</v>
      </c>
      <c r="AY600" s="3" t="s">
        <v>6492</v>
      </c>
      <c r="AZ600" s="3" t="s">
        <v>6493</v>
      </c>
      <c r="BA600" s="3" t="s">
        <v>6493</v>
      </c>
      <c r="BB600" s="3" t="s">
        <v>6494</v>
      </c>
      <c r="BC600" s="3" t="s">
        <v>77</v>
      </c>
      <c r="BD600" s="3" t="s">
        <v>78</v>
      </c>
      <c r="BE600" s="3" t="s">
        <v>6495</v>
      </c>
      <c r="BF600" s="3" t="s">
        <v>6494</v>
      </c>
      <c r="BG600" s="3" t="s">
        <v>6496</v>
      </c>
    </row>
    <row r="601" spans="1:59" ht="58" x14ac:dyDescent="0.35">
      <c r="A601" s="2" t="s">
        <v>59</v>
      </c>
      <c r="B601" s="2" t="s">
        <v>60</v>
      </c>
      <c r="C601" s="2" t="s">
        <v>6497</v>
      </c>
      <c r="D601" s="2" t="s">
        <v>6498</v>
      </c>
      <c r="E601" s="2" t="s">
        <v>6499</v>
      </c>
      <c r="G601" s="3" t="s">
        <v>65</v>
      </c>
      <c r="I601" s="3" t="s">
        <v>65</v>
      </c>
      <c r="J601" s="3" t="s">
        <v>65</v>
      </c>
      <c r="K601" s="3" t="s">
        <v>66</v>
      </c>
      <c r="L601" s="2" t="s">
        <v>6489</v>
      </c>
      <c r="M601" s="2" t="s">
        <v>310</v>
      </c>
      <c r="N601" s="3" t="s">
        <v>311</v>
      </c>
      <c r="P601" s="3" t="s">
        <v>140</v>
      </c>
      <c r="Q601" s="2" t="s">
        <v>6500</v>
      </c>
      <c r="R601" s="3" t="s">
        <v>71</v>
      </c>
      <c r="S601" s="4">
        <v>24</v>
      </c>
      <c r="T601" s="4">
        <v>24</v>
      </c>
      <c r="U601" s="5" t="s">
        <v>4310</v>
      </c>
      <c r="V601" s="5" t="s">
        <v>4310</v>
      </c>
      <c r="W601" s="5" t="s">
        <v>72</v>
      </c>
      <c r="X601" s="5" t="s">
        <v>72</v>
      </c>
      <c r="Y601" s="4">
        <v>30</v>
      </c>
      <c r="Z601" s="4">
        <v>4</v>
      </c>
      <c r="AA601" s="4">
        <v>6</v>
      </c>
      <c r="AB601" s="4">
        <v>1</v>
      </c>
      <c r="AC601" s="4">
        <v>1</v>
      </c>
      <c r="AD601" s="4">
        <v>11</v>
      </c>
      <c r="AE601" s="4">
        <v>16</v>
      </c>
      <c r="AF601" s="4">
        <v>0</v>
      </c>
      <c r="AG601" s="4">
        <v>0</v>
      </c>
      <c r="AH601" s="4">
        <v>11</v>
      </c>
      <c r="AI601" s="4">
        <v>16</v>
      </c>
      <c r="AJ601" s="4">
        <v>2</v>
      </c>
      <c r="AK601" s="4">
        <v>3</v>
      </c>
      <c r="AL601" s="4">
        <v>10</v>
      </c>
      <c r="AM601" s="4">
        <v>14</v>
      </c>
      <c r="AN601" s="4">
        <v>0</v>
      </c>
      <c r="AO601" s="4">
        <v>0</v>
      </c>
      <c r="AP601" s="4">
        <v>2</v>
      </c>
      <c r="AQ601" s="4">
        <v>3</v>
      </c>
      <c r="AR601" s="3" t="s">
        <v>65</v>
      </c>
      <c r="AS601" s="3" t="s">
        <v>65</v>
      </c>
      <c r="AT601" s="3" t="s">
        <v>209</v>
      </c>
      <c r="AU601" s="6" t="str">
        <f>HYPERLINK("http://catalog.hathitrust.org/Record/001226655","HathiTrust Record")</f>
        <v>HathiTrust Record</v>
      </c>
      <c r="AV601" s="6" t="str">
        <f>HYPERLINK("http://mcgill.on.worldcat.org/oclc/6865448","Catalog Record")</f>
        <v>Catalog Record</v>
      </c>
      <c r="AW601" s="6" t="str">
        <f>HYPERLINK("http://www.worldcat.org/oclc/6865448","WorldCat Record")</f>
        <v>WorldCat Record</v>
      </c>
      <c r="AX601" s="3" t="s">
        <v>6501</v>
      </c>
      <c r="AY601" s="3" t="s">
        <v>6502</v>
      </c>
      <c r="AZ601" s="3" t="s">
        <v>6503</v>
      </c>
      <c r="BA601" s="3" t="s">
        <v>6503</v>
      </c>
      <c r="BB601" s="3" t="s">
        <v>6504</v>
      </c>
      <c r="BC601" s="3" t="s">
        <v>77</v>
      </c>
      <c r="BD601" s="3" t="s">
        <v>78</v>
      </c>
      <c r="BF601" s="3" t="s">
        <v>6504</v>
      </c>
      <c r="BG601" s="3" t="s">
        <v>6505</v>
      </c>
    </row>
    <row r="602" spans="1:59" ht="58" x14ac:dyDescent="0.35">
      <c r="A602" s="2" t="s">
        <v>59</v>
      </c>
      <c r="B602" s="2" t="s">
        <v>60</v>
      </c>
      <c r="C602" s="2" t="s">
        <v>6506</v>
      </c>
      <c r="D602" s="2" t="s">
        <v>6507</v>
      </c>
      <c r="E602" s="2" t="s">
        <v>6508</v>
      </c>
      <c r="G602" s="3" t="s">
        <v>65</v>
      </c>
      <c r="I602" s="3" t="s">
        <v>65</v>
      </c>
      <c r="J602" s="3" t="s">
        <v>65</v>
      </c>
      <c r="K602" s="3" t="s">
        <v>66</v>
      </c>
      <c r="M602" s="2" t="s">
        <v>6509</v>
      </c>
      <c r="N602" s="3" t="s">
        <v>176</v>
      </c>
      <c r="O602" s="2" t="s">
        <v>235</v>
      </c>
      <c r="P602" s="3" t="s">
        <v>140</v>
      </c>
      <c r="Q602" s="2" t="s">
        <v>6510</v>
      </c>
      <c r="R602" s="3" t="s">
        <v>71</v>
      </c>
      <c r="S602" s="4">
        <v>0</v>
      </c>
      <c r="T602" s="4">
        <v>0</v>
      </c>
      <c r="W602" s="5" t="s">
        <v>72</v>
      </c>
      <c r="X602" s="5" t="s">
        <v>72</v>
      </c>
      <c r="Y602" s="4">
        <v>39</v>
      </c>
      <c r="Z602" s="4">
        <v>3</v>
      </c>
      <c r="AA602" s="4">
        <v>3</v>
      </c>
      <c r="AB602" s="4">
        <v>1</v>
      </c>
      <c r="AC602" s="4">
        <v>1</v>
      </c>
      <c r="AD602" s="4">
        <v>24</v>
      </c>
      <c r="AE602" s="4">
        <v>24</v>
      </c>
      <c r="AF602" s="4">
        <v>0</v>
      </c>
      <c r="AG602" s="4">
        <v>0</v>
      </c>
      <c r="AH602" s="4">
        <v>23</v>
      </c>
      <c r="AI602" s="4">
        <v>23</v>
      </c>
      <c r="AJ602" s="4">
        <v>1</v>
      </c>
      <c r="AK602" s="4">
        <v>1</v>
      </c>
      <c r="AL602" s="4">
        <v>20</v>
      </c>
      <c r="AM602" s="4">
        <v>20</v>
      </c>
      <c r="AN602" s="4">
        <v>0</v>
      </c>
      <c r="AO602" s="4">
        <v>0</v>
      </c>
      <c r="AP602" s="4">
        <v>1</v>
      </c>
      <c r="AQ602" s="4">
        <v>1</v>
      </c>
      <c r="AR602" s="3" t="s">
        <v>65</v>
      </c>
      <c r="AS602" s="3" t="s">
        <v>65</v>
      </c>
      <c r="AT602" s="3" t="s">
        <v>65</v>
      </c>
      <c r="AV602" s="6" t="str">
        <f>HYPERLINK("http://mcgill.on.worldcat.org/oclc/915336548","Catalog Record")</f>
        <v>Catalog Record</v>
      </c>
      <c r="AW602" s="6" t="str">
        <f>HYPERLINK("http://www.worldcat.org/oclc/915336548","WorldCat Record")</f>
        <v>WorldCat Record</v>
      </c>
      <c r="AX602" s="3" t="s">
        <v>6511</v>
      </c>
      <c r="AY602" s="3" t="s">
        <v>6512</v>
      </c>
      <c r="AZ602" s="3" t="s">
        <v>6513</v>
      </c>
      <c r="BA602" s="3" t="s">
        <v>6513</v>
      </c>
      <c r="BB602" s="3" t="s">
        <v>6514</v>
      </c>
      <c r="BC602" s="3" t="s">
        <v>77</v>
      </c>
      <c r="BD602" s="3" t="s">
        <v>78</v>
      </c>
      <c r="BE602" s="3" t="s">
        <v>6515</v>
      </c>
      <c r="BF602" s="3" t="s">
        <v>6514</v>
      </c>
      <c r="BG602" s="3" t="s">
        <v>6516</v>
      </c>
    </row>
    <row r="603" spans="1:59" ht="58" x14ac:dyDescent="0.35">
      <c r="A603" s="2" t="s">
        <v>59</v>
      </c>
      <c r="B603" s="2" t="s">
        <v>60</v>
      </c>
      <c r="C603" s="2" t="s">
        <v>6517</v>
      </c>
      <c r="D603" s="2" t="s">
        <v>6518</v>
      </c>
      <c r="E603" s="2" t="s">
        <v>6519</v>
      </c>
      <c r="G603" s="3" t="s">
        <v>65</v>
      </c>
      <c r="I603" s="3" t="s">
        <v>65</v>
      </c>
      <c r="J603" s="3" t="s">
        <v>65</v>
      </c>
      <c r="K603" s="3" t="s">
        <v>66</v>
      </c>
      <c r="L603" s="2" t="s">
        <v>6520</v>
      </c>
      <c r="M603" s="2" t="s">
        <v>6521</v>
      </c>
      <c r="N603" s="3" t="s">
        <v>152</v>
      </c>
      <c r="P603" s="3" t="s">
        <v>69</v>
      </c>
      <c r="Q603" s="2" t="s">
        <v>6522</v>
      </c>
      <c r="R603" s="3" t="s">
        <v>71</v>
      </c>
      <c r="S603" s="4">
        <v>1</v>
      </c>
      <c r="T603" s="4">
        <v>1</v>
      </c>
      <c r="U603" s="5" t="s">
        <v>1848</v>
      </c>
      <c r="V603" s="5" t="s">
        <v>1848</v>
      </c>
      <c r="W603" s="5" t="s">
        <v>72</v>
      </c>
      <c r="X603" s="5" t="s">
        <v>72</v>
      </c>
      <c r="Y603" s="4">
        <v>72</v>
      </c>
      <c r="Z603" s="4">
        <v>6</v>
      </c>
      <c r="AA603" s="4">
        <v>21</v>
      </c>
      <c r="AB603" s="4">
        <v>1</v>
      </c>
      <c r="AC603" s="4">
        <v>5</v>
      </c>
      <c r="AD603" s="4">
        <v>33</v>
      </c>
      <c r="AE603" s="4">
        <v>45</v>
      </c>
      <c r="AF603" s="4">
        <v>0</v>
      </c>
      <c r="AG603" s="4">
        <v>1</v>
      </c>
      <c r="AH603" s="4">
        <v>30</v>
      </c>
      <c r="AI603" s="4">
        <v>37</v>
      </c>
      <c r="AJ603" s="4">
        <v>4</v>
      </c>
      <c r="AK603" s="4">
        <v>7</v>
      </c>
      <c r="AL603" s="4">
        <v>17</v>
      </c>
      <c r="AM603" s="4">
        <v>20</v>
      </c>
      <c r="AN603" s="4">
        <v>0</v>
      </c>
      <c r="AO603" s="4">
        <v>0</v>
      </c>
      <c r="AP603" s="4">
        <v>5</v>
      </c>
      <c r="AQ603" s="4">
        <v>11</v>
      </c>
      <c r="AR603" s="3" t="s">
        <v>65</v>
      </c>
      <c r="AS603" s="3" t="s">
        <v>65</v>
      </c>
      <c r="AT603" s="3" t="s">
        <v>209</v>
      </c>
      <c r="AU603" s="6" t="str">
        <f>HYPERLINK("http://catalog.hathitrust.org/Record/102499067","HathiTrust Record")</f>
        <v>HathiTrust Record</v>
      </c>
      <c r="AV603" s="6" t="str">
        <f>HYPERLINK("http://mcgill.on.worldcat.org/oclc/857347559","Catalog Record")</f>
        <v>Catalog Record</v>
      </c>
      <c r="AW603" s="6" t="str">
        <f>HYPERLINK("http://www.worldcat.org/oclc/857347559","WorldCat Record")</f>
        <v>WorldCat Record</v>
      </c>
      <c r="AX603" s="3" t="s">
        <v>6523</v>
      </c>
      <c r="AY603" s="3" t="s">
        <v>6524</v>
      </c>
      <c r="AZ603" s="3" t="s">
        <v>6525</v>
      </c>
      <c r="BA603" s="3" t="s">
        <v>6525</v>
      </c>
      <c r="BB603" s="3" t="s">
        <v>6526</v>
      </c>
      <c r="BC603" s="3" t="s">
        <v>77</v>
      </c>
      <c r="BD603" s="3" t="s">
        <v>78</v>
      </c>
      <c r="BE603" s="3" t="s">
        <v>6527</v>
      </c>
      <c r="BF603" s="3" t="s">
        <v>6526</v>
      </c>
      <c r="BG603" s="3" t="s">
        <v>6528</v>
      </c>
    </row>
    <row r="604" spans="1:59" ht="58" x14ac:dyDescent="0.35">
      <c r="A604" s="2" t="s">
        <v>59</v>
      </c>
      <c r="B604" s="2" t="s">
        <v>60</v>
      </c>
      <c r="C604" s="2" t="s">
        <v>6529</v>
      </c>
      <c r="D604" s="2" t="s">
        <v>6530</v>
      </c>
      <c r="E604" s="2" t="s">
        <v>6531</v>
      </c>
      <c r="G604" s="3" t="s">
        <v>65</v>
      </c>
      <c r="I604" s="3" t="s">
        <v>65</v>
      </c>
      <c r="J604" s="3" t="s">
        <v>65</v>
      </c>
      <c r="K604" s="3" t="s">
        <v>66</v>
      </c>
      <c r="M604" s="2" t="s">
        <v>6532</v>
      </c>
      <c r="N604" s="3" t="s">
        <v>152</v>
      </c>
      <c r="P604" s="3" t="s">
        <v>140</v>
      </c>
      <c r="R604" s="3" t="s">
        <v>71</v>
      </c>
      <c r="S604" s="4">
        <v>0</v>
      </c>
      <c r="T604" s="4">
        <v>0</v>
      </c>
      <c r="W604" s="5" t="s">
        <v>72</v>
      </c>
      <c r="X604" s="5" t="s">
        <v>72</v>
      </c>
      <c r="Y604" s="4">
        <v>15</v>
      </c>
      <c r="Z604" s="4">
        <v>1</v>
      </c>
      <c r="AA604" s="4">
        <v>1</v>
      </c>
      <c r="AB604" s="4">
        <v>1</v>
      </c>
      <c r="AC604" s="4">
        <v>1</v>
      </c>
      <c r="AD604" s="4">
        <v>5</v>
      </c>
      <c r="AE604" s="4">
        <v>5</v>
      </c>
      <c r="AF604" s="4">
        <v>0</v>
      </c>
      <c r="AG604" s="4">
        <v>0</v>
      </c>
      <c r="AH604" s="4">
        <v>4</v>
      </c>
      <c r="AI604" s="4">
        <v>4</v>
      </c>
      <c r="AJ604" s="4">
        <v>0</v>
      </c>
      <c r="AK604" s="4">
        <v>0</v>
      </c>
      <c r="AL604" s="4">
        <v>5</v>
      </c>
      <c r="AM604" s="4">
        <v>5</v>
      </c>
      <c r="AN604" s="4">
        <v>0</v>
      </c>
      <c r="AO604" s="4">
        <v>0</v>
      </c>
      <c r="AP604" s="4">
        <v>0</v>
      </c>
      <c r="AQ604" s="4">
        <v>0</v>
      </c>
      <c r="AR604" s="3" t="s">
        <v>65</v>
      </c>
      <c r="AS604" s="3" t="s">
        <v>65</v>
      </c>
      <c r="AT604" s="3" t="s">
        <v>65</v>
      </c>
      <c r="AV604" s="6" t="str">
        <f>HYPERLINK("http://mcgill.on.worldcat.org/oclc/862741586","Catalog Record")</f>
        <v>Catalog Record</v>
      </c>
      <c r="AW604" s="6" t="str">
        <f>HYPERLINK("http://www.worldcat.org/oclc/862741586","WorldCat Record")</f>
        <v>WorldCat Record</v>
      </c>
      <c r="AX604" s="3" t="s">
        <v>6533</v>
      </c>
      <c r="AY604" s="3" t="s">
        <v>6534</v>
      </c>
      <c r="AZ604" s="3" t="s">
        <v>6535</v>
      </c>
      <c r="BA604" s="3" t="s">
        <v>6535</v>
      </c>
      <c r="BB604" s="3" t="s">
        <v>6536</v>
      </c>
      <c r="BC604" s="3" t="s">
        <v>77</v>
      </c>
      <c r="BD604" s="3" t="s">
        <v>78</v>
      </c>
      <c r="BE604" s="3" t="s">
        <v>6537</v>
      </c>
      <c r="BF604" s="3" t="s">
        <v>6536</v>
      </c>
      <c r="BG604" s="3" t="s">
        <v>6538</v>
      </c>
    </row>
    <row r="605" spans="1:59" ht="58" x14ac:dyDescent="0.35">
      <c r="A605" s="2" t="s">
        <v>59</v>
      </c>
      <c r="B605" s="2" t="s">
        <v>60</v>
      </c>
      <c r="C605" s="2" t="s">
        <v>6539</v>
      </c>
      <c r="D605" s="2" t="s">
        <v>6540</v>
      </c>
      <c r="E605" s="2" t="s">
        <v>6541</v>
      </c>
      <c r="G605" s="3" t="s">
        <v>65</v>
      </c>
      <c r="I605" s="3" t="s">
        <v>65</v>
      </c>
      <c r="J605" s="3" t="s">
        <v>65</v>
      </c>
      <c r="K605" s="3" t="s">
        <v>66</v>
      </c>
      <c r="L605" s="2" t="s">
        <v>6542</v>
      </c>
      <c r="M605" s="2" t="s">
        <v>6543</v>
      </c>
      <c r="N605" s="3" t="s">
        <v>479</v>
      </c>
      <c r="O605" s="2" t="s">
        <v>526</v>
      </c>
      <c r="P605" s="3" t="s">
        <v>69</v>
      </c>
      <c r="Q605" s="2" t="s">
        <v>6544</v>
      </c>
      <c r="R605" s="3" t="s">
        <v>71</v>
      </c>
      <c r="S605" s="4">
        <v>5</v>
      </c>
      <c r="T605" s="4">
        <v>5</v>
      </c>
      <c r="U605" s="5" t="s">
        <v>6545</v>
      </c>
      <c r="V605" s="5" t="s">
        <v>6545</v>
      </c>
      <c r="W605" s="5" t="s">
        <v>72</v>
      </c>
      <c r="X605" s="5" t="s">
        <v>72</v>
      </c>
      <c r="Y605" s="4">
        <v>226</v>
      </c>
      <c r="Z605" s="4">
        <v>14</v>
      </c>
      <c r="AA605" s="4">
        <v>14</v>
      </c>
      <c r="AB605" s="4">
        <v>2</v>
      </c>
      <c r="AC605" s="4">
        <v>2</v>
      </c>
      <c r="AD605" s="4">
        <v>93</v>
      </c>
      <c r="AE605" s="4">
        <v>93</v>
      </c>
      <c r="AF605" s="4">
        <v>1</v>
      </c>
      <c r="AG605" s="4">
        <v>1</v>
      </c>
      <c r="AH605" s="4">
        <v>85</v>
      </c>
      <c r="AI605" s="4">
        <v>85</v>
      </c>
      <c r="AJ605" s="4">
        <v>11</v>
      </c>
      <c r="AK605" s="4">
        <v>11</v>
      </c>
      <c r="AL605" s="4">
        <v>55</v>
      </c>
      <c r="AM605" s="4">
        <v>55</v>
      </c>
      <c r="AN605" s="4">
        <v>0</v>
      </c>
      <c r="AO605" s="4">
        <v>0</v>
      </c>
      <c r="AP605" s="4">
        <v>12</v>
      </c>
      <c r="AQ605" s="4">
        <v>12</v>
      </c>
      <c r="AR605" s="3" t="s">
        <v>65</v>
      </c>
      <c r="AS605" s="3" t="s">
        <v>65</v>
      </c>
      <c r="AT605" s="3" t="s">
        <v>209</v>
      </c>
      <c r="AU605" s="6" t="str">
        <f>HYPERLINK("http://catalog.hathitrust.org/Record/005934055","HathiTrust Record")</f>
        <v>HathiTrust Record</v>
      </c>
      <c r="AV605" s="6" t="str">
        <f>HYPERLINK("http://mcgill.on.worldcat.org/oclc/225870869","Catalog Record")</f>
        <v>Catalog Record</v>
      </c>
      <c r="AW605" s="6" t="str">
        <f>HYPERLINK("http://www.worldcat.org/oclc/225870869","WorldCat Record")</f>
        <v>WorldCat Record</v>
      </c>
      <c r="AX605" s="3" t="s">
        <v>6546</v>
      </c>
      <c r="AY605" s="3" t="s">
        <v>6547</v>
      </c>
      <c r="AZ605" s="3" t="s">
        <v>6548</v>
      </c>
      <c r="BA605" s="3" t="s">
        <v>6548</v>
      </c>
      <c r="BB605" s="3" t="s">
        <v>6549</v>
      </c>
      <c r="BC605" s="3" t="s">
        <v>77</v>
      </c>
      <c r="BD605" s="3" t="s">
        <v>78</v>
      </c>
      <c r="BE605" s="3" t="s">
        <v>6550</v>
      </c>
      <c r="BF605" s="3" t="s">
        <v>6549</v>
      </c>
      <c r="BG605" s="3" t="s">
        <v>6551</v>
      </c>
    </row>
    <row r="606" spans="1:59" ht="58" x14ac:dyDescent="0.35">
      <c r="A606" s="2" t="s">
        <v>59</v>
      </c>
      <c r="B606" s="2" t="s">
        <v>60</v>
      </c>
      <c r="C606" s="2" t="s">
        <v>6552</v>
      </c>
      <c r="D606" s="2" t="s">
        <v>6553</v>
      </c>
      <c r="E606" s="2" t="s">
        <v>6554</v>
      </c>
      <c r="G606" s="3" t="s">
        <v>65</v>
      </c>
      <c r="I606" s="3" t="s">
        <v>65</v>
      </c>
      <c r="J606" s="3" t="s">
        <v>65</v>
      </c>
      <c r="K606" s="3" t="s">
        <v>66</v>
      </c>
      <c r="M606" s="2" t="s">
        <v>6555</v>
      </c>
      <c r="N606" s="3" t="s">
        <v>1967</v>
      </c>
      <c r="P606" s="3" t="s">
        <v>140</v>
      </c>
      <c r="Q606" s="2" t="s">
        <v>6556</v>
      </c>
      <c r="R606" s="3" t="s">
        <v>71</v>
      </c>
      <c r="S606" s="4">
        <v>9</v>
      </c>
      <c r="T606" s="4">
        <v>9</v>
      </c>
      <c r="U606" s="5" t="s">
        <v>367</v>
      </c>
      <c r="V606" s="5" t="s">
        <v>367</v>
      </c>
      <c r="W606" s="5" t="s">
        <v>72</v>
      </c>
      <c r="X606" s="5" t="s">
        <v>72</v>
      </c>
      <c r="Y606" s="4">
        <v>14</v>
      </c>
      <c r="Z606" s="4">
        <v>2</v>
      </c>
      <c r="AA606" s="4">
        <v>2</v>
      </c>
      <c r="AB606" s="4">
        <v>2</v>
      </c>
      <c r="AC606" s="4">
        <v>2</v>
      </c>
      <c r="AD606" s="4">
        <v>7</v>
      </c>
      <c r="AE606" s="4">
        <v>7</v>
      </c>
      <c r="AF606" s="4">
        <v>0</v>
      </c>
      <c r="AG606" s="4">
        <v>0</v>
      </c>
      <c r="AH606" s="4">
        <v>7</v>
      </c>
      <c r="AI606" s="4">
        <v>7</v>
      </c>
      <c r="AJ606" s="4">
        <v>0</v>
      </c>
      <c r="AK606" s="4">
        <v>0</v>
      </c>
      <c r="AL606" s="4">
        <v>5</v>
      </c>
      <c r="AM606" s="4">
        <v>5</v>
      </c>
      <c r="AN606" s="4">
        <v>0</v>
      </c>
      <c r="AO606" s="4">
        <v>0</v>
      </c>
      <c r="AP606" s="4">
        <v>0</v>
      </c>
      <c r="AQ606" s="4">
        <v>0</v>
      </c>
      <c r="AR606" s="3" t="s">
        <v>65</v>
      </c>
      <c r="AS606" s="3" t="s">
        <v>65</v>
      </c>
      <c r="AT606" s="3" t="s">
        <v>65</v>
      </c>
      <c r="AV606" s="6" t="str">
        <f>HYPERLINK("http://mcgill.on.worldcat.org/oclc/53878894","Catalog Record")</f>
        <v>Catalog Record</v>
      </c>
      <c r="AW606" s="6" t="str">
        <f>HYPERLINK("http://www.worldcat.org/oclc/53878894","WorldCat Record")</f>
        <v>WorldCat Record</v>
      </c>
      <c r="AX606" s="3" t="s">
        <v>6557</v>
      </c>
      <c r="AY606" s="3" t="s">
        <v>6558</v>
      </c>
      <c r="AZ606" s="3" t="s">
        <v>6559</v>
      </c>
      <c r="BA606" s="3" t="s">
        <v>6559</v>
      </c>
      <c r="BB606" s="3" t="s">
        <v>6560</v>
      </c>
      <c r="BC606" s="3" t="s">
        <v>77</v>
      </c>
      <c r="BD606" s="3" t="s">
        <v>78</v>
      </c>
      <c r="BE606" s="3" t="s">
        <v>6561</v>
      </c>
      <c r="BF606" s="3" t="s">
        <v>6560</v>
      </c>
      <c r="BG606" s="3" t="s">
        <v>6562</v>
      </c>
    </row>
    <row r="607" spans="1:59" ht="58" x14ac:dyDescent="0.35">
      <c r="A607" s="2" t="s">
        <v>59</v>
      </c>
      <c r="B607" s="2" t="s">
        <v>60</v>
      </c>
      <c r="C607" s="2" t="s">
        <v>6563</v>
      </c>
      <c r="D607" s="2" t="s">
        <v>6564</v>
      </c>
      <c r="E607" s="2" t="s">
        <v>6565</v>
      </c>
      <c r="G607" s="3" t="s">
        <v>65</v>
      </c>
      <c r="I607" s="3" t="s">
        <v>65</v>
      </c>
      <c r="J607" s="3" t="s">
        <v>65</v>
      </c>
      <c r="K607" s="3" t="s">
        <v>66</v>
      </c>
      <c r="M607" s="2" t="s">
        <v>6566</v>
      </c>
      <c r="N607" s="3" t="s">
        <v>126</v>
      </c>
      <c r="O607" s="2" t="s">
        <v>6567</v>
      </c>
      <c r="P607" s="3" t="s">
        <v>140</v>
      </c>
      <c r="R607" s="3" t="s">
        <v>71</v>
      </c>
      <c r="S607" s="4">
        <v>0</v>
      </c>
      <c r="T607" s="4">
        <v>0</v>
      </c>
      <c r="W607" s="5" t="s">
        <v>72</v>
      </c>
      <c r="X607" s="5" t="s">
        <v>72</v>
      </c>
      <c r="Y607" s="4">
        <v>15</v>
      </c>
      <c r="Z607" s="4">
        <v>3</v>
      </c>
      <c r="AA607" s="4">
        <v>3</v>
      </c>
      <c r="AB607" s="4">
        <v>1</v>
      </c>
      <c r="AC607" s="4">
        <v>1</v>
      </c>
      <c r="AD607" s="4">
        <v>3</v>
      </c>
      <c r="AE607" s="4">
        <v>3</v>
      </c>
      <c r="AF607" s="4">
        <v>0</v>
      </c>
      <c r="AG607" s="4">
        <v>0</v>
      </c>
      <c r="AH607" s="4">
        <v>2</v>
      </c>
      <c r="AI607" s="4">
        <v>2</v>
      </c>
      <c r="AJ607" s="4">
        <v>2</v>
      </c>
      <c r="AK607" s="4">
        <v>2</v>
      </c>
      <c r="AL607" s="4">
        <v>1</v>
      </c>
      <c r="AM607" s="4">
        <v>1</v>
      </c>
      <c r="AN607" s="4">
        <v>0</v>
      </c>
      <c r="AO607" s="4">
        <v>0</v>
      </c>
      <c r="AP607" s="4">
        <v>2</v>
      </c>
      <c r="AQ607" s="4">
        <v>2</v>
      </c>
      <c r="AR607" s="3" t="s">
        <v>65</v>
      </c>
      <c r="AS607" s="3" t="s">
        <v>65</v>
      </c>
      <c r="AT607" s="3" t="s">
        <v>65</v>
      </c>
      <c r="AV607" s="6" t="str">
        <f>HYPERLINK("http://mcgill.on.worldcat.org/oclc/756281336","Catalog Record")</f>
        <v>Catalog Record</v>
      </c>
      <c r="AW607" s="6" t="str">
        <f>HYPERLINK("http://www.worldcat.org/oclc/756281336","WorldCat Record")</f>
        <v>WorldCat Record</v>
      </c>
      <c r="AX607" s="3" t="s">
        <v>6568</v>
      </c>
      <c r="AY607" s="3" t="s">
        <v>6569</v>
      </c>
      <c r="AZ607" s="3" t="s">
        <v>6570</v>
      </c>
      <c r="BA607" s="3" t="s">
        <v>6570</v>
      </c>
      <c r="BB607" s="3" t="s">
        <v>6571</v>
      </c>
      <c r="BC607" s="3" t="s">
        <v>77</v>
      </c>
      <c r="BD607" s="3" t="s">
        <v>78</v>
      </c>
      <c r="BE607" s="3" t="s">
        <v>6572</v>
      </c>
      <c r="BF607" s="3" t="s">
        <v>6571</v>
      </c>
      <c r="BG607" s="3" t="s">
        <v>6573</v>
      </c>
    </row>
    <row r="608" spans="1:59" ht="58" x14ac:dyDescent="0.35">
      <c r="A608" s="2" t="s">
        <v>59</v>
      </c>
      <c r="B608" s="2" t="s">
        <v>60</v>
      </c>
      <c r="C608" s="2" t="s">
        <v>6574</v>
      </c>
      <c r="D608" s="2" t="s">
        <v>6575</v>
      </c>
      <c r="E608" s="2" t="s">
        <v>6576</v>
      </c>
      <c r="G608" s="3" t="s">
        <v>65</v>
      </c>
      <c r="I608" s="3" t="s">
        <v>65</v>
      </c>
      <c r="J608" s="3" t="s">
        <v>65</v>
      </c>
      <c r="K608" s="3" t="s">
        <v>66</v>
      </c>
      <c r="M608" s="2" t="s">
        <v>6577</v>
      </c>
      <c r="N608" s="3" t="s">
        <v>5961</v>
      </c>
      <c r="P608" s="3" t="s">
        <v>69</v>
      </c>
      <c r="Q608" s="2" t="s">
        <v>6578</v>
      </c>
      <c r="R608" s="3" t="s">
        <v>71</v>
      </c>
      <c r="S608" s="4">
        <v>5</v>
      </c>
      <c r="T608" s="4">
        <v>5</v>
      </c>
      <c r="U608" s="5" t="s">
        <v>2000</v>
      </c>
      <c r="V608" s="5" t="s">
        <v>2000</v>
      </c>
      <c r="W608" s="5" t="s">
        <v>72</v>
      </c>
      <c r="X608" s="5" t="s">
        <v>72</v>
      </c>
      <c r="Y608" s="4">
        <v>505</v>
      </c>
      <c r="Z608" s="4">
        <v>21</v>
      </c>
      <c r="AA608" s="4">
        <v>21</v>
      </c>
      <c r="AB608" s="4">
        <v>2</v>
      </c>
      <c r="AC608" s="4">
        <v>2</v>
      </c>
      <c r="AD608" s="4">
        <v>110</v>
      </c>
      <c r="AE608" s="4">
        <v>110</v>
      </c>
      <c r="AF608" s="4">
        <v>1</v>
      </c>
      <c r="AG608" s="4">
        <v>1</v>
      </c>
      <c r="AH608" s="4">
        <v>100</v>
      </c>
      <c r="AI608" s="4">
        <v>100</v>
      </c>
      <c r="AJ608" s="4">
        <v>14</v>
      </c>
      <c r="AK608" s="4">
        <v>14</v>
      </c>
      <c r="AL608" s="4">
        <v>55</v>
      </c>
      <c r="AM608" s="4">
        <v>55</v>
      </c>
      <c r="AN608" s="4">
        <v>0</v>
      </c>
      <c r="AO608" s="4">
        <v>0</v>
      </c>
      <c r="AP608" s="4">
        <v>15</v>
      </c>
      <c r="AQ608" s="4">
        <v>15</v>
      </c>
      <c r="AR608" s="3" t="s">
        <v>65</v>
      </c>
      <c r="AS608" s="3" t="s">
        <v>65</v>
      </c>
      <c r="AT608" s="3" t="s">
        <v>65</v>
      </c>
      <c r="AV608" s="6" t="str">
        <f>HYPERLINK("http://mcgill.on.worldcat.org/oclc/13358014","Catalog Record")</f>
        <v>Catalog Record</v>
      </c>
      <c r="AW608" s="6" t="str">
        <f>HYPERLINK("http://www.worldcat.org/oclc/13358014","WorldCat Record")</f>
        <v>WorldCat Record</v>
      </c>
      <c r="AX608" s="3" t="s">
        <v>6579</v>
      </c>
      <c r="AY608" s="3" t="s">
        <v>6580</v>
      </c>
      <c r="AZ608" s="3" t="s">
        <v>6581</v>
      </c>
      <c r="BA608" s="3" t="s">
        <v>6581</v>
      </c>
      <c r="BB608" s="3" t="s">
        <v>6582</v>
      </c>
      <c r="BC608" s="3" t="s">
        <v>77</v>
      </c>
      <c r="BD608" s="3" t="s">
        <v>78</v>
      </c>
      <c r="BE608" s="3" t="s">
        <v>6583</v>
      </c>
      <c r="BF608" s="3" t="s">
        <v>6582</v>
      </c>
      <c r="BG608" s="3" t="s">
        <v>6584</v>
      </c>
    </row>
    <row r="609" spans="1:59" ht="58" x14ac:dyDescent="0.35">
      <c r="A609" s="2" t="s">
        <v>59</v>
      </c>
      <c r="B609" s="2" t="s">
        <v>60</v>
      </c>
      <c r="C609" s="2" t="s">
        <v>6585</v>
      </c>
      <c r="D609" s="2" t="s">
        <v>6586</v>
      </c>
      <c r="E609" s="2" t="s">
        <v>6587</v>
      </c>
      <c r="G609" s="3" t="s">
        <v>65</v>
      </c>
      <c r="I609" s="3" t="s">
        <v>65</v>
      </c>
      <c r="J609" s="3" t="s">
        <v>65</v>
      </c>
      <c r="K609" s="3" t="s">
        <v>66</v>
      </c>
      <c r="M609" s="2" t="s">
        <v>6588</v>
      </c>
      <c r="N609" s="3" t="s">
        <v>86</v>
      </c>
      <c r="P609" s="3" t="s">
        <v>69</v>
      </c>
      <c r="Q609" s="2" t="s">
        <v>6589</v>
      </c>
      <c r="R609" s="3" t="s">
        <v>71</v>
      </c>
      <c r="S609" s="4">
        <v>0</v>
      </c>
      <c r="T609" s="4">
        <v>0</v>
      </c>
      <c r="W609" s="5" t="s">
        <v>72</v>
      </c>
      <c r="X609" s="5" t="s">
        <v>72</v>
      </c>
      <c r="Y609" s="4">
        <v>23</v>
      </c>
      <c r="Z609" s="4">
        <v>2</v>
      </c>
      <c r="AA609" s="4">
        <v>4</v>
      </c>
      <c r="AB609" s="4">
        <v>1</v>
      </c>
      <c r="AC609" s="4">
        <v>3</v>
      </c>
      <c r="AD609" s="4">
        <v>0</v>
      </c>
      <c r="AE609" s="4">
        <v>2</v>
      </c>
      <c r="AF609" s="4">
        <v>0</v>
      </c>
      <c r="AG609" s="4">
        <v>0</v>
      </c>
      <c r="AH609" s="4">
        <v>0</v>
      </c>
      <c r="AI609" s="4">
        <v>2</v>
      </c>
      <c r="AJ609" s="4">
        <v>0</v>
      </c>
      <c r="AK609" s="4">
        <v>0</v>
      </c>
      <c r="AL609" s="4">
        <v>0</v>
      </c>
      <c r="AM609" s="4">
        <v>0</v>
      </c>
      <c r="AN609" s="4">
        <v>0</v>
      </c>
      <c r="AO609" s="4">
        <v>0</v>
      </c>
      <c r="AP609" s="4">
        <v>0</v>
      </c>
      <c r="AQ609" s="4">
        <v>0</v>
      </c>
      <c r="AR609" s="3" t="s">
        <v>65</v>
      </c>
      <c r="AS609" s="3" t="s">
        <v>65</v>
      </c>
      <c r="AT609" s="3" t="s">
        <v>65</v>
      </c>
      <c r="AV609" s="6" t="str">
        <f>HYPERLINK("http://mcgill.on.worldcat.org/oclc/1028216971","Catalog Record")</f>
        <v>Catalog Record</v>
      </c>
      <c r="AW609" s="6" t="str">
        <f>HYPERLINK("http://www.worldcat.org/oclc/1028216971","WorldCat Record")</f>
        <v>WorldCat Record</v>
      </c>
      <c r="AX609" s="3" t="s">
        <v>6590</v>
      </c>
      <c r="AY609" s="3" t="s">
        <v>6591</v>
      </c>
      <c r="AZ609" s="3" t="s">
        <v>6592</v>
      </c>
      <c r="BA609" s="3" t="s">
        <v>6592</v>
      </c>
      <c r="BB609" s="3" t="s">
        <v>6593</v>
      </c>
      <c r="BC609" s="3" t="s">
        <v>77</v>
      </c>
      <c r="BD609" s="3" t="s">
        <v>78</v>
      </c>
      <c r="BE609" s="3" t="s">
        <v>6594</v>
      </c>
      <c r="BF609" s="3" t="s">
        <v>6593</v>
      </c>
      <c r="BG609" s="3" t="s">
        <v>6595</v>
      </c>
    </row>
    <row r="610" spans="1:59" ht="58" x14ac:dyDescent="0.35">
      <c r="A610" s="2" t="s">
        <v>59</v>
      </c>
      <c r="B610" s="2" t="s">
        <v>60</v>
      </c>
      <c r="C610" s="2" t="s">
        <v>6596</v>
      </c>
      <c r="D610" s="2" t="s">
        <v>6597</v>
      </c>
      <c r="E610" s="2" t="s">
        <v>6598</v>
      </c>
      <c r="F610" s="3" t="s">
        <v>258</v>
      </c>
      <c r="G610" s="3" t="s">
        <v>209</v>
      </c>
      <c r="I610" s="3" t="s">
        <v>65</v>
      </c>
      <c r="J610" s="3" t="s">
        <v>65</v>
      </c>
      <c r="K610" s="3" t="s">
        <v>66</v>
      </c>
      <c r="M610" s="2" t="s">
        <v>6599</v>
      </c>
      <c r="N610" s="3" t="s">
        <v>552</v>
      </c>
      <c r="P610" s="3" t="s">
        <v>140</v>
      </c>
      <c r="Q610" s="2" t="s">
        <v>6600</v>
      </c>
      <c r="R610" s="3" t="s">
        <v>71</v>
      </c>
      <c r="S610" s="4">
        <v>8</v>
      </c>
      <c r="T610" s="4">
        <v>21</v>
      </c>
      <c r="U610" s="5" t="s">
        <v>2592</v>
      </c>
      <c r="V610" s="5" t="s">
        <v>2592</v>
      </c>
      <c r="W610" s="5" t="s">
        <v>72</v>
      </c>
      <c r="X610" s="5" t="s">
        <v>72</v>
      </c>
      <c r="Y610" s="4">
        <v>88</v>
      </c>
      <c r="Z610" s="4">
        <v>4</v>
      </c>
      <c r="AA610" s="4">
        <v>4</v>
      </c>
      <c r="AB610" s="4">
        <v>1</v>
      </c>
      <c r="AC610" s="4">
        <v>1</v>
      </c>
      <c r="AD610" s="4">
        <v>47</v>
      </c>
      <c r="AE610" s="4">
        <v>47</v>
      </c>
      <c r="AF610" s="4">
        <v>0</v>
      </c>
      <c r="AG610" s="4">
        <v>0</v>
      </c>
      <c r="AH610" s="4">
        <v>45</v>
      </c>
      <c r="AI610" s="4">
        <v>45</v>
      </c>
      <c r="AJ610" s="4">
        <v>2</v>
      </c>
      <c r="AK610" s="4">
        <v>2</v>
      </c>
      <c r="AL610" s="4">
        <v>39</v>
      </c>
      <c r="AM610" s="4">
        <v>39</v>
      </c>
      <c r="AN610" s="4">
        <v>0</v>
      </c>
      <c r="AO610" s="4">
        <v>0</v>
      </c>
      <c r="AP610" s="4">
        <v>2</v>
      </c>
      <c r="AQ610" s="4">
        <v>2</v>
      </c>
      <c r="AR610" s="3" t="s">
        <v>65</v>
      </c>
      <c r="AS610" s="3" t="s">
        <v>65</v>
      </c>
      <c r="AT610" s="3" t="s">
        <v>209</v>
      </c>
      <c r="AU610" s="6" t="str">
        <f>HYPERLINK("http://catalog.hathitrust.org/Record/003972524","HathiTrust Record")</f>
        <v>HathiTrust Record</v>
      </c>
      <c r="AV610" s="6" t="str">
        <f>HYPERLINK("http://mcgill.on.worldcat.org/oclc/38256943","Catalog Record")</f>
        <v>Catalog Record</v>
      </c>
      <c r="AW610" s="6" t="str">
        <f>HYPERLINK("http://www.worldcat.org/oclc/38256943","WorldCat Record")</f>
        <v>WorldCat Record</v>
      </c>
      <c r="AX610" s="3" t="s">
        <v>6601</v>
      </c>
      <c r="AY610" s="3" t="s">
        <v>6602</v>
      </c>
      <c r="AZ610" s="3" t="s">
        <v>6603</v>
      </c>
      <c r="BA610" s="3" t="s">
        <v>6603</v>
      </c>
      <c r="BB610" s="3" t="s">
        <v>6604</v>
      </c>
      <c r="BC610" s="3" t="s">
        <v>77</v>
      </c>
      <c r="BD610" s="3" t="s">
        <v>78</v>
      </c>
      <c r="BE610" s="3" t="s">
        <v>6605</v>
      </c>
      <c r="BF610" s="3" t="s">
        <v>6604</v>
      </c>
      <c r="BG610" s="3" t="s">
        <v>6606</v>
      </c>
    </row>
    <row r="611" spans="1:59" ht="58" x14ac:dyDescent="0.35">
      <c r="A611" s="2" t="s">
        <v>59</v>
      </c>
      <c r="B611" s="2" t="s">
        <v>60</v>
      </c>
      <c r="C611" s="2" t="s">
        <v>6596</v>
      </c>
      <c r="D611" s="2" t="s">
        <v>6597</v>
      </c>
      <c r="E611" s="2" t="s">
        <v>6598</v>
      </c>
      <c r="F611" s="3" t="s">
        <v>255</v>
      </c>
      <c r="G611" s="3" t="s">
        <v>209</v>
      </c>
      <c r="I611" s="3" t="s">
        <v>65</v>
      </c>
      <c r="J611" s="3" t="s">
        <v>65</v>
      </c>
      <c r="K611" s="3" t="s">
        <v>66</v>
      </c>
      <c r="M611" s="2" t="s">
        <v>6599</v>
      </c>
      <c r="N611" s="3" t="s">
        <v>552</v>
      </c>
      <c r="P611" s="3" t="s">
        <v>140</v>
      </c>
      <c r="Q611" s="2" t="s">
        <v>6600</v>
      </c>
      <c r="R611" s="3" t="s">
        <v>71</v>
      </c>
      <c r="S611" s="4">
        <v>5</v>
      </c>
      <c r="T611" s="4">
        <v>21</v>
      </c>
      <c r="U611" s="5" t="s">
        <v>6607</v>
      </c>
      <c r="V611" s="5" t="s">
        <v>2592</v>
      </c>
      <c r="W611" s="5" t="s">
        <v>72</v>
      </c>
      <c r="X611" s="5" t="s">
        <v>72</v>
      </c>
      <c r="Y611" s="4">
        <v>88</v>
      </c>
      <c r="Z611" s="4">
        <v>4</v>
      </c>
      <c r="AA611" s="4">
        <v>4</v>
      </c>
      <c r="AB611" s="4">
        <v>1</v>
      </c>
      <c r="AC611" s="4">
        <v>1</v>
      </c>
      <c r="AD611" s="4">
        <v>47</v>
      </c>
      <c r="AE611" s="4">
        <v>47</v>
      </c>
      <c r="AF611" s="4">
        <v>0</v>
      </c>
      <c r="AG611" s="4">
        <v>0</v>
      </c>
      <c r="AH611" s="4">
        <v>45</v>
      </c>
      <c r="AI611" s="4">
        <v>45</v>
      </c>
      <c r="AJ611" s="4">
        <v>2</v>
      </c>
      <c r="AK611" s="4">
        <v>2</v>
      </c>
      <c r="AL611" s="4">
        <v>39</v>
      </c>
      <c r="AM611" s="4">
        <v>39</v>
      </c>
      <c r="AN611" s="4">
        <v>0</v>
      </c>
      <c r="AO611" s="4">
        <v>0</v>
      </c>
      <c r="AP611" s="4">
        <v>2</v>
      </c>
      <c r="AQ611" s="4">
        <v>2</v>
      </c>
      <c r="AR611" s="3" t="s">
        <v>65</v>
      </c>
      <c r="AS611" s="3" t="s">
        <v>65</v>
      </c>
      <c r="AT611" s="3" t="s">
        <v>209</v>
      </c>
      <c r="AU611" s="6" t="str">
        <f>HYPERLINK("http://catalog.hathitrust.org/Record/003972524","HathiTrust Record")</f>
        <v>HathiTrust Record</v>
      </c>
      <c r="AV611" s="6" t="str">
        <f>HYPERLINK("http://mcgill.on.worldcat.org/oclc/38256943","Catalog Record")</f>
        <v>Catalog Record</v>
      </c>
      <c r="AW611" s="6" t="str">
        <f>HYPERLINK("http://www.worldcat.org/oclc/38256943","WorldCat Record")</f>
        <v>WorldCat Record</v>
      </c>
      <c r="AX611" s="3" t="s">
        <v>6601</v>
      </c>
      <c r="AY611" s="3" t="s">
        <v>6602</v>
      </c>
      <c r="AZ611" s="3" t="s">
        <v>6603</v>
      </c>
      <c r="BA611" s="3" t="s">
        <v>6603</v>
      </c>
      <c r="BB611" s="3" t="s">
        <v>6608</v>
      </c>
      <c r="BC611" s="3" t="s">
        <v>77</v>
      </c>
      <c r="BD611" s="3" t="s">
        <v>78</v>
      </c>
      <c r="BE611" s="3" t="s">
        <v>6605</v>
      </c>
      <c r="BF611" s="3" t="s">
        <v>6608</v>
      </c>
      <c r="BG611" s="3" t="s">
        <v>6609</v>
      </c>
    </row>
    <row r="612" spans="1:59" ht="58" x14ac:dyDescent="0.35">
      <c r="A612" s="2" t="s">
        <v>59</v>
      </c>
      <c r="B612" s="2" t="s">
        <v>60</v>
      </c>
      <c r="C612" s="2" t="s">
        <v>6596</v>
      </c>
      <c r="D612" s="2" t="s">
        <v>6597</v>
      </c>
      <c r="E612" s="2" t="s">
        <v>6598</v>
      </c>
      <c r="F612" s="3" t="s">
        <v>245</v>
      </c>
      <c r="G612" s="3" t="s">
        <v>209</v>
      </c>
      <c r="I612" s="3" t="s">
        <v>65</v>
      </c>
      <c r="J612" s="3" t="s">
        <v>65</v>
      </c>
      <c r="K612" s="3" t="s">
        <v>66</v>
      </c>
      <c r="M612" s="2" t="s">
        <v>6599</v>
      </c>
      <c r="N612" s="3" t="s">
        <v>552</v>
      </c>
      <c r="P612" s="3" t="s">
        <v>140</v>
      </c>
      <c r="Q612" s="2" t="s">
        <v>6600</v>
      </c>
      <c r="R612" s="3" t="s">
        <v>71</v>
      </c>
      <c r="S612" s="4">
        <v>8</v>
      </c>
      <c r="T612" s="4">
        <v>21</v>
      </c>
      <c r="U612" s="5" t="s">
        <v>2592</v>
      </c>
      <c r="V612" s="5" t="s">
        <v>2592</v>
      </c>
      <c r="W612" s="5" t="s">
        <v>72</v>
      </c>
      <c r="X612" s="5" t="s">
        <v>72</v>
      </c>
      <c r="Y612" s="4">
        <v>88</v>
      </c>
      <c r="Z612" s="4">
        <v>4</v>
      </c>
      <c r="AA612" s="4">
        <v>4</v>
      </c>
      <c r="AB612" s="4">
        <v>1</v>
      </c>
      <c r="AC612" s="4">
        <v>1</v>
      </c>
      <c r="AD612" s="4">
        <v>47</v>
      </c>
      <c r="AE612" s="4">
        <v>47</v>
      </c>
      <c r="AF612" s="4">
        <v>0</v>
      </c>
      <c r="AG612" s="4">
        <v>0</v>
      </c>
      <c r="AH612" s="4">
        <v>45</v>
      </c>
      <c r="AI612" s="4">
        <v>45</v>
      </c>
      <c r="AJ612" s="4">
        <v>2</v>
      </c>
      <c r="AK612" s="4">
        <v>2</v>
      </c>
      <c r="AL612" s="4">
        <v>39</v>
      </c>
      <c r="AM612" s="4">
        <v>39</v>
      </c>
      <c r="AN612" s="4">
        <v>0</v>
      </c>
      <c r="AO612" s="4">
        <v>0</v>
      </c>
      <c r="AP612" s="4">
        <v>2</v>
      </c>
      <c r="AQ612" s="4">
        <v>2</v>
      </c>
      <c r="AR612" s="3" t="s">
        <v>65</v>
      </c>
      <c r="AS612" s="3" t="s">
        <v>65</v>
      </c>
      <c r="AT612" s="3" t="s">
        <v>209</v>
      </c>
      <c r="AU612" s="6" t="str">
        <f>HYPERLINK("http://catalog.hathitrust.org/Record/003972524","HathiTrust Record")</f>
        <v>HathiTrust Record</v>
      </c>
      <c r="AV612" s="6" t="str">
        <f>HYPERLINK("http://mcgill.on.worldcat.org/oclc/38256943","Catalog Record")</f>
        <v>Catalog Record</v>
      </c>
      <c r="AW612" s="6" t="str">
        <f>HYPERLINK("http://www.worldcat.org/oclc/38256943","WorldCat Record")</f>
        <v>WorldCat Record</v>
      </c>
      <c r="AX612" s="3" t="s">
        <v>6601</v>
      </c>
      <c r="AY612" s="3" t="s">
        <v>6602</v>
      </c>
      <c r="AZ612" s="3" t="s">
        <v>6603</v>
      </c>
      <c r="BA612" s="3" t="s">
        <v>6603</v>
      </c>
      <c r="BB612" s="3" t="s">
        <v>6610</v>
      </c>
      <c r="BC612" s="3" t="s">
        <v>77</v>
      </c>
      <c r="BD612" s="3" t="s">
        <v>78</v>
      </c>
      <c r="BE612" s="3" t="s">
        <v>6605</v>
      </c>
      <c r="BF612" s="3" t="s">
        <v>6610</v>
      </c>
      <c r="BG612" s="3" t="s">
        <v>6611</v>
      </c>
    </row>
    <row r="613" spans="1:59" ht="58" x14ac:dyDescent="0.35">
      <c r="A613" s="2" t="s">
        <v>59</v>
      </c>
      <c r="B613" s="2" t="s">
        <v>60</v>
      </c>
      <c r="C613" s="2" t="s">
        <v>6612</v>
      </c>
      <c r="D613" s="2" t="s">
        <v>6613</v>
      </c>
      <c r="E613" s="2" t="s">
        <v>6614</v>
      </c>
      <c r="F613" s="3" t="s">
        <v>255</v>
      </c>
      <c r="G613" s="3" t="s">
        <v>209</v>
      </c>
      <c r="I613" s="3" t="s">
        <v>65</v>
      </c>
      <c r="J613" s="3" t="s">
        <v>65</v>
      </c>
      <c r="K613" s="3" t="s">
        <v>66</v>
      </c>
      <c r="M613" s="2" t="s">
        <v>6615</v>
      </c>
      <c r="N613" s="3" t="s">
        <v>479</v>
      </c>
      <c r="O613" s="2" t="s">
        <v>6616</v>
      </c>
      <c r="P613" s="3" t="s">
        <v>140</v>
      </c>
      <c r="Q613" s="2" t="s">
        <v>6617</v>
      </c>
      <c r="R613" s="3" t="s">
        <v>71</v>
      </c>
      <c r="S613" s="4">
        <v>0</v>
      </c>
      <c r="T613" s="4">
        <v>4</v>
      </c>
      <c r="V613" s="5" t="s">
        <v>6618</v>
      </c>
      <c r="W613" s="5" t="s">
        <v>72</v>
      </c>
      <c r="X613" s="5" t="s">
        <v>72</v>
      </c>
      <c r="Y613" s="4">
        <v>88</v>
      </c>
      <c r="Z613" s="4">
        <v>8</v>
      </c>
      <c r="AA613" s="4">
        <v>8</v>
      </c>
      <c r="AB613" s="4">
        <v>1</v>
      </c>
      <c r="AC613" s="4">
        <v>1</v>
      </c>
      <c r="AD613" s="4">
        <v>46</v>
      </c>
      <c r="AE613" s="4">
        <v>46</v>
      </c>
      <c r="AF613" s="4">
        <v>0</v>
      </c>
      <c r="AG613" s="4">
        <v>0</v>
      </c>
      <c r="AH613" s="4">
        <v>44</v>
      </c>
      <c r="AI613" s="4">
        <v>44</v>
      </c>
      <c r="AJ613" s="4">
        <v>6</v>
      </c>
      <c r="AK613" s="4">
        <v>6</v>
      </c>
      <c r="AL613" s="4">
        <v>31</v>
      </c>
      <c r="AM613" s="4">
        <v>31</v>
      </c>
      <c r="AN613" s="4">
        <v>0</v>
      </c>
      <c r="AO613" s="4">
        <v>0</v>
      </c>
      <c r="AP613" s="4">
        <v>6</v>
      </c>
      <c r="AQ613" s="4">
        <v>6</v>
      </c>
      <c r="AR613" s="3" t="s">
        <v>65</v>
      </c>
      <c r="AS613" s="3" t="s">
        <v>65</v>
      </c>
      <c r="AT613" s="3" t="s">
        <v>209</v>
      </c>
      <c r="AU613" s="6" t="str">
        <f>HYPERLINK("http://catalog.hathitrust.org/Record/005865599","HathiTrust Record")</f>
        <v>HathiTrust Record</v>
      </c>
      <c r="AV613" s="6" t="str">
        <f>HYPERLINK("http://mcgill.on.worldcat.org/oclc/244630748","Catalog Record")</f>
        <v>Catalog Record</v>
      </c>
      <c r="AW613" s="6" t="str">
        <f>HYPERLINK("http://www.worldcat.org/oclc/244630748","WorldCat Record")</f>
        <v>WorldCat Record</v>
      </c>
      <c r="AX613" s="3" t="s">
        <v>6619</v>
      </c>
      <c r="AY613" s="3" t="s">
        <v>6620</v>
      </c>
      <c r="AZ613" s="3" t="s">
        <v>6621</v>
      </c>
      <c r="BA613" s="3" t="s">
        <v>6621</v>
      </c>
      <c r="BB613" s="3" t="s">
        <v>6622</v>
      </c>
      <c r="BC613" s="3" t="s">
        <v>77</v>
      </c>
      <c r="BD613" s="3" t="s">
        <v>78</v>
      </c>
      <c r="BE613" s="3" t="s">
        <v>6623</v>
      </c>
      <c r="BF613" s="3" t="s">
        <v>6622</v>
      </c>
      <c r="BG613" s="3" t="s">
        <v>6624</v>
      </c>
    </row>
    <row r="614" spans="1:59" ht="58" x14ac:dyDescent="0.35">
      <c r="A614" s="2" t="s">
        <v>59</v>
      </c>
      <c r="B614" s="2" t="s">
        <v>60</v>
      </c>
      <c r="C614" s="2" t="s">
        <v>6612</v>
      </c>
      <c r="D614" s="2" t="s">
        <v>6613</v>
      </c>
      <c r="E614" s="2" t="s">
        <v>6614</v>
      </c>
      <c r="F614" s="3" t="s">
        <v>258</v>
      </c>
      <c r="G614" s="3" t="s">
        <v>209</v>
      </c>
      <c r="I614" s="3" t="s">
        <v>65</v>
      </c>
      <c r="J614" s="3" t="s">
        <v>65</v>
      </c>
      <c r="K614" s="3" t="s">
        <v>66</v>
      </c>
      <c r="M614" s="2" t="s">
        <v>6615</v>
      </c>
      <c r="N614" s="3" t="s">
        <v>479</v>
      </c>
      <c r="O614" s="2" t="s">
        <v>6616</v>
      </c>
      <c r="P614" s="3" t="s">
        <v>140</v>
      </c>
      <c r="Q614" s="2" t="s">
        <v>6617</v>
      </c>
      <c r="R614" s="3" t="s">
        <v>71</v>
      </c>
      <c r="S614" s="4">
        <v>3</v>
      </c>
      <c r="T614" s="4">
        <v>4</v>
      </c>
      <c r="U614" s="5" t="s">
        <v>6618</v>
      </c>
      <c r="V614" s="5" t="s">
        <v>6618</v>
      </c>
      <c r="W614" s="5" t="s">
        <v>72</v>
      </c>
      <c r="X614" s="5" t="s">
        <v>72</v>
      </c>
      <c r="Y614" s="4">
        <v>88</v>
      </c>
      <c r="Z614" s="4">
        <v>8</v>
      </c>
      <c r="AA614" s="4">
        <v>8</v>
      </c>
      <c r="AB614" s="4">
        <v>1</v>
      </c>
      <c r="AC614" s="4">
        <v>1</v>
      </c>
      <c r="AD614" s="4">
        <v>46</v>
      </c>
      <c r="AE614" s="4">
        <v>46</v>
      </c>
      <c r="AF614" s="4">
        <v>0</v>
      </c>
      <c r="AG614" s="4">
        <v>0</v>
      </c>
      <c r="AH614" s="4">
        <v>44</v>
      </c>
      <c r="AI614" s="4">
        <v>44</v>
      </c>
      <c r="AJ614" s="4">
        <v>6</v>
      </c>
      <c r="AK614" s="4">
        <v>6</v>
      </c>
      <c r="AL614" s="4">
        <v>31</v>
      </c>
      <c r="AM614" s="4">
        <v>31</v>
      </c>
      <c r="AN614" s="4">
        <v>0</v>
      </c>
      <c r="AO614" s="4">
        <v>0</v>
      </c>
      <c r="AP614" s="4">
        <v>6</v>
      </c>
      <c r="AQ614" s="4">
        <v>6</v>
      </c>
      <c r="AR614" s="3" t="s">
        <v>65</v>
      </c>
      <c r="AS614" s="3" t="s">
        <v>65</v>
      </c>
      <c r="AT614" s="3" t="s">
        <v>209</v>
      </c>
      <c r="AU614" s="6" t="str">
        <f>HYPERLINK("http://catalog.hathitrust.org/Record/005865599","HathiTrust Record")</f>
        <v>HathiTrust Record</v>
      </c>
      <c r="AV614" s="6" t="str">
        <f>HYPERLINK("http://mcgill.on.worldcat.org/oclc/244630748","Catalog Record")</f>
        <v>Catalog Record</v>
      </c>
      <c r="AW614" s="6" t="str">
        <f>HYPERLINK("http://www.worldcat.org/oclc/244630748","WorldCat Record")</f>
        <v>WorldCat Record</v>
      </c>
      <c r="AX614" s="3" t="s">
        <v>6619</v>
      </c>
      <c r="AY614" s="3" t="s">
        <v>6620</v>
      </c>
      <c r="AZ614" s="3" t="s">
        <v>6621</v>
      </c>
      <c r="BA614" s="3" t="s">
        <v>6621</v>
      </c>
      <c r="BB614" s="3" t="s">
        <v>6625</v>
      </c>
      <c r="BC614" s="3" t="s">
        <v>77</v>
      </c>
      <c r="BD614" s="3" t="s">
        <v>78</v>
      </c>
      <c r="BE614" s="3" t="s">
        <v>6623</v>
      </c>
      <c r="BF614" s="3" t="s">
        <v>6625</v>
      </c>
      <c r="BG614" s="3" t="s">
        <v>6626</v>
      </c>
    </row>
    <row r="615" spans="1:59" ht="58" x14ac:dyDescent="0.35">
      <c r="A615" s="2" t="s">
        <v>59</v>
      </c>
      <c r="B615" s="2" t="s">
        <v>60</v>
      </c>
      <c r="C615" s="2" t="s">
        <v>6612</v>
      </c>
      <c r="D615" s="2" t="s">
        <v>6613</v>
      </c>
      <c r="E615" s="2" t="s">
        <v>6614</v>
      </c>
      <c r="F615" s="3" t="s">
        <v>245</v>
      </c>
      <c r="G615" s="3" t="s">
        <v>209</v>
      </c>
      <c r="I615" s="3" t="s">
        <v>65</v>
      </c>
      <c r="J615" s="3" t="s">
        <v>65</v>
      </c>
      <c r="K615" s="3" t="s">
        <v>66</v>
      </c>
      <c r="M615" s="2" t="s">
        <v>6615</v>
      </c>
      <c r="N615" s="3" t="s">
        <v>479</v>
      </c>
      <c r="O615" s="2" t="s">
        <v>6616</v>
      </c>
      <c r="P615" s="3" t="s">
        <v>140</v>
      </c>
      <c r="Q615" s="2" t="s">
        <v>6617</v>
      </c>
      <c r="R615" s="3" t="s">
        <v>71</v>
      </c>
      <c r="S615" s="4">
        <v>1</v>
      </c>
      <c r="T615" s="4">
        <v>4</v>
      </c>
      <c r="U615" s="5" t="s">
        <v>6627</v>
      </c>
      <c r="V615" s="5" t="s">
        <v>6618</v>
      </c>
      <c r="W615" s="5" t="s">
        <v>72</v>
      </c>
      <c r="X615" s="5" t="s">
        <v>72</v>
      </c>
      <c r="Y615" s="4">
        <v>88</v>
      </c>
      <c r="Z615" s="4">
        <v>8</v>
      </c>
      <c r="AA615" s="4">
        <v>8</v>
      </c>
      <c r="AB615" s="4">
        <v>1</v>
      </c>
      <c r="AC615" s="4">
        <v>1</v>
      </c>
      <c r="AD615" s="4">
        <v>46</v>
      </c>
      <c r="AE615" s="4">
        <v>46</v>
      </c>
      <c r="AF615" s="4">
        <v>0</v>
      </c>
      <c r="AG615" s="4">
        <v>0</v>
      </c>
      <c r="AH615" s="4">
        <v>44</v>
      </c>
      <c r="AI615" s="4">
        <v>44</v>
      </c>
      <c r="AJ615" s="4">
        <v>6</v>
      </c>
      <c r="AK615" s="4">
        <v>6</v>
      </c>
      <c r="AL615" s="4">
        <v>31</v>
      </c>
      <c r="AM615" s="4">
        <v>31</v>
      </c>
      <c r="AN615" s="4">
        <v>0</v>
      </c>
      <c r="AO615" s="4">
        <v>0</v>
      </c>
      <c r="AP615" s="4">
        <v>6</v>
      </c>
      <c r="AQ615" s="4">
        <v>6</v>
      </c>
      <c r="AR615" s="3" t="s">
        <v>65</v>
      </c>
      <c r="AS615" s="3" t="s">
        <v>65</v>
      </c>
      <c r="AT615" s="3" t="s">
        <v>209</v>
      </c>
      <c r="AU615" s="6" t="str">
        <f>HYPERLINK("http://catalog.hathitrust.org/Record/005865599","HathiTrust Record")</f>
        <v>HathiTrust Record</v>
      </c>
      <c r="AV615" s="6" t="str">
        <f>HYPERLINK("http://mcgill.on.worldcat.org/oclc/244630748","Catalog Record")</f>
        <v>Catalog Record</v>
      </c>
      <c r="AW615" s="6" t="str">
        <f>HYPERLINK("http://www.worldcat.org/oclc/244630748","WorldCat Record")</f>
        <v>WorldCat Record</v>
      </c>
      <c r="AX615" s="3" t="s">
        <v>6619</v>
      </c>
      <c r="AY615" s="3" t="s">
        <v>6620</v>
      </c>
      <c r="AZ615" s="3" t="s">
        <v>6621</v>
      </c>
      <c r="BA615" s="3" t="s">
        <v>6621</v>
      </c>
      <c r="BB615" s="3" t="s">
        <v>6628</v>
      </c>
      <c r="BC615" s="3" t="s">
        <v>77</v>
      </c>
      <c r="BD615" s="3" t="s">
        <v>78</v>
      </c>
      <c r="BE615" s="3" t="s">
        <v>6623</v>
      </c>
      <c r="BF615" s="3" t="s">
        <v>6628</v>
      </c>
      <c r="BG615" s="3" t="s">
        <v>6629</v>
      </c>
    </row>
    <row r="616" spans="1:59" ht="58" x14ac:dyDescent="0.35">
      <c r="A616" s="2" t="s">
        <v>59</v>
      </c>
      <c r="B616" s="2" t="s">
        <v>60</v>
      </c>
      <c r="C616" s="2" t="s">
        <v>6630</v>
      </c>
      <c r="D616" s="2" t="s">
        <v>6631</v>
      </c>
      <c r="E616" s="2" t="s">
        <v>6632</v>
      </c>
      <c r="G616" s="3" t="s">
        <v>65</v>
      </c>
      <c r="I616" s="3" t="s">
        <v>65</v>
      </c>
      <c r="J616" s="3" t="s">
        <v>65</v>
      </c>
      <c r="K616" s="3" t="s">
        <v>66</v>
      </c>
      <c r="L616" s="2" t="s">
        <v>2109</v>
      </c>
      <c r="M616" s="2" t="s">
        <v>6633</v>
      </c>
      <c r="N616" s="3" t="s">
        <v>152</v>
      </c>
      <c r="P616" s="3" t="s">
        <v>69</v>
      </c>
      <c r="R616" s="3" t="s">
        <v>71</v>
      </c>
      <c r="S616" s="4">
        <v>5</v>
      </c>
      <c r="T616" s="4">
        <v>5</v>
      </c>
      <c r="U616" s="5" t="s">
        <v>6634</v>
      </c>
      <c r="V616" s="5" t="s">
        <v>6634</v>
      </c>
      <c r="W616" s="5" t="s">
        <v>72</v>
      </c>
      <c r="X616" s="5" t="s">
        <v>72</v>
      </c>
      <c r="Y616" s="4">
        <v>289</v>
      </c>
      <c r="Z616" s="4">
        <v>17</v>
      </c>
      <c r="AA616" s="4">
        <v>18</v>
      </c>
      <c r="AB616" s="4">
        <v>3</v>
      </c>
      <c r="AC616" s="4">
        <v>3</v>
      </c>
      <c r="AD616" s="4">
        <v>79</v>
      </c>
      <c r="AE616" s="4">
        <v>81</v>
      </c>
      <c r="AF616" s="4">
        <v>2</v>
      </c>
      <c r="AG616" s="4">
        <v>2</v>
      </c>
      <c r="AH616" s="4">
        <v>75</v>
      </c>
      <c r="AI616" s="4">
        <v>77</v>
      </c>
      <c r="AJ616" s="4">
        <v>10</v>
      </c>
      <c r="AK616" s="4">
        <v>10</v>
      </c>
      <c r="AL616" s="4">
        <v>46</v>
      </c>
      <c r="AM616" s="4">
        <v>47</v>
      </c>
      <c r="AN616" s="4">
        <v>0</v>
      </c>
      <c r="AO616" s="4">
        <v>0</v>
      </c>
      <c r="AP616" s="4">
        <v>11</v>
      </c>
      <c r="AQ616" s="4">
        <v>11</v>
      </c>
      <c r="AR616" s="3" t="s">
        <v>65</v>
      </c>
      <c r="AS616" s="3" t="s">
        <v>65</v>
      </c>
      <c r="AT616" s="3" t="s">
        <v>65</v>
      </c>
      <c r="AV616" s="6" t="str">
        <f>HYPERLINK("http://mcgill.on.worldcat.org/oclc/811239007","Catalog Record")</f>
        <v>Catalog Record</v>
      </c>
      <c r="AW616" s="6" t="str">
        <f>HYPERLINK("http://www.worldcat.org/oclc/811239007","WorldCat Record")</f>
        <v>WorldCat Record</v>
      </c>
      <c r="AX616" s="3" t="s">
        <v>6635</v>
      </c>
      <c r="AY616" s="3" t="s">
        <v>6636</v>
      </c>
      <c r="AZ616" s="3" t="s">
        <v>6637</v>
      </c>
      <c r="BA616" s="3" t="s">
        <v>6637</v>
      </c>
      <c r="BB616" s="3" t="s">
        <v>6638</v>
      </c>
      <c r="BC616" s="3" t="s">
        <v>77</v>
      </c>
      <c r="BD616" s="3" t="s">
        <v>78</v>
      </c>
      <c r="BE616" s="3" t="s">
        <v>6639</v>
      </c>
      <c r="BF616" s="3" t="s">
        <v>6638</v>
      </c>
      <c r="BG616" s="3" t="s">
        <v>6640</v>
      </c>
    </row>
    <row r="617" spans="1:59" ht="58" x14ac:dyDescent="0.35">
      <c r="A617" s="2" t="s">
        <v>59</v>
      </c>
      <c r="B617" s="2" t="s">
        <v>60</v>
      </c>
      <c r="C617" s="2" t="s">
        <v>6641</v>
      </c>
      <c r="D617" s="2" t="s">
        <v>6642</v>
      </c>
      <c r="E617" s="2" t="s">
        <v>6643</v>
      </c>
      <c r="G617" s="3" t="s">
        <v>209</v>
      </c>
      <c r="I617" s="3" t="s">
        <v>65</v>
      </c>
      <c r="J617" s="3" t="s">
        <v>65</v>
      </c>
      <c r="K617" s="3" t="s">
        <v>66</v>
      </c>
      <c r="L617" s="2" t="s">
        <v>6644</v>
      </c>
      <c r="M617" s="2" t="s">
        <v>6645</v>
      </c>
      <c r="N617" s="3" t="s">
        <v>6646</v>
      </c>
      <c r="P617" s="3" t="s">
        <v>140</v>
      </c>
      <c r="Q617" s="2" t="s">
        <v>6647</v>
      </c>
      <c r="R617" s="3" t="s">
        <v>71</v>
      </c>
      <c r="S617" s="4">
        <v>6</v>
      </c>
      <c r="T617" s="4">
        <v>6</v>
      </c>
      <c r="U617" s="5" t="s">
        <v>6648</v>
      </c>
      <c r="V617" s="5" t="s">
        <v>6648</v>
      </c>
      <c r="W617" s="5" t="s">
        <v>72</v>
      </c>
      <c r="X617" s="5" t="s">
        <v>72</v>
      </c>
      <c r="Y617" s="4">
        <v>67</v>
      </c>
      <c r="Z617" s="4">
        <v>1</v>
      </c>
      <c r="AA617" s="4">
        <v>10</v>
      </c>
      <c r="AB617" s="4">
        <v>1</v>
      </c>
      <c r="AC617" s="4">
        <v>1</v>
      </c>
      <c r="AD617" s="4">
        <v>35</v>
      </c>
      <c r="AE617" s="4">
        <v>45</v>
      </c>
      <c r="AF617" s="4">
        <v>0</v>
      </c>
      <c r="AG617" s="4">
        <v>0</v>
      </c>
      <c r="AH617" s="4">
        <v>33</v>
      </c>
      <c r="AI617" s="4">
        <v>40</v>
      </c>
      <c r="AJ617" s="4">
        <v>0</v>
      </c>
      <c r="AK617" s="4">
        <v>4</v>
      </c>
      <c r="AL617" s="4">
        <v>28</v>
      </c>
      <c r="AM617" s="4">
        <v>32</v>
      </c>
      <c r="AN617" s="4">
        <v>0</v>
      </c>
      <c r="AO617" s="4">
        <v>0</v>
      </c>
      <c r="AP617" s="4">
        <v>0</v>
      </c>
      <c r="AQ617" s="4">
        <v>6</v>
      </c>
      <c r="AR617" s="3" t="s">
        <v>65</v>
      </c>
      <c r="AS617" s="3" t="s">
        <v>65</v>
      </c>
      <c r="AT617" s="3" t="s">
        <v>65</v>
      </c>
      <c r="AU617" s="6" t="str">
        <f>HYPERLINK("http://catalog.hathitrust.org/Record/000908309","HathiTrust Record")</f>
        <v>HathiTrust Record</v>
      </c>
      <c r="AV617" s="6" t="str">
        <f>HYPERLINK("http://mcgill.on.worldcat.org/oclc/788737","Catalog Record")</f>
        <v>Catalog Record</v>
      </c>
      <c r="AW617" s="6" t="str">
        <f>HYPERLINK("http://www.worldcat.org/oclc/788737","WorldCat Record")</f>
        <v>WorldCat Record</v>
      </c>
      <c r="AX617" s="3" t="s">
        <v>6649</v>
      </c>
      <c r="AY617" s="3" t="s">
        <v>6650</v>
      </c>
      <c r="AZ617" s="3" t="s">
        <v>6651</v>
      </c>
      <c r="BA617" s="3" t="s">
        <v>6651</v>
      </c>
      <c r="BB617" s="3" t="s">
        <v>6652</v>
      </c>
      <c r="BC617" s="3" t="s">
        <v>77</v>
      </c>
      <c r="BD617" s="3" t="s">
        <v>78</v>
      </c>
      <c r="BF617" s="3" t="s">
        <v>6652</v>
      </c>
      <c r="BG617" s="3" t="s">
        <v>6653</v>
      </c>
    </row>
    <row r="618" spans="1:59" ht="58" x14ac:dyDescent="0.35">
      <c r="A618" s="2" t="s">
        <v>59</v>
      </c>
      <c r="B618" s="2" t="s">
        <v>60</v>
      </c>
      <c r="C618" s="2" t="s">
        <v>6654</v>
      </c>
      <c r="D618" s="2" t="s">
        <v>6655</v>
      </c>
      <c r="E618" s="2" t="s">
        <v>6656</v>
      </c>
      <c r="G618" s="3" t="s">
        <v>65</v>
      </c>
      <c r="I618" s="3" t="s">
        <v>65</v>
      </c>
      <c r="J618" s="3" t="s">
        <v>65</v>
      </c>
      <c r="K618" s="3" t="s">
        <v>66</v>
      </c>
      <c r="M618" s="2" t="s">
        <v>6657</v>
      </c>
      <c r="N618" s="3" t="s">
        <v>756</v>
      </c>
      <c r="P618" s="3" t="s">
        <v>140</v>
      </c>
      <c r="Q618" s="2" t="s">
        <v>6658</v>
      </c>
      <c r="R618" s="3" t="s">
        <v>71</v>
      </c>
      <c r="S618" s="4">
        <v>2</v>
      </c>
      <c r="T618" s="4">
        <v>2</v>
      </c>
      <c r="U618" s="5" t="s">
        <v>2306</v>
      </c>
      <c r="V618" s="5" t="s">
        <v>2306</v>
      </c>
      <c r="W618" s="5" t="s">
        <v>72</v>
      </c>
      <c r="X618" s="5" t="s">
        <v>72</v>
      </c>
      <c r="Y618" s="4">
        <v>97</v>
      </c>
      <c r="Z618" s="4">
        <v>8</v>
      </c>
      <c r="AA618" s="4">
        <v>9</v>
      </c>
      <c r="AB618" s="4">
        <v>1</v>
      </c>
      <c r="AC618" s="4">
        <v>1</v>
      </c>
      <c r="AD618" s="4">
        <v>44</v>
      </c>
      <c r="AE618" s="4">
        <v>46</v>
      </c>
      <c r="AF618" s="4">
        <v>0</v>
      </c>
      <c r="AG618" s="4">
        <v>0</v>
      </c>
      <c r="AH618" s="4">
        <v>41</v>
      </c>
      <c r="AI618" s="4">
        <v>43</v>
      </c>
      <c r="AJ618" s="4">
        <v>6</v>
      </c>
      <c r="AK618" s="4">
        <v>7</v>
      </c>
      <c r="AL618" s="4">
        <v>29</v>
      </c>
      <c r="AM618" s="4">
        <v>29</v>
      </c>
      <c r="AN618" s="4">
        <v>5</v>
      </c>
      <c r="AO618" s="4">
        <v>5</v>
      </c>
      <c r="AP618" s="4">
        <v>6</v>
      </c>
      <c r="AQ618" s="4">
        <v>7</v>
      </c>
      <c r="AR618" s="3" t="s">
        <v>65</v>
      </c>
      <c r="AS618" s="3" t="s">
        <v>65</v>
      </c>
      <c r="AT618" s="3" t="s">
        <v>209</v>
      </c>
      <c r="AU618" s="6" t="str">
        <f>HYPERLINK("http://catalog.hathitrust.org/Record/009698287","HathiTrust Record")</f>
        <v>HathiTrust Record</v>
      </c>
      <c r="AV618" s="6" t="str">
        <f>HYPERLINK("http://mcgill.on.worldcat.org/oclc/19622881","Catalog Record")</f>
        <v>Catalog Record</v>
      </c>
      <c r="AW618" s="6" t="str">
        <f>HYPERLINK("http://www.worldcat.org/oclc/19622881","WorldCat Record")</f>
        <v>WorldCat Record</v>
      </c>
      <c r="AX618" s="3" t="s">
        <v>6659</v>
      </c>
      <c r="AY618" s="3" t="s">
        <v>6660</v>
      </c>
      <c r="AZ618" s="3" t="s">
        <v>6661</v>
      </c>
      <c r="BA618" s="3" t="s">
        <v>6661</v>
      </c>
      <c r="BB618" s="3" t="s">
        <v>6662</v>
      </c>
      <c r="BC618" s="3" t="s">
        <v>77</v>
      </c>
      <c r="BD618" s="3" t="s">
        <v>78</v>
      </c>
      <c r="BE618" s="3" t="s">
        <v>6663</v>
      </c>
      <c r="BF618" s="3" t="s">
        <v>6662</v>
      </c>
      <c r="BG618" s="3" t="s">
        <v>6664</v>
      </c>
    </row>
    <row r="619" spans="1:59" ht="72.5" x14ac:dyDescent="0.35">
      <c r="A619" s="2" t="s">
        <v>59</v>
      </c>
      <c r="B619" s="2" t="s">
        <v>60</v>
      </c>
      <c r="C619" s="2" t="s">
        <v>6665</v>
      </c>
      <c r="D619" s="2" t="s">
        <v>6666</v>
      </c>
      <c r="E619" s="2" t="s">
        <v>6667</v>
      </c>
      <c r="G619" s="3" t="s">
        <v>65</v>
      </c>
      <c r="I619" s="3" t="s">
        <v>65</v>
      </c>
      <c r="J619" s="3" t="s">
        <v>65</v>
      </c>
      <c r="K619" s="3" t="s">
        <v>66</v>
      </c>
      <c r="M619" s="2" t="s">
        <v>6668</v>
      </c>
      <c r="N619" s="3" t="s">
        <v>139</v>
      </c>
      <c r="P619" s="3" t="s">
        <v>140</v>
      </c>
      <c r="Q619" s="2" t="s">
        <v>6669</v>
      </c>
      <c r="R619" s="3" t="s">
        <v>71</v>
      </c>
      <c r="S619" s="4">
        <v>0</v>
      </c>
      <c r="T619" s="4">
        <v>0</v>
      </c>
      <c r="W619" s="5" t="s">
        <v>72</v>
      </c>
      <c r="X619" s="5" t="s">
        <v>72</v>
      </c>
      <c r="Y619" s="4">
        <v>75</v>
      </c>
      <c r="Z619" s="4">
        <v>9</v>
      </c>
      <c r="AA619" s="4">
        <v>9</v>
      </c>
      <c r="AB619" s="4">
        <v>1</v>
      </c>
      <c r="AC619" s="4">
        <v>1</v>
      </c>
      <c r="AD619" s="4">
        <v>47</v>
      </c>
      <c r="AE619" s="4">
        <v>47</v>
      </c>
      <c r="AF619" s="4">
        <v>0</v>
      </c>
      <c r="AG619" s="4">
        <v>0</v>
      </c>
      <c r="AH619" s="4">
        <v>44</v>
      </c>
      <c r="AI619" s="4">
        <v>44</v>
      </c>
      <c r="AJ619" s="4">
        <v>7</v>
      </c>
      <c r="AK619" s="4">
        <v>7</v>
      </c>
      <c r="AL619" s="4">
        <v>28</v>
      </c>
      <c r="AM619" s="4">
        <v>28</v>
      </c>
      <c r="AN619" s="4">
        <v>0</v>
      </c>
      <c r="AO619" s="4">
        <v>0</v>
      </c>
      <c r="AP619" s="4">
        <v>7</v>
      </c>
      <c r="AQ619" s="4">
        <v>7</v>
      </c>
      <c r="AR619" s="3" t="s">
        <v>65</v>
      </c>
      <c r="AS619" s="3" t="s">
        <v>65</v>
      </c>
      <c r="AT619" s="3" t="s">
        <v>65</v>
      </c>
      <c r="AV619" s="6" t="str">
        <f>HYPERLINK("http://mcgill.on.worldcat.org/oclc/785335142","Catalog Record")</f>
        <v>Catalog Record</v>
      </c>
      <c r="AW619" s="6" t="str">
        <f>HYPERLINK("http://www.worldcat.org/oclc/785335142","WorldCat Record")</f>
        <v>WorldCat Record</v>
      </c>
      <c r="AX619" s="3" t="s">
        <v>6670</v>
      </c>
      <c r="AY619" s="3" t="s">
        <v>6671</v>
      </c>
      <c r="AZ619" s="3" t="s">
        <v>6672</v>
      </c>
      <c r="BA619" s="3" t="s">
        <v>6672</v>
      </c>
      <c r="BB619" s="3" t="s">
        <v>6673</v>
      </c>
      <c r="BC619" s="3" t="s">
        <v>77</v>
      </c>
      <c r="BD619" s="3" t="s">
        <v>78</v>
      </c>
      <c r="BE619" s="3" t="s">
        <v>6674</v>
      </c>
      <c r="BF619" s="3" t="s">
        <v>6673</v>
      </c>
      <c r="BG619" s="3" t="s">
        <v>6675</v>
      </c>
    </row>
    <row r="620" spans="1:59" ht="58" x14ac:dyDescent="0.35">
      <c r="A620" s="2" t="s">
        <v>59</v>
      </c>
      <c r="B620" s="2" t="s">
        <v>60</v>
      </c>
      <c r="C620" s="2" t="s">
        <v>6676</v>
      </c>
      <c r="D620" s="2" t="s">
        <v>6677</v>
      </c>
      <c r="E620" s="2" t="s">
        <v>6678</v>
      </c>
      <c r="G620" s="3" t="s">
        <v>65</v>
      </c>
      <c r="I620" s="3" t="s">
        <v>65</v>
      </c>
      <c r="J620" s="3" t="s">
        <v>65</v>
      </c>
      <c r="K620" s="3" t="s">
        <v>66</v>
      </c>
      <c r="L620" s="2" t="s">
        <v>6679</v>
      </c>
      <c r="M620" s="2" t="s">
        <v>6680</v>
      </c>
      <c r="N620" s="3" t="s">
        <v>6681</v>
      </c>
      <c r="P620" s="3" t="s">
        <v>140</v>
      </c>
      <c r="R620" s="3" t="s">
        <v>71</v>
      </c>
      <c r="S620" s="4">
        <v>1</v>
      </c>
      <c r="T620" s="4">
        <v>1</v>
      </c>
      <c r="U620" s="5" t="s">
        <v>2940</v>
      </c>
      <c r="V620" s="5" t="s">
        <v>2940</v>
      </c>
      <c r="W620" s="5" t="s">
        <v>72</v>
      </c>
      <c r="X620" s="5" t="s">
        <v>72</v>
      </c>
      <c r="Y620" s="4">
        <v>65</v>
      </c>
      <c r="Z620" s="4">
        <v>3</v>
      </c>
      <c r="AA620" s="4">
        <v>10</v>
      </c>
      <c r="AB620" s="4">
        <v>1</v>
      </c>
      <c r="AC620" s="4">
        <v>1</v>
      </c>
      <c r="AD620" s="4">
        <v>32</v>
      </c>
      <c r="AE620" s="4">
        <v>60</v>
      </c>
      <c r="AF620" s="4">
        <v>0</v>
      </c>
      <c r="AG620" s="4">
        <v>0</v>
      </c>
      <c r="AH620" s="4">
        <v>31</v>
      </c>
      <c r="AI620" s="4">
        <v>56</v>
      </c>
      <c r="AJ620" s="4">
        <v>2</v>
      </c>
      <c r="AK620" s="4">
        <v>7</v>
      </c>
      <c r="AL620" s="4">
        <v>22</v>
      </c>
      <c r="AM620" s="4">
        <v>38</v>
      </c>
      <c r="AN620" s="4">
        <v>0</v>
      </c>
      <c r="AO620" s="4">
        <v>0</v>
      </c>
      <c r="AP620" s="4">
        <v>2</v>
      </c>
      <c r="AQ620" s="4">
        <v>8</v>
      </c>
      <c r="AR620" s="3" t="s">
        <v>65</v>
      </c>
      <c r="AS620" s="3" t="s">
        <v>65</v>
      </c>
      <c r="AT620" s="3" t="s">
        <v>209</v>
      </c>
      <c r="AU620" s="6" t="str">
        <f>HYPERLINK("http://catalog.hathitrust.org/Record/001217998","HathiTrust Record")</f>
        <v>HathiTrust Record</v>
      </c>
      <c r="AV620" s="6" t="str">
        <f>HYPERLINK("http://mcgill.on.worldcat.org/oclc/5033976","Catalog Record")</f>
        <v>Catalog Record</v>
      </c>
      <c r="AW620" s="6" t="str">
        <f>HYPERLINK("http://www.worldcat.org/oclc/5033976","WorldCat Record")</f>
        <v>WorldCat Record</v>
      </c>
      <c r="AX620" s="3" t="s">
        <v>6682</v>
      </c>
      <c r="AY620" s="3" t="s">
        <v>6683</v>
      </c>
      <c r="AZ620" s="3" t="s">
        <v>6684</v>
      </c>
      <c r="BA620" s="3" t="s">
        <v>6684</v>
      </c>
      <c r="BB620" s="3" t="s">
        <v>6685</v>
      </c>
      <c r="BC620" s="3" t="s">
        <v>77</v>
      </c>
      <c r="BD620" s="3" t="s">
        <v>78</v>
      </c>
      <c r="BF620" s="3" t="s">
        <v>6685</v>
      </c>
      <c r="BG620" s="3" t="s">
        <v>6686</v>
      </c>
    </row>
    <row r="621" spans="1:59" ht="58" x14ac:dyDescent="0.35">
      <c r="A621" s="2" t="s">
        <v>59</v>
      </c>
      <c r="B621" s="2" t="s">
        <v>60</v>
      </c>
      <c r="C621" s="2" t="s">
        <v>6687</v>
      </c>
      <c r="D621" s="2" t="s">
        <v>6688</v>
      </c>
      <c r="E621" s="2" t="s">
        <v>6689</v>
      </c>
      <c r="G621" s="3" t="s">
        <v>65</v>
      </c>
      <c r="I621" s="3" t="s">
        <v>65</v>
      </c>
      <c r="J621" s="3" t="s">
        <v>65</v>
      </c>
      <c r="K621" s="3" t="s">
        <v>66</v>
      </c>
      <c r="M621" s="2" t="s">
        <v>6690</v>
      </c>
      <c r="N621" s="3" t="s">
        <v>139</v>
      </c>
      <c r="O621" s="2" t="s">
        <v>526</v>
      </c>
      <c r="P621" s="3" t="s">
        <v>69</v>
      </c>
      <c r="R621" s="3" t="s">
        <v>71</v>
      </c>
      <c r="S621" s="4">
        <v>1</v>
      </c>
      <c r="T621" s="4">
        <v>1</v>
      </c>
      <c r="U621" s="5" t="s">
        <v>6691</v>
      </c>
      <c r="V621" s="5" t="s">
        <v>6691</v>
      </c>
      <c r="W621" s="5" t="s">
        <v>72</v>
      </c>
      <c r="X621" s="5" t="s">
        <v>72</v>
      </c>
      <c r="Y621" s="4">
        <v>335</v>
      </c>
      <c r="Z621" s="4">
        <v>19</v>
      </c>
      <c r="AA621" s="4">
        <v>19</v>
      </c>
      <c r="AB621" s="4">
        <v>2</v>
      </c>
      <c r="AC621" s="4">
        <v>2</v>
      </c>
      <c r="AD621" s="4">
        <v>66</v>
      </c>
      <c r="AE621" s="4">
        <v>66</v>
      </c>
      <c r="AF621" s="4">
        <v>0</v>
      </c>
      <c r="AG621" s="4">
        <v>0</v>
      </c>
      <c r="AH621" s="4">
        <v>62</v>
      </c>
      <c r="AI621" s="4">
        <v>62</v>
      </c>
      <c r="AJ621" s="4">
        <v>10</v>
      </c>
      <c r="AK621" s="4">
        <v>10</v>
      </c>
      <c r="AL621" s="4">
        <v>37</v>
      </c>
      <c r="AM621" s="4">
        <v>37</v>
      </c>
      <c r="AN621" s="4">
        <v>0</v>
      </c>
      <c r="AO621" s="4">
        <v>0</v>
      </c>
      <c r="AP621" s="4">
        <v>11</v>
      </c>
      <c r="AQ621" s="4">
        <v>11</v>
      </c>
      <c r="AR621" s="3" t="s">
        <v>65</v>
      </c>
      <c r="AS621" s="3" t="s">
        <v>65</v>
      </c>
      <c r="AT621" s="3" t="s">
        <v>65</v>
      </c>
      <c r="AV621" s="6" t="str">
        <f>HYPERLINK("http://mcgill.on.worldcat.org/oclc/740628869","Catalog Record")</f>
        <v>Catalog Record</v>
      </c>
      <c r="AW621" s="6" t="str">
        <f>HYPERLINK("http://www.worldcat.org/oclc/740628869","WorldCat Record")</f>
        <v>WorldCat Record</v>
      </c>
      <c r="AX621" s="3" t="s">
        <v>6692</v>
      </c>
      <c r="AY621" s="3" t="s">
        <v>6693</v>
      </c>
      <c r="AZ621" s="3" t="s">
        <v>6694</v>
      </c>
      <c r="BA621" s="3" t="s">
        <v>6694</v>
      </c>
      <c r="BB621" s="3" t="s">
        <v>6695</v>
      </c>
      <c r="BC621" s="3" t="s">
        <v>77</v>
      </c>
      <c r="BD621" s="3" t="s">
        <v>78</v>
      </c>
      <c r="BE621" s="3" t="s">
        <v>6696</v>
      </c>
      <c r="BF621" s="3" t="s">
        <v>6695</v>
      </c>
      <c r="BG621" s="3" t="s">
        <v>6697</v>
      </c>
    </row>
    <row r="622" spans="1:59" ht="87" x14ac:dyDescent="0.35">
      <c r="A622" s="2" t="s">
        <v>59</v>
      </c>
      <c r="B622" s="2" t="s">
        <v>60</v>
      </c>
      <c r="C622" s="2" t="s">
        <v>6698</v>
      </c>
      <c r="D622" s="2" t="s">
        <v>6699</v>
      </c>
      <c r="E622" s="2" t="s">
        <v>6700</v>
      </c>
      <c r="F622" s="3" t="s">
        <v>6701</v>
      </c>
      <c r="G622" s="3" t="s">
        <v>65</v>
      </c>
      <c r="I622" s="3" t="s">
        <v>65</v>
      </c>
      <c r="J622" s="3" t="s">
        <v>65</v>
      </c>
      <c r="K622" s="3" t="s">
        <v>66</v>
      </c>
      <c r="M622" s="2" t="s">
        <v>6702</v>
      </c>
      <c r="N622" s="3" t="s">
        <v>126</v>
      </c>
      <c r="P622" s="3" t="s">
        <v>140</v>
      </c>
      <c r="Q622" s="2" t="s">
        <v>6703</v>
      </c>
      <c r="R622" s="3" t="s">
        <v>71</v>
      </c>
      <c r="S622" s="4">
        <v>0</v>
      </c>
      <c r="T622" s="4">
        <v>0</v>
      </c>
      <c r="W622" s="5" t="s">
        <v>72</v>
      </c>
      <c r="X622" s="5" t="s">
        <v>72</v>
      </c>
      <c r="Y622" s="4">
        <v>13</v>
      </c>
      <c r="Z622" s="4">
        <v>3</v>
      </c>
      <c r="AA622" s="4">
        <v>3</v>
      </c>
      <c r="AB622" s="4">
        <v>1</v>
      </c>
      <c r="AC622" s="4">
        <v>1</v>
      </c>
      <c r="AD622" s="4">
        <v>8</v>
      </c>
      <c r="AE622" s="4">
        <v>8</v>
      </c>
      <c r="AF622" s="4">
        <v>0</v>
      </c>
      <c r="AG622" s="4">
        <v>0</v>
      </c>
      <c r="AH622" s="4">
        <v>7</v>
      </c>
      <c r="AI622" s="4">
        <v>7</v>
      </c>
      <c r="AJ622" s="4">
        <v>1</v>
      </c>
      <c r="AK622" s="4">
        <v>1</v>
      </c>
      <c r="AL622" s="4">
        <v>6</v>
      </c>
      <c r="AM622" s="4">
        <v>6</v>
      </c>
      <c r="AN622" s="4">
        <v>0</v>
      </c>
      <c r="AO622" s="4">
        <v>0</v>
      </c>
      <c r="AP622" s="4">
        <v>1</v>
      </c>
      <c r="AQ622" s="4">
        <v>1</v>
      </c>
      <c r="AR622" s="3" t="s">
        <v>65</v>
      </c>
      <c r="AS622" s="3" t="s">
        <v>65</v>
      </c>
      <c r="AT622" s="3" t="s">
        <v>65</v>
      </c>
      <c r="AV622" s="6" t="str">
        <f>HYPERLINK("http://mcgill.on.worldcat.org/oclc/801440793","Catalog Record")</f>
        <v>Catalog Record</v>
      </c>
      <c r="AW622" s="6" t="str">
        <f>HYPERLINK("http://www.worldcat.org/oclc/801440793","WorldCat Record")</f>
        <v>WorldCat Record</v>
      </c>
      <c r="AX622" s="3" t="s">
        <v>6704</v>
      </c>
      <c r="AY622" s="3" t="s">
        <v>6705</v>
      </c>
      <c r="AZ622" s="3" t="s">
        <v>6706</v>
      </c>
      <c r="BA622" s="3" t="s">
        <v>6706</v>
      </c>
      <c r="BB622" s="3" t="s">
        <v>6707</v>
      </c>
      <c r="BC622" s="3" t="s">
        <v>77</v>
      </c>
      <c r="BD622" s="3" t="s">
        <v>78</v>
      </c>
      <c r="BE622" s="3" t="s">
        <v>6708</v>
      </c>
      <c r="BF622" s="3" t="s">
        <v>6707</v>
      </c>
      <c r="BG622" s="3" t="s">
        <v>6709</v>
      </c>
    </row>
    <row r="623" spans="1:59" ht="58" x14ac:dyDescent="0.35">
      <c r="A623" s="2" t="s">
        <v>59</v>
      </c>
      <c r="B623" s="2" t="s">
        <v>60</v>
      </c>
      <c r="C623" s="2" t="s">
        <v>6710</v>
      </c>
      <c r="D623" s="2" t="s">
        <v>6711</v>
      </c>
      <c r="E623" s="2" t="s">
        <v>6712</v>
      </c>
      <c r="G623" s="3" t="s">
        <v>65</v>
      </c>
      <c r="I623" s="3" t="s">
        <v>65</v>
      </c>
      <c r="J623" s="3" t="s">
        <v>65</v>
      </c>
      <c r="K623" s="3" t="s">
        <v>66</v>
      </c>
      <c r="M623" s="2" t="s">
        <v>6713</v>
      </c>
      <c r="N623" s="3" t="s">
        <v>1122</v>
      </c>
      <c r="P623" s="3" t="s">
        <v>69</v>
      </c>
      <c r="Q623" s="2" t="s">
        <v>6714</v>
      </c>
      <c r="R623" s="3" t="s">
        <v>71</v>
      </c>
      <c r="S623" s="4">
        <v>1</v>
      </c>
      <c r="T623" s="4">
        <v>1</v>
      </c>
      <c r="U623" s="5" t="s">
        <v>982</v>
      </c>
      <c r="V623" s="5" t="s">
        <v>982</v>
      </c>
      <c r="W623" s="5" t="s">
        <v>72</v>
      </c>
      <c r="X623" s="5" t="s">
        <v>72</v>
      </c>
      <c r="Y623" s="4">
        <v>227</v>
      </c>
      <c r="Z623" s="4">
        <v>15</v>
      </c>
      <c r="AA623" s="4">
        <v>15</v>
      </c>
      <c r="AB623" s="4">
        <v>1</v>
      </c>
      <c r="AC623" s="4">
        <v>1</v>
      </c>
      <c r="AD623" s="4">
        <v>81</v>
      </c>
      <c r="AE623" s="4">
        <v>81</v>
      </c>
      <c r="AF623" s="4">
        <v>0</v>
      </c>
      <c r="AG623" s="4">
        <v>0</v>
      </c>
      <c r="AH623" s="4">
        <v>71</v>
      </c>
      <c r="AI623" s="4">
        <v>71</v>
      </c>
      <c r="AJ623" s="4">
        <v>10</v>
      </c>
      <c r="AK623" s="4">
        <v>10</v>
      </c>
      <c r="AL623" s="4">
        <v>45</v>
      </c>
      <c r="AM623" s="4">
        <v>45</v>
      </c>
      <c r="AN623" s="4">
        <v>0</v>
      </c>
      <c r="AO623" s="4">
        <v>0</v>
      </c>
      <c r="AP623" s="4">
        <v>12</v>
      </c>
      <c r="AQ623" s="4">
        <v>12</v>
      </c>
      <c r="AR623" s="3" t="s">
        <v>65</v>
      </c>
      <c r="AS623" s="3" t="s">
        <v>65</v>
      </c>
      <c r="AT623" s="3" t="s">
        <v>65</v>
      </c>
      <c r="AV623" s="6" t="str">
        <f>HYPERLINK("http://mcgill.on.worldcat.org/oclc/234380333","Catalog Record")</f>
        <v>Catalog Record</v>
      </c>
      <c r="AW623" s="6" t="str">
        <f>HYPERLINK("http://www.worldcat.org/oclc/234380333","WorldCat Record")</f>
        <v>WorldCat Record</v>
      </c>
      <c r="AX623" s="3" t="s">
        <v>6715</v>
      </c>
      <c r="AY623" s="3" t="s">
        <v>6716</v>
      </c>
      <c r="AZ623" s="3" t="s">
        <v>6717</v>
      </c>
      <c r="BA623" s="3" t="s">
        <v>6717</v>
      </c>
      <c r="BB623" s="3" t="s">
        <v>6718</v>
      </c>
      <c r="BC623" s="3" t="s">
        <v>77</v>
      </c>
      <c r="BD623" s="3" t="s">
        <v>78</v>
      </c>
      <c r="BE623" s="3" t="s">
        <v>6719</v>
      </c>
      <c r="BF623" s="3" t="s">
        <v>6718</v>
      </c>
      <c r="BG623" s="3" t="s">
        <v>6720</v>
      </c>
    </row>
    <row r="624" spans="1:59" ht="58" x14ac:dyDescent="0.35">
      <c r="A624" s="2" t="s">
        <v>59</v>
      </c>
      <c r="B624" s="2" t="s">
        <v>60</v>
      </c>
      <c r="C624" s="2" t="s">
        <v>6721</v>
      </c>
      <c r="D624" s="2" t="s">
        <v>6722</v>
      </c>
      <c r="E624" s="2" t="s">
        <v>6723</v>
      </c>
      <c r="F624" s="3" t="s">
        <v>6724</v>
      </c>
      <c r="G624" s="3" t="s">
        <v>209</v>
      </c>
      <c r="I624" s="3" t="s">
        <v>65</v>
      </c>
      <c r="J624" s="3" t="s">
        <v>65</v>
      </c>
      <c r="K624" s="3" t="s">
        <v>66</v>
      </c>
      <c r="M624" s="2" t="s">
        <v>6725</v>
      </c>
      <c r="N624" s="3" t="s">
        <v>2750</v>
      </c>
      <c r="P624" s="3" t="s">
        <v>140</v>
      </c>
      <c r="Q624" s="2" t="s">
        <v>6726</v>
      </c>
      <c r="R624" s="3" t="s">
        <v>71</v>
      </c>
      <c r="S624" s="4">
        <v>0</v>
      </c>
      <c r="T624" s="4">
        <v>1</v>
      </c>
      <c r="V624" s="5" t="s">
        <v>6727</v>
      </c>
      <c r="W624" s="5" t="s">
        <v>72</v>
      </c>
      <c r="X624" s="5" t="s">
        <v>72</v>
      </c>
      <c r="Y624" s="4">
        <v>143</v>
      </c>
      <c r="Z624" s="4">
        <v>15</v>
      </c>
      <c r="AA624" s="4">
        <v>15</v>
      </c>
      <c r="AB624" s="4">
        <v>2</v>
      </c>
      <c r="AC624" s="4">
        <v>2</v>
      </c>
      <c r="AD624" s="4">
        <v>77</v>
      </c>
      <c r="AE624" s="4">
        <v>77</v>
      </c>
      <c r="AF624" s="4">
        <v>1</v>
      </c>
      <c r="AG624" s="4">
        <v>1</v>
      </c>
      <c r="AH624" s="4">
        <v>71</v>
      </c>
      <c r="AI624" s="4">
        <v>71</v>
      </c>
      <c r="AJ624" s="4">
        <v>10</v>
      </c>
      <c r="AK624" s="4">
        <v>10</v>
      </c>
      <c r="AL624" s="4">
        <v>47</v>
      </c>
      <c r="AM624" s="4">
        <v>47</v>
      </c>
      <c r="AN624" s="4">
        <v>0</v>
      </c>
      <c r="AO624" s="4">
        <v>0</v>
      </c>
      <c r="AP624" s="4">
        <v>9</v>
      </c>
      <c r="AQ624" s="4">
        <v>9</v>
      </c>
      <c r="AR624" s="3" t="s">
        <v>65</v>
      </c>
      <c r="AS624" s="3" t="s">
        <v>65</v>
      </c>
      <c r="AT624" s="3" t="s">
        <v>209</v>
      </c>
      <c r="AU624" s="6" t="str">
        <f t="shared" ref="AU624:AU635" si="8">HYPERLINK("http://catalog.hathitrust.org/Record/002571405","HathiTrust Record")</f>
        <v>HathiTrust Record</v>
      </c>
      <c r="AV624" s="6" t="str">
        <f t="shared" ref="AV624:AV635" si="9">HYPERLINK("http://mcgill.on.worldcat.org/oclc/2036978","Catalog Record")</f>
        <v>Catalog Record</v>
      </c>
      <c r="AW624" s="6" t="str">
        <f t="shared" ref="AW624:AW635" si="10">HYPERLINK("http://www.worldcat.org/oclc/2036978","WorldCat Record")</f>
        <v>WorldCat Record</v>
      </c>
      <c r="AX624" s="3" t="s">
        <v>6728</v>
      </c>
      <c r="AY624" s="3" t="s">
        <v>6729</v>
      </c>
      <c r="AZ624" s="3" t="s">
        <v>6730</v>
      </c>
      <c r="BA624" s="3" t="s">
        <v>6730</v>
      </c>
      <c r="BB624" s="3" t="s">
        <v>6731</v>
      </c>
      <c r="BC624" s="3" t="s">
        <v>77</v>
      </c>
      <c r="BD624" s="3" t="s">
        <v>78</v>
      </c>
      <c r="BF624" s="3" t="s">
        <v>6731</v>
      </c>
      <c r="BG624" s="3" t="s">
        <v>6732</v>
      </c>
    </row>
    <row r="625" spans="1:59" ht="58" x14ac:dyDescent="0.35">
      <c r="A625" s="2" t="s">
        <v>59</v>
      </c>
      <c r="B625" s="2" t="s">
        <v>60</v>
      </c>
      <c r="C625" s="2" t="s">
        <v>6721</v>
      </c>
      <c r="D625" s="2" t="s">
        <v>6722</v>
      </c>
      <c r="E625" s="2" t="s">
        <v>6723</v>
      </c>
      <c r="F625" s="3" t="s">
        <v>6733</v>
      </c>
      <c r="G625" s="3" t="s">
        <v>209</v>
      </c>
      <c r="I625" s="3" t="s">
        <v>65</v>
      </c>
      <c r="J625" s="3" t="s">
        <v>65</v>
      </c>
      <c r="K625" s="3" t="s">
        <v>66</v>
      </c>
      <c r="M625" s="2" t="s">
        <v>6725</v>
      </c>
      <c r="N625" s="3" t="s">
        <v>2750</v>
      </c>
      <c r="P625" s="3" t="s">
        <v>140</v>
      </c>
      <c r="Q625" s="2" t="s">
        <v>6726</v>
      </c>
      <c r="R625" s="3" t="s">
        <v>71</v>
      </c>
      <c r="S625" s="4">
        <v>0</v>
      </c>
      <c r="T625" s="4">
        <v>1</v>
      </c>
      <c r="V625" s="5" t="s">
        <v>6727</v>
      </c>
      <c r="W625" s="5" t="s">
        <v>72</v>
      </c>
      <c r="X625" s="5" t="s">
        <v>72</v>
      </c>
      <c r="Y625" s="4">
        <v>143</v>
      </c>
      <c r="Z625" s="4">
        <v>15</v>
      </c>
      <c r="AA625" s="4">
        <v>15</v>
      </c>
      <c r="AB625" s="4">
        <v>2</v>
      </c>
      <c r="AC625" s="4">
        <v>2</v>
      </c>
      <c r="AD625" s="4">
        <v>77</v>
      </c>
      <c r="AE625" s="4">
        <v>77</v>
      </c>
      <c r="AF625" s="4">
        <v>1</v>
      </c>
      <c r="AG625" s="4">
        <v>1</v>
      </c>
      <c r="AH625" s="4">
        <v>71</v>
      </c>
      <c r="AI625" s="4">
        <v>71</v>
      </c>
      <c r="AJ625" s="4">
        <v>10</v>
      </c>
      <c r="AK625" s="4">
        <v>10</v>
      </c>
      <c r="AL625" s="4">
        <v>47</v>
      </c>
      <c r="AM625" s="4">
        <v>47</v>
      </c>
      <c r="AN625" s="4">
        <v>0</v>
      </c>
      <c r="AO625" s="4">
        <v>0</v>
      </c>
      <c r="AP625" s="4">
        <v>9</v>
      </c>
      <c r="AQ625" s="4">
        <v>9</v>
      </c>
      <c r="AR625" s="3" t="s">
        <v>65</v>
      </c>
      <c r="AS625" s="3" t="s">
        <v>65</v>
      </c>
      <c r="AT625" s="3" t="s">
        <v>209</v>
      </c>
      <c r="AU625" s="6" t="str">
        <f t="shared" si="8"/>
        <v>HathiTrust Record</v>
      </c>
      <c r="AV625" s="6" t="str">
        <f t="shared" si="9"/>
        <v>Catalog Record</v>
      </c>
      <c r="AW625" s="6" t="str">
        <f t="shared" si="10"/>
        <v>WorldCat Record</v>
      </c>
      <c r="AX625" s="3" t="s">
        <v>6728</v>
      </c>
      <c r="AY625" s="3" t="s">
        <v>6729</v>
      </c>
      <c r="AZ625" s="3" t="s">
        <v>6730</v>
      </c>
      <c r="BA625" s="3" t="s">
        <v>6730</v>
      </c>
      <c r="BB625" s="3" t="s">
        <v>6734</v>
      </c>
      <c r="BC625" s="3" t="s">
        <v>77</v>
      </c>
      <c r="BD625" s="3" t="s">
        <v>78</v>
      </c>
      <c r="BF625" s="3" t="s">
        <v>6734</v>
      </c>
      <c r="BG625" s="3" t="s">
        <v>6735</v>
      </c>
    </row>
    <row r="626" spans="1:59" ht="58" x14ac:dyDescent="0.35">
      <c r="A626" s="2" t="s">
        <v>59</v>
      </c>
      <c r="B626" s="2" t="s">
        <v>60</v>
      </c>
      <c r="C626" s="2" t="s">
        <v>6721</v>
      </c>
      <c r="D626" s="2" t="s">
        <v>6722</v>
      </c>
      <c r="E626" s="2" t="s">
        <v>6723</v>
      </c>
      <c r="F626" s="3" t="s">
        <v>6736</v>
      </c>
      <c r="G626" s="3" t="s">
        <v>209</v>
      </c>
      <c r="I626" s="3" t="s">
        <v>65</v>
      </c>
      <c r="J626" s="3" t="s">
        <v>65</v>
      </c>
      <c r="K626" s="3" t="s">
        <v>66</v>
      </c>
      <c r="M626" s="2" t="s">
        <v>6725</v>
      </c>
      <c r="N626" s="3" t="s">
        <v>2750</v>
      </c>
      <c r="P626" s="3" t="s">
        <v>140</v>
      </c>
      <c r="Q626" s="2" t="s">
        <v>6726</v>
      </c>
      <c r="R626" s="3" t="s">
        <v>71</v>
      </c>
      <c r="S626" s="4">
        <v>0</v>
      </c>
      <c r="T626" s="4">
        <v>1</v>
      </c>
      <c r="V626" s="5" t="s">
        <v>6727</v>
      </c>
      <c r="W626" s="5" t="s">
        <v>72</v>
      </c>
      <c r="X626" s="5" t="s">
        <v>72</v>
      </c>
      <c r="Y626" s="4">
        <v>143</v>
      </c>
      <c r="Z626" s="4">
        <v>15</v>
      </c>
      <c r="AA626" s="4">
        <v>15</v>
      </c>
      <c r="AB626" s="4">
        <v>2</v>
      </c>
      <c r="AC626" s="4">
        <v>2</v>
      </c>
      <c r="AD626" s="4">
        <v>77</v>
      </c>
      <c r="AE626" s="4">
        <v>77</v>
      </c>
      <c r="AF626" s="4">
        <v>1</v>
      </c>
      <c r="AG626" s="4">
        <v>1</v>
      </c>
      <c r="AH626" s="4">
        <v>71</v>
      </c>
      <c r="AI626" s="4">
        <v>71</v>
      </c>
      <c r="AJ626" s="4">
        <v>10</v>
      </c>
      <c r="AK626" s="4">
        <v>10</v>
      </c>
      <c r="AL626" s="4">
        <v>47</v>
      </c>
      <c r="AM626" s="4">
        <v>47</v>
      </c>
      <c r="AN626" s="4">
        <v>0</v>
      </c>
      <c r="AO626" s="4">
        <v>0</v>
      </c>
      <c r="AP626" s="4">
        <v>9</v>
      </c>
      <c r="AQ626" s="4">
        <v>9</v>
      </c>
      <c r="AR626" s="3" t="s">
        <v>65</v>
      </c>
      <c r="AS626" s="3" t="s">
        <v>65</v>
      </c>
      <c r="AT626" s="3" t="s">
        <v>209</v>
      </c>
      <c r="AU626" s="6" t="str">
        <f t="shared" si="8"/>
        <v>HathiTrust Record</v>
      </c>
      <c r="AV626" s="6" t="str">
        <f t="shared" si="9"/>
        <v>Catalog Record</v>
      </c>
      <c r="AW626" s="6" t="str">
        <f t="shared" si="10"/>
        <v>WorldCat Record</v>
      </c>
      <c r="AX626" s="3" t="s">
        <v>6728</v>
      </c>
      <c r="AY626" s="3" t="s">
        <v>6729</v>
      </c>
      <c r="AZ626" s="3" t="s">
        <v>6730</v>
      </c>
      <c r="BA626" s="3" t="s">
        <v>6730</v>
      </c>
      <c r="BB626" s="3" t="s">
        <v>6737</v>
      </c>
      <c r="BC626" s="3" t="s">
        <v>77</v>
      </c>
      <c r="BD626" s="3" t="s">
        <v>78</v>
      </c>
      <c r="BF626" s="3" t="s">
        <v>6737</v>
      </c>
      <c r="BG626" s="3" t="s">
        <v>6738</v>
      </c>
    </row>
    <row r="627" spans="1:59" ht="58" x14ac:dyDescent="0.35">
      <c r="A627" s="2" t="s">
        <v>59</v>
      </c>
      <c r="B627" s="2" t="s">
        <v>60</v>
      </c>
      <c r="C627" s="2" t="s">
        <v>6721</v>
      </c>
      <c r="D627" s="2" t="s">
        <v>6722</v>
      </c>
      <c r="E627" s="2" t="s">
        <v>6723</v>
      </c>
      <c r="F627" s="3" t="s">
        <v>6739</v>
      </c>
      <c r="G627" s="3" t="s">
        <v>209</v>
      </c>
      <c r="I627" s="3" t="s">
        <v>65</v>
      </c>
      <c r="J627" s="3" t="s">
        <v>65</v>
      </c>
      <c r="K627" s="3" t="s">
        <v>66</v>
      </c>
      <c r="M627" s="2" t="s">
        <v>6725</v>
      </c>
      <c r="N627" s="3" t="s">
        <v>2750</v>
      </c>
      <c r="P627" s="3" t="s">
        <v>140</v>
      </c>
      <c r="Q627" s="2" t="s">
        <v>6726</v>
      </c>
      <c r="R627" s="3" t="s">
        <v>71</v>
      </c>
      <c r="S627" s="4">
        <v>0</v>
      </c>
      <c r="T627" s="4">
        <v>1</v>
      </c>
      <c r="V627" s="5" t="s">
        <v>6727</v>
      </c>
      <c r="W627" s="5" t="s">
        <v>72</v>
      </c>
      <c r="X627" s="5" t="s">
        <v>72</v>
      </c>
      <c r="Y627" s="4">
        <v>143</v>
      </c>
      <c r="Z627" s="4">
        <v>15</v>
      </c>
      <c r="AA627" s="4">
        <v>15</v>
      </c>
      <c r="AB627" s="4">
        <v>2</v>
      </c>
      <c r="AC627" s="4">
        <v>2</v>
      </c>
      <c r="AD627" s="4">
        <v>77</v>
      </c>
      <c r="AE627" s="4">
        <v>77</v>
      </c>
      <c r="AF627" s="4">
        <v>1</v>
      </c>
      <c r="AG627" s="4">
        <v>1</v>
      </c>
      <c r="AH627" s="4">
        <v>71</v>
      </c>
      <c r="AI627" s="4">
        <v>71</v>
      </c>
      <c r="AJ627" s="4">
        <v>10</v>
      </c>
      <c r="AK627" s="4">
        <v>10</v>
      </c>
      <c r="AL627" s="4">
        <v>47</v>
      </c>
      <c r="AM627" s="4">
        <v>47</v>
      </c>
      <c r="AN627" s="4">
        <v>0</v>
      </c>
      <c r="AO627" s="4">
        <v>0</v>
      </c>
      <c r="AP627" s="4">
        <v>9</v>
      </c>
      <c r="AQ627" s="4">
        <v>9</v>
      </c>
      <c r="AR627" s="3" t="s">
        <v>65</v>
      </c>
      <c r="AS627" s="3" t="s">
        <v>65</v>
      </c>
      <c r="AT627" s="3" t="s">
        <v>209</v>
      </c>
      <c r="AU627" s="6" t="str">
        <f t="shared" si="8"/>
        <v>HathiTrust Record</v>
      </c>
      <c r="AV627" s="6" t="str">
        <f t="shared" si="9"/>
        <v>Catalog Record</v>
      </c>
      <c r="AW627" s="6" t="str">
        <f t="shared" si="10"/>
        <v>WorldCat Record</v>
      </c>
      <c r="AX627" s="3" t="s">
        <v>6728</v>
      </c>
      <c r="AY627" s="3" t="s">
        <v>6729</v>
      </c>
      <c r="AZ627" s="3" t="s">
        <v>6730</v>
      </c>
      <c r="BA627" s="3" t="s">
        <v>6730</v>
      </c>
      <c r="BB627" s="3" t="s">
        <v>6740</v>
      </c>
      <c r="BC627" s="3" t="s">
        <v>77</v>
      </c>
      <c r="BD627" s="3" t="s">
        <v>78</v>
      </c>
      <c r="BF627" s="3" t="s">
        <v>6740</v>
      </c>
      <c r="BG627" s="3" t="s">
        <v>6741</v>
      </c>
    </row>
    <row r="628" spans="1:59" ht="58" x14ac:dyDescent="0.35">
      <c r="A628" s="2" t="s">
        <v>59</v>
      </c>
      <c r="B628" s="2" t="s">
        <v>60</v>
      </c>
      <c r="C628" s="2" t="s">
        <v>6721</v>
      </c>
      <c r="D628" s="2" t="s">
        <v>6722</v>
      </c>
      <c r="E628" s="2" t="s">
        <v>6723</v>
      </c>
      <c r="F628" s="3" t="s">
        <v>6742</v>
      </c>
      <c r="G628" s="3" t="s">
        <v>209</v>
      </c>
      <c r="I628" s="3" t="s">
        <v>65</v>
      </c>
      <c r="J628" s="3" t="s">
        <v>65</v>
      </c>
      <c r="K628" s="3" t="s">
        <v>66</v>
      </c>
      <c r="M628" s="2" t="s">
        <v>6725</v>
      </c>
      <c r="N628" s="3" t="s">
        <v>2750</v>
      </c>
      <c r="P628" s="3" t="s">
        <v>140</v>
      </c>
      <c r="Q628" s="2" t="s">
        <v>6726</v>
      </c>
      <c r="R628" s="3" t="s">
        <v>71</v>
      </c>
      <c r="S628" s="4">
        <v>0</v>
      </c>
      <c r="T628" s="4">
        <v>1</v>
      </c>
      <c r="V628" s="5" t="s">
        <v>6727</v>
      </c>
      <c r="W628" s="5" t="s">
        <v>72</v>
      </c>
      <c r="X628" s="5" t="s">
        <v>72</v>
      </c>
      <c r="Y628" s="4">
        <v>143</v>
      </c>
      <c r="Z628" s="4">
        <v>15</v>
      </c>
      <c r="AA628" s="4">
        <v>15</v>
      </c>
      <c r="AB628" s="4">
        <v>2</v>
      </c>
      <c r="AC628" s="4">
        <v>2</v>
      </c>
      <c r="AD628" s="4">
        <v>77</v>
      </c>
      <c r="AE628" s="4">
        <v>77</v>
      </c>
      <c r="AF628" s="4">
        <v>1</v>
      </c>
      <c r="AG628" s="4">
        <v>1</v>
      </c>
      <c r="AH628" s="4">
        <v>71</v>
      </c>
      <c r="AI628" s="4">
        <v>71</v>
      </c>
      <c r="AJ628" s="4">
        <v>10</v>
      </c>
      <c r="AK628" s="4">
        <v>10</v>
      </c>
      <c r="AL628" s="4">
        <v>47</v>
      </c>
      <c r="AM628" s="4">
        <v>47</v>
      </c>
      <c r="AN628" s="4">
        <v>0</v>
      </c>
      <c r="AO628" s="4">
        <v>0</v>
      </c>
      <c r="AP628" s="4">
        <v>9</v>
      </c>
      <c r="AQ628" s="4">
        <v>9</v>
      </c>
      <c r="AR628" s="3" t="s">
        <v>65</v>
      </c>
      <c r="AS628" s="3" t="s">
        <v>65</v>
      </c>
      <c r="AT628" s="3" t="s">
        <v>209</v>
      </c>
      <c r="AU628" s="6" t="str">
        <f t="shared" si="8"/>
        <v>HathiTrust Record</v>
      </c>
      <c r="AV628" s="6" t="str">
        <f t="shared" si="9"/>
        <v>Catalog Record</v>
      </c>
      <c r="AW628" s="6" t="str">
        <f t="shared" si="10"/>
        <v>WorldCat Record</v>
      </c>
      <c r="AX628" s="3" t="s">
        <v>6728</v>
      </c>
      <c r="AY628" s="3" t="s">
        <v>6729</v>
      </c>
      <c r="AZ628" s="3" t="s">
        <v>6730</v>
      </c>
      <c r="BA628" s="3" t="s">
        <v>6730</v>
      </c>
      <c r="BB628" s="3" t="s">
        <v>6743</v>
      </c>
      <c r="BC628" s="3" t="s">
        <v>77</v>
      </c>
      <c r="BD628" s="3" t="s">
        <v>78</v>
      </c>
      <c r="BF628" s="3" t="s">
        <v>6743</v>
      </c>
      <c r="BG628" s="3" t="s">
        <v>6744</v>
      </c>
    </row>
    <row r="629" spans="1:59" ht="58" x14ac:dyDescent="0.35">
      <c r="A629" s="2" t="s">
        <v>59</v>
      </c>
      <c r="B629" s="2" t="s">
        <v>60</v>
      </c>
      <c r="C629" s="2" t="s">
        <v>6721</v>
      </c>
      <c r="D629" s="2" t="s">
        <v>6722</v>
      </c>
      <c r="E629" s="2" t="s">
        <v>6723</v>
      </c>
      <c r="F629" s="3" t="s">
        <v>6745</v>
      </c>
      <c r="G629" s="3" t="s">
        <v>209</v>
      </c>
      <c r="I629" s="3" t="s">
        <v>65</v>
      </c>
      <c r="J629" s="3" t="s">
        <v>65</v>
      </c>
      <c r="K629" s="3" t="s">
        <v>66</v>
      </c>
      <c r="M629" s="2" t="s">
        <v>6725</v>
      </c>
      <c r="N629" s="3" t="s">
        <v>2750</v>
      </c>
      <c r="P629" s="3" t="s">
        <v>140</v>
      </c>
      <c r="Q629" s="2" t="s">
        <v>6726</v>
      </c>
      <c r="R629" s="3" t="s">
        <v>71</v>
      </c>
      <c r="S629" s="4">
        <v>0</v>
      </c>
      <c r="T629" s="4">
        <v>1</v>
      </c>
      <c r="V629" s="5" t="s">
        <v>6727</v>
      </c>
      <c r="W629" s="5" t="s">
        <v>72</v>
      </c>
      <c r="X629" s="5" t="s">
        <v>72</v>
      </c>
      <c r="Y629" s="4">
        <v>143</v>
      </c>
      <c r="Z629" s="4">
        <v>15</v>
      </c>
      <c r="AA629" s="4">
        <v>15</v>
      </c>
      <c r="AB629" s="4">
        <v>2</v>
      </c>
      <c r="AC629" s="4">
        <v>2</v>
      </c>
      <c r="AD629" s="4">
        <v>77</v>
      </c>
      <c r="AE629" s="4">
        <v>77</v>
      </c>
      <c r="AF629" s="4">
        <v>1</v>
      </c>
      <c r="AG629" s="4">
        <v>1</v>
      </c>
      <c r="AH629" s="4">
        <v>71</v>
      </c>
      <c r="AI629" s="4">
        <v>71</v>
      </c>
      <c r="AJ629" s="4">
        <v>10</v>
      </c>
      <c r="AK629" s="4">
        <v>10</v>
      </c>
      <c r="AL629" s="4">
        <v>47</v>
      </c>
      <c r="AM629" s="4">
        <v>47</v>
      </c>
      <c r="AN629" s="4">
        <v>0</v>
      </c>
      <c r="AO629" s="4">
        <v>0</v>
      </c>
      <c r="AP629" s="4">
        <v>9</v>
      </c>
      <c r="AQ629" s="4">
        <v>9</v>
      </c>
      <c r="AR629" s="3" t="s">
        <v>65</v>
      </c>
      <c r="AS629" s="3" t="s">
        <v>65</v>
      </c>
      <c r="AT629" s="3" t="s">
        <v>209</v>
      </c>
      <c r="AU629" s="6" t="str">
        <f t="shared" si="8"/>
        <v>HathiTrust Record</v>
      </c>
      <c r="AV629" s="6" t="str">
        <f t="shared" si="9"/>
        <v>Catalog Record</v>
      </c>
      <c r="AW629" s="6" t="str">
        <f t="shared" si="10"/>
        <v>WorldCat Record</v>
      </c>
      <c r="AX629" s="3" t="s">
        <v>6728</v>
      </c>
      <c r="AY629" s="3" t="s">
        <v>6729</v>
      </c>
      <c r="AZ629" s="3" t="s">
        <v>6730</v>
      </c>
      <c r="BA629" s="3" t="s">
        <v>6730</v>
      </c>
      <c r="BB629" s="3" t="s">
        <v>6746</v>
      </c>
      <c r="BC629" s="3" t="s">
        <v>77</v>
      </c>
      <c r="BD629" s="3" t="s">
        <v>78</v>
      </c>
      <c r="BF629" s="3" t="s">
        <v>6746</v>
      </c>
      <c r="BG629" s="3" t="s">
        <v>6747</v>
      </c>
    </row>
    <row r="630" spans="1:59" ht="58" x14ac:dyDescent="0.35">
      <c r="A630" s="2" t="s">
        <v>59</v>
      </c>
      <c r="B630" s="2" t="s">
        <v>60</v>
      </c>
      <c r="C630" s="2" t="s">
        <v>6721</v>
      </c>
      <c r="D630" s="2" t="s">
        <v>6722</v>
      </c>
      <c r="E630" s="2" t="s">
        <v>6723</v>
      </c>
      <c r="F630" s="3" t="s">
        <v>6748</v>
      </c>
      <c r="G630" s="3" t="s">
        <v>209</v>
      </c>
      <c r="I630" s="3" t="s">
        <v>65</v>
      </c>
      <c r="J630" s="3" t="s">
        <v>65</v>
      </c>
      <c r="K630" s="3" t="s">
        <v>66</v>
      </c>
      <c r="M630" s="2" t="s">
        <v>6725</v>
      </c>
      <c r="N630" s="3" t="s">
        <v>2750</v>
      </c>
      <c r="P630" s="3" t="s">
        <v>140</v>
      </c>
      <c r="Q630" s="2" t="s">
        <v>6726</v>
      </c>
      <c r="R630" s="3" t="s">
        <v>71</v>
      </c>
      <c r="S630" s="4">
        <v>0</v>
      </c>
      <c r="T630" s="4">
        <v>1</v>
      </c>
      <c r="V630" s="5" t="s">
        <v>6727</v>
      </c>
      <c r="W630" s="5" t="s">
        <v>72</v>
      </c>
      <c r="X630" s="5" t="s">
        <v>72</v>
      </c>
      <c r="Y630" s="4">
        <v>143</v>
      </c>
      <c r="Z630" s="4">
        <v>15</v>
      </c>
      <c r="AA630" s="4">
        <v>15</v>
      </c>
      <c r="AB630" s="4">
        <v>2</v>
      </c>
      <c r="AC630" s="4">
        <v>2</v>
      </c>
      <c r="AD630" s="4">
        <v>77</v>
      </c>
      <c r="AE630" s="4">
        <v>77</v>
      </c>
      <c r="AF630" s="4">
        <v>1</v>
      </c>
      <c r="AG630" s="4">
        <v>1</v>
      </c>
      <c r="AH630" s="4">
        <v>71</v>
      </c>
      <c r="AI630" s="4">
        <v>71</v>
      </c>
      <c r="AJ630" s="4">
        <v>10</v>
      </c>
      <c r="AK630" s="4">
        <v>10</v>
      </c>
      <c r="AL630" s="4">
        <v>47</v>
      </c>
      <c r="AM630" s="4">
        <v>47</v>
      </c>
      <c r="AN630" s="4">
        <v>0</v>
      </c>
      <c r="AO630" s="4">
        <v>0</v>
      </c>
      <c r="AP630" s="4">
        <v>9</v>
      </c>
      <c r="AQ630" s="4">
        <v>9</v>
      </c>
      <c r="AR630" s="3" t="s">
        <v>65</v>
      </c>
      <c r="AS630" s="3" t="s">
        <v>65</v>
      </c>
      <c r="AT630" s="3" t="s">
        <v>209</v>
      </c>
      <c r="AU630" s="6" t="str">
        <f t="shared" si="8"/>
        <v>HathiTrust Record</v>
      </c>
      <c r="AV630" s="6" t="str">
        <f t="shared" si="9"/>
        <v>Catalog Record</v>
      </c>
      <c r="AW630" s="6" t="str">
        <f t="shared" si="10"/>
        <v>WorldCat Record</v>
      </c>
      <c r="AX630" s="3" t="s">
        <v>6728</v>
      </c>
      <c r="AY630" s="3" t="s">
        <v>6729</v>
      </c>
      <c r="AZ630" s="3" t="s">
        <v>6730</v>
      </c>
      <c r="BA630" s="3" t="s">
        <v>6730</v>
      </c>
      <c r="BB630" s="3" t="s">
        <v>6749</v>
      </c>
      <c r="BC630" s="3" t="s">
        <v>77</v>
      </c>
      <c r="BD630" s="3" t="s">
        <v>78</v>
      </c>
      <c r="BF630" s="3" t="s">
        <v>6749</v>
      </c>
      <c r="BG630" s="3" t="s">
        <v>6750</v>
      </c>
    </row>
    <row r="631" spans="1:59" ht="58" x14ac:dyDescent="0.35">
      <c r="A631" s="2" t="s">
        <v>59</v>
      </c>
      <c r="B631" s="2" t="s">
        <v>60</v>
      </c>
      <c r="C631" s="2" t="s">
        <v>6721</v>
      </c>
      <c r="D631" s="2" t="s">
        <v>6722</v>
      </c>
      <c r="E631" s="2" t="s">
        <v>6723</v>
      </c>
      <c r="F631" s="3" t="s">
        <v>6751</v>
      </c>
      <c r="G631" s="3" t="s">
        <v>209</v>
      </c>
      <c r="I631" s="3" t="s">
        <v>65</v>
      </c>
      <c r="J631" s="3" t="s">
        <v>65</v>
      </c>
      <c r="K631" s="3" t="s">
        <v>66</v>
      </c>
      <c r="M631" s="2" t="s">
        <v>6725</v>
      </c>
      <c r="N631" s="3" t="s">
        <v>2750</v>
      </c>
      <c r="P631" s="3" t="s">
        <v>140</v>
      </c>
      <c r="Q631" s="2" t="s">
        <v>6726</v>
      </c>
      <c r="R631" s="3" t="s">
        <v>71</v>
      </c>
      <c r="S631" s="4">
        <v>0</v>
      </c>
      <c r="T631" s="4">
        <v>1</v>
      </c>
      <c r="V631" s="5" t="s">
        <v>6727</v>
      </c>
      <c r="W631" s="5" t="s">
        <v>72</v>
      </c>
      <c r="X631" s="5" t="s">
        <v>72</v>
      </c>
      <c r="Y631" s="4">
        <v>143</v>
      </c>
      <c r="Z631" s="4">
        <v>15</v>
      </c>
      <c r="AA631" s="4">
        <v>15</v>
      </c>
      <c r="AB631" s="4">
        <v>2</v>
      </c>
      <c r="AC631" s="4">
        <v>2</v>
      </c>
      <c r="AD631" s="4">
        <v>77</v>
      </c>
      <c r="AE631" s="4">
        <v>77</v>
      </c>
      <c r="AF631" s="4">
        <v>1</v>
      </c>
      <c r="AG631" s="4">
        <v>1</v>
      </c>
      <c r="AH631" s="4">
        <v>71</v>
      </c>
      <c r="AI631" s="4">
        <v>71</v>
      </c>
      <c r="AJ631" s="4">
        <v>10</v>
      </c>
      <c r="AK631" s="4">
        <v>10</v>
      </c>
      <c r="AL631" s="4">
        <v>47</v>
      </c>
      <c r="AM631" s="4">
        <v>47</v>
      </c>
      <c r="AN631" s="4">
        <v>0</v>
      </c>
      <c r="AO631" s="4">
        <v>0</v>
      </c>
      <c r="AP631" s="4">
        <v>9</v>
      </c>
      <c r="AQ631" s="4">
        <v>9</v>
      </c>
      <c r="AR631" s="3" t="s">
        <v>65</v>
      </c>
      <c r="AS631" s="3" t="s">
        <v>65</v>
      </c>
      <c r="AT631" s="3" t="s">
        <v>209</v>
      </c>
      <c r="AU631" s="6" t="str">
        <f t="shared" si="8"/>
        <v>HathiTrust Record</v>
      </c>
      <c r="AV631" s="6" t="str">
        <f t="shared" si="9"/>
        <v>Catalog Record</v>
      </c>
      <c r="AW631" s="6" t="str">
        <f t="shared" si="10"/>
        <v>WorldCat Record</v>
      </c>
      <c r="AX631" s="3" t="s">
        <v>6728</v>
      </c>
      <c r="AY631" s="3" t="s">
        <v>6729</v>
      </c>
      <c r="AZ631" s="3" t="s">
        <v>6730</v>
      </c>
      <c r="BA631" s="3" t="s">
        <v>6730</v>
      </c>
      <c r="BB631" s="3" t="s">
        <v>6752</v>
      </c>
      <c r="BC631" s="3" t="s">
        <v>77</v>
      </c>
      <c r="BD631" s="3" t="s">
        <v>78</v>
      </c>
      <c r="BF631" s="3" t="s">
        <v>6752</v>
      </c>
      <c r="BG631" s="3" t="s">
        <v>6753</v>
      </c>
    </row>
    <row r="632" spans="1:59" ht="58" x14ac:dyDescent="0.35">
      <c r="A632" s="2" t="s">
        <v>59</v>
      </c>
      <c r="B632" s="2" t="s">
        <v>60</v>
      </c>
      <c r="C632" s="2" t="s">
        <v>6721</v>
      </c>
      <c r="D632" s="2" t="s">
        <v>6722</v>
      </c>
      <c r="E632" s="2" t="s">
        <v>6723</v>
      </c>
      <c r="F632" s="3" t="s">
        <v>6754</v>
      </c>
      <c r="G632" s="3" t="s">
        <v>209</v>
      </c>
      <c r="I632" s="3" t="s">
        <v>65</v>
      </c>
      <c r="J632" s="3" t="s">
        <v>65</v>
      </c>
      <c r="K632" s="3" t="s">
        <v>66</v>
      </c>
      <c r="M632" s="2" t="s">
        <v>6725</v>
      </c>
      <c r="N632" s="3" t="s">
        <v>2750</v>
      </c>
      <c r="P632" s="3" t="s">
        <v>140</v>
      </c>
      <c r="Q632" s="2" t="s">
        <v>6726</v>
      </c>
      <c r="R632" s="3" t="s">
        <v>71</v>
      </c>
      <c r="S632" s="4">
        <v>1</v>
      </c>
      <c r="T632" s="4">
        <v>1</v>
      </c>
      <c r="U632" s="5" t="s">
        <v>6727</v>
      </c>
      <c r="V632" s="5" t="s">
        <v>6727</v>
      </c>
      <c r="W632" s="5" t="s">
        <v>72</v>
      </c>
      <c r="X632" s="5" t="s">
        <v>72</v>
      </c>
      <c r="Y632" s="4">
        <v>143</v>
      </c>
      <c r="Z632" s="4">
        <v>15</v>
      </c>
      <c r="AA632" s="4">
        <v>15</v>
      </c>
      <c r="AB632" s="4">
        <v>2</v>
      </c>
      <c r="AC632" s="4">
        <v>2</v>
      </c>
      <c r="AD632" s="4">
        <v>77</v>
      </c>
      <c r="AE632" s="4">
        <v>77</v>
      </c>
      <c r="AF632" s="4">
        <v>1</v>
      </c>
      <c r="AG632" s="4">
        <v>1</v>
      </c>
      <c r="AH632" s="4">
        <v>71</v>
      </c>
      <c r="AI632" s="4">
        <v>71</v>
      </c>
      <c r="AJ632" s="4">
        <v>10</v>
      </c>
      <c r="AK632" s="4">
        <v>10</v>
      </c>
      <c r="AL632" s="4">
        <v>47</v>
      </c>
      <c r="AM632" s="4">
        <v>47</v>
      </c>
      <c r="AN632" s="4">
        <v>0</v>
      </c>
      <c r="AO632" s="4">
        <v>0</v>
      </c>
      <c r="AP632" s="4">
        <v>9</v>
      </c>
      <c r="AQ632" s="4">
        <v>9</v>
      </c>
      <c r="AR632" s="3" t="s">
        <v>65</v>
      </c>
      <c r="AS632" s="3" t="s">
        <v>65</v>
      </c>
      <c r="AT632" s="3" t="s">
        <v>209</v>
      </c>
      <c r="AU632" s="6" t="str">
        <f t="shared" si="8"/>
        <v>HathiTrust Record</v>
      </c>
      <c r="AV632" s="6" t="str">
        <f t="shared" si="9"/>
        <v>Catalog Record</v>
      </c>
      <c r="AW632" s="6" t="str">
        <f t="shared" si="10"/>
        <v>WorldCat Record</v>
      </c>
      <c r="AX632" s="3" t="s">
        <v>6728</v>
      </c>
      <c r="AY632" s="3" t="s">
        <v>6729</v>
      </c>
      <c r="AZ632" s="3" t="s">
        <v>6730</v>
      </c>
      <c r="BA632" s="3" t="s">
        <v>6730</v>
      </c>
      <c r="BB632" s="3" t="s">
        <v>6755</v>
      </c>
      <c r="BC632" s="3" t="s">
        <v>77</v>
      </c>
      <c r="BD632" s="3" t="s">
        <v>78</v>
      </c>
      <c r="BF632" s="3" t="s">
        <v>6755</v>
      </c>
      <c r="BG632" s="3" t="s">
        <v>6756</v>
      </c>
    </row>
    <row r="633" spans="1:59" ht="58" x14ac:dyDescent="0.35">
      <c r="A633" s="2" t="s">
        <v>59</v>
      </c>
      <c r="B633" s="2" t="s">
        <v>60</v>
      </c>
      <c r="C633" s="2" t="s">
        <v>6721</v>
      </c>
      <c r="D633" s="2" t="s">
        <v>6722</v>
      </c>
      <c r="E633" s="2" t="s">
        <v>6723</v>
      </c>
      <c r="F633" s="3" t="s">
        <v>6757</v>
      </c>
      <c r="G633" s="3" t="s">
        <v>209</v>
      </c>
      <c r="I633" s="3" t="s">
        <v>65</v>
      </c>
      <c r="J633" s="3" t="s">
        <v>65</v>
      </c>
      <c r="K633" s="3" t="s">
        <v>66</v>
      </c>
      <c r="M633" s="2" t="s">
        <v>6725</v>
      </c>
      <c r="N633" s="3" t="s">
        <v>2750</v>
      </c>
      <c r="P633" s="3" t="s">
        <v>140</v>
      </c>
      <c r="Q633" s="2" t="s">
        <v>6726</v>
      </c>
      <c r="R633" s="3" t="s">
        <v>71</v>
      </c>
      <c r="S633" s="4">
        <v>0</v>
      </c>
      <c r="T633" s="4">
        <v>1</v>
      </c>
      <c r="V633" s="5" t="s">
        <v>6727</v>
      </c>
      <c r="W633" s="5" t="s">
        <v>72</v>
      </c>
      <c r="X633" s="5" t="s">
        <v>72</v>
      </c>
      <c r="Y633" s="4">
        <v>143</v>
      </c>
      <c r="Z633" s="4">
        <v>15</v>
      </c>
      <c r="AA633" s="4">
        <v>15</v>
      </c>
      <c r="AB633" s="4">
        <v>2</v>
      </c>
      <c r="AC633" s="4">
        <v>2</v>
      </c>
      <c r="AD633" s="4">
        <v>77</v>
      </c>
      <c r="AE633" s="4">
        <v>77</v>
      </c>
      <c r="AF633" s="4">
        <v>1</v>
      </c>
      <c r="AG633" s="4">
        <v>1</v>
      </c>
      <c r="AH633" s="4">
        <v>71</v>
      </c>
      <c r="AI633" s="4">
        <v>71</v>
      </c>
      <c r="AJ633" s="4">
        <v>10</v>
      </c>
      <c r="AK633" s="4">
        <v>10</v>
      </c>
      <c r="AL633" s="4">
        <v>47</v>
      </c>
      <c r="AM633" s="4">
        <v>47</v>
      </c>
      <c r="AN633" s="4">
        <v>0</v>
      </c>
      <c r="AO633" s="4">
        <v>0</v>
      </c>
      <c r="AP633" s="4">
        <v>9</v>
      </c>
      <c r="AQ633" s="4">
        <v>9</v>
      </c>
      <c r="AR633" s="3" t="s">
        <v>65</v>
      </c>
      <c r="AS633" s="3" t="s">
        <v>65</v>
      </c>
      <c r="AT633" s="3" t="s">
        <v>209</v>
      </c>
      <c r="AU633" s="6" t="str">
        <f t="shared" si="8"/>
        <v>HathiTrust Record</v>
      </c>
      <c r="AV633" s="6" t="str">
        <f t="shared" si="9"/>
        <v>Catalog Record</v>
      </c>
      <c r="AW633" s="6" t="str">
        <f t="shared" si="10"/>
        <v>WorldCat Record</v>
      </c>
      <c r="AX633" s="3" t="s">
        <v>6728</v>
      </c>
      <c r="AY633" s="3" t="s">
        <v>6729</v>
      </c>
      <c r="AZ633" s="3" t="s">
        <v>6730</v>
      </c>
      <c r="BA633" s="3" t="s">
        <v>6730</v>
      </c>
      <c r="BB633" s="3" t="s">
        <v>6758</v>
      </c>
      <c r="BC633" s="3" t="s">
        <v>77</v>
      </c>
      <c r="BD633" s="3" t="s">
        <v>78</v>
      </c>
      <c r="BF633" s="3" t="s">
        <v>6758</v>
      </c>
      <c r="BG633" s="3" t="s">
        <v>6759</v>
      </c>
    </row>
    <row r="634" spans="1:59" ht="58" x14ac:dyDescent="0.35">
      <c r="A634" s="2" t="s">
        <v>59</v>
      </c>
      <c r="B634" s="2" t="s">
        <v>60</v>
      </c>
      <c r="C634" s="2" t="s">
        <v>6721</v>
      </c>
      <c r="D634" s="2" t="s">
        <v>6722</v>
      </c>
      <c r="E634" s="2" t="s">
        <v>6723</v>
      </c>
      <c r="F634" s="3" t="s">
        <v>6760</v>
      </c>
      <c r="G634" s="3" t="s">
        <v>209</v>
      </c>
      <c r="I634" s="3" t="s">
        <v>65</v>
      </c>
      <c r="J634" s="3" t="s">
        <v>65</v>
      </c>
      <c r="K634" s="3" t="s">
        <v>66</v>
      </c>
      <c r="M634" s="2" t="s">
        <v>6725</v>
      </c>
      <c r="N634" s="3" t="s">
        <v>2750</v>
      </c>
      <c r="P634" s="3" t="s">
        <v>140</v>
      </c>
      <c r="Q634" s="2" t="s">
        <v>6726</v>
      </c>
      <c r="R634" s="3" t="s">
        <v>71</v>
      </c>
      <c r="S634" s="4">
        <v>0</v>
      </c>
      <c r="T634" s="4">
        <v>1</v>
      </c>
      <c r="V634" s="5" t="s">
        <v>6727</v>
      </c>
      <c r="W634" s="5" t="s">
        <v>72</v>
      </c>
      <c r="X634" s="5" t="s">
        <v>72</v>
      </c>
      <c r="Y634" s="4">
        <v>143</v>
      </c>
      <c r="Z634" s="4">
        <v>15</v>
      </c>
      <c r="AA634" s="4">
        <v>15</v>
      </c>
      <c r="AB634" s="4">
        <v>2</v>
      </c>
      <c r="AC634" s="4">
        <v>2</v>
      </c>
      <c r="AD634" s="4">
        <v>77</v>
      </c>
      <c r="AE634" s="4">
        <v>77</v>
      </c>
      <c r="AF634" s="4">
        <v>1</v>
      </c>
      <c r="AG634" s="4">
        <v>1</v>
      </c>
      <c r="AH634" s="4">
        <v>71</v>
      </c>
      <c r="AI634" s="4">
        <v>71</v>
      </c>
      <c r="AJ634" s="4">
        <v>10</v>
      </c>
      <c r="AK634" s="4">
        <v>10</v>
      </c>
      <c r="AL634" s="4">
        <v>47</v>
      </c>
      <c r="AM634" s="4">
        <v>47</v>
      </c>
      <c r="AN634" s="4">
        <v>0</v>
      </c>
      <c r="AO634" s="4">
        <v>0</v>
      </c>
      <c r="AP634" s="4">
        <v>9</v>
      </c>
      <c r="AQ634" s="4">
        <v>9</v>
      </c>
      <c r="AR634" s="3" t="s">
        <v>65</v>
      </c>
      <c r="AS634" s="3" t="s">
        <v>65</v>
      </c>
      <c r="AT634" s="3" t="s">
        <v>209</v>
      </c>
      <c r="AU634" s="6" t="str">
        <f t="shared" si="8"/>
        <v>HathiTrust Record</v>
      </c>
      <c r="AV634" s="6" t="str">
        <f t="shared" si="9"/>
        <v>Catalog Record</v>
      </c>
      <c r="AW634" s="6" t="str">
        <f t="shared" si="10"/>
        <v>WorldCat Record</v>
      </c>
      <c r="AX634" s="3" t="s">
        <v>6728</v>
      </c>
      <c r="AY634" s="3" t="s">
        <v>6729</v>
      </c>
      <c r="AZ634" s="3" t="s">
        <v>6730</v>
      </c>
      <c r="BA634" s="3" t="s">
        <v>6730</v>
      </c>
      <c r="BB634" s="3" t="s">
        <v>6761</v>
      </c>
      <c r="BC634" s="3" t="s">
        <v>77</v>
      </c>
      <c r="BD634" s="3" t="s">
        <v>78</v>
      </c>
      <c r="BF634" s="3" t="s">
        <v>6761</v>
      </c>
      <c r="BG634" s="3" t="s">
        <v>6762</v>
      </c>
    </row>
    <row r="635" spans="1:59" ht="58" x14ac:dyDescent="0.35">
      <c r="A635" s="2" t="s">
        <v>59</v>
      </c>
      <c r="B635" s="2" t="s">
        <v>60</v>
      </c>
      <c r="C635" s="2" t="s">
        <v>6721</v>
      </c>
      <c r="D635" s="2" t="s">
        <v>6722</v>
      </c>
      <c r="E635" s="2" t="s">
        <v>6723</v>
      </c>
      <c r="F635" s="3" t="s">
        <v>6763</v>
      </c>
      <c r="G635" s="3" t="s">
        <v>209</v>
      </c>
      <c r="I635" s="3" t="s">
        <v>65</v>
      </c>
      <c r="J635" s="3" t="s">
        <v>65</v>
      </c>
      <c r="K635" s="3" t="s">
        <v>66</v>
      </c>
      <c r="M635" s="2" t="s">
        <v>6725</v>
      </c>
      <c r="N635" s="3" t="s">
        <v>2750</v>
      </c>
      <c r="P635" s="3" t="s">
        <v>140</v>
      </c>
      <c r="Q635" s="2" t="s">
        <v>6726</v>
      </c>
      <c r="R635" s="3" t="s">
        <v>71</v>
      </c>
      <c r="S635" s="4">
        <v>0</v>
      </c>
      <c r="T635" s="4">
        <v>1</v>
      </c>
      <c r="V635" s="5" t="s">
        <v>6727</v>
      </c>
      <c r="W635" s="5" t="s">
        <v>72</v>
      </c>
      <c r="X635" s="5" t="s">
        <v>72</v>
      </c>
      <c r="Y635" s="4">
        <v>143</v>
      </c>
      <c r="Z635" s="4">
        <v>15</v>
      </c>
      <c r="AA635" s="4">
        <v>15</v>
      </c>
      <c r="AB635" s="4">
        <v>2</v>
      </c>
      <c r="AC635" s="4">
        <v>2</v>
      </c>
      <c r="AD635" s="4">
        <v>77</v>
      </c>
      <c r="AE635" s="4">
        <v>77</v>
      </c>
      <c r="AF635" s="4">
        <v>1</v>
      </c>
      <c r="AG635" s="4">
        <v>1</v>
      </c>
      <c r="AH635" s="4">
        <v>71</v>
      </c>
      <c r="AI635" s="4">
        <v>71</v>
      </c>
      <c r="AJ635" s="4">
        <v>10</v>
      </c>
      <c r="AK635" s="4">
        <v>10</v>
      </c>
      <c r="AL635" s="4">
        <v>47</v>
      </c>
      <c r="AM635" s="4">
        <v>47</v>
      </c>
      <c r="AN635" s="4">
        <v>0</v>
      </c>
      <c r="AO635" s="4">
        <v>0</v>
      </c>
      <c r="AP635" s="4">
        <v>9</v>
      </c>
      <c r="AQ635" s="4">
        <v>9</v>
      </c>
      <c r="AR635" s="3" t="s">
        <v>65</v>
      </c>
      <c r="AS635" s="3" t="s">
        <v>65</v>
      </c>
      <c r="AT635" s="3" t="s">
        <v>209</v>
      </c>
      <c r="AU635" s="6" t="str">
        <f t="shared" si="8"/>
        <v>HathiTrust Record</v>
      </c>
      <c r="AV635" s="6" t="str">
        <f t="shared" si="9"/>
        <v>Catalog Record</v>
      </c>
      <c r="AW635" s="6" t="str">
        <f t="shared" si="10"/>
        <v>WorldCat Record</v>
      </c>
      <c r="AX635" s="3" t="s">
        <v>6728</v>
      </c>
      <c r="AY635" s="3" t="s">
        <v>6729</v>
      </c>
      <c r="AZ635" s="3" t="s">
        <v>6730</v>
      </c>
      <c r="BA635" s="3" t="s">
        <v>6730</v>
      </c>
      <c r="BB635" s="3" t="s">
        <v>6764</v>
      </c>
      <c r="BC635" s="3" t="s">
        <v>77</v>
      </c>
      <c r="BD635" s="3" t="s">
        <v>78</v>
      </c>
      <c r="BF635" s="3" t="s">
        <v>6764</v>
      </c>
      <c r="BG635" s="3" t="s">
        <v>6765</v>
      </c>
    </row>
    <row r="636" spans="1:59" ht="58" x14ac:dyDescent="0.35">
      <c r="A636" s="2" t="s">
        <v>59</v>
      </c>
      <c r="B636" s="2" t="s">
        <v>60</v>
      </c>
      <c r="C636" s="2" t="s">
        <v>6766</v>
      </c>
      <c r="D636" s="2" t="s">
        <v>6767</v>
      </c>
      <c r="E636" s="2" t="s">
        <v>6768</v>
      </c>
      <c r="G636" s="3" t="s">
        <v>65</v>
      </c>
      <c r="I636" s="3" t="s">
        <v>65</v>
      </c>
      <c r="J636" s="3" t="s">
        <v>65</v>
      </c>
      <c r="K636" s="3" t="s">
        <v>66</v>
      </c>
      <c r="M636" s="2" t="s">
        <v>6769</v>
      </c>
      <c r="N636" s="3" t="s">
        <v>126</v>
      </c>
      <c r="P636" s="3" t="s">
        <v>69</v>
      </c>
      <c r="Q636" s="2" t="s">
        <v>6770</v>
      </c>
      <c r="R636" s="3" t="s">
        <v>71</v>
      </c>
      <c r="S636" s="4">
        <v>2</v>
      </c>
      <c r="T636" s="4">
        <v>2</v>
      </c>
      <c r="U636" s="5" t="s">
        <v>6771</v>
      </c>
      <c r="V636" s="5" t="s">
        <v>6771</v>
      </c>
      <c r="W636" s="5" t="s">
        <v>72</v>
      </c>
      <c r="X636" s="5" t="s">
        <v>72</v>
      </c>
      <c r="Y636" s="4">
        <v>126</v>
      </c>
      <c r="Z636" s="4">
        <v>13</v>
      </c>
      <c r="AA636" s="4">
        <v>79</v>
      </c>
      <c r="AB636" s="4">
        <v>1</v>
      </c>
      <c r="AC636" s="4">
        <v>14</v>
      </c>
      <c r="AD636" s="4">
        <v>61</v>
      </c>
      <c r="AE636" s="4">
        <v>119</v>
      </c>
      <c r="AF636" s="4">
        <v>0</v>
      </c>
      <c r="AG636" s="4">
        <v>8</v>
      </c>
      <c r="AH636" s="4">
        <v>58</v>
      </c>
      <c r="AI636" s="4">
        <v>87</v>
      </c>
      <c r="AJ636" s="4">
        <v>9</v>
      </c>
      <c r="AK636" s="4">
        <v>22</v>
      </c>
      <c r="AL636" s="4">
        <v>37</v>
      </c>
      <c r="AM636" s="4">
        <v>47</v>
      </c>
      <c r="AN636" s="4">
        <v>0</v>
      </c>
      <c r="AO636" s="4">
        <v>0</v>
      </c>
      <c r="AP636" s="4">
        <v>9</v>
      </c>
      <c r="AQ636" s="4">
        <v>39</v>
      </c>
      <c r="AR636" s="3" t="s">
        <v>65</v>
      </c>
      <c r="AS636" s="3" t="s">
        <v>65</v>
      </c>
      <c r="AT636" s="3" t="s">
        <v>65</v>
      </c>
      <c r="AV636" s="6" t="str">
        <f>HYPERLINK("http://mcgill.on.worldcat.org/oclc/768073042","Catalog Record")</f>
        <v>Catalog Record</v>
      </c>
      <c r="AW636" s="6" t="str">
        <f>HYPERLINK("http://www.worldcat.org/oclc/768073042","WorldCat Record")</f>
        <v>WorldCat Record</v>
      </c>
      <c r="AX636" s="3" t="s">
        <v>6772</v>
      </c>
      <c r="AY636" s="3" t="s">
        <v>6773</v>
      </c>
      <c r="AZ636" s="3" t="s">
        <v>6774</v>
      </c>
      <c r="BA636" s="3" t="s">
        <v>6774</v>
      </c>
      <c r="BB636" s="3" t="s">
        <v>6775</v>
      </c>
      <c r="BC636" s="3" t="s">
        <v>77</v>
      </c>
      <c r="BD636" s="3" t="s">
        <v>78</v>
      </c>
      <c r="BE636" s="3" t="s">
        <v>6776</v>
      </c>
      <c r="BF636" s="3" t="s">
        <v>6775</v>
      </c>
      <c r="BG636" s="3" t="s">
        <v>6777</v>
      </c>
    </row>
    <row r="637" spans="1:59" ht="58" x14ac:dyDescent="0.35">
      <c r="A637" s="2" t="s">
        <v>59</v>
      </c>
      <c r="B637" s="2" t="s">
        <v>60</v>
      </c>
      <c r="C637" s="2" t="s">
        <v>6778</v>
      </c>
      <c r="D637" s="2" t="s">
        <v>6779</v>
      </c>
      <c r="E637" s="2" t="s">
        <v>6780</v>
      </c>
      <c r="G637" s="3" t="s">
        <v>65</v>
      </c>
      <c r="I637" s="3" t="s">
        <v>65</v>
      </c>
      <c r="J637" s="3" t="s">
        <v>65</v>
      </c>
      <c r="K637" s="3" t="s">
        <v>66</v>
      </c>
      <c r="M637" s="2" t="s">
        <v>6781</v>
      </c>
      <c r="N637" s="3" t="s">
        <v>221</v>
      </c>
      <c r="P637" s="3" t="s">
        <v>140</v>
      </c>
      <c r="Q637" s="2" t="s">
        <v>6782</v>
      </c>
      <c r="R637" s="3" t="s">
        <v>71</v>
      </c>
      <c r="S637" s="4">
        <v>4</v>
      </c>
      <c r="T637" s="4">
        <v>4</v>
      </c>
      <c r="U637" s="5" t="s">
        <v>5441</v>
      </c>
      <c r="V637" s="5" t="s">
        <v>5441</v>
      </c>
      <c r="W637" s="5" t="s">
        <v>72</v>
      </c>
      <c r="X637" s="5" t="s">
        <v>72</v>
      </c>
      <c r="Y637" s="4">
        <v>61</v>
      </c>
      <c r="Z637" s="4">
        <v>5</v>
      </c>
      <c r="AA637" s="4">
        <v>5</v>
      </c>
      <c r="AB637" s="4">
        <v>1</v>
      </c>
      <c r="AC637" s="4">
        <v>1</v>
      </c>
      <c r="AD637" s="4">
        <v>34</v>
      </c>
      <c r="AE637" s="4">
        <v>34</v>
      </c>
      <c r="AF637" s="4">
        <v>0</v>
      </c>
      <c r="AG637" s="4">
        <v>0</v>
      </c>
      <c r="AH637" s="4">
        <v>32</v>
      </c>
      <c r="AI637" s="4">
        <v>32</v>
      </c>
      <c r="AJ637" s="4">
        <v>2</v>
      </c>
      <c r="AK637" s="4">
        <v>2</v>
      </c>
      <c r="AL637" s="4">
        <v>28</v>
      </c>
      <c r="AM637" s="4">
        <v>28</v>
      </c>
      <c r="AN637" s="4">
        <v>0</v>
      </c>
      <c r="AO637" s="4">
        <v>0</v>
      </c>
      <c r="AP637" s="4">
        <v>2</v>
      </c>
      <c r="AQ637" s="4">
        <v>2</v>
      </c>
      <c r="AR637" s="3" t="s">
        <v>65</v>
      </c>
      <c r="AS637" s="3" t="s">
        <v>65</v>
      </c>
      <c r="AT637" s="3" t="s">
        <v>209</v>
      </c>
      <c r="AU637" s="6" t="str">
        <f>HYPERLINK("http://catalog.hathitrust.org/Record/005604777","HathiTrust Record")</f>
        <v>HathiTrust Record</v>
      </c>
      <c r="AV637" s="6" t="str">
        <f>HYPERLINK("http://mcgill.on.worldcat.org/oclc/163580731","Catalog Record")</f>
        <v>Catalog Record</v>
      </c>
      <c r="AW637" s="6" t="str">
        <f>HYPERLINK("http://www.worldcat.org/oclc/163580731","WorldCat Record")</f>
        <v>WorldCat Record</v>
      </c>
      <c r="AX637" s="3" t="s">
        <v>6783</v>
      </c>
      <c r="AY637" s="3" t="s">
        <v>6784</v>
      </c>
      <c r="AZ637" s="3" t="s">
        <v>6785</v>
      </c>
      <c r="BA637" s="3" t="s">
        <v>6785</v>
      </c>
      <c r="BB637" s="3" t="s">
        <v>6786</v>
      </c>
      <c r="BC637" s="3" t="s">
        <v>77</v>
      </c>
      <c r="BD637" s="3" t="s">
        <v>78</v>
      </c>
      <c r="BE637" s="3" t="s">
        <v>6787</v>
      </c>
      <c r="BF637" s="3" t="s">
        <v>6786</v>
      </c>
      <c r="BG637" s="3" t="s">
        <v>6788</v>
      </c>
    </row>
    <row r="638" spans="1:59" ht="58" x14ac:dyDescent="0.35">
      <c r="A638" s="2" t="s">
        <v>59</v>
      </c>
      <c r="B638" s="2" t="s">
        <v>60</v>
      </c>
      <c r="C638" s="2" t="s">
        <v>6789</v>
      </c>
      <c r="D638" s="2" t="s">
        <v>6790</v>
      </c>
      <c r="E638" s="2" t="s">
        <v>6791</v>
      </c>
      <c r="G638" s="3" t="s">
        <v>65</v>
      </c>
      <c r="I638" s="3" t="s">
        <v>209</v>
      </c>
      <c r="J638" s="3" t="s">
        <v>65</v>
      </c>
      <c r="K638" s="3" t="s">
        <v>66</v>
      </c>
      <c r="L638" s="2" t="s">
        <v>6792</v>
      </c>
      <c r="M638" s="2" t="s">
        <v>6793</v>
      </c>
      <c r="N638" s="3" t="s">
        <v>214</v>
      </c>
      <c r="O638" s="2" t="s">
        <v>526</v>
      </c>
      <c r="P638" s="3" t="s">
        <v>69</v>
      </c>
      <c r="Q638" s="2" t="s">
        <v>6794</v>
      </c>
      <c r="R638" s="3" t="s">
        <v>71</v>
      </c>
      <c r="S638" s="4">
        <v>15</v>
      </c>
      <c r="T638" s="4">
        <v>45</v>
      </c>
      <c r="U638" s="5" t="s">
        <v>5537</v>
      </c>
      <c r="V638" s="5" t="s">
        <v>5537</v>
      </c>
      <c r="W638" s="5" t="s">
        <v>72</v>
      </c>
      <c r="X638" s="5" t="s">
        <v>72</v>
      </c>
      <c r="Y638" s="4">
        <v>713</v>
      </c>
      <c r="Z638" s="4">
        <v>42</v>
      </c>
      <c r="AA638" s="4">
        <v>44</v>
      </c>
      <c r="AB638" s="4">
        <v>2</v>
      </c>
      <c r="AC638" s="4">
        <v>3</v>
      </c>
      <c r="AD638" s="4">
        <v>114</v>
      </c>
      <c r="AE638" s="4">
        <v>116</v>
      </c>
      <c r="AF638" s="4">
        <v>1</v>
      </c>
      <c r="AG638" s="4">
        <v>2</v>
      </c>
      <c r="AH638" s="4">
        <v>94</v>
      </c>
      <c r="AI638" s="4">
        <v>94</v>
      </c>
      <c r="AJ638" s="4">
        <v>19</v>
      </c>
      <c r="AK638" s="4">
        <v>20</v>
      </c>
      <c r="AL638" s="4">
        <v>53</v>
      </c>
      <c r="AM638" s="4">
        <v>53</v>
      </c>
      <c r="AN638" s="4">
        <v>0</v>
      </c>
      <c r="AO638" s="4">
        <v>0</v>
      </c>
      <c r="AP638" s="4">
        <v>27</v>
      </c>
      <c r="AQ638" s="4">
        <v>29</v>
      </c>
      <c r="AR638" s="3" t="s">
        <v>65</v>
      </c>
      <c r="AS638" s="3" t="s">
        <v>65</v>
      </c>
      <c r="AT638" s="3" t="s">
        <v>209</v>
      </c>
      <c r="AU638" s="6" t="str">
        <f>HYPERLINK("http://catalog.hathitrust.org/Record/000781208","HathiTrust Record")</f>
        <v>HathiTrust Record</v>
      </c>
      <c r="AV638" s="6" t="str">
        <f>HYPERLINK("http://mcgill.on.worldcat.org/oclc/10378439","Catalog Record")</f>
        <v>Catalog Record</v>
      </c>
      <c r="AW638" s="6" t="str">
        <f>HYPERLINK("http://www.worldcat.org/oclc/10378439","WorldCat Record")</f>
        <v>WorldCat Record</v>
      </c>
      <c r="AX638" s="3" t="s">
        <v>6795</v>
      </c>
      <c r="AY638" s="3" t="s">
        <v>6796</v>
      </c>
      <c r="AZ638" s="3" t="s">
        <v>6797</v>
      </c>
      <c r="BA638" s="3" t="s">
        <v>6797</v>
      </c>
      <c r="BB638" s="3" t="s">
        <v>6798</v>
      </c>
      <c r="BC638" s="3" t="s">
        <v>77</v>
      </c>
      <c r="BD638" s="3" t="s">
        <v>106</v>
      </c>
      <c r="BE638" s="3" t="s">
        <v>6799</v>
      </c>
      <c r="BF638" s="3" t="s">
        <v>6798</v>
      </c>
      <c r="BG638" s="3" t="s">
        <v>6800</v>
      </c>
    </row>
    <row r="639" spans="1:59" ht="58" x14ac:dyDescent="0.35">
      <c r="A639" s="2" t="s">
        <v>59</v>
      </c>
      <c r="B639" s="2" t="s">
        <v>60</v>
      </c>
      <c r="C639" s="2" t="s">
        <v>6789</v>
      </c>
      <c r="D639" s="2" t="s">
        <v>6790</v>
      </c>
      <c r="E639" s="2" t="s">
        <v>6791</v>
      </c>
      <c r="G639" s="3" t="s">
        <v>65</v>
      </c>
      <c r="I639" s="3" t="s">
        <v>209</v>
      </c>
      <c r="J639" s="3" t="s">
        <v>65</v>
      </c>
      <c r="K639" s="3" t="s">
        <v>66</v>
      </c>
      <c r="L639" s="2" t="s">
        <v>6792</v>
      </c>
      <c r="M639" s="2" t="s">
        <v>6793</v>
      </c>
      <c r="N639" s="3" t="s">
        <v>214</v>
      </c>
      <c r="O639" s="2" t="s">
        <v>526</v>
      </c>
      <c r="P639" s="3" t="s">
        <v>69</v>
      </c>
      <c r="Q639" s="2" t="s">
        <v>6794</v>
      </c>
      <c r="R639" s="3" t="s">
        <v>71</v>
      </c>
      <c r="S639" s="4">
        <v>30</v>
      </c>
      <c r="T639" s="4">
        <v>45</v>
      </c>
      <c r="U639" s="5" t="s">
        <v>6801</v>
      </c>
      <c r="V639" s="5" t="s">
        <v>5537</v>
      </c>
      <c r="W639" s="5" t="s">
        <v>72</v>
      </c>
      <c r="X639" s="5" t="s">
        <v>72</v>
      </c>
      <c r="Y639" s="4">
        <v>713</v>
      </c>
      <c r="Z639" s="4">
        <v>42</v>
      </c>
      <c r="AA639" s="4">
        <v>44</v>
      </c>
      <c r="AB639" s="4">
        <v>2</v>
      </c>
      <c r="AC639" s="4">
        <v>3</v>
      </c>
      <c r="AD639" s="4">
        <v>114</v>
      </c>
      <c r="AE639" s="4">
        <v>116</v>
      </c>
      <c r="AF639" s="4">
        <v>1</v>
      </c>
      <c r="AG639" s="4">
        <v>2</v>
      </c>
      <c r="AH639" s="4">
        <v>94</v>
      </c>
      <c r="AI639" s="4">
        <v>94</v>
      </c>
      <c r="AJ639" s="4">
        <v>19</v>
      </c>
      <c r="AK639" s="4">
        <v>20</v>
      </c>
      <c r="AL639" s="4">
        <v>53</v>
      </c>
      <c r="AM639" s="4">
        <v>53</v>
      </c>
      <c r="AN639" s="4">
        <v>0</v>
      </c>
      <c r="AO639" s="4">
        <v>0</v>
      </c>
      <c r="AP639" s="4">
        <v>27</v>
      </c>
      <c r="AQ639" s="4">
        <v>29</v>
      </c>
      <c r="AR639" s="3" t="s">
        <v>65</v>
      </c>
      <c r="AS639" s="3" t="s">
        <v>65</v>
      </c>
      <c r="AT639" s="3" t="s">
        <v>209</v>
      </c>
      <c r="AU639" s="6" t="str">
        <f>HYPERLINK("http://catalog.hathitrust.org/Record/000781208","HathiTrust Record")</f>
        <v>HathiTrust Record</v>
      </c>
      <c r="AV639" s="6" t="str">
        <f>HYPERLINK("http://mcgill.on.worldcat.org/oclc/10378439","Catalog Record")</f>
        <v>Catalog Record</v>
      </c>
      <c r="AW639" s="6" t="str">
        <f>HYPERLINK("http://www.worldcat.org/oclc/10378439","WorldCat Record")</f>
        <v>WorldCat Record</v>
      </c>
      <c r="AX639" s="3" t="s">
        <v>6795</v>
      </c>
      <c r="AY639" s="3" t="s">
        <v>6796</v>
      </c>
      <c r="AZ639" s="3" t="s">
        <v>6797</v>
      </c>
      <c r="BA639" s="3" t="s">
        <v>6797</v>
      </c>
      <c r="BB639" s="3" t="s">
        <v>6802</v>
      </c>
      <c r="BC639" s="3" t="s">
        <v>77</v>
      </c>
      <c r="BD639" s="3" t="s">
        <v>78</v>
      </c>
      <c r="BE639" s="3" t="s">
        <v>6799</v>
      </c>
      <c r="BF639" s="3" t="s">
        <v>6802</v>
      </c>
      <c r="BG639" s="3" t="s">
        <v>6803</v>
      </c>
    </row>
    <row r="640" spans="1:59" ht="58" x14ac:dyDescent="0.35">
      <c r="A640" s="2" t="s">
        <v>59</v>
      </c>
      <c r="B640" s="2" t="s">
        <v>60</v>
      </c>
      <c r="C640" s="2" t="s">
        <v>6804</v>
      </c>
      <c r="D640" s="2" t="s">
        <v>6805</v>
      </c>
      <c r="E640" s="2" t="s">
        <v>6806</v>
      </c>
      <c r="F640" s="3" t="s">
        <v>245</v>
      </c>
      <c r="G640" s="3" t="s">
        <v>65</v>
      </c>
      <c r="I640" s="3" t="s">
        <v>65</v>
      </c>
      <c r="J640" s="3" t="s">
        <v>65</v>
      </c>
      <c r="K640" s="3" t="s">
        <v>66</v>
      </c>
      <c r="M640" s="2" t="s">
        <v>6807</v>
      </c>
      <c r="N640" s="3" t="s">
        <v>1032</v>
      </c>
      <c r="P640" s="3" t="s">
        <v>69</v>
      </c>
      <c r="R640" s="3" t="s">
        <v>71</v>
      </c>
      <c r="S640" s="4">
        <v>1</v>
      </c>
      <c r="T640" s="4">
        <v>1</v>
      </c>
      <c r="U640" s="5" t="s">
        <v>6808</v>
      </c>
      <c r="V640" s="5" t="s">
        <v>6808</v>
      </c>
      <c r="W640" s="5" t="s">
        <v>72</v>
      </c>
      <c r="X640" s="5" t="s">
        <v>72</v>
      </c>
      <c r="Y640" s="4">
        <v>310</v>
      </c>
      <c r="Z640" s="4">
        <v>15</v>
      </c>
      <c r="AA640" s="4">
        <v>20</v>
      </c>
      <c r="AB640" s="4">
        <v>2</v>
      </c>
      <c r="AC640" s="4">
        <v>3</v>
      </c>
      <c r="AD640" s="4">
        <v>93</v>
      </c>
      <c r="AE640" s="4">
        <v>100</v>
      </c>
      <c r="AF640" s="4">
        <v>1</v>
      </c>
      <c r="AG640" s="4">
        <v>2</v>
      </c>
      <c r="AH640" s="4">
        <v>82</v>
      </c>
      <c r="AI640" s="4">
        <v>87</v>
      </c>
      <c r="AJ640" s="4">
        <v>9</v>
      </c>
      <c r="AK640" s="4">
        <v>11</v>
      </c>
      <c r="AL640" s="4">
        <v>49</v>
      </c>
      <c r="AM640" s="4">
        <v>53</v>
      </c>
      <c r="AN640" s="4">
        <v>0</v>
      </c>
      <c r="AO640" s="4">
        <v>0</v>
      </c>
      <c r="AP640" s="4">
        <v>12</v>
      </c>
      <c r="AQ640" s="4">
        <v>14</v>
      </c>
      <c r="AR640" s="3" t="s">
        <v>65</v>
      </c>
      <c r="AS640" s="3" t="s">
        <v>65</v>
      </c>
      <c r="AT640" s="3" t="s">
        <v>65</v>
      </c>
      <c r="AV640" s="6" t="str">
        <f>HYPERLINK("http://mcgill.on.worldcat.org/oclc/30814581","Catalog Record")</f>
        <v>Catalog Record</v>
      </c>
      <c r="AW640" s="6" t="str">
        <f>HYPERLINK("http://www.worldcat.org/oclc/30814581","WorldCat Record")</f>
        <v>WorldCat Record</v>
      </c>
      <c r="AX640" s="3" t="s">
        <v>6809</v>
      </c>
      <c r="AY640" s="3" t="s">
        <v>6810</v>
      </c>
      <c r="AZ640" s="3" t="s">
        <v>6811</v>
      </c>
      <c r="BA640" s="3" t="s">
        <v>6811</v>
      </c>
      <c r="BB640" s="3" t="s">
        <v>6812</v>
      </c>
      <c r="BC640" s="3" t="s">
        <v>77</v>
      </c>
      <c r="BD640" s="3" t="s">
        <v>78</v>
      </c>
      <c r="BE640" s="3" t="s">
        <v>6813</v>
      </c>
      <c r="BF640" s="3" t="s">
        <v>6812</v>
      </c>
      <c r="BG640" s="3" t="s">
        <v>6814</v>
      </c>
    </row>
    <row r="641" spans="1:59" ht="58" x14ac:dyDescent="0.35">
      <c r="A641" s="2" t="s">
        <v>59</v>
      </c>
      <c r="B641" s="2" t="s">
        <v>60</v>
      </c>
      <c r="C641" s="2" t="s">
        <v>6815</v>
      </c>
      <c r="D641" s="2" t="s">
        <v>6816</v>
      </c>
      <c r="E641" s="2" t="s">
        <v>6817</v>
      </c>
      <c r="F641" s="3" t="s">
        <v>245</v>
      </c>
      <c r="G641" s="3" t="s">
        <v>209</v>
      </c>
      <c r="I641" s="3" t="s">
        <v>209</v>
      </c>
      <c r="J641" s="3" t="s">
        <v>65</v>
      </c>
      <c r="K641" s="3" t="s">
        <v>66</v>
      </c>
      <c r="M641" s="2" t="s">
        <v>6818</v>
      </c>
      <c r="N641" s="3" t="s">
        <v>352</v>
      </c>
      <c r="O641" s="2" t="s">
        <v>2438</v>
      </c>
      <c r="P641" s="3" t="s">
        <v>69</v>
      </c>
      <c r="Q641" s="2" t="s">
        <v>6819</v>
      </c>
      <c r="R641" s="3" t="s">
        <v>71</v>
      </c>
      <c r="S641" s="4">
        <v>0</v>
      </c>
      <c r="T641" s="4">
        <v>17</v>
      </c>
      <c r="V641" s="5" t="s">
        <v>6820</v>
      </c>
      <c r="W641" s="5" t="s">
        <v>72</v>
      </c>
      <c r="X641" s="5" t="s">
        <v>72</v>
      </c>
      <c r="Y641" s="4">
        <v>1594</v>
      </c>
      <c r="Z641" s="4">
        <v>66</v>
      </c>
      <c r="AA641" s="4">
        <v>70</v>
      </c>
      <c r="AB641" s="4">
        <v>4</v>
      </c>
      <c r="AC641" s="4">
        <v>6</v>
      </c>
      <c r="AD641" s="4">
        <v>140</v>
      </c>
      <c r="AE641" s="4">
        <v>144</v>
      </c>
      <c r="AF641" s="4">
        <v>2</v>
      </c>
      <c r="AG641" s="4">
        <v>4</v>
      </c>
      <c r="AH641" s="4">
        <v>105</v>
      </c>
      <c r="AI641" s="4">
        <v>106</v>
      </c>
      <c r="AJ641" s="4">
        <v>20</v>
      </c>
      <c r="AK641" s="4">
        <v>22</v>
      </c>
      <c r="AL641" s="4">
        <v>58</v>
      </c>
      <c r="AM641" s="4">
        <v>58</v>
      </c>
      <c r="AN641" s="4">
        <v>0</v>
      </c>
      <c r="AO641" s="4">
        <v>0</v>
      </c>
      <c r="AP641" s="4">
        <v>40</v>
      </c>
      <c r="AQ641" s="4">
        <v>44</v>
      </c>
      <c r="AR641" s="3" t="s">
        <v>65</v>
      </c>
      <c r="AS641" s="3" t="s">
        <v>65</v>
      </c>
      <c r="AT641" s="3" t="s">
        <v>209</v>
      </c>
      <c r="AU641" s="6" t="str">
        <f>HYPERLINK("http://catalog.hathitrust.org/Record/000196731","HathiTrust Record")</f>
        <v>HathiTrust Record</v>
      </c>
      <c r="AV641" s="6" t="str">
        <f>HYPERLINK("http://mcgill.on.worldcat.org/oclc/344007","Catalog Record")</f>
        <v>Catalog Record</v>
      </c>
      <c r="AW641" s="6" t="str">
        <f>HYPERLINK("http://www.worldcat.org/oclc/344007","WorldCat Record")</f>
        <v>WorldCat Record</v>
      </c>
      <c r="AX641" s="3" t="s">
        <v>6821</v>
      </c>
      <c r="AY641" s="3" t="s">
        <v>6822</v>
      </c>
      <c r="AZ641" s="3" t="s">
        <v>6823</v>
      </c>
      <c r="BA641" s="3" t="s">
        <v>6823</v>
      </c>
      <c r="BB641" s="3" t="s">
        <v>6824</v>
      </c>
      <c r="BC641" s="3" t="s">
        <v>77</v>
      </c>
      <c r="BD641" s="3" t="s">
        <v>78</v>
      </c>
      <c r="BF641" s="3" t="s">
        <v>6824</v>
      </c>
      <c r="BG641" s="3" t="s">
        <v>6825</v>
      </c>
    </row>
    <row r="642" spans="1:59" ht="58" x14ac:dyDescent="0.35">
      <c r="A642" s="2" t="s">
        <v>59</v>
      </c>
      <c r="B642" s="2" t="s">
        <v>60</v>
      </c>
      <c r="C642" s="2" t="s">
        <v>6815</v>
      </c>
      <c r="D642" s="2" t="s">
        <v>6816</v>
      </c>
      <c r="E642" s="2" t="s">
        <v>6817</v>
      </c>
      <c r="F642" s="3" t="s">
        <v>792</v>
      </c>
      <c r="G642" s="3" t="s">
        <v>209</v>
      </c>
      <c r="I642" s="3" t="s">
        <v>209</v>
      </c>
      <c r="J642" s="3" t="s">
        <v>65</v>
      </c>
      <c r="K642" s="3" t="s">
        <v>66</v>
      </c>
      <c r="M642" s="2" t="s">
        <v>6818</v>
      </c>
      <c r="N642" s="3" t="s">
        <v>352</v>
      </c>
      <c r="O642" s="2" t="s">
        <v>2438</v>
      </c>
      <c r="P642" s="3" t="s">
        <v>69</v>
      </c>
      <c r="Q642" s="2" t="s">
        <v>6819</v>
      </c>
      <c r="R642" s="3" t="s">
        <v>71</v>
      </c>
      <c r="S642" s="4">
        <v>0</v>
      </c>
      <c r="T642" s="4">
        <v>17</v>
      </c>
      <c r="V642" s="5" t="s">
        <v>6820</v>
      </c>
      <c r="W642" s="5" t="s">
        <v>72</v>
      </c>
      <c r="X642" s="5" t="s">
        <v>72</v>
      </c>
      <c r="Y642" s="4">
        <v>1594</v>
      </c>
      <c r="Z642" s="4">
        <v>66</v>
      </c>
      <c r="AA642" s="4">
        <v>70</v>
      </c>
      <c r="AB642" s="4">
        <v>4</v>
      </c>
      <c r="AC642" s="4">
        <v>6</v>
      </c>
      <c r="AD642" s="4">
        <v>140</v>
      </c>
      <c r="AE642" s="4">
        <v>144</v>
      </c>
      <c r="AF642" s="4">
        <v>2</v>
      </c>
      <c r="AG642" s="4">
        <v>4</v>
      </c>
      <c r="AH642" s="4">
        <v>105</v>
      </c>
      <c r="AI642" s="4">
        <v>106</v>
      </c>
      <c r="AJ642" s="4">
        <v>20</v>
      </c>
      <c r="AK642" s="4">
        <v>22</v>
      </c>
      <c r="AL642" s="4">
        <v>58</v>
      </c>
      <c r="AM642" s="4">
        <v>58</v>
      </c>
      <c r="AN642" s="4">
        <v>0</v>
      </c>
      <c r="AO642" s="4">
        <v>0</v>
      </c>
      <c r="AP642" s="4">
        <v>40</v>
      </c>
      <c r="AQ642" s="4">
        <v>44</v>
      </c>
      <c r="AR642" s="3" t="s">
        <v>65</v>
      </c>
      <c r="AS642" s="3" t="s">
        <v>65</v>
      </c>
      <c r="AT642" s="3" t="s">
        <v>209</v>
      </c>
      <c r="AU642" s="6" t="str">
        <f>HYPERLINK("http://catalog.hathitrust.org/Record/000196731","HathiTrust Record")</f>
        <v>HathiTrust Record</v>
      </c>
      <c r="AV642" s="6" t="str">
        <f>HYPERLINK("http://mcgill.on.worldcat.org/oclc/344007","Catalog Record")</f>
        <v>Catalog Record</v>
      </c>
      <c r="AW642" s="6" t="str">
        <f>HYPERLINK("http://www.worldcat.org/oclc/344007","WorldCat Record")</f>
        <v>WorldCat Record</v>
      </c>
      <c r="AX642" s="3" t="s">
        <v>6821</v>
      </c>
      <c r="AY642" s="3" t="s">
        <v>6822</v>
      </c>
      <c r="AZ642" s="3" t="s">
        <v>6823</v>
      </c>
      <c r="BA642" s="3" t="s">
        <v>6823</v>
      </c>
      <c r="BB642" s="3" t="s">
        <v>6826</v>
      </c>
      <c r="BC642" s="3" t="s">
        <v>77</v>
      </c>
      <c r="BD642" s="3" t="s">
        <v>78</v>
      </c>
      <c r="BF642" s="3" t="s">
        <v>6826</v>
      </c>
      <c r="BG642" s="3" t="s">
        <v>6827</v>
      </c>
    </row>
    <row r="643" spans="1:59" ht="58" x14ac:dyDescent="0.35">
      <c r="A643" s="2" t="s">
        <v>59</v>
      </c>
      <c r="B643" s="2" t="s">
        <v>60</v>
      </c>
      <c r="C643" s="2" t="s">
        <v>6815</v>
      </c>
      <c r="D643" s="2" t="s">
        <v>6816</v>
      </c>
      <c r="E643" s="2" t="s">
        <v>6817</v>
      </c>
      <c r="F643" s="3" t="s">
        <v>245</v>
      </c>
      <c r="G643" s="3" t="s">
        <v>209</v>
      </c>
      <c r="I643" s="3" t="s">
        <v>209</v>
      </c>
      <c r="J643" s="3" t="s">
        <v>65</v>
      </c>
      <c r="K643" s="3" t="s">
        <v>66</v>
      </c>
      <c r="M643" s="2" t="s">
        <v>6818</v>
      </c>
      <c r="N643" s="3" t="s">
        <v>352</v>
      </c>
      <c r="O643" s="2" t="s">
        <v>2438</v>
      </c>
      <c r="P643" s="3" t="s">
        <v>69</v>
      </c>
      <c r="Q643" s="2" t="s">
        <v>6819</v>
      </c>
      <c r="R643" s="3" t="s">
        <v>71</v>
      </c>
      <c r="S643" s="4">
        <v>0</v>
      </c>
      <c r="T643" s="4">
        <v>17</v>
      </c>
      <c r="V643" s="5" t="s">
        <v>6820</v>
      </c>
      <c r="W643" s="5" t="s">
        <v>72</v>
      </c>
      <c r="X643" s="5" t="s">
        <v>72</v>
      </c>
      <c r="Y643" s="4">
        <v>1594</v>
      </c>
      <c r="Z643" s="4">
        <v>66</v>
      </c>
      <c r="AA643" s="4">
        <v>70</v>
      </c>
      <c r="AB643" s="4">
        <v>4</v>
      </c>
      <c r="AC643" s="4">
        <v>6</v>
      </c>
      <c r="AD643" s="4">
        <v>140</v>
      </c>
      <c r="AE643" s="4">
        <v>144</v>
      </c>
      <c r="AF643" s="4">
        <v>2</v>
      </c>
      <c r="AG643" s="4">
        <v>4</v>
      </c>
      <c r="AH643" s="4">
        <v>105</v>
      </c>
      <c r="AI643" s="4">
        <v>106</v>
      </c>
      <c r="AJ643" s="4">
        <v>20</v>
      </c>
      <c r="AK643" s="4">
        <v>22</v>
      </c>
      <c r="AL643" s="4">
        <v>58</v>
      </c>
      <c r="AM643" s="4">
        <v>58</v>
      </c>
      <c r="AN643" s="4">
        <v>0</v>
      </c>
      <c r="AO643" s="4">
        <v>0</v>
      </c>
      <c r="AP643" s="4">
        <v>40</v>
      </c>
      <c r="AQ643" s="4">
        <v>44</v>
      </c>
      <c r="AR643" s="3" t="s">
        <v>65</v>
      </c>
      <c r="AS643" s="3" t="s">
        <v>65</v>
      </c>
      <c r="AT643" s="3" t="s">
        <v>209</v>
      </c>
      <c r="AU643" s="6" t="str">
        <f>HYPERLINK("http://catalog.hathitrust.org/Record/000196731","HathiTrust Record")</f>
        <v>HathiTrust Record</v>
      </c>
      <c r="AV643" s="6" t="str">
        <f>HYPERLINK("http://mcgill.on.worldcat.org/oclc/344007","Catalog Record")</f>
        <v>Catalog Record</v>
      </c>
      <c r="AW643" s="6" t="str">
        <f>HYPERLINK("http://www.worldcat.org/oclc/344007","WorldCat Record")</f>
        <v>WorldCat Record</v>
      </c>
      <c r="AX643" s="3" t="s">
        <v>6821</v>
      </c>
      <c r="AY643" s="3" t="s">
        <v>6822</v>
      </c>
      <c r="AZ643" s="3" t="s">
        <v>6823</v>
      </c>
      <c r="BA643" s="3" t="s">
        <v>6823</v>
      </c>
      <c r="BB643" s="3" t="s">
        <v>6828</v>
      </c>
      <c r="BC643" s="3" t="s">
        <v>77</v>
      </c>
      <c r="BD643" s="3" t="s">
        <v>78</v>
      </c>
      <c r="BF643" s="3" t="s">
        <v>6828</v>
      </c>
      <c r="BG643" s="3" t="s">
        <v>6829</v>
      </c>
    </row>
    <row r="644" spans="1:59" ht="58" x14ac:dyDescent="0.35">
      <c r="A644" s="2" t="s">
        <v>59</v>
      </c>
      <c r="B644" s="2" t="s">
        <v>60</v>
      </c>
      <c r="C644" s="2" t="s">
        <v>6815</v>
      </c>
      <c r="D644" s="2" t="s">
        <v>6816</v>
      </c>
      <c r="E644" s="2" t="s">
        <v>6817</v>
      </c>
      <c r="F644" s="3" t="s">
        <v>792</v>
      </c>
      <c r="G644" s="3" t="s">
        <v>209</v>
      </c>
      <c r="I644" s="3" t="s">
        <v>209</v>
      </c>
      <c r="J644" s="3" t="s">
        <v>65</v>
      </c>
      <c r="K644" s="3" t="s">
        <v>66</v>
      </c>
      <c r="M644" s="2" t="s">
        <v>6818</v>
      </c>
      <c r="N644" s="3" t="s">
        <v>352</v>
      </c>
      <c r="O644" s="2" t="s">
        <v>2438</v>
      </c>
      <c r="P644" s="3" t="s">
        <v>69</v>
      </c>
      <c r="Q644" s="2" t="s">
        <v>6819</v>
      </c>
      <c r="R644" s="3" t="s">
        <v>71</v>
      </c>
      <c r="S644" s="4">
        <v>12</v>
      </c>
      <c r="T644" s="4">
        <v>17</v>
      </c>
      <c r="U644" s="5" t="s">
        <v>6830</v>
      </c>
      <c r="V644" s="5" t="s">
        <v>6820</v>
      </c>
      <c r="W644" s="5" t="s">
        <v>72</v>
      </c>
      <c r="X644" s="5" t="s">
        <v>72</v>
      </c>
      <c r="Y644" s="4">
        <v>1594</v>
      </c>
      <c r="Z644" s="4">
        <v>66</v>
      </c>
      <c r="AA644" s="4">
        <v>70</v>
      </c>
      <c r="AB644" s="4">
        <v>4</v>
      </c>
      <c r="AC644" s="4">
        <v>6</v>
      </c>
      <c r="AD644" s="4">
        <v>140</v>
      </c>
      <c r="AE644" s="4">
        <v>144</v>
      </c>
      <c r="AF644" s="4">
        <v>2</v>
      </c>
      <c r="AG644" s="4">
        <v>4</v>
      </c>
      <c r="AH644" s="4">
        <v>105</v>
      </c>
      <c r="AI644" s="4">
        <v>106</v>
      </c>
      <c r="AJ644" s="4">
        <v>20</v>
      </c>
      <c r="AK644" s="4">
        <v>22</v>
      </c>
      <c r="AL644" s="4">
        <v>58</v>
      </c>
      <c r="AM644" s="4">
        <v>58</v>
      </c>
      <c r="AN644" s="4">
        <v>0</v>
      </c>
      <c r="AO644" s="4">
        <v>0</v>
      </c>
      <c r="AP644" s="4">
        <v>40</v>
      </c>
      <c r="AQ644" s="4">
        <v>44</v>
      </c>
      <c r="AR644" s="3" t="s">
        <v>65</v>
      </c>
      <c r="AS644" s="3" t="s">
        <v>65</v>
      </c>
      <c r="AT644" s="3" t="s">
        <v>209</v>
      </c>
      <c r="AU644" s="6" t="str">
        <f>HYPERLINK("http://catalog.hathitrust.org/Record/000196731","HathiTrust Record")</f>
        <v>HathiTrust Record</v>
      </c>
      <c r="AV644" s="6" t="str">
        <f>HYPERLINK("http://mcgill.on.worldcat.org/oclc/344007","Catalog Record")</f>
        <v>Catalog Record</v>
      </c>
      <c r="AW644" s="6" t="str">
        <f>HYPERLINK("http://www.worldcat.org/oclc/344007","WorldCat Record")</f>
        <v>WorldCat Record</v>
      </c>
      <c r="AX644" s="3" t="s">
        <v>6821</v>
      </c>
      <c r="AY644" s="3" t="s">
        <v>6822</v>
      </c>
      <c r="AZ644" s="3" t="s">
        <v>6823</v>
      </c>
      <c r="BA644" s="3" t="s">
        <v>6823</v>
      </c>
      <c r="BB644" s="3" t="s">
        <v>6831</v>
      </c>
      <c r="BC644" s="3" t="s">
        <v>77</v>
      </c>
      <c r="BD644" s="3" t="s">
        <v>78</v>
      </c>
      <c r="BF644" s="3" t="s">
        <v>6831</v>
      </c>
      <c r="BG644" s="3" t="s">
        <v>6832</v>
      </c>
    </row>
    <row r="645" spans="1:59" ht="58" x14ac:dyDescent="0.35">
      <c r="A645" s="2" t="s">
        <v>59</v>
      </c>
      <c r="B645" s="2" t="s">
        <v>60</v>
      </c>
      <c r="C645" s="2" t="s">
        <v>6815</v>
      </c>
      <c r="D645" s="2" t="s">
        <v>6816</v>
      </c>
      <c r="E645" s="2" t="s">
        <v>6817</v>
      </c>
      <c r="F645" s="3" t="s">
        <v>255</v>
      </c>
      <c r="G645" s="3" t="s">
        <v>209</v>
      </c>
      <c r="I645" s="3" t="s">
        <v>209</v>
      </c>
      <c r="J645" s="3" t="s">
        <v>65</v>
      </c>
      <c r="K645" s="3" t="s">
        <v>66</v>
      </c>
      <c r="M645" s="2" t="s">
        <v>6818</v>
      </c>
      <c r="N645" s="3" t="s">
        <v>352</v>
      </c>
      <c r="O645" s="2" t="s">
        <v>2438</v>
      </c>
      <c r="P645" s="3" t="s">
        <v>69</v>
      </c>
      <c r="Q645" s="2" t="s">
        <v>6819</v>
      </c>
      <c r="R645" s="3" t="s">
        <v>71</v>
      </c>
      <c r="S645" s="4">
        <v>5</v>
      </c>
      <c r="T645" s="4">
        <v>17</v>
      </c>
      <c r="U645" s="5" t="s">
        <v>6820</v>
      </c>
      <c r="V645" s="5" t="s">
        <v>6820</v>
      </c>
      <c r="W645" s="5" t="s">
        <v>72</v>
      </c>
      <c r="X645" s="5" t="s">
        <v>72</v>
      </c>
      <c r="Y645" s="4">
        <v>1594</v>
      </c>
      <c r="Z645" s="4">
        <v>66</v>
      </c>
      <c r="AA645" s="4">
        <v>70</v>
      </c>
      <c r="AB645" s="4">
        <v>4</v>
      </c>
      <c r="AC645" s="4">
        <v>6</v>
      </c>
      <c r="AD645" s="4">
        <v>140</v>
      </c>
      <c r="AE645" s="4">
        <v>144</v>
      </c>
      <c r="AF645" s="4">
        <v>2</v>
      </c>
      <c r="AG645" s="4">
        <v>4</v>
      </c>
      <c r="AH645" s="4">
        <v>105</v>
      </c>
      <c r="AI645" s="4">
        <v>106</v>
      </c>
      <c r="AJ645" s="4">
        <v>20</v>
      </c>
      <c r="AK645" s="4">
        <v>22</v>
      </c>
      <c r="AL645" s="4">
        <v>58</v>
      </c>
      <c r="AM645" s="4">
        <v>58</v>
      </c>
      <c r="AN645" s="4">
        <v>0</v>
      </c>
      <c r="AO645" s="4">
        <v>0</v>
      </c>
      <c r="AP645" s="4">
        <v>40</v>
      </c>
      <c r="AQ645" s="4">
        <v>44</v>
      </c>
      <c r="AR645" s="3" t="s">
        <v>65</v>
      </c>
      <c r="AS645" s="3" t="s">
        <v>65</v>
      </c>
      <c r="AT645" s="3" t="s">
        <v>209</v>
      </c>
      <c r="AU645" s="6" t="str">
        <f>HYPERLINK("http://catalog.hathitrust.org/Record/000196731","HathiTrust Record")</f>
        <v>HathiTrust Record</v>
      </c>
      <c r="AV645" s="6" t="str">
        <f>HYPERLINK("http://mcgill.on.worldcat.org/oclc/344007","Catalog Record")</f>
        <v>Catalog Record</v>
      </c>
      <c r="AW645" s="6" t="str">
        <f>HYPERLINK("http://www.worldcat.org/oclc/344007","WorldCat Record")</f>
        <v>WorldCat Record</v>
      </c>
      <c r="AX645" s="3" t="s">
        <v>6821</v>
      </c>
      <c r="AY645" s="3" t="s">
        <v>6822</v>
      </c>
      <c r="AZ645" s="3" t="s">
        <v>6823</v>
      </c>
      <c r="BA645" s="3" t="s">
        <v>6823</v>
      </c>
      <c r="BB645" s="3" t="s">
        <v>6833</v>
      </c>
      <c r="BC645" s="3" t="s">
        <v>77</v>
      </c>
      <c r="BD645" s="3" t="s">
        <v>78</v>
      </c>
      <c r="BF645" s="3" t="s">
        <v>6833</v>
      </c>
      <c r="BG645" s="3" t="s">
        <v>6834</v>
      </c>
    </row>
    <row r="646" spans="1:59" ht="58" x14ac:dyDescent="0.35">
      <c r="A646" s="2" t="s">
        <v>59</v>
      </c>
      <c r="B646" s="2" t="s">
        <v>60</v>
      </c>
      <c r="C646" s="2" t="s">
        <v>6835</v>
      </c>
      <c r="D646" s="2" t="s">
        <v>6836</v>
      </c>
      <c r="E646" s="2" t="s">
        <v>6837</v>
      </c>
      <c r="G646" s="3" t="s">
        <v>65</v>
      </c>
      <c r="I646" s="3" t="s">
        <v>65</v>
      </c>
      <c r="J646" s="3" t="s">
        <v>65</v>
      </c>
      <c r="K646" s="3" t="s">
        <v>66</v>
      </c>
      <c r="M646" s="2" t="s">
        <v>6838</v>
      </c>
      <c r="N646" s="3" t="s">
        <v>126</v>
      </c>
      <c r="P646" s="3" t="s">
        <v>69</v>
      </c>
      <c r="Q646" s="2" t="s">
        <v>6839</v>
      </c>
      <c r="R646" s="3" t="s">
        <v>71</v>
      </c>
      <c r="S646" s="4">
        <v>1</v>
      </c>
      <c r="T646" s="4">
        <v>1</v>
      </c>
      <c r="W646" s="5" t="s">
        <v>72</v>
      </c>
      <c r="X646" s="5" t="s">
        <v>72</v>
      </c>
      <c r="Y646" s="4">
        <v>98</v>
      </c>
      <c r="Z646" s="4">
        <v>8</v>
      </c>
      <c r="AA646" s="4">
        <v>8</v>
      </c>
      <c r="AB646" s="4">
        <v>2</v>
      </c>
      <c r="AC646" s="4">
        <v>2</v>
      </c>
      <c r="AD646" s="4">
        <v>53</v>
      </c>
      <c r="AE646" s="4">
        <v>53</v>
      </c>
      <c r="AF646" s="4">
        <v>1</v>
      </c>
      <c r="AG646" s="4">
        <v>1</v>
      </c>
      <c r="AH646" s="4">
        <v>51</v>
      </c>
      <c r="AI646" s="4">
        <v>51</v>
      </c>
      <c r="AJ646" s="4">
        <v>4</v>
      </c>
      <c r="AK646" s="4">
        <v>4</v>
      </c>
      <c r="AL646" s="4">
        <v>32</v>
      </c>
      <c r="AM646" s="4">
        <v>32</v>
      </c>
      <c r="AN646" s="4">
        <v>0</v>
      </c>
      <c r="AO646" s="4">
        <v>0</v>
      </c>
      <c r="AP646" s="4">
        <v>4</v>
      </c>
      <c r="AQ646" s="4">
        <v>4</v>
      </c>
      <c r="AR646" s="3" t="s">
        <v>65</v>
      </c>
      <c r="AS646" s="3" t="s">
        <v>65</v>
      </c>
      <c r="AT646" s="3" t="s">
        <v>65</v>
      </c>
      <c r="AV646" s="6" t="str">
        <f>HYPERLINK("http://mcgill.on.worldcat.org/oclc/708357809","Catalog Record")</f>
        <v>Catalog Record</v>
      </c>
      <c r="AW646" s="6" t="str">
        <f>HYPERLINK("http://www.worldcat.org/oclc/708357809","WorldCat Record")</f>
        <v>WorldCat Record</v>
      </c>
      <c r="AX646" s="3" t="s">
        <v>6840</v>
      </c>
      <c r="AY646" s="3" t="s">
        <v>6841</v>
      </c>
      <c r="AZ646" s="3" t="s">
        <v>6842</v>
      </c>
      <c r="BA646" s="3" t="s">
        <v>6842</v>
      </c>
      <c r="BB646" s="3" t="s">
        <v>6843</v>
      </c>
      <c r="BC646" s="3" t="s">
        <v>77</v>
      </c>
      <c r="BD646" s="3" t="s">
        <v>106</v>
      </c>
      <c r="BE646" s="3" t="s">
        <v>6844</v>
      </c>
      <c r="BF646" s="3" t="s">
        <v>6843</v>
      </c>
      <c r="BG646" s="3" t="s">
        <v>6845</v>
      </c>
    </row>
    <row r="647" spans="1:59" ht="72.5" x14ac:dyDescent="0.35">
      <c r="A647" s="2" t="s">
        <v>59</v>
      </c>
      <c r="B647" s="2" t="s">
        <v>60</v>
      </c>
      <c r="C647" s="2" t="s">
        <v>6846</v>
      </c>
      <c r="D647" s="2" t="s">
        <v>6847</v>
      </c>
      <c r="E647" s="2" t="s">
        <v>6848</v>
      </c>
      <c r="G647" s="3" t="s">
        <v>65</v>
      </c>
      <c r="I647" s="3" t="s">
        <v>65</v>
      </c>
      <c r="J647" s="3" t="s">
        <v>65</v>
      </c>
      <c r="K647" s="3" t="s">
        <v>66</v>
      </c>
      <c r="M647" s="2" t="s">
        <v>6849</v>
      </c>
      <c r="N647" s="3" t="s">
        <v>126</v>
      </c>
      <c r="P647" s="3" t="s">
        <v>69</v>
      </c>
      <c r="R647" s="3" t="s">
        <v>71</v>
      </c>
      <c r="S647" s="4">
        <v>2</v>
      </c>
      <c r="T647" s="4">
        <v>2</v>
      </c>
      <c r="U647" s="5" t="s">
        <v>6808</v>
      </c>
      <c r="V647" s="5" t="s">
        <v>6808</v>
      </c>
      <c r="W647" s="5" t="s">
        <v>72</v>
      </c>
      <c r="X647" s="5" t="s">
        <v>72</v>
      </c>
      <c r="Y647" s="4">
        <v>43</v>
      </c>
      <c r="Z647" s="4">
        <v>7</v>
      </c>
      <c r="AA647" s="4">
        <v>7</v>
      </c>
      <c r="AB647" s="4">
        <v>2</v>
      </c>
      <c r="AC647" s="4">
        <v>2</v>
      </c>
      <c r="AD647" s="4">
        <v>22</v>
      </c>
      <c r="AE647" s="4">
        <v>22</v>
      </c>
      <c r="AF647" s="4">
        <v>1</v>
      </c>
      <c r="AG647" s="4">
        <v>1</v>
      </c>
      <c r="AH647" s="4">
        <v>20</v>
      </c>
      <c r="AI647" s="4">
        <v>20</v>
      </c>
      <c r="AJ647" s="4">
        <v>5</v>
      </c>
      <c r="AK647" s="4">
        <v>5</v>
      </c>
      <c r="AL647" s="4">
        <v>12</v>
      </c>
      <c r="AM647" s="4">
        <v>12</v>
      </c>
      <c r="AN647" s="4">
        <v>0</v>
      </c>
      <c r="AO647" s="4">
        <v>0</v>
      </c>
      <c r="AP647" s="4">
        <v>5</v>
      </c>
      <c r="AQ647" s="4">
        <v>5</v>
      </c>
      <c r="AR647" s="3" t="s">
        <v>65</v>
      </c>
      <c r="AS647" s="3" t="s">
        <v>65</v>
      </c>
      <c r="AT647" s="3" t="s">
        <v>65</v>
      </c>
      <c r="AV647" s="6" t="str">
        <f>HYPERLINK("http://mcgill.on.worldcat.org/oclc/710816319","Catalog Record")</f>
        <v>Catalog Record</v>
      </c>
      <c r="AW647" s="6" t="str">
        <f>HYPERLINK("http://www.worldcat.org/oclc/710816319","WorldCat Record")</f>
        <v>WorldCat Record</v>
      </c>
      <c r="AX647" s="3" t="s">
        <v>6850</v>
      </c>
      <c r="AY647" s="3" t="s">
        <v>6851</v>
      </c>
      <c r="AZ647" s="3" t="s">
        <v>6852</v>
      </c>
      <c r="BA647" s="3" t="s">
        <v>6852</v>
      </c>
      <c r="BB647" s="3" t="s">
        <v>6853</v>
      </c>
      <c r="BC647" s="3" t="s">
        <v>77</v>
      </c>
      <c r="BD647" s="3" t="s">
        <v>78</v>
      </c>
      <c r="BE647" s="3" t="s">
        <v>6854</v>
      </c>
      <c r="BF647" s="3" t="s">
        <v>6853</v>
      </c>
      <c r="BG647" s="3" t="s">
        <v>6855</v>
      </c>
    </row>
    <row r="648" spans="1:59" ht="58" x14ac:dyDescent="0.35">
      <c r="A648" s="2" t="s">
        <v>59</v>
      </c>
      <c r="B648" s="2" t="s">
        <v>60</v>
      </c>
      <c r="C648" s="2" t="s">
        <v>6856</v>
      </c>
      <c r="D648" s="2" t="s">
        <v>6857</v>
      </c>
      <c r="E648" s="2" t="s">
        <v>6858</v>
      </c>
      <c r="G648" s="3" t="s">
        <v>65</v>
      </c>
      <c r="I648" s="3" t="s">
        <v>65</v>
      </c>
      <c r="J648" s="3" t="s">
        <v>65</v>
      </c>
      <c r="K648" s="3" t="s">
        <v>66</v>
      </c>
      <c r="M648" s="2" t="s">
        <v>4583</v>
      </c>
      <c r="N648" s="3" t="s">
        <v>99</v>
      </c>
      <c r="P648" s="3" t="s">
        <v>69</v>
      </c>
      <c r="Q648" s="2" t="s">
        <v>1197</v>
      </c>
      <c r="R648" s="3" t="s">
        <v>71</v>
      </c>
      <c r="S648" s="4">
        <v>2</v>
      </c>
      <c r="T648" s="4">
        <v>2</v>
      </c>
      <c r="U648" s="5" t="s">
        <v>6859</v>
      </c>
      <c r="V648" s="5" t="s">
        <v>6859</v>
      </c>
      <c r="W648" s="5" t="s">
        <v>72</v>
      </c>
      <c r="X648" s="5" t="s">
        <v>72</v>
      </c>
      <c r="Y648" s="4">
        <v>186</v>
      </c>
      <c r="Z648" s="4">
        <v>26</v>
      </c>
      <c r="AA648" s="4">
        <v>123</v>
      </c>
      <c r="AB648" s="4">
        <v>1</v>
      </c>
      <c r="AC648" s="4">
        <v>23</v>
      </c>
      <c r="AD648" s="4">
        <v>92</v>
      </c>
      <c r="AE648" s="4">
        <v>152</v>
      </c>
      <c r="AF648" s="4">
        <v>0</v>
      </c>
      <c r="AG648" s="4">
        <v>9</v>
      </c>
      <c r="AH648" s="4">
        <v>80</v>
      </c>
      <c r="AI648" s="4">
        <v>103</v>
      </c>
      <c r="AJ648" s="4">
        <v>17</v>
      </c>
      <c r="AK648" s="4">
        <v>29</v>
      </c>
      <c r="AL648" s="4">
        <v>49</v>
      </c>
      <c r="AM648" s="4">
        <v>58</v>
      </c>
      <c r="AN648" s="4">
        <v>0</v>
      </c>
      <c r="AO648" s="4">
        <v>0</v>
      </c>
      <c r="AP648" s="4">
        <v>18</v>
      </c>
      <c r="AQ648" s="4">
        <v>56</v>
      </c>
      <c r="AR648" s="3" t="s">
        <v>209</v>
      </c>
      <c r="AS648" s="3" t="s">
        <v>65</v>
      </c>
      <c r="AT648" s="3" t="s">
        <v>65</v>
      </c>
      <c r="AV648" s="6" t="str">
        <f>HYPERLINK("http://mcgill.on.worldcat.org/oclc/63467977","Catalog Record")</f>
        <v>Catalog Record</v>
      </c>
      <c r="AW648" s="6" t="str">
        <f>HYPERLINK("http://www.worldcat.org/oclc/63467977","WorldCat Record")</f>
        <v>WorldCat Record</v>
      </c>
      <c r="AX648" s="3" t="s">
        <v>6860</v>
      </c>
      <c r="AY648" s="3" t="s">
        <v>6861</v>
      </c>
      <c r="AZ648" s="3" t="s">
        <v>6862</v>
      </c>
      <c r="BA648" s="3" t="s">
        <v>6862</v>
      </c>
      <c r="BB648" s="3" t="s">
        <v>6863</v>
      </c>
      <c r="BC648" s="3" t="s">
        <v>77</v>
      </c>
      <c r="BD648" s="3" t="s">
        <v>78</v>
      </c>
      <c r="BE648" s="3" t="s">
        <v>6864</v>
      </c>
      <c r="BF648" s="3" t="s">
        <v>6863</v>
      </c>
      <c r="BG648" s="3" t="s">
        <v>6865</v>
      </c>
    </row>
    <row r="649" spans="1:59" ht="58" x14ac:dyDescent="0.35">
      <c r="A649" s="2" t="s">
        <v>59</v>
      </c>
      <c r="B649" s="2" t="s">
        <v>60</v>
      </c>
      <c r="C649" s="2" t="s">
        <v>6866</v>
      </c>
      <c r="D649" s="2" t="s">
        <v>6867</v>
      </c>
      <c r="E649" s="2" t="s">
        <v>6868</v>
      </c>
      <c r="G649" s="3" t="s">
        <v>65</v>
      </c>
      <c r="I649" s="3" t="s">
        <v>65</v>
      </c>
      <c r="J649" s="3" t="s">
        <v>65</v>
      </c>
      <c r="K649" s="3" t="s">
        <v>66</v>
      </c>
      <c r="M649" s="2" t="s">
        <v>6869</v>
      </c>
      <c r="N649" s="3" t="s">
        <v>525</v>
      </c>
      <c r="O649" s="2" t="s">
        <v>526</v>
      </c>
      <c r="P649" s="3" t="s">
        <v>69</v>
      </c>
      <c r="R649" s="3" t="s">
        <v>71</v>
      </c>
      <c r="S649" s="4">
        <v>2</v>
      </c>
      <c r="T649" s="4">
        <v>2</v>
      </c>
      <c r="U649" s="5" t="s">
        <v>1978</v>
      </c>
      <c r="V649" s="5" t="s">
        <v>1978</v>
      </c>
      <c r="W649" s="5" t="s">
        <v>72</v>
      </c>
      <c r="X649" s="5" t="s">
        <v>72</v>
      </c>
      <c r="Y649" s="4">
        <v>124</v>
      </c>
      <c r="Z649" s="4">
        <v>14</v>
      </c>
      <c r="AA649" s="4">
        <v>14</v>
      </c>
      <c r="AB649" s="4">
        <v>3</v>
      </c>
      <c r="AC649" s="4">
        <v>3</v>
      </c>
      <c r="AD649" s="4">
        <v>68</v>
      </c>
      <c r="AE649" s="4">
        <v>68</v>
      </c>
      <c r="AF649" s="4">
        <v>1</v>
      </c>
      <c r="AG649" s="4">
        <v>1</v>
      </c>
      <c r="AH649" s="4">
        <v>61</v>
      </c>
      <c r="AI649" s="4">
        <v>61</v>
      </c>
      <c r="AJ649" s="4">
        <v>9</v>
      </c>
      <c r="AK649" s="4">
        <v>9</v>
      </c>
      <c r="AL649" s="4">
        <v>38</v>
      </c>
      <c r="AM649" s="4">
        <v>38</v>
      </c>
      <c r="AN649" s="4">
        <v>0</v>
      </c>
      <c r="AO649" s="4">
        <v>0</v>
      </c>
      <c r="AP649" s="4">
        <v>10</v>
      </c>
      <c r="AQ649" s="4">
        <v>10</v>
      </c>
      <c r="AR649" s="3" t="s">
        <v>65</v>
      </c>
      <c r="AS649" s="3" t="s">
        <v>65</v>
      </c>
      <c r="AT649" s="3" t="s">
        <v>209</v>
      </c>
      <c r="AU649" s="6" t="str">
        <f>HYPERLINK("http://catalog.hathitrust.org/Record/004963520","HathiTrust Record")</f>
        <v>HathiTrust Record</v>
      </c>
      <c r="AV649" s="6" t="str">
        <f>HYPERLINK("http://mcgill.on.worldcat.org/oclc/53939695","Catalog Record")</f>
        <v>Catalog Record</v>
      </c>
      <c r="AW649" s="6" t="str">
        <f>HYPERLINK("http://www.worldcat.org/oclc/53939695","WorldCat Record")</f>
        <v>WorldCat Record</v>
      </c>
      <c r="AX649" s="3" t="s">
        <v>6870</v>
      </c>
      <c r="AY649" s="3" t="s">
        <v>6871</v>
      </c>
      <c r="AZ649" s="3" t="s">
        <v>6872</v>
      </c>
      <c r="BA649" s="3" t="s">
        <v>6872</v>
      </c>
      <c r="BB649" s="3" t="s">
        <v>6873</v>
      </c>
      <c r="BC649" s="3" t="s">
        <v>77</v>
      </c>
      <c r="BD649" s="3" t="s">
        <v>78</v>
      </c>
      <c r="BE649" s="3" t="s">
        <v>6874</v>
      </c>
      <c r="BF649" s="3" t="s">
        <v>6873</v>
      </c>
      <c r="BG649" s="3" t="s">
        <v>6875</v>
      </c>
    </row>
    <row r="650" spans="1:59" ht="58" x14ac:dyDescent="0.35">
      <c r="A650" s="2" t="s">
        <v>59</v>
      </c>
      <c r="B650" s="2" t="s">
        <v>60</v>
      </c>
      <c r="C650" s="2" t="s">
        <v>6876</v>
      </c>
      <c r="D650" s="2" t="s">
        <v>6877</v>
      </c>
      <c r="E650" s="2" t="s">
        <v>6878</v>
      </c>
      <c r="G650" s="3" t="s">
        <v>65</v>
      </c>
      <c r="I650" s="3" t="s">
        <v>65</v>
      </c>
      <c r="J650" s="3" t="s">
        <v>65</v>
      </c>
      <c r="K650" s="3" t="s">
        <v>66</v>
      </c>
      <c r="M650" s="2" t="s">
        <v>6879</v>
      </c>
      <c r="N650" s="3" t="s">
        <v>392</v>
      </c>
      <c r="P650" s="3" t="s">
        <v>69</v>
      </c>
      <c r="R650" s="3" t="s">
        <v>71</v>
      </c>
      <c r="S650" s="4">
        <v>5</v>
      </c>
      <c r="T650" s="4">
        <v>5</v>
      </c>
      <c r="U650" s="5" t="s">
        <v>3769</v>
      </c>
      <c r="V650" s="5" t="s">
        <v>3769</v>
      </c>
      <c r="W650" s="5" t="s">
        <v>72</v>
      </c>
      <c r="X650" s="5" t="s">
        <v>72</v>
      </c>
      <c r="Y650" s="4">
        <v>346</v>
      </c>
      <c r="Z650" s="4">
        <v>14</v>
      </c>
      <c r="AA650" s="4">
        <v>14</v>
      </c>
      <c r="AB650" s="4">
        <v>2</v>
      </c>
      <c r="AC650" s="4">
        <v>2</v>
      </c>
      <c r="AD650" s="4">
        <v>94</v>
      </c>
      <c r="AE650" s="4">
        <v>94</v>
      </c>
      <c r="AF650" s="4">
        <v>1</v>
      </c>
      <c r="AG650" s="4">
        <v>1</v>
      </c>
      <c r="AH650" s="4">
        <v>89</v>
      </c>
      <c r="AI650" s="4">
        <v>89</v>
      </c>
      <c r="AJ650" s="4">
        <v>8</v>
      </c>
      <c r="AK650" s="4">
        <v>8</v>
      </c>
      <c r="AL650" s="4">
        <v>51</v>
      </c>
      <c r="AM650" s="4">
        <v>51</v>
      </c>
      <c r="AN650" s="4">
        <v>0</v>
      </c>
      <c r="AO650" s="4">
        <v>0</v>
      </c>
      <c r="AP650" s="4">
        <v>9</v>
      </c>
      <c r="AQ650" s="4">
        <v>9</v>
      </c>
      <c r="AR650" s="3" t="s">
        <v>65</v>
      </c>
      <c r="AS650" s="3" t="s">
        <v>65</v>
      </c>
      <c r="AT650" s="3" t="s">
        <v>209</v>
      </c>
      <c r="AU650" s="6" t="str">
        <f>HYPERLINK("http://catalog.hathitrust.org/Record/002171350","HathiTrust Record")</f>
        <v>HathiTrust Record</v>
      </c>
      <c r="AV650" s="6" t="str">
        <f>HYPERLINK("http://mcgill.on.worldcat.org/oclc/20094657","Catalog Record")</f>
        <v>Catalog Record</v>
      </c>
      <c r="AW650" s="6" t="str">
        <f>HYPERLINK("http://www.worldcat.org/oclc/20094657","WorldCat Record")</f>
        <v>WorldCat Record</v>
      </c>
      <c r="AX650" s="3" t="s">
        <v>6880</v>
      </c>
      <c r="AY650" s="3" t="s">
        <v>6881</v>
      </c>
      <c r="AZ650" s="3" t="s">
        <v>6882</v>
      </c>
      <c r="BA650" s="3" t="s">
        <v>6882</v>
      </c>
      <c r="BB650" s="3" t="s">
        <v>6883</v>
      </c>
      <c r="BC650" s="3" t="s">
        <v>77</v>
      </c>
      <c r="BD650" s="3" t="s">
        <v>78</v>
      </c>
      <c r="BE650" s="3" t="s">
        <v>6884</v>
      </c>
      <c r="BF650" s="3" t="s">
        <v>6883</v>
      </c>
      <c r="BG650" s="3" t="s">
        <v>6885</v>
      </c>
    </row>
    <row r="651" spans="1:59" ht="58" x14ac:dyDescent="0.35">
      <c r="A651" s="2" t="s">
        <v>59</v>
      </c>
      <c r="B651" s="2" t="s">
        <v>60</v>
      </c>
      <c r="C651" s="2" t="s">
        <v>6886</v>
      </c>
      <c r="D651" s="2" t="s">
        <v>6887</v>
      </c>
      <c r="E651" s="2" t="s">
        <v>6888</v>
      </c>
      <c r="G651" s="3" t="s">
        <v>65</v>
      </c>
      <c r="I651" s="3" t="s">
        <v>65</v>
      </c>
      <c r="J651" s="3" t="s">
        <v>65</v>
      </c>
      <c r="K651" s="3" t="s">
        <v>66</v>
      </c>
      <c r="M651" s="2" t="s">
        <v>6889</v>
      </c>
      <c r="N651" s="3" t="s">
        <v>152</v>
      </c>
      <c r="P651" s="3" t="s">
        <v>140</v>
      </c>
      <c r="Q651" s="2" t="s">
        <v>6890</v>
      </c>
      <c r="R651" s="3" t="s">
        <v>71</v>
      </c>
      <c r="S651" s="4">
        <v>0</v>
      </c>
      <c r="T651" s="4">
        <v>0</v>
      </c>
      <c r="W651" s="5" t="s">
        <v>72</v>
      </c>
      <c r="X651" s="5" t="s">
        <v>72</v>
      </c>
      <c r="Y651" s="4">
        <v>22</v>
      </c>
      <c r="Z651" s="4">
        <v>1</v>
      </c>
      <c r="AA651" s="4">
        <v>5</v>
      </c>
      <c r="AB651" s="4">
        <v>1</v>
      </c>
      <c r="AC651" s="4">
        <v>5</v>
      </c>
      <c r="AD651" s="4">
        <v>12</v>
      </c>
      <c r="AE651" s="4">
        <v>13</v>
      </c>
      <c r="AF651" s="4">
        <v>0</v>
      </c>
      <c r="AG651" s="4">
        <v>1</v>
      </c>
      <c r="AH651" s="4">
        <v>11</v>
      </c>
      <c r="AI651" s="4">
        <v>11</v>
      </c>
      <c r="AJ651" s="4">
        <v>0</v>
      </c>
      <c r="AK651" s="4">
        <v>1</v>
      </c>
      <c r="AL651" s="4">
        <v>10</v>
      </c>
      <c r="AM651" s="4">
        <v>10</v>
      </c>
      <c r="AN651" s="4">
        <v>0</v>
      </c>
      <c r="AO651" s="4">
        <v>0</v>
      </c>
      <c r="AP651" s="4">
        <v>0</v>
      </c>
      <c r="AQ651" s="4">
        <v>0</v>
      </c>
      <c r="AR651" s="3" t="s">
        <v>65</v>
      </c>
      <c r="AS651" s="3" t="s">
        <v>65</v>
      </c>
      <c r="AT651" s="3" t="s">
        <v>65</v>
      </c>
      <c r="AV651" s="6" t="str">
        <f>HYPERLINK("http://mcgill.on.worldcat.org/oclc/853451130","Catalog Record")</f>
        <v>Catalog Record</v>
      </c>
      <c r="AW651" s="6" t="str">
        <f>HYPERLINK("http://www.worldcat.org/oclc/853451130","WorldCat Record")</f>
        <v>WorldCat Record</v>
      </c>
      <c r="AX651" s="3" t="s">
        <v>6891</v>
      </c>
      <c r="AY651" s="3" t="s">
        <v>6892</v>
      </c>
      <c r="AZ651" s="3" t="s">
        <v>6893</v>
      </c>
      <c r="BA651" s="3" t="s">
        <v>6893</v>
      </c>
      <c r="BB651" s="3" t="s">
        <v>6894</v>
      </c>
      <c r="BC651" s="3" t="s">
        <v>77</v>
      </c>
      <c r="BD651" s="3" t="s">
        <v>78</v>
      </c>
      <c r="BE651" s="3" t="s">
        <v>6895</v>
      </c>
      <c r="BF651" s="3" t="s">
        <v>6894</v>
      </c>
      <c r="BG651" s="3" t="s">
        <v>6896</v>
      </c>
    </row>
    <row r="652" spans="1:59" ht="72.5" x14ac:dyDescent="0.35">
      <c r="A652" s="2" t="s">
        <v>59</v>
      </c>
      <c r="B652" s="2" t="s">
        <v>60</v>
      </c>
      <c r="C652" s="2" t="s">
        <v>6897</v>
      </c>
      <c r="D652" s="2" t="s">
        <v>6898</v>
      </c>
      <c r="E652" s="2" t="s">
        <v>6899</v>
      </c>
      <c r="G652" s="3" t="s">
        <v>65</v>
      </c>
      <c r="I652" s="3" t="s">
        <v>65</v>
      </c>
      <c r="J652" s="3" t="s">
        <v>65</v>
      </c>
      <c r="K652" s="3" t="s">
        <v>66</v>
      </c>
      <c r="L652" s="2" t="s">
        <v>6900</v>
      </c>
      <c r="M652" s="2" t="s">
        <v>6901</v>
      </c>
      <c r="N652" s="3" t="s">
        <v>152</v>
      </c>
      <c r="P652" s="3" t="s">
        <v>69</v>
      </c>
      <c r="R652" s="3" t="s">
        <v>71</v>
      </c>
      <c r="S652" s="4">
        <v>5</v>
      </c>
      <c r="T652" s="4">
        <v>5</v>
      </c>
      <c r="U652" s="5" t="s">
        <v>3769</v>
      </c>
      <c r="V652" s="5" t="s">
        <v>3769</v>
      </c>
      <c r="W652" s="5" t="s">
        <v>72</v>
      </c>
      <c r="X652" s="5" t="s">
        <v>72</v>
      </c>
      <c r="Y652" s="4">
        <v>66</v>
      </c>
      <c r="Z652" s="4">
        <v>5</v>
      </c>
      <c r="AA652" s="4">
        <v>5</v>
      </c>
      <c r="AB652" s="4">
        <v>1</v>
      </c>
      <c r="AC652" s="4">
        <v>1</v>
      </c>
      <c r="AD652" s="4">
        <v>28</v>
      </c>
      <c r="AE652" s="4">
        <v>28</v>
      </c>
      <c r="AF652" s="4">
        <v>0</v>
      </c>
      <c r="AG652" s="4">
        <v>0</v>
      </c>
      <c r="AH652" s="4">
        <v>26</v>
      </c>
      <c r="AI652" s="4">
        <v>26</v>
      </c>
      <c r="AJ652" s="4">
        <v>3</v>
      </c>
      <c r="AK652" s="4">
        <v>3</v>
      </c>
      <c r="AL652" s="4">
        <v>20</v>
      </c>
      <c r="AM652" s="4">
        <v>20</v>
      </c>
      <c r="AN652" s="4">
        <v>0</v>
      </c>
      <c r="AO652" s="4">
        <v>0</v>
      </c>
      <c r="AP652" s="4">
        <v>3</v>
      </c>
      <c r="AQ652" s="4">
        <v>3</v>
      </c>
      <c r="AR652" s="3" t="s">
        <v>65</v>
      </c>
      <c r="AS652" s="3" t="s">
        <v>65</v>
      </c>
      <c r="AT652" s="3" t="s">
        <v>65</v>
      </c>
      <c r="AV652" s="6" t="str">
        <f>HYPERLINK("http://mcgill.on.worldcat.org/oclc/813858280","Catalog Record")</f>
        <v>Catalog Record</v>
      </c>
      <c r="AW652" s="6" t="str">
        <f>HYPERLINK("http://www.worldcat.org/oclc/813858280","WorldCat Record")</f>
        <v>WorldCat Record</v>
      </c>
      <c r="AX652" s="3" t="s">
        <v>6902</v>
      </c>
      <c r="AY652" s="3" t="s">
        <v>6903</v>
      </c>
      <c r="AZ652" s="3" t="s">
        <v>6904</v>
      </c>
      <c r="BA652" s="3" t="s">
        <v>6904</v>
      </c>
      <c r="BB652" s="3" t="s">
        <v>6905</v>
      </c>
      <c r="BC652" s="3" t="s">
        <v>77</v>
      </c>
      <c r="BD652" s="3" t="s">
        <v>78</v>
      </c>
      <c r="BE652" s="3" t="s">
        <v>6906</v>
      </c>
      <c r="BF652" s="3" t="s">
        <v>6905</v>
      </c>
      <c r="BG652" s="3" t="s">
        <v>6907</v>
      </c>
    </row>
    <row r="653" spans="1:59" ht="58" x14ac:dyDescent="0.35">
      <c r="A653" s="2" t="s">
        <v>59</v>
      </c>
      <c r="B653" s="2" t="s">
        <v>60</v>
      </c>
      <c r="C653" s="2" t="s">
        <v>6908</v>
      </c>
      <c r="D653" s="2" t="s">
        <v>6909</v>
      </c>
      <c r="E653" s="2" t="s">
        <v>6910</v>
      </c>
      <c r="G653" s="3" t="s">
        <v>65</v>
      </c>
      <c r="I653" s="3" t="s">
        <v>65</v>
      </c>
      <c r="J653" s="3" t="s">
        <v>65</v>
      </c>
      <c r="K653" s="3" t="s">
        <v>66</v>
      </c>
      <c r="M653" s="2" t="s">
        <v>6911</v>
      </c>
      <c r="N653" s="3" t="s">
        <v>126</v>
      </c>
      <c r="P653" s="3" t="s">
        <v>140</v>
      </c>
      <c r="Q653" s="2" t="s">
        <v>6912</v>
      </c>
      <c r="R653" s="3" t="s">
        <v>71</v>
      </c>
      <c r="S653" s="4">
        <v>0</v>
      </c>
      <c r="T653" s="4">
        <v>0</v>
      </c>
      <c r="W653" s="5" t="s">
        <v>72</v>
      </c>
      <c r="X653" s="5" t="s">
        <v>72</v>
      </c>
      <c r="Y653" s="4">
        <v>13</v>
      </c>
      <c r="Z653" s="4">
        <v>1</v>
      </c>
      <c r="AA653" s="4">
        <v>1</v>
      </c>
      <c r="AB653" s="4">
        <v>1</v>
      </c>
      <c r="AC653" s="4">
        <v>1</v>
      </c>
      <c r="AD653" s="4">
        <v>11</v>
      </c>
      <c r="AE653" s="4">
        <v>11</v>
      </c>
      <c r="AF653" s="4">
        <v>0</v>
      </c>
      <c r="AG653" s="4">
        <v>0</v>
      </c>
      <c r="AH653" s="4">
        <v>11</v>
      </c>
      <c r="AI653" s="4">
        <v>11</v>
      </c>
      <c r="AJ653" s="4">
        <v>0</v>
      </c>
      <c r="AK653" s="4">
        <v>0</v>
      </c>
      <c r="AL653" s="4">
        <v>8</v>
      </c>
      <c r="AM653" s="4">
        <v>8</v>
      </c>
      <c r="AN653" s="4">
        <v>0</v>
      </c>
      <c r="AO653" s="4">
        <v>0</v>
      </c>
      <c r="AP653" s="4">
        <v>0</v>
      </c>
      <c r="AQ653" s="4">
        <v>0</v>
      </c>
      <c r="AR653" s="3" t="s">
        <v>65</v>
      </c>
      <c r="AS653" s="3" t="s">
        <v>65</v>
      </c>
      <c r="AT653" s="3" t="s">
        <v>65</v>
      </c>
      <c r="AV653" s="6" t="str">
        <f>HYPERLINK("http://mcgill.on.worldcat.org/oclc/721864206","Catalog Record")</f>
        <v>Catalog Record</v>
      </c>
      <c r="AW653" s="6" t="str">
        <f>HYPERLINK("http://www.worldcat.org/oclc/721864206","WorldCat Record")</f>
        <v>WorldCat Record</v>
      </c>
      <c r="AX653" s="3" t="s">
        <v>6913</v>
      </c>
      <c r="AY653" s="3" t="s">
        <v>6914</v>
      </c>
      <c r="AZ653" s="3" t="s">
        <v>6915</v>
      </c>
      <c r="BA653" s="3" t="s">
        <v>6915</v>
      </c>
      <c r="BB653" s="3" t="s">
        <v>6916</v>
      </c>
      <c r="BC653" s="3" t="s">
        <v>77</v>
      </c>
      <c r="BD653" s="3" t="s">
        <v>78</v>
      </c>
      <c r="BE653" s="3" t="s">
        <v>6917</v>
      </c>
      <c r="BF653" s="3" t="s">
        <v>6916</v>
      </c>
      <c r="BG653" s="3" t="s">
        <v>6918</v>
      </c>
    </row>
    <row r="654" spans="1:59" ht="72.5" x14ac:dyDescent="0.35">
      <c r="A654" s="2" t="s">
        <v>59</v>
      </c>
      <c r="B654" s="2" t="s">
        <v>60</v>
      </c>
      <c r="C654" s="2" t="s">
        <v>6919</v>
      </c>
      <c r="D654" s="2" t="s">
        <v>6920</v>
      </c>
      <c r="E654" s="2" t="s">
        <v>6921</v>
      </c>
      <c r="F654" s="3" t="s">
        <v>6922</v>
      </c>
      <c r="G654" s="3" t="s">
        <v>65</v>
      </c>
      <c r="I654" s="3" t="s">
        <v>65</v>
      </c>
      <c r="J654" s="3" t="s">
        <v>65</v>
      </c>
      <c r="K654" s="3" t="s">
        <v>66</v>
      </c>
      <c r="L654" s="2" t="s">
        <v>6923</v>
      </c>
      <c r="M654" s="2" t="s">
        <v>6924</v>
      </c>
      <c r="N654" s="3" t="s">
        <v>6925</v>
      </c>
      <c r="P654" s="3" t="s">
        <v>140</v>
      </c>
      <c r="Q654" s="2" t="s">
        <v>6926</v>
      </c>
      <c r="R654" s="3" t="s">
        <v>71</v>
      </c>
      <c r="S654" s="4">
        <v>2</v>
      </c>
      <c r="T654" s="4">
        <v>2</v>
      </c>
      <c r="U654" s="5" t="s">
        <v>6927</v>
      </c>
      <c r="V654" s="5" t="s">
        <v>6927</v>
      </c>
      <c r="W654" s="5" t="s">
        <v>72</v>
      </c>
      <c r="X654" s="5" t="s">
        <v>72</v>
      </c>
      <c r="Y654" s="4">
        <v>23</v>
      </c>
      <c r="Z654" s="4">
        <v>1</v>
      </c>
      <c r="AA654" s="4">
        <v>1</v>
      </c>
      <c r="AB654" s="4">
        <v>1</v>
      </c>
      <c r="AC654" s="4">
        <v>1</v>
      </c>
      <c r="AD654" s="4">
        <v>7</v>
      </c>
      <c r="AE654" s="4">
        <v>7</v>
      </c>
      <c r="AF654" s="4">
        <v>0</v>
      </c>
      <c r="AG654" s="4">
        <v>0</v>
      </c>
      <c r="AH654" s="4">
        <v>7</v>
      </c>
      <c r="AI654" s="4">
        <v>7</v>
      </c>
      <c r="AJ654" s="4">
        <v>0</v>
      </c>
      <c r="AK654" s="4">
        <v>0</v>
      </c>
      <c r="AL654" s="4">
        <v>5</v>
      </c>
      <c r="AM654" s="4">
        <v>5</v>
      </c>
      <c r="AN654" s="4">
        <v>0</v>
      </c>
      <c r="AO654" s="4">
        <v>0</v>
      </c>
      <c r="AP654" s="4">
        <v>0</v>
      </c>
      <c r="AQ654" s="4">
        <v>0</v>
      </c>
      <c r="AR654" s="3" t="s">
        <v>65</v>
      </c>
      <c r="AS654" s="3" t="s">
        <v>65</v>
      </c>
      <c r="AT654" s="3" t="s">
        <v>65</v>
      </c>
      <c r="AV654" s="6" t="str">
        <f>HYPERLINK("http://mcgill.on.worldcat.org/oclc/7097712","Catalog Record")</f>
        <v>Catalog Record</v>
      </c>
      <c r="AW654" s="6" t="str">
        <f>HYPERLINK("http://www.worldcat.org/oclc/7097712","WorldCat Record")</f>
        <v>WorldCat Record</v>
      </c>
      <c r="AX654" s="3" t="s">
        <v>6928</v>
      </c>
      <c r="AY654" s="3" t="s">
        <v>6929</v>
      </c>
      <c r="AZ654" s="3" t="s">
        <v>6930</v>
      </c>
      <c r="BA654" s="3" t="s">
        <v>6930</v>
      </c>
      <c r="BB654" s="3" t="s">
        <v>6931</v>
      </c>
      <c r="BC654" s="3" t="s">
        <v>77</v>
      </c>
      <c r="BD654" s="3" t="s">
        <v>78</v>
      </c>
      <c r="BF654" s="3" t="s">
        <v>6931</v>
      </c>
      <c r="BG654" s="3" t="s">
        <v>6932</v>
      </c>
    </row>
    <row r="655" spans="1:59" ht="72.5" x14ac:dyDescent="0.35">
      <c r="A655" s="2" t="s">
        <v>59</v>
      </c>
      <c r="B655" s="2" t="s">
        <v>60</v>
      </c>
      <c r="C655" s="2" t="s">
        <v>6933</v>
      </c>
      <c r="D655" s="2" t="s">
        <v>6934</v>
      </c>
      <c r="E655" s="2" t="s">
        <v>6935</v>
      </c>
      <c r="G655" s="3" t="s">
        <v>65</v>
      </c>
      <c r="I655" s="3" t="s">
        <v>65</v>
      </c>
      <c r="J655" s="3" t="s">
        <v>65</v>
      </c>
      <c r="K655" s="3" t="s">
        <v>66</v>
      </c>
      <c r="L655" s="2" t="s">
        <v>6936</v>
      </c>
      <c r="M655" s="2" t="s">
        <v>6937</v>
      </c>
      <c r="N655" s="3" t="s">
        <v>479</v>
      </c>
      <c r="P655" s="3" t="s">
        <v>69</v>
      </c>
      <c r="R655" s="3" t="s">
        <v>71</v>
      </c>
      <c r="S655" s="4">
        <v>6</v>
      </c>
      <c r="T655" s="4">
        <v>6</v>
      </c>
      <c r="U655" s="5" t="s">
        <v>6938</v>
      </c>
      <c r="V655" s="5" t="s">
        <v>6938</v>
      </c>
      <c r="W655" s="5" t="s">
        <v>72</v>
      </c>
      <c r="X655" s="5" t="s">
        <v>72</v>
      </c>
      <c r="Y655" s="4">
        <v>111</v>
      </c>
      <c r="Z655" s="4">
        <v>5</v>
      </c>
      <c r="AA655" s="4">
        <v>5</v>
      </c>
      <c r="AB655" s="4">
        <v>1</v>
      </c>
      <c r="AC655" s="4">
        <v>1</v>
      </c>
      <c r="AD655" s="4">
        <v>29</v>
      </c>
      <c r="AE655" s="4">
        <v>29</v>
      </c>
      <c r="AF655" s="4">
        <v>0</v>
      </c>
      <c r="AG655" s="4">
        <v>0</v>
      </c>
      <c r="AH655" s="4">
        <v>28</v>
      </c>
      <c r="AI655" s="4">
        <v>28</v>
      </c>
      <c r="AJ655" s="4">
        <v>3</v>
      </c>
      <c r="AK655" s="4">
        <v>3</v>
      </c>
      <c r="AL655" s="4">
        <v>21</v>
      </c>
      <c r="AM655" s="4">
        <v>21</v>
      </c>
      <c r="AN655" s="4">
        <v>0</v>
      </c>
      <c r="AO655" s="4">
        <v>0</v>
      </c>
      <c r="AP655" s="4">
        <v>3</v>
      </c>
      <c r="AQ655" s="4">
        <v>3</v>
      </c>
      <c r="AR655" s="3" t="s">
        <v>65</v>
      </c>
      <c r="AS655" s="3" t="s">
        <v>65</v>
      </c>
      <c r="AT655" s="3" t="s">
        <v>65</v>
      </c>
      <c r="AV655" s="6" t="str">
        <f>HYPERLINK("http://mcgill.on.worldcat.org/oclc/173499605","Catalog Record")</f>
        <v>Catalog Record</v>
      </c>
      <c r="AW655" s="6" t="str">
        <f>HYPERLINK("http://www.worldcat.org/oclc/173499605","WorldCat Record")</f>
        <v>WorldCat Record</v>
      </c>
      <c r="AX655" s="3" t="s">
        <v>6939</v>
      </c>
      <c r="AY655" s="3" t="s">
        <v>6940</v>
      </c>
      <c r="AZ655" s="3" t="s">
        <v>6941</v>
      </c>
      <c r="BA655" s="3" t="s">
        <v>6941</v>
      </c>
      <c r="BB655" s="3" t="s">
        <v>6942</v>
      </c>
      <c r="BC655" s="3" t="s">
        <v>77</v>
      </c>
      <c r="BD655" s="3" t="s">
        <v>78</v>
      </c>
      <c r="BE655" s="3" t="s">
        <v>6943</v>
      </c>
      <c r="BF655" s="3" t="s">
        <v>6942</v>
      </c>
      <c r="BG655" s="3" t="s">
        <v>6944</v>
      </c>
    </row>
    <row r="656" spans="1:59" ht="58" x14ac:dyDescent="0.35">
      <c r="A656" s="2" t="s">
        <v>59</v>
      </c>
      <c r="B656" s="2" t="s">
        <v>60</v>
      </c>
      <c r="C656" s="2" t="s">
        <v>6945</v>
      </c>
      <c r="D656" s="2" t="s">
        <v>6946</v>
      </c>
      <c r="E656" s="2" t="s">
        <v>6947</v>
      </c>
      <c r="G656" s="3" t="s">
        <v>65</v>
      </c>
      <c r="I656" s="3" t="s">
        <v>65</v>
      </c>
      <c r="J656" s="3" t="s">
        <v>65</v>
      </c>
      <c r="K656" s="3" t="s">
        <v>66</v>
      </c>
      <c r="M656" s="2" t="s">
        <v>6948</v>
      </c>
      <c r="N656" s="3" t="s">
        <v>525</v>
      </c>
      <c r="P656" s="3" t="s">
        <v>69</v>
      </c>
      <c r="Q656" s="2" t="s">
        <v>6949</v>
      </c>
      <c r="R656" s="3" t="s">
        <v>71</v>
      </c>
      <c r="S656" s="4">
        <v>2</v>
      </c>
      <c r="T656" s="4">
        <v>2</v>
      </c>
      <c r="U656" s="5" t="s">
        <v>3769</v>
      </c>
      <c r="V656" s="5" t="s">
        <v>3769</v>
      </c>
      <c r="W656" s="5" t="s">
        <v>72</v>
      </c>
      <c r="X656" s="5" t="s">
        <v>72</v>
      </c>
      <c r="Y656" s="4">
        <v>265</v>
      </c>
      <c r="Z656" s="4">
        <v>21</v>
      </c>
      <c r="AA656" s="4">
        <v>117</v>
      </c>
      <c r="AB656" s="4">
        <v>2</v>
      </c>
      <c r="AC656" s="4">
        <v>18</v>
      </c>
      <c r="AD656" s="4">
        <v>98</v>
      </c>
      <c r="AE656" s="4">
        <v>148</v>
      </c>
      <c r="AF656" s="4">
        <v>1</v>
      </c>
      <c r="AG656" s="4">
        <v>8</v>
      </c>
      <c r="AH656" s="4">
        <v>88</v>
      </c>
      <c r="AI656" s="4">
        <v>108</v>
      </c>
      <c r="AJ656" s="4">
        <v>13</v>
      </c>
      <c r="AK656" s="4">
        <v>26</v>
      </c>
      <c r="AL656" s="4">
        <v>51</v>
      </c>
      <c r="AM656" s="4">
        <v>57</v>
      </c>
      <c r="AN656" s="4">
        <v>0</v>
      </c>
      <c r="AO656" s="4">
        <v>0</v>
      </c>
      <c r="AP656" s="4">
        <v>15</v>
      </c>
      <c r="AQ656" s="4">
        <v>49</v>
      </c>
      <c r="AR656" s="3" t="s">
        <v>65</v>
      </c>
      <c r="AS656" s="3" t="s">
        <v>65</v>
      </c>
      <c r="AT656" s="3" t="s">
        <v>65</v>
      </c>
      <c r="AV656" s="6" t="str">
        <f>HYPERLINK("http://mcgill.on.worldcat.org/oclc/55679249","Catalog Record")</f>
        <v>Catalog Record</v>
      </c>
      <c r="AW656" s="6" t="str">
        <f>HYPERLINK("http://www.worldcat.org/oclc/55679249","WorldCat Record")</f>
        <v>WorldCat Record</v>
      </c>
      <c r="AX656" s="3" t="s">
        <v>6950</v>
      </c>
      <c r="AY656" s="3" t="s">
        <v>6951</v>
      </c>
      <c r="AZ656" s="3" t="s">
        <v>6952</v>
      </c>
      <c r="BA656" s="3" t="s">
        <v>6952</v>
      </c>
      <c r="BB656" s="3" t="s">
        <v>6953</v>
      </c>
      <c r="BC656" s="3" t="s">
        <v>77</v>
      </c>
      <c r="BD656" s="3" t="s">
        <v>78</v>
      </c>
      <c r="BE656" s="3" t="s">
        <v>6954</v>
      </c>
      <c r="BF656" s="3" t="s">
        <v>6953</v>
      </c>
      <c r="BG656" s="3" t="s">
        <v>6955</v>
      </c>
    </row>
    <row r="657" spans="1:59" ht="58" x14ac:dyDescent="0.35">
      <c r="A657" s="2" t="s">
        <v>59</v>
      </c>
      <c r="B657" s="2" t="s">
        <v>60</v>
      </c>
      <c r="C657" s="2" t="s">
        <v>6956</v>
      </c>
      <c r="D657" s="2" t="s">
        <v>6957</v>
      </c>
      <c r="E657" s="2" t="s">
        <v>6958</v>
      </c>
      <c r="G657" s="3" t="s">
        <v>65</v>
      </c>
      <c r="I657" s="3" t="s">
        <v>65</v>
      </c>
      <c r="J657" s="3" t="s">
        <v>65</v>
      </c>
      <c r="K657" s="3" t="s">
        <v>66</v>
      </c>
      <c r="M657" s="2" t="s">
        <v>6959</v>
      </c>
      <c r="N657" s="3" t="s">
        <v>221</v>
      </c>
      <c r="P657" s="3" t="s">
        <v>69</v>
      </c>
      <c r="Q657" s="2" t="s">
        <v>6960</v>
      </c>
      <c r="R657" s="3" t="s">
        <v>71</v>
      </c>
      <c r="S657" s="4">
        <v>4</v>
      </c>
      <c r="T657" s="4">
        <v>4</v>
      </c>
      <c r="U657" s="5" t="s">
        <v>6961</v>
      </c>
      <c r="V657" s="5" t="s">
        <v>6961</v>
      </c>
      <c r="W657" s="5" t="s">
        <v>72</v>
      </c>
      <c r="X657" s="5" t="s">
        <v>72</v>
      </c>
      <c r="Y657" s="4">
        <v>185</v>
      </c>
      <c r="Z657" s="4">
        <v>15</v>
      </c>
      <c r="AA657" s="4">
        <v>15</v>
      </c>
      <c r="AB657" s="4">
        <v>1</v>
      </c>
      <c r="AC657" s="4">
        <v>1</v>
      </c>
      <c r="AD657" s="4">
        <v>87</v>
      </c>
      <c r="AE657" s="4">
        <v>87</v>
      </c>
      <c r="AF657" s="4">
        <v>0</v>
      </c>
      <c r="AG657" s="4">
        <v>0</v>
      </c>
      <c r="AH657" s="4">
        <v>79</v>
      </c>
      <c r="AI657" s="4">
        <v>79</v>
      </c>
      <c r="AJ657" s="4">
        <v>11</v>
      </c>
      <c r="AK657" s="4">
        <v>11</v>
      </c>
      <c r="AL657" s="4">
        <v>48</v>
      </c>
      <c r="AM657" s="4">
        <v>48</v>
      </c>
      <c r="AN657" s="4">
        <v>0</v>
      </c>
      <c r="AO657" s="4">
        <v>0</v>
      </c>
      <c r="AP657" s="4">
        <v>12</v>
      </c>
      <c r="AQ657" s="4">
        <v>12</v>
      </c>
      <c r="AR657" s="3" t="s">
        <v>65</v>
      </c>
      <c r="AS657" s="3" t="s">
        <v>65</v>
      </c>
      <c r="AT657" s="3" t="s">
        <v>209</v>
      </c>
      <c r="AU657" s="6" t="str">
        <f>HYPERLINK("http://catalog.hathitrust.org/Record/005616405","HathiTrust Record")</f>
        <v>HathiTrust Record</v>
      </c>
      <c r="AV657" s="6" t="str">
        <f>HYPERLINK("http://mcgill.on.worldcat.org/oclc/81860412","Catalog Record")</f>
        <v>Catalog Record</v>
      </c>
      <c r="AW657" s="6" t="str">
        <f>HYPERLINK("http://www.worldcat.org/oclc/81860412","WorldCat Record")</f>
        <v>WorldCat Record</v>
      </c>
      <c r="AX657" s="3" t="s">
        <v>6962</v>
      </c>
      <c r="AY657" s="3" t="s">
        <v>6963</v>
      </c>
      <c r="AZ657" s="3" t="s">
        <v>6964</v>
      </c>
      <c r="BA657" s="3" t="s">
        <v>6964</v>
      </c>
      <c r="BB657" s="3" t="s">
        <v>6965</v>
      </c>
      <c r="BC657" s="3" t="s">
        <v>77</v>
      </c>
      <c r="BD657" s="3" t="s">
        <v>78</v>
      </c>
      <c r="BE657" s="3" t="s">
        <v>6966</v>
      </c>
      <c r="BF657" s="3" t="s">
        <v>6965</v>
      </c>
      <c r="BG657" s="3" t="s">
        <v>6967</v>
      </c>
    </row>
    <row r="658" spans="1:59" ht="58" x14ac:dyDescent="0.35">
      <c r="A658" s="2" t="s">
        <v>59</v>
      </c>
      <c r="B658" s="2" t="s">
        <v>60</v>
      </c>
      <c r="C658" s="2" t="s">
        <v>6968</v>
      </c>
      <c r="D658" s="2" t="s">
        <v>6969</v>
      </c>
      <c r="E658" s="2" t="s">
        <v>6970</v>
      </c>
      <c r="G658" s="3" t="s">
        <v>65</v>
      </c>
      <c r="H658" s="3" t="s">
        <v>213</v>
      </c>
      <c r="I658" s="3" t="s">
        <v>65</v>
      </c>
      <c r="J658" s="3" t="s">
        <v>65</v>
      </c>
      <c r="K658" s="3" t="s">
        <v>66</v>
      </c>
      <c r="M658" s="2" t="s">
        <v>6971</v>
      </c>
      <c r="N658" s="3" t="s">
        <v>265</v>
      </c>
      <c r="P658" s="3" t="s">
        <v>69</v>
      </c>
      <c r="R658" s="3" t="s">
        <v>71</v>
      </c>
      <c r="S658" s="4">
        <v>0</v>
      </c>
      <c r="T658" s="4">
        <v>0</v>
      </c>
      <c r="W658" s="5" t="s">
        <v>1707</v>
      </c>
      <c r="X658" s="5" t="s">
        <v>1707</v>
      </c>
      <c r="Y658" s="4">
        <v>230</v>
      </c>
      <c r="Z658" s="4">
        <v>7</v>
      </c>
      <c r="AA658" s="4">
        <v>7</v>
      </c>
      <c r="AB658" s="4">
        <v>1</v>
      </c>
      <c r="AC658" s="4">
        <v>1</v>
      </c>
      <c r="AD658" s="4">
        <v>34</v>
      </c>
      <c r="AE658" s="4">
        <v>34</v>
      </c>
      <c r="AF658" s="4">
        <v>0</v>
      </c>
      <c r="AG658" s="4">
        <v>0</v>
      </c>
      <c r="AH658" s="4">
        <v>31</v>
      </c>
      <c r="AI658" s="4">
        <v>31</v>
      </c>
      <c r="AJ658" s="4">
        <v>3</v>
      </c>
      <c r="AK658" s="4">
        <v>3</v>
      </c>
      <c r="AL658" s="4">
        <v>21</v>
      </c>
      <c r="AM658" s="4">
        <v>21</v>
      </c>
      <c r="AN658" s="4">
        <v>0</v>
      </c>
      <c r="AO658" s="4">
        <v>0</v>
      </c>
      <c r="AP658" s="4">
        <v>3</v>
      </c>
      <c r="AQ658" s="4">
        <v>3</v>
      </c>
      <c r="AR658" s="3" t="s">
        <v>65</v>
      </c>
      <c r="AS658" s="3" t="s">
        <v>65</v>
      </c>
      <c r="AT658" s="3" t="s">
        <v>65</v>
      </c>
      <c r="AV658" s="6" t="str">
        <f>HYPERLINK("http://mcgill.on.worldcat.org/oclc/1092000621","Catalog Record")</f>
        <v>Catalog Record</v>
      </c>
      <c r="AW658" s="6" t="str">
        <f>HYPERLINK("http://www.worldcat.org/oclc/1092000621","WorldCat Record")</f>
        <v>WorldCat Record</v>
      </c>
      <c r="AX658" s="3" t="s">
        <v>6972</v>
      </c>
      <c r="AY658" s="3" t="s">
        <v>6973</v>
      </c>
      <c r="AZ658" s="3" t="s">
        <v>6974</v>
      </c>
      <c r="BA658" s="3" t="s">
        <v>6974</v>
      </c>
      <c r="BB658" s="3" t="s">
        <v>6975</v>
      </c>
      <c r="BC658" s="3" t="s">
        <v>77</v>
      </c>
      <c r="BD658" s="3" t="s">
        <v>78</v>
      </c>
      <c r="BE658" s="3" t="s">
        <v>6976</v>
      </c>
      <c r="BF658" s="3" t="s">
        <v>6975</v>
      </c>
      <c r="BG658" s="3" t="s">
        <v>6977</v>
      </c>
    </row>
    <row r="659" spans="1:59" ht="58" x14ac:dyDescent="0.35">
      <c r="A659" s="2" t="s">
        <v>59</v>
      </c>
      <c r="B659" s="2" t="s">
        <v>60</v>
      </c>
      <c r="C659" s="2" t="s">
        <v>6978</v>
      </c>
      <c r="D659" s="2" t="s">
        <v>6979</v>
      </c>
      <c r="E659" s="2" t="s">
        <v>6980</v>
      </c>
      <c r="G659" s="3" t="s">
        <v>65</v>
      </c>
      <c r="I659" s="3" t="s">
        <v>65</v>
      </c>
      <c r="J659" s="3" t="s">
        <v>65</v>
      </c>
      <c r="K659" s="3" t="s">
        <v>66</v>
      </c>
      <c r="M659" s="2" t="s">
        <v>6981</v>
      </c>
      <c r="N659" s="3" t="s">
        <v>247</v>
      </c>
      <c r="P659" s="3" t="s">
        <v>69</v>
      </c>
      <c r="R659" s="3" t="s">
        <v>71</v>
      </c>
      <c r="S659" s="4">
        <v>2</v>
      </c>
      <c r="T659" s="4">
        <v>2</v>
      </c>
      <c r="U659" s="5" t="s">
        <v>6982</v>
      </c>
      <c r="V659" s="5" t="s">
        <v>6982</v>
      </c>
      <c r="W659" s="5" t="s">
        <v>72</v>
      </c>
      <c r="X659" s="5" t="s">
        <v>72</v>
      </c>
      <c r="Y659" s="4">
        <v>223</v>
      </c>
      <c r="Z659" s="4">
        <v>8</v>
      </c>
      <c r="AA659" s="4">
        <v>8</v>
      </c>
      <c r="AB659" s="4">
        <v>2</v>
      </c>
      <c r="AC659" s="4">
        <v>2</v>
      </c>
      <c r="AD659" s="4">
        <v>58</v>
      </c>
      <c r="AE659" s="4">
        <v>58</v>
      </c>
      <c r="AF659" s="4">
        <v>1</v>
      </c>
      <c r="AG659" s="4">
        <v>1</v>
      </c>
      <c r="AH659" s="4">
        <v>56</v>
      </c>
      <c r="AI659" s="4">
        <v>56</v>
      </c>
      <c r="AJ659" s="4">
        <v>4</v>
      </c>
      <c r="AK659" s="4">
        <v>4</v>
      </c>
      <c r="AL659" s="4">
        <v>39</v>
      </c>
      <c r="AM659" s="4">
        <v>39</v>
      </c>
      <c r="AN659" s="4">
        <v>0</v>
      </c>
      <c r="AO659" s="4">
        <v>0</v>
      </c>
      <c r="AP659" s="4">
        <v>5</v>
      </c>
      <c r="AQ659" s="4">
        <v>5</v>
      </c>
      <c r="AR659" s="3" t="s">
        <v>65</v>
      </c>
      <c r="AS659" s="3" t="s">
        <v>65</v>
      </c>
      <c r="AT659" s="3" t="s">
        <v>209</v>
      </c>
      <c r="AU659" s="6" t="str">
        <f>HYPERLINK("http://catalog.hathitrust.org/Record/002706910","HathiTrust Record")</f>
        <v>HathiTrust Record</v>
      </c>
      <c r="AV659" s="6" t="str">
        <f>HYPERLINK("http://mcgill.on.worldcat.org/oclc/29598499","Catalog Record")</f>
        <v>Catalog Record</v>
      </c>
      <c r="AW659" s="6" t="str">
        <f>HYPERLINK("http://www.worldcat.org/oclc/29598499","WorldCat Record")</f>
        <v>WorldCat Record</v>
      </c>
      <c r="AX659" s="3" t="s">
        <v>6983</v>
      </c>
      <c r="AY659" s="3" t="s">
        <v>6984</v>
      </c>
      <c r="AZ659" s="3" t="s">
        <v>6985</v>
      </c>
      <c r="BA659" s="3" t="s">
        <v>6985</v>
      </c>
      <c r="BB659" s="3" t="s">
        <v>6986</v>
      </c>
      <c r="BC659" s="3" t="s">
        <v>77</v>
      </c>
      <c r="BD659" s="3" t="s">
        <v>78</v>
      </c>
      <c r="BE659" s="3" t="s">
        <v>6987</v>
      </c>
      <c r="BF659" s="3" t="s">
        <v>6986</v>
      </c>
      <c r="BG659" s="3" t="s">
        <v>6988</v>
      </c>
    </row>
    <row r="660" spans="1:59" ht="58" x14ac:dyDescent="0.35">
      <c r="A660" s="2" t="s">
        <v>59</v>
      </c>
      <c r="B660" s="2" t="s">
        <v>60</v>
      </c>
      <c r="C660" s="2" t="s">
        <v>6989</v>
      </c>
      <c r="D660" s="2" t="s">
        <v>6990</v>
      </c>
      <c r="E660" s="2" t="s">
        <v>6991</v>
      </c>
      <c r="G660" s="3" t="s">
        <v>65</v>
      </c>
      <c r="I660" s="3" t="s">
        <v>65</v>
      </c>
      <c r="J660" s="3" t="s">
        <v>65</v>
      </c>
      <c r="K660" s="3" t="s">
        <v>66</v>
      </c>
      <c r="M660" s="2" t="s">
        <v>6992</v>
      </c>
      <c r="N660" s="3" t="s">
        <v>1932</v>
      </c>
      <c r="P660" s="3" t="s">
        <v>69</v>
      </c>
      <c r="R660" s="3" t="s">
        <v>71</v>
      </c>
      <c r="S660" s="4">
        <v>8</v>
      </c>
      <c r="T660" s="4">
        <v>8</v>
      </c>
      <c r="U660" s="5" t="s">
        <v>3769</v>
      </c>
      <c r="V660" s="5" t="s">
        <v>3769</v>
      </c>
      <c r="W660" s="5" t="s">
        <v>72</v>
      </c>
      <c r="X660" s="5" t="s">
        <v>72</v>
      </c>
      <c r="Y660" s="4">
        <v>260</v>
      </c>
      <c r="Z660" s="4">
        <v>10</v>
      </c>
      <c r="AA660" s="4">
        <v>13</v>
      </c>
      <c r="AB660" s="4">
        <v>2</v>
      </c>
      <c r="AC660" s="4">
        <v>4</v>
      </c>
      <c r="AD660" s="4">
        <v>69</v>
      </c>
      <c r="AE660" s="4">
        <v>70</v>
      </c>
      <c r="AF660" s="4">
        <v>1</v>
      </c>
      <c r="AG660" s="4">
        <v>1</v>
      </c>
      <c r="AH660" s="4">
        <v>65</v>
      </c>
      <c r="AI660" s="4">
        <v>65</v>
      </c>
      <c r="AJ660" s="4">
        <v>4</v>
      </c>
      <c r="AK660" s="4">
        <v>4</v>
      </c>
      <c r="AL660" s="4">
        <v>44</v>
      </c>
      <c r="AM660" s="4">
        <v>44</v>
      </c>
      <c r="AN660" s="4">
        <v>0</v>
      </c>
      <c r="AO660" s="4">
        <v>0</v>
      </c>
      <c r="AP660" s="4">
        <v>5</v>
      </c>
      <c r="AQ660" s="4">
        <v>6</v>
      </c>
      <c r="AR660" s="3" t="s">
        <v>65</v>
      </c>
      <c r="AS660" s="3" t="s">
        <v>65</v>
      </c>
      <c r="AT660" s="3" t="s">
        <v>209</v>
      </c>
      <c r="AU660" s="6" t="str">
        <f>HYPERLINK("http://catalog.hathitrust.org/Record/002884921","HathiTrust Record")</f>
        <v>HathiTrust Record</v>
      </c>
      <c r="AV660" s="6" t="str">
        <f>HYPERLINK("http://mcgill.on.worldcat.org/oclc/30319602","Catalog Record")</f>
        <v>Catalog Record</v>
      </c>
      <c r="AW660" s="6" t="str">
        <f>HYPERLINK("http://www.worldcat.org/oclc/30319602","WorldCat Record")</f>
        <v>WorldCat Record</v>
      </c>
      <c r="AX660" s="3" t="s">
        <v>6993</v>
      </c>
      <c r="AY660" s="3" t="s">
        <v>6994</v>
      </c>
      <c r="AZ660" s="3" t="s">
        <v>6995</v>
      </c>
      <c r="BA660" s="3" t="s">
        <v>6995</v>
      </c>
      <c r="BB660" s="3" t="s">
        <v>6996</v>
      </c>
      <c r="BC660" s="3" t="s">
        <v>77</v>
      </c>
      <c r="BD660" s="3" t="s">
        <v>78</v>
      </c>
      <c r="BE660" s="3" t="s">
        <v>6997</v>
      </c>
      <c r="BF660" s="3" t="s">
        <v>6996</v>
      </c>
      <c r="BG660" s="3" t="s">
        <v>6998</v>
      </c>
    </row>
    <row r="661" spans="1:59" ht="58" x14ac:dyDescent="0.35">
      <c r="A661" s="2" t="s">
        <v>59</v>
      </c>
      <c r="B661" s="2" t="s">
        <v>60</v>
      </c>
      <c r="C661" s="2" t="s">
        <v>6999</v>
      </c>
      <c r="D661" s="2" t="s">
        <v>7000</v>
      </c>
      <c r="E661" s="2" t="s">
        <v>7001</v>
      </c>
      <c r="G661" s="3" t="s">
        <v>65</v>
      </c>
      <c r="I661" s="3" t="s">
        <v>65</v>
      </c>
      <c r="J661" s="3" t="s">
        <v>65</v>
      </c>
      <c r="K661" s="3" t="s">
        <v>66</v>
      </c>
      <c r="M661" s="2" t="s">
        <v>7002</v>
      </c>
      <c r="N661" s="3" t="s">
        <v>2750</v>
      </c>
      <c r="P661" s="3" t="s">
        <v>69</v>
      </c>
      <c r="R661" s="3" t="s">
        <v>71</v>
      </c>
      <c r="S661" s="4">
        <v>7</v>
      </c>
      <c r="T661" s="4">
        <v>7</v>
      </c>
      <c r="U661" s="5" t="s">
        <v>7003</v>
      </c>
      <c r="V661" s="5" t="s">
        <v>7003</v>
      </c>
      <c r="W661" s="5" t="s">
        <v>72</v>
      </c>
      <c r="X661" s="5" t="s">
        <v>72</v>
      </c>
      <c r="Y661" s="4">
        <v>89</v>
      </c>
      <c r="Z661" s="4">
        <v>15</v>
      </c>
      <c r="AA661" s="4">
        <v>20</v>
      </c>
      <c r="AB661" s="4">
        <v>2</v>
      </c>
      <c r="AC661" s="4">
        <v>2</v>
      </c>
      <c r="AD661" s="4">
        <v>29</v>
      </c>
      <c r="AE661" s="4">
        <v>75</v>
      </c>
      <c r="AF661" s="4">
        <v>1</v>
      </c>
      <c r="AG661" s="4">
        <v>1</v>
      </c>
      <c r="AH661" s="4">
        <v>22</v>
      </c>
      <c r="AI661" s="4">
        <v>66</v>
      </c>
      <c r="AJ661" s="4">
        <v>8</v>
      </c>
      <c r="AK661" s="4">
        <v>12</v>
      </c>
      <c r="AL661" s="4">
        <v>10</v>
      </c>
      <c r="AM661" s="4">
        <v>36</v>
      </c>
      <c r="AN661" s="4">
        <v>0</v>
      </c>
      <c r="AO661" s="4">
        <v>0</v>
      </c>
      <c r="AP661" s="4">
        <v>10</v>
      </c>
      <c r="AQ661" s="4">
        <v>14</v>
      </c>
      <c r="AR661" s="3" t="s">
        <v>65</v>
      </c>
      <c r="AS661" s="3" t="s">
        <v>65</v>
      </c>
      <c r="AT661" s="3" t="s">
        <v>209</v>
      </c>
      <c r="AU661" s="6" t="str">
        <f>HYPERLINK("http://catalog.hathitrust.org/Record/006707333","HathiTrust Record")</f>
        <v>HathiTrust Record</v>
      </c>
      <c r="AV661" s="6" t="str">
        <f>HYPERLINK("http://mcgill.on.worldcat.org/oclc/1500892","Catalog Record")</f>
        <v>Catalog Record</v>
      </c>
      <c r="AW661" s="6" t="str">
        <f>HYPERLINK("http://www.worldcat.org/oclc/1500892","WorldCat Record")</f>
        <v>WorldCat Record</v>
      </c>
      <c r="AX661" s="3" t="s">
        <v>7004</v>
      </c>
      <c r="AY661" s="3" t="s">
        <v>7005</v>
      </c>
      <c r="AZ661" s="3" t="s">
        <v>7006</v>
      </c>
      <c r="BA661" s="3" t="s">
        <v>7006</v>
      </c>
      <c r="BB661" s="3" t="s">
        <v>7007</v>
      </c>
      <c r="BC661" s="3" t="s">
        <v>77</v>
      </c>
      <c r="BD661" s="3" t="s">
        <v>78</v>
      </c>
      <c r="BE661" s="3" t="s">
        <v>7008</v>
      </c>
      <c r="BF661" s="3" t="s">
        <v>7007</v>
      </c>
      <c r="BG661" s="3" t="s">
        <v>7009</v>
      </c>
    </row>
    <row r="662" spans="1:59" ht="58" x14ac:dyDescent="0.35">
      <c r="A662" s="2" t="s">
        <v>59</v>
      </c>
      <c r="B662" s="2" t="s">
        <v>60</v>
      </c>
      <c r="C662" s="2" t="s">
        <v>7010</v>
      </c>
      <c r="D662" s="2" t="s">
        <v>7011</v>
      </c>
      <c r="E662" s="2" t="s">
        <v>7012</v>
      </c>
      <c r="G662" s="3" t="s">
        <v>65</v>
      </c>
      <c r="I662" s="3" t="s">
        <v>65</v>
      </c>
      <c r="J662" s="3" t="s">
        <v>65</v>
      </c>
      <c r="K662" s="3" t="s">
        <v>66</v>
      </c>
      <c r="M662" s="2" t="s">
        <v>7013</v>
      </c>
      <c r="N662" s="3" t="s">
        <v>247</v>
      </c>
      <c r="P662" s="3" t="s">
        <v>69</v>
      </c>
      <c r="R662" s="3" t="s">
        <v>71</v>
      </c>
      <c r="S662" s="4">
        <v>10</v>
      </c>
      <c r="T662" s="4">
        <v>10</v>
      </c>
      <c r="U662" s="5" t="s">
        <v>3769</v>
      </c>
      <c r="V662" s="5" t="s">
        <v>3769</v>
      </c>
      <c r="W662" s="5" t="s">
        <v>72</v>
      </c>
      <c r="X662" s="5" t="s">
        <v>72</v>
      </c>
      <c r="Y662" s="4">
        <v>313</v>
      </c>
      <c r="Z662" s="4">
        <v>18</v>
      </c>
      <c r="AA662" s="4">
        <v>80</v>
      </c>
      <c r="AB662" s="4">
        <v>3</v>
      </c>
      <c r="AC662" s="4">
        <v>15</v>
      </c>
      <c r="AD662" s="4">
        <v>97</v>
      </c>
      <c r="AE662" s="4">
        <v>138</v>
      </c>
      <c r="AF662" s="4">
        <v>1</v>
      </c>
      <c r="AG662" s="4">
        <v>8</v>
      </c>
      <c r="AH662" s="4">
        <v>91</v>
      </c>
      <c r="AI662" s="4">
        <v>105</v>
      </c>
      <c r="AJ662" s="4">
        <v>8</v>
      </c>
      <c r="AK662" s="4">
        <v>21</v>
      </c>
      <c r="AL662" s="4">
        <v>51</v>
      </c>
      <c r="AM662" s="4">
        <v>56</v>
      </c>
      <c r="AN662" s="4">
        <v>0</v>
      </c>
      <c r="AO662" s="4">
        <v>0</v>
      </c>
      <c r="AP662" s="4">
        <v>11</v>
      </c>
      <c r="AQ662" s="4">
        <v>41</v>
      </c>
      <c r="AR662" s="3" t="s">
        <v>65</v>
      </c>
      <c r="AS662" s="3" t="s">
        <v>65</v>
      </c>
      <c r="AT662" s="3" t="s">
        <v>65</v>
      </c>
      <c r="AV662" s="6" t="str">
        <f>HYPERLINK("http://mcgill.on.worldcat.org/oclc/28024453","Catalog Record")</f>
        <v>Catalog Record</v>
      </c>
      <c r="AW662" s="6" t="str">
        <f>HYPERLINK("http://www.worldcat.org/oclc/28024453","WorldCat Record")</f>
        <v>WorldCat Record</v>
      </c>
      <c r="AX662" s="3" t="s">
        <v>7014</v>
      </c>
      <c r="AY662" s="3" t="s">
        <v>7015</v>
      </c>
      <c r="AZ662" s="3" t="s">
        <v>7016</v>
      </c>
      <c r="BA662" s="3" t="s">
        <v>7016</v>
      </c>
      <c r="BB662" s="3" t="s">
        <v>7017</v>
      </c>
      <c r="BC662" s="3" t="s">
        <v>77</v>
      </c>
      <c r="BD662" s="3" t="s">
        <v>78</v>
      </c>
      <c r="BE662" s="3" t="s">
        <v>7018</v>
      </c>
      <c r="BF662" s="3" t="s">
        <v>7017</v>
      </c>
      <c r="BG662" s="3" t="s">
        <v>7019</v>
      </c>
    </row>
    <row r="663" spans="1:59" ht="58" x14ac:dyDescent="0.35">
      <c r="A663" s="2" t="s">
        <v>59</v>
      </c>
      <c r="B663" s="2" t="s">
        <v>60</v>
      </c>
      <c r="C663" s="2" t="s">
        <v>7020</v>
      </c>
      <c r="D663" s="2" t="s">
        <v>7021</v>
      </c>
      <c r="E663" s="2" t="s">
        <v>7022</v>
      </c>
      <c r="G663" s="3" t="s">
        <v>65</v>
      </c>
      <c r="I663" s="3" t="s">
        <v>65</v>
      </c>
      <c r="J663" s="3" t="s">
        <v>65</v>
      </c>
      <c r="K663" s="3" t="s">
        <v>66</v>
      </c>
      <c r="L663" s="2" t="s">
        <v>7023</v>
      </c>
      <c r="M663" s="2" t="s">
        <v>7024</v>
      </c>
      <c r="N663" s="3" t="s">
        <v>1032</v>
      </c>
      <c r="P663" s="3" t="s">
        <v>140</v>
      </c>
      <c r="Q663" s="2" t="s">
        <v>7025</v>
      </c>
      <c r="R663" s="3" t="s">
        <v>71</v>
      </c>
      <c r="S663" s="4">
        <v>1</v>
      </c>
      <c r="T663" s="4">
        <v>1</v>
      </c>
      <c r="U663" s="5" t="s">
        <v>7026</v>
      </c>
      <c r="V663" s="5" t="s">
        <v>7026</v>
      </c>
      <c r="W663" s="5" t="s">
        <v>72</v>
      </c>
      <c r="X663" s="5" t="s">
        <v>72</v>
      </c>
      <c r="Y663" s="4">
        <v>50</v>
      </c>
      <c r="Z663" s="4">
        <v>3</v>
      </c>
      <c r="AA663" s="4">
        <v>3</v>
      </c>
      <c r="AB663" s="4">
        <v>1</v>
      </c>
      <c r="AC663" s="4">
        <v>1</v>
      </c>
      <c r="AD663" s="4">
        <v>24</v>
      </c>
      <c r="AE663" s="4">
        <v>24</v>
      </c>
      <c r="AF663" s="4">
        <v>0</v>
      </c>
      <c r="AG663" s="4">
        <v>0</v>
      </c>
      <c r="AH663" s="4">
        <v>23</v>
      </c>
      <c r="AI663" s="4">
        <v>23</v>
      </c>
      <c r="AJ663" s="4">
        <v>1</v>
      </c>
      <c r="AK663" s="4">
        <v>1</v>
      </c>
      <c r="AL663" s="4">
        <v>22</v>
      </c>
      <c r="AM663" s="4">
        <v>22</v>
      </c>
      <c r="AN663" s="4">
        <v>0</v>
      </c>
      <c r="AO663" s="4">
        <v>0</v>
      </c>
      <c r="AP663" s="4">
        <v>1</v>
      </c>
      <c r="AQ663" s="4">
        <v>1</v>
      </c>
      <c r="AR663" s="3" t="s">
        <v>65</v>
      </c>
      <c r="AS663" s="3" t="s">
        <v>65</v>
      </c>
      <c r="AT663" s="3" t="s">
        <v>65</v>
      </c>
      <c r="AV663" s="6" t="str">
        <f>HYPERLINK("http://mcgill.on.worldcat.org/oclc/34380907","Catalog Record")</f>
        <v>Catalog Record</v>
      </c>
      <c r="AW663" s="6" t="str">
        <f>HYPERLINK("http://www.worldcat.org/oclc/34380907","WorldCat Record")</f>
        <v>WorldCat Record</v>
      </c>
      <c r="AX663" s="3" t="s">
        <v>7027</v>
      </c>
      <c r="AY663" s="3" t="s">
        <v>7028</v>
      </c>
      <c r="AZ663" s="3" t="s">
        <v>7029</v>
      </c>
      <c r="BA663" s="3" t="s">
        <v>7029</v>
      </c>
      <c r="BB663" s="3" t="s">
        <v>7030</v>
      </c>
      <c r="BC663" s="3" t="s">
        <v>77</v>
      </c>
      <c r="BD663" s="3" t="s">
        <v>78</v>
      </c>
      <c r="BE663" s="3" t="s">
        <v>7031</v>
      </c>
      <c r="BF663" s="3" t="s">
        <v>7030</v>
      </c>
      <c r="BG663" s="3" t="s">
        <v>7032</v>
      </c>
    </row>
    <row r="664" spans="1:59" ht="58" x14ac:dyDescent="0.35">
      <c r="A664" s="2" t="s">
        <v>59</v>
      </c>
      <c r="B664" s="2" t="s">
        <v>60</v>
      </c>
      <c r="C664" s="2" t="s">
        <v>7033</v>
      </c>
      <c r="D664" s="2" t="s">
        <v>7034</v>
      </c>
      <c r="E664" s="2" t="s">
        <v>7035</v>
      </c>
      <c r="F664" s="3" t="s">
        <v>7036</v>
      </c>
      <c r="G664" s="3" t="s">
        <v>209</v>
      </c>
      <c r="I664" s="3" t="s">
        <v>65</v>
      </c>
      <c r="J664" s="3" t="s">
        <v>65</v>
      </c>
      <c r="K664" s="3" t="s">
        <v>66</v>
      </c>
      <c r="L664" s="2" t="s">
        <v>7037</v>
      </c>
      <c r="M664" s="2" t="s">
        <v>7038</v>
      </c>
      <c r="N664" s="3" t="s">
        <v>7039</v>
      </c>
      <c r="O664" s="2" t="s">
        <v>365</v>
      </c>
      <c r="P664" s="3" t="s">
        <v>140</v>
      </c>
      <c r="Q664" s="2" t="s">
        <v>7040</v>
      </c>
      <c r="R664" s="3" t="s">
        <v>71</v>
      </c>
      <c r="S664" s="4">
        <v>12</v>
      </c>
      <c r="T664" s="4">
        <v>60</v>
      </c>
      <c r="U664" s="5" t="s">
        <v>7041</v>
      </c>
      <c r="V664" s="5" t="s">
        <v>7042</v>
      </c>
      <c r="W664" s="5" t="s">
        <v>72</v>
      </c>
      <c r="X664" s="5" t="s">
        <v>72</v>
      </c>
      <c r="Y664" s="4">
        <v>129</v>
      </c>
      <c r="Z664" s="4">
        <v>3</v>
      </c>
      <c r="AA664" s="4">
        <v>13</v>
      </c>
      <c r="AB664" s="4">
        <v>1</v>
      </c>
      <c r="AC664" s="4">
        <v>1</v>
      </c>
      <c r="AD664" s="4">
        <v>54</v>
      </c>
      <c r="AE664" s="4">
        <v>68</v>
      </c>
      <c r="AF664" s="4">
        <v>0</v>
      </c>
      <c r="AG664" s="4">
        <v>0</v>
      </c>
      <c r="AH664" s="4">
        <v>52</v>
      </c>
      <c r="AI664" s="4">
        <v>62</v>
      </c>
      <c r="AJ664" s="4">
        <v>2</v>
      </c>
      <c r="AK664" s="4">
        <v>8</v>
      </c>
      <c r="AL664" s="4">
        <v>34</v>
      </c>
      <c r="AM664" s="4">
        <v>38</v>
      </c>
      <c r="AN664" s="4">
        <v>0</v>
      </c>
      <c r="AO664" s="4">
        <v>0</v>
      </c>
      <c r="AP664" s="4">
        <v>2</v>
      </c>
      <c r="AQ664" s="4">
        <v>10</v>
      </c>
      <c r="AR664" s="3" t="s">
        <v>65</v>
      </c>
      <c r="AS664" s="3" t="s">
        <v>65</v>
      </c>
      <c r="AT664" s="3" t="s">
        <v>209</v>
      </c>
      <c r="AU664" s="6" t="str">
        <f t="shared" ref="AU664:AU672" si="11">HYPERLINK("http://catalog.hathitrust.org/Record/000234979","HathiTrust Record")</f>
        <v>HathiTrust Record</v>
      </c>
      <c r="AV664" s="6" t="str">
        <f t="shared" ref="AV664:AV672" si="12">HYPERLINK("http://mcgill.on.worldcat.org/oclc/12316633","Catalog Record")</f>
        <v>Catalog Record</v>
      </c>
      <c r="AW664" s="6" t="str">
        <f t="shared" ref="AW664:AW672" si="13">HYPERLINK("http://www.worldcat.org/oclc/12316633","WorldCat Record")</f>
        <v>WorldCat Record</v>
      </c>
      <c r="AX664" s="3" t="s">
        <v>7043</v>
      </c>
      <c r="AY664" s="3" t="s">
        <v>7044</v>
      </c>
      <c r="AZ664" s="3" t="s">
        <v>7045</v>
      </c>
      <c r="BA664" s="3" t="s">
        <v>7045</v>
      </c>
      <c r="BB664" s="3" t="s">
        <v>7046</v>
      </c>
      <c r="BC664" s="3" t="s">
        <v>77</v>
      </c>
      <c r="BD664" s="3" t="s">
        <v>78</v>
      </c>
      <c r="BF664" s="3" t="s">
        <v>7046</v>
      </c>
      <c r="BG664" s="3" t="s">
        <v>7047</v>
      </c>
    </row>
    <row r="665" spans="1:59" ht="58" x14ac:dyDescent="0.35">
      <c r="A665" s="2" t="s">
        <v>59</v>
      </c>
      <c r="B665" s="2" t="s">
        <v>60</v>
      </c>
      <c r="C665" s="2" t="s">
        <v>7033</v>
      </c>
      <c r="D665" s="2" t="s">
        <v>7034</v>
      </c>
      <c r="E665" s="2" t="s">
        <v>7035</v>
      </c>
      <c r="F665" s="3" t="s">
        <v>7048</v>
      </c>
      <c r="G665" s="3" t="s">
        <v>209</v>
      </c>
      <c r="I665" s="3" t="s">
        <v>65</v>
      </c>
      <c r="J665" s="3" t="s">
        <v>65</v>
      </c>
      <c r="K665" s="3" t="s">
        <v>66</v>
      </c>
      <c r="L665" s="2" t="s">
        <v>7037</v>
      </c>
      <c r="M665" s="2" t="s">
        <v>7038</v>
      </c>
      <c r="N665" s="3" t="s">
        <v>7039</v>
      </c>
      <c r="O665" s="2" t="s">
        <v>365</v>
      </c>
      <c r="P665" s="3" t="s">
        <v>140</v>
      </c>
      <c r="Q665" s="2" t="s">
        <v>7040</v>
      </c>
      <c r="R665" s="3" t="s">
        <v>71</v>
      </c>
      <c r="S665" s="4">
        <v>7</v>
      </c>
      <c r="T665" s="4">
        <v>60</v>
      </c>
      <c r="U665" s="5" t="s">
        <v>7042</v>
      </c>
      <c r="V665" s="5" t="s">
        <v>7042</v>
      </c>
      <c r="W665" s="5" t="s">
        <v>72</v>
      </c>
      <c r="X665" s="5" t="s">
        <v>72</v>
      </c>
      <c r="Y665" s="4">
        <v>129</v>
      </c>
      <c r="Z665" s="4">
        <v>3</v>
      </c>
      <c r="AA665" s="4">
        <v>13</v>
      </c>
      <c r="AB665" s="4">
        <v>1</v>
      </c>
      <c r="AC665" s="4">
        <v>1</v>
      </c>
      <c r="AD665" s="4">
        <v>54</v>
      </c>
      <c r="AE665" s="4">
        <v>68</v>
      </c>
      <c r="AF665" s="4">
        <v>0</v>
      </c>
      <c r="AG665" s="4">
        <v>0</v>
      </c>
      <c r="AH665" s="4">
        <v>52</v>
      </c>
      <c r="AI665" s="4">
        <v>62</v>
      </c>
      <c r="AJ665" s="4">
        <v>2</v>
      </c>
      <c r="AK665" s="4">
        <v>8</v>
      </c>
      <c r="AL665" s="4">
        <v>34</v>
      </c>
      <c r="AM665" s="4">
        <v>38</v>
      </c>
      <c r="AN665" s="4">
        <v>0</v>
      </c>
      <c r="AO665" s="4">
        <v>0</v>
      </c>
      <c r="AP665" s="4">
        <v>2</v>
      </c>
      <c r="AQ665" s="4">
        <v>10</v>
      </c>
      <c r="AR665" s="3" t="s">
        <v>65</v>
      </c>
      <c r="AS665" s="3" t="s">
        <v>65</v>
      </c>
      <c r="AT665" s="3" t="s">
        <v>209</v>
      </c>
      <c r="AU665" s="6" t="str">
        <f t="shared" si="11"/>
        <v>HathiTrust Record</v>
      </c>
      <c r="AV665" s="6" t="str">
        <f t="shared" si="12"/>
        <v>Catalog Record</v>
      </c>
      <c r="AW665" s="6" t="str">
        <f t="shared" si="13"/>
        <v>WorldCat Record</v>
      </c>
      <c r="AX665" s="3" t="s">
        <v>7043</v>
      </c>
      <c r="AY665" s="3" t="s">
        <v>7044</v>
      </c>
      <c r="AZ665" s="3" t="s">
        <v>7045</v>
      </c>
      <c r="BA665" s="3" t="s">
        <v>7045</v>
      </c>
      <c r="BB665" s="3" t="s">
        <v>7049</v>
      </c>
      <c r="BC665" s="3" t="s">
        <v>77</v>
      </c>
      <c r="BD665" s="3" t="s">
        <v>78</v>
      </c>
      <c r="BF665" s="3" t="s">
        <v>7049</v>
      </c>
      <c r="BG665" s="3" t="s">
        <v>7050</v>
      </c>
    </row>
    <row r="666" spans="1:59" ht="58" x14ac:dyDescent="0.35">
      <c r="A666" s="2" t="s">
        <v>59</v>
      </c>
      <c r="B666" s="2" t="s">
        <v>60</v>
      </c>
      <c r="C666" s="2" t="s">
        <v>7033</v>
      </c>
      <c r="D666" s="2" t="s">
        <v>7034</v>
      </c>
      <c r="E666" s="2" t="s">
        <v>7035</v>
      </c>
      <c r="F666" s="3" t="s">
        <v>245</v>
      </c>
      <c r="G666" s="3" t="s">
        <v>209</v>
      </c>
      <c r="I666" s="3" t="s">
        <v>65</v>
      </c>
      <c r="J666" s="3" t="s">
        <v>65</v>
      </c>
      <c r="K666" s="3" t="s">
        <v>66</v>
      </c>
      <c r="L666" s="2" t="s">
        <v>7037</v>
      </c>
      <c r="M666" s="2" t="s">
        <v>7038</v>
      </c>
      <c r="N666" s="3" t="s">
        <v>7039</v>
      </c>
      <c r="O666" s="2" t="s">
        <v>365</v>
      </c>
      <c r="P666" s="3" t="s">
        <v>140</v>
      </c>
      <c r="Q666" s="2" t="s">
        <v>7040</v>
      </c>
      <c r="R666" s="3" t="s">
        <v>71</v>
      </c>
      <c r="S666" s="4">
        <v>3</v>
      </c>
      <c r="T666" s="4">
        <v>60</v>
      </c>
      <c r="U666" s="5" t="s">
        <v>6627</v>
      </c>
      <c r="V666" s="5" t="s">
        <v>7042</v>
      </c>
      <c r="W666" s="5" t="s">
        <v>72</v>
      </c>
      <c r="X666" s="5" t="s">
        <v>72</v>
      </c>
      <c r="Y666" s="4">
        <v>129</v>
      </c>
      <c r="Z666" s="4">
        <v>3</v>
      </c>
      <c r="AA666" s="4">
        <v>13</v>
      </c>
      <c r="AB666" s="4">
        <v>1</v>
      </c>
      <c r="AC666" s="4">
        <v>1</v>
      </c>
      <c r="AD666" s="4">
        <v>54</v>
      </c>
      <c r="AE666" s="4">
        <v>68</v>
      </c>
      <c r="AF666" s="4">
        <v>0</v>
      </c>
      <c r="AG666" s="4">
        <v>0</v>
      </c>
      <c r="AH666" s="4">
        <v>52</v>
      </c>
      <c r="AI666" s="4">
        <v>62</v>
      </c>
      <c r="AJ666" s="4">
        <v>2</v>
      </c>
      <c r="AK666" s="4">
        <v>8</v>
      </c>
      <c r="AL666" s="4">
        <v>34</v>
      </c>
      <c r="AM666" s="4">
        <v>38</v>
      </c>
      <c r="AN666" s="4">
        <v>0</v>
      </c>
      <c r="AO666" s="4">
        <v>0</v>
      </c>
      <c r="AP666" s="4">
        <v>2</v>
      </c>
      <c r="AQ666" s="4">
        <v>10</v>
      </c>
      <c r="AR666" s="3" t="s">
        <v>65</v>
      </c>
      <c r="AS666" s="3" t="s">
        <v>65</v>
      </c>
      <c r="AT666" s="3" t="s">
        <v>209</v>
      </c>
      <c r="AU666" s="6" t="str">
        <f t="shared" si="11"/>
        <v>HathiTrust Record</v>
      </c>
      <c r="AV666" s="6" t="str">
        <f t="shared" si="12"/>
        <v>Catalog Record</v>
      </c>
      <c r="AW666" s="6" t="str">
        <f t="shared" si="13"/>
        <v>WorldCat Record</v>
      </c>
      <c r="AX666" s="3" t="s">
        <v>7043</v>
      </c>
      <c r="AY666" s="3" t="s">
        <v>7044</v>
      </c>
      <c r="AZ666" s="3" t="s">
        <v>7045</v>
      </c>
      <c r="BA666" s="3" t="s">
        <v>7045</v>
      </c>
      <c r="BB666" s="3" t="s">
        <v>7051</v>
      </c>
      <c r="BC666" s="3" t="s">
        <v>77</v>
      </c>
      <c r="BD666" s="3" t="s">
        <v>78</v>
      </c>
      <c r="BF666" s="3" t="s">
        <v>7051</v>
      </c>
      <c r="BG666" s="3" t="s">
        <v>7052</v>
      </c>
    </row>
    <row r="667" spans="1:59" ht="58" x14ac:dyDescent="0.35">
      <c r="A667" s="2" t="s">
        <v>59</v>
      </c>
      <c r="B667" s="2" t="s">
        <v>60</v>
      </c>
      <c r="C667" s="2" t="s">
        <v>7033</v>
      </c>
      <c r="D667" s="2" t="s">
        <v>7034</v>
      </c>
      <c r="E667" s="2" t="s">
        <v>7035</v>
      </c>
      <c r="F667" s="3" t="s">
        <v>503</v>
      </c>
      <c r="G667" s="3" t="s">
        <v>209</v>
      </c>
      <c r="I667" s="3" t="s">
        <v>65</v>
      </c>
      <c r="J667" s="3" t="s">
        <v>65</v>
      </c>
      <c r="K667" s="3" t="s">
        <v>66</v>
      </c>
      <c r="L667" s="2" t="s">
        <v>7037</v>
      </c>
      <c r="M667" s="2" t="s">
        <v>7038</v>
      </c>
      <c r="N667" s="3" t="s">
        <v>7039</v>
      </c>
      <c r="O667" s="2" t="s">
        <v>365</v>
      </c>
      <c r="P667" s="3" t="s">
        <v>140</v>
      </c>
      <c r="Q667" s="2" t="s">
        <v>7040</v>
      </c>
      <c r="R667" s="3" t="s">
        <v>71</v>
      </c>
      <c r="S667" s="4">
        <v>6</v>
      </c>
      <c r="T667" s="4">
        <v>60</v>
      </c>
      <c r="U667" s="5" t="s">
        <v>7053</v>
      </c>
      <c r="V667" s="5" t="s">
        <v>7042</v>
      </c>
      <c r="W667" s="5" t="s">
        <v>72</v>
      </c>
      <c r="X667" s="5" t="s">
        <v>72</v>
      </c>
      <c r="Y667" s="4">
        <v>129</v>
      </c>
      <c r="Z667" s="4">
        <v>3</v>
      </c>
      <c r="AA667" s="4">
        <v>13</v>
      </c>
      <c r="AB667" s="4">
        <v>1</v>
      </c>
      <c r="AC667" s="4">
        <v>1</v>
      </c>
      <c r="AD667" s="4">
        <v>54</v>
      </c>
      <c r="AE667" s="4">
        <v>68</v>
      </c>
      <c r="AF667" s="4">
        <v>0</v>
      </c>
      <c r="AG667" s="4">
        <v>0</v>
      </c>
      <c r="AH667" s="4">
        <v>52</v>
      </c>
      <c r="AI667" s="4">
        <v>62</v>
      </c>
      <c r="AJ667" s="4">
        <v>2</v>
      </c>
      <c r="AK667" s="4">
        <v>8</v>
      </c>
      <c r="AL667" s="4">
        <v>34</v>
      </c>
      <c r="AM667" s="4">
        <v>38</v>
      </c>
      <c r="AN667" s="4">
        <v>0</v>
      </c>
      <c r="AO667" s="4">
        <v>0</v>
      </c>
      <c r="AP667" s="4">
        <v>2</v>
      </c>
      <c r="AQ667" s="4">
        <v>10</v>
      </c>
      <c r="AR667" s="3" t="s">
        <v>65</v>
      </c>
      <c r="AS667" s="3" t="s">
        <v>65</v>
      </c>
      <c r="AT667" s="3" t="s">
        <v>209</v>
      </c>
      <c r="AU667" s="6" t="str">
        <f t="shared" si="11"/>
        <v>HathiTrust Record</v>
      </c>
      <c r="AV667" s="6" t="str">
        <f t="shared" si="12"/>
        <v>Catalog Record</v>
      </c>
      <c r="AW667" s="6" t="str">
        <f t="shared" si="13"/>
        <v>WorldCat Record</v>
      </c>
      <c r="AX667" s="3" t="s">
        <v>7043</v>
      </c>
      <c r="AY667" s="3" t="s">
        <v>7044</v>
      </c>
      <c r="AZ667" s="3" t="s">
        <v>7045</v>
      </c>
      <c r="BA667" s="3" t="s">
        <v>7045</v>
      </c>
      <c r="BB667" s="3" t="s">
        <v>7054</v>
      </c>
      <c r="BC667" s="3" t="s">
        <v>77</v>
      </c>
      <c r="BD667" s="3" t="s">
        <v>78</v>
      </c>
      <c r="BF667" s="3" t="s">
        <v>7054</v>
      </c>
      <c r="BG667" s="3" t="s">
        <v>7055</v>
      </c>
    </row>
    <row r="668" spans="1:59" ht="58" x14ac:dyDescent="0.35">
      <c r="A668" s="2" t="s">
        <v>59</v>
      </c>
      <c r="B668" s="2" t="s">
        <v>60</v>
      </c>
      <c r="C668" s="2" t="s">
        <v>7033</v>
      </c>
      <c r="D668" s="2" t="s">
        <v>7034</v>
      </c>
      <c r="E668" s="2" t="s">
        <v>7035</v>
      </c>
      <c r="F668" s="3" t="s">
        <v>856</v>
      </c>
      <c r="G668" s="3" t="s">
        <v>209</v>
      </c>
      <c r="I668" s="3" t="s">
        <v>65</v>
      </c>
      <c r="J668" s="3" t="s">
        <v>65</v>
      </c>
      <c r="K668" s="3" t="s">
        <v>66</v>
      </c>
      <c r="L668" s="2" t="s">
        <v>7037</v>
      </c>
      <c r="M668" s="2" t="s">
        <v>7038</v>
      </c>
      <c r="N668" s="3" t="s">
        <v>7039</v>
      </c>
      <c r="O668" s="2" t="s">
        <v>365</v>
      </c>
      <c r="P668" s="3" t="s">
        <v>140</v>
      </c>
      <c r="Q668" s="2" t="s">
        <v>7040</v>
      </c>
      <c r="R668" s="3" t="s">
        <v>71</v>
      </c>
      <c r="S668" s="4">
        <v>3</v>
      </c>
      <c r="T668" s="4">
        <v>60</v>
      </c>
      <c r="U668" s="5" t="s">
        <v>7056</v>
      </c>
      <c r="V668" s="5" t="s">
        <v>7042</v>
      </c>
      <c r="W668" s="5" t="s">
        <v>72</v>
      </c>
      <c r="X668" s="5" t="s">
        <v>72</v>
      </c>
      <c r="Y668" s="4">
        <v>129</v>
      </c>
      <c r="Z668" s="4">
        <v>3</v>
      </c>
      <c r="AA668" s="4">
        <v>13</v>
      </c>
      <c r="AB668" s="4">
        <v>1</v>
      </c>
      <c r="AC668" s="4">
        <v>1</v>
      </c>
      <c r="AD668" s="4">
        <v>54</v>
      </c>
      <c r="AE668" s="4">
        <v>68</v>
      </c>
      <c r="AF668" s="4">
        <v>0</v>
      </c>
      <c r="AG668" s="4">
        <v>0</v>
      </c>
      <c r="AH668" s="4">
        <v>52</v>
      </c>
      <c r="AI668" s="4">
        <v>62</v>
      </c>
      <c r="AJ668" s="4">
        <v>2</v>
      </c>
      <c r="AK668" s="4">
        <v>8</v>
      </c>
      <c r="AL668" s="4">
        <v>34</v>
      </c>
      <c r="AM668" s="4">
        <v>38</v>
      </c>
      <c r="AN668" s="4">
        <v>0</v>
      </c>
      <c r="AO668" s="4">
        <v>0</v>
      </c>
      <c r="AP668" s="4">
        <v>2</v>
      </c>
      <c r="AQ668" s="4">
        <v>10</v>
      </c>
      <c r="AR668" s="3" t="s">
        <v>65</v>
      </c>
      <c r="AS668" s="3" t="s">
        <v>65</v>
      </c>
      <c r="AT668" s="3" t="s">
        <v>209</v>
      </c>
      <c r="AU668" s="6" t="str">
        <f t="shared" si="11"/>
        <v>HathiTrust Record</v>
      </c>
      <c r="AV668" s="6" t="str">
        <f t="shared" si="12"/>
        <v>Catalog Record</v>
      </c>
      <c r="AW668" s="6" t="str">
        <f t="shared" si="13"/>
        <v>WorldCat Record</v>
      </c>
      <c r="AX668" s="3" t="s">
        <v>7043</v>
      </c>
      <c r="AY668" s="3" t="s">
        <v>7044</v>
      </c>
      <c r="AZ668" s="3" t="s">
        <v>7045</v>
      </c>
      <c r="BA668" s="3" t="s">
        <v>7045</v>
      </c>
      <c r="BB668" s="3" t="s">
        <v>7057</v>
      </c>
      <c r="BC668" s="3" t="s">
        <v>77</v>
      </c>
      <c r="BD668" s="3" t="s">
        <v>78</v>
      </c>
      <c r="BF668" s="3" t="s">
        <v>7057</v>
      </c>
      <c r="BG668" s="3" t="s">
        <v>7058</v>
      </c>
    </row>
    <row r="669" spans="1:59" ht="58" x14ac:dyDescent="0.35">
      <c r="A669" s="2" t="s">
        <v>59</v>
      </c>
      <c r="B669" s="2" t="s">
        <v>60</v>
      </c>
      <c r="C669" s="2" t="s">
        <v>7033</v>
      </c>
      <c r="D669" s="2" t="s">
        <v>7034</v>
      </c>
      <c r="E669" s="2" t="s">
        <v>7035</v>
      </c>
      <c r="F669" s="3" t="s">
        <v>7059</v>
      </c>
      <c r="G669" s="3" t="s">
        <v>209</v>
      </c>
      <c r="I669" s="3" t="s">
        <v>65</v>
      </c>
      <c r="J669" s="3" t="s">
        <v>65</v>
      </c>
      <c r="K669" s="3" t="s">
        <v>66</v>
      </c>
      <c r="L669" s="2" t="s">
        <v>7037</v>
      </c>
      <c r="M669" s="2" t="s">
        <v>7038</v>
      </c>
      <c r="N669" s="3" t="s">
        <v>7039</v>
      </c>
      <c r="O669" s="2" t="s">
        <v>365</v>
      </c>
      <c r="P669" s="3" t="s">
        <v>140</v>
      </c>
      <c r="Q669" s="2" t="s">
        <v>7040</v>
      </c>
      <c r="R669" s="3" t="s">
        <v>71</v>
      </c>
      <c r="S669" s="4">
        <v>5</v>
      </c>
      <c r="T669" s="4">
        <v>60</v>
      </c>
      <c r="U669" s="5" t="s">
        <v>7042</v>
      </c>
      <c r="V669" s="5" t="s">
        <v>7042</v>
      </c>
      <c r="W669" s="5" t="s">
        <v>72</v>
      </c>
      <c r="X669" s="5" t="s">
        <v>72</v>
      </c>
      <c r="Y669" s="4">
        <v>129</v>
      </c>
      <c r="Z669" s="4">
        <v>3</v>
      </c>
      <c r="AA669" s="4">
        <v>13</v>
      </c>
      <c r="AB669" s="4">
        <v>1</v>
      </c>
      <c r="AC669" s="4">
        <v>1</v>
      </c>
      <c r="AD669" s="4">
        <v>54</v>
      </c>
      <c r="AE669" s="4">
        <v>68</v>
      </c>
      <c r="AF669" s="4">
        <v>0</v>
      </c>
      <c r="AG669" s="4">
        <v>0</v>
      </c>
      <c r="AH669" s="4">
        <v>52</v>
      </c>
      <c r="AI669" s="4">
        <v>62</v>
      </c>
      <c r="AJ669" s="4">
        <v>2</v>
      </c>
      <c r="AK669" s="4">
        <v>8</v>
      </c>
      <c r="AL669" s="4">
        <v>34</v>
      </c>
      <c r="AM669" s="4">
        <v>38</v>
      </c>
      <c r="AN669" s="4">
        <v>0</v>
      </c>
      <c r="AO669" s="4">
        <v>0</v>
      </c>
      <c r="AP669" s="4">
        <v>2</v>
      </c>
      <c r="AQ669" s="4">
        <v>10</v>
      </c>
      <c r="AR669" s="3" t="s">
        <v>65</v>
      </c>
      <c r="AS669" s="3" t="s">
        <v>65</v>
      </c>
      <c r="AT669" s="3" t="s">
        <v>209</v>
      </c>
      <c r="AU669" s="6" t="str">
        <f t="shared" si="11"/>
        <v>HathiTrust Record</v>
      </c>
      <c r="AV669" s="6" t="str">
        <f t="shared" si="12"/>
        <v>Catalog Record</v>
      </c>
      <c r="AW669" s="6" t="str">
        <f t="shared" si="13"/>
        <v>WorldCat Record</v>
      </c>
      <c r="AX669" s="3" t="s">
        <v>7043</v>
      </c>
      <c r="AY669" s="3" t="s">
        <v>7044</v>
      </c>
      <c r="AZ669" s="3" t="s">
        <v>7045</v>
      </c>
      <c r="BA669" s="3" t="s">
        <v>7045</v>
      </c>
      <c r="BB669" s="3" t="s">
        <v>7060</v>
      </c>
      <c r="BC669" s="3" t="s">
        <v>77</v>
      </c>
      <c r="BD669" s="3" t="s">
        <v>78</v>
      </c>
      <c r="BF669" s="3" t="s">
        <v>7060</v>
      </c>
      <c r="BG669" s="3" t="s">
        <v>7061</v>
      </c>
    </row>
    <row r="670" spans="1:59" ht="58" x14ac:dyDescent="0.35">
      <c r="A670" s="2" t="s">
        <v>59</v>
      </c>
      <c r="B670" s="2" t="s">
        <v>60</v>
      </c>
      <c r="C670" s="2" t="s">
        <v>7033</v>
      </c>
      <c r="D670" s="2" t="s">
        <v>7034</v>
      </c>
      <c r="E670" s="2" t="s">
        <v>7035</v>
      </c>
      <c r="F670" s="3" t="s">
        <v>7062</v>
      </c>
      <c r="G670" s="3" t="s">
        <v>209</v>
      </c>
      <c r="I670" s="3" t="s">
        <v>65</v>
      </c>
      <c r="J670" s="3" t="s">
        <v>65</v>
      </c>
      <c r="K670" s="3" t="s">
        <v>66</v>
      </c>
      <c r="L670" s="2" t="s">
        <v>7037</v>
      </c>
      <c r="M670" s="2" t="s">
        <v>7038</v>
      </c>
      <c r="N670" s="3" t="s">
        <v>7039</v>
      </c>
      <c r="O670" s="2" t="s">
        <v>365</v>
      </c>
      <c r="P670" s="3" t="s">
        <v>140</v>
      </c>
      <c r="Q670" s="2" t="s">
        <v>7040</v>
      </c>
      <c r="R670" s="3" t="s">
        <v>71</v>
      </c>
      <c r="S670" s="4">
        <v>9</v>
      </c>
      <c r="T670" s="4">
        <v>60</v>
      </c>
      <c r="U670" s="5" t="s">
        <v>6627</v>
      </c>
      <c r="V670" s="5" t="s">
        <v>7042</v>
      </c>
      <c r="W670" s="5" t="s">
        <v>72</v>
      </c>
      <c r="X670" s="5" t="s">
        <v>72</v>
      </c>
      <c r="Y670" s="4">
        <v>129</v>
      </c>
      <c r="Z670" s="4">
        <v>3</v>
      </c>
      <c r="AA670" s="4">
        <v>13</v>
      </c>
      <c r="AB670" s="4">
        <v>1</v>
      </c>
      <c r="AC670" s="4">
        <v>1</v>
      </c>
      <c r="AD670" s="4">
        <v>54</v>
      </c>
      <c r="AE670" s="4">
        <v>68</v>
      </c>
      <c r="AF670" s="4">
        <v>0</v>
      </c>
      <c r="AG670" s="4">
        <v>0</v>
      </c>
      <c r="AH670" s="4">
        <v>52</v>
      </c>
      <c r="AI670" s="4">
        <v>62</v>
      </c>
      <c r="AJ670" s="4">
        <v>2</v>
      </c>
      <c r="AK670" s="4">
        <v>8</v>
      </c>
      <c r="AL670" s="4">
        <v>34</v>
      </c>
      <c r="AM670" s="4">
        <v>38</v>
      </c>
      <c r="AN670" s="4">
        <v>0</v>
      </c>
      <c r="AO670" s="4">
        <v>0</v>
      </c>
      <c r="AP670" s="4">
        <v>2</v>
      </c>
      <c r="AQ670" s="4">
        <v>10</v>
      </c>
      <c r="AR670" s="3" t="s">
        <v>65</v>
      </c>
      <c r="AS670" s="3" t="s">
        <v>65</v>
      </c>
      <c r="AT670" s="3" t="s">
        <v>209</v>
      </c>
      <c r="AU670" s="6" t="str">
        <f t="shared" si="11"/>
        <v>HathiTrust Record</v>
      </c>
      <c r="AV670" s="6" t="str">
        <f t="shared" si="12"/>
        <v>Catalog Record</v>
      </c>
      <c r="AW670" s="6" t="str">
        <f t="shared" si="13"/>
        <v>WorldCat Record</v>
      </c>
      <c r="AX670" s="3" t="s">
        <v>7043</v>
      </c>
      <c r="AY670" s="3" t="s">
        <v>7044</v>
      </c>
      <c r="AZ670" s="3" t="s">
        <v>7045</v>
      </c>
      <c r="BA670" s="3" t="s">
        <v>7045</v>
      </c>
      <c r="BB670" s="3" t="s">
        <v>7063</v>
      </c>
      <c r="BC670" s="3" t="s">
        <v>77</v>
      </c>
      <c r="BD670" s="3" t="s">
        <v>78</v>
      </c>
      <c r="BF670" s="3" t="s">
        <v>7063</v>
      </c>
      <c r="BG670" s="3" t="s">
        <v>7064</v>
      </c>
    </row>
    <row r="671" spans="1:59" ht="58" x14ac:dyDescent="0.35">
      <c r="A671" s="2" t="s">
        <v>59</v>
      </c>
      <c r="B671" s="2" t="s">
        <v>60</v>
      </c>
      <c r="C671" s="2" t="s">
        <v>7033</v>
      </c>
      <c r="D671" s="2" t="s">
        <v>7034</v>
      </c>
      <c r="E671" s="2" t="s">
        <v>7035</v>
      </c>
      <c r="F671" s="3" t="s">
        <v>850</v>
      </c>
      <c r="G671" s="3" t="s">
        <v>209</v>
      </c>
      <c r="I671" s="3" t="s">
        <v>65</v>
      </c>
      <c r="J671" s="3" t="s">
        <v>65</v>
      </c>
      <c r="K671" s="3" t="s">
        <v>66</v>
      </c>
      <c r="L671" s="2" t="s">
        <v>7037</v>
      </c>
      <c r="M671" s="2" t="s">
        <v>7038</v>
      </c>
      <c r="N671" s="3" t="s">
        <v>7039</v>
      </c>
      <c r="O671" s="2" t="s">
        <v>365</v>
      </c>
      <c r="P671" s="3" t="s">
        <v>140</v>
      </c>
      <c r="Q671" s="2" t="s">
        <v>7040</v>
      </c>
      <c r="R671" s="3" t="s">
        <v>71</v>
      </c>
      <c r="S671" s="4">
        <v>11</v>
      </c>
      <c r="T671" s="4">
        <v>60</v>
      </c>
      <c r="U671" s="5" t="s">
        <v>7041</v>
      </c>
      <c r="V671" s="5" t="s">
        <v>7042</v>
      </c>
      <c r="W671" s="5" t="s">
        <v>72</v>
      </c>
      <c r="X671" s="5" t="s">
        <v>72</v>
      </c>
      <c r="Y671" s="4">
        <v>129</v>
      </c>
      <c r="Z671" s="4">
        <v>3</v>
      </c>
      <c r="AA671" s="4">
        <v>13</v>
      </c>
      <c r="AB671" s="4">
        <v>1</v>
      </c>
      <c r="AC671" s="4">
        <v>1</v>
      </c>
      <c r="AD671" s="4">
        <v>54</v>
      </c>
      <c r="AE671" s="4">
        <v>68</v>
      </c>
      <c r="AF671" s="4">
        <v>0</v>
      </c>
      <c r="AG671" s="4">
        <v>0</v>
      </c>
      <c r="AH671" s="4">
        <v>52</v>
      </c>
      <c r="AI671" s="4">
        <v>62</v>
      </c>
      <c r="AJ671" s="4">
        <v>2</v>
      </c>
      <c r="AK671" s="4">
        <v>8</v>
      </c>
      <c r="AL671" s="4">
        <v>34</v>
      </c>
      <c r="AM671" s="4">
        <v>38</v>
      </c>
      <c r="AN671" s="4">
        <v>0</v>
      </c>
      <c r="AO671" s="4">
        <v>0</v>
      </c>
      <c r="AP671" s="4">
        <v>2</v>
      </c>
      <c r="AQ671" s="4">
        <v>10</v>
      </c>
      <c r="AR671" s="3" t="s">
        <v>65</v>
      </c>
      <c r="AS671" s="3" t="s">
        <v>65</v>
      </c>
      <c r="AT671" s="3" t="s">
        <v>209</v>
      </c>
      <c r="AU671" s="6" t="str">
        <f t="shared" si="11"/>
        <v>HathiTrust Record</v>
      </c>
      <c r="AV671" s="6" t="str">
        <f t="shared" si="12"/>
        <v>Catalog Record</v>
      </c>
      <c r="AW671" s="6" t="str">
        <f t="shared" si="13"/>
        <v>WorldCat Record</v>
      </c>
      <c r="AX671" s="3" t="s">
        <v>7043</v>
      </c>
      <c r="AY671" s="3" t="s">
        <v>7044</v>
      </c>
      <c r="AZ671" s="3" t="s">
        <v>7045</v>
      </c>
      <c r="BA671" s="3" t="s">
        <v>7045</v>
      </c>
      <c r="BB671" s="3" t="s">
        <v>7065</v>
      </c>
      <c r="BC671" s="3" t="s">
        <v>77</v>
      </c>
      <c r="BD671" s="3" t="s">
        <v>78</v>
      </c>
      <c r="BF671" s="3" t="s">
        <v>7065</v>
      </c>
      <c r="BG671" s="3" t="s">
        <v>7066</v>
      </c>
    </row>
    <row r="672" spans="1:59" ht="58" x14ac:dyDescent="0.35">
      <c r="A672" s="2" t="s">
        <v>59</v>
      </c>
      <c r="B672" s="2" t="s">
        <v>60</v>
      </c>
      <c r="C672" s="2" t="s">
        <v>7033</v>
      </c>
      <c r="D672" s="2" t="s">
        <v>7034</v>
      </c>
      <c r="E672" s="2" t="s">
        <v>7035</v>
      </c>
      <c r="F672" s="3" t="s">
        <v>3103</v>
      </c>
      <c r="G672" s="3" t="s">
        <v>209</v>
      </c>
      <c r="I672" s="3" t="s">
        <v>65</v>
      </c>
      <c r="J672" s="3" t="s">
        <v>65</v>
      </c>
      <c r="K672" s="3" t="s">
        <v>66</v>
      </c>
      <c r="L672" s="2" t="s">
        <v>7037</v>
      </c>
      <c r="M672" s="2" t="s">
        <v>7038</v>
      </c>
      <c r="N672" s="3" t="s">
        <v>7039</v>
      </c>
      <c r="O672" s="2" t="s">
        <v>365</v>
      </c>
      <c r="P672" s="3" t="s">
        <v>140</v>
      </c>
      <c r="Q672" s="2" t="s">
        <v>7040</v>
      </c>
      <c r="R672" s="3" t="s">
        <v>71</v>
      </c>
      <c r="S672" s="4">
        <v>4</v>
      </c>
      <c r="T672" s="4">
        <v>60</v>
      </c>
      <c r="U672" s="5" t="s">
        <v>6627</v>
      </c>
      <c r="V672" s="5" t="s">
        <v>7042</v>
      </c>
      <c r="W672" s="5" t="s">
        <v>72</v>
      </c>
      <c r="X672" s="5" t="s">
        <v>72</v>
      </c>
      <c r="Y672" s="4">
        <v>129</v>
      </c>
      <c r="Z672" s="4">
        <v>3</v>
      </c>
      <c r="AA672" s="4">
        <v>13</v>
      </c>
      <c r="AB672" s="4">
        <v>1</v>
      </c>
      <c r="AC672" s="4">
        <v>1</v>
      </c>
      <c r="AD672" s="4">
        <v>54</v>
      </c>
      <c r="AE672" s="4">
        <v>68</v>
      </c>
      <c r="AF672" s="4">
        <v>0</v>
      </c>
      <c r="AG672" s="4">
        <v>0</v>
      </c>
      <c r="AH672" s="4">
        <v>52</v>
      </c>
      <c r="AI672" s="4">
        <v>62</v>
      </c>
      <c r="AJ672" s="4">
        <v>2</v>
      </c>
      <c r="AK672" s="4">
        <v>8</v>
      </c>
      <c r="AL672" s="4">
        <v>34</v>
      </c>
      <c r="AM672" s="4">
        <v>38</v>
      </c>
      <c r="AN672" s="4">
        <v>0</v>
      </c>
      <c r="AO672" s="4">
        <v>0</v>
      </c>
      <c r="AP672" s="4">
        <v>2</v>
      </c>
      <c r="AQ672" s="4">
        <v>10</v>
      </c>
      <c r="AR672" s="3" t="s">
        <v>65</v>
      </c>
      <c r="AS672" s="3" t="s">
        <v>65</v>
      </c>
      <c r="AT672" s="3" t="s">
        <v>209</v>
      </c>
      <c r="AU672" s="6" t="str">
        <f t="shared" si="11"/>
        <v>HathiTrust Record</v>
      </c>
      <c r="AV672" s="6" t="str">
        <f t="shared" si="12"/>
        <v>Catalog Record</v>
      </c>
      <c r="AW672" s="6" t="str">
        <f t="shared" si="13"/>
        <v>WorldCat Record</v>
      </c>
      <c r="AX672" s="3" t="s">
        <v>7043</v>
      </c>
      <c r="AY672" s="3" t="s">
        <v>7044</v>
      </c>
      <c r="AZ672" s="3" t="s">
        <v>7045</v>
      </c>
      <c r="BA672" s="3" t="s">
        <v>7045</v>
      </c>
      <c r="BB672" s="3" t="s">
        <v>7067</v>
      </c>
      <c r="BC672" s="3" t="s">
        <v>77</v>
      </c>
      <c r="BD672" s="3" t="s">
        <v>78</v>
      </c>
      <c r="BF672" s="3" t="s">
        <v>7067</v>
      </c>
      <c r="BG672" s="3" t="s">
        <v>7068</v>
      </c>
    </row>
    <row r="673" spans="1:59" ht="58" x14ac:dyDescent="0.35">
      <c r="A673" s="2" t="s">
        <v>59</v>
      </c>
      <c r="B673" s="2" t="s">
        <v>60</v>
      </c>
      <c r="C673" s="2" t="s">
        <v>7069</v>
      </c>
      <c r="D673" s="2" t="s">
        <v>7070</v>
      </c>
      <c r="E673" s="2" t="s">
        <v>7071</v>
      </c>
      <c r="G673" s="3" t="s">
        <v>65</v>
      </c>
      <c r="I673" s="3" t="s">
        <v>65</v>
      </c>
      <c r="J673" s="3" t="s">
        <v>65</v>
      </c>
      <c r="K673" s="3" t="s">
        <v>66</v>
      </c>
      <c r="L673" s="2" t="s">
        <v>7037</v>
      </c>
      <c r="M673" s="2" t="s">
        <v>7072</v>
      </c>
      <c r="N673" s="3" t="s">
        <v>493</v>
      </c>
      <c r="P673" s="3" t="s">
        <v>140</v>
      </c>
      <c r="Q673" s="2" t="s">
        <v>7073</v>
      </c>
      <c r="R673" s="3" t="s">
        <v>71</v>
      </c>
      <c r="S673" s="4">
        <v>1</v>
      </c>
      <c r="T673" s="4">
        <v>1</v>
      </c>
      <c r="U673" s="5" t="s">
        <v>5225</v>
      </c>
      <c r="V673" s="5" t="s">
        <v>5225</v>
      </c>
      <c r="W673" s="5" t="s">
        <v>72</v>
      </c>
      <c r="X673" s="5" t="s">
        <v>72</v>
      </c>
      <c r="Y673" s="4">
        <v>17</v>
      </c>
      <c r="Z673" s="4">
        <v>4</v>
      </c>
      <c r="AA673" s="4">
        <v>6</v>
      </c>
      <c r="AB673" s="4">
        <v>1</v>
      </c>
      <c r="AC673" s="4">
        <v>1</v>
      </c>
      <c r="AD673" s="4">
        <v>5</v>
      </c>
      <c r="AE673" s="4">
        <v>7</v>
      </c>
      <c r="AF673" s="4">
        <v>0</v>
      </c>
      <c r="AG673" s="4">
        <v>0</v>
      </c>
      <c r="AH673" s="4">
        <v>4</v>
      </c>
      <c r="AI673" s="4">
        <v>5</v>
      </c>
      <c r="AJ673" s="4">
        <v>2</v>
      </c>
      <c r="AK673" s="4">
        <v>4</v>
      </c>
      <c r="AL673" s="4">
        <v>3</v>
      </c>
      <c r="AM673" s="4">
        <v>3</v>
      </c>
      <c r="AN673" s="4">
        <v>0</v>
      </c>
      <c r="AO673" s="4">
        <v>0</v>
      </c>
      <c r="AP673" s="4">
        <v>2</v>
      </c>
      <c r="AQ673" s="4">
        <v>4</v>
      </c>
      <c r="AR673" s="3" t="s">
        <v>65</v>
      </c>
      <c r="AS673" s="3" t="s">
        <v>65</v>
      </c>
      <c r="AT673" s="3" t="s">
        <v>65</v>
      </c>
      <c r="AV673" s="6" t="str">
        <f>HYPERLINK("http://mcgill.on.worldcat.org/oclc/221139559","Catalog Record")</f>
        <v>Catalog Record</v>
      </c>
      <c r="AW673" s="6" t="str">
        <f>HYPERLINK("http://www.worldcat.org/oclc/221139559","WorldCat Record")</f>
        <v>WorldCat Record</v>
      </c>
      <c r="AX673" s="3" t="s">
        <v>7074</v>
      </c>
      <c r="AY673" s="3" t="s">
        <v>7075</v>
      </c>
      <c r="AZ673" s="3" t="s">
        <v>7076</v>
      </c>
      <c r="BA673" s="3" t="s">
        <v>7076</v>
      </c>
      <c r="BB673" s="3" t="s">
        <v>7077</v>
      </c>
      <c r="BC673" s="3" t="s">
        <v>77</v>
      </c>
      <c r="BD673" s="3" t="s">
        <v>78</v>
      </c>
      <c r="BF673" s="3" t="s">
        <v>7077</v>
      </c>
      <c r="BG673" s="3" t="s">
        <v>7078</v>
      </c>
    </row>
    <row r="674" spans="1:59" ht="58" x14ac:dyDescent="0.35">
      <c r="A674" s="2" t="s">
        <v>59</v>
      </c>
      <c r="B674" s="2" t="s">
        <v>60</v>
      </c>
      <c r="C674" s="2" t="s">
        <v>7079</v>
      </c>
      <c r="D674" s="2" t="s">
        <v>7080</v>
      </c>
      <c r="E674" s="2" t="s">
        <v>7081</v>
      </c>
      <c r="G674" s="3" t="s">
        <v>65</v>
      </c>
      <c r="I674" s="3" t="s">
        <v>65</v>
      </c>
      <c r="J674" s="3" t="s">
        <v>65</v>
      </c>
      <c r="K674" s="3" t="s">
        <v>66</v>
      </c>
      <c r="L674" s="2" t="s">
        <v>7037</v>
      </c>
      <c r="M674" s="2" t="s">
        <v>7082</v>
      </c>
      <c r="N674" s="3" t="s">
        <v>113</v>
      </c>
      <c r="O674" s="2" t="s">
        <v>365</v>
      </c>
      <c r="P674" s="3" t="s">
        <v>140</v>
      </c>
      <c r="Q674" s="2" t="s">
        <v>7083</v>
      </c>
      <c r="R674" s="3" t="s">
        <v>71</v>
      </c>
      <c r="S674" s="4">
        <v>0</v>
      </c>
      <c r="T674" s="4">
        <v>0</v>
      </c>
      <c r="W674" s="5" t="s">
        <v>72</v>
      </c>
      <c r="X674" s="5" t="s">
        <v>72</v>
      </c>
      <c r="Y674" s="4">
        <v>65</v>
      </c>
      <c r="Z674" s="4">
        <v>4</v>
      </c>
      <c r="AA674" s="4">
        <v>4</v>
      </c>
      <c r="AB674" s="4">
        <v>1</v>
      </c>
      <c r="AC674" s="4">
        <v>1</v>
      </c>
      <c r="AD674" s="4">
        <v>38</v>
      </c>
      <c r="AE674" s="4">
        <v>38</v>
      </c>
      <c r="AF674" s="4">
        <v>0</v>
      </c>
      <c r="AG674" s="4">
        <v>0</v>
      </c>
      <c r="AH674" s="4">
        <v>37</v>
      </c>
      <c r="AI674" s="4">
        <v>37</v>
      </c>
      <c r="AJ674" s="4">
        <v>2</v>
      </c>
      <c r="AK674" s="4">
        <v>2</v>
      </c>
      <c r="AL674" s="4">
        <v>28</v>
      </c>
      <c r="AM674" s="4">
        <v>28</v>
      </c>
      <c r="AN674" s="4">
        <v>0</v>
      </c>
      <c r="AO674" s="4">
        <v>0</v>
      </c>
      <c r="AP674" s="4">
        <v>2</v>
      </c>
      <c r="AQ674" s="4">
        <v>2</v>
      </c>
      <c r="AR674" s="3" t="s">
        <v>65</v>
      </c>
      <c r="AS674" s="3" t="s">
        <v>65</v>
      </c>
      <c r="AT674" s="3" t="s">
        <v>65</v>
      </c>
      <c r="AV674" s="6" t="str">
        <f>HYPERLINK("http://mcgill.on.worldcat.org/oclc/707960047","Catalog Record")</f>
        <v>Catalog Record</v>
      </c>
      <c r="AW674" s="6" t="str">
        <f>HYPERLINK("http://www.worldcat.org/oclc/707960047","WorldCat Record")</f>
        <v>WorldCat Record</v>
      </c>
      <c r="AX674" s="3" t="s">
        <v>7084</v>
      </c>
      <c r="AY674" s="3" t="s">
        <v>7085</v>
      </c>
      <c r="AZ674" s="3" t="s">
        <v>7086</v>
      </c>
      <c r="BA674" s="3" t="s">
        <v>7086</v>
      </c>
      <c r="BB674" s="3" t="s">
        <v>7087</v>
      </c>
      <c r="BC674" s="3" t="s">
        <v>77</v>
      </c>
      <c r="BD674" s="3" t="s">
        <v>78</v>
      </c>
      <c r="BE674" s="3" t="s">
        <v>7088</v>
      </c>
      <c r="BF674" s="3" t="s">
        <v>7087</v>
      </c>
      <c r="BG674" s="3" t="s">
        <v>7089</v>
      </c>
    </row>
    <row r="675" spans="1:59" ht="58" x14ac:dyDescent="0.35">
      <c r="A675" s="2" t="s">
        <v>59</v>
      </c>
      <c r="B675" s="2" t="s">
        <v>60</v>
      </c>
      <c r="C675" s="2" t="s">
        <v>7090</v>
      </c>
      <c r="D675" s="2" t="s">
        <v>7091</v>
      </c>
      <c r="E675" s="2" t="s">
        <v>7092</v>
      </c>
      <c r="F675" s="3" t="s">
        <v>490</v>
      </c>
      <c r="G675" s="3" t="s">
        <v>209</v>
      </c>
      <c r="I675" s="3" t="s">
        <v>65</v>
      </c>
      <c r="J675" s="3" t="s">
        <v>65</v>
      </c>
      <c r="K675" s="3" t="s">
        <v>66</v>
      </c>
      <c r="L675" s="2" t="s">
        <v>7037</v>
      </c>
      <c r="M675" s="2" t="s">
        <v>7093</v>
      </c>
      <c r="N675" s="3" t="s">
        <v>5642</v>
      </c>
      <c r="P675" s="3" t="s">
        <v>140</v>
      </c>
      <c r="Q675" s="2" t="s">
        <v>7094</v>
      </c>
      <c r="R675" s="3" t="s">
        <v>71</v>
      </c>
      <c r="S675" s="4">
        <v>5</v>
      </c>
      <c r="T675" s="4">
        <v>5</v>
      </c>
      <c r="U675" s="5" t="s">
        <v>7095</v>
      </c>
      <c r="V675" s="5" t="s">
        <v>7095</v>
      </c>
      <c r="W675" s="5" t="s">
        <v>72</v>
      </c>
      <c r="X675" s="5" t="s">
        <v>72</v>
      </c>
      <c r="Y675" s="4">
        <v>122</v>
      </c>
      <c r="Z675" s="4">
        <v>11</v>
      </c>
      <c r="AA675" s="4">
        <v>13</v>
      </c>
      <c r="AB675" s="4">
        <v>1</v>
      </c>
      <c r="AC675" s="4">
        <v>2</v>
      </c>
      <c r="AD675" s="4">
        <v>62</v>
      </c>
      <c r="AE675" s="4">
        <v>69</v>
      </c>
      <c r="AF675" s="4">
        <v>0</v>
      </c>
      <c r="AG675" s="4">
        <v>1</v>
      </c>
      <c r="AH675" s="4">
        <v>58</v>
      </c>
      <c r="AI675" s="4">
        <v>63</v>
      </c>
      <c r="AJ675" s="4">
        <v>6</v>
      </c>
      <c r="AK675" s="4">
        <v>7</v>
      </c>
      <c r="AL675" s="4">
        <v>41</v>
      </c>
      <c r="AM675" s="4">
        <v>46</v>
      </c>
      <c r="AN675" s="4">
        <v>0</v>
      </c>
      <c r="AO675" s="4">
        <v>3</v>
      </c>
      <c r="AP675" s="4">
        <v>7</v>
      </c>
      <c r="AQ675" s="4">
        <v>9</v>
      </c>
      <c r="AR675" s="3" t="s">
        <v>65</v>
      </c>
      <c r="AS675" s="3" t="s">
        <v>65</v>
      </c>
      <c r="AT675" s="3" t="s">
        <v>209</v>
      </c>
      <c r="AU675" s="6" t="str">
        <f>HYPERLINK("http://catalog.hathitrust.org/Record/001218630","HathiTrust Record")</f>
        <v>HathiTrust Record</v>
      </c>
      <c r="AV675" s="6" t="str">
        <f>HYPERLINK("http://mcgill.on.worldcat.org/oclc/5302927","Catalog Record")</f>
        <v>Catalog Record</v>
      </c>
      <c r="AW675" s="6" t="str">
        <f>HYPERLINK("http://www.worldcat.org/oclc/5302927","WorldCat Record")</f>
        <v>WorldCat Record</v>
      </c>
      <c r="AX675" s="3" t="s">
        <v>7096</v>
      </c>
      <c r="AY675" s="3" t="s">
        <v>7097</v>
      </c>
      <c r="AZ675" s="3" t="s">
        <v>7098</v>
      </c>
      <c r="BA675" s="3" t="s">
        <v>7098</v>
      </c>
      <c r="BB675" s="3" t="s">
        <v>7099</v>
      </c>
      <c r="BC675" s="3" t="s">
        <v>77</v>
      </c>
      <c r="BD675" s="3" t="s">
        <v>78</v>
      </c>
      <c r="BF675" s="3" t="s">
        <v>7099</v>
      </c>
      <c r="BG675" s="3" t="s">
        <v>7100</v>
      </c>
    </row>
    <row r="676" spans="1:59" ht="58" x14ac:dyDescent="0.35">
      <c r="A676" s="2" t="s">
        <v>59</v>
      </c>
      <c r="B676" s="2" t="s">
        <v>60</v>
      </c>
      <c r="C676" s="2" t="s">
        <v>7090</v>
      </c>
      <c r="D676" s="2" t="s">
        <v>7091</v>
      </c>
      <c r="E676" s="2" t="s">
        <v>7092</v>
      </c>
      <c r="F676" s="3" t="s">
        <v>503</v>
      </c>
      <c r="G676" s="3" t="s">
        <v>209</v>
      </c>
      <c r="I676" s="3" t="s">
        <v>65</v>
      </c>
      <c r="J676" s="3" t="s">
        <v>65</v>
      </c>
      <c r="K676" s="3" t="s">
        <v>66</v>
      </c>
      <c r="L676" s="2" t="s">
        <v>7037</v>
      </c>
      <c r="M676" s="2" t="s">
        <v>7093</v>
      </c>
      <c r="N676" s="3" t="s">
        <v>5642</v>
      </c>
      <c r="P676" s="3" t="s">
        <v>140</v>
      </c>
      <c r="Q676" s="2" t="s">
        <v>7094</v>
      </c>
      <c r="R676" s="3" t="s">
        <v>71</v>
      </c>
      <c r="S676" s="4">
        <v>0</v>
      </c>
      <c r="T676" s="4">
        <v>5</v>
      </c>
      <c r="V676" s="5" t="s">
        <v>7095</v>
      </c>
      <c r="W676" s="5" t="s">
        <v>72</v>
      </c>
      <c r="X676" s="5" t="s">
        <v>72</v>
      </c>
      <c r="Y676" s="4">
        <v>122</v>
      </c>
      <c r="Z676" s="4">
        <v>11</v>
      </c>
      <c r="AA676" s="4">
        <v>13</v>
      </c>
      <c r="AB676" s="4">
        <v>1</v>
      </c>
      <c r="AC676" s="4">
        <v>2</v>
      </c>
      <c r="AD676" s="4">
        <v>62</v>
      </c>
      <c r="AE676" s="4">
        <v>69</v>
      </c>
      <c r="AF676" s="4">
        <v>0</v>
      </c>
      <c r="AG676" s="4">
        <v>1</v>
      </c>
      <c r="AH676" s="4">
        <v>58</v>
      </c>
      <c r="AI676" s="4">
        <v>63</v>
      </c>
      <c r="AJ676" s="4">
        <v>6</v>
      </c>
      <c r="AK676" s="4">
        <v>7</v>
      </c>
      <c r="AL676" s="4">
        <v>41</v>
      </c>
      <c r="AM676" s="4">
        <v>46</v>
      </c>
      <c r="AN676" s="4">
        <v>0</v>
      </c>
      <c r="AO676" s="4">
        <v>3</v>
      </c>
      <c r="AP676" s="4">
        <v>7</v>
      </c>
      <c r="AQ676" s="4">
        <v>9</v>
      </c>
      <c r="AR676" s="3" t="s">
        <v>65</v>
      </c>
      <c r="AS676" s="3" t="s">
        <v>65</v>
      </c>
      <c r="AT676" s="3" t="s">
        <v>209</v>
      </c>
      <c r="AU676" s="6" t="str">
        <f>HYPERLINK("http://catalog.hathitrust.org/Record/001218630","HathiTrust Record")</f>
        <v>HathiTrust Record</v>
      </c>
      <c r="AV676" s="6" t="str">
        <f>HYPERLINK("http://mcgill.on.worldcat.org/oclc/5302927","Catalog Record")</f>
        <v>Catalog Record</v>
      </c>
      <c r="AW676" s="6" t="str">
        <f>HYPERLINK("http://www.worldcat.org/oclc/5302927","WorldCat Record")</f>
        <v>WorldCat Record</v>
      </c>
      <c r="AX676" s="3" t="s">
        <v>7096</v>
      </c>
      <c r="AY676" s="3" t="s">
        <v>7097</v>
      </c>
      <c r="AZ676" s="3" t="s">
        <v>7098</v>
      </c>
      <c r="BA676" s="3" t="s">
        <v>7098</v>
      </c>
      <c r="BB676" s="3" t="s">
        <v>7101</v>
      </c>
      <c r="BC676" s="3" t="s">
        <v>77</v>
      </c>
      <c r="BD676" s="3" t="s">
        <v>78</v>
      </c>
      <c r="BF676" s="3" t="s">
        <v>7101</v>
      </c>
      <c r="BG676" s="3" t="s">
        <v>7102</v>
      </c>
    </row>
    <row r="677" spans="1:59" ht="58" x14ac:dyDescent="0.35">
      <c r="A677" s="2" t="s">
        <v>59</v>
      </c>
      <c r="B677" s="2" t="s">
        <v>60</v>
      </c>
      <c r="C677" s="2" t="s">
        <v>7103</v>
      </c>
      <c r="D677" s="2" t="s">
        <v>7104</v>
      </c>
      <c r="E677" s="2" t="s">
        <v>7105</v>
      </c>
      <c r="G677" s="3" t="s">
        <v>65</v>
      </c>
      <c r="I677" s="3" t="s">
        <v>65</v>
      </c>
      <c r="J677" s="3" t="s">
        <v>209</v>
      </c>
      <c r="K677" s="3" t="s">
        <v>66</v>
      </c>
      <c r="L677" s="2" t="s">
        <v>7037</v>
      </c>
      <c r="M677" s="2" t="s">
        <v>7106</v>
      </c>
      <c r="N677" s="3" t="s">
        <v>955</v>
      </c>
      <c r="P677" s="3" t="s">
        <v>140</v>
      </c>
      <c r="Q677" s="2" t="s">
        <v>7107</v>
      </c>
      <c r="R677" s="3" t="s">
        <v>71</v>
      </c>
      <c r="S677" s="4">
        <v>44</v>
      </c>
      <c r="T677" s="4">
        <v>44</v>
      </c>
      <c r="U677" s="5" t="s">
        <v>882</v>
      </c>
      <c r="V677" s="5" t="s">
        <v>882</v>
      </c>
      <c r="W677" s="5" t="s">
        <v>72</v>
      </c>
      <c r="X677" s="5" t="s">
        <v>72</v>
      </c>
      <c r="Y677" s="4">
        <v>53</v>
      </c>
      <c r="Z677" s="4">
        <v>4</v>
      </c>
      <c r="AA677" s="4">
        <v>7</v>
      </c>
      <c r="AB677" s="4">
        <v>2</v>
      </c>
      <c r="AC677" s="4">
        <v>2</v>
      </c>
      <c r="AD677" s="4">
        <v>23</v>
      </c>
      <c r="AE677" s="4">
        <v>44</v>
      </c>
      <c r="AF677" s="4">
        <v>1</v>
      </c>
      <c r="AG677" s="4">
        <v>1</v>
      </c>
      <c r="AH677" s="4">
        <v>21</v>
      </c>
      <c r="AI677" s="4">
        <v>41</v>
      </c>
      <c r="AJ677" s="4">
        <v>3</v>
      </c>
      <c r="AK677" s="4">
        <v>5</v>
      </c>
      <c r="AL677" s="4">
        <v>16</v>
      </c>
      <c r="AM677" s="4">
        <v>30</v>
      </c>
      <c r="AN677" s="4">
        <v>0</v>
      </c>
      <c r="AO677" s="4">
        <v>0</v>
      </c>
      <c r="AP677" s="4">
        <v>3</v>
      </c>
      <c r="AQ677" s="4">
        <v>5</v>
      </c>
      <c r="AR677" s="3" t="s">
        <v>65</v>
      </c>
      <c r="AS677" s="3" t="s">
        <v>65</v>
      </c>
      <c r="AT677" s="3" t="s">
        <v>65</v>
      </c>
      <c r="AV677" s="6" t="str">
        <f>HYPERLINK("http://mcgill.on.worldcat.org/oclc/10302360","Catalog Record")</f>
        <v>Catalog Record</v>
      </c>
      <c r="AW677" s="6" t="str">
        <f>HYPERLINK("http://www.worldcat.org/oclc/10302360","WorldCat Record")</f>
        <v>WorldCat Record</v>
      </c>
      <c r="AX677" s="3" t="s">
        <v>7108</v>
      </c>
      <c r="AY677" s="3" t="s">
        <v>7109</v>
      </c>
      <c r="AZ677" s="3" t="s">
        <v>7110</v>
      </c>
      <c r="BA677" s="3" t="s">
        <v>7110</v>
      </c>
      <c r="BB677" s="3" t="s">
        <v>7111</v>
      </c>
      <c r="BC677" s="3" t="s">
        <v>77</v>
      </c>
      <c r="BD677" s="3" t="s">
        <v>78</v>
      </c>
      <c r="BF677" s="3" t="s">
        <v>7111</v>
      </c>
      <c r="BG677" s="3" t="s">
        <v>7112</v>
      </c>
    </row>
    <row r="678" spans="1:59" ht="58" x14ac:dyDescent="0.35">
      <c r="A678" s="2" t="s">
        <v>59</v>
      </c>
      <c r="B678" s="2" t="s">
        <v>60</v>
      </c>
      <c r="C678" s="2" t="s">
        <v>7113</v>
      </c>
      <c r="D678" s="2" t="s">
        <v>7114</v>
      </c>
      <c r="E678" s="2" t="s">
        <v>7105</v>
      </c>
      <c r="G678" s="3" t="s">
        <v>65</v>
      </c>
      <c r="I678" s="3" t="s">
        <v>65</v>
      </c>
      <c r="J678" s="3" t="s">
        <v>65</v>
      </c>
      <c r="K678" s="3" t="s">
        <v>66</v>
      </c>
      <c r="L678" s="2" t="s">
        <v>7037</v>
      </c>
      <c r="M678" s="2" t="s">
        <v>7115</v>
      </c>
      <c r="N678" s="3" t="s">
        <v>4688</v>
      </c>
      <c r="O678" s="2" t="s">
        <v>365</v>
      </c>
      <c r="P678" s="3" t="s">
        <v>140</v>
      </c>
      <c r="Q678" s="2" t="s">
        <v>7116</v>
      </c>
      <c r="R678" s="3" t="s">
        <v>71</v>
      </c>
      <c r="S678" s="4">
        <v>27</v>
      </c>
      <c r="T678" s="4">
        <v>27</v>
      </c>
      <c r="U678" s="5" t="s">
        <v>7117</v>
      </c>
      <c r="V678" s="5" t="s">
        <v>7117</v>
      </c>
      <c r="W678" s="5" t="s">
        <v>72</v>
      </c>
      <c r="X678" s="5" t="s">
        <v>72</v>
      </c>
      <c r="Y678" s="4">
        <v>70</v>
      </c>
      <c r="Z678" s="4">
        <v>1</v>
      </c>
      <c r="AA678" s="4">
        <v>5</v>
      </c>
      <c r="AB678" s="4">
        <v>1</v>
      </c>
      <c r="AC678" s="4">
        <v>3</v>
      </c>
      <c r="AD678" s="4">
        <v>28</v>
      </c>
      <c r="AE678" s="4">
        <v>38</v>
      </c>
      <c r="AF678" s="4">
        <v>0</v>
      </c>
      <c r="AG678" s="4">
        <v>1</v>
      </c>
      <c r="AH678" s="4">
        <v>27</v>
      </c>
      <c r="AI678" s="4">
        <v>36</v>
      </c>
      <c r="AJ678" s="4">
        <v>0</v>
      </c>
      <c r="AK678" s="4">
        <v>3</v>
      </c>
      <c r="AL678" s="4">
        <v>23</v>
      </c>
      <c r="AM678" s="4">
        <v>26</v>
      </c>
      <c r="AN678" s="4">
        <v>0</v>
      </c>
      <c r="AO678" s="4">
        <v>3</v>
      </c>
      <c r="AP678" s="4">
        <v>0</v>
      </c>
      <c r="AQ678" s="4">
        <v>3</v>
      </c>
      <c r="AR678" s="3" t="s">
        <v>65</v>
      </c>
      <c r="AS678" s="3" t="s">
        <v>65</v>
      </c>
      <c r="AT678" s="3" t="s">
        <v>65</v>
      </c>
      <c r="AV678" s="6" t="str">
        <f>HYPERLINK("http://mcgill.on.worldcat.org/oclc/13487164","Catalog Record")</f>
        <v>Catalog Record</v>
      </c>
      <c r="AW678" s="6" t="str">
        <f>HYPERLINK("http://www.worldcat.org/oclc/13487164","WorldCat Record")</f>
        <v>WorldCat Record</v>
      </c>
      <c r="AX678" s="3" t="s">
        <v>7118</v>
      </c>
      <c r="AY678" s="3" t="s">
        <v>7119</v>
      </c>
      <c r="AZ678" s="3" t="s">
        <v>7120</v>
      </c>
      <c r="BA678" s="3" t="s">
        <v>7120</v>
      </c>
      <c r="BB678" s="3" t="s">
        <v>7121</v>
      </c>
      <c r="BC678" s="3" t="s">
        <v>77</v>
      </c>
      <c r="BD678" s="3" t="s">
        <v>78</v>
      </c>
      <c r="BF678" s="3" t="s">
        <v>7121</v>
      </c>
      <c r="BG678" s="3" t="s">
        <v>7122</v>
      </c>
    </row>
    <row r="679" spans="1:59" ht="58" x14ac:dyDescent="0.35">
      <c r="A679" s="2" t="s">
        <v>59</v>
      </c>
      <c r="B679" s="2" t="s">
        <v>60</v>
      </c>
      <c r="C679" s="2" t="s">
        <v>7123</v>
      </c>
      <c r="D679" s="2" t="s">
        <v>7124</v>
      </c>
      <c r="E679" s="2" t="s">
        <v>7125</v>
      </c>
      <c r="G679" s="3" t="s">
        <v>65</v>
      </c>
      <c r="I679" s="3" t="s">
        <v>65</v>
      </c>
      <c r="J679" s="3" t="s">
        <v>65</v>
      </c>
      <c r="K679" s="3" t="s">
        <v>66</v>
      </c>
      <c r="L679" s="2" t="s">
        <v>7126</v>
      </c>
      <c r="M679" s="2" t="s">
        <v>7127</v>
      </c>
      <c r="N679" s="3" t="s">
        <v>113</v>
      </c>
      <c r="P679" s="3" t="s">
        <v>140</v>
      </c>
      <c r="Q679" s="2" t="s">
        <v>7128</v>
      </c>
      <c r="R679" s="3" t="s">
        <v>71</v>
      </c>
      <c r="S679" s="4">
        <v>0</v>
      </c>
      <c r="T679" s="4">
        <v>0</v>
      </c>
      <c r="W679" s="5" t="s">
        <v>72</v>
      </c>
      <c r="X679" s="5" t="s">
        <v>72</v>
      </c>
      <c r="Y679" s="4">
        <v>57</v>
      </c>
      <c r="Z679" s="4">
        <v>4</v>
      </c>
      <c r="AA679" s="4">
        <v>4</v>
      </c>
      <c r="AB679" s="4">
        <v>1</v>
      </c>
      <c r="AC679" s="4">
        <v>1</v>
      </c>
      <c r="AD679" s="4">
        <v>41</v>
      </c>
      <c r="AE679" s="4">
        <v>41</v>
      </c>
      <c r="AF679" s="4">
        <v>0</v>
      </c>
      <c r="AG679" s="4">
        <v>0</v>
      </c>
      <c r="AH679" s="4">
        <v>40</v>
      </c>
      <c r="AI679" s="4">
        <v>40</v>
      </c>
      <c r="AJ679" s="4">
        <v>2</v>
      </c>
      <c r="AK679" s="4">
        <v>2</v>
      </c>
      <c r="AL679" s="4">
        <v>31</v>
      </c>
      <c r="AM679" s="4">
        <v>31</v>
      </c>
      <c r="AN679" s="4">
        <v>0</v>
      </c>
      <c r="AO679" s="4">
        <v>0</v>
      </c>
      <c r="AP679" s="4">
        <v>2</v>
      </c>
      <c r="AQ679" s="4">
        <v>2</v>
      </c>
      <c r="AR679" s="3" t="s">
        <v>65</v>
      </c>
      <c r="AS679" s="3" t="s">
        <v>65</v>
      </c>
      <c r="AT679" s="3" t="s">
        <v>65</v>
      </c>
      <c r="AV679" s="6" t="str">
        <f>HYPERLINK("http://mcgill.on.worldcat.org/oclc/639152057","Catalog Record")</f>
        <v>Catalog Record</v>
      </c>
      <c r="AW679" s="6" t="str">
        <f>HYPERLINK("http://www.worldcat.org/oclc/639152057","WorldCat Record")</f>
        <v>WorldCat Record</v>
      </c>
      <c r="AX679" s="3" t="s">
        <v>7129</v>
      </c>
      <c r="AY679" s="3" t="s">
        <v>7130</v>
      </c>
      <c r="AZ679" s="3" t="s">
        <v>7131</v>
      </c>
      <c r="BA679" s="3" t="s">
        <v>7131</v>
      </c>
      <c r="BB679" s="3" t="s">
        <v>7132</v>
      </c>
      <c r="BC679" s="3" t="s">
        <v>77</v>
      </c>
      <c r="BD679" s="3" t="s">
        <v>78</v>
      </c>
      <c r="BE679" s="3" t="s">
        <v>7133</v>
      </c>
      <c r="BF679" s="3" t="s">
        <v>7132</v>
      </c>
      <c r="BG679" s="3" t="s">
        <v>7134</v>
      </c>
    </row>
    <row r="680" spans="1:59" ht="58" x14ac:dyDescent="0.35">
      <c r="A680" s="2" t="s">
        <v>59</v>
      </c>
      <c r="B680" s="2" t="s">
        <v>60</v>
      </c>
      <c r="C680" s="2" t="s">
        <v>7135</v>
      </c>
      <c r="D680" s="2" t="s">
        <v>7136</v>
      </c>
      <c r="E680" s="2" t="s">
        <v>7137</v>
      </c>
      <c r="G680" s="3" t="s">
        <v>65</v>
      </c>
      <c r="I680" s="3" t="s">
        <v>65</v>
      </c>
      <c r="J680" s="3" t="s">
        <v>65</v>
      </c>
      <c r="K680" s="3" t="s">
        <v>66</v>
      </c>
      <c r="L680" s="2" t="s">
        <v>7138</v>
      </c>
      <c r="M680" s="2" t="s">
        <v>7139</v>
      </c>
      <c r="N680" s="3" t="s">
        <v>126</v>
      </c>
      <c r="P680" s="3" t="s">
        <v>140</v>
      </c>
      <c r="Q680" s="2" t="s">
        <v>7140</v>
      </c>
      <c r="R680" s="3" t="s">
        <v>71</v>
      </c>
      <c r="S680" s="4">
        <v>0</v>
      </c>
      <c r="T680" s="4">
        <v>0</v>
      </c>
      <c r="W680" s="5" t="s">
        <v>72</v>
      </c>
      <c r="X680" s="5" t="s">
        <v>72</v>
      </c>
      <c r="Y680" s="4">
        <v>42</v>
      </c>
      <c r="Z680" s="4">
        <v>4</v>
      </c>
      <c r="AA680" s="4">
        <v>4</v>
      </c>
      <c r="AB680" s="4">
        <v>1</v>
      </c>
      <c r="AC680" s="4">
        <v>1</v>
      </c>
      <c r="AD680" s="4">
        <v>32</v>
      </c>
      <c r="AE680" s="4">
        <v>32</v>
      </c>
      <c r="AF680" s="4">
        <v>0</v>
      </c>
      <c r="AG680" s="4">
        <v>0</v>
      </c>
      <c r="AH680" s="4">
        <v>31</v>
      </c>
      <c r="AI680" s="4">
        <v>31</v>
      </c>
      <c r="AJ680" s="4">
        <v>2</v>
      </c>
      <c r="AK680" s="4">
        <v>2</v>
      </c>
      <c r="AL680" s="4">
        <v>24</v>
      </c>
      <c r="AM680" s="4">
        <v>24</v>
      </c>
      <c r="AN680" s="4">
        <v>0</v>
      </c>
      <c r="AO680" s="4">
        <v>0</v>
      </c>
      <c r="AP680" s="4">
        <v>2</v>
      </c>
      <c r="AQ680" s="4">
        <v>2</v>
      </c>
      <c r="AR680" s="3" t="s">
        <v>65</v>
      </c>
      <c r="AS680" s="3" t="s">
        <v>65</v>
      </c>
      <c r="AT680" s="3" t="s">
        <v>65</v>
      </c>
      <c r="AV680" s="6" t="str">
        <f>HYPERLINK("http://mcgill.on.worldcat.org/oclc/755700655","Catalog Record")</f>
        <v>Catalog Record</v>
      </c>
      <c r="AW680" s="6" t="str">
        <f>HYPERLINK("http://www.worldcat.org/oclc/755700655","WorldCat Record")</f>
        <v>WorldCat Record</v>
      </c>
      <c r="AX680" s="3" t="s">
        <v>7141</v>
      </c>
      <c r="AY680" s="3" t="s">
        <v>7142</v>
      </c>
      <c r="AZ680" s="3" t="s">
        <v>7143</v>
      </c>
      <c r="BA680" s="3" t="s">
        <v>7143</v>
      </c>
      <c r="BB680" s="3" t="s">
        <v>7144</v>
      </c>
      <c r="BC680" s="3" t="s">
        <v>77</v>
      </c>
      <c r="BD680" s="3" t="s">
        <v>78</v>
      </c>
      <c r="BE680" s="3" t="s">
        <v>7145</v>
      </c>
      <c r="BF680" s="3" t="s">
        <v>7144</v>
      </c>
      <c r="BG680" s="3" t="s">
        <v>7146</v>
      </c>
    </row>
    <row r="681" spans="1:59" ht="58" x14ac:dyDescent="0.35">
      <c r="A681" s="2" t="s">
        <v>59</v>
      </c>
      <c r="B681" s="2" t="s">
        <v>60</v>
      </c>
      <c r="C681" s="2" t="s">
        <v>7147</v>
      </c>
      <c r="D681" s="2" t="s">
        <v>7148</v>
      </c>
      <c r="E681" s="2" t="s">
        <v>7149</v>
      </c>
      <c r="G681" s="3" t="s">
        <v>65</v>
      </c>
      <c r="I681" s="3" t="s">
        <v>65</v>
      </c>
      <c r="J681" s="3" t="s">
        <v>65</v>
      </c>
      <c r="K681" s="3" t="s">
        <v>66</v>
      </c>
      <c r="L681" s="2" t="s">
        <v>7150</v>
      </c>
      <c r="M681" s="2" t="s">
        <v>4714</v>
      </c>
      <c r="N681" s="3" t="s">
        <v>113</v>
      </c>
      <c r="P681" s="3" t="s">
        <v>69</v>
      </c>
      <c r="Q681" s="2" t="s">
        <v>7151</v>
      </c>
      <c r="R681" s="3" t="s">
        <v>71</v>
      </c>
      <c r="S681" s="4">
        <v>0</v>
      </c>
      <c r="T681" s="4">
        <v>0</v>
      </c>
      <c r="W681" s="5" t="s">
        <v>72</v>
      </c>
      <c r="X681" s="5" t="s">
        <v>72</v>
      </c>
      <c r="Y681" s="4">
        <v>33</v>
      </c>
      <c r="Z681" s="4">
        <v>3</v>
      </c>
      <c r="AA681" s="4">
        <v>3</v>
      </c>
      <c r="AB681" s="4">
        <v>1</v>
      </c>
      <c r="AC681" s="4">
        <v>1</v>
      </c>
      <c r="AD681" s="4">
        <v>20</v>
      </c>
      <c r="AE681" s="4">
        <v>20</v>
      </c>
      <c r="AF681" s="4">
        <v>0</v>
      </c>
      <c r="AG681" s="4">
        <v>0</v>
      </c>
      <c r="AH681" s="4">
        <v>19</v>
      </c>
      <c r="AI681" s="4">
        <v>19</v>
      </c>
      <c r="AJ681" s="4">
        <v>1</v>
      </c>
      <c r="AK681" s="4">
        <v>1</v>
      </c>
      <c r="AL681" s="4">
        <v>17</v>
      </c>
      <c r="AM681" s="4">
        <v>17</v>
      </c>
      <c r="AN681" s="4">
        <v>0</v>
      </c>
      <c r="AO681" s="4">
        <v>0</v>
      </c>
      <c r="AP681" s="4">
        <v>1</v>
      </c>
      <c r="AQ681" s="4">
        <v>1</v>
      </c>
      <c r="AR681" s="3" t="s">
        <v>65</v>
      </c>
      <c r="AS681" s="3" t="s">
        <v>65</v>
      </c>
      <c r="AT681" s="3" t="s">
        <v>65</v>
      </c>
      <c r="AV681" s="6" t="str">
        <f>HYPERLINK("http://mcgill.on.worldcat.org/oclc/669907111","Catalog Record")</f>
        <v>Catalog Record</v>
      </c>
      <c r="AW681" s="6" t="str">
        <f>HYPERLINK("http://www.worldcat.org/oclc/669907111","WorldCat Record")</f>
        <v>WorldCat Record</v>
      </c>
      <c r="AX681" s="3" t="s">
        <v>7152</v>
      </c>
      <c r="AY681" s="3" t="s">
        <v>7153</v>
      </c>
      <c r="AZ681" s="3" t="s">
        <v>7154</v>
      </c>
      <c r="BA681" s="3" t="s">
        <v>7154</v>
      </c>
      <c r="BB681" s="3" t="s">
        <v>7155</v>
      </c>
      <c r="BC681" s="3" t="s">
        <v>77</v>
      </c>
      <c r="BD681" s="3" t="s">
        <v>78</v>
      </c>
      <c r="BE681" s="3" t="s">
        <v>7156</v>
      </c>
      <c r="BF681" s="3" t="s">
        <v>7155</v>
      </c>
      <c r="BG681" s="3" t="s">
        <v>7157</v>
      </c>
    </row>
    <row r="682" spans="1:59" ht="58" x14ac:dyDescent="0.35">
      <c r="A682" s="2" t="s">
        <v>59</v>
      </c>
      <c r="B682" s="2" t="s">
        <v>60</v>
      </c>
      <c r="C682" s="2" t="s">
        <v>7158</v>
      </c>
      <c r="D682" s="2" t="s">
        <v>7159</v>
      </c>
      <c r="E682" s="2" t="s">
        <v>7160</v>
      </c>
      <c r="G682" s="3" t="s">
        <v>65</v>
      </c>
      <c r="I682" s="3" t="s">
        <v>65</v>
      </c>
      <c r="J682" s="3" t="s">
        <v>65</v>
      </c>
      <c r="K682" s="3" t="s">
        <v>66</v>
      </c>
      <c r="M682" s="2" t="s">
        <v>7161</v>
      </c>
      <c r="N682" s="3" t="s">
        <v>86</v>
      </c>
      <c r="P682" s="3" t="s">
        <v>69</v>
      </c>
      <c r="Q682" s="2" t="s">
        <v>7162</v>
      </c>
      <c r="R682" s="3" t="s">
        <v>71</v>
      </c>
      <c r="S682" s="4">
        <v>0</v>
      </c>
      <c r="T682" s="4">
        <v>0</v>
      </c>
      <c r="W682" s="5" t="s">
        <v>72</v>
      </c>
      <c r="X682" s="5" t="s">
        <v>72</v>
      </c>
      <c r="Y682" s="4">
        <v>37</v>
      </c>
      <c r="Z682" s="4">
        <v>1</v>
      </c>
      <c r="AA682" s="4">
        <v>1</v>
      </c>
      <c r="AB682" s="4">
        <v>1</v>
      </c>
      <c r="AC682" s="4">
        <v>1</v>
      </c>
      <c r="AD682" s="4">
        <v>30</v>
      </c>
      <c r="AE682" s="4">
        <v>30</v>
      </c>
      <c r="AF682" s="4">
        <v>0</v>
      </c>
      <c r="AG682" s="4">
        <v>0</v>
      </c>
      <c r="AH682" s="4">
        <v>29</v>
      </c>
      <c r="AI682" s="4">
        <v>29</v>
      </c>
      <c r="AJ682" s="4">
        <v>0</v>
      </c>
      <c r="AK682" s="4">
        <v>0</v>
      </c>
      <c r="AL682" s="4">
        <v>22</v>
      </c>
      <c r="AM682" s="4">
        <v>22</v>
      </c>
      <c r="AN682" s="4">
        <v>0</v>
      </c>
      <c r="AO682" s="4">
        <v>0</v>
      </c>
      <c r="AP682" s="4">
        <v>0</v>
      </c>
      <c r="AQ682" s="4">
        <v>0</v>
      </c>
      <c r="AR682" s="3" t="s">
        <v>65</v>
      </c>
      <c r="AS682" s="3" t="s">
        <v>65</v>
      </c>
      <c r="AT682" s="3" t="s">
        <v>65</v>
      </c>
      <c r="AV682" s="6" t="str">
        <f>HYPERLINK("http://mcgill.on.worldcat.org/oclc/1022993383","Catalog Record")</f>
        <v>Catalog Record</v>
      </c>
      <c r="AW682" s="6" t="str">
        <f>HYPERLINK("http://www.worldcat.org/oclc/1022993383","WorldCat Record")</f>
        <v>WorldCat Record</v>
      </c>
      <c r="AX682" s="3" t="s">
        <v>7163</v>
      </c>
      <c r="AY682" s="3" t="s">
        <v>7164</v>
      </c>
      <c r="AZ682" s="3" t="s">
        <v>7165</v>
      </c>
      <c r="BA682" s="3" t="s">
        <v>7165</v>
      </c>
      <c r="BB682" s="3" t="s">
        <v>7166</v>
      </c>
      <c r="BC682" s="3" t="s">
        <v>77</v>
      </c>
      <c r="BD682" s="3" t="s">
        <v>78</v>
      </c>
      <c r="BE682" s="3" t="s">
        <v>7167</v>
      </c>
      <c r="BF682" s="3" t="s">
        <v>7166</v>
      </c>
      <c r="BG682" s="3" t="s">
        <v>7168</v>
      </c>
    </row>
    <row r="683" spans="1:59" ht="58" x14ac:dyDescent="0.35">
      <c r="A683" s="2" t="s">
        <v>59</v>
      </c>
      <c r="B683" s="2" t="s">
        <v>60</v>
      </c>
      <c r="C683" s="2" t="s">
        <v>7169</v>
      </c>
      <c r="D683" s="2" t="s">
        <v>7170</v>
      </c>
      <c r="E683" s="2" t="s">
        <v>7171</v>
      </c>
      <c r="G683" s="3" t="s">
        <v>65</v>
      </c>
      <c r="I683" s="3" t="s">
        <v>65</v>
      </c>
      <c r="J683" s="3" t="s">
        <v>65</v>
      </c>
      <c r="K683" s="3" t="s">
        <v>66</v>
      </c>
      <c r="L683" s="2" t="s">
        <v>7172</v>
      </c>
      <c r="M683" s="2" t="s">
        <v>7173</v>
      </c>
      <c r="N683" s="3" t="s">
        <v>2460</v>
      </c>
      <c r="P683" s="3" t="s">
        <v>69</v>
      </c>
      <c r="Q683" s="2" t="s">
        <v>7174</v>
      </c>
      <c r="R683" s="3" t="s">
        <v>71</v>
      </c>
      <c r="S683" s="4">
        <v>11</v>
      </c>
      <c r="T683" s="4">
        <v>11</v>
      </c>
      <c r="U683" s="5" t="s">
        <v>7175</v>
      </c>
      <c r="V683" s="5" t="s">
        <v>7175</v>
      </c>
      <c r="W683" s="5" t="s">
        <v>72</v>
      </c>
      <c r="X683" s="5" t="s">
        <v>72</v>
      </c>
      <c r="Y683" s="4">
        <v>384</v>
      </c>
      <c r="Z683" s="4">
        <v>26</v>
      </c>
      <c r="AA683" s="4">
        <v>31</v>
      </c>
      <c r="AB683" s="4">
        <v>2</v>
      </c>
      <c r="AC683" s="4">
        <v>5</v>
      </c>
      <c r="AD683" s="4">
        <v>113</v>
      </c>
      <c r="AE683" s="4">
        <v>118</v>
      </c>
      <c r="AF683" s="4">
        <v>0</v>
      </c>
      <c r="AG683" s="4">
        <v>0</v>
      </c>
      <c r="AH683" s="4">
        <v>102</v>
      </c>
      <c r="AI683" s="4">
        <v>106</v>
      </c>
      <c r="AJ683" s="4">
        <v>17</v>
      </c>
      <c r="AK683" s="4">
        <v>17</v>
      </c>
      <c r="AL683" s="4">
        <v>55</v>
      </c>
      <c r="AM683" s="4">
        <v>57</v>
      </c>
      <c r="AN683" s="4">
        <v>0</v>
      </c>
      <c r="AO683" s="4">
        <v>0</v>
      </c>
      <c r="AP683" s="4">
        <v>19</v>
      </c>
      <c r="AQ683" s="4">
        <v>20</v>
      </c>
      <c r="AR683" s="3" t="s">
        <v>65</v>
      </c>
      <c r="AS683" s="3" t="s">
        <v>65</v>
      </c>
      <c r="AT683" s="3" t="s">
        <v>209</v>
      </c>
      <c r="AU683" s="6" t="str">
        <f>HYPERLINK("http://catalog.hathitrust.org/Record/000928779","HathiTrust Record")</f>
        <v>HathiTrust Record</v>
      </c>
      <c r="AV683" s="6" t="str">
        <f>HYPERLINK("http://mcgill.on.worldcat.org/oclc/17550206","Catalog Record")</f>
        <v>Catalog Record</v>
      </c>
      <c r="AW683" s="6" t="str">
        <f>HYPERLINK("http://www.worldcat.org/oclc/17550206","WorldCat Record")</f>
        <v>WorldCat Record</v>
      </c>
      <c r="AX683" s="3" t="s">
        <v>7176</v>
      </c>
      <c r="AY683" s="3" t="s">
        <v>7177</v>
      </c>
      <c r="AZ683" s="3" t="s">
        <v>7178</v>
      </c>
      <c r="BA683" s="3" t="s">
        <v>7178</v>
      </c>
      <c r="BB683" s="3" t="s">
        <v>7179</v>
      </c>
      <c r="BC683" s="3" t="s">
        <v>77</v>
      </c>
      <c r="BD683" s="3" t="s">
        <v>78</v>
      </c>
      <c r="BE683" s="3" t="s">
        <v>7180</v>
      </c>
      <c r="BF683" s="3" t="s">
        <v>7179</v>
      </c>
      <c r="BG683" s="3" t="s">
        <v>7181</v>
      </c>
    </row>
    <row r="684" spans="1:59" ht="58" x14ac:dyDescent="0.35">
      <c r="A684" s="2" t="s">
        <v>59</v>
      </c>
      <c r="B684" s="2" t="s">
        <v>60</v>
      </c>
      <c r="C684" s="2" t="s">
        <v>7182</v>
      </c>
      <c r="D684" s="2" t="s">
        <v>7183</v>
      </c>
      <c r="E684" s="2" t="s">
        <v>7184</v>
      </c>
      <c r="G684" s="3" t="s">
        <v>65</v>
      </c>
      <c r="I684" s="3" t="s">
        <v>65</v>
      </c>
      <c r="J684" s="3" t="s">
        <v>65</v>
      </c>
      <c r="K684" s="3" t="s">
        <v>66</v>
      </c>
      <c r="L684" s="2" t="s">
        <v>7185</v>
      </c>
      <c r="M684" s="2" t="s">
        <v>7186</v>
      </c>
      <c r="N684" s="3" t="s">
        <v>7187</v>
      </c>
      <c r="P684" s="3" t="s">
        <v>69</v>
      </c>
      <c r="Q684" s="2" t="s">
        <v>7188</v>
      </c>
      <c r="R684" s="3" t="s">
        <v>71</v>
      </c>
      <c r="S684" s="4">
        <v>15</v>
      </c>
      <c r="T684" s="4">
        <v>15</v>
      </c>
      <c r="U684" s="5" t="s">
        <v>7189</v>
      </c>
      <c r="V684" s="5" t="s">
        <v>7189</v>
      </c>
      <c r="W684" s="5" t="s">
        <v>72</v>
      </c>
      <c r="X684" s="5" t="s">
        <v>72</v>
      </c>
      <c r="Y684" s="4">
        <v>246</v>
      </c>
      <c r="Z684" s="4">
        <v>19</v>
      </c>
      <c r="AA684" s="4">
        <v>20</v>
      </c>
      <c r="AB684" s="4">
        <v>2</v>
      </c>
      <c r="AC684" s="4">
        <v>3</v>
      </c>
      <c r="AD684" s="4">
        <v>94</v>
      </c>
      <c r="AE684" s="4">
        <v>95</v>
      </c>
      <c r="AF684" s="4">
        <v>1</v>
      </c>
      <c r="AG684" s="4">
        <v>2</v>
      </c>
      <c r="AH684" s="4">
        <v>88</v>
      </c>
      <c r="AI684" s="4">
        <v>88</v>
      </c>
      <c r="AJ684" s="4">
        <v>15</v>
      </c>
      <c r="AK684" s="4">
        <v>16</v>
      </c>
      <c r="AL684" s="4">
        <v>49</v>
      </c>
      <c r="AM684" s="4">
        <v>49</v>
      </c>
      <c r="AN684" s="4">
        <v>0</v>
      </c>
      <c r="AO684" s="4">
        <v>0</v>
      </c>
      <c r="AP684" s="4">
        <v>16</v>
      </c>
      <c r="AQ684" s="4">
        <v>17</v>
      </c>
      <c r="AR684" s="3" t="s">
        <v>65</v>
      </c>
      <c r="AS684" s="3" t="s">
        <v>65</v>
      </c>
      <c r="AT684" s="3" t="s">
        <v>65</v>
      </c>
      <c r="AV684" s="6" t="str">
        <f>HYPERLINK("http://mcgill.on.worldcat.org/oclc/4309060","Catalog Record")</f>
        <v>Catalog Record</v>
      </c>
      <c r="AW684" s="6" t="str">
        <f>HYPERLINK("http://www.worldcat.org/oclc/4309060","WorldCat Record")</f>
        <v>WorldCat Record</v>
      </c>
      <c r="AX684" s="3" t="s">
        <v>7190</v>
      </c>
      <c r="AY684" s="3" t="s">
        <v>7191</v>
      </c>
      <c r="AZ684" s="3" t="s">
        <v>7192</v>
      </c>
      <c r="BA684" s="3" t="s">
        <v>7192</v>
      </c>
      <c r="BB684" s="3" t="s">
        <v>7193</v>
      </c>
      <c r="BC684" s="3" t="s">
        <v>77</v>
      </c>
      <c r="BD684" s="3" t="s">
        <v>78</v>
      </c>
      <c r="BE684" s="3" t="s">
        <v>7194</v>
      </c>
      <c r="BF684" s="3" t="s">
        <v>7193</v>
      </c>
      <c r="BG684" s="3" t="s">
        <v>7195</v>
      </c>
    </row>
    <row r="685" spans="1:59" ht="58" x14ac:dyDescent="0.35">
      <c r="A685" s="2" t="s">
        <v>59</v>
      </c>
      <c r="B685" s="2" t="s">
        <v>60</v>
      </c>
      <c r="C685" s="2" t="s">
        <v>7196</v>
      </c>
      <c r="D685" s="2" t="s">
        <v>7197</v>
      </c>
      <c r="E685" s="2" t="s">
        <v>7198</v>
      </c>
      <c r="G685" s="3" t="s">
        <v>65</v>
      </c>
      <c r="I685" s="3" t="s">
        <v>65</v>
      </c>
      <c r="J685" s="3" t="s">
        <v>65</v>
      </c>
      <c r="K685" s="3" t="s">
        <v>66</v>
      </c>
      <c r="L685" s="2" t="s">
        <v>7150</v>
      </c>
      <c r="M685" s="2" t="s">
        <v>3329</v>
      </c>
      <c r="N685" s="3" t="s">
        <v>126</v>
      </c>
      <c r="P685" s="3" t="s">
        <v>69</v>
      </c>
      <c r="Q685" s="2" t="s">
        <v>7199</v>
      </c>
      <c r="R685" s="3" t="s">
        <v>71</v>
      </c>
      <c r="S685" s="4">
        <v>0</v>
      </c>
      <c r="T685" s="4">
        <v>0</v>
      </c>
      <c r="W685" s="5" t="s">
        <v>72</v>
      </c>
      <c r="X685" s="5" t="s">
        <v>72</v>
      </c>
      <c r="Y685" s="4">
        <v>26</v>
      </c>
      <c r="Z685" s="4">
        <v>3</v>
      </c>
      <c r="AA685" s="4">
        <v>3</v>
      </c>
      <c r="AB685" s="4">
        <v>1</v>
      </c>
      <c r="AC685" s="4">
        <v>1</v>
      </c>
      <c r="AD685" s="4">
        <v>14</v>
      </c>
      <c r="AE685" s="4">
        <v>14</v>
      </c>
      <c r="AF685" s="4">
        <v>0</v>
      </c>
      <c r="AG685" s="4">
        <v>0</v>
      </c>
      <c r="AH685" s="4">
        <v>13</v>
      </c>
      <c r="AI685" s="4">
        <v>13</v>
      </c>
      <c r="AJ685" s="4">
        <v>1</v>
      </c>
      <c r="AK685" s="4">
        <v>1</v>
      </c>
      <c r="AL685" s="4">
        <v>11</v>
      </c>
      <c r="AM685" s="4">
        <v>11</v>
      </c>
      <c r="AN685" s="4">
        <v>0</v>
      </c>
      <c r="AO685" s="4">
        <v>0</v>
      </c>
      <c r="AP685" s="4">
        <v>1</v>
      </c>
      <c r="AQ685" s="4">
        <v>1</v>
      </c>
      <c r="AR685" s="3" t="s">
        <v>65</v>
      </c>
      <c r="AS685" s="3" t="s">
        <v>65</v>
      </c>
      <c r="AT685" s="3" t="s">
        <v>65</v>
      </c>
      <c r="AV685" s="6" t="str">
        <f>HYPERLINK("http://mcgill.on.worldcat.org/oclc/709663239","Catalog Record")</f>
        <v>Catalog Record</v>
      </c>
      <c r="AW685" s="6" t="str">
        <f>HYPERLINK("http://www.worldcat.org/oclc/709663239","WorldCat Record")</f>
        <v>WorldCat Record</v>
      </c>
      <c r="AX685" s="3" t="s">
        <v>7200</v>
      </c>
      <c r="AY685" s="3" t="s">
        <v>7201</v>
      </c>
      <c r="AZ685" s="3" t="s">
        <v>7202</v>
      </c>
      <c r="BA685" s="3" t="s">
        <v>7202</v>
      </c>
      <c r="BB685" s="3" t="s">
        <v>7203</v>
      </c>
      <c r="BC685" s="3" t="s">
        <v>77</v>
      </c>
      <c r="BD685" s="3" t="s">
        <v>78</v>
      </c>
      <c r="BE685" s="3" t="s">
        <v>7204</v>
      </c>
      <c r="BF685" s="3" t="s">
        <v>7203</v>
      </c>
      <c r="BG685" s="3" t="s">
        <v>7205</v>
      </c>
    </row>
    <row r="686" spans="1:59" ht="58" x14ac:dyDescent="0.35">
      <c r="A686" s="2" t="s">
        <v>59</v>
      </c>
      <c r="B686" s="2" t="s">
        <v>60</v>
      </c>
      <c r="C686" s="2" t="s">
        <v>7206</v>
      </c>
      <c r="D686" s="2" t="s">
        <v>7207</v>
      </c>
      <c r="E686" s="2" t="s">
        <v>7208</v>
      </c>
      <c r="G686" s="3" t="s">
        <v>65</v>
      </c>
      <c r="I686" s="3" t="s">
        <v>65</v>
      </c>
      <c r="J686" s="3" t="s">
        <v>65</v>
      </c>
      <c r="K686" s="3" t="s">
        <v>66</v>
      </c>
      <c r="L686" s="2" t="s">
        <v>7209</v>
      </c>
      <c r="M686" s="2" t="s">
        <v>7210</v>
      </c>
      <c r="N686" s="3" t="s">
        <v>188</v>
      </c>
      <c r="P686" s="3" t="s">
        <v>69</v>
      </c>
      <c r="R686" s="3" t="s">
        <v>71</v>
      </c>
      <c r="S686" s="4">
        <v>1</v>
      </c>
      <c r="T686" s="4">
        <v>1</v>
      </c>
      <c r="U686" s="5" t="s">
        <v>7211</v>
      </c>
      <c r="V686" s="5" t="s">
        <v>7211</v>
      </c>
      <c r="W686" s="5" t="s">
        <v>72</v>
      </c>
      <c r="X686" s="5" t="s">
        <v>72</v>
      </c>
      <c r="Y686" s="4">
        <v>41</v>
      </c>
      <c r="Z686" s="4">
        <v>6</v>
      </c>
      <c r="AA686" s="4">
        <v>13</v>
      </c>
      <c r="AB686" s="4">
        <v>1</v>
      </c>
      <c r="AC686" s="4">
        <v>3</v>
      </c>
      <c r="AD686" s="4">
        <v>28</v>
      </c>
      <c r="AE686" s="4">
        <v>33</v>
      </c>
      <c r="AF686" s="4">
        <v>0</v>
      </c>
      <c r="AG686" s="4">
        <v>0</v>
      </c>
      <c r="AH686" s="4">
        <v>26</v>
      </c>
      <c r="AI686" s="4">
        <v>30</v>
      </c>
      <c r="AJ686" s="4">
        <v>5</v>
      </c>
      <c r="AK686" s="4">
        <v>7</v>
      </c>
      <c r="AL686" s="4">
        <v>20</v>
      </c>
      <c r="AM686" s="4">
        <v>20</v>
      </c>
      <c r="AN686" s="4">
        <v>0</v>
      </c>
      <c r="AO686" s="4">
        <v>0</v>
      </c>
      <c r="AP686" s="4">
        <v>4</v>
      </c>
      <c r="AQ686" s="4">
        <v>6</v>
      </c>
      <c r="AR686" s="3" t="s">
        <v>209</v>
      </c>
      <c r="AS686" s="3" t="s">
        <v>65</v>
      </c>
      <c r="AT686" s="3" t="s">
        <v>65</v>
      </c>
      <c r="AV686" s="6" t="str">
        <f>HYPERLINK("http://mcgill.on.worldcat.org/oclc/967561654","Catalog Record")</f>
        <v>Catalog Record</v>
      </c>
      <c r="AW686" s="6" t="str">
        <f>HYPERLINK("http://www.worldcat.org/oclc/967561654","WorldCat Record")</f>
        <v>WorldCat Record</v>
      </c>
      <c r="AX686" s="3" t="s">
        <v>7212</v>
      </c>
      <c r="AY686" s="3" t="s">
        <v>7213</v>
      </c>
      <c r="AZ686" s="3" t="s">
        <v>7214</v>
      </c>
      <c r="BA686" s="3" t="s">
        <v>7214</v>
      </c>
      <c r="BB686" s="3" t="s">
        <v>7215</v>
      </c>
      <c r="BC686" s="3" t="s">
        <v>77</v>
      </c>
      <c r="BD686" s="3" t="s">
        <v>78</v>
      </c>
      <c r="BE686" s="3" t="s">
        <v>7216</v>
      </c>
      <c r="BF686" s="3" t="s">
        <v>7215</v>
      </c>
      <c r="BG686" s="3" t="s">
        <v>7217</v>
      </c>
    </row>
    <row r="687" spans="1:59" ht="58" x14ac:dyDescent="0.35">
      <c r="A687" s="2" t="s">
        <v>59</v>
      </c>
      <c r="B687" s="2" t="s">
        <v>60</v>
      </c>
      <c r="C687" s="2" t="s">
        <v>7218</v>
      </c>
      <c r="D687" s="2" t="s">
        <v>7219</v>
      </c>
      <c r="E687" s="2" t="s">
        <v>7220</v>
      </c>
      <c r="G687" s="3" t="s">
        <v>65</v>
      </c>
      <c r="I687" s="3" t="s">
        <v>65</v>
      </c>
      <c r="J687" s="3" t="s">
        <v>65</v>
      </c>
      <c r="K687" s="3" t="s">
        <v>66</v>
      </c>
      <c r="L687" s="2" t="s">
        <v>7221</v>
      </c>
      <c r="M687" s="2" t="s">
        <v>7222</v>
      </c>
      <c r="N687" s="3" t="s">
        <v>5961</v>
      </c>
      <c r="P687" s="3" t="s">
        <v>69</v>
      </c>
      <c r="Q687" s="2" t="s">
        <v>7223</v>
      </c>
      <c r="R687" s="3" t="s">
        <v>71</v>
      </c>
      <c r="S687" s="4">
        <v>55</v>
      </c>
      <c r="T687" s="4">
        <v>55</v>
      </c>
      <c r="U687" s="5" t="s">
        <v>944</v>
      </c>
      <c r="V687" s="5" t="s">
        <v>944</v>
      </c>
      <c r="W687" s="5" t="s">
        <v>72</v>
      </c>
      <c r="X687" s="5" t="s">
        <v>72</v>
      </c>
      <c r="Y687" s="4">
        <v>103</v>
      </c>
      <c r="Z687" s="4">
        <v>8</v>
      </c>
      <c r="AA687" s="4">
        <v>8</v>
      </c>
      <c r="AB687" s="4">
        <v>1</v>
      </c>
      <c r="AC687" s="4">
        <v>1</v>
      </c>
      <c r="AD687" s="4">
        <v>54</v>
      </c>
      <c r="AE687" s="4">
        <v>57</v>
      </c>
      <c r="AF687" s="4">
        <v>0</v>
      </c>
      <c r="AG687" s="4">
        <v>0</v>
      </c>
      <c r="AH687" s="4">
        <v>53</v>
      </c>
      <c r="AI687" s="4">
        <v>56</v>
      </c>
      <c r="AJ687" s="4">
        <v>5</v>
      </c>
      <c r="AK687" s="4">
        <v>5</v>
      </c>
      <c r="AL687" s="4">
        <v>29</v>
      </c>
      <c r="AM687" s="4">
        <v>31</v>
      </c>
      <c r="AN687" s="4">
        <v>0</v>
      </c>
      <c r="AO687" s="4">
        <v>0</v>
      </c>
      <c r="AP687" s="4">
        <v>5</v>
      </c>
      <c r="AQ687" s="4">
        <v>5</v>
      </c>
      <c r="AR687" s="3" t="s">
        <v>65</v>
      </c>
      <c r="AS687" s="3" t="s">
        <v>65</v>
      </c>
      <c r="AT687" s="3" t="s">
        <v>209</v>
      </c>
      <c r="AU687" s="6" t="str">
        <f>HYPERLINK("http://catalog.hathitrust.org/Record/000838025","HathiTrust Record")</f>
        <v>HathiTrust Record</v>
      </c>
      <c r="AV687" s="6" t="str">
        <f>HYPERLINK("http://mcgill.on.worldcat.org/oclc/13822139","Catalog Record")</f>
        <v>Catalog Record</v>
      </c>
      <c r="AW687" s="6" t="str">
        <f>HYPERLINK("http://www.worldcat.org/oclc/13822139","WorldCat Record")</f>
        <v>WorldCat Record</v>
      </c>
      <c r="AX687" s="3" t="s">
        <v>7224</v>
      </c>
      <c r="AY687" s="3" t="s">
        <v>7225</v>
      </c>
      <c r="AZ687" s="3" t="s">
        <v>7226</v>
      </c>
      <c r="BA687" s="3" t="s">
        <v>7226</v>
      </c>
      <c r="BB687" s="3" t="s">
        <v>7227</v>
      </c>
      <c r="BC687" s="3" t="s">
        <v>77</v>
      </c>
      <c r="BD687" s="3" t="s">
        <v>78</v>
      </c>
      <c r="BE687" s="3" t="s">
        <v>7228</v>
      </c>
      <c r="BF687" s="3" t="s">
        <v>7227</v>
      </c>
      <c r="BG687" s="3" t="s">
        <v>7229</v>
      </c>
    </row>
    <row r="688" spans="1:59" ht="58" x14ac:dyDescent="0.35">
      <c r="A688" s="2" t="s">
        <v>59</v>
      </c>
      <c r="B688" s="2" t="s">
        <v>60</v>
      </c>
      <c r="C688" s="2" t="s">
        <v>7230</v>
      </c>
      <c r="D688" s="2" t="s">
        <v>7231</v>
      </c>
      <c r="E688" s="2" t="s">
        <v>7232</v>
      </c>
      <c r="F688" s="3" t="s">
        <v>490</v>
      </c>
      <c r="G688" s="3" t="s">
        <v>209</v>
      </c>
      <c r="I688" s="3" t="s">
        <v>209</v>
      </c>
      <c r="J688" s="3" t="s">
        <v>209</v>
      </c>
      <c r="K688" s="3" t="s">
        <v>66</v>
      </c>
      <c r="L688" s="2" t="s">
        <v>7037</v>
      </c>
      <c r="M688" s="2" t="s">
        <v>7233</v>
      </c>
      <c r="N688" s="3" t="s">
        <v>5642</v>
      </c>
      <c r="P688" s="3" t="s">
        <v>69</v>
      </c>
      <c r="R688" s="3" t="s">
        <v>71</v>
      </c>
      <c r="S688" s="4">
        <v>17</v>
      </c>
      <c r="T688" s="4">
        <v>17</v>
      </c>
      <c r="U688" s="5" t="s">
        <v>7234</v>
      </c>
      <c r="V688" s="5" t="s">
        <v>7234</v>
      </c>
      <c r="W688" s="5" t="s">
        <v>72</v>
      </c>
      <c r="X688" s="5" t="s">
        <v>72</v>
      </c>
      <c r="Y688" s="4">
        <v>8</v>
      </c>
      <c r="Z688" s="4">
        <v>3</v>
      </c>
      <c r="AA688" s="4">
        <v>123</v>
      </c>
      <c r="AB688" s="4">
        <v>1</v>
      </c>
      <c r="AC688" s="4">
        <v>11</v>
      </c>
      <c r="AD688" s="4">
        <v>2</v>
      </c>
      <c r="AE688" s="4">
        <v>157</v>
      </c>
      <c r="AF688" s="4">
        <v>0</v>
      </c>
      <c r="AG688" s="4">
        <v>4</v>
      </c>
      <c r="AH688" s="4">
        <v>1</v>
      </c>
      <c r="AI688" s="4">
        <v>114</v>
      </c>
      <c r="AJ688" s="4">
        <v>2</v>
      </c>
      <c r="AK688" s="4">
        <v>25</v>
      </c>
      <c r="AL688" s="4">
        <v>0</v>
      </c>
      <c r="AM688" s="4">
        <v>63</v>
      </c>
      <c r="AN688" s="4">
        <v>0</v>
      </c>
      <c r="AO688" s="4">
        <v>11</v>
      </c>
      <c r="AP688" s="4">
        <v>2</v>
      </c>
      <c r="AQ688" s="4">
        <v>49</v>
      </c>
      <c r="AR688" s="3" t="s">
        <v>65</v>
      </c>
      <c r="AS688" s="3" t="s">
        <v>65</v>
      </c>
      <c r="AT688" s="3" t="s">
        <v>65</v>
      </c>
      <c r="AV688" s="6" t="str">
        <f>HYPERLINK("http://mcgill.on.worldcat.org/oclc/154180310","Catalog Record")</f>
        <v>Catalog Record</v>
      </c>
      <c r="AW688" s="6" t="str">
        <f>HYPERLINK("http://www.worldcat.org/oclc/154180310","WorldCat Record")</f>
        <v>WorldCat Record</v>
      </c>
      <c r="AX688" s="3" t="s">
        <v>7235</v>
      </c>
      <c r="AY688" s="3" t="s">
        <v>7236</v>
      </c>
      <c r="AZ688" s="3" t="s">
        <v>7237</v>
      </c>
      <c r="BA688" s="3" t="s">
        <v>7237</v>
      </c>
      <c r="BB688" s="3" t="s">
        <v>7238</v>
      </c>
      <c r="BC688" s="3" t="s">
        <v>77</v>
      </c>
      <c r="BD688" s="3" t="s">
        <v>78</v>
      </c>
      <c r="BF688" s="3" t="s">
        <v>7238</v>
      </c>
      <c r="BG688" s="3" t="s">
        <v>7239</v>
      </c>
    </row>
    <row r="689" spans="1:59" ht="58" x14ac:dyDescent="0.35">
      <c r="A689" s="2" t="s">
        <v>59</v>
      </c>
      <c r="B689" s="2" t="s">
        <v>60</v>
      </c>
      <c r="C689" s="2" t="s">
        <v>7230</v>
      </c>
      <c r="D689" s="2" t="s">
        <v>7231</v>
      </c>
      <c r="E689" s="2" t="s">
        <v>7232</v>
      </c>
      <c r="F689" s="3" t="s">
        <v>258</v>
      </c>
      <c r="G689" s="3" t="s">
        <v>209</v>
      </c>
      <c r="I689" s="3" t="s">
        <v>209</v>
      </c>
      <c r="J689" s="3" t="s">
        <v>209</v>
      </c>
      <c r="K689" s="3" t="s">
        <v>66</v>
      </c>
      <c r="L689" s="2" t="s">
        <v>7037</v>
      </c>
      <c r="M689" s="2" t="s">
        <v>7233</v>
      </c>
      <c r="N689" s="3" t="s">
        <v>5642</v>
      </c>
      <c r="P689" s="3" t="s">
        <v>69</v>
      </c>
      <c r="R689" s="3" t="s">
        <v>71</v>
      </c>
      <c r="S689" s="4">
        <v>0</v>
      </c>
      <c r="T689" s="4">
        <v>17</v>
      </c>
      <c r="V689" s="5" t="s">
        <v>7234</v>
      </c>
      <c r="W689" s="5" t="s">
        <v>72</v>
      </c>
      <c r="X689" s="5" t="s">
        <v>72</v>
      </c>
      <c r="Y689" s="4">
        <v>8</v>
      </c>
      <c r="Z689" s="4">
        <v>3</v>
      </c>
      <c r="AA689" s="4">
        <v>123</v>
      </c>
      <c r="AB689" s="4">
        <v>1</v>
      </c>
      <c r="AC689" s="4">
        <v>11</v>
      </c>
      <c r="AD689" s="4">
        <v>2</v>
      </c>
      <c r="AE689" s="4">
        <v>157</v>
      </c>
      <c r="AF689" s="4">
        <v>0</v>
      </c>
      <c r="AG689" s="4">
        <v>4</v>
      </c>
      <c r="AH689" s="4">
        <v>1</v>
      </c>
      <c r="AI689" s="4">
        <v>114</v>
      </c>
      <c r="AJ689" s="4">
        <v>2</v>
      </c>
      <c r="AK689" s="4">
        <v>25</v>
      </c>
      <c r="AL689" s="4">
        <v>0</v>
      </c>
      <c r="AM689" s="4">
        <v>63</v>
      </c>
      <c r="AN689" s="4">
        <v>0</v>
      </c>
      <c r="AO689" s="4">
        <v>11</v>
      </c>
      <c r="AP689" s="4">
        <v>2</v>
      </c>
      <c r="AQ689" s="4">
        <v>49</v>
      </c>
      <c r="AR689" s="3" t="s">
        <v>65</v>
      </c>
      <c r="AS689" s="3" t="s">
        <v>65</v>
      </c>
      <c r="AT689" s="3" t="s">
        <v>65</v>
      </c>
      <c r="AV689" s="6" t="str">
        <f>HYPERLINK("http://mcgill.on.worldcat.org/oclc/154180310","Catalog Record")</f>
        <v>Catalog Record</v>
      </c>
      <c r="AW689" s="6" t="str">
        <f>HYPERLINK("http://www.worldcat.org/oclc/154180310","WorldCat Record")</f>
        <v>WorldCat Record</v>
      </c>
      <c r="AX689" s="3" t="s">
        <v>7235</v>
      </c>
      <c r="AY689" s="3" t="s">
        <v>7236</v>
      </c>
      <c r="AZ689" s="3" t="s">
        <v>7237</v>
      </c>
      <c r="BA689" s="3" t="s">
        <v>7237</v>
      </c>
      <c r="BB689" s="3" t="s">
        <v>7240</v>
      </c>
      <c r="BC689" s="3" t="s">
        <v>77</v>
      </c>
      <c r="BD689" s="3" t="s">
        <v>78</v>
      </c>
      <c r="BF689" s="3" t="s">
        <v>7240</v>
      </c>
      <c r="BG689" s="3" t="s">
        <v>7241</v>
      </c>
    </row>
    <row r="690" spans="1:59" ht="58" x14ac:dyDescent="0.35">
      <c r="A690" s="2" t="s">
        <v>59</v>
      </c>
      <c r="B690" s="2" t="s">
        <v>60</v>
      </c>
      <c r="C690" s="2" t="s">
        <v>7230</v>
      </c>
      <c r="D690" s="2" t="s">
        <v>7231</v>
      </c>
      <c r="E690" s="2" t="s">
        <v>7232</v>
      </c>
      <c r="F690" s="3" t="s">
        <v>503</v>
      </c>
      <c r="G690" s="3" t="s">
        <v>209</v>
      </c>
      <c r="I690" s="3" t="s">
        <v>209</v>
      </c>
      <c r="J690" s="3" t="s">
        <v>209</v>
      </c>
      <c r="K690" s="3" t="s">
        <v>66</v>
      </c>
      <c r="L690" s="2" t="s">
        <v>7037</v>
      </c>
      <c r="M690" s="2" t="s">
        <v>7233</v>
      </c>
      <c r="N690" s="3" t="s">
        <v>5642</v>
      </c>
      <c r="P690" s="3" t="s">
        <v>69</v>
      </c>
      <c r="R690" s="3" t="s">
        <v>71</v>
      </c>
      <c r="S690" s="4">
        <v>0</v>
      </c>
      <c r="T690" s="4">
        <v>17</v>
      </c>
      <c r="V690" s="5" t="s">
        <v>7234</v>
      </c>
      <c r="W690" s="5" t="s">
        <v>72</v>
      </c>
      <c r="X690" s="5" t="s">
        <v>72</v>
      </c>
      <c r="Y690" s="4">
        <v>8</v>
      </c>
      <c r="Z690" s="4">
        <v>3</v>
      </c>
      <c r="AA690" s="4">
        <v>123</v>
      </c>
      <c r="AB690" s="4">
        <v>1</v>
      </c>
      <c r="AC690" s="4">
        <v>11</v>
      </c>
      <c r="AD690" s="4">
        <v>2</v>
      </c>
      <c r="AE690" s="4">
        <v>157</v>
      </c>
      <c r="AF690" s="4">
        <v>0</v>
      </c>
      <c r="AG690" s="4">
        <v>4</v>
      </c>
      <c r="AH690" s="4">
        <v>1</v>
      </c>
      <c r="AI690" s="4">
        <v>114</v>
      </c>
      <c r="AJ690" s="4">
        <v>2</v>
      </c>
      <c r="AK690" s="4">
        <v>25</v>
      </c>
      <c r="AL690" s="4">
        <v>0</v>
      </c>
      <c r="AM690" s="4">
        <v>63</v>
      </c>
      <c r="AN690" s="4">
        <v>0</v>
      </c>
      <c r="AO690" s="4">
        <v>11</v>
      </c>
      <c r="AP690" s="4">
        <v>2</v>
      </c>
      <c r="AQ690" s="4">
        <v>49</v>
      </c>
      <c r="AR690" s="3" t="s">
        <v>65</v>
      </c>
      <c r="AS690" s="3" t="s">
        <v>65</v>
      </c>
      <c r="AT690" s="3" t="s">
        <v>65</v>
      </c>
      <c r="AV690" s="6" t="str">
        <f>HYPERLINK("http://mcgill.on.worldcat.org/oclc/154180310","Catalog Record")</f>
        <v>Catalog Record</v>
      </c>
      <c r="AW690" s="6" t="str">
        <f>HYPERLINK("http://www.worldcat.org/oclc/154180310","WorldCat Record")</f>
        <v>WorldCat Record</v>
      </c>
      <c r="AX690" s="3" t="s">
        <v>7235</v>
      </c>
      <c r="AY690" s="3" t="s">
        <v>7236</v>
      </c>
      <c r="AZ690" s="3" t="s">
        <v>7237</v>
      </c>
      <c r="BA690" s="3" t="s">
        <v>7237</v>
      </c>
      <c r="BB690" s="3" t="s">
        <v>7242</v>
      </c>
      <c r="BC690" s="3" t="s">
        <v>77</v>
      </c>
      <c r="BD690" s="3" t="s">
        <v>78</v>
      </c>
      <c r="BF690" s="3" t="s">
        <v>7242</v>
      </c>
      <c r="BG690" s="3" t="s">
        <v>7243</v>
      </c>
    </row>
    <row r="691" spans="1:59" ht="58" x14ac:dyDescent="0.35">
      <c r="A691" s="2" t="s">
        <v>59</v>
      </c>
      <c r="B691" s="2" t="s">
        <v>60</v>
      </c>
      <c r="C691" s="2" t="s">
        <v>7244</v>
      </c>
      <c r="D691" s="2" t="s">
        <v>7245</v>
      </c>
      <c r="E691" s="2" t="s">
        <v>7246</v>
      </c>
      <c r="G691" s="3" t="s">
        <v>65</v>
      </c>
      <c r="I691" s="3" t="s">
        <v>65</v>
      </c>
      <c r="J691" s="3" t="s">
        <v>209</v>
      </c>
      <c r="K691" s="3" t="s">
        <v>66</v>
      </c>
      <c r="L691" s="2" t="s">
        <v>7037</v>
      </c>
      <c r="M691" s="2" t="s">
        <v>7247</v>
      </c>
      <c r="N691" s="3" t="s">
        <v>3448</v>
      </c>
      <c r="P691" s="3" t="s">
        <v>69</v>
      </c>
      <c r="Q691" s="2" t="s">
        <v>7248</v>
      </c>
      <c r="R691" s="3" t="s">
        <v>71</v>
      </c>
      <c r="S691" s="4">
        <v>50</v>
      </c>
      <c r="T691" s="4">
        <v>50</v>
      </c>
      <c r="U691" s="5" t="s">
        <v>7249</v>
      </c>
      <c r="V691" s="5" t="s">
        <v>7249</v>
      </c>
      <c r="W691" s="5" t="s">
        <v>72</v>
      </c>
      <c r="X691" s="5" t="s">
        <v>72</v>
      </c>
      <c r="Y691" s="4">
        <v>573</v>
      </c>
      <c r="Z691" s="4">
        <v>29</v>
      </c>
      <c r="AA691" s="4">
        <v>123</v>
      </c>
      <c r="AB691" s="4">
        <v>1</v>
      </c>
      <c r="AC691" s="4">
        <v>11</v>
      </c>
      <c r="AD691" s="4">
        <v>75</v>
      </c>
      <c r="AE691" s="4">
        <v>157</v>
      </c>
      <c r="AF691" s="4">
        <v>0</v>
      </c>
      <c r="AG691" s="4">
        <v>4</v>
      </c>
      <c r="AH691" s="4">
        <v>66</v>
      </c>
      <c r="AI691" s="4">
        <v>114</v>
      </c>
      <c r="AJ691" s="4">
        <v>9</v>
      </c>
      <c r="AK691" s="4">
        <v>25</v>
      </c>
      <c r="AL691" s="4">
        <v>37</v>
      </c>
      <c r="AM691" s="4">
        <v>63</v>
      </c>
      <c r="AN691" s="4">
        <v>0</v>
      </c>
      <c r="AO691" s="4">
        <v>11</v>
      </c>
      <c r="AP691" s="4">
        <v>14</v>
      </c>
      <c r="AQ691" s="4">
        <v>49</v>
      </c>
      <c r="AR691" s="3" t="s">
        <v>65</v>
      </c>
      <c r="AS691" s="3" t="s">
        <v>65</v>
      </c>
      <c r="AT691" s="3" t="s">
        <v>209</v>
      </c>
      <c r="AU691" s="6" t="str">
        <f>HYPERLINK("http://catalog.hathitrust.org/Record/003496535","HathiTrust Record")</f>
        <v>HathiTrust Record</v>
      </c>
      <c r="AV691" s="6" t="str">
        <f>HYPERLINK("http://mcgill.on.worldcat.org/oclc/571737","Catalog Record")</f>
        <v>Catalog Record</v>
      </c>
      <c r="AW691" s="6" t="str">
        <f>HYPERLINK("http://www.worldcat.org/oclc/571737","WorldCat Record")</f>
        <v>WorldCat Record</v>
      </c>
      <c r="AX691" s="3" t="s">
        <v>7235</v>
      </c>
      <c r="AY691" s="3" t="s">
        <v>7250</v>
      </c>
      <c r="AZ691" s="3" t="s">
        <v>7251</v>
      </c>
      <c r="BA691" s="3" t="s">
        <v>7251</v>
      </c>
      <c r="BB691" s="3" t="s">
        <v>7252</v>
      </c>
      <c r="BC691" s="3" t="s">
        <v>77</v>
      </c>
      <c r="BD691" s="3" t="s">
        <v>78</v>
      </c>
      <c r="BE691" s="3" t="s">
        <v>7253</v>
      </c>
      <c r="BF691" s="3" t="s">
        <v>7252</v>
      </c>
      <c r="BG691" s="3" t="s">
        <v>7254</v>
      </c>
    </row>
    <row r="692" spans="1:59" ht="58" x14ac:dyDescent="0.35">
      <c r="A692" s="2" t="s">
        <v>59</v>
      </c>
      <c r="B692" s="2" t="s">
        <v>60</v>
      </c>
      <c r="C692" s="2" t="s">
        <v>7255</v>
      </c>
      <c r="D692" s="2" t="s">
        <v>7256</v>
      </c>
      <c r="E692" s="2" t="s">
        <v>7257</v>
      </c>
      <c r="G692" s="3" t="s">
        <v>65</v>
      </c>
      <c r="I692" s="3" t="s">
        <v>65</v>
      </c>
      <c r="J692" s="3" t="s">
        <v>65</v>
      </c>
      <c r="K692" s="3" t="s">
        <v>66</v>
      </c>
      <c r="L692" s="2" t="s">
        <v>7037</v>
      </c>
      <c r="M692" s="2" t="s">
        <v>7258</v>
      </c>
      <c r="N692" s="3" t="s">
        <v>7187</v>
      </c>
      <c r="O692" s="2" t="s">
        <v>526</v>
      </c>
      <c r="P692" s="3" t="s">
        <v>69</v>
      </c>
      <c r="Q692" s="2" t="s">
        <v>7259</v>
      </c>
      <c r="R692" s="3" t="s">
        <v>71</v>
      </c>
      <c r="S692" s="4">
        <v>48</v>
      </c>
      <c r="T692" s="4">
        <v>48</v>
      </c>
      <c r="U692" s="5" t="s">
        <v>7260</v>
      </c>
      <c r="V692" s="5" t="s">
        <v>7260</v>
      </c>
      <c r="W692" s="5" t="s">
        <v>72</v>
      </c>
      <c r="X692" s="5" t="s">
        <v>72</v>
      </c>
      <c r="Y692" s="4">
        <v>983</v>
      </c>
      <c r="Z692" s="4">
        <v>41</v>
      </c>
      <c r="AA692" s="4">
        <v>42</v>
      </c>
      <c r="AB692" s="4">
        <v>4</v>
      </c>
      <c r="AC692" s="4">
        <v>5</v>
      </c>
      <c r="AD692" s="4">
        <v>110</v>
      </c>
      <c r="AE692" s="4">
        <v>111</v>
      </c>
      <c r="AF692" s="4">
        <v>2</v>
      </c>
      <c r="AG692" s="4">
        <v>3</v>
      </c>
      <c r="AH692" s="4">
        <v>92</v>
      </c>
      <c r="AI692" s="4">
        <v>92</v>
      </c>
      <c r="AJ692" s="4">
        <v>14</v>
      </c>
      <c r="AK692" s="4">
        <v>15</v>
      </c>
      <c r="AL692" s="4">
        <v>49</v>
      </c>
      <c r="AM692" s="4">
        <v>49</v>
      </c>
      <c r="AN692" s="4">
        <v>0</v>
      </c>
      <c r="AO692" s="4">
        <v>0</v>
      </c>
      <c r="AP692" s="4">
        <v>24</v>
      </c>
      <c r="AQ692" s="4">
        <v>25</v>
      </c>
      <c r="AR692" s="3" t="s">
        <v>65</v>
      </c>
      <c r="AS692" s="3" t="s">
        <v>65</v>
      </c>
      <c r="AT692" s="3" t="s">
        <v>65</v>
      </c>
      <c r="AV692" s="6" t="str">
        <f>HYPERLINK("http://mcgill.on.worldcat.org/oclc/2894138","Catalog Record")</f>
        <v>Catalog Record</v>
      </c>
      <c r="AW692" s="6" t="str">
        <f>HYPERLINK("http://www.worldcat.org/oclc/2894138","WorldCat Record")</f>
        <v>WorldCat Record</v>
      </c>
      <c r="AX692" s="3" t="s">
        <v>7261</v>
      </c>
      <c r="AY692" s="3" t="s">
        <v>7262</v>
      </c>
      <c r="AZ692" s="3" t="s">
        <v>7263</v>
      </c>
      <c r="BA692" s="3" t="s">
        <v>7263</v>
      </c>
      <c r="BB692" s="3" t="s">
        <v>7264</v>
      </c>
      <c r="BC692" s="3" t="s">
        <v>77</v>
      </c>
      <c r="BD692" s="3" t="s">
        <v>78</v>
      </c>
      <c r="BE692" s="3" t="s">
        <v>7265</v>
      </c>
      <c r="BF692" s="3" t="s">
        <v>7264</v>
      </c>
      <c r="BG692" s="3" t="s">
        <v>7266</v>
      </c>
    </row>
    <row r="693" spans="1:59" ht="58" x14ac:dyDescent="0.35">
      <c r="A693" s="2" t="s">
        <v>59</v>
      </c>
      <c r="B693" s="2" t="s">
        <v>60</v>
      </c>
      <c r="C693" s="2" t="s">
        <v>7267</v>
      </c>
      <c r="D693" s="2" t="s">
        <v>7268</v>
      </c>
      <c r="E693" s="2" t="s">
        <v>7269</v>
      </c>
      <c r="G693" s="3" t="s">
        <v>65</v>
      </c>
      <c r="I693" s="3" t="s">
        <v>209</v>
      </c>
      <c r="J693" s="3" t="s">
        <v>209</v>
      </c>
      <c r="K693" s="3" t="s">
        <v>66</v>
      </c>
      <c r="L693" s="2" t="s">
        <v>7037</v>
      </c>
      <c r="M693" s="2" t="s">
        <v>7270</v>
      </c>
      <c r="N693" s="3" t="s">
        <v>463</v>
      </c>
      <c r="P693" s="3" t="s">
        <v>69</v>
      </c>
      <c r="Q693" s="2" t="s">
        <v>7271</v>
      </c>
      <c r="R693" s="3" t="s">
        <v>71</v>
      </c>
      <c r="S693" s="4">
        <v>2</v>
      </c>
      <c r="T693" s="4">
        <v>17</v>
      </c>
      <c r="U693" s="5" t="s">
        <v>7272</v>
      </c>
      <c r="V693" s="5" t="s">
        <v>313</v>
      </c>
      <c r="W693" s="5" t="s">
        <v>72</v>
      </c>
      <c r="X693" s="5" t="s">
        <v>72</v>
      </c>
      <c r="Y693" s="4">
        <v>74</v>
      </c>
      <c r="Z693" s="4">
        <v>6</v>
      </c>
      <c r="AA693" s="4">
        <v>50</v>
      </c>
      <c r="AB693" s="4">
        <v>1</v>
      </c>
      <c r="AC693" s="4">
        <v>4</v>
      </c>
      <c r="AD693" s="4">
        <v>17</v>
      </c>
      <c r="AE693" s="4">
        <v>133</v>
      </c>
      <c r="AF693" s="4">
        <v>0</v>
      </c>
      <c r="AG693" s="4">
        <v>2</v>
      </c>
      <c r="AH693" s="4">
        <v>14</v>
      </c>
      <c r="AI693" s="4">
        <v>104</v>
      </c>
      <c r="AJ693" s="4">
        <v>3</v>
      </c>
      <c r="AK693" s="4">
        <v>16</v>
      </c>
      <c r="AL693" s="4">
        <v>10</v>
      </c>
      <c r="AM693" s="4">
        <v>58</v>
      </c>
      <c r="AN693" s="4">
        <v>0</v>
      </c>
      <c r="AO693" s="4">
        <v>0</v>
      </c>
      <c r="AP693" s="4">
        <v>4</v>
      </c>
      <c r="AQ693" s="4">
        <v>32</v>
      </c>
      <c r="AR693" s="3" t="s">
        <v>65</v>
      </c>
      <c r="AS693" s="3" t="s">
        <v>65</v>
      </c>
      <c r="AT693" s="3" t="s">
        <v>65</v>
      </c>
      <c r="AV693" s="6" t="str">
        <f>HYPERLINK("http://mcgill.on.worldcat.org/oclc/5703053","Catalog Record")</f>
        <v>Catalog Record</v>
      </c>
      <c r="AW693" s="6" t="str">
        <f>HYPERLINK("http://www.worldcat.org/oclc/5703053","WorldCat Record")</f>
        <v>WorldCat Record</v>
      </c>
      <c r="AX693" s="3" t="s">
        <v>7273</v>
      </c>
      <c r="AY693" s="3" t="s">
        <v>7274</v>
      </c>
      <c r="AZ693" s="3" t="s">
        <v>7275</v>
      </c>
      <c r="BA693" s="3" t="s">
        <v>7275</v>
      </c>
      <c r="BB693" s="3" t="s">
        <v>7276</v>
      </c>
      <c r="BC693" s="3" t="s">
        <v>77</v>
      </c>
      <c r="BD693" s="3" t="s">
        <v>78</v>
      </c>
      <c r="BF693" s="3" t="s">
        <v>7276</v>
      </c>
      <c r="BG693" s="3" t="s">
        <v>7277</v>
      </c>
    </row>
    <row r="694" spans="1:59" ht="58" x14ac:dyDescent="0.35">
      <c r="A694" s="2" t="s">
        <v>59</v>
      </c>
      <c r="B694" s="2" t="s">
        <v>60</v>
      </c>
      <c r="C694" s="2" t="s">
        <v>7267</v>
      </c>
      <c r="D694" s="2" t="s">
        <v>7268</v>
      </c>
      <c r="E694" s="2" t="s">
        <v>7269</v>
      </c>
      <c r="G694" s="3" t="s">
        <v>65</v>
      </c>
      <c r="I694" s="3" t="s">
        <v>209</v>
      </c>
      <c r="J694" s="3" t="s">
        <v>209</v>
      </c>
      <c r="K694" s="3" t="s">
        <v>66</v>
      </c>
      <c r="L694" s="2" t="s">
        <v>7037</v>
      </c>
      <c r="M694" s="2" t="s">
        <v>7270</v>
      </c>
      <c r="N694" s="3" t="s">
        <v>463</v>
      </c>
      <c r="P694" s="3" t="s">
        <v>69</v>
      </c>
      <c r="Q694" s="2" t="s">
        <v>7271</v>
      </c>
      <c r="R694" s="3" t="s">
        <v>71</v>
      </c>
      <c r="S694" s="4">
        <v>15</v>
      </c>
      <c r="T694" s="4">
        <v>17</v>
      </c>
      <c r="U694" s="5" t="s">
        <v>313</v>
      </c>
      <c r="V694" s="5" t="s">
        <v>313</v>
      </c>
      <c r="W694" s="5" t="s">
        <v>72</v>
      </c>
      <c r="X694" s="5" t="s">
        <v>72</v>
      </c>
      <c r="Y694" s="4">
        <v>74</v>
      </c>
      <c r="Z694" s="4">
        <v>6</v>
      </c>
      <c r="AA694" s="4">
        <v>50</v>
      </c>
      <c r="AB694" s="4">
        <v>1</v>
      </c>
      <c r="AC694" s="4">
        <v>4</v>
      </c>
      <c r="AD694" s="4">
        <v>17</v>
      </c>
      <c r="AE694" s="4">
        <v>133</v>
      </c>
      <c r="AF694" s="4">
        <v>0</v>
      </c>
      <c r="AG694" s="4">
        <v>2</v>
      </c>
      <c r="AH694" s="4">
        <v>14</v>
      </c>
      <c r="AI694" s="4">
        <v>104</v>
      </c>
      <c r="AJ694" s="4">
        <v>3</v>
      </c>
      <c r="AK694" s="4">
        <v>16</v>
      </c>
      <c r="AL694" s="4">
        <v>10</v>
      </c>
      <c r="AM694" s="4">
        <v>58</v>
      </c>
      <c r="AN694" s="4">
        <v>0</v>
      </c>
      <c r="AO694" s="4">
        <v>0</v>
      </c>
      <c r="AP694" s="4">
        <v>4</v>
      </c>
      <c r="AQ694" s="4">
        <v>32</v>
      </c>
      <c r="AR694" s="3" t="s">
        <v>65</v>
      </c>
      <c r="AS694" s="3" t="s">
        <v>65</v>
      </c>
      <c r="AT694" s="3" t="s">
        <v>65</v>
      </c>
      <c r="AV694" s="6" t="str">
        <f>HYPERLINK("http://mcgill.on.worldcat.org/oclc/5703053","Catalog Record")</f>
        <v>Catalog Record</v>
      </c>
      <c r="AW694" s="6" t="str">
        <f>HYPERLINK("http://www.worldcat.org/oclc/5703053","WorldCat Record")</f>
        <v>WorldCat Record</v>
      </c>
      <c r="AX694" s="3" t="s">
        <v>7273</v>
      </c>
      <c r="AY694" s="3" t="s">
        <v>7274</v>
      </c>
      <c r="AZ694" s="3" t="s">
        <v>7275</v>
      </c>
      <c r="BA694" s="3" t="s">
        <v>7275</v>
      </c>
      <c r="BB694" s="3" t="s">
        <v>7278</v>
      </c>
      <c r="BC694" s="3" t="s">
        <v>77</v>
      </c>
      <c r="BD694" s="3" t="s">
        <v>78</v>
      </c>
      <c r="BF694" s="3" t="s">
        <v>7278</v>
      </c>
      <c r="BG694" s="3" t="s">
        <v>7279</v>
      </c>
    </row>
    <row r="695" spans="1:59" ht="72.5" x14ac:dyDescent="0.35">
      <c r="A695" s="2" t="s">
        <v>59</v>
      </c>
      <c r="B695" s="2" t="s">
        <v>5411</v>
      </c>
      <c r="C695" s="2" t="s">
        <v>7267</v>
      </c>
      <c r="D695" s="2" t="s">
        <v>7268</v>
      </c>
      <c r="E695" s="2" t="s">
        <v>7269</v>
      </c>
      <c r="G695" s="3" t="s">
        <v>65</v>
      </c>
      <c r="I695" s="3" t="s">
        <v>209</v>
      </c>
      <c r="J695" s="3" t="s">
        <v>209</v>
      </c>
      <c r="K695" s="3" t="s">
        <v>66</v>
      </c>
      <c r="L695" s="2" t="s">
        <v>7037</v>
      </c>
      <c r="M695" s="2" t="s">
        <v>7270</v>
      </c>
      <c r="N695" s="3" t="s">
        <v>463</v>
      </c>
      <c r="P695" s="3" t="s">
        <v>69</v>
      </c>
      <c r="Q695" s="2" t="s">
        <v>7271</v>
      </c>
      <c r="R695" s="3" t="s">
        <v>71</v>
      </c>
      <c r="S695" s="4">
        <v>0</v>
      </c>
      <c r="T695" s="4">
        <v>17</v>
      </c>
      <c r="V695" s="5" t="s">
        <v>313</v>
      </c>
      <c r="W695" s="5" t="s">
        <v>72</v>
      </c>
      <c r="X695" s="5" t="s">
        <v>72</v>
      </c>
      <c r="Y695" s="4">
        <v>74</v>
      </c>
      <c r="Z695" s="4">
        <v>6</v>
      </c>
      <c r="AA695" s="4">
        <v>50</v>
      </c>
      <c r="AB695" s="4">
        <v>1</v>
      </c>
      <c r="AC695" s="4">
        <v>4</v>
      </c>
      <c r="AD695" s="4">
        <v>17</v>
      </c>
      <c r="AE695" s="4">
        <v>133</v>
      </c>
      <c r="AF695" s="4">
        <v>0</v>
      </c>
      <c r="AG695" s="4">
        <v>2</v>
      </c>
      <c r="AH695" s="4">
        <v>14</v>
      </c>
      <c r="AI695" s="4">
        <v>104</v>
      </c>
      <c r="AJ695" s="4">
        <v>3</v>
      </c>
      <c r="AK695" s="4">
        <v>16</v>
      </c>
      <c r="AL695" s="4">
        <v>10</v>
      </c>
      <c r="AM695" s="4">
        <v>58</v>
      </c>
      <c r="AN695" s="4">
        <v>0</v>
      </c>
      <c r="AO695" s="4">
        <v>0</v>
      </c>
      <c r="AP695" s="4">
        <v>4</v>
      </c>
      <c r="AQ695" s="4">
        <v>32</v>
      </c>
      <c r="AR695" s="3" t="s">
        <v>65</v>
      </c>
      <c r="AS695" s="3" t="s">
        <v>65</v>
      </c>
      <c r="AT695" s="3" t="s">
        <v>65</v>
      </c>
      <c r="AV695" s="6" t="str">
        <f>HYPERLINK("http://mcgill.on.worldcat.org/oclc/5703053","Catalog Record")</f>
        <v>Catalog Record</v>
      </c>
      <c r="AW695" s="6" t="str">
        <f>HYPERLINK("http://www.worldcat.org/oclc/5703053","WorldCat Record")</f>
        <v>WorldCat Record</v>
      </c>
      <c r="AX695" s="3" t="s">
        <v>7273</v>
      </c>
      <c r="AY695" s="3" t="s">
        <v>7274</v>
      </c>
      <c r="AZ695" s="3" t="s">
        <v>7275</v>
      </c>
      <c r="BA695" s="3" t="s">
        <v>7275</v>
      </c>
      <c r="BB695" s="3" t="s">
        <v>7280</v>
      </c>
      <c r="BC695" s="3" t="s">
        <v>77</v>
      </c>
      <c r="BD695" s="3" t="s">
        <v>78</v>
      </c>
      <c r="BF695" s="3" t="s">
        <v>7280</v>
      </c>
      <c r="BG695" s="3" t="s">
        <v>7281</v>
      </c>
    </row>
    <row r="696" spans="1:59" ht="58" x14ac:dyDescent="0.35">
      <c r="A696" s="2" t="s">
        <v>59</v>
      </c>
      <c r="B696" s="2" t="s">
        <v>60</v>
      </c>
      <c r="C696" s="2" t="s">
        <v>7282</v>
      </c>
      <c r="D696" s="2" t="s">
        <v>7283</v>
      </c>
      <c r="E696" s="2" t="s">
        <v>7284</v>
      </c>
      <c r="F696" s="3" t="s">
        <v>490</v>
      </c>
      <c r="G696" s="3" t="s">
        <v>209</v>
      </c>
      <c r="I696" s="3" t="s">
        <v>65</v>
      </c>
      <c r="J696" s="3" t="s">
        <v>65</v>
      </c>
      <c r="K696" s="3" t="s">
        <v>66</v>
      </c>
      <c r="L696" s="2" t="s">
        <v>7037</v>
      </c>
      <c r="M696" s="2" t="s">
        <v>7285</v>
      </c>
      <c r="N696" s="3" t="s">
        <v>831</v>
      </c>
      <c r="P696" s="3" t="s">
        <v>69</v>
      </c>
      <c r="R696" s="3" t="s">
        <v>71</v>
      </c>
      <c r="S696" s="4">
        <v>19</v>
      </c>
      <c r="T696" s="4">
        <v>53</v>
      </c>
      <c r="U696" s="5" t="s">
        <v>7286</v>
      </c>
      <c r="V696" s="5" t="s">
        <v>7286</v>
      </c>
      <c r="W696" s="5" t="s">
        <v>72</v>
      </c>
      <c r="X696" s="5" t="s">
        <v>72</v>
      </c>
      <c r="Y696" s="4">
        <v>441</v>
      </c>
      <c r="Z696" s="4">
        <v>25</v>
      </c>
      <c r="AA696" s="4">
        <v>25</v>
      </c>
      <c r="AB696" s="4">
        <v>2</v>
      </c>
      <c r="AC696" s="4">
        <v>2</v>
      </c>
      <c r="AD696" s="4">
        <v>107</v>
      </c>
      <c r="AE696" s="4">
        <v>107</v>
      </c>
      <c r="AF696" s="4">
        <v>1</v>
      </c>
      <c r="AG696" s="4">
        <v>1</v>
      </c>
      <c r="AH696" s="4">
        <v>94</v>
      </c>
      <c r="AI696" s="4">
        <v>94</v>
      </c>
      <c r="AJ696" s="4">
        <v>15</v>
      </c>
      <c r="AK696" s="4">
        <v>15</v>
      </c>
      <c r="AL696" s="4">
        <v>55</v>
      </c>
      <c r="AM696" s="4">
        <v>55</v>
      </c>
      <c r="AN696" s="4">
        <v>0</v>
      </c>
      <c r="AO696" s="4">
        <v>11</v>
      </c>
      <c r="AP696" s="4">
        <v>19</v>
      </c>
      <c r="AQ696" s="4">
        <v>19</v>
      </c>
      <c r="AR696" s="3" t="s">
        <v>65</v>
      </c>
      <c r="AS696" s="3" t="s">
        <v>65</v>
      </c>
      <c r="AT696" s="3" t="s">
        <v>209</v>
      </c>
      <c r="AU696" s="6" t="str">
        <f>HYPERLINK("http://catalog.hathitrust.org/Record/000126006","HathiTrust Record")</f>
        <v>HathiTrust Record</v>
      </c>
      <c r="AV696" s="6" t="str">
        <f>HYPERLINK("http://mcgill.on.worldcat.org/oclc/10409438","Catalog Record")</f>
        <v>Catalog Record</v>
      </c>
      <c r="AW696" s="6" t="str">
        <f>HYPERLINK("http://www.worldcat.org/oclc/10409438","WorldCat Record")</f>
        <v>WorldCat Record</v>
      </c>
      <c r="AX696" s="3" t="s">
        <v>7287</v>
      </c>
      <c r="AY696" s="3" t="s">
        <v>7288</v>
      </c>
      <c r="AZ696" s="3" t="s">
        <v>7289</v>
      </c>
      <c r="BA696" s="3" t="s">
        <v>7289</v>
      </c>
      <c r="BB696" s="3" t="s">
        <v>7290</v>
      </c>
      <c r="BC696" s="3" t="s">
        <v>77</v>
      </c>
      <c r="BD696" s="3" t="s">
        <v>78</v>
      </c>
      <c r="BE696" s="3" t="s">
        <v>7291</v>
      </c>
      <c r="BF696" s="3" t="s">
        <v>7290</v>
      </c>
      <c r="BG696" s="3" t="s">
        <v>7292</v>
      </c>
    </row>
    <row r="697" spans="1:59" ht="58" x14ac:dyDescent="0.35">
      <c r="A697" s="2" t="s">
        <v>59</v>
      </c>
      <c r="B697" s="2" t="s">
        <v>60</v>
      </c>
      <c r="C697" s="2" t="s">
        <v>7282</v>
      </c>
      <c r="D697" s="2" t="s">
        <v>7283</v>
      </c>
      <c r="E697" s="2" t="s">
        <v>7284</v>
      </c>
      <c r="F697" s="3" t="s">
        <v>3103</v>
      </c>
      <c r="G697" s="3" t="s">
        <v>209</v>
      </c>
      <c r="I697" s="3" t="s">
        <v>65</v>
      </c>
      <c r="J697" s="3" t="s">
        <v>65</v>
      </c>
      <c r="K697" s="3" t="s">
        <v>66</v>
      </c>
      <c r="L697" s="2" t="s">
        <v>7037</v>
      </c>
      <c r="M697" s="2" t="s">
        <v>7285</v>
      </c>
      <c r="N697" s="3" t="s">
        <v>831</v>
      </c>
      <c r="P697" s="3" t="s">
        <v>69</v>
      </c>
      <c r="R697" s="3" t="s">
        <v>71</v>
      </c>
      <c r="S697" s="4">
        <v>19</v>
      </c>
      <c r="T697" s="4">
        <v>53</v>
      </c>
      <c r="U697" s="5" t="s">
        <v>7293</v>
      </c>
      <c r="V697" s="5" t="s">
        <v>7286</v>
      </c>
      <c r="W697" s="5" t="s">
        <v>72</v>
      </c>
      <c r="X697" s="5" t="s">
        <v>72</v>
      </c>
      <c r="Y697" s="4">
        <v>441</v>
      </c>
      <c r="Z697" s="4">
        <v>25</v>
      </c>
      <c r="AA697" s="4">
        <v>25</v>
      </c>
      <c r="AB697" s="4">
        <v>2</v>
      </c>
      <c r="AC697" s="4">
        <v>2</v>
      </c>
      <c r="AD697" s="4">
        <v>107</v>
      </c>
      <c r="AE697" s="4">
        <v>107</v>
      </c>
      <c r="AF697" s="4">
        <v>1</v>
      </c>
      <c r="AG697" s="4">
        <v>1</v>
      </c>
      <c r="AH697" s="4">
        <v>94</v>
      </c>
      <c r="AI697" s="4">
        <v>94</v>
      </c>
      <c r="AJ697" s="4">
        <v>15</v>
      </c>
      <c r="AK697" s="4">
        <v>15</v>
      </c>
      <c r="AL697" s="4">
        <v>55</v>
      </c>
      <c r="AM697" s="4">
        <v>55</v>
      </c>
      <c r="AN697" s="4">
        <v>0</v>
      </c>
      <c r="AO697" s="4">
        <v>11</v>
      </c>
      <c r="AP697" s="4">
        <v>19</v>
      </c>
      <c r="AQ697" s="4">
        <v>19</v>
      </c>
      <c r="AR697" s="3" t="s">
        <v>65</v>
      </c>
      <c r="AS697" s="3" t="s">
        <v>65</v>
      </c>
      <c r="AT697" s="3" t="s">
        <v>209</v>
      </c>
      <c r="AU697" s="6" t="str">
        <f>HYPERLINK("http://catalog.hathitrust.org/Record/000126006","HathiTrust Record")</f>
        <v>HathiTrust Record</v>
      </c>
      <c r="AV697" s="6" t="str">
        <f>HYPERLINK("http://mcgill.on.worldcat.org/oclc/10409438","Catalog Record")</f>
        <v>Catalog Record</v>
      </c>
      <c r="AW697" s="6" t="str">
        <f>HYPERLINK("http://www.worldcat.org/oclc/10409438","WorldCat Record")</f>
        <v>WorldCat Record</v>
      </c>
      <c r="AX697" s="3" t="s">
        <v>7287</v>
      </c>
      <c r="AY697" s="3" t="s">
        <v>7288</v>
      </c>
      <c r="AZ697" s="3" t="s">
        <v>7289</v>
      </c>
      <c r="BA697" s="3" t="s">
        <v>7289</v>
      </c>
      <c r="BB697" s="3" t="s">
        <v>7294</v>
      </c>
      <c r="BC697" s="3" t="s">
        <v>77</v>
      </c>
      <c r="BD697" s="3" t="s">
        <v>78</v>
      </c>
      <c r="BE697" s="3" t="s">
        <v>7291</v>
      </c>
      <c r="BF697" s="3" t="s">
        <v>7294</v>
      </c>
      <c r="BG697" s="3" t="s">
        <v>7295</v>
      </c>
    </row>
    <row r="698" spans="1:59" ht="58" x14ac:dyDescent="0.35">
      <c r="A698" s="2" t="s">
        <v>59</v>
      </c>
      <c r="B698" s="2" t="s">
        <v>60</v>
      </c>
      <c r="C698" s="2" t="s">
        <v>7282</v>
      </c>
      <c r="D698" s="2" t="s">
        <v>7283</v>
      </c>
      <c r="E698" s="2" t="s">
        <v>7284</v>
      </c>
      <c r="F698" s="3" t="s">
        <v>503</v>
      </c>
      <c r="G698" s="3" t="s">
        <v>209</v>
      </c>
      <c r="I698" s="3" t="s">
        <v>65</v>
      </c>
      <c r="J698" s="3" t="s">
        <v>65</v>
      </c>
      <c r="K698" s="3" t="s">
        <v>66</v>
      </c>
      <c r="L698" s="2" t="s">
        <v>7037</v>
      </c>
      <c r="M698" s="2" t="s">
        <v>7285</v>
      </c>
      <c r="N698" s="3" t="s">
        <v>831</v>
      </c>
      <c r="P698" s="3" t="s">
        <v>69</v>
      </c>
      <c r="R698" s="3" t="s">
        <v>71</v>
      </c>
      <c r="S698" s="4">
        <v>15</v>
      </c>
      <c r="T698" s="4">
        <v>53</v>
      </c>
      <c r="U698" s="5" t="s">
        <v>7296</v>
      </c>
      <c r="V698" s="5" t="s">
        <v>7286</v>
      </c>
      <c r="W698" s="5" t="s">
        <v>72</v>
      </c>
      <c r="X698" s="5" t="s">
        <v>72</v>
      </c>
      <c r="Y698" s="4">
        <v>441</v>
      </c>
      <c r="Z698" s="4">
        <v>25</v>
      </c>
      <c r="AA698" s="4">
        <v>25</v>
      </c>
      <c r="AB698" s="4">
        <v>2</v>
      </c>
      <c r="AC698" s="4">
        <v>2</v>
      </c>
      <c r="AD698" s="4">
        <v>107</v>
      </c>
      <c r="AE698" s="4">
        <v>107</v>
      </c>
      <c r="AF698" s="4">
        <v>1</v>
      </c>
      <c r="AG698" s="4">
        <v>1</v>
      </c>
      <c r="AH698" s="4">
        <v>94</v>
      </c>
      <c r="AI698" s="4">
        <v>94</v>
      </c>
      <c r="AJ698" s="4">
        <v>15</v>
      </c>
      <c r="AK698" s="4">
        <v>15</v>
      </c>
      <c r="AL698" s="4">
        <v>55</v>
      </c>
      <c r="AM698" s="4">
        <v>55</v>
      </c>
      <c r="AN698" s="4">
        <v>0</v>
      </c>
      <c r="AO698" s="4">
        <v>11</v>
      </c>
      <c r="AP698" s="4">
        <v>19</v>
      </c>
      <c r="AQ698" s="4">
        <v>19</v>
      </c>
      <c r="AR698" s="3" t="s">
        <v>65</v>
      </c>
      <c r="AS698" s="3" t="s">
        <v>65</v>
      </c>
      <c r="AT698" s="3" t="s">
        <v>209</v>
      </c>
      <c r="AU698" s="6" t="str">
        <f>HYPERLINK("http://catalog.hathitrust.org/Record/000126006","HathiTrust Record")</f>
        <v>HathiTrust Record</v>
      </c>
      <c r="AV698" s="6" t="str">
        <f>HYPERLINK("http://mcgill.on.worldcat.org/oclc/10409438","Catalog Record")</f>
        <v>Catalog Record</v>
      </c>
      <c r="AW698" s="6" t="str">
        <f>HYPERLINK("http://www.worldcat.org/oclc/10409438","WorldCat Record")</f>
        <v>WorldCat Record</v>
      </c>
      <c r="AX698" s="3" t="s">
        <v>7287</v>
      </c>
      <c r="AY698" s="3" t="s">
        <v>7288</v>
      </c>
      <c r="AZ698" s="3" t="s">
        <v>7289</v>
      </c>
      <c r="BA698" s="3" t="s">
        <v>7289</v>
      </c>
      <c r="BB698" s="3" t="s">
        <v>7297</v>
      </c>
      <c r="BC698" s="3" t="s">
        <v>77</v>
      </c>
      <c r="BD698" s="3" t="s">
        <v>78</v>
      </c>
      <c r="BE698" s="3" t="s">
        <v>7291</v>
      </c>
      <c r="BF698" s="3" t="s">
        <v>7297</v>
      </c>
      <c r="BG698" s="3" t="s">
        <v>7298</v>
      </c>
    </row>
    <row r="699" spans="1:59" ht="58" x14ac:dyDescent="0.35">
      <c r="A699" s="2" t="s">
        <v>59</v>
      </c>
      <c r="B699" s="2" t="s">
        <v>60</v>
      </c>
      <c r="C699" s="2" t="s">
        <v>7299</v>
      </c>
      <c r="D699" s="2" t="s">
        <v>7300</v>
      </c>
      <c r="E699" s="2" t="s">
        <v>7301</v>
      </c>
      <c r="G699" s="3" t="s">
        <v>65</v>
      </c>
      <c r="I699" s="3" t="s">
        <v>65</v>
      </c>
      <c r="J699" s="3" t="s">
        <v>65</v>
      </c>
      <c r="K699" s="3" t="s">
        <v>66</v>
      </c>
      <c r="L699" s="2" t="s">
        <v>7037</v>
      </c>
      <c r="M699" s="2" t="s">
        <v>7302</v>
      </c>
      <c r="N699" s="3" t="s">
        <v>152</v>
      </c>
      <c r="O699" s="2" t="s">
        <v>2438</v>
      </c>
      <c r="P699" s="3" t="s">
        <v>69</v>
      </c>
      <c r="R699" s="3" t="s">
        <v>71</v>
      </c>
      <c r="S699" s="4">
        <v>9</v>
      </c>
      <c r="T699" s="4">
        <v>9</v>
      </c>
      <c r="U699" s="5" t="s">
        <v>7303</v>
      </c>
      <c r="V699" s="5" t="s">
        <v>7303</v>
      </c>
      <c r="W699" s="5" t="s">
        <v>72</v>
      </c>
      <c r="X699" s="5" t="s">
        <v>72</v>
      </c>
      <c r="Y699" s="4">
        <v>549</v>
      </c>
      <c r="Z699" s="4">
        <v>24</v>
      </c>
      <c r="AA699" s="4">
        <v>24</v>
      </c>
      <c r="AB699" s="4">
        <v>1</v>
      </c>
      <c r="AC699" s="4">
        <v>1</v>
      </c>
      <c r="AD699" s="4">
        <v>89</v>
      </c>
      <c r="AE699" s="4">
        <v>89</v>
      </c>
      <c r="AF699" s="4">
        <v>0</v>
      </c>
      <c r="AG699" s="4">
        <v>0</v>
      </c>
      <c r="AH699" s="4">
        <v>82</v>
      </c>
      <c r="AI699" s="4">
        <v>82</v>
      </c>
      <c r="AJ699" s="4">
        <v>13</v>
      </c>
      <c r="AK699" s="4">
        <v>13</v>
      </c>
      <c r="AL699" s="4">
        <v>47</v>
      </c>
      <c r="AM699" s="4">
        <v>47</v>
      </c>
      <c r="AN699" s="4">
        <v>0</v>
      </c>
      <c r="AO699" s="4">
        <v>11</v>
      </c>
      <c r="AP699" s="4">
        <v>14</v>
      </c>
      <c r="AQ699" s="4">
        <v>14</v>
      </c>
      <c r="AR699" s="3" t="s">
        <v>65</v>
      </c>
      <c r="AS699" s="3" t="s">
        <v>65</v>
      </c>
      <c r="AT699" s="3" t="s">
        <v>65</v>
      </c>
      <c r="AV699" s="6" t="str">
        <f>HYPERLINK("http://mcgill.on.worldcat.org/oclc/843026057","Catalog Record")</f>
        <v>Catalog Record</v>
      </c>
      <c r="AW699" s="6" t="str">
        <f>HYPERLINK("http://www.worldcat.org/oclc/843026057","WorldCat Record")</f>
        <v>WorldCat Record</v>
      </c>
      <c r="AX699" s="3" t="s">
        <v>7304</v>
      </c>
      <c r="AY699" s="3" t="s">
        <v>7305</v>
      </c>
      <c r="AZ699" s="3" t="s">
        <v>7306</v>
      </c>
      <c r="BA699" s="3" t="s">
        <v>7306</v>
      </c>
      <c r="BB699" s="3" t="s">
        <v>7307</v>
      </c>
      <c r="BC699" s="3" t="s">
        <v>77</v>
      </c>
      <c r="BD699" s="3" t="s">
        <v>78</v>
      </c>
      <c r="BE699" s="3" t="s">
        <v>7308</v>
      </c>
      <c r="BF699" s="3" t="s">
        <v>7307</v>
      </c>
      <c r="BG699" s="3" t="s">
        <v>7309</v>
      </c>
    </row>
    <row r="700" spans="1:59" ht="58" x14ac:dyDescent="0.35">
      <c r="A700" s="2" t="s">
        <v>59</v>
      </c>
      <c r="B700" s="2" t="s">
        <v>60</v>
      </c>
      <c r="C700" s="2" t="s">
        <v>7310</v>
      </c>
      <c r="D700" s="2" t="s">
        <v>7311</v>
      </c>
      <c r="E700" s="2" t="s">
        <v>7312</v>
      </c>
      <c r="G700" s="3" t="s">
        <v>65</v>
      </c>
      <c r="I700" s="3" t="s">
        <v>209</v>
      </c>
      <c r="J700" s="3" t="s">
        <v>65</v>
      </c>
      <c r="K700" s="3" t="s">
        <v>66</v>
      </c>
      <c r="L700" s="2" t="s">
        <v>7209</v>
      </c>
      <c r="M700" s="2" t="s">
        <v>7313</v>
      </c>
      <c r="N700" s="3" t="s">
        <v>68</v>
      </c>
      <c r="O700" s="2" t="s">
        <v>2438</v>
      </c>
      <c r="P700" s="3" t="s">
        <v>69</v>
      </c>
      <c r="Q700" s="2" t="s">
        <v>7259</v>
      </c>
      <c r="R700" s="3" t="s">
        <v>71</v>
      </c>
      <c r="S700" s="4">
        <v>2</v>
      </c>
      <c r="T700" s="4">
        <v>7</v>
      </c>
      <c r="U700" s="5" t="s">
        <v>7286</v>
      </c>
      <c r="V700" s="5" t="s">
        <v>7314</v>
      </c>
      <c r="W700" s="5" t="s">
        <v>72</v>
      </c>
      <c r="X700" s="5" t="s">
        <v>72</v>
      </c>
      <c r="Y700" s="4">
        <v>163</v>
      </c>
      <c r="Z700" s="4">
        <v>9</v>
      </c>
      <c r="AA700" s="4">
        <v>10</v>
      </c>
      <c r="AB700" s="4">
        <v>1</v>
      </c>
      <c r="AC700" s="4">
        <v>2</v>
      </c>
      <c r="AD700" s="4">
        <v>49</v>
      </c>
      <c r="AE700" s="4">
        <v>50</v>
      </c>
      <c r="AF700" s="4">
        <v>0</v>
      </c>
      <c r="AG700" s="4">
        <v>1</v>
      </c>
      <c r="AH700" s="4">
        <v>46</v>
      </c>
      <c r="AI700" s="4">
        <v>47</v>
      </c>
      <c r="AJ700" s="4">
        <v>5</v>
      </c>
      <c r="AK700" s="4">
        <v>6</v>
      </c>
      <c r="AL700" s="4">
        <v>28</v>
      </c>
      <c r="AM700" s="4">
        <v>28</v>
      </c>
      <c r="AN700" s="4">
        <v>0</v>
      </c>
      <c r="AO700" s="4">
        <v>0</v>
      </c>
      <c r="AP700" s="4">
        <v>6</v>
      </c>
      <c r="AQ700" s="4">
        <v>7</v>
      </c>
      <c r="AR700" s="3" t="s">
        <v>65</v>
      </c>
      <c r="AS700" s="3" t="s">
        <v>65</v>
      </c>
      <c r="AT700" s="3" t="s">
        <v>65</v>
      </c>
      <c r="AV700" s="6" t="str">
        <f>HYPERLINK("http://mcgill.on.worldcat.org/oclc/908192482","Catalog Record")</f>
        <v>Catalog Record</v>
      </c>
      <c r="AW700" s="6" t="str">
        <f>HYPERLINK("http://www.worldcat.org/oclc/908192482","WorldCat Record")</f>
        <v>WorldCat Record</v>
      </c>
      <c r="AX700" s="3" t="s">
        <v>7315</v>
      </c>
      <c r="AY700" s="3" t="s">
        <v>7316</v>
      </c>
      <c r="AZ700" s="3" t="s">
        <v>7317</v>
      </c>
      <c r="BA700" s="3" t="s">
        <v>7317</v>
      </c>
      <c r="BB700" s="3" t="s">
        <v>7318</v>
      </c>
      <c r="BC700" s="3" t="s">
        <v>77</v>
      </c>
      <c r="BD700" s="3" t="s">
        <v>78</v>
      </c>
      <c r="BE700" s="3" t="s">
        <v>7319</v>
      </c>
      <c r="BF700" s="3" t="s">
        <v>7318</v>
      </c>
      <c r="BG700" s="3" t="s">
        <v>7320</v>
      </c>
    </row>
    <row r="701" spans="1:59" ht="58" x14ac:dyDescent="0.35">
      <c r="A701" s="2" t="s">
        <v>59</v>
      </c>
      <c r="B701" s="2" t="s">
        <v>60</v>
      </c>
      <c r="C701" s="2" t="s">
        <v>7310</v>
      </c>
      <c r="D701" s="2" t="s">
        <v>7311</v>
      </c>
      <c r="E701" s="2" t="s">
        <v>7312</v>
      </c>
      <c r="G701" s="3" t="s">
        <v>65</v>
      </c>
      <c r="I701" s="3" t="s">
        <v>209</v>
      </c>
      <c r="J701" s="3" t="s">
        <v>65</v>
      </c>
      <c r="K701" s="3" t="s">
        <v>66</v>
      </c>
      <c r="L701" s="2" t="s">
        <v>7209</v>
      </c>
      <c r="M701" s="2" t="s">
        <v>7313</v>
      </c>
      <c r="N701" s="3" t="s">
        <v>68</v>
      </c>
      <c r="O701" s="2" t="s">
        <v>2438</v>
      </c>
      <c r="P701" s="3" t="s">
        <v>69</v>
      </c>
      <c r="Q701" s="2" t="s">
        <v>7259</v>
      </c>
      <c r="R701" s="3" t="s">
        <v>71</v>
      </c>
      <c r="S701" s="4">
        <v>5</v>
      </c>
      <c r="T701" s="4">
        <v>7</v>
      </c>
      <c r="U701" s="5" t="s">
        <v>7314</v>
      </c>
      <c r="V701" s="5" t="s">
        <v>7314</v>
      </c>
      <c r="W701" s="5" t="s">
        <v>72</v>
      </c>
      <c r="X701" s="5" t="s">
        <v>72</v>
      </c>
      <c r="Y701" s="4">
        <v>163</v>
      </c>
      <c r="Z701" s="4">
        <v>9</v>
      </c>
      <c r="AA701" s="4">
        <v>10</v>
      </c>
      <c r="AB701" s="4">
        <v>1</v>
      </c>
      <c r="AC701" s="4">
        <v>2</v>
      </c>
      <c r="AD701" s="4">
        <v>49</v>
      </c>
      <c r="AE701" s="4">
        <v>50</v>
      </c>
      <c r="AF701" s="4">
        <v>0</v>
      </c>
      <c r="AG701" s="4">
        <v>1</v>
      </c>
      <c r="AH701" s="4">
        <v>46</v>
      </c>
      <c r="AI701" s="4">
        <v>47</v>
      </c>
      <c r="AJ701" s="4">
        <v>5</v>
      </c>
      <c r="AK701" s="4">
        <v>6</v>
      </c>
      <c r="AL701" s="4">
        <v>28</v>
      </c>
      <c r="AM701" s="4">
        <v>28</v>
      </c>
      <c r="AN701" s="4">
        <v>0</v>
      </c>
      <c r="AO701" s="4">
        <v>0</v>
      </c>
      <c r="AP701" s="4">
        <v>6</v>
      </c>
      <c r="AQ701" s="4">
        <v>7</v>
      </c>
      <c r="AR701" s="3" t="s">
        <v>65</v>
      </c>
      <c r="AS701" s="3" t="s">
        <v>65</v>
      </c>
      <c r="AT701" s="3" t="s">
        <v>65</v>
      </c>
      <c r="AV701" s="6" t="str">
        <f>HYPERLINK("http://mcgill.on.worldcat.org/oclc/908192482","Catalog Record")</f>
        <v>Catalog Record</v>
      </c>
      <c r="AW701" s="6" t="str">
        <f>HYPERLINK("http://www.worldcat.org/oclc/908192482","WorldCat Record")</f>
        <v>WorldCat Record</v>
      </c>
      <c r="AX701" s="3" t="s">
        <v>7315</v>
      </c>
      <c r="AY701" s="3" t="s">
        <v>7316</v>
      </c>
      <c r="AZ701" s="3" t="s">
        <v>7317</v>
      </c>
      <c r="BA701" s="3" t="s">
        <v>7317</v>
      </c>
      <c r="BB701" s="3" t="s">
        <v>7321</v>
      </c>
      <c r="BC701" s="3" t="s">
        <v>77</v>
      </c>
      <c r="BD701" s="3" t="s">
        <v>78</v>
      </c>
      <c r="BE701" s="3" t="s">
        <v>7319</v>
      </c>
      <c r="BF701" s="3" t="s">
        <v>7321</v>
      </c>
      <c r="BG701" s="3" t="s">
        <v>7322</v>
      </c>
    </row>
    <row r="702" spans="1:59" ht="58" x14ac:dyDescent="0.35">
      <c r="A702" s="2" t="s">
        <v>59</v>
      </c>
      <c r="B702" s="2" t="s">
        <v>60</v>
      </c>
      <c r="C702" s="2" t="s">
        <v>7323</v>
      </c>
      <c r="D702" s="2" t="s">
        <v>7324</v>
      </c>
      <c r="E702" s="2" t="s">
        <v>7325</v>
      </c>
      <c r="G702" s="3" t="s">
        <v>65</v>
      </c>
      <c r="I702" s="3" t="s">
        <v>65</v>
      </c>
      <c r="J702" s="3" t="s">
        <v>65</v>
      </c>
      <c r="K702" s="3" t="s">
        <v>66</v>
      </c>
      <c r="L702" s="2" t="s">
        <v>7037</v>
      </c>
      <c r="M702" s="2" t="s">
        <v>7326</v>
      </c>
      <c r="N702" s="3" t="s">
        <v>7327</v>
      </c>
      <c r="O702" s="2" t="s">
        <v>7328</v>
      </c>
      <c r="P702" s="3" t="s">
        <v>69</v>
      </c>
      <c r="R702" s="3" t="s">
        <v>71</v>
      </c>
      <c r="S702" s="4">
        <v>11</v>
      </c>
      <c r="T702" s="4">
        <v>11</v>
      </c>
      <c r="U702" s="5" t="s">
        <v>7329</v>
      </c>
      <c r="V702" s="5" t="s">
        <v>7329</v>
      </c>
      <c r="W702" s="5" t="s">
        <v>72</v>
      </c>
      <c r="X702" s="5" t="s">
        <v>72</v>
      </c>
      <c r="Y702" s="4">
        <v>1</v>
      </c>
      <c r="Z702" s="4">
        <v>1</v>
      </c>
      <c r="AA702" s="4">
        <v>2</v>
      </c>
      <c r="AB702" s="4">
        <v>1</v>
      </c>
      <c r="AC702" s="4">
        <v>1</v>
      </c>
      <c r="AD702" s="4">
        <v>0</v>
      </c>
      <c r="AE702" s="4">
        <v>1</v>
      </c>
      <c r="AF702" s="4">
        <v>0</v>
      </c>
      <c r="AG702" s="4">
        <v>0</v>
      </c>
      <c r="AH702" s="4">
        <v>0</v>
      </c>
      <c r="AI702" s="4">
        <v>1</v>
      </c>
      <c r="AJ702" s="4">
        <v>0</v>
      </c>
      <c r="AK702" s="4">
        <v>0</v>
      </c>
      <c r="AL702" s="4">
        <v>0</v>
      </c>
      <c r="AM702" s="4">
        <v>0</v>
      </c>
      <c r="AN702" s="4">
        <v>0</v>
      </c>
      <c r="AO702" s="4">
        <v>0</v>
      </c>
      <c r="AP702" s="4">
        <v>0</v>
      </c>
      <c r="AQ702" s="4">
        <v>0</v>
      </c>
      <c r="AR702" s="3" t="s">
        <v>65</v>
      </c>
      <c r="AS702" s="3" t="s">
        <v>65</v>
      </c>
      <c r="AT702" s="3" t="s">
        <v>65</v>
      </c>
      <c r="AV702" s="6" t="str">
        <f>HYPERLINK("http://mcgill.on.worldcat.org/oclc/427135607","Catalog Record")</f>
        <v>Catalog Record</v>
      </c>
      <c r="AW702" s="6" t="str">
        <f>HYPERLINK("http://www.worldcat.org/oclc/427135607","WorldCat Record")</f>
        <v>WorldCat Record</v>
      </c>
      <c r="AX702" s="3" t="s">
        <v>7330</v>
      </c>
      <c r="AY702" s="3" t="s">
        <v>7331</v>
      </c>
      <c r="AZ702" s="3" t="s">
        <v>7332</v>
      </c>
      <c r="BA702" s="3" t="s">
        <v>7332</v>
      </c>
      <c r="BB702" s="3" t="s">
        <v>7333</v>
      </c>
      <c r="BC702" s="3" t="s">
        <v>77</v>
      </c>
      <c r="BD702" s="3" t="s">
        <v>78</v>
      </c>
      <c r="BF702" s="3" t="s">
        <v>7333</v>
      </c>
      <c r="BG702" s="3" t="s">
        <v>7334</v>
      </c>
    </row>
    <row r="703" spans="1:59" ht="58" x14ac:dyDescent="0.35">
      <c r="A703" s="2" t="s">
        <v>59</v>
      </c>
      <c r="B703" s="2" t="s">
        <v>60</v>
      </c>
      <c r="C703" s="2" t="s">
        <v>7335</v>
      </c>
      <c r="D703" s="2" t="s">
        <v>7336</v>
      </c>
      <c r="E703" s="2" t="s">
        <v>7337</v>
      </c>
      <c r="G703" s="3" t="s">
        <v>65</v>
      </c>
      <c r="I703" s="3" t="s">
        <v>65</v>
      </c>
      <c r="J703" s="3" t="s">
        <v>209</v>
      </c>
      <c r="K703" s="3" t="s">
        <v>66</v>
      </c>
      <c r="L703" s="2" t="s">
        <v>7037</v>
      </c>
      <c r="M703" s="2" t="s">
        <v>7338</v>
      </c>
      <c r="N703" s="3" t="s">
        <v>247</v>
      </c>
      <c r="O703" s="2" t="s">
        <v>7339</v>
      </c>
      <c r="P703" s="3" t="s">
        <v>69</v>
      </c>
      <c r="Q703" s="2" t="s">
        <v>7340</v>
      </c>
      <c r="R703" s="3" t="s">
        <v>71</v>
      </c>
      <c r="S703" s="4">
        <v>14</v>
      </c>
      <c r="T703" s="4">
        <v>14</v>
      </c>
      <c r="U703" s="5" t="s">
        <v>5225</v>
      </c>
      <c r="V703" s="5" t="s">
        <v>5225</v>
      </c>
      <c r="W703" s="5" t="s">
        <v>72</v>
      </c>
      <c r="X703" s="5" t="s">
        <v>72</v>
      </c>
      <c r="Y703" s="4">
        <v>132</v>
      </c>
      <c r="Z703" s="4">
        <v>7</v>
      </c>
      <c r="AA703" s="4">
        <v>44</v>
      </c>
      <c r="AB703" s="4">
        <v>1</v>
      </c>
      <c r="AC703" s="4">
        <v>4</v>
      </c>
      <c r="AD703" s="4">
        <v>48</v>
      </c>
      <c r="AE703" s="4">
        <v>134</v>
      </c>
      <c r="AF703" s="4">
        <v>0</v>
      </c>
      <c r="AG703" s="4">
        <v>2</v>
      </c>
      <c r="AH703" s="4">
        <v>46</v>
      </c>
      <c r="AI703" s="4">
        <v>109</v>
      </c>
      <c r="AJ703" s="4">
        <v>5</v>
      </c>
      <c r="AK703" s="4">
        <v>21</v>
      </c>
      <c r="AL703" s="4">
        <v>29</v>
      </c>
      <c r="AM703" s="4">
        <v>58</v>
      </c>
      <c r="AN703" s="4">
        <v>0</v>
      </c>
      <c r="AO703" s="4">
        <v>0</v>
      </c>
      <c r="AP703" s="4">
        <v>5</v>
      </c>
      <c r="AQ703" s="4">
        <v>32</v>
      </c>
      <c r="AR703" s="3" t="s">
        <v>65</v>
      </c>
      <c r="AS703" s="3" t="s">
        <v>65</v>
      </c>
      <c r="AT703" s="3" t="s">
        <v>65</v>
      </c>
      <c r="AV703" s="6" t="str">
        <f>HYPERLINK("http://mcgill.on.worldcat.org/oclc/27066372","Catalog Record")</f>
        <v>Catalog Record</v>
      </c>
      <c r="AW703" s="6" t="str">
        <f>HYPERLINK("http://www.worldcat.org/oclc/27066372","WorldCat Record")</f>
        <v>WorldCat Record</v>
      </c>
      <c r="AX703" s="3" t="s">
        <v>7341</v>
      </c>
      <c r="AY703" s="3" t="s">
        <v>7342</v>
      </c>
      <c r="AZ703" s="3" t="s">
        <v>7343</v>
      </c>
      <c r="BA703" s="3" t="s">
        <v>7343</v>
      </c>
      <c r="BB703" s="3" t="s">
        <v>7344</v>
      </c>
      <c r="BC703" s="3" t="s">
        <v>77</v>
      </c>
      <c r="BD703" s="3" t="s">
        <v>78</v>
      </c>
      <c r="BE703" s="3" t="s">
        <v>7345</v>
      </c>
      <c r="BF703" s="3" t="s">
        <v>7344</v>
      </c>
      <c r="BG703" s="3" t="s">
        <v>7346</v>
      </c>
    </row>
    <row r="704" spans="1:59" ht="58" x14ac:dyDescent="0.35">
      <c r="A704" s="2" t="s">
        <v>59</v>
      </c>
      <c r="B704" s="2" t="s">
        <v>60</v>
      </c>
      <c r="C704" s="2" t="s">
        <v>7347</v>
      </c>
      <c r="D704" s="2" t="s">
        <v>7348</v>
      </c>
      <c r="E704" s="2" t="s">
        <v>7349</v>
      </c>
      <c r="G704" s="3" t="s">
        <v>65</v>
      </c>
      <c r="I704" s="3" t="s">
        <v>65</v>
      </c>
      <c r="J704" s="3" t="s">
        <v>65</v>
      </c>
      <c r="K704" s="3" t="s">
        <v>66</v>
      </c>
      <c r="L704" s="2" t="s">
        <v>7037</v>
      </c>
      <c r="M704" s="2" t="s">
        <v>7350</v>
      </c>
      <c r="N704" s="3" t="s">
        <v>2377</v>
      </c>
      <c r="P704" s="3" t="s">
        <v>69</v>
      </c>
      <c r="R704" s="3" t="s">
        <v>71</v>
      </c>
      <c r="S704" s="4">
        <v>10</v>
      </c>
      <c r="T704" s="4">
        <v>10</v>
      </c>
      <c r="U704" s="5" t="s">
        <v>7234</v>
      </c>
      <c r="V704" s="5" t="s">
        <v>7234</v>
      </c>
      <c r="W704" s="5" t="s">
        <v>72</v>
      </c>
      <c r="X704" s="5" t="s">
        <v>72</v>
      </c>
      <c r="Y704" s="4">
        <v>527</v>
      </c>
      <c r="Z704" s="4">
        <v>23</v>
      </c>
      <c r="AA704" s="4">
        <v>34</v>
      </c>
      <c r="AB704" s="4">
        <v>1</v>
      </c>
      <c r="AC704" s="4">
        <v>2</v>
      </c>
      <c r="AD704" s="4">
        <v>106</v>
      </c>
      <c r="AE704" s="4">
        <v>129</v>
      </c>
      <c r="AF704" s="4">
        <v>0</v>
      </c>
      <c r="AG704" s="4">
        <v>1</v>
      </c>
      <c r="AH704" s="4">
        <v>96</v>
      </c>
      <c r="AI704" s="4">
        <v>111</v>
      </c>
      <c r="AJ704" s="4">
        <v>13</v>
      </c>
      <c r="AK704" s="4">
        <v>18</v>
      </c>
      <c r="AL704" s="4">
        <v>55</v>
      </c>
      <c r="AM704" s="4">
        <v>60</v>
      </c>
      <c r="AN704" s="4">
        <v>0</v>
      </c>
      <c r="AO704" s="4">
        <v>8</v>
      </c>
      <c r="AP704" s="4">
        <v>15</v>
      </c>
      <c r="AQ704" s="4">
        <v>24</v>
      </c>
      <c r="AR704" s="3" t="s">
        <v>65</v>
      </c>
      <c r="AS704" s="3" t="s">
        <v>65</v>
      </c>
      <c r="AT704" s="3" t="s">
        <v>65</v>
      </c>
      <c r="AV704" s="6" t="str">
        <f>HYPERLINK("http://mcgill.on.worldcat.org/oclc/21600872","Catalog Record")</f>
        <v>Catalog Record</v>
      </c>
      <c r="AW704" s="6" t="str">
        <f>HYPERLINK("http://www.worldcat.org/oclc/21600872","WorldCat Record")</f>
        <v>WorldCat Record</v>
      </c>
      <c r="AX704" s="3" t="s">
        <v>7351</v>
      </c>
      <c r="AY704" s="3" t="s">
        <v>7352</v>
      </c>
      <c r="AZ704" s="3" t="s">
        <v>7353</v>
      </c>
      <c r="BA704" s="3" t="s">
        <v>7353</v>
      </c>
      <c r="BB704" s="3" t="s">
        <v>7354</v>
      </c>
      <c r="BC704" s="3" t="s">
        <v>77</v>
      </c>
      <c r="BD704" s="3" t="s">
        <v>78</v>
      </c>
      <c r="BE704" s="3" t="s">
        <v>7355</v>
      </c>
      <c r="BF704" s="3" t="s">
        <v>7354</v>
      </c>
      <c r="BG704" s="3" t="s">
        <v>7356</v>
      </c>
    </row>
    <row r="705" spans="1:59" ht="58" x14ac:dyDescent="0.35">
      <c r="A705" s="2" t="s">
        <v>59</v>
      </c>
      <c r="B705" s="2" t="s">
        <v>60</v>
      </c>
      <c r="C705" s="2" t="s">
        <v>7357</v>
      </c>
      <c r="D705" s="2" t="s">
        <v>7358</v>
      </c>
      <c r="E705" s="2" t="s">
        <v>7359</v>
      </c>
      <c r="G705" s="3" t="s">
        <v>65</v>
      </c>
      <c r="I705" s="3" t="s">
        <v>65</v>
      </c>
      <c r="J705" s="3" t="s">
        <v>65</v>
      </c>
      <c r="K705" s="3" t="s">
        <v>66</v>
      </c>
      <c r="L705" s="2" t="s">
        <v>7037</v>
      </c>
      <c r="M705" s="2" t="s">
        <v>7360</v>
      </c>
      <c r="N705" s="3" t="s">
        <v>1932</v>
      </c>
      <c r="P705" s="3" t="s">
        <v>616</v>
      </c>
      <c r="Q705" s="2" t="s">
        <v>7361</v>
      </c>
      <c r="R705" s="3" t="s">
        <v>71</v>
      </c>
      <c r="S705" s="4">
        <v>6</v>
      </c>
      <c r="T705" s="4">
        <v>6</v>
      </c>
      <c r="U705" s="5" t="s">
        <v>7362</v>
      </c>
      <c r="V705" s="5" t="s">
        <v>7362</v>
      </c>
      <c r="W705" s="5" t="s">
        <v>72</v>
      </c>
      <c r="X705" s="5" t="s">
        <v>72</v>
      </c>
      <c r="Y705" s="4">
        <v>10</v>
      </c>
      <c r="Z705" s="4">
        <v>3</v>
      </c>
      <c r="AA705" s="4">
        <v>25</v>
      </c>
      <c r="AB705" s="4">
        <v>1</v>
      </c>
      <c r="AC705" s="4">
        <v>5</v>
      </c>
      <c r="AD705" s="4">
        <v>2</v>
      </c>
      <c r="AE705" s="4">
        <v>33</v>
      </c>
      <c r="AF705" s="4">
        <v>0</v>
      </c>
      <c r="AG705" s="4">
        <v>4</v>
      </c>
      <c r="AH705" s="4">
        <v>2</v>
      </c>
      <c r="AI705" s="4">
        <v>24</v>
      </c>
      <c r="AJ705" s="4">
        <v>1</v>
      </c>
      <c r="AK705" s="4">
        <v>11</v>
      </c>
      <c r="AL705" s="4">
        <v>1</v>
      </c>
      <c r="AM705" s="4">
        <v>14</v>
      </c>
      <c r="AN705" s="4">
        <v>0</v>
      </c>
      <c r="AO705" s="4">
        <v>0</v>
      </c>
      <c r="AP705" s="4">
        <v>1</v>
      </c>
      <c r="AQ705" s="4">
        <v>12</v>
      </c>
      <c r="AR705" s="3" t="s">
        <v>65</v>
      </c>
      <c r="AS705" s="3" t="s">
        <v>65</v>
      </c>
      <c r="AT705" s="3" t="s">
        <v>65</v>
      </c>
      <c r="AV705" s="6" t="str">
        <f>HYPERLINK("http://mcgill.on.worldcat.org/oclc/31467209","Catalog Record")</f>
        <v>Catalog Record</v>
      </c>
      <c r="AW705" s="6" t="str">
        <f>HYPERLINK("http://www.worldcat.org/oclc/31467209","WorldCat Record")</f>
        <v>WorldCat Record</v>
      </c>
      <c r="AX705" s="3" t="s">
        <v>7363</v>
      </c>
      <c r="AY705" s="3" t="s">
        <v>7364</v>
      </c>
      <c r="AZ705" s="3" t="s">
        <v>7365</v>
      </c>
      <c r="BA705" s="3" t="s">
        <v>7365</v>
      </c>
      <c r="BB705" s="3" t="s">
        <v>7366</v>
      </c>
      <c r="BC705" s="3" t="s">
        <v>77</v>
      </c>
      <c r="BD705" s="3" t="s">
        <v>78</v>
      </c>
      <c r="BE705" s="3" t="s">
        <v>7367</v>
      </c>
      <c r="BF705" s="3" t="s">
        <v>7366</v>
      </c>
      <c r="BG705" s="3" t="s">
        <v>7368</v>
      </c>
    </row>
    <row r="706" spans="1:59" ht="87" x14ac:dyDescent="0.35">
      <c r="A706" s="2" t="s">
        <v>59</v>
      </c>
      <c r="B706" s="2" t="s">
        <v>60</v>
      </c>
      <c r="C706" s="2" t="s">
        <v>7369</v>
      </c>
      <c r="D706" s="2" t="s">
        <v>7370</v>
      </c>
      <c r="E706" s="2" t="s">
        <v>7371</v>
      </c>
      <c r="F706" s="3" t="s">
        <v>7372</v>
      </c>
      <c r="G706" s="3" t="s">
        <v>65</v>
      </c>
      <c r="I706" s="3" t="s">
        <v>65</v>
      </c>
      <c r="J706" s="3" t="s">
        <v>65</v>
      </c>
      <c r="K706" s="3" t="s">
        <v>66</v>
      </c>
      <c r="L706" s="2" t="s">
        <v>7209</v>
      </c>
      <c r="M706" s="2" t="s">
        <v>7373</v>
      </c>
      <c r="N706" s="3" t="s">
        <v>86</v>
      </c>
      <c r="P706" s="3" t="s">
        <v>7374</v>
      </c>
      <c r="Q706" s="2" t="s">
        <v>7375</v>
      </c>
      <c r="R706" s="3" t="s">
        <v>71</v>
      </c>
      <c r="S706" s="4">
        <v>0</v>
      </c>
      <c r="T706" s="4">
        <v>0</v>
      </c>
      <c r="W706" s="5" t="s">
        <v>7376</v>
      </c>
      <c r="X706" s="5" t="s">
        <v>7376</v>
      </c>
      <c r="Y706" s="4">
        <v>7</v>
      </c>
      <c r="Z706" s="4">
        <v>1</v>
      </c>
      <c r="AA706" s="4">
        <v>1</v>
      </c>
      <c r="AB706" s="4">
        <v>1</v>
      </c>
      <c r="AC706" s="4">
        <v>1</v>
      </c>
      <c r="AD706" s="4">
        <v>5</v>
      </c>
      <c r="AE706" s="4">
        <v>5</v>
      </c>
      <c r="AF706" s="4">
        <v>0</v>
      </c>
      <c r="AG706" s="4">
        <v>0</v>
      </c>
      <c r="AH706" s="4">
        <v>5</v>
      </c>
      <c r="AI706" s="4">
        <v>5</v>
      </c>
      <c r="AJ706" s="4">
        <v>0</v>
      </c>
      <c r="AK706" s="4">
        <v>0</v>
      </c>
      <c r="AL706" s="4">
        <v>4</v>
      </c>
      <c r="AM706" s="4">
        <v>4</v>
      </c>
      <c r="AN706" s="4">
        <v>0</v>
      </c>
      <c r="AO706" s="4">
        <v>0</v>
      </c>
      <c r="AP706" s="4">
        <v>0</v>
      </c>
      <c r="AQ706" s="4">
        <v>0</v>
      </c>
      <c r="AR706" s="3" t="s">
        <v>65</v>
      </c>
      <c r="AS706" s="3" t="s">
        <v>65</v>
      </c>
      <c r="AT706" s="3" t="s">
        <v>65</v>
      </c>
      <c r="AV706" s="6" t="str">
        <f>HYPERLINK("http://mcgill.on.worldcat.org/oclc/1084640029","Catalog Record")</f>
        <v>Catalog Record</v>
      </c>
      <c r="AW706" s="6" t="str">
        <f>HYPERLINK("http://www.worldcat.org/oclc/1084640029","WorldCat Record")</f>
        <v>WorldCat Record</v>
      </c>
      <c r="AX706" s="3" t="s">
        <v>7377</v>
      </c>
      <c r="AY706" s="3" t="s">
        <v>7378</v>
      </c>
      <c r="AZ706" s="3" t="s">
        <v>7379</v>
      </c>
      <c r="BA706" s="3" t="s">
        <v>7379</v>
      </c>
      <c r="BB706" s="3" t="s">
        <v>7380</v>
      </c>
      <c r="BC706" s="3" t="s">
        <v>77</v>
      </c>
      <c r="BD706" s="3" t="s">
        <v>78</v>
      </c>
      <c r="BE706" s="3" t="s">
        <v>7381</v>
      </c>
      <c r="BF706" s="3" t="s">
        <v>7380</v>
      </c>
      <c r="BG706" s="3" t="s">
        <v>7382</v>
      </c>
    </row>
    <row r="707" spans="1:59" ht="58" x14ac:dyDescent="0.35">
      <c r="A707" s="2" t="s">
        <v>59</v>
      </c>
      <c r="B707" s="2" t="s">
        <v>60</v>
      </c>
      <c r="C707" s="2" t="s">
        <v>7383</v>
      </c>
      <c r="D707" s="2" t="s">
        <v>7384</v>
      </c>
      <c r="E707" s="2" t="s">
        <v>7385</v>
      </c>
      <c r="G707" s="3" t="s">
        <v>65</v>
      </c>
      <c r="I707" s="3" t="s">
        <v>65</v>
      </c>
      <c r="J707" s="3" t="s">
        <v>209</v>
      </c>
      <c r="K707" s="3" t="s">
        <v>66</v>
      </c>
      <c r="L707" s="2" t="s">
        <v>7209</v>
      </c>
      <c r="M707" s="2" t="s">
        <v>7386</v>
      </c>
      <c r="N707" s="3" t="s">
        <v>7039</v>
      </c>
      <c r="P707" s="3" t="s">
        <v>69</v>
      </c>
      <c r="R707" s="3" t="s">
        <v>71</v>
      </c>
      <c r="S707" s="4">
        <v>29</v>
      </c>
      <c r="T707" s="4">
        <v>29</v>
      </c>
      <c r="U707" s="5" t="s">
        <v>2076</v>
      </c>
      <c r="V707" s="5" t="s">
        <v>2076</v>
      </c>
      <c r="W707" s="5" t="s">
        <v>72</v>
      </c>
      <c r="X707" s="5" t="s">
        <v>72</v>
      </c>
      <c r="Y707" s="4">
        <v>200</v>
      </c>
      <c r="Z707" s="4">
        <v>14</v>
      </c>
      <c r="AA707" s="4">
        <v>46</v>
      </c>
      <c r="AB707" s="4">
        <v>2</v>
      </c>
      <c r="AC707" s="4">
        <v>3</v>
      </c>
      <c r="AD707" s="4">
        <v>28</v>
      </c>
      <c r="AE707" s="4">
        <v>120</v>
      </c>
      <c r="AF707" s="4">
        <v>1</v>
      </c>
      <c r="AG707" s="4">
        <v>1</v>
      </c>
      <c r="AH707" s="4">
        <v>22</v>
      </c>
      <c r="AI707" s="4">
        <v>97</v>
      </c>
      <c r="AJ707" s="4">
        <v>6</v>
      </c>
      <c r="AK707" s="4">
        <v>19</v>
      </c>
      <c r="AL707" s="4">
        <v>11</v>
      </c>
      <c r="AM707" s="4">
        <v>55</v>
      </c>
      <c r="AN707" s="4">
        <v>0</v>
      </c>
      <c r="AO707" s="4">
        <v>0</v>
      </c>
      <c r="AP707" s="4">
        <v>10</v>
      </c>
      <c r="AQ707" s="4">
        <v>28</v>
      </c>
      <c r="AR707" s="3" t="s">
        <v>65</v>
      </c>
      <c r="AS707" s="3" t="s">
        <v>65</v>
      </c>
      <c r="AT707" s="3" t="s">
        <v>65</v>
      </c>
      <c r="AV707" s="6" t="str">
        <f>HYPERLINK("http://mcgill.on.worldcat.org/oclc/343913","Catalog Record")</f>
        <v>Catalog Record</v>
      </c>
      <c r="AW707" s="6" t="str">
        <f>HYPERLINK("http://www.worldcat.org/oclc/343913","WorldCat Record")</f>
        <v>WorldCat Record</v>
      </c>
      <c r="AX707" s="3" t="s">
        <v>7387</v>
      </c>
      <c r="AY707" s="3" t="s">
        <v>7388</v>
      </c>
      <c r="AZ707" s="3" t="s">
        <v>7389</v>
      </c>
      <c r="BA707" s="3" t="s">
        <v>7389</v>
      </c>
      <c r="BB707" s="3" t="s">
        <v>7390</v>
      </c>
      <c r="BC707" s="3" t="s">
        <v>77</v>
      </c>
      <c r="BD707" s="3" t="s">
        <v>78</v>
      </c>
      <c r="BF707" s="3" t="s">
        <v>7390</v>
      </c>
      <c r="BG707" s="3" t="s">
        <v>7391</v>
      </c>
    </row>
    <row r="708" spans="1:59" ht="58" x14ac:dyDescent="0.35">
      <c r="A708" s="2" t="s">
        <v>59</v>
      </c>
      <c r="B708" s="2" t="s">
        <v>60</v>
      </c>
      <c r="C708" s="2" t="s">
        <v>7392</v>
      </c>
      <c r="D708" s="2" t="s">
        <v>7393</v>
      </c>
      <c r="E708" s="2" t="s">
        <v>7394</v>
      </c>
      <c r="G708" s="3" t="s">
        <v>65</v>
      </c>
      <c r="I708" s="3" t="s">
        <v>65</v>
      </c>
      <c r="J708" s="3" t="s">
        <v>65</v>
      </c>
      <c r="K708" s="3" t="s">
        <v>66</v>
      </c>
      <c r="L708" s="2" t="s">
        <v>7037</v>
      </c>
      <c r="M708" s="2" t="s">
        <v>7395</v>
      </c>
      <c r="N708" s="3" t="s">
        <v>364</v>
      </c>
      <c r="P708" s="3" t="s">
        <v>69</v>
      </c>
      <c r="Q708" s="2" t="s">
        <v>7396</v>
      </c>
      <c r="R708" s="3" t="s">
        <v>71</v>
      </c>
      <c r="S708" s="4">
        <v>30</v>
      </c>
      <c r="T708" s="4">
        <v>30</v>
      </c>
      <c r="U708" s="5" t="s">
        <v>7397</v>
      </c>
      <c r="V708" s="5" t="s">
        <v>7397</v>
      </c>
      <c r="W708" s="5" t="s">
        <v>72</v>
      </c>
      <c r="X708" s="5" t="s">
        <v>72</v>
      </c>
      <c r="Y708" s="4">
        <v>833</v>
      </c>
      <c r="Z708" s="4">
        <v>39</v>
      </c>
      <c r="AA708" s="4">
        <v>50</v>
      </c>
      <c r="AB708" s="4">
        <v>3</v>
      </c>
      <c r="AC708" s="4">
        <v>5</v>
      </c>
      <c r="AD708" s="4">
        <v>119</v>
      </c>
      <c r="AE708" s="4">
        <v>129</v>
      </c>
      <c r="AF708" s="4">
        <v>1</v>
      </c>
      <c r="AG708" s="4">
        <v>3</v>
      </c>
      <c r="AH708" s="4">
        <v>100</v>
      </c>
      <c r="AI708" s="4">
        <v>105</v>
      </c>
      <c r="AJ708" s="4">
        <v>16</v>
      </c>
      <c r="AK708" s="4">
        <v>20</v>
      </c>
      <c r="AL708" s="4">
        <v>55</v>
      </c>
      <c r="AM708" s="4">
        <v>56</v>
      </c>
      <c r="AN708" s="4">
        <v>0</v>
      </c>
      <c r="AO708" s="4">
        <v>0</v>
      </c>
      <c r="AP708" s="4">
        <v>25</v>
      </c>
      <c r="AQ708" s="4">
        <v>31</v>
      </c>
      <c r="AR708" s="3" t="s">
        <v>65</v>
      </c>
      <c r="AS708" s="3" t="s">
        <v>65</v>
      </c>
      <c r="AT708" s="3" t="s">
        <v>209</v>
      </c>
      <c r="AU708" s="6" t="str">
        <f>HYPERLINK("http://catalog.hathitrust.org/Record/004178309","HathiTrust Record")</f>
        <v>HathiTrust Record</v>
      </c>
      <c r="AV708" s="6" t="str">
        <f>HYPERLINK("http://mcgill.on.worldcat.org/oclc/45418951","Catalog Record")</f>
        <v>Catalog Record</v>
      </c>
      <c r="AW708" s="6" t="str">
        <f>HYPERLINK("http://www.worldcat.org/oclc/45418951","WorldCat Record")</f>
        <v>WorldCat Record</v>
      </c>
      <c r="AX708" s="3" t="s">
        <v>7398</v>
      </c>
      <c r="AY708" s="3" t="s">
        <v>7399</v>
      </c>
      <c r="AZ708" s="3" t="s">
        <v>7400</v>
      </c>
      <c r="BA708" s="3" t="s">
        <v>7400</v>
      </c>
      <c r="BB708" s="3" t="s">
        <v>7401</v>
      </c>
      <c r="BC708" s="3" t="s">
        <v>77</v>
      </c>
      <c r="BD708" s="3" t="s">
        <v>78</v>
      </c>
      <c r="BE708" s="3" t="s">
        <v>7402</v>
      </c>
      <c r="BF708" s="3" t="s">
        <v>7401</v>
      </c>
      <c r="BG708" s="3" t="s">
        <v>7403</v>
      </c>
    </row>
    <row r="709" spans="1:59" ht="58" x14ac:dyDescent="0.35">
      <c r="A709" s="2" t="s">
        <v>59</v>
      </c>
      <c r="B709" s="2" t="s">
        <v>60</v>
      </c>
      <c r="C709" s="2" t="s">
        <v>7404</v>
      </c>
      <c r="D709" s="2" t="s">
        <v>7405</v>
      </c>
      <c r="E709" s="2" t="s">
        <v>7406</v>
      </c>
      <c r="G709" s="3" t="s">
        <v>65</v>
      </c>
      <c r="I709" s="3" t="s">
        <v>65</v>
      </c>
      <c r="J709" s="3" t="s">
        <v>65</v>
      </c>
      <c r="K709" s="3" t="s">
        <v>66</v>
      </c>
      <c r="L709" s="2" t="s">
        <v>7209</v>
      </c>
      <c r="M709" s="2" t="s">
        <v>7407</v>
      </c>
      <c r="N709" s="3" t="s">
        <v>176</v>
      </c>
      <c r="P709" s="3" t="s">
        <v>69</v>
      </c>
      <c r="Q709" s="2" t="s">
        <v>7408</v>
      </c>
      <c r="R709" s="3" t="s">
        <v>71</v>
      </c>
      <c r="S709" s="4">
        <v>0</v>
      </c>
      <c r="T709" s="4">
        <v>0</v>
      </c>
      <c r="W709" s="5" t="s">
        <v>72</v>
      </c>
      <c r="X709" s="5" t="s">
        <v>72</v>
      </c>
      <c r="Y709" s="4">
        <v>81</v>
      </c>
      <c r="Z709" s="4">
        <v>11</v>
      </c>
      <c r="AA709" s="4">
        <v>11</v>
      </c>
      <c r="AB709" s="4">
        <v>2</v>
      </c>
      <c r="AC709" s="4">
        <v>2</v>
      </c>
      <c r="AD709" s="4">
        <v>46</v>
      </c>
      <c r="AE709" s="4">
        <v>46</v>
      </c>
      <c r="AF709" s="4">
        <v>1</v>
      </c>
      <c r="AG709" s="4">
        <v>1</v>
      </c>
      <c r="AH709" s="4">
        <v>43</v>
      </c>
      <c r="AI709" s="4">
        <v>43</v>
      </c>
      <c r="AJ709" s="4">
        <v>7</v>
      </c>
      <c r="AK709" s="4">
        <v>7</v>
      </c>
      <c r="AL709" s="4">
        <v>30</v>
      </c>
      <c r="AM709" s="4">
        <v>30</v>
      </c>
      <c r="AN709" s="4">
        <v>0</v>
      </c>
      <c r="AO709" s="4">
        <v>0</v>
      </c>
      <c r="AP709" s="4">
        <v>8</v>
      </c>
      <c r="AQ709" s="4">
        <v>8</v>
      </c>
      <c r="AR709" s="3" t="s">
        <v>65</v>
      </c>
      <c r="AS709" s="3" t="s">
        <v>65</v>
      </c>
      <c r="AT709" s="3" t="s">
        <v>65</v>
      </c>
      <c r="AV709" s="6" t="str">
        <f>HYPERLINK("http://mcgill.on.worldcat.org/oclc/907173350","Catalog Record")</f>
        <v>Catalog Record</v>
      </c>
      <c r="AW709" s="6" t="str">
        <f>HYPERLINK("http://www.worldcat.org/oclc/907173350","WorldCat Record")</f>
        <v>WorldCat Record</v>
      </c>
      <c r="AX709" s="3" t="s">
        <v>7409</v>
      </c>
      <c r="AY709" s="3" t="s">
        <v>7410</v>
      </c>
      <c r="AZ709" s="3" t="s">
        <v>7411</v>
      </c>
      <c r="BA709" s="3" t="s">
        <v>7411</v>
      </c>
      <c r="BB709" s="3" t="s">
        <v>7412</v>
      </c>
      <c r="BC709" s="3" t="s">
        <v>77</v>
      </c>
      <c r="BD709" s="3" t="s">
        <v>78</v>
      </c>
      <c r="BE709" s="3" t="s">
        <v>7413</v>
      </c>
      <c r="BF709" s="3" t="s">
        <v>7412</v>
      </c>
      <c r="BG709" s="3" t="s">
        <v>7414</v>
      </c>
    </row>
    <row r="710" spans="1:59" ht="58" x14ac:dyDescent="0.35">
      <c r="A710" s="2" t="s">
        <v>59</v>
      </c>
      <c r="B710" s="2" t="s">
        <v>60</v>
      </c>
      <c r="C710" s="2" t="s">
        <v>7415</v>
      </c>
      <c r="D710" s="2" t="s">
        <v>7416</v>
      </c>
      <c r="E710" s="2" t="s">
        <v>7417</v>
      </c>
      <c r="G710" s="3" t="s">
        <v>65</v>
      </c>
      <c r="I710" s="3" t="s">
        <v>65</v>
      </c>
      <c r="J710" s="3" t="s">
        <v>65</v>
      </c>
      <c r="K710" s="3" t="s">
        <v>66</v>
      </c>
      <c r="L710" s="2" t="s">
        <v>7037</v>
      </c>
      <c r="M710" s="2" t="s">
        <v>7418</v>
      </c>
      <c r="N710" s="3" t="s">
        <v>152</v>
      </c>
      <c r="P710" s="3" t="s">
        <v>616</v>
      </c>
      <c r="Q710" s="2" t="s">
        <v>7419</v>
      </c>
      <c r="R710" s="3" t="s">
        <v>71</v>
      </c>
      <c r="S710" s="4">
        <v>0</v>
      </c>
      <c r="T710" s="4">
        <v>0</v>
      </c>
      <c r="W710" s="5" t="s">
        <v>72</v>
      </c>
      <c r="X710" s="5" t="s">
        <v>72</v>
      </c>
      <c r="Y710" s="4">
        <v>13</v>
      </c>
      <c r="Z710" s="4">
        <v>1</v>
      </c>
      <c r="AA710" s="4">
        <v>3</v>
      </c>
      <c r="AB710" s="4">
        <v>1</v>
      </c>
      <c r="AC710" s="4">
        <v>3</v>
      </c>
      <c r="AD710" s="4">
        <v>4</v>
      </c>
      <c r="AE710" s="4">
        <v>8</v>
      </c>
      <c r="AF710" s="4">
        <v>0</v>
      </c>
      <c r="AG710" s="4">
        <v>1</v>
      </c>
      <c r="AH710" s="4">
        <v>4</v>
      </c>
      <c r="AI710" s="4">
        <v>7</v>
      </c>
      <c r="AJ710" s="4">
        <v>0</v>
      </c>
      <c r="AK710" s="4">
        <v>1</v>
      </c>
      <c r="AL710" s="4">
        <v>4</v>
      </c>
      <c r="AM710" s="4">
        <v>7</v>
      </c>
      <c r="AN710" s="4">
        <v>0</v>
      </c>
      <c r="AO710" s="4">
        <v>0</v>
      </c>
      <c r="AP710" s="4">
        <v>0</v>
      </c>
      <c r="AQ710" s="4">
        <v>1</v>
      </c>
      <c r="AR710" s="3" t="s">
        <v>65</v>
      </c>
      <c r="AS710" s="3" t="s">
        <v>65</v>
      </c>
      <c r="AT710" s="3" t="s">
        <v>65</v>
      </c>
      <c r="AV710" s="6" t="str">
        <f>HYPERLINK("http://mcgill.on.worldcat.org/oclc/862708135","Catalog Record")</f>
        <v>Catalog Record</v>
      </c>
      <c r="AW710" s="6" t="str">
        <f>HYPERLINK("http://www.worldcat.org/oclc/862708135","WorldCat Record")</f>
        <v>WorldCat Record</v>
      </c>
      <c r="AX710" s="3" t="s">
        <v>7420</v>
      </c>
      <c r="AY710" s="3" t="s">
        <v>7421</v>
      </c>
      <c r="AZ710" s="3" t="s">
        <v>7422</v>
      </c>
      <c r="BA710" s="3" t="s">
        <v>7422</v>
      </c>
      <c r="BB710" s="3" t="s">
        <v>7423</v>
      </c>
      <c r="BC710" s="3" t="s">
        <v>77</v>
      </c>
      <c r="BD710" s="3" t="s">
        <v>78</v>
      </c>
      <c r="BE710" s="3" t="s">
        <v>7424</v>
      </c>
      <c r="BF710" s="3" t="s">
        <v>7423</v>
      </c>
      <c r="BG710" s="3" t="s">
        <v>7425</v>
      </c>
    </row>
    <row r="711" spans="1:59" ht="58" x14ac:dyDescent="0.35">
      <c r="A711" s="2" t="s">
        <v>59</v>
      </c>
      <c r="B711" s="2" t="s">
        <v>60</v>
      </c>
      <c r="C711" s="2" t="s">
        <v>7426</v>
      </c>
      <c r="D711" s="2" t="s">
        <v>7427</v>
      </c>
      <c r="E711" s="2" t="s">
        <v>7428</v>
      </c>
      <c r="G711" s="3" t="s">
        <v>65</v>
      </c>
      <c r="I711" s="3" t="s">
        <v>65</v>
      </c>
      <c r="J711" s="3" t="s">
        <v>65</v>
      </c>
      <c r="K711" s="3" t="s">
        <v>66</v>
      </c>
      <c r="L711" s="2" t="s">
        <v>7429</v>
      </c>
      <c r="M711" s="2" t="s">
        <v>7430</v>
      </c>
      <c r="N711" s="3" t="s">
        <v>139</v>
      </c>
      <c r="P711" s="3" t="s">
        <v>140</v>
      </c>
      <c r="Q711" s="2" t="s">
        <v>7431</v>
      </c>
      <c r="R711" s="3" t="s">
        <v>71</v>
      </c>
      <c r="S711" s="4">
        <v>1</v>
      </c>
      <c r="T711" s="4">
        <v>1</v>
      </c>
      <c r="U711" s="5" t="s">
        <v>5225</v>
      </c>
      <c r="V711" s="5" t="s">
        <v>5225</v>
      </c>
      <c r="W711" s="5" t="s">
        <v>72</v>
      </c>
      <c r="X711" s="5" t="s">
        <v>72</v>
      </c>
      <c r="Y711" s="4">
        <v>52</v>
      </c>
      <c r="Z711" s="4">
        <v>3</v>
      </c>
      <c r="AA711" s="4">
        <v>3</v>
      </c>
      <c r="AB711" s="4">
        <v>1</v>
      </c>
      <c r="AC711" s="4">
        <v>1</v>
      </c>
      <c r="AD711" s="4">
        <v>26</v>
      </c>
      <c r="AE711" s="4">
        <v>26</v>
      </c>
      <c r="AF711" s="4">
        <v>0</v>
      </c>
      <c r="AG711" s="4">
        <v>0</v>
      </c>
      <c r="AH711" s="4">
        <v>25</v>
      </c>
      <c r="AI711" s="4">
        <v>25</v>
      </c>
      <c r="AJ711" s="4">
        <v>1</v>
      </c>
      <c r="AK711" s="4">
        <v>1</v>
      </c>
      <c r="AL711" s="4">
        <v>18</v>
      </c>
      <c r="AM711" s="4">
        <v>18</v>
      </c>
      <c r="AN711" s="4">
        <v>0</v>
      </c>
      <c r="AO711" s="4">
        <v>0</v>
      </c>
      <c r="AP711" s="4">
        <v>1</v>
      </c>
      <c r="AQ711" s="4">
        <v>1</v>
      </c>
      <c r="AR711" s="3" t="s">
        <v>65</v>
      </c>
      <c r="AS711" s="3" t="s">
        <v>65</v>
      </c>
      <c r="AT711" s="3" t="s">
        <v>65</v>
      </c>
      <c r="AV711" s="6" t="str">
        <f>HYPERLINK("http://mcgill.on.worldcat.org/oclc/839902179","Catalog Record")</f>
        <v>Catalog Record</v>
      </c>
      <c r="AW711" s="6" t="str">
        <f>HYPERLINK("http://www.worldcat.org/oclc/839902179","WorldCat Record")</f>
        <v>WorldCat Record</v>
      </c>
      <c r="AX711" s="3" t="s">
        <v>7432</v>
      </c>
      <c r="AY711" s="3" t="s">
        <v>7433</v>
      </c>
      <c r="AZ711" s="3" t="s">
        <v>7434</v>
      </c>
      <c r="BA711" s="3" t="s">
        <v>7434</v>
      </c>
      <c r="BB711" s="3" t="s">
        <v>7435</v>
      </c>
      <c r="BC711" s="3" t="s">
        <v>77</v>
      </c>
      <c r="BD711" s="3" t="s">
        <v>78</v>
      </c>
      <c r="BE711" s="3" t="s">
        <v>7436</v>
      </c>
      <c r="BF711" s="3" t="s">
        <v>7435</v>
      </c>
      <c r="BG711" s="3" t="s">
        <v>7437</v>
      </c>
    </row>
    <row r="712" spans="1:59" ht="58" x14ac:dyDescent="0.35">
      <c r="A712" s="2" t="s">
        <v>59</v>
      </c>
      <c r="B712" s="2" t="s">
        <v>60</v>
      </c>
      <c r="C712" s="2" t="s">
        <v>7438</v>
      </c>
      <c r="D712" s="2" t="s">
        <v>7439</v>
      </c>
      <c r="E712" s="2" t="s">
        <v>7440</v>
      </c>
      <c r="G712" s="3" t="s">
        <v>65</v>
      </c>
      <c r="I712" s="3" t="s">
        <v>65</v>
      </c>
      <c r="J712" s="3" t="s">
        <v>65</v>
      </c>
      <c r="K712" s="3" t="s">
        <v>66</v>
      </c>
      <c r="L712" s="2" t="s">
        <v>2735</v>
      </c>
      <c r="M712" s="2" t="s">
        <v>7441</v>
      </c>
      <c r="N712" s="3" t="s">
        <v>1967</v>
      </c>
      <c r="P712" s="3" t="s">
        <v>69</v>
      </c>
      <c r="Q712" s="2" t="s">
        <v>7442</v>
      </c>
      <c r="R712" s="3" t="s">
        <v>71</v>
      </c>
      <c r="S712" s="4">
        <v>15</v>
      </c>
      <c r="T712" s="4">
        <v>15</v>
      </c>
      <c r="U712" s="5" t="s">
        <v>7397</v>
      </c>
      <c r="V712" s="5" t="s">
        <v>7397</v>
      </c>
      <c r="W712" s="5" t="s">
        <v>72</v>
      </c>
      <c r="X712" s="5" t="s">
        <v>72</v>
      </c>
      <c r="Y712" s="4">
        <v>146</v>
      </c>
      <c r="Z712" s="4">
        <v>15</v>
      </c>
      <c r="AA712" s="4">
        <v>28</v>
      </c>
      <c r="AB712" s="4">
        <v>1</v>
      </c>
      <c r="AC712" s="4">
        <v>4</v>
      </c>
      <c r="AD712" s="4">
        <v>69</v>
      </c>
      <c r="AE712" s="4">
        <v>75</v>
      </c>
      <c r="AF712" s="4">
        <v>0</v>
      </c>
      <c r="AG712" s="4">
        <v>1</v>
      </c>
      <c r="AH712" s="4">
        <v>63</v>
      </c>
      <c r="AI712" s="4">
        <v>67</v>
      </c>
      <c r="AJ712" s="4">
        <v>11</v>
      </c>
      <c r="AK712" s="4">
        <v>12</v>
      </c>
      <c r="AL712" s="4">
        <v>37</v>
      </c>
      <c r="AM712" s="4">
        <v>38</v>
      </c>
      <c r="AN712" s="4">
        <v>0</v>
      </c>
      <c r="AO712" s="4">
        <v>0</v>
      </c>
      <c r="AP712" s="4">
        <v>12</v>
      </c>
      <c r="AQ712" s="4">
        <v>15</v>
      </c>
      <c r="AR712" s="3" t="s">
        <v>65</v>
      </c>
      <c r="AS712" s="3" t="s">
        <v>65</v>
      </c>
      <c r="AT712" s="3" t="s">
        <v>209</v>
      </c>
      <c r="AU712" s="6" t="str">
        <f>HYPERLINK("http://catalog.hathitrust.org/Record/004336215","HathiTrust Record")</f>
        <v>HathiTrust Record</v>
      </c>
      <c r="AV712" s="6" t="str">
        <f>HYPERLINK("http://mcgill.on.worldcat.org/oclc/50234960","Catalog Record")</f>
        <v>Catalog Record</v>
      </c>
      <c r="AW712" s="6" t="str">
        <f>HYPERLINK("http://www.worldcat.org/oclc/50234960","WorldCat Record")</f>
        <v>WorldCat Record</v>
      </c>
      <c r="AX712" s="3" t="s">
        <v>7443</v>
      </c>
      <c r="AY712" s="3" t="s">
        <v>7444</v>
      </c>
      <c r="AZ712" s="3" t="s">
        <v>7445</v>
      </c>
      <c r="BA712" s="3" t="s">
        <v>7445</v>
      </c>
      <c r="BB712" s="3" t="s">
        <v>7446</v>
      </c>
      <c r="BC712" s="3" t="s">
        <v>77</v>
      </c>
      <c r="BD712" s="3" t="s">
        <v>78</v>
      </c>
      <c r="BE712" s="3" t="s">
        <v>7447</v>
      </c>
      <c r="BF712" s="3" t="s">
        <v>7446</v>
      </c>
      <c r="BG712" s="3" t="s">
        <v>7448</v>
      </c>
    </row>
    <row r="713" spans="1:59" ht="72.5" x14ac:dyDescent="0.35">
      <c r="A713" s="2" t="s">
        <v>59</v>
      </c>
      <c r="B713" s="2" t="s">
        <v>60</v>
      </c>
      <c r="C713" s="2" t="s">
        <v>7449</v>
      </c>
      <c r="D713" s="2" t="s">
        <v>7450</v>
      </c>
      <c r="E713" s="2" t="s">
        <v>7451</v>
      </c>
      <c r="G713" s="3" t="s">
        <v>65</v>
      </c>
      <c r="I713" s="3" t="s">
        <v>209</v>
      </c>
      <c r="J713" s="3" t="s">
        <v>65</v>
      </c>
      <c r="K713" s="3" t="s">
        <v>66</v>
      </c>
      <c r="L713" s="2" t="s">
        <v>7037</v>
      </c>
      <c r="M713" s="2" t="s">
        <v>7452</v>
      </c>
      <c r="N713" s="3" t="s">
        <v>7453</v>
      </c>
      <c r="P713" s="3" t="s">
        <v>69</v>
      </c>
      <c r="Q713" s="2" t="s">
        <v>7454</v>
      </c>
      <c r="R713" s="3" t="s">
        <v>71</v>
      </c>
      <c r="S713" s="4">
        <v>19</v>
      </c>
      <c r="T713" s="4">
        <v>65</v>
      </c>
      <c r="U713" s="5" t="s">
        <v>7455</v>
      </c>
      <c r="V713" s="5" t="s">
        <v>7455</v>
      </c>
      <c r="W713" s="5" t="s">
        <v>72</v>
      </c>
      <c r="X713" s="5" t="s">
        <v>72</v>
      </c>
      <c r="Y713" s="4">
        <v>454</v>
      </c>
      <c r="Z713" s="4">
        <v>19</v>
      </c>
      <c r="AA713" s="4">
        <v>35</v>
      </c>
      <c r="AB713" s="4">
        <v>2</v>
      </c>
      <c r="AC713" s="4">
        <v>2</v>
      </c>
      <c r="AD713" s="4">
        <v>82</v>
      </c>
      <c r="AE713" s="4">
        <v>120</v>
      </c>
      <c r="AF713" s="4">
        <v>1</v>
      </c>
      <c r="AG713" s="4">
        <v>1</v>
      </c>
      <c r="AH713" s="4">
        <v>69</v>
      </c>
      <c r="AI713" s="4">
        <v>101</v>
      </c>
      <c r="AJ713" s="4">
        <v>12</v>
      </c>
      <c r="AK713" s="4">
        <v>17</v>
      </c>
      <c r="AL713" s="4">
        <v>42</v>
      </c>
      <c r="AM713" s="4">
        <v>58</v>
      </c>
      <c r="AN713" s="4">
        <v>0</v>
      </c>
      <c r="AO713" s="4">
        <v>0</v>
      </c>
      <c r="AP713" s="4">
        <v>16</v>
      </c>
      <c r="AQ713" s="4">
        <v>24</v>
      </c>
      <c r="AR713" s="3" t="s">
        <v>65</v>
      </c>
      <c r="AS713" s="3" t="s">
        <v>65</v>
      </c>
      <c r="AT713" s="3" t="s">
        <v>65</v>
      </c>
      <c r="AU713" s="6" t="str">
        <f>HYPERLINK("http://catalog.hathitrust.org/Record/001015718","HathiTrust Record")</f>
        <v>HathiTrust Record</v>
      </c>
      <c r="AV713" s="6" t="str">
        <f>HYPERLINK("http://mcgill.on.worldcat.org/oclc/326061","Catalog Record")</f>
        <v>Catalog Record</v>
      </c>
      <c r="AW713" s="6" t="str">
        <f>HYPERLINK("http://www.worldcat.org/oclc/326061","WorldCat Record")</f>
        <v>WorldCat Record</v>
      </c>
      <c r="AX713" s="3" t="s">
        <v>7456</v>
      </c>
      <c r="AY713" s="3" t="s">
        <v>7457</v>
      </c>
      <c r="AZ713" s="3" t="s">
        <v>7458</v>
      </c>
      <c r="BA713" s="3" t="s">
        <v>7458</v>
      </c>
      <c r="BB713" s="3" t="s">
        <v>7459</v>
      </c>
      <c r="BC713" s="3" t="s">
        <v>77</v>
      </c>
      <c r="BD713" s="3" t="s">
        <v>78</v>
      </c>
      <c r="BF713" s="3" t="s">
        <v>7459</v>
      </c>
      <c r="BG713" s="3" t="s">
        <v>7460</v>
      </c>
    </row>
    <row r="714" spans="1:59" ht="72.5" x14ac:dyDescent="0.35">
      <c r="A714" s="2" t="s">
        <v>59</v>
      </c>
      <c r="B714" s="2" t="s">
        <v>60</v>
      </c>
      <c r="C714" s="2" t="s">
        <v>7449</v>
      </c>
      <c r="D714" s="2" t="s">
        <v>7450</v>
      </c>
      <c r="E714" s="2" t="s">
        <v>7451</v>
      </c>
      <c r="G714" s="3" t="s">
        <v>65</v>
      </c>
      <c r="I714" s="3" t="s">
        <v>209</v>
      </c>
      <c r="J714" s="3" t="s">
        <v>65</v>
      </c>
      <c r="K714" s="3" t="s">
        <v>66</v>
      </c>
      <c r="L714" s="2" t="s">
        <v>7037</v>
      </c>
      <c r="M714" s="2" t="s">
        <v>7452</v>
      </c>
      <c r="N714" s="3" t="s">
        <v>7453</v>
      </c>
      <c r="P714" s="3" t="s">
        <v>69</v>
      </c>
      <c r="Q714" s="2" t="s">
        <v>7454</v>
      </c>
      <c r="R714" s="3" t="s">
        <v>71</v>
      </c>
      <c r="S714" s="4">
        <v>15</v>
      </c>
      <c r="T714" s="4">
        <v>65</v>
      </c>
      <c r="U714" s="5" t="s">
        <v>7461</v>
      </c>
      <c r="V714" s="5" t="s">
        <v>7455</v>
      </c>
      <c r="W714" s="5" t="s">
        <v>72</v>
      </c>
      <c r="X714" s="5" t="s">
        <v>72</v>
      </c>
      <c r="Y714" s="4">
        <v>454</v>
      </c>
      <c r="Z714" s="4">
        <v>19</v>
      </c>
      <c r="AA714" s="4">
        <v>35</v>
      </c>
      <c r="AB714" s="4">
        <v>2</v>
      </c>
      <c r="AC714" s="4">
        <v>2</v>
      </c>
      <c r="AD714" s="4">
        <v>82</v>
      </c>
      <c r="AE714" s="4">
        <v>120</v>
      </c>
      <c r="AF714" s="4">
        <v>1</v>
      </c>
      <c r="AG714" s="4">
        <v>1</v>
      </c>
      <c r="AH714" s="4">
        <v>69</v>
      </c>
      <c r="AI714" s="4">
        <v>101</v>
      </c>
      <c r="AJ714" s="4">
        <v>12</v>
      </c>
      <c r="AK714" s="4">
        <v>17</v>
      </c>
      <c r="AL714" s="4">
        <v>42</v>
      </c>
      <c r="AM714" s="4">
        <v>58</v>
      </c>
      <c r="AN714" s="4">
        <v>0</v>
      </c>
      <c r="AO714" s="4">
        <v>0</v>
      </c>
      <c r="AP714" s="4">
        <v>16</v>
      </c>
      <c r="AQ714" s="4">
        <v>24</v>
      </c>
      <c r="AR714" s="3" t="s">
        <v>65</v>
      </c>
      <c r="AS714" s="3" t="s">
        <v>65</v>
      </c>
      <c r="AT714" s="3" t="s">
        <v>65</v>
      </c>
      <c r="AU714" s="6" t="str">
        <f>HYPERLINK("http://catalog.hathitrust.org/Record/001015718","HathiTrust Record")</f>
        <v>HathiTrust Record</v>
      </c>
      <c r="AV714" s="6" t="str">
        <f>HYPERLINK("http://mcgill.on.worldcat.org/oclc/326061","Catalog Record")</f>
        <v>Catalog Record</v>
      </c>
      <c r="AW714" s="6" t="str">
        <f>HYPERLINK("http://www.worldcat.org/oclc/326061","WorldCat Record")</f>
        <v>WorldCat Record</v>
      </c>
      <c r="AX714" s="3" t="s">
        <v>7456</v>
      </c>
      <c r="AY714" s="3" t="s">
        <v>7457</v>
      </c>
      <c r="AZ714" s="3" t="s">
        <v>7458</v>
      </c>
      <c r="BA714" s="3" t="s">
        <v>7458</v>
      </c>
      <c r="BB714" s="3" t="s">
        <v>7462</v>
      </c>
      <c r="BC714" s="3" t="s">
        <v>77</v>
      </c>
      <c r="BD714" s="3" t="s">
        <v>78</v>
      </c>
      <c r="BF714" s="3" t="s">
        <v>7462</v>
      </c>
      <c r="BG714" s="3" t="s">
        <v>7463</v>
      </c>
    </row>
    <row r="715" spans="1:59" ht="72.5" x14ac:dyDescent="0.35">
      <c r="A715" s="2" t="s">
        <v>59</v>
      </c>
      <c r="B715" s="2" t="s">
        <v>60</v>
      </c>
      <c r="C715" s="2" t="s">
        <v>7449</v>
      </c>
      <c r="D715" s="2" t="s">
        <v>7450</v>
      </c>
      <c r="E715" s="2" t="s">
        <v>7451</v>
      </c>
      <c r="G715" s="3" t="s">
        <v>65</v>
      </c>
      <c r="I715" s="3" t="s">
        <v>209</v>
      </c>
      <c r="J715" s="3" t="s">
        <v>65</v>
      </c>
      <c r="K715" s="3" t="s">
        <v>66</v>
      </c>
      <c r="L715" s="2" t="s">
        <v>7037</v>
      </c>
      <c r="M715" s="2" t="s">
        <v>7452</v>
      </c>
      <c r="N715" s="3" t="s">
        <v>7453</v>
      </c>
      <c r="P715" s="3" t="s">
        <v>69</v>
      </c>
      <c r="Q715" s="2" t="s">
        <v>7454</v>
      </c>
      <c r="R715" s="3" t="s">
        <v>71</v>
      </c>
      <c r="S715" s="4">
        <v>31</v>
      </c>
      <c r="T715" s="4">
        <v>65</v>
      </c>
      <c r="U715" s="5" t="s">
        <v>7464</v>
      </c>
      <c r="V715" s="5" t="s">
        <v>7455</v>
      </c>
      <c r="W715" s="5" t="s">
        <v>72</v>
      </c>
      <c r="X715" s="5" t="s">
        <v>72</v>
      </c>
      <c r="Y715" s="4">
        <v>454</v>
      </c>
      <c r="Z715" s="4">
        <v>19</v>
      </c>
      <c r="AA715" s="4">
        <v>35</v>
      </c>
      <c r="AB715" s="4">
        <v>2</v>
      </c>
      <c r="AC715" s="4">
        <v>2</v>
      </c>
      <c r="AD715" s="4">
        <v>82</v>
      </c>
      <c r="AE715" s="4">
        <v>120</v>
      </c>
      <c r="AF715" s="4">
        <v>1</v>
      </c>
      <c r="AG715" s="4">
        <v>1</v>
      </c>
      <c r="AH715" s="4">
        <v>69</v>
      </c>
      <c r="AI715" s="4">
        <v>101</v>
      </c>
      <c r="AJ715" s="4">
        <v>12</v>
      </c>
      <c r="AK715" s="4">
        <v>17</v>
      </c>
      <c r="AL715" s="4">
        <v>42</v>
      </c>
      <c r="AM715" s="4">
        <v>58</v>
      </c>
      <c r="AN715" s="4">
        <v>0</v>
      </c>
      <c r="AO715" s="4">
        <v>0</v>
      </c>
      <c r="AP715" s="4">
        <v>16</v>
      </c>
      <c r="AQ715" s="4">
        <v>24</v>
      </c>
      <c r="AR715" s="3" t="s">
        <v>65</v>
      </c>
      <c r="AS715" s="3" t="s">
        <v>65</v>
      </c>
      <c r="AT715" s="3" t="s">
        <v>65</v>
      </c>
      <c r="AU715" s="6" t="str">
        <f>HYPERLINK("http://catalog.hathitrust.org/Record/001015718","HathiTrust Record")</f>
        <v>HathiTrust Record</v>
      </c>
      <c r="AV715" s="6" t="str">
        <f>HYPERLINK("http://mcgill.on.worldcat.org/oclc/326061","Catalog Record")</f>
        <v>Catalog Record</v>
      </c>
      <c r="AW715" s="6" t="str">
        <f>HYPERLINK("http://www.worldcat.org/oclc/326061","WorldCat Record")</f>
        <v>WorldCat Record</v>
      </c>
      <c r="AX715" s="3" t="s">
        <v>7456</v>
      </c>
      <c r="AY715" s="3" t="s">
        <v>7457</v>
      </c>
      <c r="AZ715" s="3" t="s">
        <v>7458</v>
      </c>
      <c r="BA715" s="3" t="s">
        <v>7458</v>
      </c>
      <c r="BB715" s="3" t="s">
        <v>7465</v>
      </c>
      <c r="BC715" s="3" t="s">
        <v>77</v>
      </c>
      <c r="BD715" s="3" t="s">
        <v>78</v>
      </c>
      <c r="BF715" s="3" t="s">
        <v>7465</v>
      </c>
      <c r="BG715" s="3" t="s">
        <v>7466</v>
      </c>
    </row>
    <row r="716" spans="1:59" ht="58" x14ac:dyDescent="0.35">
      <c r="A716" s="2" t="s">
        <v>59</v>
      </c>
      <c r="B716" s="2" t="s">
        <v>60</v>
      </c>
      <c r="C716" s="2" t="s">
        <v>7467</v>
      </c>
      <c r="D716" s="2" t="s">
        <v>7468</v>
      </c>
      <c r="E716" s="2" t="s">
        <v>7469</v>
      </c>
      <c r="F716" s="3" t="s">
        <v>7470</v>
      </c>
      <c r="G716" s="3" t="s">
        <v>209</v>
      </c>
      <c r="I716" s="3" t="s">
        <v>65</v>
      </c>
      <c r="J716" s="3" t="s">
        <v>65</v>
      </c>
      <c r="K716" s="3" t="s">
        <v>66</v>
      </c>
      <c r="L716" s="2" t="s">
        <v>7209</v>
      </c>
      <c r="M716" s="2" t="s">
        <v>7471</v>
      </c>
      <c r="N716" s="3" t="s">
        <v>126</v>
      </c>
      <c r="P716" s="3" t="s">
        <v>69</v>
      </c>
      <c r="Q716" s="2" t="s">
        <v>7472</v>
      </c>
      <c r="R716" s="3" t="s">
        <v>71</v>
      </c>
      <c r="S716" s="4">
        <v>3</v>
      </c>
      <c r="T716" s="4">
        <v>3</v>
      </c>
      <c r="U716" s="5" t="s">
        <v>7397</v>
      </c>
      <c r="V716" s="5" t="s">
        <v>7397</v>
      </c>
      <c r="W716" s="5" t="s">
        <v>72</v>
      </c>
      <c r="X716" s="5" t="s">
        <v>72</v>
      </c>
      <c r="Y716" s="4">
        <v>289</v>
      </c>
      <c r="Z716" s="4">
        <v>20</v>
      </c>
      <c r="AA716" s="4">
        <v>20</v>
      </c>
      <c r="AB716" s="4">
        <v>1</v>
      </c>
      <c r="AC716" s="4">
        <v>1</v>
      </c>
      <c r="AD716" s="4">
        <v>83</v>
      </c>
      <c r="AE716" s="4">
        <v>83</v>
      </c>
      <c r="AF716" s="4">
        <v>0</v>
      </c>
      <c r="AG716" s="4">
        <v>0</v>
      </c>
      <c r="AH716" s="4">
        <v>77</v>
      </c>
      <c r="AI716" s="4">
        <v>77</v>
      </c>
      <c r="AJ716" s="4">
        <v>13</v>
      </c>
      <c r="AK716" s="4">
        <v>13</v>
      </c>
      <c r="AL716" s="4">
        <v>46</v>
      </c>
      <c r="AM716" s="4">
        <v>46</v>
      </c>
      <c r="AN716" s="4">
        <v>0</v>
      </c>
      <c r="AO716" s="4">
        <v>0</v>
      </c>
      <c r="AP716" s="4">
        <v>13</v>
      </c>
      <c r="AQ716" s="4">
        <v>13</v>
      </c>
      <c r="AR716" s="3" t="s">
        <v>65</v>
      </c>
      <c r="AS716" s="3" t="s">
        <v>65</v>
      </c>
      <c r="AT716" s="3" t="s">
        <v>65</v>
      </c>
      <c r="AV716" s="6" t="str">
        <f>HYPERLINK("http://mcgill.on.worldcat.org/oclc/555660608","Catalog Record")</f>
        <v>Catalog Record</v>
      </c>
      <c r="AW716" s="6" t="str">
        <f>HYPERLINK("http://www.worldcat.org/oclc/555660608","WorldCat Record")</f>
        <v>WorldCat Record</v>
      </c>
      <c r="AX716" s="3" t="s">
        <v>7473</v>
      </c>
      <c r="AY716" s="3" t="s">
        <v>7474</v>
      </c>
      <c r="AZ716" s="3" t="s">
        <v>7475</v>
      </c>
      <c r="BA716" s="3" t="s">
        <v>7475</v>
      </c>
      <c r="BB716" s="3" t="s">
        <v>7476</v>
      </c>
      <c r="BC716" s="3" t="s">
        <v>77</v>
      </c>
      <c r="BD716" s="3" t="s">
        <v>78</v>
      </c>
      <c r="BE716" s="3" t="s">
        <v>7477</v>
      </c>
      <c r="BF716" s="3" t="s">
        <v>7476</v>
      </c>
      <c r="BG716" s="3" t="s">
        <v>7478</v>
      </c>
    </row>
    <row r="717" spans="1:59" ht="58" x14ac:dyDescent="0.35">
      <c r="A717" s="2" t="s">
        <v>59</v>
      </c>
      <c r="B717" s="2" t="s">
        <v>60</v>
      </c>
      <c r="C717" s="2" t="s">
        <v>7467</v>
      </c>
      <c r="D717" s="2" t="s">
        <v>7468</v>
      </c>
      <c r="E717" s="2" t="s">
        <v>7469</v>
      </c>
      <c r="F717" s="3" t="s">
        <v>258</v>
      </c>
      <c r="G717" s="3" t="s">
        <v>209</v>
      </c>
      <c r="I717" s="3" t="s">
        <v>65</v>
      </c>
      <c r="J717" s="3" t="s">
        <v>65</v>
      </c>
      <c r="K717" s="3" t="s">
        <v>66</v>
      </c>
      <c r="L717" s="2" t="s">
        <v>7209</v>
      </c>
      <c r="M717" s="2" t="s">
        <v>7471</v>
      </c>
      <c r="N717" s="3" t="s">
        <v>126</v>
      </c>
      <c r="P717" s="3" t="s">
        <v>69</v>
      </c>
      <c r="Q717" s="2" t="s">
        <v>7472</v>
      </c>
      <c r="R717" s="3" t="s">
        <v>71</v>
      </c>
      <c r="S717" s="4">
        <v>0</v>
      </c>
      <c r="T717" s="4">
        <v>3</v>
      </c>
      <c r="V717" s="5" t="s">
        <v>7397</v>
      </c>
      <c r="W717" s="5" t="s">
        <v>72</v>
      </c>
      <c r="X717" s="5" t="s">
        <v>72</v>
      </c>
      <c r="Y717" s="4">
        <v>289</v>
      </c>
      <c r="Z717" s="4">
        <v>20</v>
      </c>
      <c r="AA717" s="4">
        <v>20</v>
      </c>
      <c r="AB717" s="4">
        <v>1</v>
      </c>
      <c r="AC717" s="4">
        <v>1</v>
      </c>
      <c r="AD717" s="4">
        <v>83</v>
      </c>
      <c r="AE717" s="4">
        <v>83</v>
      </c>
      <c r="AF717" s="4">
        <v>0</v>
      </c>
      <c r="AG717" s="4">
        <v>0</v>
      </c>
      <c r="AH717" s="4">
        <v>77</v>
      </c>
      <c r="AI717" s="4">
        <v>77</v>
      </c>
      <c r="AJ717" s="4">
        <v>13</v>
      </c>
      <c r="AK717" s="4">
        <v>13</v>
      </c>
      <c r="AL717" s="4">
        <v>46</v>
      </c>
      <c r="AM717" s="4">
        <v>46</v>
      </c>
      <c r="AN717" s="4">
        <v>0</v>
      </c>
      <c r="AO717" s="4">
        <v>0</v>
      </c>
      <c r="AP717" s="4">
        <v>13</v>
      </c>
      <c r="AQ717" s="4">
        <v>13</v>
      </c>
      <c r="AR717" s="3" t="s">
        <v>65</v>
      </c>
      <c r="AS717" s="3" t="s">
        <v>65</v>
      </c>
      <c r="AT717" s="3" t="s">
        <v>65</v>
      </c>
      <c r="AV717" s="6" t="str">
        <f>HYPERLINK("http://mcgill.on.worldcat.org/oclc/555660608","Catalog Record")</f>
        <v>Catalog Record</v>
      </c>
      <c r="AW717" s="6" t="str">
        <f>HYPERLINK("http://www.worldcat.org/oclc/555660608","WorldCat Record")</f>
        <v>WorldCat Record</v>
      </c>
      <c r="AX717" s="3" t="s">
        <v>7473</v>
      </c>
      <c r="AY717" s="3" t="s">
        <v>7474</v>
      </c>
      <c r="AZ717" s="3" t="s">
        <v>7475</v>
      </c>
      <c r="BA717" s="3" t="s">
        <v>7475</v>
      </c>
      <c r="BB717" s="3" t="s">
        <v>7479</v>
      </c>
      <c r="BC717" s="3" t="s">
        <v>77</v>
      </c>
      <c r="BD717" s="3" t="s">
        <v>78</v>
      </c>
      <c r="BE717" s="3" t="s">
        <v>7477</v>
      </c>
      <c r="BF717" s="3" t="s">
        <v>7479</v>
      </c>
      <c r="BG717" s="3" t="s">
        <v>7480</v>
      </c>
    </row>
    <row r="718" spans="1:59" ht="58" x14ac:dyDescent="0.35">
      <c r="A718" s="2" t="s">
        <v>59</v>
      </c>
      <c r="B718" s="2" t="s">
        <v>60</v>
      </c>
      <c r="C718" s="2" t="s">
        <v>7481</v>
      </c>
      <c r="D718" s="2" t="s">
        <v>7482</v>
      </c>
      <c r="E718" s="2" t="s">
        <v>7483</v>
      </c>
      <c r="G718" s="3" t="s">
        <v>65</v>
      </c>
      <c r="I718" s="3" t="s">
        <v>65</v>
      </c>
      <c r="J718" s="3" t="s">
        <v>65</v>
      </c>
      <c r="K718" s="3" t="s">
        <v>66</v>
      </c>
      <c r="M718" s="2" t="s">
        <v>7484</v>
      </c>
      <c r="N718" s="3" t="s">
        <v>68</v>
      </c>
      <c r="P718" s="3" t="s">
        <v>616</v>
      </c>
      <c r="Q718" s="2" t="s">
        <v>7485</v>
      </c>
      <c r="R718" s="3" t="s">
        <v>71</v>
      </c>
      <c r="S718" s="4">
        <v>0</v>
      </c>
      <c r="T718" s="4">
        <v>0</v>
      </c>
      <c r="W718" s="5" t="s">
        <v>72</v>
      </c>
      <c r="X718" s="5" t="s">
        <v>72</v>
      </c>
      <c r="Y718" s="4">
        <v>25</v>
      </c>
      <c r="Z718" s="4">
        <v>2</v>
      </c>
      <c r="AA718" s="4">
        <v>2</v>
      </c>
      <c r="AB718" s="4">
        <v>1</v>
      </c>
      <c r="AC718" s="4">
        <v>1</v>
      </c>
      <c r="AD718" s="4">
        <v>16</v>
      </c>
      <c r="AE718" s="4">
        <v>16</v>
      </c>
      <c r="AF718" s="4">
        <v>0</v>
      </c>
      <c r="AG718" s="4">
        <v>0</v>
      </c>
      <c r="AH718" s="4">
        <v>15</v>
      </c>
      <c r="AI718" s="4">
        <v>15</v>
      </c>
      <c r="AJ718" s="4">
        <v>1</v>
      </c>
      <c r="AK718" s="4">
        <v>1</v>
      </c>
      <c r="AL718" s="4">
        <v>14</v>
      </c>
      <c r="AM718" s="4">
        <v>14</v>
      </c>
      <c r="AN718" s="4">
        <v>0</v>
      </c>
      <c r="AO718" s="4">
        <v>0</v>
      </c>
      <c r="AP718" s="4">
        <v>1</v>
      </c>
      <c r="AQ718" s="4">
        <v>1</v>
      </c>
      <c r="AR718" s="3" t="s">
        <v>65</v>
      </c>
      <c r="AS718" s="3" t="s">
        <v>65</v>
      </c>
      <c r="AT718" s="3" t="s">
        <v>65</v>
      </c>
      <c r="AV718" s="6" t="str">
        <f>HYPERLINK("http://mcgill.on.worldcat.org/oclc/989824132","Catalog Record")</f>
        <v>Catalog Record</v>
      </c>
      <c r="AW718" s="6" t="str">
        <f>HYPERLINK("http://www.worldcat.org/oclc/989824132","WorldCat Record")</f>
        <v>WorldCat Record</v>
      </c>
      <c r="AX718" s="3" t="s">
        <v>7486</v>
      </c>
      <c r="AY718" s="3" t="s">
        <v>7487</v>
      </c>
      <c r="AZ718" s="3" t="s">
        <v>7488</v>
      </c>
      <c r="BA718" s="3" t="s">
        <v>7488</v>
      </c>
      <c r="BB718" s="3" t="s">
        <v>7489</v>
      </c>
      <c r="BC718" s="3" t="s">
        <v>77</v>
      </c>
      <c r="BD718" s="3" t="s">
        <v>78</v>
      </c>
      <c r="BE718" s="3" t="s">
        <v>7490</v>
      </c>
      <c r="BF718" s="3" t="s">
        <v>7489</v>
      </c>
      <c r="BG718" s="3" t="s">
        <v>7491</v>
      </c>
    </row>
    <row r="719" spans="1:59" ht="58" x14ac:dyDescent="0.35">
      <c r="A719" s="2" t="s">
        <v>59</v>
      </c>
      <c r="B719" s="2" t="s">
        <v>60</v>
      </c>
      <c r="C719" s="2" t="s">
        <v>7492</v>
      </c>
      <c r="D719" s="2" t="s">
        <v>7493</v>
      </c>
      <c r="E719" s="2" t="s">
        <v>7494</v>
      </c>
      <c r="G719" s="3" t="s">
        <v>65</v>
      </c>
      <c r="I719" s="3" t="s">
        <v>65</v>
      </c>
      <c r="J719" s="3" t="s">
        <v>65</v>
      </c>
      <c r="K719" s="3" t="s">
        <v>66</v>
      </c>
      <c r="L719" s="2" t="s">
        <v>7495</v>
      </c>
      <c r="M719" s="2" t="s">
        <v>7496</v>
      </c>
      <c r="N719" s="3" t="s">
        <v>1151</v>
      </c>
      <c r="P719" s="3" t="s">
        <v>69</v>
      </c>
      <c r="R719" s="3" t="s">
        <v>71</v>
      </c>
      <c r="S719" s="4">
        <v>26</v>
      </c>
      <c r="T719" s="4">
        <v>26</v>
      </c>
      <c r="U719" s="5" t="s">
        <v>7497</v>
      </c>
      <c r="V719" s="5" t="s">
        <v>7497</v>
      </c>
      <c r="W719" s="5" t="s">
        <v>72</v>
      </c>
      <c r="X719" s="5" t="s">
        <v>72</v>
      </c>
      <c r="Y719" s="4">
        <v>707</v>
      </c>
      <c r="Z719" s="4">
        <v>36</v>
      </c>
      <c r="AA719" s="4">
        <v>38</v>
      </c>
      <c r="AB719" s="4">
        <v>2</v>
      </c>
      <c r="AC719" s="4">
        <v>3</v>
      </c>
      <c r="AD719" s="4">
        <v>123</v>
      </c>
      <c r="AE719" s="4">
        <v>125</v>
      </c>
      <c r="AF719" s="4">
        <v>1</v>
      </c>
      <c r="AG719" s="4">
        <v>2</v>
      </c>
      <c r="AH719" s="4">
        <v>104</v>
      </c>
      <c r="AI719" s="4">
        <v>104</v>
      </c>
      <c r="AJ719" s="4">
        <v>18</v>
      </c>
      <c r="AK719" s="4">
        <v>20</v>
      </c>
      <c r="AL719" s="4">
        <v>57</v>
      </c>
      <c r="AM719" s="4">
        <v>57</v>
      </c>
      <c r="AN719" s="4">
        <v>0</v>
      </c>
      <c r="AO719" s="4">
        <v>0</v>
      </c>
      <c r="AP719" s="4">
        <v>26</v>
      </c>
      <c r="AQ719" s="4">
        <v>27</v>
      </c>
      <c r="AR719" s="3" t="s">
        <v>65</v>
      </c>
      <c r="AS719" s="3" t="s">
        <v>65</v>
      </c>
      <c r="AT719" s="3" t="s">
        <v>65</v>
      </c>
      <c r="AV719" s="6" t="str">
        <f>HYPERLINK("http://mcgill.on.worldcat.org/oclc/2188347","Catalog Record")</f>
        <v>Catalog Record</v>
      </c>
      <c r="AW719" s="6" t="str">
        <f>HYPERLINK("http://www.worldcat.org/oclc/2188347","WorldCat Record")</f>
        <v>WorldCat Record</v>
      </c>
      <c r="AX719" s="3" t="s">
        <v>7498</v>
      </c>
      <c r="AY719" s="3" t="s">
        <v>7499</v>
      </c>
      <c r="AZ719" s="3" t="s">
        <v>7500</v>
      </c>
      <c r="BA719" s="3" t="s">
        <v>7500</v>
      </c>
      <c r="BB719" s="3" t="s">
        <v>7501</v>
      </c>
      <c r="BC719" s="3" t="s">
        <v>77</v>
      </c>
      <c r="BD719" s="3" t="s">
        <v>78</v>
      </c>
      <c r="BE719" s="3" t="s">
        <v>7502</v>
      </c>
      <c r="BF719" s="3" t="s">
        <v>7501</v>
      </c>
      <c r="BG719" s="3" t="s">
        <v>7503</v>
      </c>
    </row>
    <row r="720" spans="1:59" ht="58" x14ac:dyDescent="0.35">
      <c r="A720" s="2" t="s">
        <v>59</v>
      </c>
      <c r="B720" s="2" t="s">
        <v>60</v>
      </c>
      <c r="C720" s="2" t="s">
        <v>7504</v>
      </c>
      <c r="D720" s="2" t="s">
        <v>7505</v>
      </c>
      <c r="E720" s="2" t="s">
        <v>7506</v>
      </c>
      <c r="G720" s="3" t="s">
        <v>65</v>
      </c>
      <c r="I720" s="3" t="s">
        <v>65</v>
      </c>
      <c r="J720" s="3" t="s">
        <v>65</v>
      </c>
      <c r="K720" s="3" t="s">
        <v>66</v>
      </c>
      <c r="L720" s="2" t="s">
        <v>7507</v>
      </c>
      <c r="M720" s="2" t="s">
        <v>7508</v>
      </c>
      <c r="N720" s="3" t="s">
        <v>7509</v>
      </c>
      <c r="P720" s="3" t="s">
        <v>69</v>
      </c>
      <c r="R720" s="3" t="s">
        <v>71</v>
      </c>
      <c r="S720" s="4">
        <v>11</v>
      </c>
      <c r="T720" s="4">
        <v>11</v>
      </c>
      <c r="U720" s="5" t="s">
        <v>7211</v>
      </c>
      <c r="V720" s="5" t="s">
        <v>7211</v>
      </c>
      <c r="W720" s="5" t="s">
        <v>72</v>
      </c>
      <c r="X720" s="5" t="s">
        <v>72</v>
      </c>
      <c r="Y720" s="4">
        <v>291</v>
      </c>
      <c r="Z720" s="4">
        <v>12</v>
      </c>
      <c r="AA720" s="4">
        <v>17</v>
      </c>
      <c r="AB720" s="4">
        <v>1</v>
      </c>
      <c r="AC720" s="4">
        <v>1</v>
      </c>
      <c r="AD720" s="4">
        <v>83</v>
      </c>
      <c r="AE720" s="4">
        <v>88</v>
      </c>
      <c r="AF720" s="4">
        <v>0</v>
      </c>
      <c r="AG720" s="4">
        <v>0</v>
      </c>
      <c r="AH720" s="4">
        <v>76</v>
      </c>
      <c r="AI720" s="4">
        <v>79</v>
      </c>
      <c r="AJ720" s="4">
        <v>6</v>
      </c>
      <c r="AK720" s="4">
        <v>7</v>
      </c>
      <c r="AL720" s="4">
        <v>49</v>
      </c>
      <c r="AM720" s="4">
        <v>50</v>
      </c>
      <c r="AN720" s="4">
        <v>0</v>
      </c>
      <c r="AO720" s="4">
        <v>0</v>
      </c>
      <c r="AP720" s="4">
        <v>6</v>
      </c>
      <c r="AQ720" s="4">
        <v>9</v>
      </c>
      <c r="AR720" s="3" t="s">
        <v>65</v>
      </c>
      <c r="AS720" s="3" t="s">
        <v>65</v>
      </c>
      <c r="AT720" s="3" t="s">
        <v>65</v>
      </c>
      <c r="AU720" s="6" t="str">
        <f>HYPERLINK("http://catalog.hathitrust.org/Record/000352205","HathiTrust Record")</f>
        <v>HathiTrust Record</v>
      </c>
      <c r="AV720" s="6" t="str">
        <f>HYPERLINK("http://mcgill.on.worldcat.org/oclc/2664617","Catalog Record")</f>
        <v>Catalog Record</v>
      </c>
      <c r="AW720" s="6" t="str">
        <f>HYPERLINK("http://www.worldcat.org/oclc/2664617","WorldCat Record")</f>
        <v>WorldCat Record</v>
      </c>
      <c r="AX720" s="3" t="s">
        <v>7510</v>
      </c>
      <c r="AY720" s="3" t="s">
        <v>7511</v>
      </c>
      <c r="AZ720" s="3" t="s">
        <v>7512</v>
      </c>
      <c r="BA720" s="3" t="s">
        <v>7512</v>
      </c>
      <c r="BB720" s="3" t="s">
        <v>7513</v>
      </c>
      <c r="BC720" s="3" t="s">
        <v>77</v>
      </c>
      <c r="BD720" s="3" t="s">
        <v>78</v>
      </c>
      <c r="BF720" s="3" t="s">
        <v>7513</v>
      </c>
      <c r="BG720" s="3" t="s">
        <v>7514</v>
      </c>
    </row>
    <row r="721" spans="1:59" ht="58" x14ac:dyDescent="0.35">
      <c r="A721" s="2" t="s">
        <v>59</v>
      </c>
      <c r="B721" s="2" t="s">
        <v>60</v>
      </c>
      <c r="C721" s="2" t="s">
        <v>7515</v>
      </c>
      <c r="D721" s="2" t="s">
        <v>7516</v>
      </c>
      <c r="E721" s="2" t="s">
        <v>7517</v>
      </c>
      <c r="G721" s="3" t="s">
        <v>65</v>
      </c>
      <c r="I721" s="3" t="s">
        <v>65</v>
      </c>
      <c r="J721" s="3" t="s">
        <v>65</v>
      </c>
      <c r="K721" s="3" t="s">
        <v>66</v>
      </c>
      <c r="L721" s="2" t="s">
        <v>7518</v>
      </c>
      <c r="M721" s="2" t="s">
        <v>7519</v>
      </c>
      <c r="N721" s="3" t="s">
        <v>139</v>
      </c>
      <c r="P721" s="3" t="s">
        <v>140</v>
      </c>
      <c r="Q721" s="2" t="s">
        <v>7520</v>
      </c>
      <c r="R721" s="3" t="s">
        <v>71</v>
      </c>
      <c r="S721" s="4">
        <v>0</v>
      </c>
      <c r="T721" s="4">
        <v>0</v>
      </c>
      <c r="W721" s="5" t="s">
        <v>72</v>
      </c>
      <c r="X721" s="5" t="s">
        <v>72</v>
      </c>
      <c r="Y721" s="4">
        <v>52</v>
      </c>
      <c r="Z721" s="4">
        <v>3</v>
      </c>
      <c r="AA721" s="4">
        <v>5</v>
      </c>
      <c r="AB721" s="4">
        <v>1</v>
      </c>
      <c r="AC721" s="4">
        <v>1</v>
      </c>
      <c r="AD721" s="4">
        <v>25</v>
      </c>
      <c r="AE721" s="4">
        <v>41</v>
      </c>
      <c r="AF721" s="4">
        <v>0</v>
      </c>
      <c r="AG721" s="4">
        <v>0</v>
      </c>
      <c r="AH721" s="4">
        <v>24</v>
      </c>
      <c r="AI721" s="4">
        <v>39</v>
      </c>
      <c r="AJ721" s="4">
        <v>2</v>
      </c>
      <c r="AK721" s="4">
        <v>3</v>
      </c>
      <c r="AL721" s="4">
        <v>15</v>
      </c>
      <c r="AM721" s="4">
        <v>29</v>
      </c>
      <c r="AN721" s="4">
        <v>0</v>
      </c>
      <c r="AO721" s="4">
        <v>0</v>
      </c>
      <c r="AP721" s="4">
        <v>2</v>
      </c>
      <c r="AQ721" s="4">
        <v>3</v>
      </c>
      <c r="AR721" s="3" t="s">
        <v>65</v>
      </c>
      <c r="AS721" s="3" t="s">
        <v>65</v>
      </c>
      <c r="AT721" s="3" t="s">
        <v>65</v>
      </c>
      <c r="AV721" s="6" t="str">
        <f>HYPERLINK("http://mcgill.on.worldcat.org/oclc/795156395","Catalog Record")</f>
        <v>Catalog Record</v>
      </c>
      <c r="AW721" s="6" t="str">
        <f>HYPERLINK("http://www.worldcat.org/oclc/795156395","WorldCat Record")</f>
        <v>WorldCat Record</v>
      </c>
      <c r="AX721" s="3" t="s">
        <v>7521</v>
      </c>
      <c r="AY721" s="3" t="s">
        <v>7522</v>
      </c>
      <c r="AZ721" s="3" t="s">
        <v>7523</v>
      </c>
      <c r="BA721" s="3" t="s">
        <v>7523</v>
      </c>
      <c r="BB721" s="3" t="s">
        <v>7524</v>
      </c>
      <c r="BC721" s="3" t="s">
        <v>77</v>
      </c>
      <c r="BD721" s="3" t="s">
        <v>78</v>
      </c>
      <c r="BE721" s="3" t="s">
        <v>7525</v>
      </c>
      <c r="BF721" s="3" t="s">
        <v>7524</v>
      </c>
      <c r="BG721" s="3" t="s">
        <v>7526</v>
      </c>
    </row>
    <row r="722" spans="1:59" ht="58" x14ac:dyDescent="0.35">
      <c r="A722" s="2" t="s">
        <v>59</v>
      </c>
      <c r="B722" s="2" t="s">
        <v>60</v>
      </c>
      <c r="C722" s="2" t="s">
        <v>7527</v>
      </c>
      <c r="D722" s="2" t="s">
        <v>7528</v>
      </c>
      <c r="E722" s="2" t="s">
        <v>7529</v>
      </c>
      <c r="G722" s="3" t="s">
        <v>65</v>
      </c>
      <c r="I722" s="3" t="s">
        <v>65</v>
      </c>
      <c r="J722" s="3" t="s">
        <v>65</v>
      </c>
      <c r="K722" s="3" t="s">
        <v>66</v>
      </c>
      <c r="L722" s="2" t="s">
        <v>7530</v>
      </c>
      <c r="M722" s="2" t="s">
        <v>7531</v>
      </c>
      <c r="N722" s="3" t="s">
        <v>2750</v>
      </c>
      <c r="P722" s="3" t="s">
        <v>7374</v>
      </c>
      <c r="Q722" s="2" t="s">
        <v>7532</v>
      </c>
      <c r="R722" s="3" t="s">
        <v>71</v>
      </c>
      <c r="S722" s="4">
        <v>1</v>
      </c>
      <c r="T722" s="4">
        <v>1</v>
      </c>
      <c r="U722" s="5" t="s">
        <v>7211</v>
      </c>
      <c r="V722" s="5" t="s">
        <v>7211</v>
      </c>
      <c r="W722" s="5" t="s">
        <v>72</v>
      </c>
      <c r="X722" s="5" t="s">
        <v>72</v>
      </c>
      <c r="Y722" s="4">
        <v>49</v>
      </c>
      <c r="Z722" s="4">
        <v>6</v>
      </c>
      <c r="AA722" s="4">
        <v>6</v>
      </c>
      <c r="AB722" s="4">
        <v>1</v>
      </c>
      <c r="AC722" s="4">
        <v>1</v>
      </c>
      <c r="AD722" s="4">
        <v>29</v>
      </c>
      <c r="AE722" s="4">
        <v>29</v>
      </c>
      <c r="AF722" s="4">
        <v>0</v>
      </c>
      <c r="AG722" s="4">
        <v>0</v>
      </c>
      <c r="AH722" s="4">
        <v>29</v>
      </c>
      <c r="AI722" s="4">
        <v>29</v>
      </c>
      <c r="AJ722" s="4">
        <v>4</v>
      </c>
      <c r="AK722" s="4">
        <v>4</v>
      </c>
      <c r="AL722" s="4">
        <v>16</v>
      </c>
      <c r="AM722" s="4">
        <v>16</v>
      </c>
      <c r="AN722" s="4">
        <v>0</v>
      </c>
      <c r="AO722" s="4">
        <v>0</v>
      </c>
      <c r="AP722" s="4">
        <v>4</v>
      </c>
      <c r="AQ722" s="4">
        <v>4</v>
      </c>
      <c r="AR722" s="3" t="s">
        <v>65</v>
      </c>
      <c r="AS722" s="3" t="s">
        <v>65</v>
      </c>
      <c r="AT722" s="3" t="s">
        <v>209</v>
      </c>
      <c r="AU722" s="6" t="str">
        <f>HYPERLINK("http://catalog.hathitrust.org/Record/000212067","HathiTrust Record")</f>
        <v>HathiTrust Record</v>
      </c>
      <c r="AV722" s="6" t="str">
        <f>HYPERLINK("http://mcgill.on.worldcat.org/oclc/2856633","Catalog Record")</f>
        <v>Catalog Record</v>
      </c>
      <c r="AW722" s="6" t="str">
        <f>HYPERLINK("http://www.worldcat.org/oclc/2856633","WorldCat Record")</f>
        <v>WorldCat Record</v>
      </c>
      <c r="AX722" s="3" t="s">
        <v>7533</v>
      </c>
      <c r="AY722" s="3" t="s">
        <v>7534</v>
      </c>
      <c r="AZ722" s="3" t="s">
        <v>7535</v>
      </c>
      <c r="BA722" s="3" t="s">
        <v>7535</v>
      </c>
      <c r="BB722" s="3" t="s">
        <v>7536</v>
      </c>
      <c r="BC722" s="3" t="s">
        <v>77</v>
      </c>
      <c r="BD722" s="3" t="s">
        <v>78</v>
      </c>
      <c r="BE722" s="3" t="s">
        <v>7537</v>
      </c>
      <c r="BF722" s="3" t="s">
        <v>7536</v>
      </c>
      <c r="BG722" s="3" t="s">
        <v>7538</v>
      </c>
    </row>
    <row r="723" spans="1:59" ht="58" x14ac:dyDescent="0.35">
      <c r="A723" s="2" t="s">
        <v>59</v>
      </c>
      <c r="B723" s="2" t="s">
        <v>60</v>
      </c>
      <c r="C723" s="2" t="s">
        <v>7539</v>
      </c>
      <c r="D723" s="2" t="s">
        <v>7540</v>
      </c>
      <c r="E723" s="2" t="s">
        <v>7541</v>
      </c>
      <c r="G723" s="3" t="s">
        <v>65</v>
      </c>
      <c r="I723" s="3" t="s">
        <v>65</v>
      </c>
      <c r="J723" s="3" t="s">
        <v>65</v>
      </c>
      <c r="K723" s="3" t="s">
        <v>66</v>
      </c>
      <c r="L723" s="2" t="s">
        <v>7542</v>
      </c>
      <c r="M723" s="2" t="s">
        <v>7543</v>
      </c>
      <c r="N723" s="3" t="s">
        <v>176</v>
      </c>
      <c r="P723" s="3" t="s">
        <v>140</v>
      </c>
      <c r="Q723" s="2" t="s">
        <v>7544</v>
      </c>
      <c r="R723" s="3" t="s">
        <v>71</v>
      </c>
      <c r="S723" s="4">
        <v>0</v>
      </c>
      <c r="T723" s="4">
        <v>0</v>
      </c>
      <c r="W723" s="5" t="s">
        <v>72</v>
      </c>
      <c r="X723" s="5" t="s">
        <v>72</v>
      </c>
      <c r="Y723" s="4">
        <v>45</v>
      </c>
      <c r="Z723" s="4">
        <v>3</v>
      </c>
      <c r="AA723" s="4">
        <v>3</v>
      </c>
      <c r="AB723" s="4">
        <v>1</v>
      </c>
      <c r="AC723" s="4">
        <v>1</v>
      </c>
      <c r="AD723" s="4">
        <v>30</v>
      </c>
      <c r="AE723" s="4">
        <v>30</v>
      </c>
      <c r="AF723" s="4">
        <v>0</v>
      </c>
      <c r="AG723" s="4">
        <v>0</v>
      </c>
      <c r="AH723" s="4">
        <v>29</v>
      </c>
      <c r="AI723" s="4">
        <v>29</v>
      </c>
      <c r="AJ723" s="4">
        <v>1</v>
      </c>
      <c r="AK723" s="4">
        <v>1</v>
      </c>
      <c r="AL723" s="4">
        <v>22</v>
      </c>
      <c r="AM723" s="4">
        <v>22</v>
      </c>
      <c r="AN723" s="4">
        <v>0</v>
      </c>
      <c r="AO723" s="4">
        <v>0</v>
      </c>
      <c r="AP723" s="4">
        <v>1</v>
      </c>
      <c r="AQ723" s="4">
        <v>1</v>
      </c>
      <c r="AR723" s="3" t="s">
        <v>65</v>
      </c>
      <c r="AS723" s="3" t="s">
        <v>65</v>
      </c>
      <c r="AT723" s="3" t="s">
        <v>65</v>
      </c>
      <c r="AV723" s="6" t="str">
        <f>HYPERLINK("http://mcgill.on.worldcat.org/oclc/913218086","Catalog Record")</f>
        <v>Catalog Record</v>
      </c>
      <c r="AW723" s="6" t="str">
        <f>HYPERLINK("http://www.worldcat.org/oclc/913218086","WorldCat Record")</f>
        <v>WorldCat Record</v>
      </c>
      <c r="AX723" s="3" t="s">
        <v>7545</v>
      </c>
      <c r="AY723" s="3" t="s">
        <v>7546</v>
      </c>
      <c r="AZ723" s="3" t="s">
        <v>7547</v>
      </c>
      <c r="BA723" s="3" t="s">
        <v>7547</v>
      </c>
      <c r="BB723" s="3" t="s">
        <v>7548</v>
      </c>
      <c r="BC723" s="3" t="s">
        <v>77</v>
      </c>
      <c r="BD723" s="3" t="s">
        <v>78</v>
      </c>
      <c r="BE723" s="3" t="s">
        <v>7549</v>
      </c>
      <c r="BF723" s="3" t="s">
        <v>7548</v>
      </c>
      <c r="BG723" s="3" t="s">
        <v>7550</v>
      </c>
    </row>
    <row r="724" spans="1:59" ht="87" x14ac:dyDescent="0.35">
      <c r="A724" s="2" t="s">
        <v>59</v>
      </c>
      <c r="B724" s="2" t="s">
        <v>60</v>
      </c>
      <c r="C724" s="2" t="s">
        <v>7551</v>
      </c>
      <c r="D724" s="2" t="s">
        <v>7552</v>
      </c>
      <c r="E724" s="2" t="s">
        <v>7553</v>
      </c>
      <c r="G724" s="3" t="s">
        <v>65</v>
      </c>
      <c r="I724" s="3" t="s">
        <v>65</v>
      </c>
      <c r="J724" s="3" t="s">
        <v>65</v>
      </c>
      <c r="K724" s="3" t="s">
        <v>66</v>
      </c>
      <c r="L724" s="2" t="s">
        <v>7554</v>
      </c>
      <c r="M724" s="2" t="s">
        <v>1322</v>
      </c>
      <c r="N724" s="3" t="s">
        <v>164</v>
      </c>
      <c r="P724" s="3" t="s">
        <v>140</v>
      </c>
      <c r="Q724" s="2" t="s">
        <v>7555</v>
      </c>
      <c r="R724" s="3" t="s">
        <v>71</v>
      </c>
      <c r="S724" s="4">
        <v>1</v>
      </c>
      <c r="T724" s="4">
        <v>1</v>
      </c>
      <c r="U724" s="5" t="s">
        <v>7556</v>
      </c>
      <c r="V724" s="5" t="s">
        <v>7556</v>
      </c>
      <c r="W724" s="5" t="s">
        <v>72</v>
      </c>
      <c r="X724" s="5" t="s">
        <v>72</v>
      </c>
      <c r="Y724" s="4">
        <v>53</v>
      </c>
      <c r="Z724" s="4">
        <v>4</v>
      </c>
      <c r="AA724" s="4">
        <v>4</v>
      </c>
      <c r="AB724" s="4">
        <v>1</v>
      </c>
      <c r="AC724" s="4">
        <v>1</v>
      </c>
      <c r="AD724" s="4">
        <v>34</v>
      </c>
      <c r="AE724" s="4">
        <v>34</v>
      </c>
      <c r="AF724" s="4">
        <v>0</v>
      </c>
      <c r="AG724" s="4">
        <v>0</v>
      </c>
      <c r="AH724" s="4">
        <v>32</v>
      </c>
      <c r="AI724" s="4">
        <v>32</v>
      </c>
      <c r="AJ724" s="4">
        <v>2</v>
      </c>
      <c r="AK724" s="4">
        <v>2</v>
      </c>
      <c r="AL724" s="4">
        <v>26</v>
      </c>
      <c r="AM724" s="4">
        <v>26</v>
      </c>
      <c r="AN724" s="4">
        <v>0</v>
      </c>
      <c r="AO724" s="4">
        <v>0</v>
      </c>
      <c r="AP724" s="4">
        <v>2</v>
      </c>
      <c r="AQ724" s="4">
        <v>2</v>
      </c>
      <c r="AR724" s="3" t="s">
        <v>65</v>
      </c>
      <c r="AS724" s="3" t="s">
        <v>65</v>
      </c>
      <c r="AT724" s="3" t="s">
        <v>65</v>
      </c>
      <c r="AV724" s="6" t="str">
        <f>HYPERLINK("http://mcgill.on.worldcat.org/oclc/910085376","Catalog Record")</f>
        <v>Catalog Record</v>
      </c>
      <c r="AW724" s="6" t="str">
        <f>HYPERLINK("http://www.worldcat.org/oclc/910085376","WorldCat Record")</f>
        <v>WorldCat Record</v>
      </c>
      <c r="AX724" s="3" t="s">
        <v>7557</v>
      </c>
      <c r="AY724" s="3" t="s">
        <v>7558</v>
      </c>
      <c r="AZ724" s="3" t="s">
        <v>7559</v>
      </c>
      <c r="BA724" s="3" t="s">
        <v>7559</v>
      </c>
      <c r="BB724" s="3" t="s">
        <v>7560</v>
      </c>
      <c r="BC724" s="3" t="s">
        <v>77</v>
      </c>
      <c r="BD724" s="3" t="s">
        <v>78</v>
      </c>
      <c r="BE724" s="3" t="s">
        <v>7561</v>
      </c>
      <c r="BF724" s="3" t="s">
        <v>7560</v>
      </c>
      <c r="BG724" s="3" t="s">
        <v>7562</v>
      </c>
    </row>
    <row r="725" spans="1:59" ht="58" x14ac:dyDescent="0.35">
      <c r="A725" s="2" t="s">
        <v>59</v>
      </c>
      <c r="B725" s="2" t="s">
        <v>60</v>
      </c>
      <c r="C725" s="2" t="s">
        <v>7563</v>
      </c>
      <c r="D725" s="2" t="s">
        <v>7564</v>
      </c>
      <c r="E725" s="2" t="s">
        <v>7565</v>
      </c>
      <c r="G725" s="3" t="s">
        <v>65</v>
      </c>
      <c r="I725" s="3" t="s">
        <v>65</v>
      </c>
      <c r="J725" s="3" t="s">
        <v>65</v>
      </c>
      <c r="K725" s="3" t="s">
        <v>66</v>
      </c>
      <c r="L725" s="2" t="s">
        <v>7566</v>
      </c>
      <c r="M725" s="2" t="s">
        <v>7567</v>
      </c>
      <c r="N725" s="3" t="s">
        <v>68</v>
      </c>
      <c r="P725" s="3" t="s">
        <v>140</v>
      </c>
      <c r="Q725" s="2" t="s">
        <v>7568</v>
      </c>
      <c r="R725" s="3" t="s">
        <v>71</v>
      </c>
      <c r="S725" s="4">
        <v>0</v>
      </c>
      <c r="T725" s="4">
        <v>0</v>
      </c>
      <c r="W725" s="5" t="s">
        <v>72</v>
      </c>
      <c r="X725" s="5" t="s">
        <v>72</v>
      </c>
      <c r="Y725" s="4">
        <v>33</v>
      </c>
      <c r="Z725" s="4">
        <v>1</v>
      </c>
      <c r="AA725" s="4">
        <v>1</v>
      </c>
      <c r="AB725" s="4">
        <v>1</v>
      </c>
      <c r="AC725" s="4">
        <v>1</v>
      </c>
      <c r="AD725" s="4">
        <v>22</v>
      </c>
      <c r="AE725" s="4">
        <v>22</v>
      </c>
      <c r="AF725" s="4">
        <v>0</v>
      </c>
      <c r="AG725" s="4">
        <v>0</v>
      </c>
      <c r="AH725" s="4">
        <v>21</v>
      </c>
      <c r="AI725" s="4">
        <v>21</v>
      </c>
      <c r="AJ725" s="4">
        <v>0</v>
      </c>
      <c r="AK725" s="4">
        <v>0</v>
      </c>
      <c r="AL725" s="4">
        <v>17</v>
      </c>
      <c r="AM725" s="4">
        <v>17</v>
      </c>
      <c r="AN725" s="4">
        <v>0</v>
      </c>
      <c r="AO725" s="4">
        <v>0</v>
      </c>
      <c r="AP725" s="4">
        <v>0</v>
      </c>
      <c r="AQ725" s="4">
        <v>0</v>
      </c>
      <c r="AR725" s="3" t="s">
        <v>65</v>
      </c>
      <c r="AS725" s="3" t="s">
        <v>65</v>
      </c>
      <c r="AT725" s="3" t="s">
        <v>65</v>
      </c>
      <c r="AV725" s="6" t="str">
        <f>HYPERLINK("http://mcgill.on.worldcat.org/oclc/968768483","Catalog Record")</f>
        <v>Catalog Record</v>
      </c>
      <c r="AW725" s="6" t="str">
        <f>HYPERLINK("http://www.worldcat.org/oclc/968768483","WorldCat Record")</f>
        <v>WorldCat Record</v>
      </c>
      <c r="AX725" s="3" t="s">
        <v>7569</v>
      </c>
      <c r="AY725" s="3" t="s">
        <v>7570</v>
      </c>
      <c r="AZ725" s="3" t="s">
        <v>7571</v>
      </c>
      <c r="BA725" s="3" t="s">
        <v>7571</v>
      </c>
      <c r="BB725" s="3" t="s">
        <v>7572</v>
      </c>
      <c r="BC725" s="3" t="s">
        <v>77</v>
      </c>
      <c r="BD725" s="3" t="s">
        <v>78</v>
      </c>
      <c r="BE725" s="3" t="s">
        <v>7573</v>
      </c>
      <c r="BF725" s="3" t="s">
        <v>7572</v>
      </c>
      <c r="BG725" s="3" t="s">
        <v>7574</v>
      </c>
    </row>
    <row r="726" spans="1:59" ht="58" x14ac:dyDescent="0.35">
      <c r="A726" s="2" t="s">
        <v>59</v>
      </c>
      <c r="B726" s="2" t="s">
        <v>60</v>
      </c>
      <c r="C726" s="2" t="s">
        <v>7575</v>
      </c>
      <c r="D726" s="2" t="s">
        <v>7576</v>
      </c>
      <c r="E726" s="2" t="s">
        <v>7577</v>
      </c>
      <c r="G726" s="3" t="s">
        <v>65</v>
      </c>
      <c r="I726" s="3" t="s">
        <v>65</v>
      </c>
      <c r="J726" s="3" t="s">
        <v>65</v>
      </c>
      <c r="K726" s="3" t="s">
        <v>66</v>
      </c>
      <c r="L726" s="2" t="s">
        <v>7578</v>
      </c>
      <c r="M726" s="2" t="s">
        <v>7579</v>
      </c>
      <c r="N726" s="3" t="s">
        <v>1122</v>
      </c>
      <c r="P726" s="3" t="s">
        <v>69</v>
      </c>
      <c r="Q726" s="2" t="s">
        <v>7580</v>
      </c>
      <c r="R726" s="3" t="s">
        <v>71</v>
      </c>
      <c r="S726" s="4">
        <v>2</v>
      </c>
      <c r="T726" s="4">
        <v>2</v>
      </c>
      <c r="U726" s="5" t="s">
        <v>7581</v>
      </c>
      <c r="V726" s="5" t="s">
        <v>7581</v>
      </c>
      <c r="W726" s="5" t="s">
        <v>72</v>
      </c>
      <c r="X726" s="5" t="s">
        <v>72</v>
      </c>
      <c r="Y726" s="4">
        <v>147</v>
      </c>
      <c r="Z726" s="4">
        <v>16</v>
      </c>
      <c r="AA726" s="4">
        <v>21</v>
      </c>
      <c r="AB726" s="4">
        <v>1</v>
      </c>
      <c r="AC726" s="4">
        <v>4</v>
      </c>
      <c r="AD726" s="4">
        <v>64</v>
      </c>
      <c r="AE726" s="4">
        <v>67</v>
      </c>
      <c r="AF726" s="4">
        <v>0</v>
      </c>
      <c r="AG726" s="4">
        <v>0</v>
      </c>
      <c r="AH726" s="4">
        <v>57</v>
      </c>
      <c r="AI726" s="4">
        <v>60</v>
      </c>
      <c r="AJ726" s="4">
        <v>11</v>
      </c>
      <c r="AK726" s="4">
        <v>13</v>
      </c>
      <c r="AL726" s="4">
        <v>42</v>
      </c>
      <c r="AM726" s="4">
        <v>42</v>
      </c>
      <c r="AN726" s="4">
        <v>0</v>
      </c>
      <c r="AO726" s="4">
        <v>0</v>
      </c>
      <c r="AP726" s="4">
        <v>12</v>
      </c>
      <c r="AQ726" s="4">
        <v>14</v>
      </c>
      <c r="AR726" s="3" t="s">
        <v>65</v>
      </c>
      <c r="AS726" s="3" t="s">
        <v>65</v>
      </c>
      <c r="AT726" s="3" t="s">
        <v>65</v>
      </c>
      <c r="AV726" s="6" t="str">
        <f>HYPERLINK("http://mcgill.on.worldcat.org/oclc/428881308","Catalog Record")</f>
        <v>Catalog Record</v>
      </c>
      <c r="AW726" s="6" t="str">
        <f>HYPERLINK("http://www.worldcat.org/oclc/428881308","WorldCat Record")</f>
        <v>WorldCat Record</v>
      </c>
      <c r="AX726" s="3" t="s">
        <v>7582</v>
      </c>
      <c r="AY726" s="3" t="s">
        <v>7583</v>
      </c>
      <c r="AZ726" s="3" t="s">
        <v>7584</v>
      </c>
      <c r="BA726" s="3" t="s">
        <v>7584</v>
      </c>
      <c r="BB726" s="3" t="s">
        <v>7585</v>
      </c>
      <c r="BC726" s="3" t="s">
        <v>77</v>
      </c>
      <c r="BD726" s="3" t="s">
        <v>78</v>
      </c>
      <c r="BE726" s="3" t="s">
        <v>7586</v>
      </c>
      <c r="BF726" s="3" t="s">
        <v>7585</v>
      </c>
      <c r="BG726" s="3" t="s">
        <v>7587</v>
      </c>
    </row>
    <row r="727" spans="1:59" ht="58" x14ac:dyDescent="0.35">
      <c r="A727" s="2" t="s">
        <v>59</v>
      </c>
      <c r="B727" s="2" t="s">
        <v>60</v>
      </c>
      <c r="C727" s="2" t="s">
        <v>7588</v>
      </c>
      <c r="D727" s="2" t="s">
        <v>7589</v>
      </c>
      <c r="E727" s="2" t="s">
        <v>7590</v>
      </c>
      <c r="G727" s="3" t="s">
        <v>65</v>
      </c>
      <c r="I727" s="3" t="s">
        <v>65</v>
      </c>
      <c r="J727" s="3" t="s">
        <v>65</v>
      </c>
      <c r="K727" s="3" t="s">
        <v>66</v>
      </c>
      <c r="M727" s="2" t="s">
        <v>7591</v>
      </c>
      <c r="N727" s="3" t="s">
        <v>176</v>
      </c>
      <c r="O727" s="2" t="s">
        <v>235</v>
      </c>
      <c r="P727" s="3" t="s">
        <v>140</v>
      </c>
      <c r="Q727" s="2" t="s">
        <v>1777</v>
      </c>
      <c r="R727" s="3" t="s">
        <v>71</v>
      </c>
      <c r="S727" s="4">
        <v>0</v>
      </c>
      <c r="T727" s="4">
        <v>0</v>
      </c>
      <c r="W727" s="5" t="s">
        <v>72</v>
      </c>
      <c r="X727" s="5" t="s">
        <v>72</v>
      </c>
      <c r="Y727" s="4">
        <v>43</v>
      </c>
      <c r="Z727" s="4">
        <v>4</v>
      </c>
      <c r="AA727" s="4">
        <v>4</v>
      </c>
      <c r="AB727" s="4">
        <v>1</v>
      </c>
      <c r="AC727" s="4">
        <v>1</v>
      </c>
      <c r="AD727" s="4">
        <v>29</v>
      </c>
      <c r="AE727" s="4">
        <v>29</v>
      </c>
      <c r="AF727" s="4">
        <v>0</v>
      </c>
      <c r="AG727" s="4">
        <v>0</v>
      </c>
      <c r="AH727" s="4">
        <v>28</v>
      </c>
      <c r="AI727" s="4">
        <v>28</v>
      </c>
      <c r="AJ727" s="4">
        <v>2</v>
      </c>
      <c r="AK727" s="4">
        <v>2</v>
      </c>
      <c r="AL727" s="4">
        <v>22</v>
      </c>
      <c r="AM727" s="4">
        <v>22</v>
      </c>
      <c r="AN727" s="4">
        <v>0</v>
      </c>
      <c r="AO727" s="4">
        <v>0</v>
      </c>
      <c r="AP727" s="4">
        <v>2</v>
      </c>
      <c r="AQ727" s="4">
        <v>2</v>
      </c>
      <c r="AR727" s="3" t="s">
        <v>65</v>
      </c>
      <c r="AS727" s="3" t="s">
        <v>65</v>
      </c>
      <c r="AT727" s="3" t="s">
        <v>65</v>
      </c>
      <c r="AV727" s="6" t="str">
        <f>HYPERLINK("http://mcgill.on.worldcat.org/oclc/927413976","Catalog Record")</f>
        <v>Catalog Record</v>
      </c>
      <c r="AW727" s="6" t="str">
        <f>HYPERLINK("http://www.worldcat.org/oclc/927413976","WorldCat Record")</f>
        <v>WorldCat Record</v>
      </c>
      <c r="AX727" s="3" t="s">
        <v>7592</v>
      </c>
      <c r="AY727" s="3" t="s">
        <v>7593</v>
      </c>
      <c r="AZ727" s="3" t="s">
        <v>7594</v>
      </c>
      <c r="BA727" s="3" t="s">
        <v>7594</v>
      </c>
      <c r="BB727" s="3" t="s">
        <v>7595</v>
      </c>
      <c r="BC727" s="3" t="s">
        <v>77</v>
      </c>
      <c r="BD727" s="3" t="s">
        <v>78</v>
      </c>
      <c r="BE727" s="3" t="s">
        <v>7596</v>
      </c>
      <c r="BF727" s="3" t="s">
        <v>7595</v>
      </c>
      <c r="BG727" s="3" t="s">
        <v>7597</v>
      </c>
    </row>
    <row r="728" spans="1:59" ht="58" x14ac:dyDescent="0.35">
      <c r="A728" s="2" t="s">
        <v>59</v>
      </c>
      <c r="B728" s="2" t="s">
        <v>60</v>
      </c>
      <c r="C728" s="2" t="s">
        <v>7598</v>
      </c>
      <c r="D728" s="2" t="s">
        <v>7599</v>
      </c>
      <c r="E728" s="2" t="s">
        <v>7600</v>
      </c>
      <c r="G728" s="3" t="s">
        <v>65</v>
      </c>
      <c r="I728" s="3" t="s">
        <v>65</v>
      </c>
      <c r="J728" s="3" t="s">
        <v>65</v>
      </c>
      <c r="K728" s="3" t="s">
        <v>66</v>
      </c>
      <c r="M728" s="2" t="s">
        <v>7601</v>
      </c>
      <c r="N728" s="3" t="s">
        <v>164</v>
      </c>
      <c r="O728" s="2" t="s">
        <v>2438</v>
      </c>
      <c r="P728" s="3" t="s">
        <v>69</v>
      </c>
      <c r="Q728" s="2" t="s">
        <v>7602</v>
      </c>
      <c r="R728" s="3" t="s">
        <v>71</v>
      </c>
      <c r="S728" s="4">
        <v>0</v>
      </c>
      <c r="T728" s="4">
        <v>0</v>
      </c>
      <c r="W728" s="5" t="s">
        <v>72</v>
      </c>
      <c r="X728" s="5" t="s">
        <v>72</v>
      </c>
      <c r="Y728" s="4">
        <v>65</v>
      </c>
      <c r="Z728" s="4">
        <v>6</v>
      </c>
      <c r="AA728" s="4">
        <v>6</v>
      </c>
      <c r="AB728" s="4">
        <v>1</v>
      </c>
      <c r="AC728" s="4">
        <v>1</v>
      </c>
      <c r="AD728" s="4">
        <v>45</v>
      </c>
      <c r="AE728" s="4">
        <v>45</v>
      </c>
      <c r="AF728" s="4">
        <v>0</v>
      </c>
      <c r="AG728" s="4">
        <v>0</v>
      </c>
      <c r="AH728" s="4">
        <v>44</v>
      </c>
      <c r="AI728" s="4">
        <v>44</v>
      </c>
      <c r="AJ728" s="4">
        <v>4</v>
      </c>
      <c r="AK728" s="4">
        <v>4</v>
      </c>
      <c r="AL728" s="4">
        <v>31</v>
      </c>
      <c r="AM728" s="4">
        <v>31</v>
      </c>
      <c r="AN728" s="4">
        <v>0</v>
      </c>
      <c r="AO728" s="4">
        <v>0</v>
      </c>
      <c r="AP728" s="4">
        <v>4</v>
      </c>
      <c r="AQ728" s="4">
        <v>4</v>
      </c>
      <c r="AR728" s="3" t="s">
        <v>65</v>
      </c>
      <c r="AS728" s="3" t="s">
        <v>65</v>
      </c>
      <c r="AT728" s="3" t="s">
        <v>65</v>
      </c>
      <c r="AV728" s="6" t="str">
        <f>HYPERLINK("http://mcgill.on.worldcat.org/oclc/893860635","Catalog Record")</f>
        <v>Catalog Record</v>
      </c>
      <c r="AW728" s="6" t="str">
        <f>HYPERLINK("http://www.worldcat.org/oclc/893860635","WorldCat Record")</f>
        <v>WorldCat Record</v>
      </c>
      <c r="AX728" s="3" t="s">
        <v>7603</v>
      </c>
      <c r="AY728" s="3" t="s">
        <v>7604</v>
      </c>
      <c r="AZ728" s="3" t="s">
        <v>7605</v>
      </c>
      <c r="BA728" s="3" t="s">
        <v>7605</v>
      </c>
      <c r="BB728" s="3" t="s">
        <v>7606</v>
      </c>
      <c r="BC728" s="3" t="s">
        <v>77</v>
      </c>
      <c r="BD728" s="3" t="s">
        <v>78</v>
      </c>
      <c r="BE728" s="3" t="s">
        <v>7607</v>
      </c>
      <c r="BF728" s="3" t="s">
        <v>7606</v>
      </c>
      <c r="BG728" s="3" t="s">
        <v>7608</v>
      </c>
    </row>
    <row r="729" spans="1:59" ht="58" x14ac:dyDescent="0.35">
      <c r="A729" s="2" t="s">
        <v>59</v>
      </c>
      <c r="B729" s="2" t="s">
        <v>60</v>
      </c>
      <c r="C729" s="2" t="s">
        <v>7609</v>
      </c>
      <c r="D729" s="2" t="s">
        <v>7610</v>
      </c>
      <c r="E729" s="2" t="s">
        <v>7611</v>
      </c>
      <c r="G729" s="3" t="s">
        <v>65</v>
      </c>
      <c r="I729" s="3" t="s">
        <v>65</v>
      </c>
      <c r="J729" s="3" t="s">
        <v>65</v>
      </c>
      <c r="K729" s="3" t="s">
        <v>66</v>
      </c>
      <c r="L729" s="2" t="s">
        <v>7612</v>
      </c>
      <c r="M729" s="2" t="s">
        <v>7613</v>
      </c>
      <c r="N729" s="3" t="s">
        <v>152</v>
      </c>
      <c r="P729" s="3" t="s">
        <v>69</v>
      </c>
      <c r="Q729" s="2" t="s">
        <v>7614</v>
      </c>
      <c r="R729" s="3" t="s">
        <v>71</v>
      </c>
      <c r="S729" s="4">
        <v>4</v>
      </c>
      <c r="T729" s="4">
        <v>4</v>
      </c>
      <c r="U729" s="5" t="s">
        <v>7615</v>
      </c>
      <c r="V729" s="5" t="s">
        <v>7615</v>
      </c>
      <c r="W729" s="5" t="s">
        <v>72</v>
      </c>
      <c r="X729" s="5" t="s">
        <v>72</v>
      </c>
      <c r="Y729" s="4">
        <v>151</v>
      </c>
      <c r="Z729" s="4">
        <v>18</v>
      </c>
      <c r="AA729" s="4">
        <v>105</v>
      </c>
      <c r="AB729" s="4">
        <v>2</v>
      </c>
      <c r="AC729" s="4">
        <v>14</v>
      </c>
      <c r="AD729" s="4">
        <v>72</v>
      </c>
      <c r="AE729" s="4">
        <v>131</v>
      </c>
      <c r="AF729" s="4">
        <v>1</v>
      </c>
      <c r="AG729" s="4">
        <v>8</v>
      </c>
      <c r="AH729" s="4">
        <v>66</v>
      </c>
      <c r="AI729" s="4">
        <v>93</v>
      </c>
      <c r="AJ729" s="4">
        <v>13</v>
      </c>
      <c r="AK729" s="4">
        <v>24</v>
      </c>
      <c r="AL729" s="4">
        <v>40</v>
      </c>
      <c r="AM729" s="4">
        <v>51</v>
      </c>
      <c r="AN729" s="4">
        <v>0</v>
      </c>
      <c r="AO729" s="4">
        <v>0</v>
      </c>
      <c r="AP729" s="4">
        <v>13</v>
      </c>
      <c r="AQ729" s="4">
        <v>45</v>
      </c>
      <c r="AR729" s="3" t="s">
        <v>65</v>
      </c>
      <c r="AS729" s="3" t="s">
        <v>65</v>
      </c>
      <c r="AT729" s="3" t="s">
        <v>65</v>
      </c>
      <c r="AV729" s="6" t="str">
        <f>HYPERLINK("http://mcgill.on.worldcat.org/oclc/840927702","Catalog Record")</f>
        <v>Catalog Record</v>
      </c>
      <c r="AW729" s="6" t="str">
        <f>HYPERLINK("http://www.worldcat.org/oclc/840927702","WorldCat Record")</f>
        <v>WorldCat Record</v>
      </c>
      <c r="AX729" s="3" t="s">
        <v>7616</v>
      </c>
      <c r="AY729" s="3" t="s">
        <v>7617</v>
      </c>
      <c r="AZ729" s="3" t="s">
        <v>7618</v>
      </c>
      <c r="BA729" s="3" t="s">
        <v>7618</v>
      </c>
      <c r="BB729" s="3" t="s">
        <v>7619</v>
      </c>
      <c r="BC729" s="3" t="s">
        <v>77</v>
      </c>
      <c r="BD729" s="3" t="s">
        <v>78</v>
      </c>
      <c r="BE729" s="3" t="s">
        <v>7620</v>
      </c>
      <c r="BF729" s="3" t="s">
        <v>7619</v>
      </c>
      <c r="BG729" s="3" t="s">
        <v>7621</v>
      </c>
    </row>
    <row r="730" spans="1:59" ht="58" x14ac:dyDescent="0.35">
      <c r="A730" s="2" t="s">
        <v>59</v>
      </c>
      <c r="B730" s="2" t="s">
        <v>60</v>
      </c>
      <c r="C730" s="2" t="s">
        <v>7622</v>
      </c>
      <c r="D730" s="2" t="s">
        <v>7623</v>
      </c>
      <c r="E730" s="2" t="s">
        <v>7624</v>
      </c>
      <c r="G730" s="3" t="s">
        <v>65</v>
      </c>
      <c r="I730" s="3" t="s">
        <v>65</v>
      </c>
      <c r="J730" s="3" t="s">
        <v>65</v>
      </c>
      <c r="K730" s="3" t="s">
        <v>66</v>
      </c>
      <c r="L730" s="2" t="s">
        <v>7625</v>
      </c>
      <c r="M730" s="2" t="s">
        <v>7626</v>
      </c>
      <c r="N730" s="3" t="s">
        <v>564</v>
      </c>
      <c r="P730" s="3" t="s">
        <v>69</v>
      </c>
      <c r="R730" s="3" t="s">
        <v>71</v>
      </c>
      <c r="S730" s="4">
        <v>14</v>
      </c>
      <c r="T730" s="4">
        <v>14</v>
      </c>
      <c r="U730" s="5" t="s">
        <v>7627</v>
      </c>
      <c r="V730" s="5" t="s">
        <v>7627</v>
      </c>
      <c r="W730" s="5" t="s">
        <v>72</v>
      </c>
      <c r="X730" s="5" t="s">
        <v>72</v>
      </c>
      <c r="Y730" s="4">
        <v>481</v>
      </c>
      <c r="Z730" s="4">
        <v>37</v>
      </c>
      <c r="AA730" s="4">
        <v>41</v>
      </c>
      <c r="AB730" s="4">
        <v>2</v>
      </c>
      <c r="AC730" s="4">
        <v>4</v>
      </c>
      <c r="AD730" s="4">
        <v>109</v>
      </c>
      <c r="AE730" s="4">
        <v>120</v>
      </c>
      <c r="AF730" s="4">
        <v>1</v>
      </c>
      <c r="AG730" s="4">
        <v>2</v>
      </c>
      <c r="AH730" s="4">
        <v>90</v>
      </c>
      <c r="AI730" s="4">
        <v>100</v>
      </c>
      <c r="AJ730" s="4">
        <v>19</v>
      </c>
      <c r="AK730" s="4">
        <v>21</v>
      </c>
      <c r="AL730" s="4">
        <v>48</v>
      </c>
      <c r="AM730" s="4">
        <v>53</v>
      </c>
      <c r="AN730" s="4">
        <v>0</v>
      </c>
      <c r="AO730" s="4">
        <v>5</v>
      </c>
      <c r="AP730" s="4">
        <v>27</v>
      </c>
      <c r="AQ730" s="4">
        <v>30</v>
      </c>
      <c r="AR730" s="3" t="s">
        <v>65</v>
      </c>
      <c r="AS730" s="3" t="s">
        <v>65</v>
      </c>
      <c r="AT730" s="3" t="s">
        <v>209</v>
      </c>
      <c r="AU730" s="6" t="str">
        <f>HYPERLINK("http://catalog.hathitrust.org/Record/001218669","HathiTrust Record")</f>
        <v>HathiTrust Record</v>
      </c>
      <c r="AV730" s="6" t="str">
        <f>HYPERLINK("http://mcgill.on.worldcat.org/oclc/343919","Catalog Record")</f>
        <v>Catalog Record</v>
      </c>
      <c r="AW730" s="6" t="str">
        <f>HYPERLINK("http://www.worldcat.org/oclc/343919","WorldCat Record")</f>
        <v>WorldCat Record</v>
      </c>
      <c r="AX730" s="3" t="s">
        <v>7628</v>
      </c>
      <c r="AY730" s="3" t="s">
        <v>7629</v>
      </c>
      <c r="AZ730" s="3" t="s">
        <v>7630</v>
      </c>
      <c r="BA730" s="3" t="s">
        <v>7630</v>
      </c>
      <c r="BB730" s="3" t="s">
        <v>7631</v>
      </c>
      <c r="BC730" s="3" t="s">
        <v>77</v>
      </c>
      <c r="BD730" s="3" t="s">
        <v>78</v>
      </c>
      <c r="BE730" s="3" t="s">
        <v>7632</v>
      </c>
      <c r="BF730" s="3" t="s">
        <v>7631</v>
      </c>
      <c r="BG730" s="3" t="s">
        <v>7633</v>
      </c>
    </row>
    <row r="731" spans="1:59" ht="58" x14ac:dyDescent="0.35">
      <c r="A731" s="2" t="s">
        <v>59</v>
      </c>
      <c r="B731" s="2" t="s">
        <v>60</v>
      </c>
      <c r="C731" s="2" t="s">
        <v>7634</v>
      </c>
      <c r="D731" s="2" t="s">
        <v>7635</v>
      </c>
      <c r="E731" s="2" t="s">
        <v>7636</v>
      </c>
      <c r="G731" s="3" t="s">
        <v>65</v>
      </c>
      <c r="I731" s="3" t="s">
        <v>65</v>
      </c>
      <c r="J731" s="3" t="s">
        <v>65</v>
      </c>
      <c r="K731" s="3" t="s">
        <v>66</v>
      </c>
      <c r="L731" s="2" t="s">
        <v>7637</v>
      </c>
      <c r="M731" s="2" t="s">
        <v>1907</v>
      </c>
      <c r="N731" s="3" t="s">
        <v>152</v>
      </c>
      <c r="P731" s="3" t="s">
        <v>69</v>
      </c>
      <c r="Q731" s="2" t="s">
        <v>1197</v>
      </c>
      <c r="R731" s="3" t="s">
        <v>71</v>
      </c>
      <c r="S731" s="4">
        <v>3</v>
      </c>
      <c r="T731" s="4">
        <v>3</v>
      </c>
      <c r="U731" s="5" t="s">
        <v>4833</v>
      </c>
      <c r="V731" s="5" t="s">
        <v>4833</v>
      </c>
      <c r="W731" s="5" t="s">
        <v>72</v>
      </c>
      <c r="X731" s="5" t="s">
        <v>72</v>
      </c>
      <c r="Y731" s="4">
        <v>200</v>
      </c>
      <c r="Z731" s="4">
        <v>22</v>
      </c>
      <c r="AA731" s="4">
        <v>93</v>
      </c>
      <c r="AB731" s="4">
        <v>1</v>
      </c>
      <c r="AC731" s="4">
        <v>16</v>
      </c>
      <c r="AD731" s="4">
        <v>83</v>
      </c>
      <c r="AE731" s="4">
        <v>133</v>
      </c>
      <c r="AF731" s="4">
        <v>0</v>
      </c>
      <c r="AG731" s="4">
        <v>8</v>
      </c>
      <c r="AH731" s="4">
        <v>71</v>
      </c>
      <c r="AI731" s="4">
        <v>91</v>
      </c>
      <c r="AJ731" s="4">
        <v>16</v>
      </c>
      <c r="AK731" s="4">
        <v>26</v>
      </c>
      <c r="AL731" s="4">
        <v>47</v>
      </c>
      <c r="AM731" s="4">
        <v>52</v>
      </c>
      <c r="AN731" s="4">
        <v>0</v>
      </c>
      <c r="AO731" s="4">
        <v>0</v>
      </c>
      <c r="AP731" s="4">
        <v>17</v>
      </c>
      <c r="AQ731" s="4">
        <v>50</v>
      </c>
      <c r="AR731" s="3" t="s">
        <v>209</v>
      </c>
      <c r="AS731" s="3" t="s">
        <v>65</v>
      </c>
      <c r="AT731" s="3" t="s">
        <v>65</v>
      </c>
      <c r="AV731" s="6" t="str">
        <f>HYPERLINK("http://mcgill.on.worldcat.org/oclc/836189498","Catalog Record")</f>
        <v>Catalog Record</v>
      </c>
      <c r="AW731" s="6" t="str">
        <f>HYPERLINK("http://www.worldcat.org/oclc/836189498","WorldCat Record")</f>
        <v>WorldCat Record</v>
      </c>
      <c r="AX731" s="3" t="s">
        <v>7638</v>
      </c>
      <c r="AY731" s="3" t="s">
        <v>7639</v>
      </c>
      <c r="AZ731" s="3" t="s">
        <v>7640</v>
      </c>
      <c r="BA731" s="3" t="s">
        <v>7640</v>
      </c>
      <c r="BB731" s="3" t="s">
        <v>7641</v>
      </c>
      <c r="BC731" s="3" t="s">
        <v>77</v>
      </c>
      <c r="BD731" s="3" t="s">
        <v>78</v>
      </c>
      <c r="BE731" s="3" t="s">
        <v>7642</v>
      </c>
      <c r="BF731" s="3" t="s">
        <v>7641</v>
      </c>
      <c r="BG731" s="3" t="s">
        <v>7643</v>
      </c>
    </row>
    <row r="732" spans="1:59" ht="58" x14ac:dyDescent="0.35">
      <c r="A732" s="2" t="s">
        <v>59</v>
      </c>
      <c r="B732" s="2" t="s">
        <v>60</v>
      </c>
      <c r="C732" s="2" t="s">
        <v>7644</v>
      </c>
      <c r="D732" s="2" t="s">
        <v>7645</v>
      </c>
      <c r="E732" s="2" t="s">
        <v>7646</v>
      </c>
      <c r="G732" s="3" t="s">
        <v>65</v>
      </c>
      <c r="I732" s="3" t="s">
        <v>65</v>
      </c>
      <c r="J732" s="3" t="s">
        <v>65</v>
      </c>
      <c r="K732" s="3" t="s">
        <v>66</v>
      </c>
      <c r="L732" s="2" t="s">
        <v>7647</v>
      </c>
      <c r="M732" s="2" t="s">
        <v>7648</v>
      </c>
      <c r="N732" s="3" t="s">
        <v>176</v>
      </c>
      <c r="P732" s="3" t="s">
        <v>140</v>
      </c>
      <c r="R732" s="3" t="s">
        <v>71</v>
      </c>
      <c r="S732" s="4">
        <v>0</v>
      </c>
      <c r="T732" s="4">
        <v>0</v>
      </c>
      <c r="W732" s="5" t="s">
        <v>72</v>
      </c>
      <c r="X732" s="5" t="s">
        <v>72</v>
      </c>
      <c r="Y732" s="4">
        <v>40</v>
      </c>
      <c r="Z732" s="4">
        <v>3</v>
      </c>
      <c r="AA732" s="4">
        <v>3</v>
      </c>
      <c r="AB732" s="4">
        <v>1</v>
      </c>
      <c r="AC732" s="4">
        <v>1</v>
      </c>
      <c r="AD732" s="4">
        <v>28</v>
      </c>
      <c r="AE732" s="4">
        <v>28</v>
      </c>
      <c r="AF732" s="4">
        <v>0</v>
      </c>
      <c r="AG732" s="4">
        <v>0</v>
      </c>
      <c r="AH732" s="4">
        <v>27</v>
      </c>
      <c r="AI732" s="4">
        <v>27</v>
      </c>
      <c r="AJ732" s="4">
        <v>1</v>
      </c>
      <c r="AK732" s="4">
        <v>1</v>
      </c>
      <c r="AL732" s="4">
        <v>23</v>
      </c>
      <c r="AM732" s="4">
        <v>23</v>
      </c>
      <c r="AN732" s="4">
        <v>0</v>
      </c>
      <c r="AO732" s="4">
        <v>0</v>
      </c>
      <c r="AP732" s="4">
        <v>1</v>
      </c>
      <c r="AQ732" s="4">
        <v>1</v>
      </c>
      <c r="AR732" s="3" t="s">
        <v>65</v>
      </c>
      <c r="AS732" s="3" t="s">
        <v>65</v>
      </c>
      <c r="AT732" s="3" t="s">
        <v>65</v>
      </c>
      <c r="AV732" s="6" t="str">
        <f>HYPERLINK("http://mcgill.on.worldcat.org/oclc/921889775","Catalog Record")</f>
        <v>Catalog Record</v>
      </c>
      <c r="AW732" s="6" t="str">
        <f>HYPERLINK("http://www.worldcat.org/oclc/921889775","WorldCat Record")</f>
        <v>WorldCat Record</v>
      </c>
      <c r="AX732" s="3" t="s">
        <v>7649</v>
      </c>
      <c r="AY732" s="3" t="s">
        <v>7650</v>
      </c>
      <c r="AZ732" s="3" t="s">
        <v>7651</v>
      </c>
      <c r="BA732" s="3" t="s">
        <v>7651</v>
      </c>
      <c r="BB732" s="3" t="s">
        <v>7652</v>
      </c>
      <c r="BC732" s="3" t="s">
        <v>77</v>
      </c>
      <c r="BD732" s="3" t="s">
        <v>78</v>
      </c>
      <c r="BE732" s="3" t="s">
        <v>7653</v>
      </c>
      <c r="BF732" s="3" t="s">
        <v>7652</v>
      </c>
      <c r="BG732" s="3" t="s">
        <v>7654</v>
      </c>
    </row>
    <row r="733" spans="1:59" ht="58" x14ac:dyDescent="0.35">
      <c r="A733" s="2" t="s">
        <v>59</v>
      </c>
      <c r="B733" s="2" t="s">
        <v>60</v>
      </c>
      <c r="C733" s="2" t="s">
        <v>7655</v>
      </c>
      <c r="D733" s="2" t="s">
        <v>7656</v>
      </c>
      <c r="E733" s="2" t="s">
        <v>7657</v>
      </c>
      <c r="G733" s="3" t="s">
        <v>65</v>
      </c>
      <c r="I733" s="3" t="s">
        <v>65</v>
      </c>
      <c r="J733" s="3" t="s">
        <v>65</v>
      </c>
      <c r="K733" s="3" t="s">
        <v>66</v>
      </c>
      <c r="L733" s="2" t="s">
        <v>7658</v>
      </c>
      <c r="M733" s="2" t="s">
        <v>7659</v>
      </c>
      <c r="N733" s="3" t="s">
        <v>2210</v>
      </c>
      <c r="P733" s="3" t="s">
        <v>140</v>
      </c>
      <c r="R733" s="3" t="s">
        <v>71</v>
      </c>
      <c r="S733" s="4">
        <v>2</v>
      </c>
      <c r="T733" s="4">
        <v>2</v>
      </c>
      <c r="U733" s="5" t="s">
        <v>785</v>
      </c>
      <c r="V733" s="5" t="s">
        <v>785</v>
      </c>
      <c r="W733" s="5" t="s">
        <v>72</v>
      </c>
      <c r="X733" s="5" t="s">
        <v>72</v>
      </c>
      <c r="Y733" s="4">
        <v>76</v>
      </c>
      <c r="Z733" s="4">
        <v>5</v>
      </c>
      <c r="AA733" s="4">
        <v>5</v>
      </c>
      <c r="AB733" s="4">
        <v>1</v>
      </c>
      <c r="AC733" s="4">
        <v>1</v>
      </c>
      <c r="AD733" s="4">
        <v>42</v>
      </c>
      <c r="AE733" s="4">
        <v>42</v>
      </c>
      <c r="AF733" s="4">
        <v>0</v>
      </c>
      <c r="AG733" s="4">
        <v>0</v>
      </c>
      <c r="AH733" s="4">
        <v>39</v>
      </c>
      <c r="AI733" s="4">
        <v>39</v>
      </c>
      <c r="AJ733" s="4">
        <v>3</v>
      </c>
      <c r="AK733" s="4">
        <v>3</v>
      </c>
      <c r="AL733" s="4">
        <v>31</v>
      </c>
      <c r="AM733" s="4">
        <v>31</v>
      </c>
      <c r="AN733" s="4">
        <v>0</v>
      </c>
      <c r="AO733" s="4">
        <v>0</v>
      </c>
      <c r="AP733" s="4">
        <v>3</v>
      </c>
      <c r="AQ733" s="4">
        <v>3</v>
      </c>
      <c r="AR733" s="3" t="s">
        <v>65</v>
      </c>
      <c r="AS733" s="3" t="s">
        <v>65</v>
      </c>
      <c r="AT733" s="3" t="s">
        <v>209</v>
      </c>
      <c r="AU733" s="6" t="str">
        <f>HYPERLINK("http://catalog.hathitrust.org/Record/004311858","HathiTrust Record")</f>
        <v>HathiTrust Record</v>
      </c>
      <c r="AV733" s="6" t="str">
        <f>HYPERLINK("http://mcgill.on.worldcat.org/oclc/52079893","Catalog Record")</f>
        <v>Catalog Record</v>
      </c>
      <c r="AW733" s="6" t="str">
        <f>HYPERLINK("http://www.worldcat.org/oclc/52079893","WorldCat Record")</f>
        <v>WorldCat Record</v>
      </c>
      <c r="AX733" s="3" t="s">
        <v>7660</v>
      </c>
      <c r="AY733" s="3" t="s">
        <v>7661</v>
      </c>
      <c r="AZ733" s="3" t="s">
        <v>7662</v>
      </c>
      <c r="BA733" s="3" t="s">
        <v>7662</v>
      </c>
      <c r="BB733" s="3" t="s">
        <v>7663</v>
      </c>
      <c r="BC733" s="3" t="s">
        <v>77</v>
      </c>
      <c r="BD733" s="3" t="s">
        <v>78</v>
      </c>
      <c r="BE733" s="3" t="s">
        <v>7664</v>
      </c>
      <c r="BF733" s="3" t="s">
        <v>7663</v>
      </c>
      <c r="BG733" s="3" t="s">
        <v>7665</v>
      </c>
    </row>
    <row r="734" spans="1:59" ht="87" x14ac:dyDescent="0.35">
      <c r="A734" s="2" t="s">
        <v>59</v>
      </c>
      <c r="B734" s="2" t="s">
        <v>60</v>
      </c>
      <c r="C734" s="2" t="s">
        <v>7666</v>
      </c>
      <c r="D734" s="2" t="s">
        <v>7667</v>
      </c>
      <c r="E734" s="2" t="s">
        <v>7668</v>
      </c>
      <c r="G734" s="3" t="s">
        <v>65</v>
      </c>
      <c r="I734" s="3" t="s">
        <v>65</v>
      </c>
      <c r="J734" s="3" t="s">
        <v>65</v>
      </c>
      <c r="K734" s="3" t="s">
        <v>66</v>
      </c>
      <c r="L734" s="2" t="s">
        <v>7669</v>
      </c>
      <c r="M734" s="2" t="s">
        <v>7670</v>
      </c>
      <c r="N734" s="3" t="s">
        <v>126</v>
      </c>
      <c r="P734" s="3" t="s">
        <v>140</v>
      </c>
      <c r="R734" s="3" t="s">
        <v>71</v>
      </c>
      <c r="S734" s="4">
        <v>0</v>
      </c>
      <c r="T734" s="4">
        <v>0</v>
      </c>
      <c r="W734" s="5" t="s">
        <v>72</v>
      </c>
      <c r="X734" s="5" t="s">
        <v>72</v>
      </c>
      <c r="Y734" s="4">
        <v>65</v>
      </c>
      <c r="Z734" s="4">
        <v>7</v>
      </c>
      <c r="AA734" s="4">
        <v>7</v>
      </c>
      <c r="AB734" s="4">
        <v>1</v>
      </c>
      <c r="AC734" s="4">
        <v>1</v>
      </c>
      <c r="AD734" s="4">
        <v>45</v>
      </c>
      <c r="AE734" s="4">
        <v>45</v>
      </c>
      <c r="AF734" s="4">
        <v>0</v>
      </c>
      <c r="AG734" s="4">
        <v>0</v>
      </c>
      <c r="AH734" s="4">
        <v>44</v>
      </c>
      <c r="AI734" s="4">
        <v>44</v>
      </c>
      <c r="AJ734" s="4">
        <v>5</v>
      </c>
      <c r="AK734" s="4">
        <v>5</v>
      </c>
      <c r="AL734" s="4">
        <v>34</v>
      </c>
      <c r="AM734" s="4">
        <v>34</v>
      </c>
      <c r="AN734" s="4">
        <v>0</v>
      </c>
      <c r="AO734" s="4">
        <v>0</v>
      </c>
      <c r="AP734" s="4">
        <v>5</v>
      </c>
      <c r="AQ734" s="4">
        <v>5</v>
      </c>
      <c r="AR734" s="3" t="s">
        <v>65</v>
      </c>
      <c r="AS734" s="3" t="s">
        <v>65</v>
      </c>
      <c r="AT734" s="3" t="s">
        <v>65</v>
      </c>
      <c r="AV734" s="6" t="str">
        <f>HYPERLINK("http://mcgill.on.worldcat.org/oclc/730397624","Catalog Record")</f>
        <v>Catalog Record</v>
      </c>
      <c r="AW734" s="6" t="str">
        <f>HYPERLINK("http://www.worldcat.org/oclc/730397624","WorldCat Record")</f>
        <v>WorldCat Record</v>
      </c>
      <c r="AX734" s="3" t="s">
        <v>7671</v>
      </c>
      <c r="AY734" s="3" t="s">
        <v>7672</v>
      </c>
      <c r="AZ734" s="3" t="s">
        <v>7673</v>
      </c>
      <c r="BA734" s="3" t="s">
        <v>7673</v>
      </c>
      <c r="BB734" s="3" t="s">
        <v>7674</v>
      </c>
      <c r="BC734" s="3" t="s">
        <v>77</v>
      </c>
      <c r="BD734" s="3" t="s">
        <v>78</v>
      </c>
      <c r="BE734" s="3" t="s">
        <v>7675</v>
      </c>
      <c r="BF734" s="3" t="s">
        <v>7674</v>
      </c>
      <c r="BG734" s="3" t="s">
        <v>7676</v>
      </c>
    </row>
    <row r="735" spans="1:59" ht="58" x14ac:dyDescent="0.35">
      <c r="A735" s="2" t="s">
        <v>59</v>
      </c>
      <c r="B735" s="2" t="s">
        <v>60</v>
      </c>
      <c r="C735" s="2" t="s">
        <v>7677</v>
      </c>
      <c r="D735" s="2" t="s">
        <v>7678</v>
      </c>
      <c r="E735" s="2" t="s">
        <v>7679</v>
      </c>
      <c r="G735" s="3" t="s">
        <v>65</v>
      </c>
      <c r="I735" s="3" t="s">
        <v>65</v>
      </c>
      <c r="J735" s="3" t="s">
        <v>65</v>
      </c>
      <c r="K735" s="3" t="s">
        <v>66</v>
      </c>
      <c r="L735" s="2" t="s">
        <v>7680</v>
      </c>
      <c r="M735" s="2" t="s">
        <v>7681</v>
      </c>
      <c r="N735" s="3" t="s">
        <v>113</v>
      </c>
      <c r="P735" s="3" t="s">
        <v>69</v>
      </c>
      <c r="Q735" s="2" t="s">
        <v>1197</v>
      </c>
      <c r="R735" s="3" t="s">
        <v>71</v>
      </c>
      <c r="S735" s="4">
        <v>2</v>
      </c>
      <c r="T735" s="4">
        <v>2</v>
      </c>
      <c r="U735" s="5" t="s">
        <v>7682</v>
      </c>
      <c r="V735" s="5" t="s">
        <v>7682</v>
      </c>
      <c r="W735" s="5" t="s">
        <v>72</v>
      </c>
      <c r="X735" s="5" t="s">
        <v>72</v>
      </c>
      <c r="Y735" s="4">
        <v>161</v>
      </c>
      <c r="Z735" s="4">
        <v>26</v>
      </c>
      <c r="AA735" s="4">
        <v>118</v>
      </c>
      <c r="AB735" s="4">
        <v>1</v>
      </c>
      <c r="AC735" s="4">
        <v>19</v>
      </c>
      <c r="AD735" s="4">
        <v>79</v>
      </c>
      <c r="AE735" s="4">
        <v>134</v>
      </c>
      <c r="AF735" s="4">
        <v>0</v>
      </c>
      <c r="AG735" s="4">
        <v>8</v>
      </c>
      <c r="AH735" s="4">
        <v>65</v>
      </c>
      <c r="AI735" s="4">
        <v>92</v>
      </c>
      <c r="AJ735" s="4">
        <v>19</v>
      </c>
      <c r="AK735" s="4">
        <v>27</v>
      </c>
      <c r="AL735" s="4">
        <v>43</v>
      </c>
      <c r="AM735" s="4">
        <v>50</v>
      </c>
      <c r="AN735" s="4">
        <v>0</v>
      </c>
      <c r="AO735" s="4">
        <v>0</v>
      </c>
      <c r="AP735" s="4">
        <v>20</v>
      </c>
      <c r="AQ735" s="4">
        <v>51</v>
      </c>
      <c r="AR735" s="3" t="s">
        <v>209</v>
      </c>
      <c r="AS735" s="3" t="s">
        <v>65</v>
      </c>
      <c r="AT735" s="3" t="s">
        <v>65</v>
      </c>
      <c r="AV735" s="6" t="str">
        <f>HYPERLINK("http://mcgill.on.worldcat.org/oclc/466659617","Catalog Record")</f>
        <v>Catalog Record</v>
      </c>
      <c r="AW735" s="6" t="str">
        <f>HYPERLINK("http://www.worldcat.org/oclc/466659617","WorldCat Record")</f>
        <v>WorldCat Record</v>
      </c>
      <c r="AX735" s="3" t="s">
        <v>7683</v>
      </c>
      <c r="AY735" s="3" t="s">
        <v>7684</v>
      </c>
      <c r="AZ735" s="3" t="s">
        <v>7685</v>
      </c>
      <c r="BA735" s="3" t="s">
        <v>7685</v>
      </c>
      <c r="BB735" s="3" t="s">
        <v>7686</v>
      </c>
      <c r="BC735" s="3" t="s">
        <v>77</v>
      </c>
      <c r="BD735" s="3" t="s">
        <v>78</v>
      </c>
      <c r="BE735" s="3" t="s">
        <v>7687</v>
      </c>
      <c r="BF735" s="3" t="s">
        <v>7686</v>
      </c>
      <c r="BG735" s="3" t="s">
        <v>7688</v>
      </c>
    </row>
    <row r="736" spans="1:59" ht="58" x14ac:dyDescent="0.35">
      <c r="A736" s="2" t="s">
        <v>59</v>
      </c>
      <c r="B736" s="2" t="s">
        <v>60</v>
      </c>
      <c r="C736" s="2" t="s">
        <v>7689</v>
      </c>
      <c r="D736" s="2" t="s">
        <v>7690</v>
      </c>
      <c r="E736" s="2" t="s">
        <v>7691</v>
      </c>
      <c r="G736" s="3" t="s">
        <v>65</v>
      </c>
      <c r="I736" s="3" t="s">
        <v>65</v>
      </c>
      <c r="J736" s="3" t="s">
        <v>65</v>
      </c>
      <c r="K736" s="3" t="s">
        <v>66</v>
      </c>
      <c r="M736" s="2" t="s">
        <v>1989</v>
      </c>
      <c r="N736" s="3" t="s">
        <v>86</v>
      </c>
      <c r="P736" s="3" t="s">
        <v>69</v>
      </c>
      <c r="Q736" s="2" t="s">
        <v>1197</v>
      </c>
      <c r="R736" s="3" t="s">
        <v>71</v>
      </c>
      <c r="S736" s="4">
        <v>0</v>
      </c>
      <c r="T736" s="4">
        <v>0</v>
      </c>
      <c r="W736" s="5" t="s">
        <v>72</v>
      </c>
      <c r="X736" s="5" t="s">
        <v>72</v>
      </c>
      <c r="Y736" s="4">
        <v>101</v>
      </c>
      <c r="Z736" s="4">
        <v>10</v>
      </c>
      <c r="AA736" s="4">
        <v>46</v>
      </c>
      <c r="AB736" s="4">
        <v>1</v>
      </c>
      <c r="AC736" s="4">
        <v>9</v>
      </c>
      <c r="AD736" s="4">
        <v>61</v>
      </c>
      <c r="AE736" s="4">
        <v>89</v>
      </c>
      <c r="AF736" s="4">
        <v>0</v>
      </c>
      <c r="AG736" s="4">
        <v>3</v>
      </c>
      <c r="AH736" s="4">
        <v>55</v>
      </c>
      <c r="AI736" s="4">
        <v>66</v>
      </c>
      <c r="AJ736" s="4">
        <v>7</v>
      </c>
      <c r="AK736" s="4">
        <v>17</v>
      </c>
      <c r="AL736" s="4">
        <v>41</v>
      </c>
      <c r="AM736" s="4">
        <v>44</v>
      </c>
      <c r="AN736" s="4">
        <v>0</v>
      </c>
      <c r="AO736" s="4">
        <v>0</v>
      </c>
      <c r="AP736" s="4">
        <v>7</v>
      </c>
      <c r="AQ736" s="4">
        <v>28</v>
      </c>
      <c r="AR736" s="3" t="s">
        <v>209</v>
      </c>
      <c r="AS736" s="3" t="s">
        <v>65</v>
      </c>
      <c r="AT736" s="3" t="s">
        <v>65</v>
      </c>
      <c r="AV736" s="6" t="str">
        <f>HYPERLINK("http://mcgill.on.worldcat.org/oclc/1027047444","Catalog Record")</f>
        <v>Catalog Record</v>
      </c>
      <c r="AW736" s="6" t="str">
        <f>HYPERLINK("http://www.worldcat.org/oclc/1027047444","WorldCat Record")</f>
        <v>WorldCat Record</v>
      </c>
      <c r="AX736" s="3" t="s">
        <v>7692</v>
      </c>
      <c r="AY736" s="3" t="s">
        <v>7693</v>
      </c>
      <c r="AZ736" s="3" t="s">
        <v>7694</v>
      </c>
      <c r="BA736" s="3" t="s">
        <v>7694</v>
      </c>
      <c r="BB736" s="3" t="s">
        <v>7695</v>
      </c>
      <c r="BC736" s="3" t="s">
        <v>77</v>
      </c>
      <c r="BD736" s="3" t="s">
        <v>78</v>
      </c>
      <c r="BE736" s="3" t="s">
        <v>7696</v>
      </c>
      <c r="BF736" s="3" t="s">
        <v>7695</v>
      </c>
      <c r="BG736" s="3" t="s">
        <v>7697</v>
      </c>
    </row>
    <row r="737" spans="1:59" ht="58" x14ac:dyDescent="0.35">
      <c r="A737" s="2" t="s">
        <v>59</v>
      </c>
      <c r="B737" s="2" t="s">
        <v>60</v>
      </c>
      <c r="C737" s="2" t="s">
        <v>7698</v>
      </c>
      <c r="D737" s="2" t="s">
        <v>7699</v>
      </c>
      <c r="E737" s="2" t="s">
        <v>7700</v>
      </c>
      <c r="G737" s="3" t="s">
        <v>65</v>
      </c>
      <c r="I737" s="3" t="s">
        <v>65</v>
      </c>
      <c r="J737" s="3" t="s">
        <v>65</v>
      </c>
      <c r="K737" s="3" t="s">
        <v>66</v>
      </c>
      <c r="L737" s="2" t="s">
        <v>7701</v>
      </c>
      <c r="M737" s="2" t="s">
        <v>7702</v>
      </c>
      <c r="N737" s="3" t="s">
        <v>1967</v>
      </c>
      <c r="P737" s="3" t="s">
        <v>140</v>
      </c>
      <c r="Q737" s="2" t="s">
        <v>7703</v>
      </c>
      <c r="R737" s="3" t="s">
        <v>71</v>
      </c>
      <c r="S737" s="4">
        <v>2</v>
      </c>
      <c r="T737" s="4">
        <v>2</v>
      </c>
      <c r="U737" s="5" t="s">
        <v>7704</v>
      </c>
      <c r="V737" s="5" t="s">
        <v>7704</v>
      </c>
      <c r="W737" s="5" t="s">
        <v>72</v>
      </c>
      <c r="X737" s="5" t="s">
        <v>72</v>
      </c>
      <c r="Y737" s="4">
        <v>67</v>
      </c>
      <c r="Z737" s="4">
        <v>5</v>
      </c>
      <c r="AA737" s="4">
        <v>5</v>
      </c>
      <c r="AB737" s="4">
        <v>1</v>
      </c>
      <c r="AC737" s="4">
        <v>1</v>
      </c>
      <c r="AD737" s="4">
        <v>40</v>
      </c>
      <c r="AE737" s="4">
        <v>40</v>
      </c>
      <c r="AF737" s="4">
        <v>0</v>
      </c>
      <c r="AG737" s="4">
        <v>0</v>
      </c>
      <c r="AH737" s="4">
        <v>38</v>
      </c>
      <c r="AI737" s="4">
        <v>38</v>
      </c>
      <c r="AJ737" s="4">
        <v>3</v>
      </c>
      <c r="AK737" s="4">
        <v>3</v>
      </c>
      <c r="AL737" s="4">
        <v>30</v>
      </c>
      <c r="AM737" s="4">
        <v>30</v>
      </c>
      <c r="AN737" s="4">
        <v>0</v>
      </c>
      <c r="AO737" s="4">
        <v>0</v>
      </c>
      <c r="AP737" s="4">
        <v>3</v>
      </c>
      <c r="AQ737" s="4">
        <v>3</v>
      </c>
      <c r="AR737" s="3" t="s">
        <v>65</v>
      </c>
      <c r="AS737" s="3" t="s">
        <v>65</v>
      </c>
      <c r="AT737" s="3" t="s">
        <v>209</v>
      </c>
      <c r="AU737" s="6" t="str">
        <f>HYPERLINK("http://catalog.hathitrust.org/Record/004339611","HathiTrust Record")</f>
        <v>HathiTrust Record</v>
      </c>
      <c r="AV737" s="6" t="str">
        <f>HYPERLINK("http://mcgill.on.worldcat.org/oclc/52693922","Catalog Record")</f>
        <v>Catalog Record</v>
      </c>
      <c r="AW737" s="6" t="str">
        <f>HYPERLINK("http://www.worldcat.org/oclc/52693922","WorldCat Record")</f>
        <v>WorldCat Record</v>
      </c>
      <c r="AX737" s="3" t="s">
        <v>7705</v>
      </c>
      <c r="AY737" s="3" t="s">
        <v>7706</v>
      </c>
      <c r="AZ737" s="3" t="s">
        <v>7707</v>
      </c>
      <c r="BA737" s="3" t="s">
        <v>7707</v>
      </c>
      <c r="BB737" s="3" t="s">
        <v>7708</v>
      </c>
      <c r="BC737" s="3" t="s">
        <v>77</v>
      </c>
      <c r="BD737" s="3" t="s">
        <v>78</v>
      </c>
      <c r="BF737" s="3" t="s">
        <v>7708</v>
      </c>
      <c r="BG737" s="3" t="s">
        <v>7709</v>
      </c>
    </row>
    <row r="738" spans="1:59" ht="58" x14ac:dyDescent="0.35">
      <c r="A738" s="2" t="s">
        <v>59</v>
      </c>
      <c r="B738" s="2" t="s">
        <v>60</v>
      </c>
      <c r="C738" s="2" t="s">
        <v>7710</v>
      </c>
      <c r="D738" s="2" t="s">
        <v>7711</v>
      </c>
      <c r="E738" s="2" t="s">
        <v>7712</v>
      </c>
      <c r="G738" s="3" t="s">
        <v>65</v>
      </c>
      <c r="I738" s="3" t="s">
        <v>65</v>
      </c>
      <c r="J738" s="3" t="s">
        <v>65</v>
      </c>
      <c r="K738" s="3" t="s">
        <v>66</v>
      </c>
      <c r="M738" s="2" t="s">
        <v>7713</v>
      </c>
      <c r="N738" s="3" t="s">
        <v>188</v>
      </c>
      <c r="P738" s="3" t="s">
        <v>140</v>
      </c>
      <c r="Q738" s="2" t="s">
        <v>7714</v>
      </c>
      <c r="R738" s="3" t="s">
        <v>71</v>
      </c>
      <c r="S738" s="4">
        <v>0</v>
      </c>
      <c r="T738" s="4">
        <v>0</v>
      </c>
      <c r="W738" s="5" t="s">
        <v>72</v>
      </c>
      <c r="X738" s="5" t="s">
        <v>72</v>
      </c>
      <c r="Y738" s="4">
        <v>42</v>
      </c>
      <c r="Z738" s="4">
        <v>1</v>
      </c>
      <c r="AA738" s="4">
        <v>1</v>
      </c>
      <c r="AB738" s="4">
        <v>1</v>
      </c>
      <c r="AC738" s="4">
        <v>1</v>
      </c>
      <c r="AD738" s="4">
        <v>25</v>
      </c>
      <c r="AE738" s="4">
        <v>25</v>
      </c>
      <c r="AF738" s="4">
        <v>0</v>
      </c>
      <c r="AG738" s="4">
        <v>0</v>
      </c>
      <c r="AH738" s="4">
        <v>24</v>
      </c>
      <c r="AI738" s="4">
        <v>24</v>
      </c>
      <c r="AJ738" s="4">
        <v>0</v>
      </c>
      <c r="AK738" s="4">
        <v>0</v>
      </c>
      <c r="AL738" s="4">
        <v>21</v>
      </c>
      <c r="AM738" s="4">
        <v>21</v>
      </c>
      <c r="AN738" s="4">
        <v>0</v>
      </c>
      <c r="AO738" s="4">
        <v>0</v>
      </c>
      <c r="AP738" s="4">
        <v>0</v>
      </c>
      <c r="AQ738" s="4">
        <v>0</v>
      </c>
      <c r="AR738" s="3" t="s">
        <v>65</v>
      </c>
      <c r="AS738" s="3" t="s">
        <v>65</v>
      </c>
      <c r="AT738" s="3" t="s">
        <v>65</v>
      </c>
      <c r="AV738" s="6" t="str">
        <f>HYPERLINK("http://mcgill.on.worldcat.org/oclc/999377027","Catalog Record")</f>
        <v>Catalog Record</v>
      </c>
      <c r="AW738" s="6" t="str">
        <f>HYPERLINK("http://www.worldcat.org/oclc/999377027","WorldCat Record")</f>
        <v>WorldCat Record</v>
      </c>
      <c r="AX738" s="3" t="s">
        <v>7715</v>
      </c>
      <c r="AY738" s="3" t="s">
        <v>7716</v>
      </c>
      <c r="AZ738" s="3" t="s">
        <v>7717</v>
      </c>
      <c r="BA738" s="3" t="s">
        <v>7717</v>
      </c>
      <c r="BB738" s="3" t="s">
        <v>7718</v>
      </c>
      <c r="BC738" s="3" t="s">
        <v>77</v>
      </c>
      <c r="BD738" s="3" t="s">
        <v>78</v>
      </c>
      <c r="BE738" s="3" t="s">
        <v>7719</v>
      </c>
      <c r="BF738" s="3" t="s">
        <v>7718</v>
      </c>
      <c r="BG738" s="3" t="s">
        <v>7720</v>
      </c>
    </row>
    <row r="739" spans="1:59" ht="58" x14ac:dyDescent="0.35">
      <c r="A739" s="2" t="s">
        <v>59</v>
      </c>
      <c r="B739" s="2" t="s">
        <v>60</v>
      </c>
      <c r="C739" s="2" t="s">
        <v>7721</v>
      </c>
      <c r="D739" s="2" t="s">
        <v>7722</v>
      </c>
      <c r="E739" s="2" t="s">
        <v>7723</v>
      </c>
      <c r="G739" s="3" t="s">
        <v>65</v>
      </c>
      <c r="I739" s="3" t="s">
        <v>65</v>
      </c>
      <c r="J739" s="3" t="s">
        <v>65</v>
      </c>
      <c r="K739" s="3" t="s">
        <v>66</v>
      </c>
      <c r="M739" s="2" t="s">
        <v>7724</v>
      </c>
      <c r="N739" s="3" t="s">
        <v>152</v>
      </c>
      <c r="P739" s="3" t="s">
        <v>140</v>
      </c>
      <c r="Q739" s="2" t="s">
        <v>7725</v>
      </c>
      <c r="R739" s="3" t="s">
        <v>71</v>
      </c>
      <c r="S739" s="4">
        <v>0</v>
      </c>
      <c r="T739" s="4">
        <v>0</v>
      </c>
      <c r="W739" s="5" t="s">
        <v>72</v>
      </c>
      <c r="X739" s="5" t="s">
        <v>72</v>
      </c>
      <c r="Y739" s="4">
        <v>25</v>
      </c>
      <c r="Z739" s="4">
        <v>1</v>
      </c>
      <c r="AA739" s="4">
        <v>6</v>
      </c>
      <c r="AB739" s="4">
        <v>1</v>
      </c>
      <c r="AC739" s="4">
        <v>2</v>
      </c>
      <c r="AD739" s="4">
        <v>16</v>
      </c>
      <c r="AE739" s="4">
        <v>34</v>
      </c>
      <c r="AF739" s="4">
        <v>0</v>
      </c>
      <c r="AG739" s="4">
        <v>0</v>
      </c>
      <c r="AH739" s="4">
        <v>15</v>
      </c>
      <c r="AI739" s="4">
        <v>33</v>
      </c>
      <c r="AJ739" s="4">
        <v>0</v>
      </c>
      <c r="AK739" s="4">
        <v>3</v>
      </c>
      <c r="AL739" s="4">
        <v>14</v>
      </c>
      <c r="AM739" s="4">
        <v>24</v>
      </c>
      <c r="AN739" s="4">
        <v>0</v>
      </c>
      <c r="AO739" s="4">
        <v>0</v>
      </c>
      <c r="AP739" s="4">
        <v>0</v>
      </c>
      <c r="AQ739" s="4">
        <v>3</v>
      </c>
      <c r="AR739" s="3" t="s">
        <v>65</v>
      </c>
      <c r="AS739" s="3" t="s">
        <v>65</v>
      </c>
      <c r="AT739" s="3" t="s">
        <v>65</v>
      </c>
      <c r="AV739" s="6" t="str">
        <f>HYPERLINK("http://mcgill.on.worldcat.org/oclc/841181391","Catalog Record")</f>
        <v>Catalog Record</v>
      </c>
      <c r="AW739" s="6" t="str">
        <f>HYPERLINK("http://www.worldcat.org/oclc/841181391","WorldCat Record")</f>
        <v>WorldCat Record</v>
      </c>
      <c r="AX739" s="3" t="s">
        <v>7726</v>
      </c>
      <c r="AY739" s="3" t="s">
        <v>7727</v>
      </c>
      <c r="AZ739" s="3" t="s">
        <v>7728</v>
      </c>
      <c r="BA739" s="3" t="s">
        <v>7728</v>
      </c>
      <c r="BB739" s="3" t="s">
        <v>7729</v>
      </c>
      <c r="BC739" s="3" t="s">
        <v>77</v>
      </c>
      <c r="BD739" s="3" t="s">
        <v>78</v>
      </c>
      <c r="BE739" s="3" t="s">
        <v>7730</v>
      </c>
      <c r="BF739" s="3" t="s">
        <v>7729</v>
      </c>
      <c r="BG739" s="3" t="s">
        <v>7731</v>
      </c>
    </row>
    <row r="740" spans="1:59" ht="58" x14ac:dyDescent="0.35">
      <c r="A740" s="2" t="s">
        <v>59</v>
      </c>
      <c r="B740" s="2" t="s">
        <v>60</v>
      </c>
      <c r="C740" s="2" t="s">
        <v>7732</v>
      </c>
      <c r="D740" s="2" t="s">
        <v>7733</v>
      </c>
      <c r="E740" s="2" t="s">
        <v>7734</v>
      </c>
      <c r="G740" s="3" t="s">
        <v>65</v>
      </c>
      <c r="I740" s="3" t="s">
        <v>65</v>
      </c>
      <c r="J740" s="3" t="s">
        <v>65</v>
      </c>
      <c r="K740" s="3" t="s">
        <v>66</v>
      </c>
      <c r="M740" s="2" t="s">
        <v>7735</v>
      </c>
      <c r="N740" s="3" t="s">
        <v>1151</v>
      </c>
      <c r="P740" s="3" t="s">
        <v>69</v>
      </c>
      <c r="R740" s="3" t="s">
        <v>71</v>
      </c>
      <c r="S740" s="4">
        <v>16</v>
      </c>
      <c r="T740" s="4">
        <v>16</v>
      </c>
      <c r="U740" s="5" t="s">
        <v>7497</v>
      </c>
      <c r="V740" s="5" t="s">
        <v>7497</v>
      </c>
      <c r="W740" s="5" t="s">
        <v>72</v>
      </c>
      <c r="X740" s="5" t="s">
        <v>72</v>
      </c>
      <c r="Y740" s="4">
        <v>307</v>
      </c>
      <c r="Z740" s="4">
        <v>23</v>
      </c>
      <c r="AA740" s="4">
        <v>29</v>
      </c>
      <c r="AB740" s="4">
        <v>2</v>
      </c>
      <c r="AC740" s="4">
        <v>4</v>
      </c>
      <c r="AD740" s="4">
        <v>67</v>
      </c>
      <c r="AE740" s="4">
        <v>107</v>
      </c>
      <c r="AF740" s="4">
        <v>1</v>
      </c>
      <c r="AG740" s="4">
        <v>3</v>
      </c>
      <c r="AH740" s="4">
        <v>57</v>
      </c>
      <c r="AI740" s="4">
        <v>94</v>
      </c>
      <c r="AJ740" s="4">
        <v>15</v>
      </c>
      <c r="AK740" s="4">
        <v>17</v>
      </c>
      <c r="AL740" s="4">
        <v>39</v>
      </c>
      <c r="AM740" s="4">
        <v>50</v>
      </c>
      <c r="AN740" s="4">
        <v>0</v>
      </c>
      <c r="AO740" s="4">
        <v>0</v>
      </c>
      <c r="AP740" s="4">
        <v>17</v>
      </c>
      <c r="AQ740" s="4">
        <v>20</v>
      </c>
      <c r="AR740" s="3" t="s">
        <v>65</v>
      </c>
      <c r="AS740" s="3" t="s">
        <v>65</v>
      </c>
      <c r="AT740" s="3" t="s">
        <v>65</v>
      </c>
      <c r="AV740" s="6" t="str">
        <f>HYPERLINK("http://mcgill.on.worldcat.org/oclc/3185700","Catalog Record")</f>
        <v>Catalog Record</v>
      </c>
      <c r="AW740" s="6" t="str">
        <f>HYPERLINK("http://www.worldcat.org/oclc/3185700","WorldCat Record")</f>
        <v>WorldCat Record</v>
      </c>
      <c r="AX740" s="3" t="s">
        <v>7736</v>
      </c>
      <c r="AY740" s="3" t="s">
        <v>7737</v>
      </c>
      <c r="AZ740" s="3" t="s">
        <v>7738</v>
      </c>
      <c r="BA740" s="3" t="s">
        <v>7738</v>
      </c>
      <c r="BB740" s="3" t="s">
        <v>7739</v>
      </c>
      <c r="BC740" s="3" t="s">
        <v>77</v>
      </c>
      <c r="BD740" s="3" t="s">
        <v>78</v>
      </c>
      <c r="BE740" s="3" t="s">
        <v>7740</v>
      </c>
      <c r="BF740" s="3" t="s">
        <v>7739</v>
      </c>
      <c r="BG740" s="3" t="s">
        <v>7741</v>
      </c>
    </row>
    <row r="741" spans="1:59" ht="58" x14ac:dyDescent="0.35">
      <c r="A741" s="2" t="s">
        <v>59</v>
      </c>
      <c r="B741" s="2" t="s">
        <v>60</v>
      </c>
      <c r="C741" s="2" t="s">
        <v>7742</v>
      </c>
      <c r="D741" s="2" t="s">
        <v>7743</v>
      </c>
      <c r="E741" s="2" t="s">
        <v>7744</v>
      </c>
      <c r="G741" s="3" t="s">
        <v>65</v>
      </c>
      <c r="I741" s="3" t="s">
        <v>65</v>
      </c>
      <c r="J741" s="3" t="s">
        <v>65</v>
      </c>
      <c r="K741" s="3" t="s">
        <v>66</v>
      </c>
      <c r="L741" s="2" t="s">
        <v>7745</v>
      </c>
      <c r="M741" s="2" t="s">
        <v>7746</v>
      </c>
      <c r="N741" s="3" t="s">
        <v>221</v>
      </c>
      <c r="O741" s="2" t="s">
        <v>526</v>
      </c>
      <c r="P741" s="3" t="s">
        <v>140</v>
      </c>
      <c r="Q741" s="2" t="s">
        <v>7747</v>
      </c>
      <c r="R741" s="3" t="s">
        <v>71</v>
      </c>
      <c r="S741" s="4">
        <v>2</v>
      </c>
      <c r="T741" s="4">
        <v>2</v>
      </c>
      <c r="U741" s="5" t="s">
        <v>7748</v>
      </c>
      <c r="V741" s="5" t="s">
        <v>7748</v>
      </c>
      <c r="W741" s="5" t="s">
        <v>72</v>
      </c>
      <c r="X741" s="5" t="s">
        <v>72</v>
      </c>
      <c r="Y741" s="4">
        <v>80</v>
      </c>
      <c r="Z741" s="4">
        <v>5</v>
      </c>
      <c r="AA741" s="4">
        <v>5</v>
      </c>
      <c r="AB741" s="4">
        <v>1</v>
      </c>
      <c r="AC741" s="4">
        <v>1</v>
      </c>
      <c r="AD741" s="4">
        <v>40</v>
      </c>
      <c r="AE741" s="4">
        <v>40</v>
      </c>
      <c r="AF741" s="4">
        <v>0</v>
      </c>
      <c r="AG741" s="4">
        <v>0</v>
      </c>
      <c r="AH741" s="4">
        <v>37</v>
      </c>
      <c r="AI741" s="4">
        <v>37</v>
      </c>
      <c r="AJ741" s="4">
        <v>3</v>
      </c>
      <c r="AK741" s="4">
        <v>3</v>
      </c>
      <c r="AL741" s="4">
        <v>29</v>
      </c>
      <c r="AM741" s="4">
        <v>29</v>
      </c>
      <c r="AN741" s="4">
        <v>0</v>
      </c>
      <c r="AO741" s="4">
        <v>0</v>
      </c>
      <c r="AP741" s="4">
        <v>3</v>
      </c>
      <c r="AQ741" s="4">
        <v>3</v>
      </c>
      <c r="AR741" s="3" t="s">
        <v>65</v>
      </c>
      <c r="AS741" s="3" t="s">
        <v>65</v>
      </c>
      <c r="AT741" s="3" t="s">
        <v>209</v>
      </c>
      <c r="AU741" s="6" t="str">
        <f>HYPERLINK("http://catalog.hathitrust.org/Record/005604802","HathiTrust Record")</f>
        <v>HathiTrust Record</v>
      </c>
      <c r="AV741" s="6" t="str">
        <f>HYPERLINK("http://mcgill.on.worldcat.org/oclc/170906319","Catalog Record")</f>
        <v>Catalog Record</v>
      </c>
      <c r="AW741" s="6" t="str">
        <f>HYPERLINK("http://www.worldcat.org/oclc/170906319","WorldCat Record")</f>
        <v>WorldCat Record</v>
      </c>
      <c r="AX741" s="3" t="s">
        <v>7749</v>
      </c>
      <c r="AY741" s="3" t="s">
        <v>7750</v>
      </c>
      <c r="AZ741" s="3" t="s">
        <v>7751</v>
      </c>
      <c r="BA741" s="3" t="s">
        <v>7751</v>
      </c>
      <c r="BB741" s="3" t="s">
        <v>7752</v>
      </c>
      <c r="BC741" s="3" t="s">
        <v>77</v>
      </c>
      <c r="BD741" s="3" t="s">
        <v>78</v>
      </c>
      <c r="BE741" s="3" t="s">
        <v>7753</v>
      </c>
      <c r="BF741" s="3" t="s">
        <v>7752</v>
      </c>
      <c r="BG741" s="3" t="s">
        <v>7754</v>
      </c>
    </row>
    <row r="742" spans="1:59" ht="58" x14ac:dyDescent="0.35">
      <c r="A742" s="2" t="s">
        <v>59</v>
      </c>
      <c r="B742" s="2" t="s">
        <v>60</v>
      </c>
      <c r="C742" s="2" t="s">
        <v>7755</v>
      </c>
      <c r="D742" s="2" t="s">
        <v>7756</v>
      </c>
      <c r="E742" s="2" t="s">
        <v>7757</v>
      </c>
      <c r="G742" s="3" t="s">
        <v>65</v>
      </c>
      <c r="I742" s="3" t="s">
        <v>65</v>
      </c>
      <c r="J742" s="3" t="s">
        <v>65</v>
      </c>
      <c r="K742" s="3" t="s">
        <v>66</v>
      </c>
      <c r="M742" s="2" t="s">
        <v>7758</v>
      </c>
      <c r="N742" s="3" t="s">
        <v>164</v>
      </c>
      <c r="P742" s="3" t="s">
        <v>69</v>
      </c>
      <c r="Q742" s="2" t="s">
        <v>1197</v>
      </c>
      <c r="R742" s="3" t="s">
        <v>71</v>
      </c>
      <c r="S742" s="4">
        <v>0</v>
      </c>
      <c r="T742" s="4">
        <v>0</v>
      </c>
      <c r="W742" s="5" t="s">
        <v>72</v>
      </c>
      <c r="X742" s="5" t="s">
        <v>72</v>
      </c>
      <c r="Y742" s="4">
        <v>109</v>
      </c>
      <c r="Z742" s="4">
        <v>16</v>
      </c>
      <c r="AA742" s="4">
        <v>87</v>
      </c>
      <c r="AB742" s="4">
        <v>1</v>
      </c>
      <c r="AC742" s="4">
        <v>15</v>
      </c>
      <c r="AD742" s="4">
        <v>57</v>
      </c>
      <c r="AE742" s="4">
        <v>121</v>
      </c>
      <c r="AF742" s="4">
        <v>0</v>
      </c>
      <c r="AG742" s="4">
        <v>8</v>
      </c>
      <c r="AH742" s="4">
        <v>49</v>
      </c>
      <c r="AI742" s="4">
        <v>84</v>
      </c>
      <c r="AJ742" s="4">
        <v>10</v>
      </c>
      <c r="AK742" s="4">
        <v>25</v>
      </c>
      <c r="AL742" s="4">
        <v>36</v>
      </c>
      <c r="AM742" s="4">
        <v>46</v>
      </c>
      <c r="AN742" s="4">
        <v>0</v>
      </c>
      <c r="AO742" s="4">
        <v>0</v>
      </c>
      <c r="AP742" s="4">
        <v>11</v>
      </c>
      <c r="AQ742" s="4">
        <v>45</v>
      </c>
      <c r="AR742" s="3" t="s">
        <v>209</v>
      </c>
      <c r="AS742" s="3" t="s">
        <v>65</v>
      </c>
      <c r="AT742" s="3" t="s">
        <v>65</v>
      </c>
      <c r="AV742" s="6" t="str">
        <f>HYPERLINK("http://mcgill.on.worldcat.org/oclc/865495407","Catalog Record")</f>
        <v>Catalog Record</v>
      </c>
      <c r="AW742" s="6" t="str">
        <f>HYPERLINK("http://www.worldcat.org/oclc/865495407","WorldCat Record")</f>
        <v>WorldCat Record</v>
      </c>
      <c r="AX742" s="3" t="s">
        <v>7759</v>
      </c>
      <c r="AY742" s="3" t="s">
        <v>7760</v>
      </c>
      <c r="AZ742" s="3" t="s">
        <v>7761</v>
      </c>
      <c r="BA742" s="3" t="s">
        <v>7761</v>
      </c>
      <c r="BB742" s="3" t="s">
        <v>7762</v>
      </c>
      <c r="BC742" s="3" t="s">
        <v>77</v>
      </c>
      <c r="BD742" s="3" t="s">
        <v>78</v>
      </c>
      <c r="BE742" s="3" t="s">
        <v>7763</v>
      </c>
      <c r="BF742" s="3" t="s">
        <v>7762</v>
      </c>
      <c r="BG742" s="3" t="s">
        <v>7764</v>
      </c>
    </row>
    <row r="743" spans="1:59" ht="58" x14ac:dyDescent="0.35">
      <c r="A743" s="2" t="s">
        <v>59</v>
      </c>
      <c r="B743" s="2" t="s">
        <v>60</v>
      </c>
      <c r="C743" s="2" t="s">
        <v>7765</v>
      </c>
      <c r="D743" s="2" t="s">
        <v>7766</v>
      </c>
      <c r="E743" s="2" t="s">
        <v>7767</v>
      </c>
      <c r="F743" s="3" t="s">
        <v>245</v>
      </c>
      <c r="G743" s="3" t="s">
        <v>209</v>
      </c>
      <c r="I743" s="3" t="s">
        <v>65</v>
      </c>
      <c r="J743" s="3" t="s">
        <v>65</v>
      </c>
      <c r="K743" s="3" t="s">
        <v>66</v>
      </c>
      <c r="L743" s="2" t="s">
        <v>7150</v>
      </c>
      <c r="M743" s="2" t="s">
        <v>7768</v>
      </c>
      <c r="N743" s="3" t="s">
        <v>126</v>
      </c>
      <c r="P743" s="3" t="s">
        <v>69</v>
      </c>
      <c r="Q743" s="2" t="s">
        <v>7769</v>
      </c>
      <c r="R743" s="3" t="s">
        <v>71</v>
      </c>
      <c r="S743" s="4">
        <v>0</v>
      </c>
      <c r="T743" s="4">
        <v>0</v>
      </c>
      <c r="W743" s="5" t="s">
        <v>72</v>
      </c>
      <c r="X743" s="5" t="s">
        <v>72</v>
      </c>
      <c r="Y743" s="4">
        <v>51</v>
      </c>
      <c r="Z743" s="4">
        <v>5</v>
      </c>
      <c r="AA743" s="4">
        <v>5</v>
      </c>
      <c r="AB743" s="4">
        <v>1</v>
      </c>
      <c r="AC743" s="4">
        <v>1</v>
      </c>
      <c r="AD743" s="4">
        <v>35</v>
      </c>
      <c r="AE743" s="4">
        <v>35</v>
      </c>
      <c r="AF743" s="4">
        <v>0</v>
      </c>
      <c r="AG743" s="4">
        <v>0</v>
      </c>
      <c r="AH743" s="4">
        <v>34</v>
      </c>
      <c r="AI743" s="4">
        <v>34</v>
      </c>
      <c r="AJ743" s="4">
        <v>3</v>
      </c>
      <c r="AK743" s="4">
        <v>3</v>
      </c>
      <c r="AL743" s="4">
        <v>25</v>
      </c>
      <c r="AM743" s="4">
        <v>25</v>
      </c>
      <c r="AN743" s="4">
        <v>0</v>
      </c>
      <c r="AO743" s="4">
        <v>0</v>
      </c>
      <c r="AP743" s="4">
        <v>3</v>
      </c>
      <c r="AQ743" s="4">
        <v>3</v>
      </c>
      <c r="AR743" s="3" t="s">
        <v>65</v>
      </c>
      <c r="AS743" s="3" t="s">
        <v>65</v>
      </c>
      <c r="AT743" s="3" t="s">
        <v>65</v>
      </c>
      <c r="AV743" s="6" t="str">
        <f>HYPERLINK("http://mcgill.on.worldcat.org/oclc/768397413","Catalog Record")</f>
        <v>Catalog Record</v>
      </c>
      <c r="AW743" s="6" t="str">
        <f>HYPERLINK("http://www.worldcat.org/oclc/768397413","WorldCat Record")</f>
        <v>WorldCat Record</v>
      </c>
      <c r="AX743" s="3" t="s">
        <v>7770</v>
      </c>
      <c r="AY743" s="3" t="s">
        <v>7771</v>
      </c>
      <c r="AZ743" s="3" t="s">
        <v>7772</v>
      </c>
      <c r="BA743" s="3" t="s">
        <v>7772</v>
      </c>
      <c r="BB743" s="3" t="s">
        <v>7773</v>
      </c>
      <c r="BC743" s="3" t="s">
        <v>77</v>
      </c>
      <c r="BD743" s="3" t="s">
        <v>78</v>
      </c>
      <c r="BE743" s="3" t="s">
        <v>7774</v>
      </c>
      <c r="BF743" s="3" t="s">
        <v>7773</v>
      </c>
      <c r="BG743" s="3" t="s">
        <v>7775</v>
      </c>
    </row>
    <row r="744" spans="1:59" ht="58" x14ac:dyDescent="0.35">
      <c r="A744" s="2" t="s">
        <v>59</v>
      </c>
      <c r="B744" s="2" t="s">
        <v>60</v>
      </c>
      <c r="C744" s="2" t="s">
        <v>7765</v>
      </c>
      <c r="D744" s="2" t="s">
        <v>7766</v>
      </c>
      <c r="E744" s="2" t="s">
        <v>7767</v>
      </c>
      <c r="F744" s="3" t="s">
        <v>503</v>
      </c>
      <c r="G744" s="3" t="s">
        <v>209</v>
      </c>
      <c r="I744" s="3" t="s">
        <v>65</v>
      </c>
      <c r="J744" s="3" t="s">
        <v>65</v>
      </c>
      <c r="K744" s="3" t="s">
        <v>66</v>
      </c>
      <c r="L744" s="2" t="s">
        <v>7150</v>
      </c>
      <c r="M744" s="2" t="s">
        <v>7768</v>
      </c>
      <c r="N744" s="3" t="s">
        <v>126</v>
      </c>
      <c r="P744" s="3" t="s">
        <v>69</v>
      </c>
      <c r="Q744" s="2" t="s">
        <v>7769</v>
      </c>
      <c r="R744" s="3" t="s">
        <v>71</v>
      </c>
      <c r="S744" s="4">
        <v>0</v>
      </c>
      <c r="T744" s="4">
        <v>0</v>
      </c>
      <c r="W744" s="5" t="s">
        <v>72</v>
      </c>
      <c r="X744" s="5" t="s">
        <v>72</v>
      </c>
      <c r="Y744" s="4">
        <v>51</v>
      </c>
      <c r="Z744" s="4">
        <v>5</v>
      </c>
      <c r="AA744" s="4">
        <v>5</v>
      </c>
      <c r="AB744" s="4">
        <v>1</v>
      </c>
      <c r="AC744" s="4">
        <v>1</v>
      </c>
      <c r="AD744" s="4">
        <v>35</v>
      </c>
      <c r="AE744" s="4">
        <v>35</v>
      </c>
      <c r="AF744" s="4">
        <v>0</v>
      </c>
      <c r="AG744" s="4">
        <v>0</v>
      </c>
      <c r="AH744" s="4">
        <v>34</v>
      </c>
      <c r="AI744" s="4">
        <v>34</v>
      </c>
      <c r="AJ744" s="4">
        <v>3</v>
      </c>
      <c r="AK744" s="4">
        <v>3</v>
      </c>
      <c r="AL744" s="4">
        <v>25</v>
      </c>
      <c r="AM744" s="4">
        <v>25</v>
      </c>
      <c r="AN744" s="4">
        <v>0</v>
      </c>
      <c r="AO744" s="4">
        <v>0</v>
      </c>
      <c r="AP744" s="4">
        <v>3</v>
      </c>
      <c r="AQ744" s="4">
        <v>3</v>
      </c>
      <c r="AR744" s="3" t="s">
        <v>65</v>
      </c>
      <c r="AS744" s="3" t="s">
        <v>65</v>
      </c>
      <c r="AT744" s="3" t="s">
        <v>65</v>
      </c>
      <c r="AV744" s="6" t="str">
        <f>HYPERLINK("http://mcgill.on.worldcat.org/oclc/768397413","Catalog Record")</f>
        <v>Catalog Record</v>
      </c>
      <c r="AW744" s="6" t="str">
        <f>HYPERLINK("http://www.worldcat.org/oclc/768397413","WorldCat Record")</f>
        <v>WorldCat Record</v>
      </c>
      <c r="AX744" s="3" t="s">
        <v>7770</v>
      </c>
      <c r="AY744" s="3" t="s">
        <v>7771</v>
      </c>
      <c r="AZ744" s="3" t="s">
        <v>7772</v>
      </c>
      <c r="BA744" s="3" t="s">
        <v>7772</v>
      </c>
      <c r="BB744" s="3" t="s">
        <v>7776</v>
      </c>
      <c r="BC744" s="3" t="s">
        <v>77</v>
      </c>
      <c r="BD744" s="3" t="s">
        <v>78</v>
      </c>
      <c r="BE744" s="3" t="s">
        <v>7774</v>
      </c>
      <c r="BF744" s="3" t="s">
        <v>7776</v>
      </c>
      <c r="BG744" s="3" t="s">
        <v>7777</v>
      </c>
    </row>
    <row r="745" spans="1:59" ht="58" x14ac:dyDescent="0.35">
      <c r="A745" s="2" t="s">
        <v>59</v>
      </c>
      <c r="B745" s="2" t="s">
        <v>60</v>
      </c>
      <c r="C745" s="2" t="s">
        <v>7778</v>
      </c>
      <c r="D745" s="2" t="s">
        <v>7779</v>
      </c>
      <c r="E745" s="2" t="s">
        <v>7780</v>
      </c>
      <c r="G745" s="3" t="s">
        <v>65</v>
      </c>
      <c r="I745" s="3" t="s">
        <v>65</v>
      </c>
      <c r="J745" s="3" t="s">
        <v>65</v>
      </c>
      <c r="K745" s="3" t="s">
        <v>66</v>
      </c>
      <c r="M745" s="2" t="s">
        <v>7781</v>
      </c>
      <c r="N745" s="3" t="s">
        <v>164</v>
      </c>
      <c r="P745" s="3" t="s">
        <v>140</v>
      </c>
      <c r="Q745" s="2" t="s">
        <v>7782</v>
      </c>
      <c r="R745" s="3" t="s">
        <v>71</v>
      </c>
      <c r="S745" s="4">
        <v>0</v>
      </c>
      <c r="T745" s="4">
        <v>0</v>
      </c>
      <c r="W745" s="5" t="s">
        <v>72</v>
      </c>
      <c r="X745" s="5" t="s">
        <v>72</v>
      </c>
      <c r="Y745" s="4">
        <v>32</v>
      </c>
      <c r="Z745" s="4">
        <v>3</v>
      </c>
      <c r="AA745" s="4">
        <v>3</v>
      </c>
      <c r="AB745" s="4">
        <v>1</v>
      </c>
      <c r="AC745" s="4">
        <v>1</v>
      </c>
      <c r="AD745" s="4">
        <v>19</v>
      </c>
      <c r="AE745" s="4">
        <v>19</v>
      </c>
      <c r="AF745" s="4">
        <v>0</v>
      </c>
      <c r="AG745" s="4">
        <v>0</v>
      </c>
      <c r="AH745" s="4">
        <v>19</v>
      </c>
      <c r="AI745" s="4">
        <v>19</v>
      </c>
      <c r="AJ745" s="4">
        <v>1</v>
      </c>
      <c r="AK745" s="4">
        <v>1</v>
      </c>
      <c r="AL745" s="4">
        <v>16</v>
      </c>
      <c r="AM745" s="4">
        <v>16</v>
      </c>
      <c r="AN745" s="4">
        <v>0</v>
      </c>
      <c r="AO745" s="4">
        <v>0</v>
      </c>
      <c r="AP745" s="4">
        <v>1</v>
      </c>
      <c r="AQ745" s="4">
        <v>1</v>
      </c>
      <c r="AR745" s="3" t="s">
        <v>65</v>
      </c>
      <c r="AS745" s="3" t="s">
        <v>65</v>
      </c>
      <c r="AT745" s="3" t="s">
        <v>65</v>
      </c>
      <c r="AV745" s="6" t="str">
        <f>HYPERLINK("http://mcgill.on.worldcat.org/oclc/893894412","Catalog Record")</f>
        <v>Catalog Record</v>
      </c>
      <c r="AW745" s="6" t="str">
        <f>HYPERLINK("http://www.worldcat.org/oclc/893894412","WorldCat Record")</f>
        <v>WorldCat Record</v>
      </c>
      <c r="AX745" s="3" t="s">
        <v>7783</v>
      </c>
      <c r="AY745" s="3" t="s">
        <v>7784</v>
      </c>
      <c r="AZ745" s="3" t="s">
        <v>7785</v>
      </c>
      <c r="BA745" s="3" t="s">
        <v>7785</v>
      </c>
      <c r="BB745" s="3" t="s">
        <v>7786</v>
      </c>
      <c r="BC745" s="3" t="s">
        <v>77</v>
      </c>
      <c r="BD745" s="3" t="s">
        <v>78</v>
      </c>
      <c r="BE745" s="3" t="s">
        <v>7787</v>
      </c>
      <c r="BF745" s="3" t="s">
        <v>7786</v>
      </c>
      <c r="BG745" s="3" t="s">
        <v>7788</v>
      </c>
    </row>
    <row r="746" spans="1:59" ht="58" x14ac:dyDescent="0.35">
      <c r="A746" s="2" t="s">
        <v>59</v>
      </c>
      <c r="B746" s="2" t="s">
        <v>60</v>
      </c>
      <c r="C746" s="2" t="s">
        <v>7789</v>
      </c>
      <c r="D746" s="2" t="s">
        <v>7790</v>
      </c>
      <c r="E746" s="2" t="s">
        <v>7791</v>
      </c>
      <c r="G746" s="3" t="s">
        <v>65</v>
      </c>
      <c r="I746" s="3" t="s">
        <v>65</v>
      </c>
      <c r="J746" s="3" t="s">
        <v>65</v>
      </c>
      <c r="K746" s="3" t="s">
        <v>66</v>
      </c>
      <c r="L746" s="2" t="s">
        <v>7792</v>
      </c>
      <c r="M746" s="2" t="s">
        <v>5595</v>
      </c>
      <c r="N746" s="3" t="s">
        <v>188</v>
      </c>
      <c r="P746" s="3" t="s">
        <v>140</v>
      </c>
      <c r="Q746" s="2" t="s">
        <v>7793</v>
      </c>
      <c r="R746" s="3" t="s">
        <v>71</v>
      </c>
      <c r="S746" s="4">
        <v>0</v>
      </c>
      <c r="T746" s="4">
        <v>0</v>
      </c>
      <c r="W746" s="5" t="s">
        <v>72</v>
      </c>
      <c r="X746" s="5" t="s">
        <v>72</v>
      </c>
      <c r="Y746" s="4">
        <v>39</v>
      </c>
      <c r="Z746" s="4">
        <v>1</v>
      </c>
      <c r="AA746" s="4">
        <v>1</v>
      </c>
      <c r="AB746" s="4">
        <v>1</v>
      </c>
      <c r="AC746" s="4">
        <v>1</v>
      </c>
      <c r="AD746" s="4">
        <v>31</v>
      </c>
      <c r="AE746" s="4">
        <v>31</v>
      </c>
      <c r="AF746" s="4">
        <v>0</v>
      </c>
      <c r="AG746" s="4">
        <v>0</v>
      </c>
      <c r="AH746" s="4">
        <v>30</v>
      </c>
      <c r="AI746" s="4">
        <v>30</v>
      </c>
      <c r="AJ746" s="4">
        <v>0</v>
      </c>
      <c r="AK746" s="4">
        <v>0</v>
      </c>
      <c r="AL746" s="4">
        <v>26</v>
      </c>
      <c r="AM746" s="4">
        <v>26</v>
      </c>
      <c r="AN746" s="4">
        <v>0</v>
      </c>
      <c r="AO746" s="4">
        <v>0</v>
      </c>
      <c r="AP746" s="4">
        <v>0</v>
      </c>
      <c r="AQ746" s="4">
        <v>0</v>
      </c>
      <c r="AR746" s="3" t="s">
        <v>65</v>
      </c>
      <c r="AS746" s="3" t="s">
        <v>65</v>
      </c>
      <c r="AT746" s="3" t="s">
        <v>65</v>
      </c>
      <c r="AV746" s="6" t="str">
        <f>HYPERLINK("http://mcgill.on.worldcat.org/oclc/1019746917","Catalog Record")</f>
        <v>Catalog Record</v>
      </c>
      <c r="AW746" s="6" t="str">
        <f>HYPERLINK("http://www.worldcat.org/oclc/1019746917","WorldCat Record")</f>
        <v>WorldCat Record</v>
      </c>
      <c r="AX746" s="3" t="s">
        <v>7794</v>
      </c>
      <c r="AY746" s="3" t="s">
        <v>7795</v>
      </c>
      <c r="AZ746" s="3" t="s">
        <v>7796</v>
      </c>
      <c r="BA746" s="3" t="s">
        <v>7796</v>
      </c>
      <c r="BB746" s="3" t="s">
        <v>7797</v>
      </c>
      <c r="BC746" s="3" t="s">
        <v>77</v>
      </c>
      <c r="BD746" s="3" t="s">
        <v>78</v>
      </c>
      <c r="BE746" s="3" t="s">
        <v>7798</v>
      </c>
      <c r="BF746" s="3" t="s">
        <v>7797</v>
      </c>
      <c r="BG746" s="3" t="s">
        <v>7799</v>
      </c>
    </row>
    <row r="747" spans="1:59" ht="58" x14ac:dyDescent="0.35">
      <c r="A747" s="2" t="s">
        <v>59</v>
      </c>
      <c r="B747" s="2" t="s">
        <v>60</v>
      </c>
      <c r="C747" s="2" t="s">
        <v>7800</v>
      </c>
      <c r="D747" s="2" t="s">
        <v>7801</v>
      </c>
      <c r="E747" s="2" t="s">
        <v>7802</v>
      </c>
      <c r="G747" s="3" t="s">
        <v>65</v>
      </c>
      <c r="I747" s="3" t="s">
        <v>65</v>
      </c>
      <c r="J747" s="3" t="s">
        <v>65</v>
      </c>
      <c r="K747" s="3" t="s">
        <v>66</v>
      </c>
      <c r="L747" s="2" t="s">
        <v>7803</v>
      </c>
      <c r="M747" s="2" t="s">
        <v>7804</v>
      </c>
      <c r="N747" s="3" t="s">
        <v>552</v>
      </c>
      <c r="P747" s="3" t="s">
        <v>69</v>
      </c>
      <c r="R747" s="3" t="s">
        <v>71</v>
      </c>
      <c r="S747" s="4">
        <v>9</v>
      </c>
      <c r="T747" s="4">
        <v>9</v>
      </c>
      <c r="U747" s="5" t="s">
        <v>7805</v>
      </c>
      <c r="V747" s="5" t="s">
        <v>7805</v>
      </c>
      <c r="W747" s="5" t="s">
        <v>72</v>
      </c>
      <c r="X747" s="5" t="s">
        <v>72</v>
      </c>
      <c r="Y747" s="4">
        <v>346</v>
      </c>
      <c r="Z747" s="4">
        <v>20</v>
      </c>
      <c r="AA747" s="4">
        <v>20</v>
      </c>
      <c r="AB747" s="4">
        <v>1</v>
      </c>
      <c r="AC747" s="4">
        <v>1</v>
      </c>
      <c r="AD747" s="4">
        <v>111</v>
      </c>
      <c r="AE747" s="4">
        <v>111</v>
      </c>
      <c r="AF747" s="4">
        <v>0</v>
      </c>
      <c r="AG747" s="4">
        <v>0</v>
      </c>
      <c r="AH747" s="4">
        <v>103</v>
      </c>
      <c r="AI747" s="4">
        <v>103</v>
      </c>
      <c r="AJ747" s="4">
        <v>12</v>
      </c>
      <c r="AK747" s="4">
        <v>12</v>
      </c>
      <c r="AL747" s="4">
        <v>57</v>
      </c>
      <c r="AM747" s="4">
        <v>57</v>
      </c>
      <c r="AN747" s="4">
        <v>0</v>
      </c>
      <c r="AO747" s="4">
        <v>0</v>
      </c>
      <c r="AP747" s="4">
        <v>14</v>
      </c>
      <c r="AQ747" s="4">
        <v>14</v>
      </c>
      <c r="AR747" s="3" t="s">
        <v>65</v>
      </c>
      <c r="AS747" s="3" t="s">
        <v>209</v>
      </c>
      <c r="AT747" s="3" t="s">
        <v>65</v>
      </c>
      <c r="AU747" s="6" t="str">
        <f>HYPERLINK("http://catalog.hathitrust.org/Record/003947266","HathiTrust Record")</f>
        <v>HathiTrust Record</v>
      </c>
      <c r="AV747" s="6" t="str">
        <f>HYPERLINK("http://mcgill.on.worldcat.org/oclc/36178538","Catalog Record")</f>
        <v>Catalog Record</v>
      </c>
      <c r="AW747" s="6" t="str">
        <f>HYPERLINK("http://www.worldcat.org/oclc/36178538","WorldCat Record")</f>
        <v>WorldCat Record</v>
      </c>
      <c r="AX747" s="3" t="s">
        <v>7806</v>
      </c>
      <c r="AY747" s="3" t="s">
        <v>7807</v>
      </c>
      <c r="AZ747" s="3" t="s">
        <v>7808</v>
      </c>
      <c r="BA747" s="3" t="s">
        <v>7808</v>
      </c>
      <c r="BB747" s="3" t="s">
        <v>7809</v>
      </c>
      <c r="BC747" s="3" t="s">
        <v>77</v>
      </c>
      <c r="BD747" s="3" t="s">
        <v>78</v>
      </c>
      <c r="BE747" s="3" t="s">
        <v>7810</v>
      </c>
      <c r="BF747" s="3" t="s">
        <v>7809</v>
      </c>
      <c r="BG747" s="3" t="s">
        <v>7811</v>
      </c>
    </row>
    <row r="748" spans="1:59" ht="58" x14ac:dyDescent="0.35">
      <c r="A748" s="2" t="s">
        <v>59</v>
      </c>
      <c r="B748" s="2" t="s">
        <v>60</v>
      </c>
      <c r="C748" s="2" t="s">
        <v>7812</v>
      </c>
      <c r="D748" s="2" t="s">
        <v>7813</v>
      </c>
      <c r="E748" s="2" t="s">
        <v>7814</v>
      </c>
      <c r="G748" s="3" t="s">
        <v>65</v>
      </c>
      <c r="I748" s="3" t="s">
        <v>65</v>
      </c>
      <c r="J748" s="3" t="s">
        <v>65</v>
      </c>
      <c r="K748" s="3" t="s">
        <v>66</v>
      </c>
      <c r="L748" s="2" t="s">
        <v>7815</v>
      </c>
      <c r="M748" s="2" t="s">
        <v>7816</v>
      </c>
      <c r="N748" s="3" t="s">
        <v>831</v>
      </c>
      <c r="P748" s="3" t="s">
        <v>69</v>
      </c>
      <c r="R748" s="3" t="s">
        <v>71</v>
      </c>
      <c r="S748" s="4">
        <v>17</v>
      </c>
      <c r="T748" s="4">
        <v>17</v>
      </c>
      <c r="U748" s="5" t="s">
        <v>5061</v>
      </c>
      <c r="V748" s="5" t="s">
        <v>5061</v>
      </c>
      <c r="W748" s="5" t="s">
        <v>72</v>
      </c>
      <c r="X748" s="5" t="s">
        <v>72</v>
      </c>
      <c r="Y748" s="4">
        <v>373</v>
      </c>
      <c r="Z748" s="4">
        <v>22</v>
      </c>
      <c r="AA748" s="4">
        <v>90</v>
      </c>
      <c r="AB748" s="4">
        <v>1</v>
      </c>
      <c r="AC748" s="4">
        <v>16</v>
      </c>
      <c r="AD748" s="4">
        <v>111</v>
      </c>
      <c r="AE748" s="4">
        <v>148</v>
      </c>
      <c r="AF748" s="4">
        <v>0</v>
      </c>
      <c r="AG748" s="4">
        <v>8</v>
      </c>
      <c r="AH748" s="4">
        <v>103</v>
      </c>
      <c r="AI748" s="4">
        <v>113</v>
      </c>
      <c r="AJ748" s="4">
        <v>14</v>
      </c>
      <c r="AK748" s="4">
        <v>25</v>
      </c>
      <c r="AL748" s="4">
        <v>55</v>
      </c>
      <c r="AM748" s="4">
        <v>59</v>
      </c>
      <c r="AN748" s="4">
        <v>0</v>
      </c>
      <c r="AO748" s="4">
        <v>0</v>
      </c>
      <c r="AP748" s="4">
        <v>16</v>
      </c>
      <c r="AQ748" s="4">
        <v>45</v>
      </c>
      <c r="AR748" s="3" t="s">
        <v>65</v>
      </c>
      <c r="AS748" s="3" t="s">
        <v>65</v>
      </c>
      <c r="AT748" s="3" t="s">
        <v>65</v>
      </c>
      <c r="AV748" s="6" t="str">
        <f>HYPERLINK("http://mcgill.on.worldcat.org/oclc/7946780","Catalog Record")</f>
        <v>Catalog Record</v>
      </c>
      <c r="AW748" s="6" t="str">
        <f>HYPERLINK("http://www.worldcat.org/oclc/7946780","WorldCat Record")</f>
        <v>WorldCat Record</v>
      </c>
      <c r="AX748" s="3" t="s">
        <v>7817</v>
      </c>
      <c r="AY748" s="3" t="s">
        <v>7818</v>
      </c>
      <c r="AZ748" s="3" t="s">
        <v>7819</v>
      </c>
      <c r="BA748" s="3" t="s">
        <v>7819</v>
      </c>
      <c r="BB748" s="3" t="s">
        <v>7820</v>
      </c>
      <c r="BC748" s="3" t="s">
        <v>77</v>
      </c>
      <c r="BD748" s="3" t="s">
        <v>78</v>
      </c>
      <c r="BE748" s="3" t="s">
        <v>7821</v>
      </c>
      <c r="BF748" s="3" t="s">
        <v>7820</v>
      </c>
      <c r="BG748" s="3" t="s">
        <v>7822</v>
      </c>
    </row>
    <row r="749" spans="1:59" ht="58" x14ac:dyDescent="0.35">
      <c r="A749" s="2" t="s">
        <v>59</v>
      </c>
      <c r="B749" s="2" t="s">
        <v>60</v>
      </c>
      <c r="C749" s="2" t="s">
        <v>7823</v>
      </c>
      <c r="D749" s="2" t="s">
        <v>7824</v>
      </c>
      <c r="E749" s="2" t="s">
        <v>7825</v>
      </c>
      <c r="G749" s="3" t="s">
        <v>65</v>
      </c>
      <c r="I749" s="3" t="s">
        <v>65</v>
      </c>
      <c r="J749" s="3" t="s">
        <v>65</v>
      </c>
      <c r="K749" s="3" t="s">
        <v>66</v>
      </c>
      <c r="L749" s="2" t="s">
        <v>7826</v>
      </c>
      <c r="M749" s="2" t="s">
        <v>7827</v>
      </c>
      <c r="N749" s="3" t="s">
        <v>126</v>
      </c>
      <c r="P749" s="3" t="s">
        <v>140</v>
      </c>
      <c r="Q749" s="2" t="s">
        <v>7828</v>
      </c>
      <c r="R749" s="3" t="s">
        <v>71</v>
      </c>
      <c r="S749" s="4">
        <v>1</v>
      </c>
      <c r="T749" s="4">
        <v>1</v>
      </c>
      <c r="W749" s="5" t="s">
        <v>72</v>
      </c>
      <c r="X749" s="5" t="s">
        <v>72</v>
      </c>
      <c r="Y749" s="4">
        <v>11</v>
      </c>
      <c r="Z749" s="4">
        <v>1</v>
      </c>
      <c r="AA749" s="4">
        <v>3</v>
      </c>
      <c r="AB749" s="4">
        <v>1</v>
      </c>
      <c r="AC749" s="4">
        <v>1</v>
      </c>
      <c r="AD749" s="4">
        <v>4</v>
      </c>
      <c r="AE749" s="4">
        <v>26</v>
      </c>
      <c r="AF749" s="4">
        <v>0</v>
      </c>
      <c r="AG749" s="4">
        <v>0</v>
      </c>
      <c r="AH749" s="4">
        <v>4</v>
      </c>
      <c r="AI749" s="4">
        <v>25</v>
      </c>
      <c r="AJ749" s="4">
        <v>0</v>
      </c>
      <c r="AK749" s="4">
        <v>1</v>
      </c>
      <c r="AL749" s="4">
        <v>3</v>
      </c>
      <c r="AM749" s="4">
        <v>20</v>
      </c>
      <c r="AN749" s="4">
        <v>0</v>
      </c>
      <c r="AO749" s="4">
        <v>0</v>
      </c>
      <c r="AP749" s="4">
        <v>0</v>
      </c>
      <c r="AQ749" s="4">
        <v>1</v>
      </c>
      <c r="AR749" s="3" t="s">
        <v>65</v>
      </c>
      <c r="AS749" s="3" t="s">
        <v>65</v>
      </c>
      <c r="AT749" s="3" t="s">
        <v>65</v>
      </c>
      <c r="AV749" s="6" t="str">
        <f>HYPERLINK("http://mcgill.on.worldcat.org/oclc/764478381","Catalog Record")</f>
        <v>Catalog Record</v>
      </c>
      <c r="AW749" s="6" t="str">
        <f>HYPERLINK("http://www.worldcat.org/oclc/764478381","WorldCat Record")</f>
        <v>WorldCat Record</v>
      </c>
      <c r="AX749" s="3" t="s">
        <v>7829</v>
      </c>
      <c r="AY749" s="3" t="s">
        <v>7830</v>
      </c>
      <c r="AZ749" s="3" t="s">
        <v>7831</v>
      </c>
      <c r="BA749" s="3" t="s">
        <v>7831</v>
      </c>
      <c r="BB749" s="3" t="s">
        <v>7832</v>
      </c>
      <c r="BC749" s="3" t="s">
        <v>77</v>
      </c>
      <c r="BD749" s="3" t="s">
        <v>106</v>
      </c>
      <c r="BE749" s="3" t="s">
        <v>7833</v>
      </c>
      <c r="BF749" s="3" t="s">
        <v>7832</v>
      </c>
      <c r="BG749" s="3" t="s">
        <v>7834</v>
      </c>
    </row>
    <row r="750" spans="1:59" ht="58" x14ac:dyDescent="0.35">
      <c r="A750" s="2" t="s">
        <v>59</v>
      </c>
      <c r="B750" s="2" t="s">
        <v>60</v>
      </c>
      <c r="C750" s="2" t="s">
        <v>7835</v>
      </c>
      <c r="D750" s="2" t="s">
        <v>7836</v>
      </c>
      <c r="E750" s="2" t="s">
        <v>7837</v>
      </c>
      <c r="G750" s="3" t="s">
        <v>65</v>
      </c>
      <c r="I750" s="3" t="s">
        <v>65</v>
      </c>
      <c r="J750" s="3" t="s">
        <v>65</v>
      </c>
      <c r="K750" s="3" t="s">
        <v>66</v>
      </c>
      <c r="L750" s="2" t="s">
        <v>7838</v>
      </c>
      <c r="M750" s="2" t="s">
        <v>3124</v>
      </c>
      <c r="N750" s="3" t="s">
        <v>164</v>
      </c>
      <c r="P750" s="3" t="s">
        <v>140</v>
      </c>
      <c r="Q750" s="2" t="s">
        <v>7839</v>
      </c>
      <c r="R750" s="3" t="s">
        <v>71</v>
      </c>
      <c r="S750" s="4">
        <v>0</v>
      </c>
      <c r="T750" s="4">
        <v>0</v>
      </c>
      <c r="W750" s="5" t="s">
        <v>72</v>
      </c>
      <c r="X750" s="5" t="s">
        <v>72</v>
      </c>
      <c r="Y750" s="4">
        <v>25</v>
      </c>
      <c r="Z750" s="4">
        <v>4</v>
      </c>
      <c r="AA750" s="4">
        <v>4</v>
      </c>
      <c r="AB750" s="4">
        <v>1</v>
      </c>
      <c r="AC750" s="4">
        <v>1</v>
      </c>
      <c r="AD750" s="4">
        <v>19</v>
      </c>
      <c r="AE750" s="4">
        <v>19</v>
      </c>
      <c r="AF750" s="4">
        <v>0</v>
      </c>
      <c r="AG750" s="4">
        <v>0</v>
      </c>
      <c r="AH750" s="4">
        <v>18</v>
      </c>
      <c r="AI750" s="4">
        <v>18</v>
      </c>
      <c r="AJ750" s="4">
        <v>2</v>
      </c>
      <c r="AK750" s="4">
        <v>2</v>
      </c>
      <c r="AL750" s="4">
        <v>14</v>
      </c>
      <c r="AM750" s="4">
        <v>14</v>
      </c>
      <c r="AN750" s="4">
        <v>0</v>
      </c>
      <c r="AO750" s="4">
        <v>0</v>
      </c>
      <c r="AP750" s="4">
        <v>2</v>
      </c>
      <c r="AQ750" s="4">
        <v>2</v>
      </c>
      <c r="AR750" s="3" t="s">
        <v>65</v>
      </c>
      <c r="AS750" s="3" t="s">
        <v>65</v>
      </c>
      <c r="AT750" s="3" t="s">
        <v>65</v>
      </c>
      <c r="AV750" s="6" t="str">
        <f>HYPERLINK("http://mcgill.on.worldcat.org/oclc/914471143","Catalog Record")</f>
        <v>Catalog Record</v>
      </c>
      <c r="AW750" s="6" t="str">
        <f>HYPERLINK("http://www.worldcat.org/oclc/914471143","WorldCat Record")</f>
        <v>WorldCat Record</v>
      </c>
      <c r="AX750" s="3" t="s">
        <v>7840</v>
      </c>
      <c r="AY750" s="3" t="s">
        <v>7841</v>
      </c>
      <c r="AZ750" s="3" t="s">
        <v>7842</v>
      </c>
      <c r="BA750" s="3" t="s">
        <v>7842</v>
      </c>
      <c r="BB750" s="3" t="s">
        <v>7843</v>
      </c>
      <c r="BC750" s="3" t="s">
        <v>77</v>
      </c>
      <c r="BD750" s="3" t="s">
        <v>78</v>
      </c>
      <c r="BE750" s="3" t="s">
        <v>7844</v>
      </c>
      <c r="BF750" s="3" t="s">
        <v>7843</v>
      </c>
      <c r="BG750" s="3" t="s">
        <v>7845</v>
      </c>
    </row>
    <row r="751" spans="1:59" ht="58" x14ac:dyDescent="0.35">
      <c r="A751" s="2" t="s">
        <v>59</v>
      </c>
      <c r="B751" s="2" t="s">
        <v>60</v>
      </c>
      <c r="C751" s="2" t="s">
        <v>7846</v>
      </c>
      <c r="D751" s="2" t="s">
        <v>7847</v>
      </c>
      <c r="E751" s="2" t="s">
        <v>7848</v>
      </c>
      <c r="G751" s="3" t="s">
        <v>65</v>
      </c>
      <c r="I751" s="3" t="s">
        <v>65</v>
      </c>
      <c r="J751" s="3" t="s">
        <v>65</v>
      </c>
      <c r="K751" s="3" t="s">
        <v>66</v>
      </c>
      <c r="L751" s="2" t="s">
        <v>7849</v>
      </c>
      <c r="M751" s="2" t="s">
        <v>7850</v>
      </c>
      <c r="N751" s="3" t="s">
        <v>126</v>
      </c>
      <c r="P751" s="3" t="s">
        <v>69</v>
      </c>
      <c r="R751" s="3" t="s">
        <v>71</v>
      </c>
      <c r="S751" s="4">
        <v>1</v>
      </c>
      <c r="T751" s="4">
        <v>1</v>
      </c>
      <c r="U751" s="5" t="s">
        <v>7851</v>
      </c>
      <c r="V751" s="5" t="s">
        <v>7851</v>
      </c>
      <c r="W751" s="5" t="s">
        <v>72</v>
      </c>
      <c r="X751" s="5" t="s">
        <v>72</v>
      </c>
      <c r="Y751" s="4">
        <v>280</v>
      </c>
      <c r="Z751" s="4">
        <v>26</v>
      </c>
      <c r="AA751" s="4">
        <v>28</v>
      </c>
      <c r="AB751" s="4">
        <v>1</v>
      </c>
      <c r="AC751" s="4">
        <v>1</v>
      </c>
      <c r="AD751" s="4">
        <v>96</v>
      </c>
      <c r="AE751" s="4">
        <v>99</v>
      </c>
      <c r="AF751" s="4">
        <v>0</v>
      </c>
      <c r="AG751" s="4">
        <v>0</v>
      </c>
      <c r="AH751" s="4">
        <v>85</v>
      </c>
      <c r="AI751" s="4">
        <v>87</v>
      </c>
      <c r="AJ751" s="4">
        <v>16</v>
      </c>
      <c r="AK751" s="4">
        <v>16</v>
      </c>
      <c r="AL751" s="4">
        <v>54</v>
      </c>
      <c r="AM751" s="4">
        <v>54</v>
      </c>
      <c r="AN751" s="4">
        <v>0</v>
      </c>
      <c r="AO751" s="4">
        <v>0</v>
      </c>
      <c r="AP751" s="4">
        <v>19</v>
      </c>
      <c r="AQ751" s="4">
        <v>20</v>
      </c>
      <c r="AR751" s="3" t="s">
        <v>65</v>
      </c>
      <c r="AS751" s="3" t="s">
        <v>65</v>
      </c>
      <c r="AT751" s="3" t="s">
        <v>65</v>
      </c>
      <c r="AV751" s="6" t="str">
        <f>HYPERLINK("http://mcgill.on.worldcat.org/oclc/692288619","Catalog Record")</f>
        <v>Catalog Record</v>
      </c>
      <c r="AW751" s="6" t="str">
        <f>HYPERLINK("http://www.worldcat.org/oclc/692288619","WorldCat Record")</f>
        <v>WorldCat Record</v>
      </c>
      <c r="AX751" s="3" t="s">
        <v>7852</v>
      </c>
      <c r="AY751" s="3" t="s">
        <v>7853</v>
      </c>
      <c r="AZ751" s="3" t="s">
        <v>7854</v>
      </c>
      <c r="BA751" s="3" t="s">
        <v>7854</v>
      </c>
      <c r="BB751" s="3" t="s">
        <v>7855</v>
      </c>
      <c r="BC751" s="3" t="s">
        <v>77</v>
      </c>
      <c r="BD751" s="3" t="s">
        <v>78</v>
      </c>
      <c r="BE751" s="3" t="s">
        <v>7856</v>
      </c>
      <c r="BF751" s="3" t="s">
        <v>7855</v>
      </c>
      <c r="BG751" s="3" t="s">
        <v>7857</v>
      </c>
    </row>
    <row r="752" spans="1:59" ht="72.5" x14ac:dyDescent="0.35">
      <c r="A752" s="2" t="s">
        <v>59</v>
      </c>
      <c r="B752" s="2" t="s">
        <v>60</v>
      </c>
      <c r="C752" s="2" t="s">
        <v>7858</v>
      </c>
      <c r="D752" s="2" t="s">
        <v>7859</v>
      </c>
      <c r="E752" s="2" t="s">
        <v>7860</v>
      </c>
      <c r="G752" s="3" t="s">
        <v>65</v>
      </c>
      <c r="I752" s="3" t="s">
        <v>65</v>
      </c>
      <c r="J752" s="3" t="s">
        <v>65</v>
      </c>
      <c r="K752" s="3" t="s">
        <v>66</v>
      </c>
      <c r="M752" s="2" t="s">
        <v>7861</v>
      </c>
      <c r="N752" s="3" t="s">
        <v>113</v>
      </c>
      <c r="P752" s="3" t="s">
        <v>140</v>
      </c>
      <c r="Q752" s="2" t="s">
        <v>7862</v>
      </c>
      <c r="R752" s="3" t="s">
        <v>71</v>
      </c>
      <c r="S752" s="4">
        <v>0</v>
      </c>
      <c r="T752" s="4">
        <v>0</v>
      </c>
      <c r="W752" s="5" t="s">
        <v>72</v>
      </c>
      <c r="X752" s="5" t="s">
        <v>72</v>
      </c>
      <c r="Y752" s="4">
        <v>65</v>
      </c>
      <c r="Z752" s="4">
        <v>5</v>
      </c>
      <c r="AA752" s="4">
        <v>5</v>
      </c>
      <c r="AB752" s="4">
        <v>1</v>
      </c>
      <c r="AC752" s="4">
        <v>1</v>
      </c>
      <c r="AD752" s="4">
        <v>40</v>
      </c>
      <c r="AE752" s="4">
        <v>40</v>
      </c>
      <c r="AF752" s="4">
        <v>0</v>
      </c>
      <c r="AG752" s="4">
        <v>0</v>
      </c>
      <c r="AH752" s="4">
        <v>38</v>
      </c>
      <c r="AI752" s="4">
        <v>38</v>
      </c>
      <c r="AJ752" s="4">
        <v>3</v>
      </c>
      <c r="AK752" s="4">
        <v>3</v>
      </c>
      <c r="AL752" s="4">
        <v>27</v>
      </c>
      <c r="AM752" s="4">
        <v>27</v>
      </c>
      <c r="AN752" s="4">
        <v>5</v>
      </c>
      <c r="AO752" s="4">
        <v>5</v>
      </c>
      <c r="AP752" s="4">
        <v>3</v>
      </c>
      <c r="AQ752" s="4">
        <v>3</v>
      </c>
      <c r="AR752" s="3" t="s">
        <v>65</v>
      </c>
      <c r="AS752" s="3" t="s">
        <v>65</v>
      </c>
      <c r="AT752" s="3" t="s">
        <v>209</v>
      </c>
      <c r="AU752" s="6" t="str">
        <f>HYPERLINK("http://catalog.hathitrust.org/Record/009093037","HathiTrust Record")</f>
        <v>HathiTrust Record</v>
      </c>
      <c r="AV752" s="6" t="str">
        <f>HYPERLINK("http://mcgill.on.worldcat.org/oclc/658004086","Catalog Record")</f>
        <v>Catalog Record</v>
      </c>
      <c r="AW752" s="6" t="str">
        <f>HYPERLINK("http://www.worldcat.org/oclc/658004086","WorldCat Record")</f>
        <v>WorldCat Record</v>
      </c>
      <c r="AX752" s="3" t="s">
        <v>7863</v>
      </c>
      <c r="AY752" s="3" t="s">
        <v>7864</v>
      </c>
      <c r="AZ752" s="3" t="s">
        <v>7865</v>
      </c>
      <c r="BA752" s="3" t="s">
        <v>7865</v>
      </c>
      <c r="BB752" s="3" t="s">
        <v>7866</v>
      </c>
      <c r="BC752" s="3" t="s">
        <v>77</v>
      </c>
      <c r="BD752" s="3" t="s">
        <v>78</v>
      </c>
      <c r="BE752" s="3" t="s">
        <v>7867</v>
      </c>
      <c r="BF752" s="3" t="s">
        <v>7866</v>
      </c>
      <c r="BG752" s="3" t="s">
        <v>7868</v>
      </c>
    </row>
    <row r="753" spans="1:59" ht="58" x14ac:dyDescent="0.35">
      <c r="A753" s="2" t="s">
        <v>59</v>
      </c>
      <c r="B753" s="2" t="s">
        <v>60</v>
      </c>
      <c r="C753" s="2" t="s">
        <v>7869</v>
      </c>
      <c r="D753" s="2" t="s">
        <v>7870</v>
      </c>
      <c r="E753" s="2" t="s">
        <v>7871</v>
      </c>
      <c r="G753" s="3" t="s">
        <v>65</v>
      </c>
      <c r="I753" s="3" t="s">
        <v>65</v>
      </c>
      <c r="J753" s="3" t="s">
        <v>65</v>
      </c>
      <c r="K753" s="3" t="s">
        <v>66</v>
      </c>
      <c r="L753" s="2" t="s">
        <v>7872</v>
      </c>
      <c r="M753" s="2" t="s">
        <v>5794</v>
      </c>
      <c r="N753" s="3" t="s">
        <v>164</v>
      </c>
      <c r="P753" s="3" t="s">
        <v>69</v>
      </c>
      <c r="Q753" s="2" t="s">
        <v>1197</v>
      </c>
      <c r="R753" s="3" t="s">
        <v>71</v>
      </c>
      <c r="S753" s="4">
        <v>0</v>
      </c>
      <c r="T753" s="4">
        <v>0</v>
      </c>
      <c r="W753" s="5" t="s">
        <v>72</v>
      </c>
      <c r="X753" s="5" t="s">
        <v>72</v>
      </c>
      <c r="Y753" s="4">
        <v>164</v>
      </c>
      <c r="Z753" s="4">
        <v>17</v>
      </c>
      <c r="AA753" s="4">
        <v>93</v>
      </c>
      <c r="AB753" s="4">
        <v>1</v>
      </c>
      <c r="AC753" s="4">
        <v>16</v>
      </c>
      <c r="AD753" s="4">
        <v>75</v>
      </c>
      <c r="AE753" s="4">
        <v>134</v>
      </c>
      <c r="AF753" s="4">
        <v>0</v>
      </c>
      <c r="AG753" s="4">
        <v>8</v>
      </c>
      <c r="AH753" s="4">
        <v>67</v>
      </c>
      <c r="AI753" s="4">
        <v>93</v>
      </c>
      <c r="AJ753" s="4">
        <v>12</v>
      </c>
      <c r="AK753" s="4">
        <v>26</v>
      </c>
      <c r="AL753" s="4">
        <v>47</v>
      </c>
      <c r="AM753" s="4">
        <v>51</v>
      </c>
      <c r="AN753" s="4">
        <v>0</v>
      </c>
      <c r="AO753" s="4">
        <v>0</v>
      </c>
      <c r="AP753" s="4">
        <v>11</v>
      </c>
      <c r="AQ753" s="4">
        <v>49</v>
      </c>
      <c r="AR753" s="3" t="s">
        <v>209</v>
      </c>
      <c r="AS753" s="3" t="s">
        <v>65</v>
      </c>
      <c r="AT753" s="3" t="s">
        <v>65</v>
      </c>
      <c r="AV753" s="6" t="str">
        <f>HYPERLINK("http://mcgill.on.worldcat.org/oclc/880237262","Catalog Record")</f>
        <v>Catalog Record</v>
      </c>
      <c r="AW753" s="6" t="str">
        <f>HYPERLINK("http://www.worldcat.org/oclc/880237262","WorldCat Record")</f>
        <v>WorldCat Record</v>
      </c>
      <c r="AX753" s="3" t="s">
        <v>7873</v>
      </c>
      <c r="AY753" s="3" t="s">
        <v>7874</v>
      </c>
      <c r="AZ753" s="3" t="s">
        <v>7875</v>
      </c>
      <c r="BA753" s="3" t="s">
        <v>7875</v>
      </c>
      <c r="BB753" s="3" t="s">
        <v>7876</v>
      </c>
      <c r="BC753" s="3" t="s">
        <v>77</v>
      </c>
      <c r="BD753" s="3" t="s">
        <v>78</v>
      </c>
      <c r="BE753" s="3" t="s">
        <v>7877</v>
      </c>
      <c r="BF753" s="3" t="s">
        <v>7876</v>
      </c>
      <c r="BG753" s="3" t="s">
        <v>7878</v>
      </c>
    </row>
    <row r="754" spans="1:59" ht="58" x14ac:dyDescent="0.35">
      <c r="A754" s="2" t="s">
        <v>59</v>
      </c>
      <c r="B754" s="2" t="s">
        <v>60</v>
      </c>
      <c r="C754" s="2" t="s">
        <v>7879</v>
      </c>
      <c r="D754" s="2" t="s">
        <v>7880</v>
      </c>
      <c r="E754" s="2" t="s">
        <v>7881</v>
      </c>
      <c r="G754" s="3" t="s">
        <v>65</v>
      </c>
      <c r="I754" s="3" t="s">
        <v>65</v>
      </c>
      <c r="J754" s="3" t="s">
        <v>65</v>
      </c>
      <c r="K754" s="3" t="s">
        <v>66</v>
      </c>
      <c r="L754" s="2" t="s">
        <v>7882</v>
      </c>
      <c r="M754" s="2" t="s">
        <v>7883</v>
      </c>
      <c r="N754" s="3" t="s">
        <v>479</v>
      </c>
      <c r="P754" s="3" t="s">
        <v>69</v>
      </c>
      <c r="Q754" s="2" t="s">
        <v>7884</v>
      </c>
      <c r="R754" s="3" t="s">
        <v>71</v>
      </c>
      <c r="S754" s="4">
        <v>6</v>
      </c>
      <c r="T754" s="4">
        <v>6</v>
      </c>
      <c r="U754" s="5" t="s">
        <v>7885</v>
      </c>
      <c r="V754" s="5" t="s">
        <v>7885</v>
      </c>
      <c r="W754" s="5" t="s">
        <v>72</v>
      </c>
      <c r="X754" s="5" t="s">
        <v>72</v>
      </c>
      <c r="Y754" s="4">
        <v>193</v>
      </c>
      <c r="Z754" s="4">
        <v>27</v>
      </c>
      <c r="AA754" s="4">
        <v>108</v>
      </c>
      <c r="AB754" s="4">
        <v>2</v>
      </c>
      <c r="AC754" s="4">
        <v>19</v>
      </c>
      <c r="AD754" s="4">
        <v>102</v>
      </c>
      <c r="AE754" s="4">
        <v>146</v>
      </c>
      <c r="AF754" s="4">
        <v>1</v>
      </c>
      <c r="AG754" s="4">
        <v>8</v>
      </c>
      <c r="AH754" s="4">
        <v>86</v>
      </c>
      <c r="AI754" s="4">
        <v>103</v>
      </c>
      <c r="AJ754" s="4">
        <v>19</v>
      </c>
      <c r="AK754" s="4">
        <v>28</v>
      </c>
      <c r="AL754" s="4">
        <v>51</v>
      </c>
      <c r="AM754" s="4">
        <v>55</v>
      </c>
      <c r="AN754" s="4">
        <v>0</v>
      </c>
      <c r="AO754" s="4">
        <v>0</v>
      </c>
      <c r="AP754" s="4">
        <v>22</v>
      </c>
      <c r="AQ754" s="4">
        <v>52</v>
      </c>
      <c r="AR754" s="3" t="s">
        <v>209</v>
      </c>
      <c r="AS754" s="3" t="s">
        <v>65</v>
      </c>
      <c r="AT754" s="3" t="s">
        <v>65</v>
      </c>
      <c r="AV754" s="6" t="str">
        <f>HYPERLINK("http://mcgill.on.worldcat.org/oclc/174138503","Catalog Record")</f>
        <v>Catalog Record</v>
      </c>
      <c r="AW754" s="6" t="str">
        <f>HYPERLINK("http://www.worldcat.org/oclc/174138503","WorldCat Record")</f>
        <v>WorldCat Record</v>
      </c>
      <c r="AX754" s="3" t="s">
        <v>7886</v>
      </c>
      <c r="AY754" s="3" t="s">
        <v>7887</v>
      </c>
      <c r="AZ754" s="3" t="s">
        <v>7888</v>
      </c>
      <c r="BA754" s="3" t="s">
        <v>7888</v>
      </c>
      <c r="BB754" s="3" t="s">
        <v>7889</v>
      </c>
      <c r="BC754" s="3" t="s">
        <v>77</v>
      </c>
      <c r="BD754" s="3" t="s">
        <v>78</v>
      </c>
      <c r="BE754" s="3" t="s">
        <v>7890</v>
      </c>
      <c r="BF754" s="3" t="s">
        <v>7889</v>
      </c>
      <c r="BG754" s="3" t="s">
        <v>7891</v>
      </c>
    </row>
    <row r="755" spans="1:59" ht="58" x14ac:dyDescent="0.35">
      <c r="A755" s="2" t="s">
        <v>59</v>
      </c>
      <c r="B755" s="2" t="s">
        <v>60</v>
      </c>
      <c r="C755" s="2" t="s">
        <v>7892</v>
      </c>
      <c r="D755" s="2" t="s">
        <v>7893</v>
      </c>
      <c r="E755" s="2" t="s">
        <v>7894</v>
      </c>
      <c r="G755" s="3" t="s">
        <v>65</v>
      </c>
      <c r="I755" s="3" t="s">
        <v>65</v>
      </c>
      <c r="J755" s="3" t="s">
        <v>65</v>
      </c>
      <c r="K755" s="3" t="s">
        <v>66</v>
      </c>
      <c r="L755" s="2" t="s">
        <v>7895</v>
      </c>
      <c r="M755" s="2" t="s">
        <v>1611</v>
      </c>
      <c r="N755" s="3" t="s">
        <v>176</v>
      </c>
      <c r="P755" s="3" t="s">
        <v>69</v>
      </c>
      <c r="Q755" s="2" t="s">
        <v>1197</v>
      </c>
      <c r="R755" s="3" t="s">
        <v>71</v>
      </c>
      <c r="S755" s="4">
        <v>0</v>
      </c>
      <c r="T755" s="4">
        <v>0</v>
      </c>
      <c r="W755" s="5" t="s">
        <v>72</v>
      </c>
      <c r="X755" s="5" t="s">
        <v>72</v>
      </c>
      <c r="Y755" s="4">
        <v>162</v>
      </c>
      <c r="Z755" s="4">
        <v>12</v>
      </c>
      <c r="AA755" s="4">
        <v>94</v>
      </c>
      <c r="AB755" s="4">
        <v>1</v>
      </c>
      <c r="AC755" s="4">
        <v>16</v>
      </c>
      <c r="AD755" s="4">
        <v>67</v>
      </c>
      <c r="AE755" s="4">
        <v>135</v>
      </c>
      <c r="AF755" s="4">
        <v>0</v>
      </c>
      <c r="AG755" s="4">
        <v>8</v>
      </c>
      <c r="AH755" s="4">
        <v>62</v>
      </c>
      <c r="AI755" s="4">
        <v>92</v>
      </c>
      <c r="AJ755" s="4">
        <v>7</v>
      </c>
      <c r="AK755" s="4">
        <v>26</v>
      </c>
      <c r="AL755" s="4">
        <v>42</v>
      </c>
      <c r="AM755" s="4">
        <v>49</v>
      </c>
      <c r="AN755" s="4">
        <v>0</v>
      </c>
      <c r="AO755" s="4">
        <v>0</v>
      </c>
      <c r="AP755" s="4">
        <v>6</v>
      </c>
      <c r="AQ755" s="4">
        <v>51</v>
      </c>
      <c r="AR755" s="3" t="s">
        <v>209</v>
      </c>
      <c r="AS755" s="3" t="s">
        <v>65</v>
      </c>
      <c r="AT755" s="3" t="s">
        <v>65</v>
      </c>
      <c r="AV755" s="6" t="str">
        <f>HYPERLINK("http://mcgill.on.worldcat.org/oclc/910775772","Catalog Record")</f>
        <v>Catalog Record</v>
      </c>
      <c r="AW755" s="6" t="str">
        <f>HYPERLINK("http://www.worldcat.org/oclc/910775772","WorldCat Record")</f>
        <v>WorldCat Record</v>
      </c>
      <c r="AX755" s="3" t="s">
        <v>7896</v>
      </c>
      <c r="AY755" s="3" t="s">
        <v>7897</v>
      </c>
      <c r="AZ755" s="3" t="s">
        <v>7898</v>
      </c>
      <c r="BA755" s="3" t="s">
        <v>7898</v>
      </c>
      <c r="BB755" s="3" t="s">
        <v>7899</v>
      </c>
      <c r="BC755" s="3" t="s">
        <v>77</v>
      </c>
      <c r="BD755" s="3" t="s">
        <v>78</v>
      </c>
      <c r="BE755" s="3" t="s">
        <v>7900</v>
      </c>
      <c r="BF755" s="3" t="s">
        <v>7899</v>
      </c>
      <c r="BG755" s="3" t="s">
        <v>7901</v>
      </c>
    </row>
    <row r="756" spans="1:59" ht="58" x14ac:dyDescent="0.35">
      <c r="A756" s="2" t="s">
        <v>59</v>
      </c>
      <c r="B756" s="2" t="s">
        <v>60</v>
      </c>
      <c r="C756" s="2" t="s">
        <v>7902</v>
      </c>
      <c r="D756" s="2" t="s">
        <v>7903</v>
      </c>
      <c r="E756" s="2" t="s">
        <v>7904</v>
      </c>
      <c r="G756" s="3" t="s">
        <v>65</v>
      </c>
      <c r="I756" s="3" t="s">
        <v>65</v>
      </c>
      <c r="J756" s="3" t="s">
        <v>65</v>
      </c>
      <c r="K756" s="3" t="s">
        <v>66</v>
      </c>
      <c r="M756" s="2" t="s">
        <v>7905</v>
      </c>
      <c r="N756" s="3" t="s">
        <v>152</v>
      </c>
      <c r="P756" s="3" t="s">
        <v>69</v>
      </c>
      <c r="R756" s="3" t="s">
        <v>71</v>
      </c>
      <c r="S756" s="4">
        <v>4</v>
      </c>
      <c r="T756" s="4">
        <v>4</v>
      </c>
      <c r="U756" s="5" t="s">
        <v>785</v>
      </c>
      <c r="V756" s="5" t="s">
        <v>785</v>
      </c>
      <c r="W756" s="5" t="s">
        <v>72</v>
      </c>
      <c r="X756" s="5" t="s">
        <v>72</v>
      </c>
      <c r="Y756" s="4">
        <v>264</v>
      </c>
      <c r="Z756" s="4">
        <v>18</v>
      </c>
      <c r="AA756" s="4">
        <v>50</v>
      </c>
      <c r="AB756" s="4">
        <v>2</v>
      </c>
      <c r="AC756" s="4">
        <v>4</v>
      </c>
      <c r="AD756" s="4">
        <v>70</v>
      </c>
      <c r="AE756" s="4">
        <v>89</v>
      </c>
      <c r="AF756" s="4">
        <v>1</v>
      </c>
      <c r="AG756" s="4">
        <v>1</v>
      </c>
      <c r="AH756" s="4">
        <v>62</v>
      </c>
      <c r="AI756" s="4">
        <v>71</v>
      </c>
      <c r="AJ756" s="4">
        <v>9</v>
      </c>
      <c r="AK756" s="4">
        <v>14</v>
      </c>
      <c r="AL756" s="4">
        <v>43</v>
      </c>
      <c r="AM756" s="4">
        <v>48</v>
      </c>
      <c r="AN756" s="4">
        <v>0</v>
      </c>
      <c r="AO756" s="4">
        <v>0</v>
      </c>
      <c r="AP756" s="4">
        <v>11</v>
      </c>
      <c r="AQ756" s="4">
        <v>21</v>
      </c>
      <c r="AR756" s="3" t="s">
        <v>65</v>
      </c>
      <c r="AS756" s="3" t="s">
        <v>65</v>
      </c>
      <c r="AT756" s="3" t="s">
        <v>65</v>
      </c>
      <c r="AV756" s="6" t="str">
        <f>HYPERLINK("http://mcgill.on.worldcat.org/oclc/851175501","Catalog Record")</f>
        <v>Catalog Record</v>
      </c>
      <c r="AW756" s="6" t="str">
        <f>HYPERLINK("http://www.worldcat.org/oclc/851175501","WorldCat Record")</f>
        <v>WorldCat Record</v>
      </c>
      <c r="AX756" s="3" t="s">
        <v>7906</v>
      </c>
      <c r="AY756" s="3" t="s">
        <v>7907</v>
      </c>
      <c r="AZ756" s="3" t="s">
        <v>7908</v>
      </c>
      <c r="BA756" s="3" t="s">
        <v>7908</v>
      </c>
      <c r="BB756" s="3" t="s">
        <v>7909</v>
      </c>
      <c r="BC756" s="3" t="s">
        <v>77</v>
      </c>
      <c r="BD756" s="3" t="s">
        <v>78</v>
      </c>
      <c r="BE756" s="3" t="s">
        <v>7910</v>
      </c>
      <c r="BF756" s="3" t="s">
        <v>7909</v>
      </c>
      <c r="BG756" s="3" t="s">
        <v>7911</v>
      </c>
    </row>
    <row r="757" spans="1:59" ht="58" x14ac:dyDescent="0.35">
      <c r="A757" s="2" t="s">
        <v>59</v>
      </c>
      <c r="B757" s="2" t="s">
        <v>60</v>
      </c>
      <c r="C757" s="2" t="s">
        <v>7912</v>
      </c>
      <c r="D757" s="2" t="s">
        <v>7913</v>
      </c>
      <c r="E757" s="2" t="s">
        <v>7914</v>
      </c>
      <c r="G757" s="3" t="s">
        <v>65</v>
      </c>
      <c r="I757" s="3" t="s">
        <v>65</v>
      </c>
      <c r="J757" s="3" t="s">
        <v>65</v>
      </c>
      <c r="K757" s="3" t="s">
        <v>66</v>
      </c>
      <c r="M757" s="2" t="s">
        <v>7915</v>
      </c>
      <c r="N757" s="3" t="s">
        <v>176</v>
      </c>
      <c r="O757" s="2" t="s">
        <v>2438</v>
      </c>
      <c r="P757" s="3" t="s">
        <v>69</v>
      </c>
      <c r="Q757" s="2" t="s">
        <v>7916</v>
      </c>
      <c r="R757" s="3" t="s">
        <v>71</v>
      </c>
      <c r="S757" s="4">
        <v>2</v>
      </c>
      <c r="T757" s="4">
        <v>2</v>
      </c>
      <c r="U757" s="5" t="s">
        <v>7917</v>
      </c>
      <c r="V757" s="5" t="s">
        <v>7917</v>
      </c>
      <c r="W757" s="5" t="s">
        <v>72</v>
      </c>
      <c r="X757" s="5" t="s">
        <v>72</v>
      </c>
      <c r="Y757" s="4">
        <v>205</v>
      </c>
      <c r="Z757" s="4">
        <v>14</v>
      </c>
      <c r="AA757" s="4">
        <v>22</v>
      </c>
      <c r="AB757" s="4">
        <v>1</v>
      </c>
      <c r="AC757" s="4">
        <v>5</v>
      </c>
      <c r="AD757" s="4">
        <v>74</v>
      </c>
      <c r="AE757" s="4">
        <v>91</v>
      </c>
      <c r="AF757" s="4">
        <v>0</v>
      </c>
      <c r="AG757" s="4">
        <v>3</v>
      </c>
      <c r="AH757" s="4">
        <v>68</v>
      </c>
      <c r="AI757" s="4">
        <v>81</v>
      </c>
      <c r="AJ757" s="4">
        <v>10</v>
      </c>
      <c r="AK757" s="4">
        <v>16</v>
      </c>
      <c r="AL757" s="4">
        <v>45</v>
      </c>
      <c r="AM757" s="4">
        <v>51</v>
      </c>
      <c r="AN757" s="4">
        <v>0</v>
      </c>
      <c r="AO757" s="4">
        <v>0</v>
      </c>
      <c r="AP757" s="4">
        <v>10</v>
      </c>
      <c r="AQ757" s="4">
        <v>16</v>
      </c>
      <c r="AR757" s="3" t="s">
        <v>65</v>
      </c>
      <c r="AS757" s="3" t="s">
        <v>65</v>
      </c>
      <c r="AT757" s="3" t="s">
        <v>65</v>
      </c>
      <c r="AV757" s="6" t="str">
        <f>HYPERLINK("http://mcgill.on.worldcat.org/oclc/898558742","Catalog Record")</f>
        <v>Catalog Record</v>
      </c>
      <c r="AW757" s="6" t="str">
        <f>HYPERLINK("http://www.worldcat.org/oclc/898558742","WorldCat Record")</f>
        <v>WorldCat Record</v>
      </c>
      <c r="AX757" s="3" t="s">
        <v>7918</v>
      </c>
      <c r="AY757" s="3" t="s">
        <v>7919</v>
      </c>
      <c r="AZ757" s="3" t="s">
        <v>7920</v>
      </c>
      <c r="BA757" s="3" t="s">
        <v>7920</v>
      </c>
      <c r="BB757" s="3" t="s">
        <v>7921</v>
      </c>
      <c r="BC757" s="3" t="s">
        <v>77</v>
      </c>
      <c r="BD757" s="3" t="s">
        <v>78</v>
      </c>
      <c r="BE757" s="3" t="s">
        <v>7922</v>
      </c>
      <c r="BF757" s="3" t="s">
        <v>7921</v>
      </c>
      <c r="BG757" s="3" t="s">
        <v>7923</v>
      </c>
    </row>
    <row r="758" spans="1:59" ht="58" x14ac:dyDescent="0.35">
      <c r="A758" s="2" t="s">
        <v>59</v>
      </c>
      <c r="B758" s="2" t="s">
        <v>60</v>
      </c>
      <c r="C758" s="2" t="s">
        <v>7924</v>
      </c>
      <c r="D758" s="2" t="s">
        <v>7925</v>
      </c>
      <c r="E758" s="2" t="s">
        <v>7926</v>
      </c>
      <c r="G758" s="3" t="s">
        <v>65</v>
      </c>
      <c r="I758" s="3" t="s">
        <v>65</v>
      </c>
      <c r="J758" s="3" t="s">
        <v>65</v>
      </c>
      <c r="K758" s="3" t="s">
        <v>66</v>
      </c>
      <c r="L758" s="2" t="s">
        <v>7927</v>
      </c>
      <c r="M758" s="2" t="s">
        <v>7928</v>
      </c>
      <c r="N758" s="3" t="s">
        <v>139</v>
      </c>
      <c r="O758" s="2" t="s">
        <v>526</v>
      </c>
      <c r="P758" s="3" t="s">
        <v>69</v>
      </c>
      <c r="Q758" s="2" t="s">
        <v>7929</v>
      </c>
      <c r="R758" s="3" t="s">
        <v>71</v>
      </c>
      <c r="S758" s="4">
        <v>1</v>
      </c>
      <c r="T758" s="4">
        <v>1</v>
      </c>
      <c r="U758" s="5" t="s">
        <v>7930</v>
      </c>
      <c r="V758" s="5" t="s">
        <v>7930</v>
      </c>
      <c r="W758" s="5" t="s">
        <v>72</v>
      </c>
      <c r="X758" s="5" t="s">
        <v>72</v>
      </c>
      <c r="Y758" s="4">
        <v>116</v>
      </c>
      <c r="Z758" s="4">
        <v>15</v>
      </c>
      <c r="AA758" s="4">
        <v>19</v>
      </c>
      <c r="AB758" s="4">
        <v>1</v>
      </c>
      <c r="AC758" s="4">
        <v>3</v>
      </c>
      <c r="AD758" s="4">
        <v>68</v>
      </c>
      <c r="AE758" s="4">
        <v>75</v>
      </c>
      <c r="AF758" s="4">
        <v>0</v>
      </c>
      <c r="AG758" s="4">
        <v>0</v>
      </c>
      <c r="AH758" s="4">
        <v>63</v>
      </c>
      <c r="AI758" s="4">
        <v>68</v>
      </c>
      <c r="AJ758" s="4">
        <v>11</v>
      </c>
      <c r="AK758" s="4">
        <v>13</v>
      </c>
      <c r="AL758" s="4">
        <v>39</v>
      </c>
      <c r="AM758" s="4">
        <v>44</v>
      </c>
      <c r="AN758" s="4">
        <v>0</v>
      </c>
      <c r="AO758" s="4">
        <v>0</v>
      </c>
      <c r="AP758" s="4">
        <v>12</v>
      </c>
      <c r="AQ758" s="4">
        <v>14</v>
      </c>
      <c r="AR758" s="3" t="s">
        <v>65</v>
      </c>
      <c r="AS758" s="3" t="s">
        <v>65</v>
      </c>
      <c r="AT758" s="3" t="s">
        <v>65</v>
      </c>
      <c r="AV758" s="6" t="str">
        <f>HYPERLINK("http://mcgill.on.worldcat.org/oclc/761850447","Catalog Record")</f>
        <v>Catalog Record</v>
      </c>
      <c r="AW758" s="6" t="str">
        <f>HYPERLINK("http://www.worldcat.org/oclc/761850447","WorldCat Record")</f>
        <v>WorldCat Record</v>
      </c>
      <c r="AX758" s="3" t="s">
        <v>7931</v>
      </c>
      <c r="AY758" s="3" t="s">
        <v>7932</v>
      </c>
      <c r="AZ758" s="3" t="s">
        <v>7933</v>
      </c>
      <c r="BA758" s="3" t="s">
        <v>7933</v>
      </c>
      <c r="BB758" s="3" t="s">
        <v>7934</v>
      </c>
      <c r="BC758" s="3" t="s">
        <v>77</v>
      </c>
      <c r="BD758" s="3" t="s">
        <v>78</v>
      </c>
      <c r="BE758" s="3" t="s">
        <v>7935</v>
      </c>
      <c r="BF758" s="3" t="s">
        <v>7934</v>
      </c>
      <c r="BG758" s="3" t="s">
        <v>7936</v>
      </c>
    </row>
    <row r="759" spans="1:59" ht="58" x14ac:dyDescent="0.35">
      <c r="A759" s="2" t="s">
        <v>59</v>
      </c>
      <c r="B759" s="2" t="s">
        <v>60</v>
      </c>
      <c r="C759" s="2" t="s">
        <v>7937</v>
      </c>
      <c r="D759" s="2" t="s">
        <v>7938</v>
      </c>
      <c r="E759" s="2" t="s">
        <v>7939</v>
      </c>
      <c r="G759" s="3" t="s">
        <v>65</v>
      </c>
      <c r="I759" s="3" t="s">
        <v>65</v>
      </c>
      <c r="J759" s="3" t="s">
        <v>65</v>
      </c>
      <c r="K759" s="3" t="s">
        <v>66</v>
      </c>
      <c r="L759" s="2" t="s">
        <v>7940</v>
      </c>
      <c r="M759" s="2" t="s">
        <v>7941</v>
      </c>
      <c r="N759" s="3" t="s">
        <v>1196</v>
      </c>
      <c r="P759" s="3" t="s">
        <v>69</v>
      </c>
      <c r="R759" s="3" t="s">
        <v>71</v>
      </c>
      <c r="S759" s="4">
        <v>6</v>
      </c>
      <c r="T759" s="4">
        <v>6</v>
      </c>
      <c r="U759" s="5" t="s">
        <v>7942</v>
      </c>
      <c r="V759" s="5" t="s">
        <v>7942</v>
      </c>
      <c r="W759" s="5" t="s">
        <v>72</v>
      </c>
      <c r="X759" s="5" t="s">
        <v>72</v>
      </c>
      <c r="Y759" s="4">
        <v>291</v>
      </c>
      <c r="Z759" s="4">
        <v>18</v>
      </c>
      <c r="AA759" s="4">
        <v>61</v>
      </c>
      <c r="AB759" s="4">
        <v>2</v>
      </c>
      <c r="AC759" s="4">
        <v>7</v>
      </c>
      <c r="AD759" s="4">
        <v>104</v>
      </c>
      <c r="AE759" s="4">
        <v>120</v>
      </c>
      <c r="AF759" s="4">
        <v>1</v>
      </c>
      <c r="AG759" s="4">
        <v>1</v>
      </c>
      <c r="AH759" s="4">
        <v>97</v>
      </c>
      <c r="AI759" s="4">
        <v>104</v>
      </c>
      <c r="AJ759" s="4">
        <v>14</v>
      </c>
      <c r="AK759" s="4">
        <v>16</v>
      </c>
      <c r="AL759" s="4">
        <v>53</v>
      </c>
      <c r="AM759" s="4">
        <v>55</v>
      </c>
      <c r="AN759" s="4">
        <v>0</v>
      </c>
      <c r="AO759" s="4">
        <v>0</v>
      </c>
      <c r="AP759" s="4">
        <v>14</v>
      </c>
      <c r="AQ759" s="4">
        <v>24</v>
      </c>
      <c r="AR759" s="3" t="s">
        <v>65</v>
      </c>
      <c r="AS759" s="3" t="s">
        <v>65</v>
      </c>
      <c r="AT759" s="3" t="s">
        <v>65</v>
      </c>
      <c r="AV759" s="6" t="str">
        <f>HYPERLINK("http://mcgill.on.worldcat.org/oclc/56880015","Catalog Record")</f>
        <v>Catalog Record</v>
      </c>
      <c r="AW759" s="6" t="str">
        <f>HYPERLINK("http://www.worldcat.org/oclc/56880015","WorldCat Record")</f>
        <v>WorldCat Record</v>
      </c>
      <c r="AX759" s="3" t="s">
        <v>7943</v>
      </c>
      <c r="AY759" s="3" t="s">
        <v>7944</v>
      </c>
      <c r="AZ759" s="3" t="s">
        <v>7945</v>
      </c>
      <c r="BA759" s="3" t="s">
        <v>7945</v>
      </c>
      <c r="BB759" s="3" t="s">
        <v>7946</v>
      </c>
      <c r="BC759" s="3" t="s">
        <v>77</v>
      </c>
      <c r="BD759" s="3" t="s">
        <v>106</v>
      </c>
      <c r="BE759" s="3" t="s">
        <v>7947</v>
      </c>
      <c r="BF759" s="3" t="s">
        <v>7946</v>
      </c>
      <c r="BG759" s="3" t="s">
        <v>7948</v>
      </c>
    </row>
    <row r="760" spans="1:59" ht="58" x14ac:dyDescent="0.35">
      <c r="A760" s="2" t="s">
        <v>59</v>
      </c>
      <c r="B760" s="2" t="s">
        <v>60</v>
      </c>
      <c r="C760" s="2" t="s">
        <v>7949</v>
      </c>
      <c r="D760" s="2" t="s">
        <v>7950</v>
      </c>
      <c r="E760" s="2" t="s">
        <v>7951</v>
      </c>
      <c r="G760" s="3" t="s">
        <v>65</v>
      </c>
      <c r="I760" s="3" t="s">
        <v>65</v>
      </c>
      <c r="J760" s="3" t="s">
        <v>65</v>
      </c>
      <c r="K760" s="3" t="s">
        <v>66</v>
      </c>
      <c r="L760" s="2" t="s">
        <v>7150</v>
      </c>
      <c r="M760" s="2" t="s">
        <v>7952</v>
      </c>
      <c r="N760" s="3" t="s">
        <v>113</v>
      </c>
      <c r="P760" s="3" t="s">
        <v>69</v>
      </c>
      <c r="Q760" s="2" t="s">
        <v>7953</v>
      </c>
      <c r="R760" s="3" t="s">
        <v>71</v>
      </c>
      <c r="S760" s="4">
        <v>0</v>
      </c>
      <c r="T760" s="4">
        <v>0</v>
      </c>
      <c r="W760" s="5" t="s">
        <v>72</v>
      </c>
      <c r="X760" s="5" t="s">
        <v>72</v>
      </c>
      <c r="Y760" s="4">
        <v>34</v>
      </c>
      <c r="Z760" s="4">
        <v>3</v>
      </c>
      <c r="AA760" s="4">
        <v>3</v>
      </c>
      <c r="AB760" s="4">
        <v>1</v>
      </c>
      <c r="AC760" s="4">
        <v>1</v>
      </c>
      <c r="AD760" s="4">
        <v>20</v>
      </c>
      <c r="AE760" s="4">
        <v>20</v>
      </c>
      <c r="AF760" s="4">
        <v>0</v>
      </c>
      <c r="AG760" s="4">
        <v>0</v>
      </c>
      <c r="AH760" s="4">
        <v>19</v>
      </c>
      <c r="AI760" s="4">
        <v>19</v>
      </c>
      <c r="AJ760" s="4">
        <v>1</v>
      </c>
      <c r="AK760" s="4">
        <v>1</v>
      </c>
      <c r="AL760" s="4">
        <v>17</v>
      </c>
      <c r="AM760" s="4">
        <v>17</v>
      </c>
      <c r="AN760" s="4">
        <v>0</v>
      </c>
      <c r="AO760" s="4">
        <v>0</v>
      </c>
      <c r="AP760" s="4">
        <v>1</v>
      </c>
      <c r="AQ760" s="4">
        <v>1</v>
      </c>
      <c r="AR760" s="3" t="s">
        <v>65</v>
      </c>
      <c r="AS760" s="3" t="s">
        <v>65</v>
      </c>
      <c r="AT760" s="3" t="s">
        <v>65</v>
      </c>
      <c r="AV760" s="6" t="str">
        <f>HYPERLINK("http://mcgill.on.worldcat.org/oclc/649314291","Catalog Record")</f>
        <v>Catalog Record</v>
      </c>
      <c r="AW760" s="6" t="str">
        <f>HYPERLINK("http://www.worldcat.org/oclc/649314291","WorldCat Record")</f>
        <v>WorldCat Record</v>
      </c>
      <c r="AX760" s="3" t="s">
        <v>7954</v>
      </c>
      <c r="AY760" s="3" t="s">
        <v>7955</v>
      </c>
      <c r="AZ760" s="3" t="s">
        <v>7956</v>
      </c>
      <c r="BA760" s="3" t="s">
        <v>7956</v>
      </c>
      <c r="BB760" s="3" t="s">
        <v>7957</v>
      </c>
      <c r="BC760" s="3" t="s">
        <v>77</v>
      </c>
      <c r="BD760" s="3" t="s">
        <v>78</v>
      </c>
      <c r="BE760" s="3" t="s">
        <v>7958</v>
      </c>
      <c r="BF760" s="3" t="s">
        <v>7957</v>
      </c>
      <c r="BG760" s="3" t="s">
        <v>7959</v>
      </c>
    </row>
    <row r="761" spans="1:59" ht="58" x14ac:dyDescent="0.35">
      <c r="A761" s="2" t="s">
        <v>59</v>
      </c>
      <c r="B761" s="2" t="s">
        <v>60</v>
      </c>
      <c r="C761" s="2" t="s">
        <v>7960</v>
      </c>
      <c r="D761" s="2" t="s">
        <v>7961</v>
      </c>
      <c r="E761" s="2" t="s">
        <v>7962</v>
      </c>
      <c r="G761" s="3" t="s">
        <v>65</v>
      </c>
      <c r="I761" s="3" t="s">
        <v>65</v>
      </c>
      <c r="J761" s="3" t="s">
        <v>65</v>
      </c>
      <c r="K761" s="3" t="s">
        <v>66</v>
      </c>
      <c r="L761" s="2" t="s">
        <v>7963</v>
      </c>
      <c r="M761" s="2" t="s">
        <v>7964</v>
      </c>
      <c r="N761" s="3" t="s">
        <v>214</v>
      </c>
      <c r="P761" s="3" t="s">
        <v>69</v>
      </c>
      <c r="R761" s="3" t="s">
        <v>71</v>
      </c>
      <c r="S761" s="4">
        <v>20</v>
      </c>
      <c r="T761" s="4">
        <v>20</v>
      </c>
      <c r="U761" s="5" t="s">
        <v>7965</v>
      </c>
      <c r="V761" s="5" t="s">
        <v>7965</v>
      </c>
      <c r="W761" s="5" t="s">
        <v>72</v>
      </c>
      <c r="X761" s="5" t="s">
        <v>72</v>
      </c>
      <c r="Y761" s="4">
        <v>386</v>
      </c>
      <c r="Z761" s="4">
        <v>28</v>
      </c>
      <c r="AA761" s="4">
        <v>34</v>
      </c>
      <c r="AB761" s="4">
        <v>3</v>
      </c>
      <c r="AC761" s="4">
        <v>7</v>
      </c>
      <c r="AD761" s="4">
        <v>117</v>
      </c>
      <c r="AE761" s="4">
        <v>118</v>
      </c>
      <c r="AF761" s="4">
        <v>1</v>
      </c>
      <c r="AG761" s="4">
        <v>1</v>
      </c>
      <c r="AH761" s="4">
        <v>103</v>
      </c>
      <c r="AI761" s="4">
        <v>104</v>
      </c>
      <c r="AJ761" s="4">
        <v>16</v>
      </c>
      <c r="AK761" s="4">
        <v>16</v>
      </c>
      <c r="AL761" s="4">
        <v>56</v>
      </c>
      <c r="AM761" s="4">
        <v>57</v>
      </c>
      <c r="AN761" s="4">
        <v>0</v>
      </c>
      <c r="AO761" s="4">
        <v>0</v>
      </c>
      <c r="AP761" s="4">
        <v>19</v>
      </c>
      <c r="AQ761" s="4">
        <v>19</v>
      </c>
      <c r="AR761" s="3" t="s">
        <v>65</v>
      </c>
      <c r="AS761" s="3" t="s">
        <v>65</v>
      </c>
      <c r="AT761" s="3" t="s">
        <v>65</v>
      </c>
      <c r="AV761" s="6" t="str">
        <f>HYPERLINK("http://mcgill.on.worldcat.org/oclc/9153603","Catalog Record")</f>
        <v>Catalog Record</v>
      </c>
      <c r="AW761" s="6" t="str">
        <f>HYPERLINK("http://www.worldcat.org/oclc/9153603","WorldCat Record")</f>
        <v>WorldCat Record</v>
      </c>
      <c r="AX761" s="3" t="s">
        <v>7966</v>
      </c>
      <c r="AY761" s="3" t="s">
        <v>7967</v>
      </c>
      <c r="AZ761" s="3" t="s">
        <v>7968</v>
      </c>
      <c r="BA761" s="3" t="s">
        <v>7968</v>
      </c>
      <c r="BB761" s="3" t="s">
        <v>7969</v>
      </c>
      <c r="BC761" s="3" t="s">
        <v>77</v>
      </c>
      <c r="BD761" s="3" t="s">
        <v>78</v>
      </c>
      <c r="BE761" s="3" t="s">
        <v>7970</v>
      </c>
      <c r="BF761" s="3" t="s">
        <v>7969</v>
      </c>
      <c r="BG761" s="3" t="s">
        <v>7971</v>
      </c>
    </row>
    <row r="762" spans="1:59" ht="58" x14ac:dyDescent="0.35">
      <c r="A762" s="2" t="s">
        <v>59</v>
      </c>
      <c r="B762" s="2" t="s">
        <v>60</v>
      </c>
      <c r="C762" s="2" t="s">
        <v>7972</v>
      </c>
      <c r="D762" s="2" t="s">
        <v>7973</v>
      </c>
      <c r="E762" s="2" t="s">
        <v>7974</v>
      </c>
      <c r="G762" s="3" t="s">
        <v>65</v>
      </c>
      <c r="I762" s="3" t="s">
        <v>65</v>
      </c>
      <c r="J762" s="3" t="s">
        <v>65</v>
      </c>
      <c r="K762" s="3" t="s">
        <v>66</v>
      </c>
      <c r="L762" s="2" t="s">
        <v>7963</v>
      </c>
      <c r="M762" s="2" t="s">
        <v>7975</v>
      </c>
      <c r="N762" s="3" t="s">
        <v>139</v>
      </c>
      <c r="P762" s="3" t="s">
        <v>69</v>
      </c>
      <c r="Q762" s="2" t="s">
        <v>7976</v>
      </c>
      <c r="R762" s="3" t="s">
        <v>71</v>
      </c>
      <c r="S762" s="4">
        <v>0</v>
      </c>
      <c r="T762" s="4">
        <v>0</v>
      </c>
      <c r="W762" s="5" t="s">
        <v>72</v>
      </c>
      <c r="X762" s="5" t="s">
        <v>72</v>
      </c>
      <c r="Y762" s="4">
        <v>57</v>
      </c>
      <c r="Z762" s="4">
        <v>16</v>
      </c>
      <c r="AA762" s="4">
        <v>100</v>
      </c>
      <c r="AB762" s="4">
        <v>1</v>
      </c>
      <c r="AC762" s="4">
        <v>20</v>
      </c>
      <c r="AD762" s="4">
        <v>36</v>
      </c>
      <c r="AE762" s="4">
        <v>111</v>
      </c>
      <c r="AF762" s="4">
        <v>0</v>
      </c>
      <c r="AG762" s="4">
        <v>8</v>
      </c>
      <c r="AH762" s="4">
        <v>33</v>
      </c>
      <c r="AI762" s="4">
        <v>73</v>
      </c>
      <c r="AJ762" s="4">
        <v>10</v>
      </c>
      <c r="AK762" s="4">
        <v>24</v>
      </c>
      <c r="AL762" s="4">
        <v>20</v>
      </c>
      <c r="AM762" s="4">
        <v>38</v>
      </c>
      <c r="AN762" s="4">
        <v>0</v>
      </c>
      <c r="AO762" s="4">
        <v>0</v>
      </c>
      <c r="AP762" s="4">
        <v>9</v>
      </c>
      <c r="AQ762" s="4">
        <v>46</v>
      </c>
      <c r="AR762" s="3" t="s">
        <v>209</v>
      </c>
      <c r="AS762" s="3" t="s">
        <v>65</v>
      </c>
      <c r="AT762" s="3" t="s">
        <v>65</v>
      </c>
      <c r="AV762" s="6" t="str">
        <f>HYPERLINK("http://mcgill.on.worldcat.org/oclc/775060681","Catalog Record")</f>
        <v>Catalog Record</v>
      </c>
      <c r="AW762" s="6" t="str">
        <f>HYPERLINK("http://www.worldcat.org/oclc/775060681","WorldCat Record")</f>
        <v>WorldCat Record</v>
      </c>
      <c r="AX762" s="3" t="s">
        <v>7977</v>
      </c>
      <c r="AY762" s="3" t="s">
        <v>7978</v>
      </c>
      <c r="AZ762" s="3" t="s">
        <v>7979</v>
      </c>
      <c r="BA762" s="3" t="s">
        <v>7979</v>
      </c>
      <c r="BB762" s="3" t="s">
        <v>7980</v>
      </c>
      <c r="BC762" s="3" t="s">
        <v>77</v>
      </c>
      <c r="BD762" s="3" t="s">
        <v>78</v>
      </c>
      <c r="BE762" s="3" t="s">
        <v>7981</v>
      </c>
      <c r="BF762" s="3" t="s">
        <v>7980</v>
      </c>
      <c r="BG762" s="3" t="s">
        <v>7982</v>
      </c>
    </row>
    <row r="763" spans="1:59" ht="58" x14ac:dyDescent="0.35">
      <c r="A763" s="2" t="s">
        <v>59</v>
      </c>
      <c r="B763" s="2" t="s">
        <v>60</v>
      </c>
      <c r="C763" s="2" t="s">
        <v>7983</v>
      </c>
      <c r="D763" s="2" t="s">
        <v>7984</v>
      </c>
      <c r="E763" s="2" t="s">
        <v>7985</v>
      </c>
      <c r="G763" s="3" t="s">
        <v>65</v>
      </c>
      <c r="I763" s="3" t="s">
        <v>65</v>
      </c>
      <c r="J763" s="3" t="s">
        <v>65</v>
      </c>
      <c r="K763" s="3" t="s">
        <v>66</v>
      </c>
      <c r="L763" s="2" t="s">
        <v>7986</v>
      </c>
      <c r="M763" s="2" t="s">
        <v>7987</v>
      </c>
      <c r="N763" s="3" t="s">
        <v>99</v>
      </c>
      <c r="P763" s="3" t="s">
        <v>140</v>
      </c>
      <c r="R763" s="3" t="s">
        <v>71</v>
      </c>
      <c r="S763" s="4">
        <v>2</v>
      </c>
      <c r="T763" s="4">
        <v>2</v>
      </c>
      <c r="U763" s="5" t="s">
        <v>7988</v>
      </c>
      <c r="V763" s="5" t="s">
        <v>7988</v>
      </c>
      <c r="W763" s="5" t="s">
        <v>72</v>
      </c>
      <c r="X763" s="5" t="s">
        <v>72</v>
      </c>
      <c r="Y763" s="4">
        <v>59</v>
      </c>
      <c r="Z763" s="4">
        <v>5</v>
      </c>
      <c r="AA763" s="4">
        <v>6</v>
      </c>
      <c r="AB763" s="4">
        <v>1</v>
      </c>
      <c r="AC763" s="4">
        <v>1</v>
      </c>
      <c r="AD763" s="4">
        <v>36</v>
      </c>
      <c r="AE763" s="4">
        <v>37</v>
      </c>
      <c r="AF763" s="4">
        <v>0</v>
      </c>
      <c r="AG763" s="4">
        <v>0</v>
      </c>
      <c r="AH763" s="4">
        <v>35</v>
      </c>
      <c r="AI763" s="4">
        <v>36</v>
      </c>
      <c r="AJ763" s="4">
        <v>3</v>
      </c>
      <c r="AK763" s="4">
        <v>4</v>
      </c>
      <c r="AL763" s="4">
        <v>26</v>
      </c>
      <c r="AM763" s="4">
        <v>26</v>
      </c>
      <c r="AN763" s="4">
        <v>0</v>
      </c>
      <c r="AO763" s="4">
        <v>0</v>
      </c>
      <c r="AP763" s="4">
        <v>3</v>
      </c>
      <c r="AQ763" s="4">
        <v>4</v>
      </c>
      <c r="AR763" s="3" t="s">
        <v>65</v>
      </c>
      <c r="AS763" s="3" t="s">
        <v>65</v>
      </c>
      <c r="AT763" s="3" t="s">
        <v>209</v>
      </c>
      <c r="AU763" s="6" t="str">
        <f>HYPERLINK("http://catalog.hathitrust.org/Record/005251611","HathiTrust Record")</f>
        <v>HathiTrust Record</v>
      </c>
      <c r="AV763" s="6" t="str">
        <f>HYPERLINK("http://mcgill.on.worldcat.org/oclc/66373260","Catalog Record")</f>
        <v>Catalog Record</v>
      </c>
      <c r="AW763" s="6" t="str">
        <f>HYPERLINK("http://www.worldcat.org/oclc/66373260","WorldCat Record")</f>
        <v>WorldCat Record</v>
      </c>
      <c r="AX763" s="3" t="s">
        <v>7989</v>
      </c>
      <c r="AY763" s="3" t="s">
        <v>7990</v>
      </c>
      <c r="AZ763" s="3" t="s">
        <v>7991</v>
      </c>
      <c r="BA763" s="3" t="s">
        <v>7991</v>
      </c>
      <c r="BB763" s="3" t="s">
        <v>7992</v>
      </c>
      <c r="BC763" s="3" t="s">
        <v>77</v>
      </c>
      <c r="BD763" s="3" t="s">
        <v>78</v>
      </c>
      <c r="BE763" s="3" t="s">
        <v>7993</v>
      </c>
      <c r="BF763" s="3" t="s">
        <v>7992</v>
      </c>
      <c r="BG763" s="3" t="s">
        <v>7994</v>
      </c>
    </row>
    <row r="764" spans="1:59" ht="58" x14ac:dyDescent="0.35">
      <c r="A764" s="2" t="s">
        <v>59</v>
      </c>
      <c r="B764" s="2" t="s">
        <v>60</v>
      </c>
      <c r="C764" s="2" t="s">
        <v>7995</v>
      </c>
      <c r="D764" s="2" t="s">
        <v>7996</v>
      </c>
      <c r="E764" s="2" t="s">
        <v>7997</v>
      </c>
      <c r="G764" s="3" t="s">
        <v>65</v>
      </c>
      <c r="I764" s="3" t="s">
        <v>65</v>
      </c>
      <c r="J764" s="3" t="s">
        <v>65</v>
      </c>
      <c r="K764" s="3" t="s">
        <v>66</v>
      </c>
      <c r="L764" s="2" t="s">
        <v>7998</v>
      </c>
      <c r="M764" s="2" t="s">
        <v>7999</v>
      </c>
      <c r="N764" s="3" t="s">
        <v>552</v>
      </c>
      <c r="O764" s="2" t="s">
        <v>365</v>
      </c>
      <c r="P764" s="3" t="s">
        <v>140</v>
      </c>
      <c r="Q764" s="2" t="s">
        <v>8000</v>
      </c>
      <c r="R764" s="3" t="s">
        <v>71</v>
      </c>
      <c r="S764" s="4">
        <v>7</v>
      </c>
      <c r="T764" s="4">
        <v>7</v>
      </c>
      <c r="U764" s="5" t="s">
        <v>8001</v>
      </c>
      <c r="V764" s="5" t="s">
        <v>8001</v>
      </c>
      <c r="W764" s="5" t="s">
        <v>72</v>
      </c>
      <c r="X764" s="5" t="s">
        <v>72</v>
      </c>
      <c r="Y764" s="4">
        <v>55</v>
      </c>
      <c r="Z764" s="4">
        <v>5</v>
      </c>
      <c r="AA764" s="4">
        <v>5</v>
      </c>
      <c r="AB764" s="4">
        <v>1</v>
      </c>
      <c r="AC764" s="4">
        <v>1</v>
      </c>
      <c r="AD764" s="4">
        <v>28</v>
      </c>
      <c r="AE764" s="4">
        <v>28</v>
      </c>
      <c r="AF764" s="4">
        <v>0</v>
      </c>
      <c r="AG764" s="4">
        <v>0</v>
      </c>
      <c r="AH764" s="4">
        <v>27</v>
      </c>
      <c r="AI764" s="4">
        <v>27</v>
      </c>
      <c r="AJ764" s="4">
        <v>3</v>
      </c>
      <c r="AK764" s="4">
        <v>3</v>
      </c>
      <c r="AL764" s="4">
        <v>21</v>
      </c>
      <c r="AM764" s="4">
        <v>21</v>
      </c>
      <c r="AN764" s="4">
        <v>0</v>
      </c>
      <c r="AO764" s="4">
        <v>0</v>
      </c>
      <c r="AP764" s="4">
        <v>3</v>
      </c>
      <c r="AQ764" s="4">
        <v>3</v>
      </c>
      <c r="AR764" s="3" t="s">
        <v>65</v>
      </c>
      <c r="AS764" s="3" t="s">
        <v>65</v>
      </c>
      <c r="AT764" s="3" t="s">
        <v>209</v>
      </c>
      <c r="AU764" s="6" t="str">
        <f>HYPERLINK("http://catalog.hathitrust.org/Record/003972523","HathiTrust Record")</f>
        <v>HathiTrust Record</v>
      </c>
      <c r="AV764" s="6" t="str">
        <f>HYPERLINK("http://mcgill.on.worldcat.org/oclc/38312628","Catalog Record")</f>
        <v>Catalog Record</v>
      </c>
      <c r="AW764" s="6" t="str">
        <f>HYPERLINK("http://www.worldcat.org/oclc/38312628","WorldCat Record")</f>
        <v>WorldCat Record</v>
      </c>
      <c r="AX764" s="3" t="s">
        <v>8002</v>
      </c>
      <c r="AY764" s="3" t="s">
        <v>8003</v>
      </c>
      <c r="AZ764" s="3" t="s">
        <v>8004</v>
      </c>
      <c r="BA764" s="3" t="s">
        <v>8004</v>
      </c>
      <c r="BB764" s="3" t="s">
        <v>8005</v>
      </c>
      <c r="BC764" s="3" t="s">
        <v>77</v>
      </c>
      <c r="BD764" s="3" t="s">
        <v>78</v>
      </c>
      <c r="BF764" s="3" t="s">
        <v>8005</v>
      </c>
      <c r="BG764" s="3" t="s">
        <v>8006</v>
      </c>
    </row>
    <row r="765" spans="1:59" ht="58" x14ac:dyDescent="0.35">
      <c r="A765" s="2" t="s">
        <v>59</v>
      </c>
      <c r="B765" s="2" t="s">
        <v>60</v>
      </c>
      <c r="C765" s="2" t="s">
        <v>8007</v>
      </c>
      <c r="D765" s="2" t="s">
        <v>8008</v>
      </c>
      <c r="E765" s="2" t="s">
        <v>8009</v>
      </c>
      <c r="G765" s="3" t="s">
        <v>65</v>
      </c>
      <c r="I765" s="3" t="s">
        <v>65</v>
      </c>
      <c r="J765" s="3" t="s">
        <v>65</v>
      </c>
      <c r="K765" s="3" t="s">
        <v>66</v>
      </c>
      <c r="L765" s="2" t="s">
        <v>7998</v>
      </c>
      <c r="M765" s="2" t="s">
        <v>8010</v>
      </c>
      <c r="N765" s="3" t="s">
        <v>364</v>
      </c>
      <c r="P765" s="3" t="s">
        <v>140</v>
      </c>
      <c r="Q765" s="2" t="s">
        <v>8011</v>
      </c>
      <c r="R765" s="3" t="s">
        <v>71</v>
      </c>
      <c r="S765" s="4">
        <v>6</v>
      </c>
      <c r="T765" s="4">
        <v>6</v>
      </c>
      <c r="U765" s="5" t="s">
        <v>8001</v>
      </c>
      <c r="V765" s="5" t="s">
        <v>8001</v>
      </c>
      <c r="W765" s="5" t="s">
        <v>72</v>
      </c>
      <c r="X765" s="5" t="s">
        <v>72</v>
      </c>
      <c r="Y765" s="4">
        <v>12</v>
      </c>
      <c r="Z765" s="4">
        <v>2</v>
      </c>
      <c r="AA765" s="4">
        <v>7</v>
      </c>
      <c r="AB765" s="4">
        <v>2</v>
      </c>
      <c r="AC765" s="4">
        <v>3</v>
      </c>
      <c r="AD765" s="4">
        <v>2</v>
      </c>
      <c r="AE765" s="4">
        <v>38</v>
      </c>
      <c r="AF765" s="4">
        <v>0</v>
      </c>
      <c r="AG765" s="4">
        <v>1</v>
      </c>
      <c r="AH765" s="4">
        <v>2</v>
      </c>
      <c r="AI765" s="4">
        <v>36</v>
      </c>
      <c r="AJ765" s="4">
        <v>0</v>
      </c>
      <c r="AK765" s="4">
        <v>4</v>
      </c>
      <c r="AL765" s="4">
        <v>2</v>
      </c>
      <c r="AM765" s="4">
        <v>28</v>
      </c>
      <c r="AN765" s="4">
        <v>0</v>
      </c>
      <c r="AO765" s="4">
        <v>0</v>
      </c>
      <c r="AP765" s="4">
        <v>0</v>
      </c>
      <c r="AQ765" s="4">
        <v>4</v>
      </c>
      <c r="AR765" s="3" t="s">
        <v>65</v>
      </c>
      <c r="AS765" s="3" t="s">
        <v>65</v>
      </c>
      <c r="AT765" s="3" t="s">
        <v>209</v>
      </c>
      <c r="AU765" s="6" t="str">
        <f>HYPERLINK("http://catalog.hathitrust.org/Record/004242603","HathiTrust Record")</f>
        <v>HathiTrust Record</v>
      </c>
      <c r="AV765" s="6" t="str">
        <f>HYPERLINK("http://mcgill.on.worldcat.org/oclc/428069936","Catalog Record")</f>
        <v>Catalog Record</v>
      </c>
      <c r="AW765" s="6" t="str">
        <f>HYPERLINK("http://www.worldcat.org/oclc/428069936","WorldCat Record")</f>
        <v>WorldCat Record</v>
      </c>
      <c r="AX765" s="3" t="s">
        <v>8012</v>
      </c>
      <c r="AY765" s="3" t="s">
        <v>8013</v>
      </c>
      <c r="AZ765" s="3" t="s">
        <v>8014</v>
      </c>
      <c r="BA765" s="3" t="s">
        <v>8014</v>
      </c>
      <c r="BB765" s="3" t="s">
        <v>8015</v>
      </c>
      <c r="BC765" s="3" t="s">
        <v>77</v>
      </c>
      <c r="BD765" s="3" t="s">
        <v>78</v>
      </c>
      <c r="BE765" s="3" t="s">
        <v>8016</v>
      </c>
      <c r="BF765" s="3" t="s">
        <v>8015</v>
      </c>
      <c r="BG765" s="3" t="s">
        <v>8017</v>
      </c>
    </row>
    <row r="766" spans="1:59" ht="58" x14ac:dyDescent="0.35">
      <c r="A766" s="2" t="s">
        <v>59</v>
      </c>
      <c r="B766" s="2" t="s">
        <v>60</v>
      </c>
      <c r="C766" s="2" t="s">
        <v>8018</v>
      </c>
      <c r="D766" s="2" t="s">
        <v>8019</v>
      </c>
      <c r="E766" s="2" t="s">
        <v>8020</v>
      </c>
      <c r="G766" s="3" t="s">
        <v>65</v>
      </c>
      <c r="I766" s="3" t="s">
        <v>65</v>
      </c>
      <c r="J766" s="3" t="s">
        <v>65</v>
      </c>
      <c r="K766" s="3" t="s">
        <v>66</v>
      </c>
      <c r="L766" s="2" t="s">
        <v>8021</v>
      </c>
      <c r="M766" s="2" t="s">
        <v>8022</v>
      </c>
      <c r="N766" s="3" t="s">
        <v>113</v>
      </c>
      <c r="P766" s="3" t="s">
        <v>140</v>
      </c>
      <c r="R766" s="3" t="s">
        <v>71</v>
      </c>
      <c r="S766" s="4">
        <v>0</v>
      </c>
      <c r="T766" s="4">
        <v>0</v>
      </c>
      <c r="W766" s="5" t="s">
        <v>72</v>
      </c>
      <c r="X766" s="5" t="s">
        <v>72</v>
      </c>
      <c r="Y766" s="4">
        <v>55</v>
      </c>
      <c r="Z766" s="4">
        <v>6</v>
      </c>
      <c r="AA766" s="4">
        <v>6</v>
      </c>
      <c r="AB766" s="4">
        <v>1</v>
      </c>
      <c r="AC766" s="4">
        <v>1</v>
      </c>
      <c r="AD766" s="4">
        <v>38</v>
      </c>
      <c r="AE766" s="4">
        <v>38</v>
      </c>
      <c r="AF766" s="4">
        <v>0</v>
      </c>
      <c r="AG766" s="4">
        <v>0</v>
      </c>
      <c r="AH766" s="4">
        <v>37</v>
      </c>
      <c r="AI766" s="4">
        <v>37</v>
      </c>
      <c r="AJ766" s="4">
        <v>3</v>
      </c>
      <c r="AK766" s="4">
        <v>3</v>
      </c>
      <c r="AL766" s="4">
        <v>28</v>
      </c>
      <c r="AM766" s="4">
        <v>28</v>
      </c>
      <c r="AN766" s="4">
        <v>0</v>
      </c>
      <c r="AO766" s="4">
        <v>0</v>
      </c>
      <c r="AP766" s="4">
        <v>3</v>
      </c>
      <c r="AQ766" s="4">
        <v>3</v>
      </c>
      <c r="AR766" s="3" t="s">
        <v>65</v>
      </c>
      <c r="AS766" s="3" t="s">
        <v>65</v>
      </c>
      <c r="AT766" s="3" t="s">
        <v>65</v>
      </c>
      <c r="AV766" s="6" t="str">
        <f>HYPERLINK("http://mcgill.on.worldcat.org/oclc/707959775","Catalog Record")</f>
        <v>Catalog Record</v>
      </c>
      <c r="AW766" s="6" t="str">
        <f>HYPERLINK("http://www.worldcat.org/oclc/707959775","WorldCat Record")</f>
        <v>WorldCat Record</v>
      </c>
      <c r="AX766" s="3" t="s">
        <v>8023</v>
      </c>
      <c r="AY766" s="3" t="s">
        <v>8024</v>
      </c>
      <c r="AZ766" s="3" t="s">
        <v>8025</v>
      </c>
      <c r="BA766" s="3" t="s">
        <v>8025</v>
      </c>
      <c r="BB766" s="3" t="s">
        <v>8026</v>
      </c>
      <c r="BC766" s="3" t="s">
        <v>77</v>
      </c>
      <c r="BD766" s="3" t="s">
        <v>78</v>
      </c>
      <c r="BE766" s="3" t="s">
        <v>8027</v>
      </c>
      <c r="BF766" s="3" t="s">
        <v>8026</v>
      </c>
      <c r="BG766" s="3" t="s">
        <v>8028</v>
      </c>
    </row>
    <row r="767" spans="1:59" ht="58" x14ac:dyDescent="0.35">
      <c r="A767" s="2" t="s">
        <v>59</v>
      </c>
      <c r="B767" s="2" t="s">
        <v>60</v>
      </c>
      <c r="C767" s="2" t="s">
        <v>8029</v>
      </c>
      <c r="D767" s="2" t="s">
        <v>8030</v>
      </c>
      <c r="E767" s="2" t="s">
        <v>8031</v>
      </c>
      <c r="G767" s="3" t="s">
        <v>65</v>
      </c>
      <c r="I767" s="3" t="s">
        <v>65</v>
      </c>
      <c r="J767" s="3" t="s">
        <v>65</v>
      </c>
      <c r="K767" s="3" t="s">
        <v>66</v>
      </c>
      <c r="L767" s="2" t="s">
        <v>8032</v>
      </c>
      <c r="M767" s="2" t="s">
        <v>8033</v>
      </c>
      <c r="N767" s="3" t="s">
        <v>1122</v>
      </c>
      <c r="O767" s="2" t="s">
        <v>365</v>
      </c>
      <c r="P767" s="3" t="s">
        <v>140</v>
      </c>
      <c r="Q767" s="2" t="s">
        <v>8034</v>
      </c>
      <c r="R767" s="3" t="s">
        <v>71</v>
      </c>
      <c r="S767" s="4">
        <v>1</v>
      </c>
      <c r="T767" s="4">
        <v>1</v>
      </c>
      <c r="U767" s="5" t="s">
        <v>7988</v>
      </c>
      <c r="V767" s="5" t="s">
        <v>7988</v>
      </c>
      <c r="W767" s="5" t="s">
        <v>72</v>
      </c>
      <c r="X767" s="5" t="s">
        <v>72</v>
      </c>
      <c r="Y767" s="4">
        <v>57</v>
      </c>
      <c r="Z767" s="4">
        <v>1</v>
      </c>
      <c r="AA767" s="4">
        <v>1</v>
      </c>
      <c r="AB767" s="4">
        <v>1</v>
      </c>
      <c r="AC767" s="4">
        <v>1</v>
      </c>
      <c r="AD767" s="4">
        <v>31</v>
      </c>
      <c r="AE767" s="4">
        <v>31</v>
      </c>
      <c r="AF767" s="4">
        <v>0</v>
      </c>
      <c r="AG767" s="4">
        <v>0</v>
      </c>
      <c r="AH767" s="4">
        <v>30</v>
      </c>
      <c r="AI767" s="4">
        <v>30</v>
      </c>
      <c r="AJ767" s="4">
        <v>0</v>
      </c>
      <c r="AK767" s="4">
        <v>0</v>
      </c>
      <c r="AL767" s="4">
        <v>25</v>
      </c>
      <c r="AM767" s="4">
        <v>25</v>
      </c>
      <c r="AN767" s="4">
        <v>0</v>
      </c>
      <c r="AO767" s="4">
        <v>0</v>
      </c>
      <c r="AP767" s="4">
        <v>0</v>
      </c>
      <c r="AQ767" s="4">
        <v>0</v>
      </c>
      <c r="AR767" s="3" t="s">
        <v>65</v>
      </c>
      <c r="AS767" s="3" t="s">
        <v>65</v>
      </c>
      <c r="AT767" s="3" t="s">
        <v>65</v>
      </c>
      <c r="AV767" s="6" t="str">
        <f>HYPERLINK("http://mcgill.on.worldcat.org/oclc/449490357","Catalog Record")</f>
        <v>Catalog Record</v>
      </c>
      <c r="AW767" s="6" t="str">
        <f>HYPERLINK("http://www.worldcat.org/oclc/449490357","WorldCat Record")</f>
        <v>WorldCat Record</v>
      </c>
      <c r="AX767" s="3" t="s">
        <v>8035</v>
      </c>
      <c r="AY767" s="3" t="s">
        <v>8036</v>
      </c>
      <c r="AZ767" s="3" t="s">
        <v>8037</v>
      </c>
      <c r="BA767" s="3" t="s">
        <v>8037</v>
      </c>
      <c r="BB767" s="3" t="s">
        <v>8038</v>
      </c>
      <c r="BC767" s="3" t="s">
        <v>77</v>
      </c>
      <c r="BD767" s="3" t="s">
        <v>78</v>
      </c>
      <c r="BE767" s="3" t="s">
        <v>8039</v>
      </c>
      <c r="BF767" s="3" t="s">
        <v>8038</v>
      </c>
      <c r="BG767" s="3" t="s">
        <v>8040</v>
      </c>
    </row>
    <row r="768" spans="1:59" ht="58" x14ac:dyDescent="0.35">
      <c r="A768" s="2" t="s">
        <v>59</v>
      </c>
      <c r="B768" s="2" t="s">
        <v>60</v>
      </c>
      <c r="C768" s="2" t="s">
        <v>8041</v>
      </c>
      <c r="D768" s="2" t="s">
        <v>8042</v>
      </c>
      <c r="E768" s="2" t="s">
        <v>8043</v>
      </c>
      <c r="G768" s="3" t="s">
        <v>65</v>
      </c>
      <c r="I768" s="3" t="s">
        <v>65</v>
      </c>
      <c r="J768" s="3" t="s">
        <v>65</v>
      </c>
      <c r="K768" s="3" t="s">
        <v>66</v>
      </c>
      <c r="M768" s="2" t="s">
        <v>8044</v>
      </c>
      <c r="N768" s="3" t="s">
        <v>1967</v>
      </c>
      <c r="P768" s="3" t="s">
        <v>140</v>
      </c>
      <c r="R768" s="3" t="s">
        <v>71</v>
      </c>
      <c r="S768" s="4">
        <v>8</v>
      </c>
      <c r="T768" s="4">
        <v>8</v>
      </c>
      <c r="U768" s="5" t="s">
        <v>7988</v>
      </c>
      <c r="V768" s="5" t="s">
        <v>7988</v>
      </c>
      <c r="W768" s="5" t="s">
        <v>72</v>
      </c>
      <c r="X768" s="5" t="s">
        <v>72</v>
      </c>
      <c r="Y768" s="4">
        <v>64</v>
      </c>
      <c r="Z768" s="4">
        <v>6</v>
      </c>
      <c r="AA768" s="4">
        <v>6</v>
      </c>
      <c r="AB768" s="4">
        <v>2</v>
      </c>
      <c r="AC768" s="4">
        <v>2</v>
      </c>
      <c r="AD768" s="4">
        <v>37</v>
      </c>
      <c r="AE768" s="4">
        <v>39</v>
      </c>
      <c r="AF768" s="4">
        <v>1</v>
      </c>
      <c r="AG768" s="4">
        <v>1</v>
      </c>
      <c r="AH768" s="4">
        <v>34</v>
      </c>
      <c r="AI768" s="4">
        <v>36</v>
      </c>
      <c r="AJ768" s="4">
        <v>4</v>
      </c>
      <c r="AK768" s="4">
        <v>4</v>
      </c>
      <c r="AL768" s="4">
        <v>25</v>
      </c>
      <c r="AM768" s="4">
        <v>26</v>
      </c>
      <c r="AN768" s="4">
        <v>0</v>
      </c>
      <c r="AO768" s="4">
        <v>0</v>
      </c>
      <c r="AP768" s="4">
        <v>4</v>
      </c>
      <c r="AQ768" s="4">
        <v>4</v>
      </c>
      <c r="AR768" s="3" t="s">
        <v>65</v>
      </c>
      <c r="AS768" s="3" t="s">
        <v>65</v>
      </c>
      <c r="AT768" s="3" t="s">
        <v>209</v>
      </c>
      <c r="AU768" s="6" t="str">
        <f>HYPERLINK("http://catalog.hathitrust.org/Record/003896211","HathiTrust Record")</f>
        <v>HathiTrust Record</v>
      </c>
      <c r="AV768" s="6" t="str">
        <f>HYPERLINK("http://mcgill.on.worldcat.org/oclc/53450544","Catalog Record")</f>
        <v>Catalog Record</v>
      </c>
      <c r="AW768" s="6" t="str">
        <f>HYPERLINK("http://www.worldcat.org/oclc/53450544","WorldCat Record")</f>
        <v>WorldCat Record</v>
      </c>
      <c r="AX768" s="3" t="s">
        <v>8045</v>
      </c>
      <c r="AY768" s="3" t="s">
        <v>8046</v>
      </c>
      <c r="AZ768" s="3" t="s">
        <v>8047</v>
      </c>
      <c r="BA768" s="3" t="s">
        <v>8047</v>
      </c>
      <c r="BB768" s="3" t="s">
        <v>8048</v>
      </c>
      <c r="BC768" s="3" t="s">
        <v>77</v>
      </c>
      <c r="BD768" s="3" t="s">
        <v>78</v>
      </c>
      <c r="BE768" s="3" t="s">
        <v>8049</v>
      </c>
      <c r="BF768" s="3" t="s">
        <v>8048</v>
      </c>
      <c r="BG768" s="3" t="s">
        <v>8050</v>
      </c>
    </row>
    <row r="769" spans="1:59" ht="58" x14ac:dyDescent="0.35">
      <c r="A769" s="2" t="s">
        <v>59</v>
      </c>
      <c r="B769" s="2" t="s">
        <v>60</v>
      </c>
      <c r="C769" s="2" t="s">
        <v>8051</v>
      </c>
      <c r="D769" s="2" t="s">
        <v>8052</v>
      </c>
      <c r="E769" s="2" t="s">
        <v>8053</v>
      </c>
      <c r="G769" s="3" t="s">
        <v>65</v>
      </c>
      <c r="I769" s="3" t="s">
        <v>65</v>
      </c>
      <c r="J769" s="3" t="s">
        <v>65</v>
      </c>
      <c r="K769" s="3" t="s">
        <v>66</v>
      </c>
      <c r="M769" s="2" t="s">
        <v>8054</v>
      </c>
      <c r="N769" s="3" t="s">
        <v>3385</v>
      </c>
      <c r="P769" s="3" t="s">
        <v>140</v>
      </c>
      <c r="Q769" s="2" t="s">
        <v>8055</v>
      </c>
      <c r="R769" s="3" t="s">
        <v>71</v>
      </c>
      <c r="S769" s="4">
        <v>6</v>
      </c>
      <c r="T769" s="4">
        <v>6</v>
      </c>
      <c r="U769" s="5" t="s">
        <v>8056</v>
      </c>
      <c r="V769" s="5" t="s">
        <v>8056</v>
      </c>
      <c r="W769" s="5" t="s">
        <v>72</v>
      </c>
      <c r="X769" s="5" t="s">
        <v>72</v>
      </c>
      <c r="Y769" s="4">
        <v>66</v>
      </c>
      <c r="Z769" s="4">
        <v>8</v>
      </c>
      <c r="AA769" s="4">
        <v>8</v>
      </c>
      <c r="AB769" s="4">
        <v>1</v>
      </c>
      <c r="AC769" s="4">
        <v>1</v>
      </c>
      <c r="AD769" s="4">
        <v>40</v>
      </c>
      <c r="AE769" s="4">
        <v>41</v>
      </c>
      <c r="AF769" s="4">
        <v>0</v>
      </c>
      <c r="AG769" s="4">
        <v>0</v>
      </c>
      <c r="AH769" s="4">
        <v>38</v>
      </c>
      <c r="AI769" s="4">
        <v>39</v>
      </c>
      <c r="AJ769" s="4">
        <v>6</v>
      </c>
      <c r="AK769" s="4">
        <v>6</v>
      </c>
      <c r="AL769" s="4">
        <v>29</v>
      </c>
      <c r="AM769" s="4">
        <v>30</v>
      </c>
      <c r="AN769" s="4">
        <v>0</v>
      </c>
      <c r="AO769" s="4">
        <v>0</v>
      </c>
      <c r="AP769" s="4">
        <v>6</v>
      </c>
      <c r="AQ769" s="4">
        <v>6</v>
      </c>
      <c r="AR769" s="3" t="s">
        <v>65</v>
      </c>
      <c r="AS769" s="3" t="s">
        <v>65</v>
      </c>
      <c r="AT769" s="3" t="s">
        <v>209</v>
      </c>
      <c r="AU769" s="6" t="str">
        <f>HYPERLINK("http://catalog.hathitrust.org/Record/004071265","HathiTrust Record")</f>
        <v>HathiTrust Record</v>
      </c>
      <c r="AV769" s="6" t="str">
        <f>HYPERLINK("http://mcgill.on.worldcat.org/oclc/42942363","Catalog Record")</f>
        <v>Catalog Record</v>
      </c>
      <c r="AW769" s="6" t="str">
        <f>HYPERLINK("http://www.worldcat.org/oclc/42942363","WorldCat Record")</f>
        <v>WorldCat Record</v>
      </c>
      <c r="AX769" s="3" t="s">
        <v>8057</v>
      </c>
      <c r="AY769" s="3" t="s">
        <v>8058</v>
      </c>
      <c r="AZ769" s="3" t="s">
        <v>8059</v>
      </c>
      <c r="BA769" s="3" t="s">
        <v>8059</v>
      </c>
      <c r="BB769" s="3" t="s">
        <v>8060</v>
      </c>
      <c r="BC769" s="3" t="s">
        <v>77</v>
      </c>
      <c r="BD769" s="3" t="s">
        <v>78</v>
      </c>
      <c r="BE769" s="3" t="s">
        <v>8061</v>
      </c>
      <c r="BF769" s="3" t="s">
        <v>8060</v>
      </c>
      <c r="BG769" s="3" t="s">
        <v>8062</v>
      </c>
    </row>
    <row r="770" spans="1:59" ht="58" x14ac:dyDescent="0.35">
      <c r="A770" s="2" t="s">
        <v>59</v>
      </c>
      <c r="B770" s="2" t="s">
        <v>60</v>
      </c>
      <c r="C770" s="2" t="s">
        <v>8063</v>
      </c>
      <c r="D770" s="2" t="s">
        <v>8064</v>
      </c>
      <c r="E770" s="2" t="s">
        <v>8065</v>
      </c>
      <c r="G770" s="3" t="s">
        <v>65</v>
      </c>
      <c r="I770" s="3" t="s">
        <v>65</v>
      </c>
      <c r="J770" s="3" t="s">
        <v>209</v>
      </c>
      <c r="K770" s="3" t="s">
        <v>66</v>
      </c>
      <c r="L770" s="2" t="s">
        <v>7963</v>
      </c>
      <c r="M770" s="2" t="s">
        <v>8066</v>
      </c>
      <c r="N770" s="3" t="s">
        <v>113</v>
      </c>
      <c r="P770" s="3" t="s">
        <v>69</v>
      </c>
      <c r="R770" s="3" t="s">
        <v>71</v>
      </c>
      <c r="S770" s="4">
        <v>5</v>
      </c>
      <c r="T770" s="4">
        <v>5</v>
      </c>
      <c r="U770" s="5" t="s">
        <v>8067</v>
      </c>
      <c r="V770" s="5" t="s">
        <v>8067</v>
      </c>
      <c r="W770" s="5" t="s">
        <v>72</v>
      </c>
      <c r="X770" s="5" t="s">
        <v>72</v>
      </c>
      <c r="Y770" s="4">
        <v>83</v>
      </c>
      <c r="Z770" s="4">
        <v>7</v>
      </c>
      <c r="AA770" s="4">
        <v>21</v>
      </c>
      <c r="AB770" s="4">
        <v>1</v>
      </c>
      <c r="AC770" s="4">
        <v>3</v>
      </c>
      <c r="AD770" s="4">
        <v>36</v>
      </c>
      <c r="AE770" s="4">
        <v>87</v>
      </c>
      <c r="AF770" s="4">
        <v>0</v>
      </c>
      <c r="AG770" s="4">
        <v>1</v>
      </c>
      <c r="AH770" s="4">
        <v>35</v>
      </c>
      <c r="AI770" s="4">
        <v>79</v>
      </c>
      <c r="AJ770" s="4">
        <v>4</v>
      </c>
      <c r="AK770" s="4">
        <v>8</v>
      </c>
      <c r="AL770" s="4">
        <v>26</v>
      </c>
      <c r="AM770" s="4">
        <v>48</v>
      </c>
      <c r="AN770" s="4">
        <v>0</v>
      </c>
      <c r="AO770" s="4">
        <v>0</v>
      </c>
      <c r="AP770" s="4">
        <v>4</v>
      </c>
      <c r="AQ770" s="4">
        <v>12</v>
      </c>
      <c r="AR770" s="3" t="s">
        <v>65</v>
      </c>
      <c r="AS770" s="3" t="s">
        <v>65</v>
      </c>
      <c r="AT770" s="3" t="s">
        <v>65</v>
      </c>
      <c r="AV770" s="6" t="str">
        <f>HYPERLINK("http://mcgill.on.worldcat.org/oclc/467773370","Catalog Record")</f>
        <v>Catalog Record</v>
      </c>
      <c r="AW770" s="6" t="str">
        <f>HYPERLINK("http://www.worldcat.org/oclc/467773370","WorldCat Record")</f>
        <v>WorldCat Record</v>
      </c>
      <c r="AX770" s="3" t="s">
        <v>8068</v>
      </c>
      <c r="AY770" s="3" t="s">
        <v>8069</v>
      </c>
      <c r="AZ770" s="3" t="s">
        <v>8070</v>
      </c>
      <c r="BA770" s="3" t="s">
        <v>8070</v>
      </c>
      <c r="BB770" s="3" t="s">
        <v>8071</v>
      </c>
      <c r="BC770" s="3" t="s">
        <v>77</v>
      </c>
      <c r="BD770" s="3" t="s">
        <v>78</v>
      </c>
      <c r="BE770" s="3" t="s">
        <v>8072</v>
      </c>
      <c r="BF770" s="3" t="s">
        <v>8071</v>
      </c>
      <c r="BG770" s="3" t="s">
        <v>8073</v>
      </c>
    </row>
    <row r="771" spans="1:59" ht="58" x14ac:dyDescent="0.35">
      <c r="A771" s="2" t="s">
        <v>59</v>
      </c>
      <c r="B771" s="2" t="s">
        <v>60</v>
      </c>
      <c r="C771" s="2" t="s">
        <v>8074</v>
      </c>
      <c r="D771" s="2" t="s">
        <v>8075</v>
      </c>
      <c r="E771" s="2" t="s">
        <v>8076</v>
      </c>
      <c r="G771" s="3" t="s">
        <v>65</v>
      </c>
      <c r="I771" s="3" t="s">
        <v>65</v>
      </c>
      <c r="J771" s="3" t="s">
        <v>209</v>
      </c>
      <c r="K771" s="3" t="s">
        <v>66</v>
      </c>
      <c r="L771" s="2" t="s">
        <v>7963</v>
      </c>
      <c r="M771" s="2" t="s">
        <v>2256</v>
      </c>
      <c r="N771" s="3" t="s">
        <v>126</v>
      </c>
      <c r="O771" s="2" t="s">
        <v>654</v>
      </c>
      <c r="P771" s="3" t="s">
        <v>140</v>
      </c>
      <c r="Q771" s="2" t="s">
        <v>8077</v>
      </c>
      <c r="R771" s="3" t="s">
        <v>71</v>
      </c>
      <c r="S771" s="4">
        <v>3</v>
      </c>
      <c r="T771" s="4">
        <v>3</v>
      </c>
      <c r="U771" s="5" t="s">
        <v>8001</v>
      </c>
      <c r="V771" s="5" t="s">
        <v>8001</v>
      </c>
      <c r="W771" s="5" t="s">
        <v>72</v>
      </c>
      <c r="X771" s="5" t="s">
        <v>72</v>
      </c>
      <c r="Y771" s="4">
        <v>49</v>
      </c>
      <c r="Z771" s="4">
        <v>5</v>
      </c>
      <c r="AA771" s="4">
        <v>36</v>
      </c>
      <c r="AB771" s="4">
        <v>1</v>
      </c>
      <c r="AC771" s="4">
        <v>4</v>
      </c>
      <c r="AD771" s="4">
        <v>31</v>
      </c>
      <c r="AE771" s="4">
        <v>95</v>
      </c>
      <c r="AF771" s="4">
        <v>0</v>
      </c>
      <c r="AG771" s="4">
        <v>2</v>
      </c>
      <c r="AH771" s="4">
        <v>30</v>
      </c>
      <c r="AI771" s="4">
        <v>82</v>
      </c>
      <c r="AJ771" s="4">
        <v>3</v>
      </c>
      <c r="AK771" s="4">
        <v>15</v>
      </c>
      <c r="AL771" s="4">
        <v>23</v>
      </c>
      <c r="AM771" s="4">
        <v>53</v>
      </c>
      <c r="AN771" s="4">
        <v>0</v>
      </c>
      <c r="AO771" s="4">
        <v>0</v>
      </c>
      <c r="AP771" s="4">
        <v>3</v>
      </c>
      <c r="AQ771" s="4">
        <v>18</v>
      </c>
      <c r="AR771" s="3" t="s">
        <v>65</v>
      </c>
      <c r="AS771" s="3" t="s">
        <v>65</v>
      </c>
      <c r="AT771" s="3" t="s">
        <v>65</v>
      </c>
      <c r="AV771" s="6" t="str">
        <f>HYPERLINK("http://mcgill.on.worldcat.org/oclc/733562127","Catalog Record")</f>
        <v>Catalog Record</v>
      </c>
      <c r="AW771" s="6" t="str">
        <f>HYPERLINK("http://www.worldcat.org/oclc/733562127","WorldCat Record")</f>
        <v>WorldCat Record</v>
      </c>
      <c r="AX771" s="3" t="s">
        <v>8078</v>
      </c>
      <c r="AY771" s="3" t="s">
        <v>8079</v>
      </c>
      <c r="AZ771" s="3" t="s">
        <v>8080</v>
      </c>
      <c r="BA771" s="3" t="s">
        <v>8080</v>
      </c>
      <c r="BB771" s="3" t="s">
        <v>8081</v>
      </c>
      <c r="BC771" s="3" t="s">
        <v>77</v>
      </c>
      <c r="BD771" s="3" t="s">
        <v>78</v>
      </c>
      <c r="BE771" s="3" t="s">
        <v>8082</v>
      </c>
      <c r="BF771" s="3" t="s">
        <v>8081</v>
      </c>
      <c r="BG771" s="3" t="s">
        <v>8083</v>
      </c>
    </row>
    <row r="772" spans="1:59" ht="58" x14ac:dyDescent="0.35">
      <c r="A772" s="2" t="s">
        <v>59</v>
      </c>
      <c r="B772" s="2" t="s">
        <v>60</v>
      </c>
      <c r="C772" s="2" t="s">
        <v>8084</v>
      </c>
      <c r="D772" s="2" t="s">
        <v>8085</v>
      </c>
      <c r="E772" s="2" t="s">
        <v>8086</v>
      </c>
      <c r="G772" s="3" t="s">
        <v>65</v>
      </c>
      <c r="I772" s="3" t="s">
        <v>65</v>
      </c>
      <c r="J772" s="3" t="s">
        <v>65</v>
      </c>
      <c r="K772" s="3" t="s">
        <v>66</v>
      </c>
      <c r="L772" s="2" t="s">
        <v>8087</v>
      </c>
      <c r="M772" s="2" t="s">
        <v>4029</v>
      </c>
      <c r="N772" s="3" t="s">
        <v>126</v>
      </c>
      <c r="P772" s="3" t="s">
        <v>140</v>
      </c>
      <c r="Q772" s="2" t="s">
        <v>8088</v>
      </c>
      <c r="R772" s="3" t="s">
        <v>71</v>
      </c>
      <c r="S772" s="4">
        <v>0</v>
      </c>
      <c r="T772" s="4">
        <v>0</v>
      </c>
      <c r="W772" s="5" t="s">
        <v>72</v>
      </c>
      <c r="X772" s="5" t="s">
        <v>72</v>
      </c>
      <c r="Y772" s="4">
        <v>30</v>
      </c>
      <c r="Z772" s="4">
        <v>4</v>
      </c>
      <c r="AA772" s="4">
        <v>4</v>
      </c>
      <c r="AB772" s="4">
        <v>1</v>
      </c>
      <c r="AC772" s="4">
        <v>1</v>
      </c>
      <c r="AD772" s="4">
        <v>21</v>
      </c>
      <c r="AE772" s="4">
        <v>21</v>
      </c>
      <c r="AF772" s="4">
        <v>0</v>
      </c>
      <c r="AG772" s="4">
        <v>0</v>
      </c>
      <c r="AH772" s="4">
        <v>20</v>
      </c>
      <c r="AI772" s="4">
        <v>20</v>
      </c>
      <c r="AJ772" s="4">
        <v>2</v>
      </c>
      <c r="AK772" s="4">
        <v>2</v>
      </c>
      <c r="AL772" s="4">
        <v>15</v>
      </c>
      <c r="AM772" s="4">
        <v>15</v>
      </c>
      <c r="AN772" s="4">
        <v>0</v>
      </c>
      <c r="AO772" s="4">
        <v>0</v>
      </c>
      <c r="AP772" s="4">
        <v>2</v>
      </c>
      <c r="AQ772" s="4">
        <v>2</v>
      </c>
      <c r="AR772" s="3" t="s">
        <v>65</v>
      </c>
      <c r="AS772" s="3" t="s">
        <v>65</v>
      </c>
      <c r="AT772" s="3" t="s">
        <v>65</v>
      </c>
      <c r="AV772" s="6" t="str">
        <f>HYPERLINK("http://mcgill.on.worldcat.org/oclc/733222599","Catalog Record")</f>
        <v>Catalog Record</v>
      </c>
      <c r="AW772" s="6" t="str">
        <f>HYPERLINK("http://www.worldcat.org/oclc/733222599","WorldCat Record")</f>
        <v>WorldCat Record</v>
      </c>
      <c r="AX772" s="3" t="s">
        <v>8089</v>
      </c>
      <c r="AY772" s="3" t="s">
        <v>8090</v>
      </c>
      <c r="AZ772" s="3" t="s">
        <v>8091</v>
      </c>
      <c r="BA772" s="3" t="s">
        <v>8091</v>
      </c>
      <c r="BB772" s="3" t="s">
        <v>8092</v>
      </c>
      <c r="BC772" s="3" t="s">
        <v>77</v>
      </c>
      <c r="BD772" s="3" t="s">
        <v>78</v>
      </c>
      <c r="BE772" s="3" t="s">
        <v>8093</v>
      </c>
      <c r="BF772" s="3" t="s">
        <v>8092</v>
      </c>
      <c r="BG772" s="3" t="s">
        <v>8094</v>
      </c>
    </row>
    <row r="773" spans="1:59" ht="58" x14ac:dyDescent="0.35">
      <c r="A773" s="2" t="s">
        <v>59</v>
      </c>
      <c r="B773" s="2" t="s">
        <v>60</v>
      </c>
      <c r="C773" s="2" t="s">
        <v>8095</v>
      </c>
      <c r="D773" s="2" t="s">
        <v>8096</v>
      </c>
      <c r="E773" s="2" t="s">
        <v>8097</v>
      </c>
      <c r="F773" s="3" t="s">
        <v>245</v>
      </c>
      <c r="G773" s="3" t="s">
        <v>209</v>
      </c>
      <c r="I773" s="3" t="s">
        <v>65</v>
      </c>
      <c r="J773" s="3" t="s">
        <v>65</v>
      </c>
      <c r="K773" s="3" t="s">
        <v>66</v>
      </c>
      <c r="L773" s="2" t="s">
        <v>904</v>
      </c>
      <c r="M773" s="2" t="s">
        <v>8098</v>
      </c>
      <c r="N773" s="3" t="s">
        <v>126</v>
      </c>
      <c r="O773" s="2" t="s">
        <v>6616</v>
      </c>
      <c r="P773" s="3" t="s">
        <v>140</v>
      </c>
      <c r="Q773" s="2" t="s">
        <v>6617</v>
      </c>
      <c r="R773" s="3" t="s">
        <v>71</v>
      </c>
      <c r="S773" s="4">
        <v>2</v>
      </c>
      <c r="T773" s="4">
        <v>2</v>
      </c>
      <c r="U773" s="5" t="s">
        <v>1335</v>
      </c>
      <c r="V773" s="5" t="s">
        <v>1335</v>
      </c>
      <c r="W773" s="5" t="s">
        <v>72</v>
      </c>
      <c r="X773" s="5" t="s">
        <v>72</v>
      </c>
      <c r="Y773" s="4">
        <v>85</v>
      </c>
      <c r="Z773" s="4">
        <v>6</v>
      </c>
      <c r="AA773" s="4">
        <v>6</v>
      </c>
      <c r="AB773" s="4">
        <v>1</v>
      </c>
      <c r="AC773" s="4">
        <v>1</v>
      </c>
      <c r="AD773" s="4">
        <v>49</v>
      </c>
      <c r="AE773" s="4">
        <v>49</v>
      </c>
      <c r="AF773" s="4">
        <v>0</v>
      </c>
      <c r="AG773" s="4">
        <v>0</v>
      </c>
      <c r="AH773" s="4">
        <v>47</v>
      </c>
      <c r="AI773" s="4">
        <v>47</v>
      </c>
      <c r="AJ773" s="4">
        <v>3</v>
      </c>
      <c r="AK773" s="4">
        <v>3</v>
      </c>
      <c r="AL773" s="4">
        <v>35</v>
      </c>
      <c r="AM773" s="4">
        <v>35</v>
      </c>
      <c r="AN773" s="4">
        <v>0</v>
      </c>
      <c r="AO773" s="4">
        <v>0</v>
      </c>
      <c r="AP773" s="4">
        <v>3</v>
      </c>
      <c r="AQ773" s="4">
        <v>3</v>
      </c>
      <c r="AR773" s="3" t="s">
        <v>65</v>
      </c>
      <c r="AS773" s="3" t="s">
        <v>65</v>
      </c>
      <c r="AT773" s="3" t="s">
        <v>65</v>
      </c>
      <c r="AV773" s="6" t="str">
        <f>HYPERLINK("http://mcgill.on.worldcat.org/oclc/682881239","Catalog Record")</f>
        <v>Catalog Record</v>
      </c>
      <c r="AW773" s="6" t="str">
        <f>HYPERLINK("http://www.worldcat.org/oclc/682881239","WorldCat Record")</f>
        <v>WorldCat Record</v>
      </c>
      <c r="AX773" s="3" t="s">
        <v>8099</v>
      </c>
      <c r="AY773" s="3" t="s">
        <v>8100</v>
      </c>
      <c r="AZ773" s="3" t="s">
        <v>8101</v>
      </c>
      <c r="BA773" s="3" t="s">
        <v>8101</v>
      </c>
      <c r="BB773" s="3" t="s">
        <v>8102</v>
      </c>
      <c r="BC773" s="3" t="s">
        <v>77</v>
      </c>
      <c r="BD773" s="3" t="s">
        <v>78</v>
      </c>
      <c r="BE773" s="3" t="s">
        <v>8103</v>
      </c>
      <c r="BF773" s="3" t="s">
        <v>8102</v>
      </c>
      <c r="BG773" s="3" t="s">
        <v>8104</v>
      </c>
    </row>
    <row r="774" spans="1:59" ht="87" x14ac:dyDescent="0.35">
      <c r="A774" s="2" t="s">
        <v>59</v>
      </c>
      <c r="B774" s="2" t="s">
        <v>60</v>
      </c>
      <c r="C774" s="2" t="s">
        <v>8105</v>
      </c>
      <c r="D774" s="2" t="s">
        <v>8106</v>
      </c>
      <c r="E774" s="2" t="s">
        <v>8107</v>
      </c>
      <c r="F774" s="3" t="s">
        <v>8108</v>
      </c>
      <c r="G774" s="3" t="s">
        <v>65</v>
      </c>
      <c r="I774" s="3" t="s">
        <v>65</v>
      </c>
      <c r="J774" s="3" t="s">
        <v>65</v>
      </c>
      <c r="K774" s="3" t="s">
        <v>66</v>
      </c>
      <c r="M774" s="2" t="s">
        <v>8109</v>
      </c>
      <c r="N774" s="3" t="s">
        <v>176</v>
      </c>
      <c r="P774" s="3" t="s">
        <v>140</v>
      </c>
      <c r="Q774" s="2" t="s">
        <v>8110</v>
      </c>
      <c r="R774" s="3" t="s">
        <v>71</v>
      </c>
      <c r="S774" s="4">
        <v>0</v>
      </c>
      <c r="T774" s="4">
        <v>0</v>
      </c>
      <c r="W774" s="5" t="s">
        <v>72</v>
      </c>
      <c r="X774" s="5" t="s">
        <v>72</v>
      </c>
      <c r="Y774" s="4">
        <v>39</v>
      </c>
      <c r="Z774" s="4">
        <v>5</v>
      </c>
      <c r="AA774" s="4">
        <v>5</v>
      </c>
      <c r="AB774" s="4">
        <v>1</v>
      </c>
      <c r="AC774" s="4">
        <v>1</v>
      </c>
      <c r="AD774" s="4">
        <v>26</v>
      </c>
      <c r="AE774" s="4">
        <v>26</v>
      </c>
      <c r="AF774" s="4">
        <v>0</v>
      </c>
      <c r="AG774" s="4">
        <v>0</v>
      </c>
      <c r="AH774" s="4">
        <v>25</v>
      </c>
      <c r="AI774" s="4">
        <v>25</v>
      </c>
      <c r="AJ774" s="4">
        <v>2</v>
      </c>
      <c r="AK774" s="4">
        <v>2</v>
      </c>
      <c r="AL774" s="4">
        <v>19</v>
      </c>
      <c r="AM774" s="4">
        <v>19</v>
      </c>
      <c r="AN774" s="4">
        <v>0</v>
      </c>
      <c r="AO774" s="4">
        <v>0</v>
      </c>
      <c r="AP774" s="4">
        <v>2</v>
      </c>
      <c r="AQ774" s="4">
        <v>2</v>
      </c>
      <c r="AR774" s="3" t="s">
        <v>65</v>
      </c>
      <c r="AS774" s="3" t="s">
        <v>65</v>
      </c>
      <c r="AT774" s="3" t="s">
        <v>65</v>
      </c>
      <c r="AV774" s="6" t="str">
        <f>HYPERLINK("http://mcgill.on.worldcat.org/oclc/932255168","Catalog Record")</f>
        <v>Catalog Record</v>
      </c>
      <c r="AW774" s="6" t="str">
        <f>HYPERLINK("http://www.worldcat.org/oclc/932255168","WorldCat Record")</f>
        <v>WorldCat Record</v>
      </c>
      <c r="AX774" s="3" t="s">
        <v>8111</v>
      </c>
      <c r="AY774" s="3" t="s">
        <v>8112</v>
      </c>
      <c r="AZ774" s="3" t="s">
        <v>8113</v>
      </c>
      <c r="BA774" s="3" t="s">
        <v>8113</v>
      </c>
      <c r="BB774" s="3" t="s">
        <v>8114</v>
      </c>
      <c r="BC774" s="3" t="s">
        <v>77</v>
      </c>
      <c r="BD774" s="3" t="s">
        <v>78</v>
      </c>
      <c r="BE774" s="3" t="s">
        <v>8115</v>
      </c>
      <c r="BF774" s="3" t="s">
        <v>8114</v>
      </c>
      <c r="BG774" s="3" t="s">
        <v>8116</v>
      </c>
    </row>
    <row r="775" spans="1:59" ht="58" x14ac:dyDescent="0.35">
      <c r="A775" s="2" t="s">
        <v>59</v>
      </c>
      <c r="B775" s="2" t="s">
        <v>60</v>
      </c>
      <c r="C775" s="2" t="s">
        <v>8117</v>
      </c>
      <c r="D775" s="2" t="s">
        <v>8118</v>
      </c>
      <c r="E775" s="2" t="s">
        <v>8119</v>
      </c>
      <c r="F775" s="3" t="s">
        <v>255</v>
      </c>
      <c r="G775" s="3" t="s">
        <v>209</v>
      </c>
      <c r="I775" s="3" t="s">
        <v>65</v>
      </c>
      <c r="J775" s="3" t="s">
        <v>209</v>
      </c>
      <c r="K775" s="3" t="s">
        <v>213</v>
      </c>
      <c r="L775" s="2" t="s">
        <v>904</v>
      </c>
      <c r="M775" s="2" t="s">
        <v>8120</v>
      </c>
      <c r="N775" s="3" t="s">
        <v>7187</v>
      </c>
      <c r="P775" s="3" t="s">
        <v>69</v>
      </c>
      <c r="Q775" s="2" t="s">
        <v>8121</v>
      </c>
      <c r="R775" s="3" t="s">
        <v>71</v>
      </c>
      <c r="S775" s="4">
        <v>4</v>
      </c>
      <c r="T775" s="4">
        <v>22</v>
      </c>
      <c r="U775" s="5" t="s">
        <v>8122</v>
      </c>
      <c r="V775" s="5" t="s">
        <v>8122</v>
      </c>
      <c r="W775" s="5" t="s">
        <v>72</v>
      </c>
      <c r="X775" s="5" t="s">
        <v>72</v>
      </c>
      <c r="Y775" s="4">
        <v>134</v>
      </c>
      <c r="Z775" s="4">
        <v>2</v>
      </c>
      <c r="AA775" s="4">
        <v>78</v>
      </c>
      <c r="AB775" s="4">
        <v>1</v>
      </c>
      <c r="AC775" s="4">
        <v>3</v>
      </c>
      <c r="AD775" s="4">
        <v>9</v>
      </c>
      <c r="AE775" s="4">
        <v>143</v>
      </c>
      <c r="AF775" s="4">
        <v>0</v>
      </c>
      <c r="AG775" s="4">
        <v>1</v>
      </c>
      <c r="AH775" s="4">
        <v>9</v>
      </c>
      <c r="AI775" s="4">
        <v>110</v>
      </c>
      <c r="AJ775" s="4">
        <v>1</v>
      </c>
      <c r="AK775" s="4">
        <v>21</v>
      </c>
      <c r="AL775" s="4">
        <v>5</v>
      </c>
      <c r="AM775" s="4">
        <v>61</v>
      </c>
      <c r="AN775" s="4">
        <v>0</v>
      </c>
      <c r="AO775" s="4">
        <v>22</v>
      </c>
      <c r="AP775" s="4">
        <v>1</v>
      </c>
      <c r="AQ775" s="4">
        <v>38</v>
      </c>
      <c r="AR775" s="3" t="s">
        <v>65</v>
      </c>
      <c r="AS775" s="3" t="s">
        <v>65</v>
      </c>
      <c r="AT775" s="3" t="s">
        <v>65</v>
      </c>
      <c r="AV775" s="6" t="str">
        <f>HYPERLINK("http://mcgill.on.worldcat.org/oclc/6313020","Catalog Record")</f>
        <v>Catalog Record</v>
      </c>
      <c r="AW775" s="6" t="str">
        <f>HYPERLINK("http://www.worldcat.org/oclc/6313020","WorldCat Record")</f>
        <v>WorldCat Record</v>
      </c>
      <c r="AX775" s="3" t="s">
        <v>8123</v>
      </c>
      <c r="AY775" s="3" t="s">
        <v>8124</v>
      </c>
      <c r="AZ775" s="3" t="s">
        <v>8125</v>
      </c>
      <c r="BA775" s="3" t="s">
        <v>8125</v>
      </c>
      <c r="BB775" s="3" t="s">
        <v>8126</v>
      </c>
      <c r="BC775" s="3" t="s">
        <v>77</v>
      </c>
      <c r="BD775" s="3" t="s">
        <v>78</v>
      </c>
      <c r="BE775" s="3" t="s">
        <v>8127</v>
      </c>
      <c r="BF775" s="3" t="s">
        <v>8126</v>
      </c>
      <c r="BG775" s="3" t="s">
        <v>8128</v>
      </c>
    </row>
    <row r="776" spans="1:59" ht="58" x14ac:dyDescent="0.35">
      <c r="A776" s="2" t="s">
        <v>59</v>
      </c>
      <c r="B776" s="2" t="s">
        <v>60</v>
      </c>
      <c r="C776" s="2" t="s">
        <v>8117</v>
      </c>
      <c r="D776" s="2" t="s">
        <v>8118</v>
      </c>
      <c r="E776" s="2" t="s">
        <v>8119</v>
      </c>
      <c r="F776" s="3" t="s">
        <v>245</v>
      </c>
      <c r="G776" s="3" t="s">
        <v>209</v>
      </c>
      <c r="I776" s="3" t="s">
        <v>65</v>
      </c>
      <c r="J776" s="3" t="s">
        <v>209</v>
      </c>
      <c r="K776" s="3" t="s">
        <v>213</v>
      </c>
      <c r="L776" s="2" t="s">
        <v>904</v>
      </c>
      <c r="M776" s="2" t="s">
        <v>8120</v>
      </c>
      <c r="N776" s="3" t="s">
        <v>7187</v>
      </c>
      <c r="P776" s="3" t="s">
        <v>69</v>
      </c>
      <c r="Q776" s="2" t="s">
        <v>8121</v>
      </c>
      <c r="R776" s="3" t="s">
        <v>71</v>
      </c>
      <c r="S776" s="4">
        <v>11</v>
      </c>
      <c r="T776" s="4">
        <v>22</v>
      </c>
      <c r="U776" s="5" t="s">
        <v>8122</v>
      </c>
      <c r="V776" s="5" t="s">
        <v>8122</v>
      </c>
      <c r="W776" s="5" t="s">
        <v>72</v>
      </c>
      <c r="X776" s="5" t="s">
        <v>72</v>
      </c>
      <c r="Y776" s="4">
        <v>134</v>
      </c>
      <c r="Z776" s="4">
        <v>2</v>
      </c>
      <c r="AA776" s="4">
        <v>78</v>
      </c>
      <c r="AB776" s="4">
        <v>1</v>
      </c>
      <c r="AC776" s="4">
        <v>3</v>
      </c>
      <c r="AD776" s="4">
        <v>9</v>
      </c>
      <c r="AE776" s="4">
        <v>143</v>
      </c>
      <c r="AF776" s="4">
        <v>0</v>
      </c>
      <c r="AG776" s="4">
        <v>1</v>
      </c>
      <c r="AH776" s="4">
        <v>9</v>
      </c>
      <c r="AI776" s="4">
        <v>110</v>
      </c>
      <c r="AJ776" s="4">
        <v>1</v>
      </c>
      <c r="AK776" s="4">
        <v>21</v>
      </c>
      <c r="AL776" s="4">
        <v>5</v>
      </c>
      <c r="AM776" s="4">
        <v>61</v>
      </c>
      <c r="AN776" s="4">
        <v>0</v>
      </c>
      <c r="AO776" s="4">
        <v>22</v>
      </c>
      <c r="AP776" s="4">
        <v>1</v>
      </c>
      <c r="AQ776" s="4">
        <v>38</v>
      </c>
      <c r="AR776" s="3" t="s">
        <v>65</v>
      </c>
      <c r="AS776" s="3" t="s">
        <v>65</v>
      </c>
      <c r="AT776" s="3" t="s">
        <v>65</v>
      </c>
      <c r="AV776" s="6" t="str">
        <f>HYPERLINK("http://mcgill.on.worldcat.org/oclc/6313020","Catalog Record")</f>
        <v>Catalog Record</v>
      </c>
      <c r="AW776" s="6" t="str">
        <f>HYPERLINK("http://www.worldcat.org/oclc/6313020","WorldCat Record")</f>
        <v>WorldCat Record</v>
      </c>
      <c r="AX776" s="3" t="s">
        <v>8123</v>
      </c>
      <c r="AY776" s="3" t="s">
        <v>8124</v>
      </c>
      <c r="AZ776" s="3" t="s">
        <v>8125</v>
      </c>
      <c r="BA776" s="3" t="s">
        <v>8125</v>
      </c>
      <c r="BB776" s="3" t="s">
        <v>8129</v>
      </c>
      <c r="BC776" s="3" t="s">
        <v>77</v>
      </c>
      <c r="BD776" s="3" t="s">
        <v>78</v>
      </c>
      <c r="BE776" s="3" t="s">
        <v>8127</v>
      </c>
      <c r="BF776" s="3" t="s">
        <v>8129</v>
      </c>
      <c r="BG776" s="3" t="s">
        <v>8130</v>
      </c>
    </row>
    <row r="777" spans="1:59" ht="58" x14ac:dyDescent="0.35">
      <c r="A777" s="2" t="s">
        <v>59</v>
      </c>
      <c r="B777" s="2" t="s">
        <v>60</v>
      </c>
      <c r="C777" s="2" t="s">
        <v>8117</v>
      </c>
      <c r="D777" s="2" t="s">
        <v>8118</v>
      </c>
      <c r="E777" s="2" t="s">
        <v>8119</v>
      </c>
      <c r="F777" s="3" t="s">
        <v>258</v>
      </c>
      <c r="G777" s="3" t="s">
        <v>209</v>
      </c>
      <c r="I777" s="3" t="s">
        <v>65</v>
      </c>
      <c r="J777" s="3" t="s">
        <v>209</v>
      </c>
      <c r="K777" s="3" t="s">
        <v>213</v>
      </c>
      <c r="L777" s="2" t="s">
        <v>904</v>
      </c>
      <c r="M777" s="2" t="s">
        <v>8120</v>
      </c>
      <c r="N777" s="3" t="s">
        <v>7187</v>
      </c>
      <c r="P777" s="3" t="s">
        <v>69</v>
      </c>
      <c r="Q777" s="2" t="s">
        <v>8121</v>
      </c>
      <c r="R777" s="3" t="s">
        <v>71</v>
      </c>
      <c r="S777" s="4">
        <v>7</v>
      </c>
      <c r="T777" s="4">
        <v>22</v>
      </c>
      <c r="U777" s="5" t="s">
        <v>8122</v>
      </c>
      <c r="V777" s="5" t="s">
        <v>8122</v>
      </c>
      <c r="W777" s="5" t="s">
        <v>72</v>
      </c>
      <c r="X777" s="5" t="s">
        <v>72</v>
      </c>
      <c r="Y777" s="4">
        <v>134</v>
      </c>
      <c r="Z777" s="4">
        <v>2</v>
      </c>
      <c r="AA777" s="4">
        <v>78</v>
      </c>
      <c r="AB777" s="4">
        <v>1</v>
      </c>
      <c r="AC777" s="4">
        <v>3</v>
      </c>
      <c r="AD777" s="4">
        <v>9</v>
      </c>
      <c r="AE777" s="4">
        <v>143</v>
      </c>
      <c r="AF777" s="4">
        <v>0</v>
      </c>
      <c r="AG777" s="4">
        <v>1</v>
      </c>
      <c r="AH777" s="4">
        <v>9</v>
      </c>
      <c r="AI777" s="4">
        <v>110</v>
      </c>
      <c r="AJ777" s="4">
        <v>1</v>
      </c>
      <c r="AK777" s="4">
        <v>21</v>
      </c>
      <c r="AL777" s="4">
        <v>5</v>
      </c>
      <c r="AM777" s="4">
        <v>61</v>
      </c>
      <c r="AN777" s="4">
        <v>0</v>
      </c>
      <c r="AO777" s="4">
        <v>22</v>
      </c>
      <c r="AP777" s="4">
        <v>1</v>
      </c>
      <c r="AQ777" s="4">
        <v>38</v>
      </c>
      <c r="AR777" s="3" t="s">
        <v>65</v>
      </c>
      <c r="AS777" s="3" t="s">
        <v>65</v>
      </c>
      <c r="AT777" s="3" t="s">
        <v>65</v>
      </c>
      <c r="AV777" s="6" t="str">
        <f>HYPERLINK("http://mcgill.on.worldcat.org/oclc/6313020","Catalog Record")</f>
        <v>Catalog Record</v>
      </c>
      <c r="AW777" s="6" t="str">
        <f>HYPERLINK("http://www.worldcat.org/oclc/6313020","WorldCat Record")</f>
        <v>WorldCat Record</v>
      </c>
      <c r="AX777" s="3" t="s">
        <v>8123</v>
      </c>
      <c r="AY777" s="3" t="s">
        <v>8124</v>
      </c>
      <c r="AZ777" s="3" t="s">
        <v>8125</v>
      </c>
      <c r="BA777" s="3" t="s">
        <v>8125</v>
      </c>
      <c r="BB777" s="3" t="s">
        <v>8131</v>
      </c>
      <c r="BC777" s="3" t="s">
        <v>77</v>
      </c>
      <c r="BD777" s="3" t="s">
        <v>78</v>
      </c>
      <c r="BE777" s="3" t="s">
        <v>8127</v>
      </c>
      <c r="BF777" s="3" t="s">
        <v>8131</v>
      </c>
      <c r="BG777" s="3" t="s">
        <v>8132</v>
      </c>
    </row>
    <row r="778" spans="1:59" ht="58" x14ac:dyDescent="0.35">
      <c r="A778" s="2" t="s">
        <v>59</v>
      </c>
      <c r="B778" s="2" t="s">
        <v>60</v>
      </c>
      <c r="C778" s="2" t="s">
        <v>8133</v>
      </c>
      <c r="D778" s="2" t="s">
        <v>8134</v>
      </c>
      <c r="E778" s="2" t="s">
        <v>8135</v>
      </c>
      <c r="F778" s="3" t="s">
        <v>3103</v>
      </c>
      <c r="G778" s="3" t="s">
        <v>209</v>
      </c>
      <c r="I778" s="3" t="s">
        <v>65</v>
      </c>
      <c r="J778" s="3" t="s">
        <v>209</v>
      </c>
      <c r="K778" s="3" t="s">
        <v>213</v>
      </c>
      <c r="L778" s="2" t="s">
        <v>904</v>
      </c>
      <c r="M778" s="2" t="s">
        <v>8136</v>
      </c>
      <c r="N778" s="3" t="s">
        <v>5060</v>
      </c>
      <c r="P778" s="3" t="s">
        <v>140</v>
      </c>
      <c r="R778" s="3" t="s">
        <v>71</v>
      </c>
      <c r="S778" s="4">
        <v>4</v>
      </c>
      <c r="T778" s="4">
        <v>4</v>
      </c>
      <c r="U778" s="5" t="s">
        <v>8137</v>
      </c>
      <c r="V778" s="5" t="s">
        <v>8137</v>
      </c>
      <c r="W778" s="5" t="s">
        <v>72</v>
      </c>
      <c r="X778" s="5" t="s">
        <v>72</v>
      </c>
      <c r="Y778" s="4">
        <v>2</v>
      </c>
      <c r="Z778" s="4">
        <v>1</v>
      </c>
      <c r="AA778" s="4">
        <v>4</v>
      </c>
      <c r="AB778" s="4">
        <v>1</v>
      </c>
      <c r="AC778" s="4">
        <v>1</v>
      </c>
      <c r="AD778" s="4">
        <v>0</v>
      </c>
      <c r="AE778" s="4">
        <v>38</v>
      </c>
      <c r="AF778" s="4">
        <v>0</v>
      </c>
      <c r="AG778" s="4">
        <v>0</v>
      </c>
      <c r="AH778" s="4">
        <v>0</v>
      </c>
      <c r="AI778" s="4">
        <v>37</v>
      </c>
      <c r="AJ778" s="4">
        <v>0</v>
      </c>
      <c r="AK778" s="4">
        <v>2</v>
      </c>
      <c r="AL778" s="4">
        <v>0</v>
      </c>
      <c r="AM778" s="4">
        <v>30</v>
      </c>
      <c r="AN778" s="4">
        <v>0</v>
      </c>
      <c r="AO778" s="4">
        <v>0</v>
      </c>
      <c r="AP778" s="4">
        <v>0</v>
      </c>
      <c r="AQ778" s="4">
        <v>2</v>
      </c>
      <c r="AR778" s="3" t="s">
        <v>65</v>
      </c>
      <c r="AS778" s="3" t="s">
        <v>65</v>
      </c>
      <c r="AT778" s="3" t="s">
        <v>65</v>
      </c>
      <c r="AV778" s="6" t="str">
        <f>HYPERLINK("http://mcgill.on.worldcat.org/oclc/61590567","Catalog Record")</f>
        <v>Catalog Record</v>
      </c>
      <c r="AW778" s="6" t="str">
        <f>HYPERLINK("http://www.worldcat.org/oclc/61590567","WorldCat Record")</f>
        <v>WorldCat Record</v>
      </c>
      <c r="AX778" s="3" t="s">
        <v>8138</v>
      </c>
      <c r="AY778" s="3" t="s">
        <v>8139</v>
      </c>
      <c r="AZ778" s="3" t="s">
        <v>8140</v>
      </c>
      <c r="BA778" s="3" t="s">
        <v>8140</v>
      </c>
      <c r="BB778" s="3" t="s">
        <v>8141</v>
      </c>
      <c r="BC778" s="3" t="s">
        <v>77</v>
      </c>
      <c r="BD778" s="3" t="s">
        <v>78</v>
      </c>
      <c r="BF778" s="3" t="s">
        <v>8141</v>
      </c>
      <c r="BG778" s="3" t="s">
        <v>8142</v>
      </c>
    </row>
    <row r="779" spans="1:59" ht="58" x14ac:dyDescent="0.35">
      <c r="A779" s="2" t="s">
        <v>59</v>
      </c>
      <c r="B779" s="2" t="s">
        <v>60</v>
      </c>
      <c r="C779" s="2" t="s">
        <v>8133</v>
      </c>
      <c r="D779" s="2" t="s">
        <v>8134</v>
      </c>
      <c r="E779" s="2" t="s">
        <v>8135</v>
      </c>
      <c r="F779" s="3" t="s">
        <v>490</v>
      </c>
      <c r="G779" s="3" t="s">
        <v>209</v>
      </c>
      <c r="I779" s="3" t="s">
        <v>65</v>
      </c>
      <c r="J779" s="3" t="s">
        <v>209</v>
      </c>
      <c r="K779" s="3" t="s">
        <v>213</v>
      </c>
      <c r="L779" s="2" t="s">
        <v>904</v>
      </c>
      <c r="M779" s="2" t="s">
        <v>8136</v>
      </c>
      <c r="N779" s="3" t="s">
        <v>5060</v>
      </c>
      <c r="P779" s="3" t="s">
        <v>140</v>
      </c>
      <c r="R779" s="3" t="s">
        <v>71</v>
      </c>
      <c r="S779" s="4">
        <v>0</v>
      </c>
      <c r="T779" s="4">
        <v>4</v>
      </c>
      <c r="V779" s="5" t="s">
        <v>8137</v>
      </c>
      <c r="W779" s="5" t="s">
        <v>72</v>
      </c>
      <c r="X779" s="5" t="s">
        <v>72</v>
      </c>
      <c r="Y779" s="4">
        <v>2</v>
      </c>
      <c r="Z779" s="4">
        <v>1</v>
      </c>
      <c r="AA779" s="4">
        <v>4</v>
      </c>
      <c r="AB779" s="4">
        <v>1</v>
      </c>
      <c r="AC779" s="4">
        <v>1</v>
      </c>
      <c r="AD779" s="4">
        <v>0</v>
      </c>
      <c r="AE779" s="4">
        <v>38</v>
      </c>
      <c r="AF779" s="4">
        <v>0</v>
      </c>
      <c r="AG779" s="4">
        <v>0</v>
      </c>
      <c r="AH779" s="4">
        <v>0</v>
      </c>
      <c r="AI779" s="4">
        <v>37</v>
      </c>
      <c r="AJ779" s="4">
        <v>0</v>
      </c>
      <c r="AK779" s="4">
        <v>2</v>
      </c>
      <c r="AL779" s="4">
        <v>0</v>
      </c>
      <c r="AM779" s="4">
        <v>30</v>
      </c>
      <c r="AN779" s="4">
        <v>0</v>
      </c>
      <c r="AO779" s="4">
        <v>0</v>
      </c>
      <c r="AP779" s="4">
        <v>0</v>
      </c>
      <c r="AQ779" s="4">
        <v>2</v>
      </c>
      <c r="AR779" s="3" t="s">
        <v>65</v>
      </c>
      <c r="AS779" s="3" t="s">
        <v>65</v>
      </c>
      <c r="AT779" s="3" t="s">
        <v>65</v>
      </c>
      <c r="AV779" s="6" t="str">
        <f>HYPERLINK("http://mcgill.on.worldcat.org/oclc/61590567","Catalog Record")</f>
        <v>Catalog Record</v>
      </c>
      <c r="AW779" s="6" t="str">
        <f>HYPERLINK("http://www.worldcat.org/oclc/61590567","WorldCat Record")</f>
        <v>WorldCat Record</v>
      </c>
      <c r="AX779" s="3" t="s">
        <v>8138</v>
      </c>
      <c r="AY779" s="3" t="s">
        <v>8139</v>
      </c>
      <c r="AZ779" s="3" t="s">
        <v>8140</v>
      </c>
      <c r="BA779" s="3" t="s">
        <v>8140</v>
      </c>
      <c r="BB779" s="3" t="s">
        <v>8143</v>
      </c>
      <c r="BC779" s="3" t="s">
        <v>77</v>
      </c>
      <c r="BD779" s="3" t="s">
        <v>78</v>
      </c>
      <c r="BF779" s="3" t="s">
        <v>8143</v>
      </c>
      <c r="BG779" s="3" t="s">
        <v>8144</v>
      </c>
    </row>
    <row r="780" spans="1:59" ht="58" x14ac:dyDescent="0.35">
      <c r="A780" s="2" t="s">
        <v>59</v>
      </c>
      <c r="B780" s="2" t="s">
        <v>60</v>
      </c>
      <c r="C780" s="2" t="s">
        <v>8133</v>
      </c>
      <c r="D780" s="2" t="s">
        <v>8134</v>
      </c>
      <c r="E780" s="2" t="s">
        <v>8135</v>
      </c>
      <c r="F780" s="3" t="s">
        <v>503</v>
      </c>
      <c r="G780" s="3" t="s">
        <v>209</v>
      </c>
      <c r="I780" s="3" t="s">
        <v>65</v>
      </c>
      <c r="J780" s="3" t="s">
        <v>209</v>
      </c>
      <c r="K780" s="3" t="s">
        <v>213</v>
      </c>
      <c r="L780" s="2" t="s">
        <v>904</v>
      </c>
      <c r="M780" s="2" t="s">
        <v>8136</v>
      </c>
      <c r="N780" s="3" t="s">
        <v>5060</v>
      </c>
      <c r="P780" s="3" t="s">
        <v>140</v>
      </c>
      <c r="R780" s="3" t="s">
        <v>71</v>
      </c>
      <c r="S780" s="4">
        <v>0</v>
      </c>
      <c r="T780" s="4">
        <v>4</v>
      </c>
      <c r="V780" s="5" t="s">
        <v>8137</v>
      </c>
      <c r="W780" s="5" t="s">
        <v>72</v>
      </c>
      <c r="X780" s="5" t="s">
        <v>72</v>
      </c>
      <c r="Y780" s="4">
        <v>2</v>
      </c>
      <c r="Z780" s="4">
        <v>1</v>
      </c>
      <c r="AA780" s="4">
        <v>4</v>
      </c>
      <c r="AB780" s="4">
        <v>1</v>
      </c>
      <c r="AC780" s="4">
        <v>1</v>
      </c>
      <c r="AD780" s="4">
        <v>0</v>
      </c>
      <c r="AE780" s="4">
        <v>38</v>
      </c>
      <c r="AF780" s="4">
        <v>0</v>
      </c>
      <c r="AG780" s="4">
        <v>0</v>
      </c>
      <c r="AH780" s="4">
        <v>0</v>
      </c>
      <c r="AI780" s="4">
        <v>37</v>
      </c>
      <c r="AJ780" s="4">
        <v>0</v>
      </c>
      <c r="AK780" s="4">
        <v>2</v>
      </c>
      <c r="AL780" s="4">
        <v>0</v>
      </c>
      <c r="AM780" s="4">
        <v>30</v>
      </c>
      <c r="AN780" s="4">
        <v>0</v>
      </c>
      <c r="AO780" s="4">
        <v>0</v>
      </c>
      <c r="AP780" s="4">
        <v>0</v>
      </c>
      <c r="AQ780" s="4">
        <v>2</v>
      </c>
      <c r="AR780" s="3" t="s">
        <v>65</v>
      </c>
      <c r="AS780" s="3" t="s">
        <v>65</v>
      </c>
      <c r="AT780" s="3" t="s">
        <v>65</v>
      </c>
      <c r="AV780" s="6" t="str">
        <f>HYPERLINK("http://mcgill.on.worldcat.org/oclc/61590567","Catalog Record")</f>
        <v>Catalog Record</v>
      </c>
      <c r="AW780" s="6" t="str">
        <f>HYPERLINK("http://www.worldcat.org/oclc/61590567","WorldCat Record")</f>
        <v>WorldCat Record</v>
      </c>
      <c r="AX780" s="3" t="s">
        <v>8138</v>
      </c>
      <c r="AY780" s="3" t="s">
        <v>8139</v>
      </c>
      <c r="AZ780" s="3" t="s">
        <v>8140</v>
      </c>
      <c r="BA780" s="3" t="s">
        <v>8140</v>
      </c>
      <c r="BB780" s="3" t="s">
        <v>8145</v>
      </c>
      <c r="BC780" s="3" t="s">
        <v>77</v>
      </c>
      <c r="BD780" s="3" t="s">
        <v>78</v>
      </c>
      <c r="BF780" s="3" t="s">
        <v>8145</v>
      </c>
      <c r="BG780" s="3" t="s">
        <v>8146</v>
      </c>
    </row>
    <row r="781" spans="1:59" ht="58" x14ac:dyDescent="0.35">
      <c r="A781" s="2" t="s">
        <v>59</v>
      </c>
      <c r="B781" s="2" t="s">
        <v>60</v>
      </c>
      <c r="C781" s="2" t="s">
        <v>8147</v>
      </c>
      <c r="D781" s="2" t="s">
        <v>8148</v>
      </c>
      <c r="E781" s="2" t="s">
        <v>8149</v>
      </c>
      <c r="F781" s="3" t="s">
        <v>503</v>
      </c>
      <c r="G781" s="3" t="s">
        <v>209</v>
      </c>
      <c r="I781" s="3" t="s">
        <v>65</v>
      </c>
      <c r="J781" s="3" t="s">
        <v>65</v>
      </c>
      <c r="K781" s="3" t="s">
        <v>66</v>
      </c>
      <c r="L781" s="2" t="s">
        <v>904</v>
      </c>
      <c r="M781" s="2" t="s">
        <v>8150</v>
      </c>
      <c r="N781" s="3" t="s">
        <v>5338</v>
      </c>
      <c r="O781" s="2" t="s">
        <v>654</v>
      </c>
      <c r="P781" s="3" t="s">
        <v>140</v>
      </c>
      <c r="Q781" s="2" t="s">
        <v>8151</v>
      </c>
      <c r="R781" s="3" t="s">
        <v>71</v>
      </c>
      <c r="S781" s="4">
        <v>2</v>
      </c>
      <c r="T781" s="4">
        <v>2</v>
      </c>
      <c r="U781" s="5" t="s">
        <v>4391</v>
      </c>
      <c r="V781" s="5" t="s">
        <v>4391</v>
      </c>
      <c r="W781" s="5" t="s">
        <v>72</v>
      </c>
      <c r="X781" s="5" t="s">
        <v>72</v>
      </c>
      <c r="Y781" s="4">
        <v>139</v>
      </c>
      <c r="Z781" s="4">
        <v>10</v>
      </c>
      <c r="AA781" s="4">
        <v>10</v>
      </c>
      <c r="AB781" s="4">
        <v>2</v>
      </c>
      <c r="AC781" s="4">
        <v>2</v>
      </c>
      <c r="AD781" s="4">
        <v>64</v>
      </c>
      <c r="AE781" s="4">
        <v>64</v>
      </c>
      <c r="AF781" s="4">
        <v>1</v>
      </c>
      <c r="AG781" s="4">
        <v>1</v>
      </c>
      <c r="AH781" s="4">
        <v>59</v>
      </c>
      <c r="AI781" s="4">
        <v>59</v>
      </c>
      <c r="AJ781" s="4">
        <v>5</v>
      </c>
      <c r="AK781" s="4">
        <v>5</v>
      </c>
      <c r="AL781" s="4">
        <v>39</v>
      </c>
      <c r="AM781" s="4">
        <v>39</v>
      </c>
      <c r="AN781" s="4">
        <v>0</v>
      </c>
      <c r="AO781" s="4">
        <v>0</v>
      </c>
      <c r="AP781" s="4">
        <v>5</v>
      </c>
      <c r="AQ781" s="4">
        <v>5</v>
      </c>
      <c r="AR781" s="3" t="s">
        <v>65</v>
      </c>
      <c r="AS781" s="3" t="s">
        <v>65</v>
      </c>
      <c r="AT781" s="3" t="s">
        <v>209</v>
      </c>
      <c r="AU781" s="6" t="str">
        <f>HYPERLINK("http://catalog.hathitrust.org/Record/007127971","HathiTrust Record")</f>
        <v>HathiTrust Record</v>
      </c>
      <c r="AV781" s="6" t="str">
        <f>HYPERLINK("http://mcgill.on.worldcat.org/oclc/1138742","Catalog Record")</f>
        <v>Catalog Record</v>
      </c>
      <c r="AW781" s="6" t="str">
        <f>HYPERLINK("http://www.worldcat.org/oclc/1138742","WorldCat Record")</f>
        <v>WorldCat Record</v>
      </c>
      <c r="AX781" s="3" t="s">
        <v>8152</v>
      </c>
      <c r="AY781" s="3" t="s">
        <v>8153</v>
      </c>
      <c r="AZ781" s="3" t="s">
        <v>8154</v>
      </c>
      <c r="BA781" s="3" t="s">
        <v>8154</v>
      </c>
      <c r="BB781" s="3" t="s">
        <v>8155</v>
      </c>
      <c r="BC781" s="3" t="s">
        <v>77</v>
      </c>
      <c r="BD781" s="3" t="s">
        <v>78</v>
      </c>
      <c r="BF781" s="3" t="s">
        <v>8155</v>
      </c>
      <c r="BG781" s="3" t="s">
        <v>8156</v>
      </c>
    </row>
    <row r="782" spans="1:59" ht="58" x14ac:dyDescent="0.35">
      <c r="A782" s="2" t="s">
        <v>59</v>
      </c>
      <c r="B782" s="2" t="s">
        <v>60</v>
      </c>
      <c r="C782" s="2" t="s">
        <v>8147</v>
      </c>
      <c r="D782" s="2" t="s">
        <v>8148</v>
      </c>
      <c r="E782" s="2" t="s">
        <v>8149</v>
      </c>
      <c r="F782" s="3" t="s">
        <v>850</v>
      </c>
      <c r="G782" s="3" t="s">
        <v>209</v>
      </c>
      <c r="I782" s="3" t="s">
        <v>65</v>
      </c>
      <c r="J782" s="3" t="s">
        <v>65</v>
      </c>
      <c r="K782" s="3" t="s">
        <v>66</v>
      </c>
      <c r="L782" s="2" t="s">
        <v>904</v>
      </c>
      <c r="M782" s="2" t="s">
        <v>8150</v>
      </c>
      <c r="N782" s="3" t="s">
        <v>5338</v>
      </c>
      <c r="O782" s="2" t="s">
        <v>654</v>
      </c>
      <c r="P782" s="3" t="s">
        <v>140</v>
      </c>
      <c r="Q782" s="2" t="s">
        <v>8151</v>
      </c>
      <c r="R782" s="3" t="s">
        <v>71</v>
      </c>
      <c r="S782" s="4">
        <v>0</v>
      </c>
      <c r="T782" s="4">
        <v>2</v>
      </c>
      <c r="V782" s="5" t="s">
        <v>4391</v>
      </c>
      <c r="W782" s="5" t="s">
        <v>72</v>
      </c>
      <c r="X782" s="5" t="s">
        <v>72</v>
      </c>
      <c r="Y782" s="4">
        <v>139</v>
      </c>
      <c r="Z782" s="4">
        <v>10</v>
      </c>
      <c r="AA782" s="4">
        <v>10</v>
      </c>
      <c r="AB782" s="4">
        <v>2</v>
      </c>
      <c r="AC782" s="4">
        <v>2</v>
      </c>
      <c r="AD782" s="4">
        <v>64</v>
      </c>
      <c r="AE782" s="4">
        <v>64</v>
      </c>
      <c r="AF782" s="4">
        <v>1</v>
      </c>
      <c r="AG782" s="4">
        <v>1</v>
      </c>
      <c r="AH782" s="4">
        <v>59</v>
      </c>
      <c r="AI782" s="4">
        <v>59</v>
      </c>
      <c r="AJ782" s="4">
        <v>5</v>
      </c>
      <c r="AK782" s="4">
        <v>5</v>
      </c>
      <c r="AL782" s="4">
        <v>39</v>
      </c>
      <c r="AM782" s="4">
        <v>39</v>
      </c>
      <c r="AN782" s="4">
        <v>0</v>
      </c>
      <c r="AO782" s="4">
        <v>0</v>
      </c>
      <c r="AP782" s="4">
        <v>5</v>
      </c>
      <c r="AQ782" s="4">
        <v>5</v>
      </c>
      <c r="AR782" s="3" t="s">
        <v>65</v>
      </c>
      <c r="AS782" s="3" t="s">
        <v>65</v>
      </c>
      <c r="AT782" s="3" t="s">
        <v>209</v>
      </c>
      <c r="AU782" s="6" t="str">
        <f>HYPERLINK("http://catalog.hathitrust.org/Record/007127971","HathiTrust Record")</f>
        <v>HathiTrust Record</v>
      </c>
      <c r="AV782" s="6" t="str">
        <f>HYPERLINK("http://mcgill.on.worldcat.org/oclc/1138742","Catalog Record")</f>
        <v>Catalog Record</v>
      </c>
      <c r="AW782" s="6" t="str">
        <f>HYPERLINK("http://www.worldcat.org/oclc/1138742","WorldCat Record")</f>
        <v>WorldCat Record</v>
      </c>
      <c r="AX782" s="3" t="s">
        <v>8152</v>
      </c>
      <c r="AY782" s="3" t="s">
        <v>8153</v>
      </c>
      <c r="AZ782" s="3" t="s">
        <v>8154</v>
      </c>
      <c r="BA782" s="3" t="s">
        <v>8154</v>
      </c>
      <c r="BB782" s="3" t="s">
        <v>8157</v>
      </c>
      <c r="BC782" s="3" t="s">
        <v>77</v>
      </c>
      <c r="BD782" s="3" t="s">
        <v>78</v>
      </c>
      <c r="BF782" s="3" t="s">
        <v>8157</v>
      </c>
      <c r="BG782" s="3" t="s">
        <v>8158</v>
      </c>
    </row>
    <row r="783" spans="1:59" ht="58" x14ac:dyDescent="0.35">
      <c r="A783" s="2" t="s">
        <v>59</v>
      </c>
      <c r="B783" s="2" t="s">
        <v>60</v>
      </c>
      <c r="C783" s="2" t="s">
        <v>8147</v>
      </c>
      <c r="D783" s="2" t="s">
        <v>8148</v>
      </c>
      <c r="E783" s="2" t="s">
        <v>8149</v>
      </c>
      <c r="F783" s="3" t="s">
        <v>490</v>
      </c>
      <c r="G783" s="3" t="s">
        <v>209</v>
      </c>
      <c r="I783" s="3" t="s">
        <v>65</v>
      </c>
      <c r="J783" s="3" t="s">
        <v>65</v>
      </c>
      <c r="K783" s="3" t="s">
        <v>66</v>
      </c>
      <c r="L783" s="2" t="s">
        <v>904</v>
      </c>
      <c r="M783" s="2" t="s">
        <v>8150</v>
      </c>
      <c r="N783" s="3" t="s">
        <v>5338</v>
      </c>
      <c r="O783" s="2" t="s">
        <v>654</v>
      </c>
      <c r="P783" s="3" t="s">
        <v>140</v>
      </c>
      <c r="Q783" s="2" t="s">
        <v>8151</v>
      </c>
      <c r="R783" s="3" t="s">
        <v>71</v>
      </c>
      <c r="S783" s="4">
        <v>0</v>
      </c>
      <c r="T783" s="4">
        <v>2</v>
      </c>
      <c r="V783" s="5" t="s">
        <v>4391</v>
      </c>
      <c r="W783" s="5" t="s">
        <v>72</v>
      </c>
      <c r="X783" s="5" t="s">
        <v>72</v>
      </c>
      <c r="Y783" s="4">
        <v>139</v>
      </c>
      <c r="Z783" s="4">
        <v>10</v>
      </c>
      <c r="AA783" s="4">
        <v>10</v>
      </c>
      <c r="AB783" s="4">
        <v>2</v>
      </c>
      <c r="AC783" s="4">
        <v>2</v>
      </c>
      <c r="AD783" s="4">
        <v>64</v>
      </c>
      <c r="AE783" s="4">
        <v>64</v>
      </c>
      <c r="AF783" s="4">
        <v>1</v>
      </c>
      <c r="AG783" s="4">
        <v>1</v>
      </c>
      <c r="AH783" s="4">
        <v>59</v>
      </c>
      <c r="AI783" s="4">
        <v>59</v>
      </c>
      <c r="AJ783" s="4">
        <v>5</v>
      </c>
      <c r="AK783" s="4">
        <v>5</v>
      </c>
      <c r="AL783" s="4">
        <v>39</v>
      </c>
      <c r="AM783" s="4">
        <v>39</v>
      </c>
      <c r="AN783" s="4">
        <v>0</v>
      </c>
      <c r="AO783" s="4">
        <v>0</v>
      </c>
      <c r="AP783" s="4">
        <v>5</v>
      </c>
      <c r="AQ783" s="4">
        <v>5</v>
      </c>
      <c r="AR783" s="3" t="s">
        <v>65</v>
      </c>
      <c r="AS783" s="3" t="s">
        <v>65</v>
      </c>
      <c r="AT783" s="3" t="s">
        <v>209</v>
      </c>
      <c r="AU783" s="6" t="str">
        <f>HYPERLINK("http://catalog.hathitrust.org/Record/007127971","HathiTrust Record")</f>
        <v>HathiTrust Record</v>
      </c>
      <c r="AV783" s="6" t="str">
        <f>HYPERLINK("http://mcgill.on.worldcat.org/oclc/1138742","Catalog Record")</f>
        <v>Catalog Record</v>
      </c>
      <c r="AW783" s="6" t="str">
        <f>HYPERLINK("http://www.worldcat.org/oclc/1138742","WorldCat Record")</f>
        <v>WorldCat Record</v>
      </c>
      <c r="AX783" s="3" t="s">
        <v>8152</v>
      </c>
      <c r="AY783" s="3" t="s">
        <v>8153</v>
      </c>
      <c r="AZ783" s="3" t="s">
        <v>8154</v>
      </c>
      <c r="BA783" s="3" t="s">
        <v>8154</v>
      </c>
      <c r="BB783" s="3" t="s">
        <v>8159</v>
      </c>
      <c r="BC783" s="3" t="s">
        <v>77</v>
      </c>
      <c r="BD783" s="3" t="s">
        <v>78</v>
      </c>
      <c r="BF783" s="3" t="s">
        <v>8159</v>
      </c>
      <c r="BG783" s="3" t="s">
        <v>8160</v>
      </c>
    </row>
    <row r="784" spans="1:59" ht="58" x14ac:dyDescent="0.35">
      <c r="A784" s="2" t="s">
        <v>59</v>
      </c>
      <c r="B784" s="2" t="s">
        <v>60</v>
      </c>
      <c r="C784" s="2" t="s">
        <v>8147</v>
      </c>
      <c r="D784" s="2" t="s">
        <v>8148</v>
      </c>
      <c r="E784" s="2" t="s">
        <v>8149</v>
      </c>
      <c r="F784" s="3" t="s">
        <v>3103</v>
      </c>
      <c r="G784" s="3" t="s">
        <v>209</v>
      </c>
      <c r="I784" s="3" t="s">
        <v>65</v>
      </c>
      <c r="J784" s="3" t="s">
        <v>65</v>
      </c>
      <c r="K784" s="3" t="s">
        <v>66</v>
      </c>
      <c r="L784" s="2" t="s">
        <v>904</v>
      </c>
      <c r="M784" s="2" t="s">
        <v>8150</v>
      </c>
      <c r="N784" s="3" t="s">
        <v>5338</v>
      </c>
      <c r="O784" s="2" t="s">
        <v>654</v>
      </c>
      <c r="P784" s="3" t="s">
        <v>140</v>
      </c>
      <c r="Q784" s="2" t="s">
        <v>8151</v>
      </c>
      <c r="R784" s="3" t="s">
        <v>71</v>
      </c>
      <c r="S784" s="4">
        <v>0</v>
      </c>
      <c r="T784" s="4">
        <v>2</v>
      </c>
      <c r="V784" s="5" t="s">
        <v>4391</v>
      </c>
      <c r="W784" s="5" t="s">
        <v>72</v>
      </c>
      <c r="X784" s="5" t="s">
        <v>72</v>
      </c>
      <c r="Y784" s="4">
        <v>139</v>
      </c>
      <c r="Z784" s="4">
        <v>10</v>
      </c>
      <c r="AA784" s="4">
        <v>10</v>
      </c>
      <c r="AB784" s="4">
        <v>2</v>
      </c>
      <c r="AC784" s="4">
        <v>2</v>
      </c>
      <c r="AD784" s="4">
        <v>64</v>
      </c>
      <c r="AE784" s="4">
        <v>64</v>
      </c>
      <c r="AF784" s="4">
        <v>1</v>
      </c>
      <c r="AG784" s="4">
        <v>1</v>
      </c>
      <c r="AH784" s="4">
        <v>59</v>
      </c>
      <c r="AI784" s="4">
        <v>59</v>
      </c>
      <c r="AJ784" s="4">
        <v>5</v>
      </c>
      <c r="AK784" s="4">
        <v>5</v>
      </c>
      <c r="AL784" s="4">
        <v>39</v>
      </c>
      <c r="AM784" s="4">
        <v>39</v>
      </c>
      <c r="AN784" s="4">
        <v>0</v>
      </c>
      <c r="AO784" s="4">
        <v>0</v>
      </c>
      <c r="AP784" s="4">
        <v>5</v>
      </c>
      <c r="AQ784" s="4">
        <v>5</v>
      </c>
      <c r="AR784" s="3" t="s">
        <v>65</v>
      </c>
      <c r="AS784" s="3" t="s">
        <v>65</v>
      </c>
      <c r="AT784" s="3" t="s">
        <v>209</v>
      </c>
      <c r="AU784" s="6" t="str">
        <f>HYPERLINK("http://catalog.hathitrust.org/Record/007127971","HathiTrust Record")</f>
        <v>HathiTrust Record</v>
      </c>
      <c r="AV784" s="6" t="str">
        <f>HYPERLINK("http://mcgill.on.worldcat.org/oclc/1138742","Catalog Record")</f>
        <v>Catalog Record</v>
      </c>
      <c r="AW784" s="6" t="str">
        <f>HYPERLINK("http://www.worldcat.org/oclc/1138742","WorldCat Record")</f>
        <v>WorldCat Record</v>
      </c>
      <c r="AX784" s="3" t="s">
        <v>8152</v>
      </c>
      <c r="AY784" s="3" t="s">
        <v>8153</v>
      </c>
      <c r="AZ784" s="3" t="s">
        <v>8154</v>
      </c>
      <c r="BA784" s="3" t="s">
        <v>8154</v>
      </c>
      <c r="BB784" s="3" t="s">
        <v>8161</v>
      </c>
      <c r="BC784" s="3" t="s">
        <v>77</v>
      </c>
      <c r="BD784" s="3" t="s">
        <v>78</v>
      </c>
      <c r="BF784" s="3" t="s">
        <v>8161</v>
      </c>
      <c r="BG784" s="3" t="s">
        <v>8162</v>
      </c>
    </row>
    <row r="785" spans="1:59" ht="58" x14ac:dyDescent="0.35">
      <c r="A785" s="2" t="s">
        <v>59</v>
      </c>
      <c r="B785" s="2" t="s">
        <v>60</v>
      </c>
      <c r="C785" s="2" t="s">
        <v>8163</v>
      </c>
      <c r="D785" s="2" t="s">
        <v>8164</v>
      </c>
      <c r="E785" s="2" t="s">
        <v>8165</v>
      </c>
      <c r="G785" s="3" t="s">
        <v>65</v>
      </c>
      <c r="I785" s="3" t="s">
        <v>65</v>
      </c>
      <c r="J785" s="3" t="s">
        <v>209</v>
      </c>
      <c r="K785" s="3" t="s">
        <v>979</v>
      </c>
      <c r="L785" s="2" t="s">
        <v>904</v>
      </c>
      <c r="M785" s="2" t="s">
        <v>8166</v>
      </c>
      <c r="N785" s="3" t="s">
        <v>3448</v>
      </c>
      <c r="P785" s="3" t="s">
        <v>140</v>
      </c>
      <c r="R785" s="3" t="s">
        <v>71</v>
      </c>
      <c r="S785" s="4">
        <v>7</v>
      </c>
      <c r="T785" s="4">
        <v>7</v>
      </c>
      <c r="U785" s="5" t="s">
        <v>8167</v>
      </c>
      <c r="V785" s="5" t="s">
        <v>8167</v>
      </c>
      <c r="W785" s="5" t="s">
        <v>72</v>
      </c>
      <c r="X785" s="5" t="s">
        <v>72</v>
      </c>
      <c r="Y785" s="4">
        <v>491</v>
      </c>
      <c r="Z785" s="4">
        <v>30</v>
      </c>
      <c r="AA785" s="4">
        <v>73</v>
      </c>
      <c r="AB785" s="4">
        <v>3</v>
      </c>
      <c r="AC785" s="4">
        <v>11</v>
      </c>
      <c r="AD785" s="4">
        <v>112</v>
      </c>
      <c r="AE785" s="4">
        <v>148</v>
      </c>
      <c r="AF785" s="4">
        <v>1</v>
      </c>
      <c r="AG785" s="4">
        <v>5</v>
      </c>
      <c r="AH785" s="4">
        <v>97</v>
      </c>
      <c r="AI785" s="4">
        <v>116</v>
      </c>
      <c r="AJ785" s="4">
        <v>15</v>
      </c>
      <c r="AK785" s="4">
        <v>26</v>
      </c>
      <c r="AL785" s="4">
        <v>54</v>
      </c>
      <c r="AM785" s="4">
        <v>63</v>
      </c>
      <c r="AN785" s="4">
        <v>0</v>
      </c>
      <c r="AO785" s="4">
        <v>22</v>
      </c>
      <c r="AP785" s="4">
        <v>20</v>
      </c>
      <c r="AQ785" s="4">
        <v>38</v>
      </c>
      <c r="AR785" s="3" t="s">
        <v>65</v>
      </c>
      <c r="AS785" s="3" t="s">
        <v>65</v>
      </c>
      <c r="AT785" s="3" t="s">
        <v>209</v>
      </c>
      <c r="AU785" s="6" t="str">
        <f>HYPERLINK("http://catalog.hathitrust.org/Record/000844308","HathiTrust Record")</f>
        <v>HathiTrust Record</v>
      </c>
      <c r="AV785" s="6" t="str">
        <f>HYPERLINK("http://mcgill.on.worldcat.org/oclc/637636","Catalog Record")</f>
        <v>Catalog Record</v>
      </c>
      <c r="AW785" s="6" t="str">
        <f>HYPERLINK("http://www.worldcat.org/oclc/637636","WorldCat Record")</f>
        <v>WorldCat Record</v>
      </c>
      <c r="AX785" s="3" t="s">
        <v>983</v>
      </c>
      <c r="AY785" s="3" t="s">
        <v>8168</v>
      </c>
      <c r="AZ785" s="3" t="s">
        <v>8169</v>
      </c>
      <c r="BA785" s="3" t="s">
        <v>8169</v>
      </c>
      <c r="BB785" s="3" t="s">
        <v>8170</v>
      </c>
      <c r="BC785" s="3" t="s">
        <v>77</v>
      </c>
      <c r="BD785" s="3" t="s">
        <v>78</v>
      </c>
      <c r="BE785" s="3" t="s">
        <v>8171</v>
      </c>
      <c r="BF785" s="3" t="s">
        <v>8170</v>
      </c>
      <c r="BG785" s="3" t="s">
        <v>8172</v>
      </c>
    </row>
    <row r="786" spans="1:59" ht="58" x14ac:dyDescent="0.35">
      <c r="A786" s="2" t="s">
        <v>59</v>
      </c>
      <c r="B786" s="2" t="s">
        <v>60</v>
      </c>
      <c r="C786" s="2" t="s">
        <v>8173</v>
      </c>
      <c r="D786" s="2" t="s">
        <v>8174</v>
      </c>
      <c r="E786" s="2" t="s">
        <v>8175</v>
      </c>
      <c r="G786" s="3" t="s">
        <v>65</v>
      </c>
      <c r="I786" s="3" t="s">
        <v>65</v>
      </c>
      <c r="J786" s="3" t="s">
        <v>65</v>
      </c>
      <c r="K786" s="3" t="s">
        <v>66</v>
      </c>
      <c r="L786" s="2" t="s">
        <v>904</v>
      </c>
      <c r="M786" s="2" t="s">
        <v>8176</v>
      </c>
      <c r="N786" s="3" t="s">
        <v>2750</v>
      </c>
      <c r="P786" s="3" t="s">
        <v>140</v>
      </c>
      <c r="Q786" s="2" t="s">
        <v>8177</v>
      </c>
      <c r="R786" s="3" t="s">
        <v>71</v>
      </c>
      <c r="S786" s="4">
        <v>2</v>
      </c>
      <c r="T786" s="4">
        <v>2</v>
      </c>
      <c r="U786" s="5" t="s">
        <v>8178</v>
      </c>
      <c r="V786" s="5" t="s">
        <v>8178</v>
      </c>
      <c r="W786" s="5" t="s">
        <v>72</v>
      </c>
      <c r="X786" s="5" t="s">
        <v>72</v>
      </c>
      <c r="Y786" s="4">
        <v>85</v>
      </c>
      <c r="Z786" s="4">
        <v>10</v>
      </c>
      <c r="AA786" s="4">
        <v>12</v>
      </c>
      <c r="AB786" s="4">
        <v>2</v>
      </c>
      <c r="AC786" s="4">
        <v>4</v>
      </c>
      <c r="AD786" s="4">
        <v>43</v>
      </c>
      <c r="AE786" s="4">
        <v>45</v>
      </c>
      <c r="AF786" s="4">
        <v>1</v>
      </c>
      <c r="AG786" s="4">
        <v>3</v>
      </c>
      <c r="AH786" s="4">
        <v>39</v>
      </c>
      <c r="AI786" s="4">
        <v>40</v>
      </c>
      <c r="AJ786" s="4">
        <v>7</v>
      </c>
      <c r="AK786" s="4">
        <v>9</v>
      </c>
      <c r="AL786" s="4">
        <v>27</v>
      </c>
      <c r="AM786" s="4">
        <v>27</v>
      </c>
      <c r="AN786" s="4">
        <v>0</v>
      </c>
      <c r="AO786" s="4">
        <v>0</v>
      </c>
      <c r="AP786" s="4">
        <v>7</v>
      </c>
      <c r="AQ786" s="4">
        <v>8</v>
      </c>
      <c r="AR786" s="3" t="s">
        <v>65</v>
      </c>
      <c r="AS786" s="3" t="s">
        <v>65</v>
      </c>
      <c r="AT786" s="3" t="s">
        <v>65</v>
      </c>
      <c r="AV786" s="6" t="str">
        <f>HYPERLINK("http://mcgill.on.worldcat.org/oclc/2456877","Catalog Record")</f>
        <v>Catalog Record</v>
      </c>
      <c r="AW786" s="6" t="str">
        <f>HYPERLINK("http://www.worldcat.org/oclc/2456877","WorldCat Record")</f>
        <v>WorldCat Record</v>
      </c>
      <c r="AX786" s="3" t="s">
        <v>8179</v>
      </c>
      <c r="AY786" s="3" t="s">
        <v>8180</v>
      </c>
      <c r="AZ786" s="3" t="s">
        <v>8181</v>
      </c>
      <c r="BA786" s="3" t="s">
        <v>8181</v>
      </c>
      <c r="BB786" s="3" t="s">
        <v>8182</v>
      </c>
      <c r="BC786" s="3" t="s">
        <v>77</v>
      </c>
      <c r="BD786" s="3" t="s">
        <v>78</v>
      </c>
      <c r="BF786" s="3" t="s">
        <v>8182</v>
      </c>
      <c r="BG786" s="3" t="s">
        <v>8183</v>
      </c>
    </row>
    <row r="787" spans="1:59" ht="58" x14ac:dyDescent="0.35">
      <c r="A787" s="2" t="s">
        <v>59</v>
      </c>
      <c r="B787" s="2" t="s">
        <v>60</v>
      </c>
      <c r="C787" s="2" t="s">
        <v>8184</v>
      </c>
      <c r="D787" s="2" t="s">
        <v>8185</v>
      </c>
      <c r="E787" s="2" t="s">
        <v>8186</v>
      </c>
      <c r="G787" s="3" t="s">
        <v>65</v>
      </c>
      <c r="I787" s="3" t="s">
        <v>65</v>
      </c>
      <c r="J787" s="3" t="s">
        <v>65</v>
      </c>
      <c r="K787" s="3" t="s">
        <v>66</v>
      </c>
      <c r="L787" s="2" t="s">
        <v>904</v>
      </c>
      <c r="M787" s="2" t="s">
        <v>8187</v>
      </c>
      <c r="N787" s="3" t="s">
        <v>8188</v>
      </c>
      <c r="O787" s="2" t="s">
        <v>654</v>
      </c>
      <c r="P787" s="3" t="s">
        <v>140</v>
      </c>
      <c r="Q787" s="2" t="s">
        <v>8189</v>
      </c>
      <c r="R787" s="3" t="s">
        <v>71</v>
      </c>
      <c r="S787" s="4">
        <v>26</v>
      </c>
      <c r="T787" s="4">
        <v>26</v>
      </c>
      <c r="U787" s="5" t="s">
        <v>8190</v>
      </c>
      <c r="V787" s="5" t="s">
        <v>8190</v>
      </c>
      <c r="W787" s="5" t="s">
        <v>72</v>
      </c>
      <c r="X787" s="5" t="s">
        <v>72</v>
      </c>
      <c r="Y787" s="4">
        <v>80</v>
      </c>
      <c r="Z787" s="4">
        <v>6</v>
      </c>
      <c r="AA787" s="4">
        <v>6</v>
      </c>
      <c r="AB787" s="4">
        <v>1</v>
      </c>
      <c r="AC787" s="4">
        <v>1</v>
      </c>
      <c r="AD787" s="4">
        <v>46</v>
      </c>
      <c r="AE787" s="4">
        <v>46</v>
      </c>
      <c r="AF787" s="4">
        <v>0</v>
      </c>
      <c r="AG787" s="4">
        <v>0</v>
      </c>
      <c r="AH787" s="4">
        <v>43</v>
      </c>
      <c r="AI787" s="4">
        <v>43</v>
      </c>
      <c r="AJ787" s="4">
        <v>5</v>
      </c>
      <c r="AK787" s="4">
        <v>5</v>
      </c>
      <c r="AL787" s="4">
        <v>31</v>
      </c>
      <c r="AM787" s="4">
        <v>31</v>
      </c>
      <c r="AN787" s="4">
        <v>0</v>
      </c>
      <c r="AO787" s="4">
        <v>0</v>
      </c>
      <c r="AP787" s="4">
        <v>5</v>
      </c>
      <c r="AQ787" s="4">
        <v>5</v>
      </c>
      <c r="AR787" s="3" t="s">
        <v>65</v>
      </c>
      <c r="AS787" s="3" t="s">
        <v>65</v>
      </c>
      <c r="AT787" s="3" t="s">
        <v>209</v>
      </c>
      <c r="AU787" s="6" t="str">
        <f>HYPERLINK("http://catalog.hathitrust.org/Record/000876484","HathiTrust Record")</f>
        <v>HathiTrust Record</v>
      </c>
      <c r="AV787" s="6" t="str">
        <f>HYPERLINK("http://mcgill.on.worldcat.org/oclc/18497276","Catalog Record")</f>
        <v>Catalog Record</v>
      </c>
      <c r="AW787" s="6" t="str">
        <f>HYPERLINK("http://www.worldcat.org/oclc/18497276","WorldCat Record")</f>
        <v>WorldCat Record</v>
      </c>
      <c r="AX787" s="3" t="s">
        <v>8191</v>
      </c>
      <c r="AY787" s="3" t="s">
        <v>8192</v>
      </c>
      <c r="AZ787" s="3" t="s">
        <v>8193</v>
      </c>
      <c r="BA787" s="3" t="s">
        <v>8193</v>
      </c>
      <c r="BB787" s="3" t="s">
        <v>8194</v>
      </c>
      <c r="BC787" s="3" t="s">
        <v>77</v>
      </c>
      <c r="BD787" s="3" t="s">
        <v>78</v>
      </c>
      <c r="BE787" s="3" t="s">
        <v>8195</v>
      </c>
      <c r="BF787" s="3" t="s">
        <v>8194</v>
      </c>
      <c r="BG787" s="3" t="s">
        <v>8196</v>
      </c>
    </row>
    <row r="788" spans="1:59" ht="58" x14ac:dyDescent="0.35">
      <c r="A788" s="2" t="s">
        <v>59</v>
      </c>
      <c r="B788" s="2" t="s">
        <v>60</v>
      </c>
      <c r="C788" s="2" t="s">
        <v>8197</v>
      </c>
      <c r="D788" s="2" t="s">
        <v>8198</v>
      </c>
      <c r="E788" s="2" t="s">
        <v>8199</v>
      </c>
      <c r="F788" s="3" t="s">
        <v>258</v>
      </c>
      <c r="G788" s="3" t="s">
        <v>209</v>
      </c>
      <c r="I788" s="3" t="s">
        <v>65</v>
      </c>
      <c r="J788" s="3" t="s">
        <v>209</v>
      </c>
      <c r="K788" s="3" t="s">
        <v>979</v>
      </c>
      <c r="L788" s="2" t="s">
        <v>904</v>
      </c>
      <c r="M788" s="2" t="s">
        <v>8200</v>
      </c>
      <c r="N788" s="3" t="s">
        <v>770</v>
      </c>
      <c r="O788" s="2" t="s">
        <v>8201</v>
      </c>
      <c r="P788" s="3" t="s">
        <v>140</v>
      </c>
      <c r="Q788" s="2" t="s">
        <v>6617</v>
      </c>
      <c r="R788" s="3" t="s">
        <v>71</v>
      </c>
      <c r="S788" s="4">
        <v>19</v>
      </c>
      <c r="T788" s="4">
        <v>51</v>
      </c>
      <c r="U788" s="5" t="s">
        <v>1211</v>
      </c>
      <c r="V788" s="5" t="s">
        <v>1211</v>
      </c>
      <c r="W788" s="5" t="s">
        <v>72</v>
      </c>
      <c r="X788" s="5" t="s">
        <v>72</v>
      </c>
      <c r="Y788" s="4">
        <v>103</v>
      </c>
      <c r="Z788" s="4">
        <v>7</v>
      </c>
      <c r="AA788" s="4">
        <v>73</v>
      </c>
      <c r="AB788" s="4">
        <v>1</v>
      </c>
      <c r="AC788" s="4">
        <v>11</v>
      </c>
      <c r="AD788" s="4">
        <v>49</v>
      </c>
      <c r="AE788" s="4">
        <v>148</v>
      </c>
      <c r="AF788" s="4">
        <v>0</v>
      </c>
      <c r="AG788" s="4">
        <v>5</v>
      </c>
      <c r="AH788" s="4">
        <v>46</v>
      </c>
      <c r="AI788" s="4">
        <v>116</v>
      </c>
      <c r="AJ788" s="4">
        <v>5</v>
      </c>
      <c r="AK788" s="4">
        <v>26</v>
      </c>
      <c r="AL788" s="4">
        <v>38</v>
      </c>
      <c r="AM788" s="4">
        <v>63</v>
      </c>
      <c r="AN788" s="4">
        <v>0</v>
      </c>
      <c r="AO788" s="4">
        <v>22</v>
      </c>
      <c r="AP788" s="4">
        <v>5</v>
      </c>
      <c r="AQ788" s="4">
        <v>38</v>
      </c>
      <c r="AR788" s="3" t="s">
        <v>65</v>
      </c>
      <c r="AS788" s="3" t="s">
        <v>65</v>
      </c>
      <c r="AT788" s="3" t="s">
        <v>65</v>
      </c>
      <c r="AV788" s="6" t="str">
        <f>HYPERLINK("http://mcgill.on.worldcat.org/oclc/25855538","Catalog Record")</f>
        <v>Catalog Record</v>
      </c>
      <c r="AW788" s="6" t="str">
        <f>HYPERLINK("http://www.worldcat.org/oclc/25855538","WorldCat Record")</f>
        <v>WorldCat Record</v>
      </c>
      <c r="AX788" s="3" t="s">
        <v>983</v>
      </c>
      <c r="AY788" s="3" t="s">
        <v>8202</v>
      </c>
      <c r="AZ788" s="3" t="s">
        <v>8203</v>
      </c>
      <c r="BA788" s="3" t="s">
        <v>8203</v>
      </c>
      <c r="BB788" s="3" t="s">
        <v>8204</v>
      </c>
      <c r="BC788" s="3" t="s">
        <v>77</v>
      </c>
      <c r="BD788" s="3" t="s">
        <v>78</v>
      </c>
      <c r="BE788" s="3" t="s">
        <v>8205</v>
      </c>
      <c r="BF788" s="3" t="s">
        <v>8204</v>
      </c>
      <c r="BG788" s="3" t="s">
        <v>8206</v>
      </c>
    </row>
    <row r="789" spans="1:59" ht="58" x14ac:dyDescent="0.35">
      <c r="A789" s="2" t="s">
        <v>59</v>
      </c>
      <c r="B789" s="2" t="s">
        <v>60</v>
      </c>
      <c r="C789" s="2" t="s">
        <v>8197</v>
      </c>
      <c r="D789" s="2" t="s">
        <v>8198</v>
      </c>
      <c r="E789" s="2" t="s">
        <v>8199</v>
      </c>
      <c r="F789" s="3" t="s">
        <v>8207</v>
      </c>
      <c r="G789" s="3" t="s">
        <v>209</v>
      </c>
      <c r="I789" s="3" t="s">
        <v>65</v>
      </c>
      <c r="J789" s="3" t="s">
        <v>209</v>
      </c>
      <c r="K789" s="3" t="s">
        <v>979</v>
      </c>
      <c r="L789" s="2" t="s">
        <v>904</v>
      </c>
      <c r="M789" s="2" t="s">
        <v>8200</v>
      </c>
      <c r="N789" s="3" t="s">
        <v>770</v>
      </c>
      <c r="O789" s="2" t="s">
        <v>8201</v>
      </c>
      <c r="P789" s="3" t="s">
        <v>140</v>
      </c>
      <c r="Q789" s="2" t="s">
        <v>6617</v>
      </c>
      <c r="R789" s="3" t="s">
        <v>71</v>
      </c>
      <c r="S789" s="4">
        <v>23</v>
      </c>
      <c r="T789" s="4">
        <v>51</v>
      </c>
      <c r="U789" s="5" t="s">
        <v>1211</v>
      </c>
      <c r="V789" s="5" t="s">
        <v>1211</v>
      </c>
      <c r="W789" s="5" t="s">
        <v>72</v>
      </c>
      <c r="X789" s="5" t="s">
        <v>72</v>
      </c>
      <c r="Y789" s="4">
        <v>103</v>
      </c>
      <c r="Z789" s="4">
        <v>7</v>
      </c>
      <c r="AA789" s="4">
        <v>73</v>
      </c>
      <c r="AB789" s="4">
        <v>1</v>
      </c>
      <c r="AC789" s="4">
        <v>11</v>
      </c>
      <c r="AD789" s="4">
        <v>49</v>
      </c>
      <c r="AE789" s="4">
        <v>148</v>
      </c>
      <c r="AF789" s="4">
        <v>0</v>
      </c>
      <c r="AG789" s="4">
        <v>5</v>
      </c>
      <c r="AH789" s="4">
        <v>46</v>
      </c>
      <c r="AI789" s="4">
        <v>116</v>
      </c>
      <c r="AJ789" s="4">
        <v>5</v>
      </c>
      <c r="AK789" s="4">
        <v>26</v>
      </c>
      <c r="AL789" s="4">
        <v>38</v>
      </c>
      <c r="AM789" s="4">
        <v>63</v>
      </c>
      <c r="AN789" s="4">
        <v>0</v>
      </c>
      <c r="AO789" s="4">
        <v>22</v>
      </c>
      <c r="AP789" s="4">
        <v>5</v>
      </c>
      <c r="AQ789" s="4">
        <v>38</v>
      </c>
      <c r="AR789" s="3" t="s">
        <v>65</v>
      </c>
      <c r="AS789" s="3" t="s">
        <v>65</v>
      </c>
      <c r="AT789" s="3" t="s">
        <v>65</v>
      </c>
      <c r="AV789" s="6" t="str">
        <f>HYPERLINK("http://mcgill.on.worldcat.org/oclc/25855538","Catalog Record")</f>
        <v>Catalog Record</v>
      </c>
      <c r="AW789" s="6" t="str">
        <f>HYPERLINK("http://www.worldcat.org/oclc/25855538","WorldCat Record")</f>
        <v>WorldCat Record</v>
      </c>
      <c r="AX789" s="3" t="s">
        <v>983</v>
      </c>
      <c r="AY789" s="3" t="s">
        <v>8202</v>
      </c>
      <c r="AZ789" s="3" t="s">
        <v>8203</v>
      </c>
      <c r="BA789" s="3" t="s">
        <v>8203</v>
      </c>
      <c r="BB789" s="3" t="s">
        <v>8208</v>
      </c>
      <c r="BC789" s="3" t="s">
        <v>77</v>
      </c>
      <c r="BD789" s="3" t="s">
        <v>78</v>
      </c>
      <c r="BE789" s="3" t="s">
        <v>8205</v>
      </c>
      <c r="BF789" s="3" t="s">
        <v>8208</v>
      </c>
      <c r="BG789" s="3" t="s">
        <v>8209</v>
      </c>
    </row>
    <row r="790" spans="1:59" ht="58" x14ac:dyDescent="0.35">
      <c r="A790" s="2" t="s">
        <v>59</v>
      </c>
      <c r="B790" s="2" t="s">
        <v>60</v>
      </c>
      <c r="C790" s="2" t="s">
        <v>8197</v>
      </c>
      <c r="D790" s="2" t="s">
        <v>8198</v>
      </c>
      <c r="E790" s="2" t="s">
        <v>8199</v>
      </c>
      <c r="F790" s="3" t="s">
        <v>255</v>
      </c>
      <c r="G790" s="3" t="s">
        <v>209</v>
      </c>
      <c r="I790" s="3" t="s">
        <v>65</v>
      </c>
      <c r="J790" s="3" t="s">
        <v>209</v>
      </c>
      <c r="K790" s="3" t="s">
        <v>979</v>
      </c>
      <c r="L790" s="2" t="s">
        <v>904</v>
      </c>
      <c r="M790" s="2" t="s">
        <v>8200</v>
      </c>
      <c r="N790" s="3" t="s">
        <v>770</v>
      </c>
      <c r="O790" s="2" t="s">
        <v>8201</v>
      </c>
      <c r="P790" s="3" t="s">
        <v>140</v>
      </c>
      <c r="Q790" s="2" t="s">
        <v>6617</v>
      </c>
      <c r="R790" s="3" t="s">
        <v>71</v>
      </c>
      <c r="S790" s="4">
        <v>9</v>
      </c>
      <c r="T790" s="4">
        <v>51</v>
      </c>
      <c r="U790" s="5" t="s">
        <v>1211</v>
      </c>
      <c r="V790" s="5" t="s">
        <v>1211</v>
      </c>
      <c r="W790" s="5" t="s">
        <v>72</v>
      </c>
      <c r="X790" s="5" t="s">
        <v>72</v>
      </c>
      <c r="Y790" s="4">
        <v>103</v>
      </c>
      <c r="Z790" s="4">
        <v>7</v>
      </c>
      <c r="AA790" s="4">
        <v>73</v>
      </c>
      <c r="AB790" s="4">
        <v>1</v>
      </c>
      <c r="AC790" s="4">
        <v>11</v>
      </c>
      <c r="AD790" s="4">
        <v>49</v>
      </c>
      <c r="AE790" s="4">
        <v>148</v>
      </c>
      <c r="AF790" s="4">
        <v>0</v>
      </c>
      <c r="AG790" s="4">
        <v>5</v>
      </c>
      <c r="AH790" s="4">
        <v>46</v>
      </c>
      <c r="AI790" s="4">
        <v>116</v>
      </c>
      <c r="AJ790" s="4">
        <v>5</v>
      </c>
      <c r="AK790" s="4">
        <v>26</v>
      </c>
      <c r="AL790" s="4">
        <v>38</v>
      </c>
      <c r="AM790" s="4">
        <v>63</v>
      </c>
      <c r="AN790" s="4">
        <v>0</v>
      </c>
      <c r="AO790" s="4">
        <v>22</v>
      </c>
      <c r="AP790" s="4">
        <v>5</v>
      </c>
      <c r="AQ790" s="4">
        <v>38</v>
      </c>
      <c r="AR790" s="3" t="s">
        <v>65</v>
      </c>
      <c r="AS790" s="3" t="s">
        <v>65</v>
      </c>
      <c r="AT790" s="3" t="s">
        <v>65</v>
      </c>
      <c r="AV790" s="6" t="str">
        <f>HYPERLINK("http://mcgill.on.worldcat.org/oclc/25855538","Catalog Record")</f>
        <v>Catalog Record</v>
      </c>
      <c r="AW790" s="6" t="str">
        <f>HYPERLINK("http://www.worldcat.org/oclc/25855538","WorldCat Record")</f>
        <v>WorldCat Record</v>
      </c>
      <c r="AX790" s="3" t="s">
        <v>983</v>
      </c>
      <c r="AY790" s="3" t="s">
        <v>8202</v>
      </c>
      <c r="AZ790" s="3" t="s">
        <v>8203</v>
      </c>
      <c r="BA790" s="3" t="s">
        <v>8203</v>
      </c>
      <c r="BB790" s="3" t="s">
        <v>8210</v>
      </c>
      <c r="BC790" s="3" t="s">
        <v>77</v>
      </c>
      <c r="BD790" s="3" t="s">
        <v>78</v>
      </c>
      <c r="BE790" s="3" t="s">
        <v>8205</v>
      </c>
      <c r="BF790" s="3" t="s">
        <v>8210</v>
      </c>
      <c r="BG790" s="3" t="s">
        <v>8211</v>
      </c>
    </row>
    <row r="791" spans="1:59" ht="58" x14ac:dyDescent="0.35">
      <c r="A791" s="2" t="s">
        <v>59</v>
      </c>
      <c r="B791" s="2" t="s">
        <v>60</v>
      </c>
      <c r="C791" s="2" t="s">
        <v>8212</v>
      </c>
      <c r="D791" s="2" t="s">
        <v>8213</v>
      </c>
      <c r="E791" s="2" t="s">
        <v>8214</v>
      </c>
      <c r="F791" s="3" t="s">
        <v>8215</v>
      </c>
      <c r="G791" s="3" t="s">
        <v>209</v>
      </c>
      <c r="I791" s="3" t="s">
        <v>65</v>
      </c>
      <c r="J791" s="3" t="s">
        <v>65</v>
      </c>
      <c r="K791" s="3" t="s">
        <v>66</v>
      </c>
      <c r="L791" s="2" t="s">
        <v>904</v>
      </c>
      <c r="M791" s="2" t="s">
        <v>8216</v>
      </c>
      <c r="N791" s="3" t="s">
        <v>525</v>
      </c>
      <c r="P791" s="3" t="s">
        <v>140</v>
      </c>
      <c r="R791" s="3" t="s">
        <v>71</v>
      </c>
      <c r="S791" s="4">
        <v>0</v>
      </c>
      <c r="T791" s="4">
        <v>15</v>
      </c>
      <c r="V791" s="5" t="s">
        <v>8217</v>
      </c>
      <c r="W791" s="5" t="s">
        <v>72</v>
      </c>
      <c r="X791" s="5" t="s">
        <v>72</v>
      </c>
      <c r="Y791" s="4">
        <v>4</v>
      </c>
      <c r="Z791" s="4">
        <v>1</v>
      </c>
      <c r="AA791" s="4">
        <v>1</v>
      </c>
      <c r="AB791" s="4">
        <v>1</v>
      </c>
      <c r="AC791" s="4">
        <v>1</v>
      </c>
      <c r="AD791" s="4">
        <v>1</v>
      </c>
      <c r="AE791" s="4">
        <v>1</v>
      </c>
      <c r="AF791" s="4">
        <v>0</v>
      </c>
      <c r="AG791" s="4">
        <v>0</v>
      </c>
      <c r="AH791" s="4">
        <v>1</v>
      </c>
      <c r="AI791" s="4">
        <v>1</v>
      </c>
      <c r="AJ791" s="4">
        <v>0</v>
      </c>
      <c r="AK791" s="4">
        <v>0</v>
      </c>
      <c r="AL791" s="4">
        <v>1</v>
      </c>
      <c r="AM791" s="4">
        <v>1</v>
      </c>
      <c r="AN791" s="4">
        <v>0</v>
      </c>
      <c r="AO791" s="4">
        <v>0</v>
      </c>
      <c r="AP791" s="4">
        <v>0</v>
      </c>
      <c r="AQ791" s="4">
        <v>0</v>
      </c>
      <c r="AR791" s="3" t="s">
        <v>65</v>
      </c>
      <c r="AS791" s="3" t="s">
        <v>65</v>
      </c>
      <c r="AT791" s="3" t="s">
        <v>65</v>
      </c>
      <c r="AV791" s="6" t="str">
        <f t="shared" ref="AV791:AV830" si="14">HYPERLINK("http://mcgill.on.worldcat.org/oclc/252564464","Catalog Record")</f>
        <v>Catalog Record</v>
      </c>
      <c r="AW791" s="6" t="str">
        <f t="shared" ref="AW791:AW830" si="15">HYPERLINK("http://www.worldcat.org/oclc/252564464","WorldCat Record")</f>
        <v>WorldCat Record</v>
      </c>
      <c r="AX791" s="3" t="s">
        <v>8218</v>
      </c>
      <c r="AY791" s="3" t="s">
        <v>8219</v>
      </c>
      <c r="AZ791" s="3" t="s">
        <v>8220</v>
      </c>
      <c r="BA791" s="3" t="s">
        <v>8220</v>
      </c>
      <c r="BB791" s="3" t="s">
        <v>8221</v>
      </c>
      <c r="BC791" s="3" t="s">
        <v>8222</v>
      </c>
      <c r="BD791" s="3" t="s">
        <v>78</v>
      </c>
      <c r="BF791" s="3" t="s">
        <v>8221</v>
      </c>
      <c r="BG791" s="3" t="s">
        <v>8223</v>
      </c>
    </row>
    <row r="792" spans="1:59" ht="58" x14ac:dyDescent="0.35">
      <c r="A792" s="2" t="s">
        <v>59</v>
      </c>
      <c r="B792" s="2" t="s">
        <v>60</v>
      </c>
      <c r="C792" s="2" t="s">
        <v>8212</v>
      </c>
      <c r="D792" s="2" t="s">
        <v>8213</v>
      </c>
      <c r="E792" s="2" t="s">
        <v>8214</v>
      </c>
      <c r="F792" s="3" t="s">
        <v>8224</v>
      </c>
      <c r="G792" s="3" t="s">
        <v>209</v>
      </c>
      <c r="I792" s="3" t="s">
        <v>65</v>
      </c>
      <c r="J792" s="3" t="s">
        <v>65</v>
      </c>
      <c r="K792" s="3" t="s">
        <v>66</v>
      </c>
      <c r="L792" s="2" t="s">
        <v>904</v>
      </c>
      <c r="M792" s="2" t="s">
        <v>8216</v>
      </c>
      <c r="N792" s="3" t="s">
        <v>525</v>
      </c>
      <c r="P792" s="3" t="s">
        <v>140</v>
      </c>
      <c r="R792" s="3" t="s">
        <v>71</v>
      </c>
      <c r="S792" s="4">
        <v>0</v>
      </c>
      <c r="T792" s="4">
        <v>15</v>
      </c>
      <c r="V792" s="5" t="s">
        <v>8217</v>
      </c>
      <c r="W792" s="5" t="s">
        <v>72</v>
      </c>
      <c r="X792" s="5" t="s">
        <v>72</v>
      </c>
      <c r="Y792" s="4">
        <v>4</v>
      </c>
      <c r="Z792" s="4">
        <v>1</v>
      </c>
      <c r="AA792" s="4">
        <v>1</v>
      </c>
      <c r="AB792" s="4">
        <v>1</v>
      </c>
      <c r="AC792" s="4">
        <v>1</v>
      </c>
      <c r="AD792" s="4">
        <v>1</v>
      </c>
      <c r="AE792" s="4">
        <v>1</v>
      </c>
      <c r="AF792" s="4">
        <v>0</v>
      </c>
      <c r="AG792" s="4">
        <v>0</v>
      </c>
      <c r="AH792" s="4">
        <v>1</v>
      </c>
      <c r="AI792" s="4">
        <v>1</v>
      </c>
      <c r="AJ792" s="4">
        <v>0</v>
      </c>
      <c r="AK792" s="4">
        <v>0</v>
      </c>
      <c r="AL792" s="4">
        <v>1</v>
      </c>
      <c r="AM792" s="4">
        <v>1</v>
      </c>
      <c r="AN792" s="4">
        <v>0</v>
      </c>
      <c r="AO792" s="4">
        <v>0</v>
      </c>
      <c r="AP792" s="4">
        <v>0</v>
      </c>
      <c r="AQ792" s="4">
        <v>0</v>
      </c>
      <c r="AR792" s="3" t="s">
        <v>65</v>
      </c>
      <c r="AS792" s="3" t="s">
        <v>65</v>
      </c>
      <c r="AT792" s="3" t="s">
        <v>65</v>
      </c>
      <c r="AV792" s="6" t="str">
        <f t="shared" si="14"/>
        <v>Catalog Record</v>
      </c>
      <c r="AW792" s="6" t="str">
        <f t="shared" si="15"/>
        <v>WorldCat Record</v>
      </c>
      <c r="AX792" s="3" t="s">
        <v>8218</v>
      </c>
      <c r="AY792" s="3" t="s">
        <v>8219</v>
      </c>
      <c r="AZ792" s="3" t="s">
        <v>8220</v>
      </c>
      <c r="BA792" s="3" t="s">
        <v>8220</v>
      </c>
      <c r="BB792" s="3" t="s">
        <v>8225</v>
      </c>
      <c r="BC792" s="3" t="s">
        <v>8222</v>
      </c>
      <c r="BD792" s="3" t="s">
        <v>78</v>
      </c>
      <c r="BF792" s="3" t="s">
        <v>8225</v>
      </c>
      <c r="BG792" s="3" t="s">
        <v>8226</v>
      </c>
    </row>
    <row r="793" spans="1:59" ht="58" x14ac:dyDescent="0.35">
      <c r="A793" s="2" t="s">
        <v>59</v>
      </c>
      <c r="B793" s="2" t="s">
        <v>60</v>
      </c>
      <c r="C793" s="2" t="s">
        <v>8212</v>
      </c>
      <c r="D793" s="2" t="s">
        <v>8213</v>
      </c>
      <c r="E793" s="2" t="s">
        <v>8214</v>
      </c>
      <c r="F793" s="3" t="s">
        <v>8227</v>
      </c>
      <c r="G793" s="3" t="s">
        <v>209</v>
      </c>
      <c r="I793" s="3" t="s">
        <v>65</v>
      </c>
      <c r="J793" s="3" t="s">
        <v>65</v>
      </c>
      <c r="K793" s="3" t="s">
        <v>66</v>
      </c>
      <c r="L793" s="2" t="s">
        <v>904</v>
      </c>
      <c r="M793" s="2" t="s">
        <v>8216</v>
      </c>
      <c r="N793" s="3" t="s">
        <v>525</v>
      </c>
      <c r="P793" s="3" t="s">
        <v>140</v>
      </c>
      <c r="R793" s="3" t="s">
        <v>71</v>
      </c>
      <c r="S793" s="4">
        <v>0</v>
      </c>
      <c r="T793" s="4">
        <v>15</v>
      </c>
      <c r="V793" s="5" t="s">
        <v>8217</v>
      </c>
      <c r="W793" s="5" t="s">
        <v>72</v>
      </c>
      <c r="X793" s="5" t="s">
        <v>72</v>
      </c>
      <c r="Y793" s="4">
        <v>4</v>
      </c>
      <c r="Z793" s="4">
        <v>1</v>
      </c>
      <c r="AA793" s="4">
        <v>1</v>
      </c>
      <c r="AB793" s="4">
        <v>1</v>
      </c>
      <c r="AC793" s="4">
        <v>1</v>
      </c>
      <c r="AD793" s="4">
        <v>1</v>
      </c>
      <c r="AE793" s="4">
        <v>1</v>
      </c>
      <c r="AF793" s="4">
        <v>0</v>
      </c>
      <c r="AG793" s="4">
        <v>0</v>
      </c>
      <c r="AH793" s="4">
        <v>1</v>
      </c>
      <c r="AI793" s="4">
        <v>1</v>
      </c>
      <c r="AJ793" s="4">
        <v>0</v>
      </c>
      <c r="AK793" s="4">
        <v>0</v>
      </c>
      <c r="AL793" s="4">
        <v>1</v>
      </c>
      <c r="AM793" s="4">
        <v>1</v>
      </c>
      <c r="AN793" s="4">
        <v>0</v>
      </c>
      <c r="AO793" s="4">
        <v>0</v>
      </c>
      <c r="AP793" s="4">
        <v>0</v>
      </c>
      <c r="AQ793" s="4">
        <v>0</v>
      </c>
      <c r="AR793" s="3" t="s">
        <v>65</v>
      </c>
      <c r="AS793" s="3" t="s">
        <v>65</v>
      </c>
      <c r="AT793" s="3" t="s">
        <v>65</v>
      </c>
      <c r="AV793" s="6" t="str">
        <f t="shared" si="14"/>
        <v>Catalog Record</v>
      </c>
      <c r="AW793" s="6" t="str">
        <f t="shared" si="15"/>
        <v>WorldCat Record</v>
      </c>
      <c r="AX793" s="3" t="s">
        <v>8218</v>
      </c>
      <c r="AY793" s="3" t="s">
        <v>8219</v>
      </c>
      <c r="AZ793" s="3" t="s">
        <v>8220</v>
      </c>
      <c r="BA793" s="3" t="s">
        <v>8220</v>
      </c>
      <c r="BB793" s="3" t="s">
        <v>8228</v>
      </c>
      <c r="BC793" s="3" t="s">
        <v>8222</v>
      </c>
      <c r="BD793" s="3" t="s">
        <v>78</v>
      </c>
      <c r="BF793" s="3" t="s">
        <v>8228</v>
      </c>
      <c r="BG793" s="3" t="s">
        <v>8229</v>
      </c>
    </row>
    <row r="794" spans="1:59" ht="58" x14ac:dyDescent="0.35">
      <c r="A794" s="2" t="s">
        <v>59</v>
      </c>
      <c r="B794" s="2" t="s">
        <v>60</v>
      </c>
      <c r="C794" s="2" t="s">
        <v>8212</v>
      </c>
      <c r="D794" s="2" t="s">
        <v>8213</v>
      </c>
      <c r="E794" s="2" t="s">
        <v>8214</v>
      </c>
      <c r="F794" s="3" t="s">
        <v>8230</v>
      </c>
      <c r="G794" s="3" t="s">
        <v>209</v>
      </c>
      <c r="I794" s="3" t="s">
        <v>65</v>
      </c>
      <c r="J794" s="3" t="s">
        <v>65</v>
      </c>
      <c r="K794" s="3" t="s">
        <v>66</v>
      </c>
      <c r="L794" s="2" t="s">
        <v>904</v>
      </c>
      <c r="M794" s="2" t="s">
        <v>8216</v>
      </c>
      <c r="N794" s="3" t="s">
        <v>525</v>
      </c>
      <c r="P794" s="3" t="s">
        <v>140</v>
      </c>
      <c r="R794" s="3" t="s">
        <v>71</v>
      </c>
      <c r="S794" s="4">
        <v>0</v>
      </c>
      <c r="T794" s="4">
        <v>15</v>
      </c>
      <c r="V794" s="5" t="s">
        <v>8217</v>
      </c>
      <c r="W794" s="5" t="s">
        <v>72</v>
      </c>
      <c r="X794" s="5" t="s">
        <v>72</v>
      </c>
      <c r="Y794" s="4">
        <v>4</v>
      </c>
      <c r="Z794" s="4">
        <v>1</v>
      </c>
      <c r="AA794" s="4">
        <v>1</v>
      </c>
      <c r="AB794" s="4">
        <v>1</v>
      </c>
      <c r="AC794" s="4">
        <v>1</v>
      </c>
      <c r="AD794" s="4">
        <v>1</v>
      </c>
      <c r="AE794" s="4">
        <v>1</v>
      </c>
      <c r="AF794" s="4">
        <v>0</v>
      </c>
      <c r="AG794" s="4">
        <v>0</v>
      </c>
      <c r="AH794" s="4">
        <v>1</v>
      </c>
      <c r="AI794" s="4">
        <v>1</v>
      </c>
      <c r="AJ794" s="4">
        <v>0</v>
      </c>
      <c r="AK794" s="4">
        <v>0</v>
      </c>
      <c r="AL794" s="4">
        <v>1</v>
      </c>
      <c r="AM794" s="4">
        <v>1</v>
      </c>
      <c r="AN794" s="4">
        <v>0</v>
      </c>
      <c r="AO794" s="4">
        <v>0</v>
      </c>
      <c r="AP794" s="4">
        <v>0</v>
      </c>
      <c r="AQ794" s="4">
        <v>0</v>
      </c>
      <c r="AR794" s="3" t="s">
        <v>65</v>
      </c>
      <c r="AS794" s="3" t="s">
        <v>65</v>
      </c>
      <c r="AT794" s="3" t="s">
        <v>65</v>
      </c>
      <c r="AV794" s="6" t="str">
        <f t="shared" si="14"/>
        <v>Catalog Record</v>
      </c>
      <c r="AW794" s="6" t="str">
        <f t="shared" si="15"/>
        <v>WorldCat Record</v>
      </c>
      <c r="AX794" s="3" t="s">
        <v>8218</v>
      </c>
      <c r="AY794" s="3" t="s">
        <v>8219</v>
      </c>
      <c r="AZ794" s="3" t="s">
        <v>8220</v>
      </c>
      <c r="BA794" s="3" t="s">
        <v>8220</v>
      </c>
      <c r="BB794" s="3" t="s">
        <v>8231</v>
      </c>
      <c r="BC794" s="3" t="s">
        <v>8222</v>
      </c>
      <c r="BD794" s="3" t="s">
        <v>78</v>
      </c>
      <c r="BF794" s="3" t="s">
        <v>8231</v>
      </c>
      <c r="BG794" s="3" t="s">
        <v>8232</v>
      </c>
    </row>
    <row r="795" spans="1:59" ht="58" x14ac:dyDescent="0.35">
      <c r="A795" s="2" t="s">
        <v>59</v>
      </c>
      <c r="B795" s="2" t="s">
        <v>60</v>
      </c>
      <c r="C795" s="2" t="s">
        <v>8212</v>
      </c>
      <c r="D795" s="2" t="s">
        <v>8213</v>
      </c>
      <c r="E795" s="2" t="s">
        <v>8214</v>
      </c>
      <c r="F795" s="3" t="s">
        <v>8233</v>
      </c>
      <c r="G795" s="3" t="s">
        <v>209</v>
      </c>
      <c r="I795" s="3" t="s">
        <v>65</v>
      </c>
      <c r="J795" s="3" t="s">
        <v>65</v>
      </c>
      <c r="K795" s="3" t="s">
        <v>66</v>
      </c>
      <c r="L795" s="2" t="s">
        <v>904</v>
      </c>
      <c r="M795" s="2" t="s">
        <v>8216</v>
      </c>
      <c r="N795" s="3" t="s">
        <v>525</v>
      </c>
      <c r="P795" s="3" t="s">
        <v>140</v>
      </c>
      <c r="R795" s="3" t="s">
        <v>71</v>
      </c>
      <c r="S795" s="4">
        <v>0</v>
      </c>
      <c r="T795" s="4">
        <v>15</v>
      </c>
      <c r="V795" s="5" t="s">
        <v>8217</v>
      </c>
      <c r="W795" s="5" t="s">
        <v>72</v>
      </c>
      <c r="X795" s="5" t="s">
        <v>72</v>
      </c>
      <c r="Y795" s="4">
        <v>4</v>
      </c>
      <c r="Z795" s="4">
        <v>1</v>
      </c>
      <c r="AA795" s="4">
        <v>1</v>
      </c>
      <c r="AB795" s="4">
        <v>1</v>
      </c>
      <c r="AC795" s="4">
        <v>1</v>
      </c>
      <c r="AD795" s="4">
        <v>1</v>
      </c>
      <c r="AE795" s="4">
        <v>1</v>
      </c>
      <c r="AF795" s="4">
        <v>0</v>
      </c>
      <c r="AG795" s="4">
        <v>0</v>
      </c>
      <c r="AH795" s="4">
        <v>1</v>
      </c>
      <c r="AI795" s="4">
        <v>1</v>
      </c>
      <c r="AJ795" s="4">
        <v>0</v>
      </c>
      <c r="AK795" s="4">
        <v>0</v>
      </c>
      <c r="AL795" s="4">
        <v>1</v>
      </c>
      <c r="AM795" s="4">
        <v>1</v>
      </c>
      <c r="AN795" s="4">
        <v>0</v>
      </c>
      <c r="AO795" s="4">
        <v>0</v>
      </c>
      <c r="AP795" s="4">
        <v>0</v>
      </c>
      <c r="AQ795" s="4">
        <v>0</v>
      </c>
      <c r="AR795" s="3" t="s">
        <v>65</v>
      </c>
      <c r="AS795" s="3" t="s">
        <v>65</v>
      </c>
      <c r="AT795" s="3" t="s">
        <v>65</v>
      </c>
      <c r="AV795" s="6" t="str">
        <f t="shared" si="14"/>
        <v>Catalog Record</v>
      </c>
      <c r="AW795" s="6" t="str">
        <f t="shared" si="15"/>
        <v>WorldCat Record</v>
      </c>
      <c r="AX795" s="3" t="s">
        <v>8218</v>
      </c>
      <c r="AY795" s="3" t="s">
        <v>8219</v>
      </c>
      <c r="AZ795" s="3" t="s">
        <v>8220</v>
      </c>
      <c r="BA795" s="3" t="s">
        <v>8220</v>
      </c>
      <c r="BB795" s="3" t="s">
        <v>8234</v>
      </c>
      <c r="BC795" s="3" t="s">
        <v>8222</v>
      </c>
      <c r="BD795" s="3" t="s">
        <v>78</v>
      </c>
      <c r="BF795" s="3" t="s">
        <v>8234</v>
      </c>
      <c r="BG795" s="3" t="s">
        <v>8235</v>
      </c>
    </row>
    <row r="796" spans="1:59" ht="58" x14ac:dyDescent="0.35">
      <c r="A796" s="2" t="s">
        <v>59</v>
      </c>
      <c r="B796" s="2" t="s">
        <v>60</v>
      </c>
      <c r="C796" s="2" t="s">
        <v>8212</v>
      </c>
      <c r="D796" s="2" t="s">
        <v>8213</v>
      </c>
      <c r="E796" s="2" t="s">
        <v>8214</v>
      </c>
      <c r="F796" s="3" t="s">
        <v>8236</v>
      </c>
      <c r="G796" s="3" t="s">
        <v>209</v>
      </c>
      <c r="I796" s="3" t="s">
        <v>65</v>
      </c>
      <c r="J796" s="3" t="s">
        <v>65</v>
      </c>
      <c r="K796" s="3" t="s">
        <v>66</v>
      </c>
      <c r="L796" s="2" t="s">
        <v>904</v>
      </c>
      <c r="M796" s="2" t="s">
        <v>8216</v>
      </c>
      <c r="N796" s="3" t="s">
        <v>525</v>
      </c>
      <c r="P796" s="3" t="s">
        <v>140</v>
      </c>
      <c r="R796" s="3" t="s">
        <v>71</v>
      </c>
      <c r="S796" s="4">
        <v>0</v>
      </c>
      <c r="T796" s="4">
        <v>15</v>
      </c>
      <c r="V796" s="5" t="s">
        <v>8217</v>
      </c>
      <c r="W796" s="5" t="s">
        <v>72</v>
      </c>
      <c r="X796" s="5" t="s">
        <v>72</v>
      </c>
      <c r="Y796" s="4">
        <v>4</v>
      </c>
      <c r="Z796" s="4">
        <v>1</v>
      </c>
      <c r="AA796" s="4">
        <v>1</v>
      </c>
      <c r="AB796" s="4">
        <v>1</v>
      </c>
      <c r="AC796" s="4">
        <v>1</v>
      </c>
      <c r="AD796" s="4">
        <v>1</v>
      </c>
      <c r="AE796" s="4">
        <v>1</v>
      </c>
      <c r="AF796" s="4">
        <v>0</v>
      </c>
      <c r="AG796" s="4">
        <v>0</v>
      </c>
      <c r="AH796" s="4">
        <v>1</v>
      </c>
      <c r="AI796" s="4">
        <v>1</v>
      </c>
      <c r="AJ796" s="4">
        <v>0</v>
      </c>
      <c r="AK796" s="4">
        <v>0</v>
      </c>
      <c r="AL796" s="4">
        <v>1</v>
      </c>
      <c r="AM796" s="4">
        <v>1</v>
      </c>
      <c r="AN796" s="4">
        <v>0</v>
      </c>
      <c r="AO796" s="4">
        <v>0</v>
      </c>
      <c r="AP796" s="4">
        <v>0</v>
      </c>
      <c r="AQ796" s="4">
        <v>0</v>
      </c>
      <c r="AR796" s="3" t="s">
        <v>65</v>
      </c>
      <c r="AS796" s="3" t="s">
        <v>65</v>
      </c>
      <c r="AT796" s="3" t="s">
        <v>65</v>
      </c>
      <c r="AV796" s="6" t="str">
        <f t="shared" si="14"/>
        <v>Catalog Record</v>
      </c>
      <c r="AW796" s="6" t="str">
        <f t="shared" si="15"/>
        <v>WorldCat Record</v>
      </c>
      <c r="AX796" s="3" t="s">
        <v>8218</v>
      </c>
      <c r="AY796" s="3" t="s">
        <v>8219</v>
      </c>
      <c r="AZ796" s="3" t="s">
        <v>8220</v>
      </c>
      <c r="BA796" s="3" t="s">
        <v>8220</v>
      </c>
      <c r="BB796" s="3" t="s">
        <v>8237</v>
      </c>
      <c r="BC796" s="3" t="s">
        <v>8222</v>
      </c>
      <c r="BD796" s="3" t="s">
        <v>78</v>
      </c>
      <c r="BF796" s="3" t="s">
        <v>8237</v>
      </c>
      <c r="BG796" s="3" t="s">
        <v>8238</v>
      </c>
    </row>
    <row r="797" spans="1:59" ht="58" x14ac:dyDescent="0.35">
      <c r="A797" s="2" t="s">
        <v>59</v>
      </c>
      <c r="B797" s="2" t="s">
        <v>60</v>
      </c>
      <c r="C797" s="2" t="s">
        <v>8212</v>
      </c>
      <c r="D797" s="2" t="s">
        <v>8213</v>
      </c>
      <c r="E797" s="2" t="s">
        <v>8214</v>
      </c>
      <c r="F797" s="3" t="s">
        <v>8239</v>
      </c>
      <c r="G797" s="3" t="s">
        <v>209</v>
      </c>
      <c r="I797" s="3" t="s">
        <v>65</v>
      </c>
      <c r="J797" s="3" t="s">
        <v>65</v>
      </c>
      <c r="K797" s="3" t="s">
        <v>66</v>
      </c>
      <c r="L797" s="2" t="s">
        <v>904</v>
      </c>
      <c r="M797" s="2" t="s">
        <v>8216</v>
      </c>
      <c r="N797" s="3" t="s">
        <v>525</v>
      </c>
      <c r="P797" s="3" t="s">
        <v>140</v>
      </c>
      <c r="R797" s="3" t="s">
        <v>71</v>
      </c>
      <c r="S797" s="4">
        <v>0</v>
      </c>
      <c r="T797" s="4">
        <v>15</v>
      </c>
      <c r="V797" s="5" t="s">
        <v>8217</v>
      </c>
      <c r="W797" s="5" t="s">
        <v>72</v>
      </c>
      <c r="X797" s="5" t="s">
        <v>72</v>
      </c>
      <c r="Y797" s="4">
        <v>4</v>
      </c>
      <c r="Z797" s="4">
        <v>1</v>
      </c>
      <c r="AA797" s="4">
        <v>1</v>
      </c>
      <c r="AB797" s="4">
        <v>1</v>
      </c>
      <c r="AC797" s="4">
        <v>1</v>
      </c>
      <c r="AD797" s="4">
        <v>1</v>
      </c>
      <c r="AE797" s="4">
        <v>1</v>
      </c>
      <c r="AF797" s="4">
        <v>0</v>
      </c>
      <c r="AG797" s="4">
        <v>0</v>
      </c>
      <c r="AH797" s="4">
        <v>1</v>
      </c>
      <c r="AI797" s="4">
        <v>1</v>
      </c>
      <c r="AJ797" s="4">
        <v>0</v>
      </c>
      <c r="AK797" s="4">
        <v>0</v>
      </c>
      <c r="AL797" s="4">
        <v>1</v>
      </c>
      <c r="AM797" s="4">
        <v>1</v>
      </c>
      <c r="AN797" s="4">
        <v>0</v>
      </c>
      <c r="AO797" s="4">
        <v>0</v>
      </c>
      <c r="AP797" s="4">
        <v>0</v>
      </c>
      <c r="AQ797" s="4">
        <v>0</v>
      </c>
      <c r="AR797" s="3" t="s">
        <v>65</v>
      </c>
      <c r="AS797" s="3" t="s">
        <v>65</v>
      </c>
      <c r="AT797" s="3" t="s">
        <v>65</v>
      </c>
      <c r="AV797" s="6" t="str">
        <f t="shared" si="14"/>
        <v>Catalog Record</v>
      </c>
      <c r="AW797" s="6" t="str">
        <f t="shared" si="15"/>
        <v>WorldCat Record</v>
      </c>
      <c r="AX797" s="3" t="s">
        <v>8218</v>
      </c>
      <c r="AY797" s="3" t="s">
        <v>8219</v>
      </c>
      <c r="AZ797" s="3" t="s">
        <v>8220</v>
      </c>
      <c r="BA797" s="3" t="s">
        <v>8220</v>
      </c>
      <c r="BB797" s="3" t="s">
        <v>8240</v>
      </c>
      <c r="BC797" s="3" t="s">
        <v>8222</v>
      </c>
      <c r="BD797" s="3" t="s">
        <v>78</v>
      </c>
      <c r="BF797" s="3" t="s">
        <v>8240</v>
      </c>
      <c r="BG797" s="3" t="s">
        <v>8241</v>
      </c>
    </row>
    <row r="798" spans="1:59" ht="58" x14ac:dyDescent="0.35">
      <c r="A798" s="2" t="s">
        <v>59</v>
      </c>
      <c r="B798" s="2" t="s">
        <v>60</v>
      </c>
      <c r="C798" s="2" t="s">
        <v>8212</v>
      </c>
      <c r="D798" s="2" t="s">
        <v>8213</v>
      </c>
      <c r="E798" s="2" t="s">
        <v>8214</v>
      </c>
      <c r="F798" s="3" t="s">
        <v>8242</v>
      </c>
      <c r="G798" s="3" t="s">
        <v>209</v>
      </c>
      <c r="I798" s="3" t="s">
        <v>65</v>
      </c>
      <c r="J798" s="3" t="s">
        <v>65</v>
      </c>
      <c r="K798" s="3" t="s">
        <v>66</v>
      </c>
      <c r="L798" s="2" t="s">
        <v>904</v>
      </c>
      <c r="M798" s="2" t="s">
        <v>8216</v>
      </c>
      <c r="N798" s="3" t="s">
        <v>525</v>
      </c>
      <c r="P798" s="3" t="s">
        <v>140</v>
      </c>
      <c r="R798" s="3" t="s">
        <v>71</v>
      </c>
      <c r="S798" s="4">
        <v>0</v>
      </c>
      <c r="T798" s="4">
        <v>15</v>
      </c>
      <c r="V798" s="5" t="s">
        <v>8217</v>
      </c>
      <c r="W798" s="5" t="s">
        <v>72</v>
      </c>
      <c r="X798" s="5" t="s">
        <v>72</v>
      </c>
      <c r="Y798" s="4">
        <v>4</v>
      </c>
      <c r="Z798" s="4">
        <v>1</v>
      </c>
      <c r="AA798" s="4">
        <v>1</v>
      </c>
      <c r="AB798" s="4">
        <v>1</v>
      </c>
      <c r="AC798" s="4">
        <v>1</v>
      </c>
      <c r="AD798" s="4">
        <v>1</v>
      </c>
      <c r="AE798" s="4">
        <v>1</v>
      </c>
      <c r="AF798" s="4">
        <v>0</v>
      </c>
      <c r="AG798" s="4">
        <v>0</v>
      </c>
      <c r="AH798" s="4">
        <v>1</v>
      </c>
      <c r="AI798" s="4">
        <v>1</v>
      </c>
      <c r="AJ798" s="4">
        <v>0</v>
      </c>
      <c r="AK798" s="4">
        <v>0</v>
      </c>
      <c r="AL798" s="4">
        <v>1</v>
      </c>
      <c r="AM798" s="4">
        <v>1</v>
      </c>
      <c r="AN798" s="4">
        <v>0</v>
      </c>
      <c r="AO798" s="4">
        <v>0</v>
      </c>
      <c r="AP798" s="4">
        <v>0</v>
      </c>
      <c r="AQ798" s="4">
        <v>0</v>
      </c>
      <c r="AR798" s="3" t="s">
        <v>65</v>
      </c>
      <c r="AS798" s="3" t="s">
        <v>65</v>
      </c>
      <c r="AT798" s="3" t="s">
        <v>65</v>
      </c>
      <c r="AV798" s="6" t="str">
        <f t="shared" si="14"/>
        <v>Catalog Record</v>
      </c>
      <c r="AW798" s="6" t="str">
        <f t="shared" si="15"/>
        <v>WorldCat Record</v>
      </c>
      <c r="AX798" s="3" t="s">
        <v>8218</v>
      </c>
      <c r="AY798" s="3" t="s">
        <v>8219</v>
      </c>
      <c r="AZ798" s="3" t="s">
        <v>8220</v>
      </c>
      <c r="BA798" s="3" t="s">
        <v>8220</v>
      </c>
      <c r="BB798" s="3" t="s">
        <v>8243</v>
      </c>
      <c r="BC798" s="3" t="s">
        <v>8222</v>
      </c>
      <c r="BD798" s="3" t="s">
        <v>78</v>
      </c>
      <c r="BF798" s="3" t="s">
        <v>8243</v>
      </c>
      <c r="BG798" s="3" t="s">
        <v>8244</v>
      </c>
    </row>
    <row r="799" spans="1:59" ht="58" x14ac:dyDescent="0.35">
      <c r="A799" s="2" t="s">
        <v>59</v>
      </c>
      <c r="B799" s="2" t="s">
        <v>60</v>
      </c>
      <c r="C799" s="2" t="s">
        <v>8212</v>
      </c>
      <c r="D799" s="2" t="s">
        <v>8213</v>
      </c>
      <c r="E799" s="2" t="s">
        <v>8214</v>
      </c>
      <c r="F799" s="3" t="s">
        <v>8245</v>
      </c>
      <c r="G799" s="3" t="s">
        <v>209</v>
      </c>
      <c r="I799" s="3" t="s">
        <v>65</v>
      </c>
      <c r="J799" s="3" t="s">
        <v>65</v>
      </c>
      <c r="K799" s="3" t="s">
        <v>66</v>
      </c>
      <c r="L799" s="2" t="s">
        <v>904</v>
      </c>
      <c r="M799" s="2" t="s">
        <v>8216</v>
      </c>
      <c r="N799" s="3" t="s">
        <v>525</v>
      </c>
      <c r="P799" s="3" t="s">
        <v>140</v>
      </c>
      <c r="R799" s="3" t="s">
        <v>71</v>
      </c>
      <c r="S799" s="4">
        <v>0</v>
      </c>
      <c r="T799" s="4">
        <v>15</v>
      </c>
      <c r="V799" s="5" t="s">
        <v>8217</v>
      </c>
      <c r="W799" s="5" t="s">
        <v>72</v>
      </c>
      <c r="X799" s="5" t="s">
        <v>72</v>
      </c>
      <c r="Y799" s="4">
        <v>4</v>
      </c>
      <c r="Z799" s="4">
        <v>1</v>
      </c>
      <c r="AA799" s="4">
        <v>1</v>
      </c>
      <c r="AB799" s="4">
        <v>1</v>
      </c>
      <c r="AC799" s="4">
        <v>1</v>
      </c>
      <c r="AD799" s="4">
        <v>1</v>
      </c>
      <c r="AE799" s="4">
        <v>1</v>
      </c>
      <c r="AF799" s="4">
        <v>0</v>
      </c>
      <c r="AG799" s="4">
        <v>0</v>
      </c>
      <c r="AH799" s="4">
        <v>1</v>
      </c>
      <c r="AI799" s="4">
        <v>1</v>
      </c>
      <c r="AJ799" s="4">
        <v>0</v>
      </c>
      <c r="AK799" s="4">
        <v>0</v>
      </c>
      <c r="AL799" s="4">
        <v>1</v>
      </c>
      <c r="AM799" s="4">
        <v>1</v>
      </c>
      <c r="AN799" s="4">
        <v>0</v>
      </c>
      <c r="AO799" s="4">
        <v>0</v>
      </c>
      <c r="AP799" s="4">
        <v>0</v>
      </c>
      <c r="AQ799" s="4">
        <v>0</v>
      </c>
      <c r="AR799" s="3" t="s">
        <v>65</v>
      </c>
      <c r="AS799" s="3" t="s">
        <v>65</v>
      </c>
      <c r="AT799" s="3" t="s">
        <v>65</v>
      </c>
      <c r="AV799" s="6" t="str">
        <f t="shared" si="14"/>
        <v>Catalog Record</v>
      </c>
      <c r="AW799" s="6" t="str">
        <f t="shared" si="15"/>
        <v>WorldCat Record</v>
      </c>
      <c r="AX799" s="3" t="s">
        <v>8218</v>
      </c>
      <c r="AY799" s="3" t="s">
        <v>8219</v>
      </c>
      <c r="AZ799" s="3" t="s">
        <v>8220</v>
      </c>
      <c r="BA799" s="3" t="s">
        <v>8220</v>
      </c>
      <c r="BB799" s="3" t="s">
        <v>8246</v>
      </c>
      <c r="BC799" s="3" t="s">
        <v>8222</v>
      </c>
      <c r="BD799" s="3" t="s">
        <v>78</v>
      </c>
      <c r="BF799" s="3" t="s">
        <v>8246</v>
      </c>
      <c r="BG799" s="3" t="s">
        <v>8247</v>
      </c>
    </row>
    <row r="800" spans="1:59" ht="58" x14ac:dyDescent="0.35">
      <c r="A800" s="2" t="s">
        <v>59</v>
      </c>
      <c r="B800" s="2" t="s">
        <v>60</v>
      </c>
      <c r="C800" s="2" t="s">
        <v>8212</v>
      </c>
      <c r="D800" s="2" t="s">
        <v>8213</v>
      </c>
      <c r="E800" s="2" t="s">
        <v>8214</v>
      </c>
      <c r="F800" s="3" t="s">
        <v>8248</v>
      </c>
      <c r="G800" s="3" t="s">
        <v>209</v>
      </c>
      <c r="I800" s="3" t="s">
        <v>65</v>
      </c>
      <c r="J800" s="3" t="s">
        <v>65</v>
      </c>
      <c r="K800" s="3" t="s">
        <v>66</v>
      </c>
      <c r="L800" s="2" t="s">
        <v>904</v>
      </c>
      <c r="M800" s="2" t="s">
        <v>8216</v>
      </c>
      <c r="N800" s="3" t="s">
        <v>525</v>
      </c>
      <c r="P800" s="3" t="s">
        <v>140</v>
      </c>
      <c r="R800" s="3" t="s">
        <v>71</v>
      </c>
      <c r="S800" s="4">
        <v>0</v>
      </c>
      <c r="T800" s="4">
        <v>15</v>
      </c>
      <c r="V800" s="5" t="s">
        <v>8217</v>
      </c>
      <c r="W800" s="5" t="s">
        <v>72</v>
      </c>
      <c r="X800" s="5" t="s">
        <v>72</v>
      </c>
      <c r="Y800" s="4">
        <v>4</v>
      </c>
      <c r="Z800" s="4">
        <v>1</v>
      </c>
      <c r="AA800" s="4">
        <v>1</v>
      </c>
      <c r="AB800" s="4">
        <v>1</v>
      </c>
      <c r="AC800" s="4">
        <v>1</v>
      </c>
      <c r="AD800" s="4">
        <v>1</v>
      </c>
      <c r="AE800" s="4">
        <v>1</v>
      </c>
      <c r="AF800" s="4">
        <v>0</v>
      </c>
      <c r="AG800" s="4">
        <v>0</v>
      </c>
      <c r="AH800" s="4">
        <v>1</v>
      </c>
      <c r="AI800" s="4">
        <v>1</v>
      </c>
      <c r="AJ800" s="4">
        <v>0</v>
      </c>
      <c r="AK800" s="4">
        <v>0</v>
      </c>
      <c r="AL800" s="4">
        <v>1</v>
      </c>
      <c r="AM800" s="4">
        <v>1</v>
      </c>
      <c r="AN800" s="4">
        <v>0</v>
      </c>
      <c r="AO800" s="4">
        <v>0</v>
      </c>
      <c r="AP800" s="4">
        <v>0</v>
      </c>
      <c r="AQ800" s="4">
        <v>0</v>
      </c>
      <c r="AR800" s="3" t="s">
        <v>65</v>
      </c>
      <c r="AS800" s="3" t="s">
        <v>65</v>
      </c>
      <c r="AT800" s="3" t="s">
        <v>65</v>
      </c>
      <c r="AV800" s="6" t="str">
        <f t="shared" si="14"/>
        <v>Catalog Record</v>
      </c>
      <c r="AW800" s="6" t="str">
        <f t="shared" si="15"/>
        <v>WorldCat Record</v>
      </c>
      <c r="AX800" s="3" t="s">
        <v>8218</v>
      </c>
      <c r="AY800" s="3" t="s">
        <v>8219</v>
      </c>
      <c r="AZ800" s="3" t="s">
        <v>8220</v>
      </c>
      <c r="BA800" s="3" t="s">
        <v>8220</v>
      </c>
      <c r="BB800" s="3" t="s">
        <v>8249</v>
      </c>
      <c r="BC800" s="3" t="s">
        <v>8222</v>
      </c>
      <c r="BD800" s="3" t="s">
        <v>78</v>
      </c>
      <c r="BF800" s="3" t="s">
        <v>8249</v>
      </c>
      <c r="BG800" s="3" t="s">
        <v>8250</v>
      </c>
    </row>
    <row r="801" spans="1:59" ht="58" x14ac:dyDescent="0.35">
      <c r="A801" s="2" t="s">
        <v>59</v>
      </c>
      <c r="B801" s="2" t="s">
        <v>60</v>
      </c>
      <c r="C801" s="2" t="s">
        <v>8212</v>
      </c>
      <c r="D801" s="2" t="s">
        <v>8213</v>
      </c>
      <c r="E801" s="2" t="s">
        <v>8214</v>
      </c>
      <c r="F801" s="3" t="s">
        <v>8251</v>
      </c>
      <c r="G801" s="3" t="s">
        <v>209</v>
      </c>
      <c r="I801" s="3" t="s">
        <v>65</v>
      </c>
      <c r="J801" s="3" t="s">
        <v>65</v>
      </c>
      <c r="K801" s="3" t="s">
        <v>66</v>
      </c>
      <c r="L801" s="2" t="s">
        <v>904</v>
      </c>
      <c r="M801" s="2" t="s">
        <v>8216</v>
      </c>
      <c r="N801" s="3" t="s">
        <v>525</v>
      </c>
      <c r="P801" s="3" t="s">
        <v>140</v>
      </c>
      <c r="R801" s="3" t="s">
        <v>71</v>
      </c>
      <c r="S801" s="4">
        <v>0</v>
      </c>
      <c r="T801" s="4">
        <v>15</v>
      </c>
      <c r="V801" s="5" t="s">
        <v>8217</v>
      </c>
      <c r="W801" s="5" t="s">
        <v>72</v>
      </c>
      <c r="X801" s="5" t="s">
        <v>72</v>
      </c>
      <c r="Y801" s="4">
        <v>4</v>
      </c>
      <c r="Z801" s="4">
        <v>1</v>
      </c>
      <c r="AA801" s="4">
        <v>1</v>
      </c>
      <c r="AB801" s="4">
        <v>1</v>
      </c>
      <c r="AC801" s="4">
        <v>1</v>
      </c>
      <c r="AD801" s="4">
        <v>1</v>
      </c>
      <c r="AE801" s="4">
        <v>1</v>
      </c>
      <c r="AF801" s="4">
        <v>0</v>
      </c>
      <c r="AG801" s="4">
        <v>0</v>
      </c>
      <c r="AH801" s="4">
        <v>1</v>
      </c>
      <c r="AI801" s="4">
        <v>1</v>
      </c>
      <c r="AJ801" s="4">
        <v>0</v>
      </c>
      <c r="AK801" s="4">
        <v>0</v>
      </c>
      <c r="AL801" s="4">
        <v>1</v>
      </c>
      <c r="AM801" s="4">
        <v>1</v>
      </c>
      <c r="AN801" s="4">
        <v>0</v>
      </c>
      <c r="AO801" s="4">
        <v>0</v>
      </c>
      <c r="AP801" s="4">
        <v>0</v>
      </c>
      <c r="AQ801" s="4">
        <v>0</v>
      </c>
      <c r="AR801" s="3" t="s">
        <v>65</v>
      </c>
      <c r="AS801" s="3" t="s">
        <v>65</v>
      </c>
      <c r="AT801" s="3" t="s">
        <v>65</v>
      </c>
      <c r="AV801" s="6" t="str">
        <f t="shared" si="14"/>
        <v>Catalog Record</v>
      </c>
      <c r="AW801" s="6" t="str">
        <f t="shared" si="15"/>
        <v>WorldCat Record</v>
      </c>
      <c r="AX801" s="3" t="s">
        <v>8218</v>
      </c>
      <c r="AY801" s="3" t="s">
        <v>8219</v>
      </c>
      <c r="AZ801" s="3" t="s">
        <v>8220</v>
      </c>
      <c r="BA801" s="3" t="s">
        <v>8220</v>
      </c>
      <c r="BB801" s="3" t="s">
        <v>8252</v>
      </c>
      <c r="BC801" s="3" t="s">
        <v>8222</v>
      </c>
      <c r="BD801" s="3" t="s">
        <v>78</v>
      </c>
      <c r="BF801" s="3" t="s">
        <v>8252</v>
      </c>
      <c r="BG801" s="3" t="s">
        <v>8253</v>
      </c>
    </row>
    <row r="802" spans="1:59" ht="58" x14ac:dyDescent="0.35">
      <c r="A802" s="2" t="s">
        <v>59</v>
      </c>
      <c r="B802" s="2" t="s">
        <v>60</v>
      </c>
      <c r="C802" s="2" t="s">
        <v>8212</v>
      </c>
      <c r="D802" s="2" t="s">
        <v>8213</v>
      </c>
      <c r="E802" s="2" t="s">
        <v>8214</v>
      </c>
      <c r="F802" s="3" t="s">
        <v>8254</v>
      </c>
      <c r="G802" s="3" t="s">
        <v>209</v>
      </c>
      <c r="I802" s="3" t="s">
        <v>65</v>
      </c>
      <c r="J802" s="3" t="s">
        <v>65</v>
      </c>
      <c r="K802" s="3" t="s">
        <v>66</v>
      </c>
      <c r="L802" s="2" t="s">
        <v>904</v>
      </c>
      <c r="M802" s="2" t="s">
        <v>8216</v>
      </c>
      <c r="N802" s="3" t="s">
        <v>525</v>
      </c>
      <c r="P802" s="3" t="s">
        <v>140</v>
      </c>
      <c r="R802" s="3" t="s">
        <v>71</v>
      </c>
      <c r="S802" s="4">
        <v>0</v>
      </c>
      <c r="T802" s="4">
        <v>15</v>
      </c>
      <c r="V802" s="5" t="s">
        <v>8217</v>
      </c>
      <c r="W802" s="5" t="s">
        <v>72</v>
      </c>
      <c r="X802" s="5" t="s">
        <v>72</v>
      </c>
      <c r="Y802" s="4">
        <v>4</v>
      </c>
      <c r="Z802" s="4">
        <v>1</v>
      </c>
      <c r="AA802" s="4">
        <v>1</v>
      </c>
      <c r="AB802" s="4">
        <v>1</v>
      </c>
      <c r="AC802" s="4">
        <v>1</v>
      </c>
      <c r="AD802" s="4">
        <v>1</v>
      </c>
      <c r="AE802" s="4">
        <v>1</v>
      </c>
      <c r="AF802" s="4">
        <v>0</v>
      </c>
      <c r="AG802" s="4">
        <v>0</v>
      </c>
      <c r="AH802" s="4">
        <v>1</v>
      </c>
      <c r="AI802" s="4">
        <v>1</v>
      </c>
      <c r="AJ802" s="4">
        <v>0</v>
      </c>
      <c r="AK802" s="4">
        <v>0</v>
      </c>
      <c r="AL802" s="4">
        <v>1</v>
      </c>
      <c r="AM802" s="4">
        <v>1</v>
      </c>
      <c r="AN802" s="4">
        <v>0</v>
      </c>
      <c r="AO802" s="4">
        <v>0</v>
      </c>
      <c r="AP802" s="4">
        <v>0</v>
      </c>
      <c r="AQ802" s="4">
        <v>0</v>
      </c>
      <c r="AR802" s="3" t="s">
        <v>65</v>
      </c>
      <c r="AS802" s="3" t="s">
        <v>65</v>
      </c>
      <c r="AT802" s="3" t="s">
        <v>65</v>
      </c>
      <c r="AV802" s="6" t="str">
        <f t="shared" si="14"/>
        <v>Catalog Record</v>
      </c>
      <c r="AW802" s="6" t="str">
        <f t="shared" si="15"/>
        <v>WorldCat Record</v>
      </c>
      <c r="AX802" s="3" t="s">
        <v>8218</v>
      </c>
      <c r="AY802" s="3" t="s">
        <v>8219</v>
      </c>
      <c r="AZ802" s="3" t="s">
        <v>8220</v>
      </c>
      <c r="BA802" s="3" t="s">
        <v>8220</v>
      </c>
      <c r="BB802" s="3" t="s">
        <v>8255</v>
      </c>
      <c r="BC802" s="3" t="s">
        <v>8222</v>
      </c>
      <c r="BD802" s="3" t="s">
        <v>78</v>
      </c>
      <c r="BF802" s="3" t="s">
        <v>8255</v>
      </c>
      <c r="BG802" s="3" t="s">
        <v>8256</v>
      </c>
    </row>
    <row r="803" spans="1:59" ht="58" x14ac:dyDescent="0.35">
      <c r="A803" s="2" t="s">
        <v>59</v>
      </c>
      <c r="B803" s="2" t="s">
        <v>60</v>
      </c>
      <c r="C803" s="2" t="s">
        <v>8212</v>
      </c>
      <c r="D803" s="2" t="s">
        <v>8213</v>
      </c>
      <c r="E803" s="2" t="s">
        <v>8214</v>
      </c>
      <c r="F803" s="3" t="s">
        <v>8257</v>
      </c>
      <c r="G803" s="3" t="s">
        <v>209</v>
      </c>
      <c r="I803" s="3" t="s">
        <v>65</v>
      </c>
      <c r="J803" s="3" t="s">
        <v>65</v>
      </c>
      <c r="K803" s="3" t="s">
        <v>66</v>
      </c>
      <c r="L803" s="2" t="s">
        <v>904</v>
      </c>
      <c r="M803" s="2" t="s">
        <v>8216</v>
      </c>
      <c r="N803" s="3" t="s">
        <v>525</v>
      </c>
      <c r="P803" s="3" t="s">
        <v>140</v>
      </c>
      <c r="R803" s="3" t="s">
        <v>71</v>
      </c>
      <c r="S803" s="4">
        <v>0</v>
      </c>
      <c r="T803" s="4">
        <v>15</v>
      </c>
      <c r="V803" s="5" t="s">
        <v>8217</v>
      </c>
      <c r="W803" s="5" t="s">
        <v>72</v>
      </c>
      <c r="X803" s="5" t="s">
        <v>72</v>
      </c>
      <c r="Y803" s="4">
        <v>4</v>
      </c>
      <c r="Z803" s="4">
        <v>1</v>
      </c>
      <c r="AA803" s="4">
        <v>1</v>
      </c>
      <c r="AB803" s="4">
        <v>1</v>
      </c>
      <c r="AC803" s="4">
        <v>1</v>
      </c>
      <c r="AD803" s="4">
        <v>1</v>
      </c>
      <c r="AE803" s="4">
        <v>1</v>
      </c>
      <c r="AF803" s="4">
        <v>0</v>
      </c>
      <c r="AG803" s="4">
        <v>0</v>
      </c>
      <c r="AH803" s="4">
        <v>1</v>
      </c>
      <c r="AI803" s="4">
        <v>1</v>
      </c>
      <c r="AJ803" s="4">
        <v>0</v>
      </c>
      <c r="AK803" s="4">
        <v>0</v>
      </c>
      <c r="AL803" s="4">
        <v>1</v>
      </c>
      <c r="AM803" s="4">
        <v>1</v>
      </c>
      <c r="AN803" s="4">
        <v>0</v>
      </c>
      <c r="AO803" s="4">
        <v>0</v>
      </c>
      <c r="AP803" s="4">
        <v>0</v>
      </c>
      <c r="AQ803" s="4">
        <v>0</v>
      </c>
      <c r="AR803" s="3" t="s">
        <v>65</v>
      </c>
      <c r="AS803" s="3" t="s">
        <v>65</v>
      </c>
      <c r="AT803" s="3" t="s">
        <v>65</v>
      </c>
      <c r="AV803" s="6" t="str">
        <f t="shared" si="14"/>
        <v>Catalog Record</v>
      </c>
      <c r="AW803" s="6" t="str">
        <f t="shared" si="15"/>
        <v>WorldCat Record</v>
      </c>
      <c r="AX803" s="3" t="s">
        <v>8218</v>
      </c>
      <c r="AY803" s="3" t="s">
        <v>8219</v>
      </c>
      <c r="AZ803" s="3" t="s">
        <v>8220</v>
      </c>
      <c r="BA803" s="3" t="s">
        <v>8220</v>
      </c>
      <c r="BB803" s="3" t="s">
        <v>8258</v>
      </c>
      <c r="BC803" s="3" t="s">
        <v>8222</v>
      </c>
      <c r="BD803" s="3" t="s">
        <v>78</v>
      </c>
      <c r="BF803" s="3" t="s">
        <v>8258</v>
      </c>
      <c r="BG803" s="3" t="s">
        <v>8259</v>
      </c>
    </row>
    <row r="804" spans="1:59" ht="58" x14ac:dyDescent="0.35">
      <c r="A804" s="2" t="s">
        <v>59</v>
      </c>
      <c r="B804" s="2" t="s">
        <v>60</v>
      </c>
      <c r="C804" s="2" t="s">
        <v>8212</v>
      </c>
      <c r="D804" s="2" t="s">
        <v>8213</v>
      </c>
      <c r="E804" s="2" t="s">
        <v>8214</v>
      </c>
      <c r="F804" s="3" t="s">
        <v>8260</v>
      </c>
      <c r="G804" s="3" t="s">
        <v>209</v>
      </c>
      <c r="I804" s="3" t="s">
        <v>65</v>
      </c>
      <c r="J804" s="3" t="s">
        <v>65</v>
      </c>
      <c r="K804" s="3" t="s">
        <v>66</v>
      </c>
      <c r="L804" s="2" t="s">
        <v>904</v>
      </c>
      <c r="M804" s="2" t="s">
        <v>8216</v>
      </c>
      <c r="N804" s="3" t="s">
        <v>525</v>
      </c>
      <c r="P804" s="3" t="s">
        <v>140</v>
      </c>
      <c r="R804" s="3" t="s">
        <v>71</v>
      </c>
      <c r="S804" s="4">
        <v>0</v>
      </c>
      <c r="T804" s="4">
        <v>15</v>
      </c>
      <c r="V804" s="5" t="s">
        <v>8217</v>
      </c>
      <c r="W804" s="5" t="s">
        <v>72</v>
      </c>
      <c r="X804" s="5" t="s">
        <v>72</v>
      </c>
      <c r="Y804" s="4">
        <v>4</v>
      </c>
      <c r="Z804" s="4">
        <v>1</v>
      </c>
      <c r="AA804" s="4">
        <v>1</v>
      </c>
      <c r="AB804" s="4">
        <v>1</v>
      </c>
      <c r="AC804" s="4">
        <v>1</v>
      </c>
      <c r="AD804" s="4">
        <v>1</v>
      </c>
      <c r="AE804" s="4">
        <v>1</v>
      </c>
      <c r="AF804" s="4">
        <v>0</v>
      </c>
      <c r="AG804" s="4">
        <v>0</v>
      </c>
      <c r="AH804" s="4">
        <v>1</v>
      </c>
      <c r="AI804" s="4">
        <v>1</v>
      </c>
      <c r="AJ804" s="4">
        <v>0</v>
      </c>
      <c r="AK804" s="4">
        <v>0</v>
      </c>
      <c r="AL804" s="4">
        <v>1</v>
      </c>
      <c r="AM804" s="4">
        <v>1</v>
      </c>
      <c r="AN804" s="4">
        <v>0</v>
      </c>
      <c r="AO804" s="4">
        <v>0</v>
      </c>
      <c r="AP804" s="4">
        <v>0</v>
      </c>
      <c r="AQ804" s="4">
        <v>0</v>
      </c>
      <c r="AR804" s="3" t="s">
        <v>65</v>
      </c>
      <c r="AS804" s="3" t="s">
        <v>65</v>
      </c>
      <c r="AT804" s="3" t="s">
        <v>65</v>
      </c>
      <c r="AV804" s="6" t="str">
        <f t="shared" si="14"/>
        <v>Catalog Record</v>
      </c>
      <c r="AW804" s="6" t="str">
        <f t="shared" si="15"/>
        <v>WorldCat Record</v>
      </c>
      <c r="AX804" s="3" t="s">
        <v>8218</v>
      </c>
      <c r="AY804" s="3" t="s">
        <v>8219</v>
      </c>
      <c r="AZ804" s="3" t="s">
        <v>8220</v>
      </c>
      <c r="BA804" s="3" t="s">
        <v>8220</v>
      </c>
      <c r="BB804" s="3" t="s">
        <v>8261</v>
      </c>
      <c r="BC804" s="3" t="s">
        <v>8222</v>
      </c>
      <c r="BD804" s="3" t="s">
        <v>78</v>
      </c>
      <c r="BF804" s="3" t="s">
        <v>8261</v>
      </c>
      <c r="BG804" s="3" t="s">
        <v>8262</v>
      </c>
    </row>
    <row r="805" spans="1:59" ht="58" x14ac:dyDescent="0.35">
      <c r="A805" s="2" t="s">
        <v>59</v>
      </c>
      <c r="B805" s="2" t="s">
        <v>60</v>
      </c>
      <c r="C805" s="2" t="s">
        <v>8212</v>
      </c>
      <c r="D805" s="2" t="s">
        <v>8213</v>
      </c>
      <c r="E805" s="2" t="s">
        <v>8214</v>
      </c>
      <c r="F805" s="3" t="s">
        <v>8263</v>
      </c>
      <c r="G805" s="3" t="s">
        <v>209</v>
      </c>
      <c r="I805" s="3" t="s">
        <v>65</v>
      </c>
      <c r="J805" s="3" t="s">
        <v>65</v>
      </c>
      <c r="K805" s="3" t="s">
        <v>66</v>
      </c>
      <c r="L805" s="2" t="s">
        <v>904</v>
      </c>
      <c r="M805" s="2" t="s">
        <v>8216</v>
      </c>
      <c r="N805" s="3" t="s">
        <v>525</v>
      </c>
      <c r="P805" s="3" t="s">
        <v>140</v>
      </c>
      <c r="R805" s="3" t="s">
        <v>71</v>
      </c>
      <c r="S805" s="4">
        <v>0</v>
      </c>
      <c r="T805" s="4">
        <v>15</v>
      </c>
      <c r="V805" s="5" t="s">
        <v>8217</v>
      </c>
      <c r="W805" s="5" t="s">
        <v>72</v>
      </c>
      <c r="X805" s="5" t="s">
        <v>72</v>
      </c>
      <c r="Y805" s="4">
        <v>4</v>
      </c>
      <c r="Z805" s="4">
        <v>1</v>
      </c>
      <c r="AA805" s="4">
        <v>1</v>
      </c>
      <c r="AB805" s="4">
        <v>1</v>
      </c>
      <c r="AC805" s="4">
        <v>1</v>
      </c>
      <c r="AD805" s="4">
        <v>1</v>
      </c>
      <c r="AE805" s="4">
        <v>1</v>
      </c>
      <c r="AF805" s="4">
        <v>0</v>
      </c>
      <c r="AG805" s="4">
        <v>0</v>
      </c>
      <c r="AH805" s="4">
        <v>1</v>
      </c>
      <c r="AI805" s="4">
        <v>1</v>
      </c>
      <c r="AJ805" s="4">
        <v>0</v>
      </c>
      <c r="AK805" s="4">
        <v>0</v>
      </c>
      <c r="AL805" s="4">
        <v>1</v>
      </c>
      <c r="AM805" s="4">
        <v>1</v>
      </c>
      <c r="AN805" s="4">
        <v>0</v>
      </c>
      <c r="AO805" s="4">
        <v>0</v>
      </c>
      <c r="AP805" s="4">
        <v>0</v>
      </c>
      <c r="AQ805" s="4">
        <v>0</v>
      </c>
      <c r="AR805" s="3" t="s">
        <v>65</v>
      </c>
      <c r="AS805" s="3" t="s">
        <v>65</v>
      </c>
      <c r="AT805" s="3" t="s">
        <v>65</v>
      </c>
      <c r="AV805" s="6" t="str">
        <f t="shared" si="14"/>
        <v>Catalog Record</v>
      </c>
      <c r="AW805" s="6" t="str">
        <f t="shared" si="15"/>
        <v>WorldCat Record</v>
      </c>
      <c r="AX805" s="3" t="s">
        <v>8218</v>
      </c>
      <c r="AY805" s="3" t="s">
        <v>8219</v>
      </c>
      <c r="AZ805" s="3" t="s">
        <v>8220</v>
      </c>
      <c r="BA805" s="3" t="s">
        <v>8220</v>
      </c>
      <c r="BB805" s="3" t="s">
        <v>8264</v>
      </c>
      <c r="BC805" s="3" t="s">
        <v>8222</v>
      </c>
      <c r="BD805" s="3" t="s">
        <v>78</v>
      </c>
      <c r="BF805" s="3" t="s">
        <v>8264</v>
      </c>
      <c r="BG805" s="3" t="s">
        <v>8265</v>
      </c>
    </row>
    <row r="806" spans="1:59" ht="58" x14ac:dyDescent="0.35">
      <c r="A806" s="2" t="s">
        <v>59</v>
      </c>
      <c r="B806" s="2" t="s">
        <v>60</v>
      </c>
      <c r="C806" s="2" t="s">
        <v>8212</v>
      </c>
      <c r="D806" s="2" t="s">
        <v>8213</v>
      </c>
      <c r="E806" s="2" t="s">
        <v>8214</v>
      </c>
      <c r="F806" s="3" t="s">
        <v>8266</v>
      </c>
      <c r="G806" s="3" t="s">
        <v>209</v>
      </c>
      <c r="I806" s="3" t="s">
        <v>65</v>
      </c>
      <c r="J806" s="3" t="s">
        <v>65</v>
      </c>
      <c r="K806" s="3" t="s">
        <v>66</v>
      </c>
      <c r="L806" s="2" t="s">
        <v>904</v>
      </c>
      <c r="M806" s="2" t="s">
        <v>8216</v>
      </c>
      <c r="N806" s="3" t="s">
        <v>525</v>
      </c>
      <c r="P806" s="3" t="s">
        <v>140</v>
      </c>
      <c r="R806" s="3" t="s">
        <v>71</v>
      </c>
      <c r="S806" s="4">
        <v>0</v>
      </c>
      <c r="T806" s="4">
        <v>15</v>
      </c>
      <c r="V806" s="5" t="s">
        <v>8217</v>
      </c>
      <c r="W806" s="5" t="s">
        <v>72</v>
      </c>
      <c r="X806" s="5" t="s">
        <v>72</v>
      </c>
      <c r="Y806" s="4">
        <v>4</v>
      </c>
      <c r="Z806" s="4">
        <v>1</v>
      </c>
      <c r="AA806" s="4">
        <v>1</v>
      </c>
      <c r="AB806" s="4">
        <v>1</v>
      </c>
      <c r="AC806" s="4">
        <v>1</v>
      </c>
      <c r="AD806" s="4">
        <v>1</v>
      </c>
      <c r="AE806" s="4">
        <v>1</v>
      </c>
      <c r="AF806" s="4">
        <v>0</v>
      </c>
      <c r="AG806" s="4">
        <v>0</v>
      </c>
      <c r="AH806" s="4">
        <v>1</v>
      </c>
      <c r="AI806" s="4">
        <v>1</v>
      </c>
      <c r="AJ806" s="4">
        <v>0</v>
      </c>
      <c r="AK806" s="4">
        <v>0</v>
      </c>
      <c r="AL806" s="4">
        <v>1</v>
      </c>
      <c r="AM806" s="4">
        <v>1</v>
      </c>
      <c r="AN806" s="4">
        <v>0</v>
      </c>
      <c r="AO806" s="4">
        <v>0</v>
      </c>
      <c r="AP806" s="4">
        <v>0</v>
      </c>
      <c r="AQ806" s="4">
        <v>0</v>
      </c>
      <c r="AR806" s="3" t="s">
        <v>65</v>
      </c>
      <c r="AS806" s="3" t="s">
        <v>65</v>
      </c>
      <c r="AT806" s="3" t="s">
        <v>65</v>
      </c>
      <c r="AV806" s="6" t="str">
        <f t="shared" si="14"/>
        <v>Catalog Record</v>
      </c>
      <c r="AW806" s="6" t="str">
        <f t="shared" si="15"/>
        <v>WorldCat Record</v>
      </c>
      <c r="AX806" s="3" t="s">
        <v>8218</v>
      </c>
      <c r="AY806" s="3" t="s">
        <v>8219</v>
      </c>
      <c r="AZ806" s="3" t="s">
        <v>8220</v>
      </c>
      <c r="BA806" s="3" t="s">
        <v>8220</v>
      </c>
      <c r="BB806" s="3" t="s">
        <v>8267</v>
      </c>
      <c r="BC806" s="3" t="s">
        <v>8222</v>
      </c>
      <c r="BD806" s="3" t="s">
        <v>78</v>
      </c>
      <c r="BF806" s="3" t="s">
        <v>8267</v>
      </c>
      <c r="BG806" s="3" t="s">
        <v>8268</v>
      </c>
    </row>
    <row r="807" spans="1:59" ht="58" x14ac:dyDescent="0.35">
      <c r="A807" s="2" t="s">
        <v>59</v>
      </c>
      <c r="B807" s="2" t="s">
        <v>60</v>
      </c>
      <c r="C807" s="2" t="s">
        <v>8212</v>
      </c>
      <c r="D807" s="2" t="s">
        <v>8213</v>
      </c>
      <c r="E807" s="2" t="s">
        <v>8214</v>
      </c>
      <c r="F807" s="3" t="s">
        <v>8269</v>
      </c>
      <c r="G807" s="3" t="s">
        <v>209</v>
      </c>
      <c r="I807" s="3" t="s">
        <v>65</v>
      </c>
      <c r="J807" s="3" t="s">
        <v>65</v>
      </c>
      <c r="K807" s="3" t="s">
        <v>66</v>
      </c>
      <c r="L807" s="2" t="s">
        <v>904</v>
      </c>
      <c r="M807" s="2" t="s">
        <v>8216</v>
      </c>
      <c r="N807" s="3" t="s">
        <v>525</v>
      </c>
      <c r="P807" s="3" t="s">
        <v>140</v>
      </c>
      <c r="R807" s="3" t="s">
        <v>71</v>
      </c>
      <c r="S807" s="4">
        <v>0</v>
      </c>
      <c r="T807" s="4">
        <v>15</v>
      </c>
      <c r="V807" s="5" t="s">
        <v>8217</v>
      </c>
      <c r="W807" s="5" t="s">
        <v>72</v>
      </c>
      <c r="X807" s="5" t="s">
        <v>72</v>
      </c>
      <c r="Y807" s="4">
        <v>4</v>
      </c>
      <c r="Z807" s="4">
        <v>1</v>
      </c>
      <c r="AA807" s="4">
        <v>1</v>
      </c>
      <c r="AB807" s="4">
        <v>1</v>
      </c>
      <c r="AC807" s="4">
        <v>1</v>
      </c>
      <c r="AD807" s="4">
        <v>1</v>
      </c>
      <c r="AE807" s="4">
        <v>1</v>
      </c>
      <c r="AF807" s="4">
        <v>0</v>
      </c>
      <c r="AG807" s="4">
        <v>0</v>
      </c>
      <c r="AH807" s="4">
        <v>1</v>
      </c>
      <c r="AI807" s="4">
        <v>1</v>
      </c>
      <c r="AJ807" s="4">
        <v>0</v>
      </c>
      <c r="AK807" s="4">
        <v>0</v>
      </c>
      <c r="AL807" s="4">
        <v>1</v>
      </c>
      <c r="AM807" s="4">
        <v>1</v>
      </c>
      <c r="AN807" s="4">
        <v>0</v>
      </c>
      <c r="AO807" s="4">
        <v>0</v>
      </c>
      <c r="AP807" s="4">
        <v>0</v>
      </c>
      <c r="AQ807" s="4">
        <v>0</v>
      </c>
      <c r="AR807" s="3" t="s">
        <v>65</v>
      </c>
      <c r="AS807" s="3" t="s">
        <v>65</v>
      </c>
      <c r="AT807" s="3" t="s">
        <v>65</v>
      </c>
      <c r="AV807" s="6" t="str">
        <f t="shared" si="14"/>
        <v>Catalog Record</v>
      </c>
      <c r="AW807" s="6" t="str">
        <f t="shared" si="15"/>
        <v>WorldCat Record</v>
      </c>
      <c r="AX807" s="3" t="s">
        <v>8218</v>
      </c>
      <c r="AY807" s="3" t="s">
        <v>8219</v>
      </c>
      <c r="AZ807" s="3" t="s">
        <v>8220</v>
      </c>
      <c r="BA807" s="3" t="s">
        <v>8220</v>
      </c>
      <c r="BB807" s="3" t="s">
        <v>8270</v>
      </c>
      <c r="BC807" s="3" t="s">
        <v>8222</v>
      </c>
      <c r="BD807" s="3" t="s">
        <v>78</v>
      </c>
      <c r="BF807" s="3" t="s">
        <v>8270</v>
      </c>
      <c r="BG807" s="3" t="s">
        <v>8271</v>
      </c>
    </row>
    <row r="808" spans="1:59" ht="58" x14ac:dyDescent="0.35">
      <c r="A808" s="2" t="s">
        <v>59</v>
      </c>
      <c r="B808" s="2" t="s">
        <v>60</v>
      </c>
      <c r="C808" s="2" t="s">
        <v>8212</v>
      </c>
      <c r="D808" s="2" t="s">
        <v>8213</v>
      </c>
      <c r="E808" s="2" t="s">
        <v>8214</v>
      </c>
      <c r="F808" s="3" t="s">
        <v>8272</v>
      </c>
      <c r="G808" s="3" t="s">
        <v>209</v>
      </c>
      <c r="I808" s="3" t="s">
        <v>65</v>
      </c>
      <c r="J808" s="3" t="s">
        <v>65</v>
      </c>
      <c r="K808" s="3" t="s">
        <v>66</v>
      </c>
      <c r="L808" s="2" t="s">
        <v>904</v>
      </c>
      <c r="M808" s="2" t="s">
        <v>8216</v>
      </c>
      <c r="N808" s="3" t="s">
        <v>525</v>
      </c>
      <c r="P808" s="3" t="s">
        <v>140</v>
      </c>
      <c r="R808" s="3" t="s">
        <v>71</v>
      </c>
      <c r="S808" s="4">
        <v>0</v>
      </c>
      <c r="T808" s="4">
        <v>15</v>
      </c>
      <c r="V808" s="5" t="s">
        <v>8217</v>
      </c>
      <c r="W808" s="5" t="s">
        <v>72</v>
      </c>
      <c r="X808" s="5" t="s">
        <v>72</v>
      </c>
      <c r="Y808" s="4">
        <v>4</v>
      </c>
      <c r="Z808" s="4">
        <v>1</v>
      </c>
      <c r="AA808" s="4">
        <v>1</v>
      </c>
      <c r="AB808" s="4">
        <v>1</v>
      </c>
      <c r="AC808" s="4">
        <v>1</v>
      </c>
      <c r="AD808" s="4">
        <v>1</v>
      </c>
      <c r="AE808" s="4">
        <v>1</v>
      </c>
      <c r="AF808" s="4">
        <v>0</v>
      </c>
      <c r="AG808" s="4">
        <v>0</v>
      </c>
      <c r="AH808" s="4">
        <v>1</v>
      </c>
      <c r="AI808" s="4">
        <v>1</v>
      </c>
      <c r="AJ808" s="4">
        <v>0</v>
      </c>
      <c r="AK808" s="4">
        <v>0</v>
      </c>
      <c r="AL808" s="4">
        <v>1</v>
      </c>
      <c r="AM808" s="4">
        <v>1</v>
      </c>
      <c r="AN808" s="4">
        <v>0</v>
      </c>
      <c r="AO808" s="4">
        <v>0</v>
      </c>
      <c r="AP808" s="4">
        <v>0</v>
      </c>
      <c r="AQ808" s="4">
        <v>0</v>
      </c>
      <c r="AR808" s="3" t="s">
        <v>65</v>
      </c>
      <c r="AS808" s="3" t="s">
        <v>65</v>
      </c>
      <c r="AT808" s="3" t="s">
        <v>65</v>
      </c>
      <c r="AV808" s="6" t="str">
        <f t="shared" si="14"/>
        <v>Catalog Record</v>
      </c>
      <c r="AW808" s="6" t="str">
        <f t="shared" si="15"/>
        <v>WorldCat Record</v>
      </c>
      <c r="AX808" s="3" t="s">
        <v>8218</v>
      </c>
      <c r="AY808" s="3" t="s">
        <v>8219</v>
      </c>
      <c r="AZ808" s="3" t="s">
        <v>8220</v>
      </c>
      <c r="BA808" s="3" t="s">
        <v>8220</v>
      </c>
      <c r="BB808" s="3" t="s">
        <v>8273</v>
      </c>
      <c r="BC808" s="3" t="s">
        <v>8222</v>
      </c>
      <c r="BD808" s="3" t="s">
        <v>78</v>
      </c>
      <c r="BF808" s="3" t="s">
        <v>8273</v>
      </c>
      <c r="BG808" s="3" t="s">
        <v>8274</v>
      </c>
    </row>
    <row r="809" spans="1:59" ht="58" x14ac:dyDescent="0.35">
      <c r="A809" s="2" t="s">
        <v>59</v>
      </c>
      <c r="B809" s="2" t="s">
        <v>60</v>
      </c>
      <c r="C809" s="2" t="s">
        <v>8212</v>
      </c>
      <c r="D809" s="2" t="s">
        <v>8213</v>
      </c>
      <c r="E809" s="2" t="s">
        <v>8214</v>
      </c>
      <c r="F809" s="3" t="s">
        <v>8275</v>
      </c>
      <c r="G809" s="3" t="s">
        <v>209</v>
      </c>
      <c r="I809" s="3" t="s">
        <v>65</v>
      </c>
      <c r="J809" s="3" t="s">
        <v>65</v>
      </c>
      <c r="K809" s="3" t="s">
        <v>66</v>
      </c>
      <c r="L809" s="2" t="s">
        <v>904</v>
      </c>
      <c r="M809" s="2" t="s">
        <v>8216</v>
      </c>
      <c r="N809" s="3" t="s">
        <v>525</v>
      </c>
      <c r="P809" s="3" t="s">
        <v>140</v>
      </c>
      <c r="R809" s="3" t="s">
        <v>71</v>
      </c>
      <c r="S809" s="4">
        <v>0</v>
      </c>
      <c r="T809" s="4">
        <v>15</v>
      </c>
      <c r="V809" s="5" t="s">
        <v>8217</v>
      </c>
      <c r="W809" s="5" t="s">
        <v>72</v>
      </c>
      <c r="X809" s="5" t="s">
        <v>72</v>
      </c>
      <c r="Y809" s="4">
        <v>4</v>
      </c>
      <c r="Z809" s="4">
        <v>1</v>
      </c>
      <c r="AA809" s="4">
        <v>1</v>
      </c>
      <c r="AB809" s="4">
        <v>1</v>
      </c>
      <c r="AC809" s="4">
        <v>1</v>
      </c>
      <c r="AD809" s="4">
        <v>1</v>
      </c>
      <c r="AE809" s="4">
        <v>1</v>
      </c>
      <c r="AF809" s="4">
        <v>0</v>
      </c>
      <c r="AG809" s="4">
        <v>0</v>
      </c>
      <c r="AH809" s="4">
        <v>1</v>
      </c>
      <c r="AI809" s="4">
        <v>1</v>
      </c>
      <c r="AJ809" s="4">
        <v>0</v>
      </c>
      <c r="AK809" s="4">
        <v>0</v>
      </c>
      <c r="AL809" s="4">
        <v>1</v>
      </c>
      <c r="AM809" s="4">
        <v>1</v>
      </c>
      <c r="AN809" s="4">
        <v>0</v>
      </c>
      <c r="AO809" s="4">
        <v>0</v>
      </c>
      <c r="AP809" s="4">
        <v>0</v>
      </c>
      <c r="AQ809" s="4">
        <v>0</v>
      </c>
      <c r="AR809" s="3" t="s">
        <v>65</v>
      </c>
      <c r="AS809" s="3" t="s">
        <v>65</v>
      </c>
      <c r="AT809" s="3" t="s">
        <v>65</v>
      </c>
      <c r="AV809" s="6" t="str">
        <f t="shared" si="14"/>
        <v>Catalog Record</v>
      </c>
      <c r="AW809" s="6" t="str">
        <f t="shared" si="15"/>
        <v>WorldCat Record</v>
      </c>
      <c r="AX809" s="3" t="s">
        <v>8218</v>
      </c>
      <c r="AY809" s="3" t="s">
        <v>8219</v>
      </c>
      <c r="AZ809" s="3" t="s">
        <v>8220</v>
      </c>
      <c r="BA809" s="3" t="s">
        <v>8220</v>
      </c>
      <c r="BB809" s="3" t="s">
        <v>8276</v>
      </c>
      <c r="BC809" s="3" t="s">
        <v>8222</v>
      </c>
      <c r="BD809" s="3" t="s">
        <v>78</v>
      </c>
      <c r="BF809" s="3" t="s">
        <v>8276</v>
      </c>
      <c r="BG809" s="3" t="s">
        <v>8277</v>
      </c>
    </row>
    <row r="810" spans="1:59" ht="58" x14ac:dyDescent="0.35">
      <c r="A810" s="2" t="s">
        <v>59</v>
      </c>
      <c r="B810" s="2" t="s">
        <v>60</v>
      </c>
      <c r="C810" s="2" t="s">
        <v>8212</v>
      </c>
      <c r="D810" s="2" t="s">
        <v>8213</v>
      </c>
      <c r="E810" s="2" t="s">
        <v>8214</v>
      </c>
      <c r="F810" s="3" t="s">
        <v>8278</v>
      </c>
      <c r="G810" s="3" t="s">
        <v>209</v>
      </c>
      <c r="I810" s="3" t="s">
        <v>65</v>
      </c>
      <c r="J810" s="3" t="s">
        <v>65</v>
      </c>
      <c r="K810" s="3" t="s">
        <v>66</v>
      </c>
      <c r="L810" s="2" t="s">
        <v>904</v>
      </c>
      <c r="M810" s="2" t="s">
        <v>8216</v>
      </c>
      <c r="N810" s="3" t="s">
        <v>525</v>
      </c>
      <c r="P810" s="3" t="s">
        <v>140</v>
      </c>
      <c r="R810" s="3" t="s">
        <v>71</v>
      </c>
      <c r="S810" s="4">
        <v>0</v>
      </c>
      <c r="T810" s="4">
        <v>15</v>
      </c>
      <c r="V810" s="5" t="s">
        <v>8217</v>
      </c>
      <c r="W810" s="5" t="s">
        <v>72</v>
      </c>
      <c r="X810" s="5" t="s">
        <v>72</v>
      </c>
      <c r="Y810" s="4">
        <v>4</v>
      </c>
      <c r="Z810" s="4">
        <v>1</v>
      </c>
      <c r="AA810" s="4">
        <v>1</v>
      </c>
      <c r="AB810" s="4">
        <v>1</v>
      </c>
      <c r="AC810" s="4">
        <v>1</v>
      </c>
      <c r="AD810" s="4">
        <v>1</v>
      </c>
      <c r="AE810" s="4">
        <v>1</v>
      </c>
      <c r="AF810" s="4">
        <v>0</v>
      </c>
      <c r="AG810" s="4">
        <v>0</v>
      </c>
      <c r="AH810" s="4">
        <v>1</v>
      </c>
      <c r="AI810" s="4">
        <v>1</v>
      </c>
      <c r="AJ810" s="4">
        <v>0</v>
      </c>
      <c r="AK810" s="4">
        <v>0</v>
      </c>
      <c r="AL810" s="4">
        <v>1</v>
      </c>
      <c r="AM810" s="4">
        <v>1</v>
      </c>
      <c r="AN810" s="4">
        <v>0</v>
      </c>
      <c r="AO810" s="4">
        <v>0</v>
      </c>
      <c r="AP810" s="4">
        <v>0</v>
      </c>
      <c r="AQ810" s="4">
        <v>0</v>
      </c>
      <c r="AR810" s="3" t="s">
        <v>65</v>
      </c>
      <c r="AS810" s="3" t="s">
        <v>65</v>
      </c>
      <c r="AT810" s="3" t="s">
        <v>65</v>
      </c>
      <c r="AV810" s="6" t="str">
        <f t="shared" si="14"/>
        <v>Catalog Record</v>
      </c>
      <c r="AW810" s="6" t="str">
        <f t="shared" si="15"/>
        <v>WorldCat Record</v>
      </c>
      <c r="AX810" s="3" t="s">
        <v>8218</v>
      </c>
      <c r="AY810" s="3" t="s">
        <v>8219</v>
      </c>
      <c r="AZ810" s="3" t="s">
        <v>8220</v>
      </c>
      <c r="BA810" s="3" t="s">
        <v>8220</v>
      </c>
      <c r="BB810" s="3" t="s">
        <v>8279</v>
      </c>
      <c r="BC810" s="3" t="s">
        <v>8222</v>
      </c>
      <c r="BD810" s="3" t="s">
        <v>78</v>
      </c>
      <c r="BF810" s="3" t="s">
        <v>8279</v>
      </c>
      <c r="BG810" s="3" t="s">
        <v>8280</v>
      </c>
    </row>
    <row r="811" spans="1:59" ht="58" x14ac:dyDescent="0.35">
      <c r="A811" s="2" t="s">
        <v>59</v>
      </c>
      <c r="B811" s="2" t="s">
        <v>60</v>
      </c>
      <c r="C811" s="2" t="s">
        <v>8212</v>
      </c>
      <c r="D811" s="2" t="s">
        <v>8213</v>
      </c>
      <c r="E811" s="2" t="s">
        <v>8214</v>
      </c>
      <c r="F811" s="3" t="s">
        <v>8281</v>
      </c>
      <c r="G811" s="3" t="s">
        <v>209</v>
      </c>
      <c r="I811" s="3" t="s">
        <v>65</v>
      </c>
      <c r="J811" s="3" t="s">
        <v>65</v>
      </c>
      <c r="K811" s="3" t="s">
        <v>66</v>
      </c>
      <c r="L811" s="2" t="s">
        <v>904</v>
      </c>
      <c r="M811" s="2" t="s">
        <v>8216</v>
      </c>
      <c r="N811" s="3" t="s">
        <v>525</v>
      </c>
      <c r="P811" s="3" t="s">
        <v>140</v>
      </c>
      <c r="R811" s="3" t="s">
        <v>71</v>
      </c>
      <c r="S811" s="4">
        <v>0</v>
      </c>
      <c r="T811" s="4">
        <v>15</v>
      </c>
      <c r="V811" s="5" t="s">
        <v>8217</v>
      </c>
      <c r="W811" s="5" t="s">
        <v>72</v>
      </c>
      <c r="X811" s="5" t="s">
        <v>72</v>
      </c>
      <c r="Y811" s="4">
        <v>4</v>
      </c>
      <c r="Z811" s="4">
        <v>1</v>
      </c>
      <c r="AA811" s="4">
        <v>1</v>
      </c>
      <c r="AB811" s="4">
        <v>1</v>
      </c>
      <c r="AC811" s="4">
        <v>1</v>
      </c>
      <c r="AD811" s="4">
        <v>1</v>
      </c>
      <c r="AE811" s="4">
        <v>1</v>
      </c>
      <c r="AF811" s="4">
        <v>0</v>
      </c>
      <c r="AG811" s="4">
        <v>0</v>
      </c>
      <c r="AH811" s="4">
        <v>1</v>
      </c>
      <c r="AI811" s="4">
        <v>1</v>
      </c>
      <c r="AJ811" s="4">
        <v>0</v>
      </c>
      <c r="AK811" s="4">
        <v>0</v>
      </c>
      <c r="AL811" s="4">
        <v>1</v>
      </c>
      <c r="AM811" s="4">
        <v>1</v>
      </c>
      <c r="AN811" s="4">
        <v>0</v>
      </c>
      <c r="AO811" s="4">
        <v>0</v>
      </c>
      <c r="AP811" s="4">
        <v>0</v>
      </c>
      <c r="AQ811" s="4">
        <v>0</v>
      </c>
      <c r="AR811" s="3" t="s">
        <v>65</v>
      </c>
      <c r="AS811" s="3" t="s">
        <v>65</v>
      </c>
      <c r="AT811" s="3" t="s">
        <v>65</v>
      </c>
      <c r="AV811" s="6" t="str">
        <f t="shared" si="14"/>
        <v>Catalog Record</v>
      </c>
      <c r="AW811" s="6" t="str">
        <f t="shared" si="15"/>
        <v>WorldCat Record</v>
      </c>
      <c r="AX811" s="3" t="s">
        <v>8218</v>
      </c>
      <c r="AY811" s="3" t="s">
        <v>8219</v>
      </c>
      <c r="AZ811" s="3" t="s">
        <v>8220</v>
      </c>
      <c r="BA811" s="3" t="s">
        <v>8220</v>
      </c>
      <c r="BB811" s="3" t="s">
        <v>8282</v>
      </c>
      <c r="BC811" s="3" t="s">
        <v>8222</v>
      </c>
      <c r="BD811" s="3" t="s">
        <v>78</v>
      </c>
      <c r="BF811" s="3" t="s">
        <v>8282</v>
      </c>
      <c r="BG811" s="3" t="s">
        <v>8283</v>
      </c>
    </row>
    <row r="812" spans="1:59" ht="58" x14ac:dyDescent="0.35">
      <c r="A812" s="2" t="s">
        <v>59</v>
      </c>
      <c r="B812" s="2" t="s">
        <v>60</v>
      </c>
      <c r="C812" s="2" t="s">
        <v>8212</v>
      </c>
      <c r="D812" s="2" t="s">
        <v>8213</v>
      </c>
      <c r="E812" s="2" t="s">
        <v>8214</v>
      </c>
      <c r="F812" s="3" t="s">
        <v>8284</v>
      </c>
      <c r="G812" s="3" t="s">
        <v>209</v>
      </c>
      <c r="I812" s="3" t="s">
        <v>65</v>
      </c>
      <c r="J812" s="3" t="s">
        <v>65</v>
      </c>
      <c r="K812" s="3" t="s">
        <v>66</v>
      </c>
      <c r="L812" s="2" t="s">
        <v>904</v>
      </c>
      <c r="M812" s="2" t="s">
        <v>8216</v>
      </c>
      <c r="N812" s="3" t="s">
        <v>525</v>
      </c>
      <c r="P812" s="3" t="s">
        <v>140</v>
      </c>
      <c r="R812" s="3" t="s">
        <v>71</v>
      </c>
      <c r="S812" s="4">
        <v>0</v>
      </c>
      <c r="T812" s="4">
        <v>15</v>
      </c>
      <c r="V812" s="5" t="s">
        <v>8217</v>
      </c>
      <c r="W812" s="5" t="s">
        <v>72</v>
      </c>
      <c r="X812" s="5" t="s">
        <v>72</v>
      </c>
      <c r="Y812" s="4">
        <v>4</v>
      </c>
      <c r="Z812" s="4">
        <v>1</v>
      </c>
      <c r="AA812" s="4">
        <v>1</v>
      </c>
      <c r="AB812" s="4">
        <v>1</v>
      </c>
      <c r="AC812" s="4">
        <v>1</v>
      </c>
      <c r="AD812" s="4">
        <v>1</v>
      </c>
      <c r="AE812" s="4">
        <v>1</v>
      </c>
      <c r="AF812" s="4">
        <v>0</v>
      </c>
      <c r="AG812" s="4">
        <v>0</v>
      </c>
      <c r="AH812" s="4">
        <v>1</v>
      </c>
      <c r="AI812" s="4">
        <v>1</v>
      </c>
      <c r="AJ812" s="4">
        <v>0</v>
      </c>
      <c r="AK812" s="4">
        <v>0</v>
      </c>
      <c r="AL812" s="4">
        <v>1</v>
      </c>
      <c r="AM812" s="4">
        <v>1</v>
      </c>
      <c r="AN812" s="4">
        <v>0</v>
      </c>
      <c r="AO812" s="4">
        <v>0</v>
      </c>
      <c r="AP812" s="4">
        <v>0</v>
      </c>
      <c r="AQ812" s="4">
        <v>0</v>
      </c>
      <c r="AR812" s="3" t="s">
        <v>65</v>
      </c>
      <c r="AS812" s="3" t="s">
        <v>65</v>
      </c>
      <c r="AT812" s="3" t="s">
        <v>65</v>
      </c>
      <c r="AV812" s="6" t="str">
        <f t="shared" si="14"/>
        <v>Catalog Record</v>
      </c>
      <c r="AW812" s="6" t="str">
        <f t="shared" si="15"/>
        <v>WorldCat Record</v>
      </c>
      <c r="AX812" s="3" t="s">
        <v>8218</v>
      </c>
      <c r="AY812" s="3" t="s">
        <v>8219</v>
      </c>
      <c r="AZ812" s="3" t="s">
        <v>8220</v>
      </c>
      <c r="BA812" s="3" t="s">
        <v>8220</v>
      </c>
      <c r="BB812" s="3" t="s">
        <v>8285</v>
      </c>
      <c r="BC812" s="3" t="s">
        <v>8222</v>
      </c>
      <c r="BD812" s="3" t="s">
        <v>78</v>
      </c>
      <c r="BF812" s="3" t="s">
        <v>8285</v>
      </c>
      <c r="BG812" s="3" t="s">
        <v>8286</v>
      </c>
    </row>
    <row r="813" spans="1:59" ht="58" x14ac:dyDescent="0.35">
      <c r="A813" s="2" t="s">
        <v>59</v>
      </c>
      <c r="B813" s="2" t="s">
        <v>60</v>
      </c>
      <c r="C813" s="2" t="s">
        <v>8212</v>
      </c>
      <c r="D813" s="2" t="s">
        <v>8213</v>
      </c>
      <c r="E813" s="2" t="s">
        <v>8214</v>
      </c>
      <c r="F813" s="3" t="s">
        <v>8287</v>
      </c>
      <c r="G813" s="3" t="s">
        <v>209</v>
      </c>
      <c r="I813" s="3" t="s">
        <v>65</v>
      </c>
      <c r="J813" s="3" t="s">
        <v>65</v>
      </c>
      <c r="K813" s="3" t="s">
        <v>66</v>
      </c>
      <c r="L813" s="2" t="s">
        <v>904</v>
      </c>
      <c r="M813" s="2" t="s">
        <v>8216</v>
      </c>
      <c r="N813" s="3" t="s">
        <v>525</v>
      </c>
      <c r="P813" s="3" t="s">
        <v>140</v>
      </c>
      <c r="R813" s="3" t="s">
        <v>71</v>
      </c>
      <c r="S813" s="4">
        <v>0</v>
      </c>
      <c r="T813" s="4">
        <v>15</v>
      </c>
      <c r="V813" s="5" t="s">
        <v>8217</v>
      </c>
      <c r="W813" s="5" t="s">
        <v>72</v>
      </c>
      <c r="X813" s="5" t="s">
        <v>72</v>
      </c>
      <c r="Y813" s="4">
        <v>4</v>
      </c>
      <c r="Z813" s="4">
        <v>1</v>
      </c>
      <c r="AA813" s="4">
        <v>1</v>
      </c>
      <c r="AB813" s="4">
        <v>1</v>
      </c>
      <c r="AC813" s="4">
        <v>1</v>
      </c>
      <c r="AD813" s="4">
        <v>1</v>
      </c>
      <c r="AE813" s="4">
        <v>1</v>
      </c>
      <c r="AF813" s="4">
        <v>0</v>
      </c>
      <c r="AG813" s="4">
        <v>0</v>
      </c>
      <c r="AH813" s="4">
        <v>1</v>
      </c>
      <c r="AI813" s="4">
        <v>1</v>
      </c>
      <c r="AJ813" s="4">
        <v>0</v>
      </c>
      <c r="AK813" s="4">
        <v>0</v>
      </c>
      <c r="AL813" s="4">
        <v>1</v>
      </c>
      <c r="AM813" s="4">
        <v>1</v>
      </c>
      <c r="AN813" s="4">
        <v>0</v>
      </c>
      <c r="AO813" s="4">
        <v>0</v>
      </c>
      <c r="AP813" s="4">
        <v>0</v>
      </c>
      <c r="AQ813" s="4">
        <v>0</v>
      </c>
      <c r="AR813" s="3" t="s">
        <v>65</v>
      </c>
      <c r="AS813" s="3" t="s">
        <v>65</v>
      </c>
      <c r="AT813" s="3" t="s">
        <v>65</v>
      </c>
      <c r="AV813" s="6" t="str">
        <f t="shared" si="14"/>
        <v>Catalog Record</v>
      </c>
      <c r="AW813" s="6" t="str">
        <f t="shared" si="15"/>
        <v>WorldCat Record</v>
      </c>
      <c r="AX813" s="3" t="s">
        <v>8218</v>
      </c>
      <c r="AY813" s="3" t="s">
        <v>8219</v>
      </c>
      <c r="AZ813" s="3" t="s">
        <v>8220</v>
      </c>
      <c r="BA813" s="3" t="s">
        <v>8220</v>
      </c>
      <c r="BB813" s="3" t="s">
        <v>8288</v>
      </c>
      <c r="BC813" s="3" t="s">
        <v>8222</v>
      </c>
      <c r="BD813" s="3" t="s">
        <v>78</v>
      </c>
      <c r="BF813" s="3" t="s">
        <v>8288</v>
      </c>
      <c r="BG813" s="3" t="s">
        <v>8289</v>
      </c>
    </row>
    <row r="814" spans="1:59" ht="58" x14ac:dyDescent="0.35">
      <c r="A814" s="2" t="s">
        <v>59</v>
      </c>
      <c r="B814" s="2" t="s">
        <v>60</v>
      </c>
      <c r="C814" s="2" t="s">
        <v>8212</v>
      </c>
      <c r="D814" s="2" t="s">
        <v>8213</v>
      </c>
      <c r="E814" s="2" t="s">
        <v>8214</v>
      </c>
      <c r="F814" s="3" t="s">
        <v>8290</v>
      </c>
      <c r="G814" s="3" t="s">
        <v>209</v>
      </c>
      <c r="I814" s="3" t="s">
        <v>65</v>
      </c>
      <c r="J814" s="3" t="s">
        <v>65</v>
      </c>
      <c r="K814" s="3" t="s">
        <v>66</v>
      </c>
      <c r="L814" s="2" t="s">
        <v>904</v>
      </c>
      <c r="M814" s="2" t="s">
        <v>8216</v>
      </c>
      <c r="N814" s="3" t="s">
        <v>525</v>
      </c>
      <c r="P814" s="3" t="s">
        <v>140</v>
      </c>
      <c r="R814" s="3" t="s">
        <v>71</v>
      </c>
      <c r="S814" s="4">
        <v>0</v>
      </c>
      <c r="T814" s="4">
        <v>15</v>
      </c>
      <c r="V814" s="5" t="s">
        <v>8217</v>
      </c>
      <c r="W814" s="5" t="s">
        <v>72</v>
      </c>
      <c r="X814" s="5" t="s">
        <v>72</v>
      </c>
      <c r="Y814" s="4">
        <v>4</v>
      </c>
      <c r="Z814" s="4">
        <v>1</v>
      </c>
      <c r="AA814" s="4">
        <v>1</v>
      </c>
      <c r="AB814" s="4">
        <v>1</v>
      </c>
      <c r="AC814" s="4">
        <v>1</v>
      </c>
      <c r="AD814" s="4">
        <v>1</v>
      </c>
      <c r="AE814" s="4">
        <v>1</v>
      </c>
      <c r="AF814" s="4">
        <v>0</v>
      </c>
      <c r="AG814" s="4">
        <v>0</v>
      </c>
      <c r="AH814" s="4">
        <v>1</v>
      </c>
      <c r="AI814" s="4">
        <v>1</v>
      </c>
      <c r="AJ814" s="4">
        <v>0</v>
      </c>
      <c r="AK814" s="4">
        <v>0</v>
      </c>
      <c r="AL814" s="4">
        <v>1</v>
      </c>
      <c r="AM814" s="4">
        <v>1</v>
      </c>
      <c r="AN814" s="4">
        <v>0</v>
      </c>
      <c r="AO814" s="4">
        <v>0</v>
      </c>
      <c r="AP814" s="4">
        <v>0</v>
      </c>
      <c r="AQ814" s="4">
        <v>0</v>
      </c>
      <c r="AR814" s="3" t="s">
        <v>65</v>
      </c>
      <c r="AS814" s="3" t="s">
        <v>65</v>
      </c>
      <c r="AT814" s="3" t="s">
        <v>65</v>
      </c>
      <c r="AV814" s="6" t="str">
        <f t="shared" si="14"/>
        <v>Catalog Record</v>
      </c>
      <c r="AW814" s="6" t="str">
        <f t="shared" si="15"/>
        <v>WorldCat Record</v>
      </c>
      <c r="AX814" s="3" t="s">
        <v>8218</v>
      </c>
      <c r="AY814" s="3" t="s">
        <v>8219</v>
      </c>
      <c r="AZ814" s="3" t="s">
        <v>8220</v>
      </c>
      <c r="BA814" s="3" t="s">
        <v>8220</v>
      </c>
      <c r="BB814" s="3" t="s">
        <v>8291</v>
      </c>
      <c r="BC814" s="3" t="s">
        <v>8222</v>
      </c>
      <c r="BD814" s="3" t="s">
        <v>78</v>
      </c>
      <c r="BF814" s="3" t="s">
        <v>8291</v>
      </c>
      <c r="BG814" s="3" t="s">
        <v>8292</v>
      </c>
    </row>
    <row r="815" spans="1:59" ht="58" x14ac:dyDescent="0.35">
      <c r="A815" s="2" t="s">
        <v>59</v>
      </c>
      <c r="B815" s="2" t="s">
        <v>60</v>
      </c>
      <c r="C815" s="2" t="s">
        <v>8212</v>
      </c>
      <c r="D815" s="2" t="s">
        <v>8213</v>
      </c>
      <c r="E815" s="2" t="s">
        <v>8214</v>
      </c>
      <c r="F815" s="3" t="s">
        <v>8293</v>
      </c>
      <c r="G815" s="3" t="s">
        <v>209</v>
      </c>
      <c r="I815" s="3" t="s">
        <v>65</v>
      </c>
      <c r="J815" s="3" t="s">
        <v>65</v>
      </c>
      <c r="K815" s="3" t="s">
        <v>66</v>
      </c>
      <c r="L815" s="2" t="s">
        <v>904</v>
      </c>
      <c r="M815" s="2" t="s">
        <v>8216</v>
      </c>
      <c r="N815" s="3" t="s">
        <v>525</v>
      </c>
      <c r="P815" s="3" t="s">
        <v>140</v>
      </c>
      <c r="R815" s="3" t="s">
        <v>71</v>
      </c>
      <c r="S815" s="4">
        <v>0</v>
      </c>
      <c r="T815" s="4">
        <v>15</v>
      </c>
      <c r="V815" s="5" t="s">
        <v>8217</v>
      </c>
      <c r="W815" s="5" t="s">
        <v>72</v>
      </c>
      <c r="X815" s="5" t="s">
        <v>72</v>
      </c>
      <c r="Y815" s="4">
        <v>4</v>
      </c>
      <c r="Z815" s="4">
        <v>1</v>
      </c>
      <c r="AA815" s="4">
        <v>1</v>
      </c>
      <c r="AB815" s="4">
        <v>1</v>
      </c>
      <c r="AC815" s="4">
        <v>1</v>
      </c>
      <c r="AD815" s="4">
        <v>1</v>
      </c>
      <c r="AE815" s="4">
        <v>1</v>
      </c>
      <c r="AF815" s="4">
        <v>0</v>
      </c>
      <c r="AG815" s="4">
        <v>0</v>
      </c>
      <c r="AH815" s="4">
        <v>1</v>
      </c>
      <c r="AI815" s="4">
        <v>1</v>
      </c>
      <c r="AJ815" s="4">
        <v>0</v>
      </c>
      <c r="AK815" s="4">
        <v>0</v>
      </c>
      <c r="AL815" s="4">
        <v>1</v>
      </c>
      <c r="AM815" s="4">
        <v>1</v>
      </c>
      <c r="AN815" s="4">
        <v>0</v>
      </c>
      <c r="AO815" s="4">
        <v>0</v>
      </c>
      <c r="AP815" s="4">
        <v>0</v>
      </c>
      <c r="AQ815" s="4">
        <v>0</v>
      </c>
      <c r="AR815" s="3" t="s">
        <v>65</v>
      </c>
      <c r="AS815" s="3" t="s">
        <v>65</v>
      </c>
      <c r="AT815" s="3" t="s">
        <v>65</v>
      </c>
      <c r="AV815" s="6" t="str">
        <f t="shared" si="14"/>
        <v>Catalog Record</v>
      </c>
      <c r="AW815" s="6" t="str">
        <f t="shared" si="15"/>
        <v>WorldCat Record</v>
      </c>
      <c r="AX815" s="3" t="s">
        <v>8218</v>
      </c>
      <c r="AY815" s="3" t="s">
        <v>8219</v>
      </c>
      <c r="AZ815" s="3" t="s">
        <v>8220</v>
      </c>
      <c r="BA815" s="3" t="s">
        <v>8220</v>
      </c>
      <c r="BB815" s="3" t="s">
        <v>8294</v>
      </c>
      <c r="BC815" s="3" t="s">
        <v>8222</v>
      </c>
      <c r="BD815" s="3" t="s">
        <v>78</v>
      </c>
      <c r="BF815" s="3" t="s">
        <v>8294</v>
      </c>
      <c r="BG815" s="3" t="s">
        <v>8295</v>
      </c>
    </row>
    <row r="816" spans="1:59" ht="58" x14ac:dyDescent="0.35">
      <c r="A816" s="2" t="s">
        <v>59</v>
      </c>
      <c r="B816" s="2" t="s">
        <v>60</v>
      </c>
      <c r="C816" s="2" t="s">
        <v>8212</v>
      </c>
      <c r="D816" s="2" t="s">
        <v>8213</v>
      </c>
      <c r="E816" s="2" t="s">
        <v>8214</v>
      </c>
      <c r="F816" s="3" t="s">
        <v>8296</v>
      </c>
      <c r="G816" s="3" t="s">
        <v>209</v>
      </c>
      <c r="I816" s="3" t="s">
        <v>65</v>
      </c>
      <c r="J816" s="3" t="s">
        <v>65</v>
      </c>
      <c r="K816" s="3" t="s">
        <v>66</v>
      </c>
      <c r="L816" s="2" t="s">
        <v>904</v>
      </c>
      <c r="M816" s="2" t="s">
        <v>8216</v>
      </c>
      <c r="N816" s="3" t="s">
        <v>525</v>
      </c>
      <c r="P816" s="3" t="s">
        <v>140</v>
      </c>
      <c r="R816" s="3" t="s">
        <v>71</v>
      </c>
      <c r="S816" s="4">
        <v>0</v>
      </c>
      <c r="T816" s="4">
        <v>15</v>
      </c>
      <c r="V816" s="5" t="s">
        <v>8217</v>
      </c>
      <c r="W816" s="5" t="s">
        <v>72</v>
      </c>
      <c r="X816" s="5" t="s">
        <v>72</v>
      </c>
      <c r="Y816" s="4">
        <v>4</v>
      </c>
      <c r="Z816" s="4">
        <v>1</v>
      </c>
      <c r="AA816" s="4">
        <v>1</v>
      </c>
      <c r="AB816" s="4">
        <v>1</v>
      </c>
      <c r="AC816" s="4">
        <v>1</v>
      </c>
      <c r="AD816" s="4">
        <v>1</v>
      </c>
      <c r="AE816" s="4">
        <v>1</v>
      </c>
      <c r="AF816" s="4">
        <v>0</v>
      </c>
      <c r="AG816" s="4">
        <v>0</v>
      </c>
      <c r="AH816" s="4">
        <v>1</v>
      </c>
      <c r="AI816" s="4">
        <v>1</v>
      </c>
      <c r="AJ816" s="4">
        <v>0</v>
      </c>
      <c r="AK816" s="4">
        <v>0</v>
      </c>
      <c r="AL816" s="4">
        <v>1</v>
      </c>
      <c r="AM816" s="4">
        <v>1</v>
      </c>
      <c r="AN816" s="4">
        <v>0</v>
      </c>
      <c r="AO816" s="4">
        <v>0</v>
      </c>
      <c r="AP816" s="4">
        <v>0</v>
      </c>
      <c r="AQ816" s="4">
        <v>0</v>
      </c>
      <c r="AR816" s="3" t="s">
        <v>65</v>
      </c>
      <c r="AS816" s="3" t="s">
        <v>65</v>
      </c>
      <c r="AT816" s="3" t="s">
        <v>65</v>
      </c>
      <c r="AV816" s="6" t="str">
        <f t="shared" si="14"/>
        <v>Catalog Record</v>
      </c>
      <c r="AW816" s="6" t="str">
        <f t="shared" si="15"/>
        <v>WorldCat Record</v>
      </c>
      <c r="AX816" s="3" t="s">
        <v>8218</v>
      </c>
      <c r="AY816" s="3" t="s">
        <v>8219</v>
      </c>
      <c r="AZ816" s="3" t="s">
        <v>8220</v>
      </c>
      <c r="BA816" s="3" t="s">
        <v>8220</v>
      </c>
      <c r="BB816" s="3" t="s">
        <v>8297</v>
      </c>
      <c r="BC816" s="3" t="s">
        <v>8222</v>
      </c>
      <c r="BD816" s="3" t="s">
        <v>78</v>
      </c>
      <c r="BF816" s="3" t="s">
        <v>8297</v>
      </c>
      <c r="BG816" s="3" t="s">
        <v>8298</v>
      </c>
    </row>
    <row r="817" spans="1:59" ht="58" x14ac:dyDescent="0.35">
      <c r="A817" s="2" t="s">
        <v>59</v>
      </c>
      <c r="B817" s="2" t="s">
        <v>60</v>
      </c>
      <c r="C817" s="2" t="s">
        <v>8212</v>
      </c>
      <c r="D817" s="2" t="s">
        <v>8213</v>
      </c>
      <c r="E817" s="2" t="s">
        <v>8214</v>
      </c>
      <c r="F817" s="3" t="s">
        <v>8299</v>
      </c>
      <c r="G817" s="3" t="s">
        <v>209</v>
      </c>
      <c r="I817" s="3" t="s">
        <v>65</v>
      </c>
      <c r="J817" s="3" t="s">
        <v>65</v>
      </c>
      <c r="K817" s="3" t="s">
        <v>66</v>
      </c>
      <c r="L817" s="2" t="s">
        <v>904</v>
      </c>
      <c r="M817" s="2" t="s">
        <v>8216</v>
      </c>
      <c r="N817" s="3" t="s">
        <v>525</v>
      </c>
      <c r="P817" s="3" t="s">
        <v>140</v>
      </c>
      <c r="R817" s="3" t="s">
        <v>71</v>
      </c>
      <c r="S817" s="4">
        <v>0</v>
      </c>
      <c r="T817" s="4">
        <v>15</v>
      </c>
      <c r="V817" s="5" t="s">
        <v>8217</v>
      </c>
      <c r="W817" s="5" t="s">
        <v>72</v>
      </c>
      <c r="X817" s="5" t="s">
        <v>72</v>
      </c>
      <c r="Y817" s="4">
        <v>4</v>
      </c>
      <c r="Z817" s="4">
        <v>1</v>
      </c>
      <c r="AA817" s="4">
        <v>1</v>
      </c>
      <c r="AB817" s="4">
        <v>1</v>
      </c>
      <c r="AC817" s="4">
        <v>1</v>
      </c>
      <c r="AD817" s="4">
        <v>1</v>
      </c>
      <c r="AE817" s="4">
        <v>1</v>
      </c>
      <c r="AF817" s="4">
        <v>0</v>
      </c>
      <c r="AG817" s="4">
        <v>0</v>
      </c>
      <c r="AH817" s="4">
        <v>1</v>
      </c>
      <c r="AI817" s="4">
        <v>1</v>
      </c>
      <c r="AJ817" s="4">
        <v>0</v>
      </c>
      <c r="AK817" s="4">
        <v>0</v>
      </c>
      <c r="AL817" s="4">
        <v>1</v>
      </c>
      <c r="AM817" s="4">
        <v>1</v>
      </c>
      <c r="AN817" s="4">
        <v>0</v>
      </c>
      <c r="AO817" s="4">
        <v>0</v>
      </c>
      <c r="AP817" s="4">
        <v>0</v>
      </c>
      <c r="AQ817" s="4">
        <v>0</v>
      </c>
      <c r="AR817" s="3" t="s">
        <v>65</v>
      </c>
      <c r="AS817" s="3" t="s">
        <v>65</v>
      </c>
      <c r="AT817" s="3" t="s">
        <v>65</v>
      </c>
      <c r="AV817" s="6" t="str">
        <f t="shared" si="14"/>
        <v>Catalog Record</v>
      </c>
      <c r="AW817" s="6" t="str">
        <f t="shared" si="15"/>
        <v>WorldCat Record</v>
      </c>
      <c r="AX817" s="3" t="s">
        <v>8218</v>
      </c>
      <c r="AY817" s="3" t="s">
        <v>8219</v>
      </c>
      <c r="AZ817" s="3" t="s">
        <v>8220</v>
      </c>
      <c r="BA817" s="3" t="s">
        <v>8220</v>
      </c>
      <c r="BB817" s="3" t="s">
        <v>8300</v>
      </c>
      <c r="BC817" s="3" t="s">
        <v>8222</v>
      </c>
      <c r="BD817" s="3" t="s">
        <v>78</v>
      </c>
      <c r="BF817" s="3" t="s">
        <v>8300</v>
      </c>
      <c r="BG817" s="3" t="s">
        <v>8301</v>
      </c>
    </row>
    <row r="818" spans="1:59" ht="58" x14ac:dyDescent="0.35">
      <c r="A818" s="2" t="s">
        <v>59</v>
      </c>
      <c r="B818" s="2" t="s">
        <v>60</v>
      </c>
      <c r="C818" s="2" t="s">
        <v>8212</v>
      </c>
      <c r="D818" s="2" t="s">
        <v>8213</v>
      </c>
      <c r="E818" s="2" t="s">
        <v>8214</v>
      </c>
      <c r="F818" s="3" t="s">
        <v>8302</v>
      </c>
      <c r="G818" s="3" t="s">
        <v>209</v>
      </c>
      <c r="I818" s="3" t="s">
        <v>65</v>
      </c>
      <c r="J818" s="3" t="s">
        <v>65</v>
      </c>
      <c r="K818" s="3" t="s">
        <v>66</v>
      </c>
      <c r="L818" s="2" t="s">
        <v>904</v>
      </c>
      <c r="M818" s="2" t="s">
        <v>8216</v>
      </c>
      <c r="N818" s="3" t="s">
        <v>525</v>
      </c>
      <c r="P818" s="3" t="s">
        <v>140</v>
      </c>
      <c r="R818" s="3" t="s">
        <v>71</v>
      </c>
      <c r="S818" s="4">
        <v>0</v>
      </c>
      <c r="T818" s="4">
        <v>15</v>
      </c>
      <c r="V818" s="5" t="s">
        <v>8217</v>
      </c>
      <c r="W818" s="5" t="s">
        <v>72</v>
      </c>
      <c r="X818" s="5" t="s">
        <v>72</v>
      </c>
      <c r="Y818" s="4">
        <v>4</v>
      </c>
      <c r="Z818" s="4">
        <v>1</v>
      </c>
      <c r="AA818" s="4">
        <v>1</v>
      </c>
      <c r="AB818" s="4">
        <v>1</v>
      </c>
      <c r="AC818" s="4">
        <v>1</v>
      </c>
      <c r="AD818" s="4">
        <v>1</v>
      </c>
      <c r="AE818" s="4">
        <v>1</v>
      </c>
      <c r="AF818" s="4">
        <v>0</v>
      </c>
      <c r="AG818" s="4">
        <v>0</v>
      </c>
      <c r="AH818" s="4">
        <v>1</v>
      </c>
      <c r="AI818" s="4">
        <v>1</v>
      </c>
      <c r="AJ818" s="4">
        <v>0</v>
      </c>
      <c r="AK818" s="4">
        <v>0</v>
      </c>
      <c r="AL818" s="4">
        <v>1</v>
      </c>
      <c r="AM818" s="4">
        <v>1</v>
      </c>
      <c r="AN818" s="4">
        <v>0</v>
      </c>
      <c r="AO818" s="4">
        <v>0</v>
      </c>
      <c r="AP818" s="4">
        <v>0</v>
      </c>
      <c r="AQ818" s="4">
        <v>0</v>
      </c>
      <c r="AR818" s="3" t="s">
        <v>65</v>
      </c>
      <c r="AS818" s="3" t="s">
        <v>65</v>
      </c>
      <c r="AT818" s="3" t="s">
        <v>65</v>
      </c>
      <c r="AV818" s="6" t="str">
        <f t="shared" si="14"/>
        <v>Catalog Record</v>
      </c>
      <c r="AW818" s="6" t="str">
        <f t="shared" si="15"/>
        <v>WorldCat Record</v>
      </c>
      <c r="AX818" s="3" t="s">
        <v>8218</v>
      </c>
      <c r="AY818" s="3" t="s">
        <v>8219</v>
      </c>
      <c r="AZ818" s="3" t="s">
        <v>8220</v>
      </c>
      <c r="BA818" s="3" t="s">
        <v>8220</v>
      </c>
      <c r="BB818" s="3" t="s">
        <v>8303</v>
      </c>
      <c r="BC818" s="3" t="s">
        <v>8222</v>
      </c>
      <c r="BD818" s="3" t="s">
        <v>78</v>
      </c>
      <c r="BF818" s="3" t="s">
        <v>8303</v>
      </c>
      <c r="BG818" s="3" t="s">
        <v>8304</v>
      </c>
    </row>
    <row r="819" spans="1:59" ht="58" x14ac:dyDescent="0.35">
      <c r="A819" s="2" t="s">
        <v>59</v>
      </c>
      <c r="B819" s="2" t="s">
        <v>60</v>
      </c>
      <c r="C819" s="2" t="s">
        <v>8212</v>
      </c>
      <c r="D819" s="2" t="s">
        <v>8213</v>
      </c>
      <c r="E819" s="2" t="s">
        <v>8214</v>
      </c>
      <c r="F819" s="3" t="s">
        <v>8305</v>
      </c>
      <c r="G819" s="3" t="s">
        <v>209</v>
      </c>
      <c r="I819" s="3" t="s">
        <v>65</v>
      </c>
      <c r="J819" s="3" t="s">
        <v>65</v>
      </c>
      <c r="K819" s="3" t="s">
        <v>66</v>
      </c>
      <c r="L819" s="2" t="s">
        <v>904</v>
      </c>
      <c r="M819" s="2" t="s">
        <v>8216</v>
      </c>
      <c r="N819" s="3" t="s">
        <v>525</v>
      </c>
      <c r="P819" s="3" t="s">
        <v>140</v>
      </c>
      <c r="R819" s="3" t="s">
        <v>71</v>
      </c>
      <c r="S819" s="4">
        <v>0</v>
      </c>
      <c r="T819" s="4">
        <v>15</v>
      </c>
      <c r="V819" s="5" t="s">
        <v>8217</v>
      </c>
      <c r="W819" s="5" t="s">
        <v>72</v>
      </c>
      <c r="X819" s="5" t="s">
        <v>72</v>
      </c>
      <c r="Y819" s="4">
        <v>4</v>
      </c>
      <c r="Z819" s="4">
        <v>1</v>
      </c>
      <c r="AA819" s="4">
        <v>1</v>
      </c>
      <c r="AB819" s="4">
        <v>1</v>
      </c>
      <c r="AC819" s="4">
        <v>1</v>
      </c>
      <c r="AD819" s="4">
        <v>1</v>
      </c>
      <c r="AE819" s="4">
        <v>1</v>
      </c>
      <c r="AF819" s="4">
        <v>0</v>
      </c>
      <c r="AG819" s="4">
        <v>0</v>
      </c>
      <c r="AH819" s="4">
        <v>1</v>
      </c>
      <c r="AI819" s="4">
        <v>1</v>
      </c>
      <c r="AJ819" s="4">
        <v>0</v>
      </c>
      <c r="AK819" s="4">
        <v>0</v>
      </c>
      <c r="AL819" s="4">
        <v>1</v>
      </c>
      <c r="AM819" s="4">
        <v>1</v>
      </c>
      <c r="AN819" s="4">
        <v>0</v>
      </c>
      <c r="AO819" s="4">
        <v>0</v>
      </c>
      <c r="AP819" s="4">
        <v>0</v>
      </c>
      <c r="AQ819" s="4">
        <v>0</v>
      </c>
      <c r="AR819" s="3" t="s">
        <v>65</v>
      </c>
      <c r="AS819" s="3" t="s">
        <v>65</v>
      </c>
      <c r="AT819" s="3" t="s">
        <v>65</v>
      </c>
      <c r="AV819" s="6" t="str">
        <f t="shared" si="14"/>
        <v>Catalog Record</v>
      </c>
      <c r="AW819" s="6" t="str">
        <f t="shared" si="15"/>
        <v>WorldCat Record</v>
      </c>
      <c r="AX819" s="3" t="s">
        <v>8218</v>
      </c>
      <c r="AY819" s="3" t="s">
        <v>8219</v>
      </c>
      <c r="AZ819" s="3" t="s">
        <v>8220</v>
      </c>
      <c r="BA819" s="3" t="s">
        <v>8220</v>
      </c>
      <c r="BB819" s="3" t="s">
        <v>8306</v>
      </c>
      <c r="BC819" s="3" t="s">
        <v>8222</v>
      </c>
      <c r="BD819" s="3" t="s">
        <v>78</v>
      </c>
      <c r="BF819" s="3" t="s">
        <v>8306</v>
      </c>
      <c r="BG819" s="3" t="s">
        <v>8307</v>
      </c>
    </row>
    <row r="820" spans="1:59" ht="58" x14ac:dyDescent="0.35">
      <c r="A820" s="2" t="s">
        <v>59</v>
      </c>
      <c r="B820" s="2" t="s">
        <v>60</v>
      </c>
      <c r="C820" s="2" t="s">
        <v>8212</v>
      </c>
      <c r="D820" s="2" t="s">
        <v>8213</v>
      </c>
      <c r="E820" s="2" t="s">
        <v>8214</v>
      </c>
      <c r="F820" s="3" t="s">
        <v>8308</v>
      </c>
      <c r="G820" s="3" t="s">
        <v>209</v>
      </c>
      <c r="I820" s="3" t="s">
        <v>65</v>
      </c>
      <c r="J820" s="3" t="s">
        <v>65</v>
      </c>
      <c r="K820" s="3" t="s">
        <v>66</v>
      </c>
      <c r="L820" s="2" t="s">
        <v>904</v>
      </c>
      <c r="M820" s="2" t="s">
        <v>8216</v>
      </c>
      <c r="N820" s="3" t="s">
        <v>525</v>
      </c>
      <c r="P820" s="3" t="s">
        <v>140</v>
      </c>
      <c r="R820" s="3" t="s">
        <v>71</v>
      </c>
      <c r="S820" s="4">
        <v>0</v>
      </c>
      <c r="T820" s="4">
        <v>15</v>
      </c>
      <c r="V820" s="5" t="s">
        <v>8217</v>
      </c>
      <c r="W820" s="5" t="s">
        <v>72</v>
      </c>
      <c r="X820" s="5" t="s">
        <v>72</v>
      </c>
      <c r="Y820" s="4">
        <v>4</v>
      </c>
      <c r="Z820" s="4">
        <v>1</v>
      </c>
      <c r="AA820" s="4">
        <v>1</v>
      </c>
      <c r="AB820" s="4">
        <v>1</v>
      </c>
      <c r="AC820" s="4">
        <v>1</v>
      </c>
      <c r="AD820" s="4">
        <v>1</v>
      </c>
      <c r="AE820" s="4">
        <v>1</v>
      </c>
      <c r="AF820" s="4">
        <v>0</v>
      </c>
      <c r="AG820" s="4">
        <v>0</v>
      </c>
      <c r="AH820" s="4">
        <v>1</v>
      </c>
      <c r="AI820" s="4">
        <v>1</v>
      </c>
      <c r="AJ820" s="4">
        <v>0</v>
      </c>
      <c r="AK820" s="4">
        <v>0</v>
      </c>
      <c r="AL820" s="4">
        <v>1</v>
      </c>
      <c r="AM820" s="4">
        <v>1</v>
      </c>
      <c r="AN820" s="4">
        <v>0</v>
      </c>
      <c r="AO820" s="4">
        <v>0</v>
      </c>
      <c r="AP820" s="4">
        <v>0</v>
      </c>
      <c r="AQ820" s="4">
        <v>0</v>
      </c>
      <c r="AR820" s="3" t="s">
        <v>65</v>
      </c>
      <c r="AS820" s="3" t="s">
        <v>65</v>
      </c>
      <c r="AT820" s="3" t="s">
        <v>65</v>
      </c>
      <c r="AV820" s="6" t="str">
        <f t="shared" si="14"/>
        <v>Catalog Record</v>
      </c>
      <c r="AW820" s="6" t="str">
        <f t="shared" si="15"/>
        <v>WorldCat Record</v>
      </c>
      <c r="AX820" s="3" t="s">
        <v>8218</v>
      </c>
      <c r="AY820" s="3" t="s">
        <v>8219</v>
      </c>
      <c r="AZ820" s="3" t="s">
        <v>8220</v>
      </c>
      <c r="BA820" s="3" t="s">
        <v>8220</v>
      </c>
      <c r="BB820" s="3" t="s">
        <v>8309</v>
      </c>
      <c r="BC820" s="3" t="s">
        <v>8222</v>
      </c>
      <c r="BD820" s="3" t="s">
        <v>78</v>
      </c>
      <c r="BF820" s="3" t="s">
        <v>8309</v>
      </c>
      <c r="BG820" s="3" t="s">
        <v>8310</v>
      </c>
    </row>
    <row r="821" spans="1:59" ht="58" x14ac:dyDescent="0.35">
      <c r="A821" s="2" t="s">
        <v>59</v>
      </c>
      <c r="B821" s="2" t="s">
        <v>60</v>
      </c>
      <c r="C821" s="2" t="s">
        <v>8212</v>
      </c>
      <c r="D821" s="2" t="s">
        <v>8213</v>
      </c>
      <c r="E821" s="2" t="s">
        <v>8214</v>
      </c>
      <c r="F821" s="3" t="s">
        <v>8311</v>
      </c>
      <c r="G821" s="3" t="s">
        <v>209</v>
      </c>
      <c r="I821" s="3" t="s">
        <v>65</v>
      </c>
      <c r="J821" s="3" t="s">
        <v>65</v>
      </c>
      <c r="K821" s="3" t="s">
        <v>66</v>
      </c>
      <c r="L821" s="2" t="s">
        <v>904</v>
      </c>
      <c r="M821" s="2" t="s">
        <v>8216</v>
      </c>
      <c r="N821" s="3" t="s">
        <v>525</v>
      </c>
      <c r="P821" s="3" t="s">
        <v>140</v>
      </c>
      <c r="R821" s="3" t="s">
        <v>71</v>
      </c>
      <c r="S821" s="4">
        <v>0</v>
      </c>
      <c r="T821" s="4">
        <v>15</v>
      </c>
      <c r="V821" s="5" t="s">
        <v>8217</v>
      </c>
      <c r="W821" s="5" t="s">
        <v>72</v>
      </c>
      <c r="X821" s="5" t="s">
        <v>72</v>
      </c>
      <c r="Y821" s="4">
        <v>4</v>
      </c>
      <c r="Z821" s="4">
        <v>1</v>
      </c>
      <c r="AA821" s="4">
        <v>1</v>
      </c>
      <c r="AB821" s="4">
        <v>1</v>
      </c>
      <c r="AC821" s="4">
        <v>1</v>
      </c>
      <c r="AD821" s="4">
        <v>1</v>
      </c>
      <c r="AE821" s="4">
        <v>1</v>
      </c>
      <c r="AF821" s="4">
        <v>0</v>
      </c>
      <c r="AG821" s="4">
        <v>0</v>
      </c>
      <c r="AH821" s="4">
        <v>1</v>
      </c>
      <c r="AI821" s="4">
        <v>1</v>
      </c>
      <c r="AJ821" s="4">
        <v>0</v>
      </c>
      <c r="AK821" s="4">
        <v>0</v>
      </c>
      <c r="AL821" s="4">
        <v>1</v>
      </c>
      <c r="AM821" s="4">
        <v>1</v>
      </c>
      <c r="AN821" s="4">
        <v>0</v>
      </c>
      <c r="AO821" s="4">
        <v>0</v>
      </c>
      <c r="AP821" s="4">
        <v>0</v>
      </c>
      <c r="AQ821" s="4">
        <v>0</v>
      </c>
      <c r="AR821" s="3" t="s">
        <v>65</v>
      </c>
      <c r="AS821" s="3" t="s">
        <v>65</v>
      </c>
      <c r="AT821" s="3" t="s">
        <v>65</v>
      </c>
      <c r="AV821" s="6" t="str">
        <f t="shared" si="14"/>
        <v>Catalog Record</v>
      </c>
      <c r="AW821" s="6" t="str">
        <f t="shared" si="15"/>
        <v>WorldCat Record</v>
      </c>
      <c r="AX821" s="3" t="s">
        <v>8218</v>
      </c>
      <c r="AY821" s="3" t="s">
        <v>8219</v>
      </c>
      <c r="AZ821" s="3" t="s">
        <v>8220</v>
      </c>
      <c r="BA821" s="3" t="s">
        <v>8220</v>
      </c>
      <c r="BB821" s="3" t="s">
        <v>8312</v>
      </c>
      <c r="BC821" s="3" t="s">
        <v>8222</v>
      </c>
      <c r="BD821" s="3" t="s">
        <v>78</v>
      </c>
      <c r="BF821" s="3" t="s">
        <v>8312</v>
      </c>
      <c r="BG821" s="3" t="s">
        <v>8313</v>
      </c>
    </row>
    <row r="822" spans="1:59" ht="58" x14ac:dyDescent="0.35">
      <c r="A822" s="2" t="s">
        <v>59</v>
      </c>
      <c r="B822" s="2" t="s">
        <v>60</v>
      </c>
      <c r="C822" s="2" t="s">
        <v>8212</v>
      </c>
      <c r="D822" s="2" t="s">
        <v>8213</v>
      </c>
      <c r="E822" s="2" t="s">
        <v>8214</v>
      </c>
      <c r="F822" s="3" t="s">
        <v>8314</v>
      </c>
      <c r="G822" s="3" t="s">
        <v>209</v>
      </c>
      <c r="I822" s="3" t="s">
        <v>65</v>
      </c>
      <c r="J822" s="3" t="s">
        <v>65</v>
      </c>
      <c r="K822" s="3" t="s">
        <v>66</v>
      </c>
      <c r="L822" s="2" t="s">
        <v>904</v>
      </c>
      <c r="M822" s="2" t="s">
        <v>8216</v>
      </c>
      <c r="N822" s="3" t="s">
        <v>525</v>
      </c>
      <c r="P822" s="3" t="s">
        <v>140</v>
      </c>
      <c r="R822" s="3" t="s">
        <v>71</v>
      </c>
      <c r="S822" s="4">
        <v>0</v>
      </c>
      <c r="T822" s="4">
        <v>15</v>
      </c>
      <c r="V822" s="5" t="s">
        <v>8217</v>
      </c>
      <c r="W822" s="5" t="s">
        <v>72</v>
      </c>
      <c r="X822" s="5" t="s">
        <v>72</v>
      </c>
      <c r="Y822" s="4">
        <v>4</v>
      </c>
      <c r="Z822" s="4">
        <v>1</v>
      </c>
      <c r="AA822" s="4">
        <v>1</v>
      </c>
      <c r="AB822" s="4">
        <v>1</v>
      </c>
      <c r="AC822" s="4">
        <v>1</v>
      </c>
      <c r="AD822" s="4">
        <v>1</v>
      </c>
      <c r="AE822" s="4">
        <v>1</v>
      </c>
      <c r="AF822" s="4">
        <v>0</v>
      </c>
      <c r="AG822" s="4">
        <v>0</v>
      </c>
      <c r="AH822" s="4">
        <v>1</v>
      </c>
      <c r="AI822" s="4">
        <v>1</v>
      </c>
      <c r="AJ822" s="4">
        <v>0</v>
      </c>
      <c r="AK822" s="4">
        <v>0</v>
      </c>
      <c r="AL822" s="4">
        <v>1</v>
      </c>
      <c r="AM822" s="4">
        <v>1</v>
      </c>
      <c r="AN822" s="4">
        <v>0</v>
      </c>
      <c r="AO822" s="4">
        <v>0</v>
      </c>
      <c r="AP822" s="4">
        <v>0</v>
      </c>
      <c r="AQ822" s="4">
        <v>0</v>
      </c>
      <c r="AR822" s="3" t="s">
        <v>65</v>
      </c>
      <c r="AS822" s="3" t="s">
        <v>65</v>
      </c>
      <c r="AT822" s="3" t="s">
        <v>65</v>
      </c>
      <c r="AV822" s="6" t="str">
        <f t="shared" si="14"/>
        <v>Catalog Record</v>
      </c>
      <c r="AW822" s="6" t="str">
        <f t="shared" si="15"/>
        <v>WorldCat Record</v>
      </c>
      <c r="AX822" s="3" t="s">
        <v>8218</v>
      </c>
      <c r="AY822" s="3" t="s">
        <v>8219</v>
      </c>
      <c r="AZ822" s="3" t="s">
        <v>8220</v>
      </c>
      <c r="BA822" s="3" t="s">
        <v>8220</v>
      </c>
      <c r="BB822" s="3" t="s">
        <v>8315</v>
      </c>
      <c r="BC822" s="3" t="s">
        <v>8222</v>
      </c>
      <c r="BD822" s="3" t="s">
        <v>78</v>
      </c>
      <c r="BF822" s="3" t="s">
        <v>8315</v>
      </c>
      <c r="BG822" s="3" t="s">
        <v>8316</v>
      </c>
    </row>
    <row r="823" spans="1:59" ht="58" x14ac:dyDescent="0.35">
      <c r="A823" s="2" t="s">
        <v>59</v>
      </c>
      <c r="B823" s="2" t="s">
        <v>60</v>
      </c>
      <c r="C823" s="2" t="s">
        <v>8212</v>
      </c>
      <c r="D823" s="2" t="s">
        <v>8213</v>
      </c>
      <c r="E823" s="2" t="s">
        <v>8214</v>
      </c>
      <c r="F823" s="3" t="s">
        <v>8317</v>
      </c>
      <c r="G823" s="3" t="s">
        <v>209</v>
      </c>
      <c r="I823" s="3" t="s">
        <v>65</v>
      </c>
      <c r="J823" s="3" t="s">
        <v>65</v>
      </c>
      <c r="K823" s="3" t="s">
        <v>66</v>
      </c>
      <c r="L823" s="2" t="s">
        <v>904</v>
      </c>
      <c r="M823" s="2" t="s">
        <v>8216</v>
      </c>
      <c r="N823" s="3" t="s">
        <v>525</v>
      </c>
      <c r="P823" s="3" t="s">
        <v>140</v>
      </c>
      <c r="R823" s="3" t="s">
        <v>71</v>
      </c>
      <c r="S823" s="4">
        <v>0</v>
      </c>
      <c r="T823" s="4">
        <v>15</v>
      </c>
      <c r="V823" s="5" t="s">
        <v>8217</v>
      </c>
      <c r="W823" s="5" t="s">
        <v>72</v>
      </c>
      <c r="X823" s="5" t="s">
        <v>72</v>
      </c>
      <c r="Y823" s="4">
        <v>4</v>
      </c>
      <c r="Z823" s="4">
        <v>1</v>
      </c>
      <c r="AA823" s="4">
        <v>1</v>
      </c>
      <c r="AB823" s="4">
        <v>1</v>
      </c>
      <c r="AC823" s="4">
        <v>1</v>
      </c>
      <c r="AD823" s="4">
        <v>1</v>
      </c>
      <c r="AE823" s="4">
        <v>1</v>
      </c>
      <c r="AF823" s="4">
        <v>0</v>
      </c>
      <c r="AG823" s="4">
        <v>0</v>
      </c>
      <c r="AH823" s="4">
        <v>1</v>
      </c>
      <c r="AI823" s="4">
        <v>1</v>
      </c>
      <c r="AJ823" s="4">
        <v>0</v>
      </c>
      <c r="AK823" s="4">
        <v>0</v>
      </c>
      <c r="AL823" s="4">
        <v>1</v>
      </c>
      <c r="AM823" s="4">
        <v>1</v>
      </c>
      <c r="AN823" s="4">
        <v>0</v>
      </c>
      <c r="AO823" s="4">
        <v>0</v>
      </c>
      <c r="AP823" s="4">
        <v>0</v>
      </c>
      <c r="AQ823" s="4">
        <v>0</v>
      </c>
      <c r="AR823" s="3" t="s">
        <v>65</v>
      </c>
      <c r="AS823" s="3" t="s">
        <v>65</v>
      </c>
      <c r="AT823" s="3" t="s">
        <v>65</v>
      </c>
      <c r="AV823" s="6" t="str">
        <f t="shared" si="14"/>
        <v>Catalog Record</v>
      </c>
      <c r="AW823" s="6" t="str">
        <f t="shared" si="15"/>
        <v>WorldCat Record</v>
      </c>
      <c r="AX823" s="3" t="s">
        <v>8218</v>
      </c>
      <c r="AY823" s="3" t="s">
        <v>8219</v>
      </c>
      <c r="AZ823" s="3" t="s">
        <v>8220</v>
      </c>
      <c r="BA823" s="3" t="s">
        <v>8220</v>
      </c>
      <c r="BB823" s="3" t="s">
        <v>8318</v>
      </c>
      <c r="BC823" s="3" t="s">
        <v>8222</v>
      </c>
      <c r="BD823" s="3" t="s">
        <v>78</v>
      </c>
      <c r="BF823" s="3" t="s">
        <v>8318</v>
      </c>
      <c r="BG823" s="3" t="s">
        <v>8319</v>
      </c>
    </row>
    <row r="824" spans="1:59" ht="58" x14ac:dyDescent="0.35">
      <c r="A824" s="2" t="s">
        <v>59</v>
      </c>
      <c r="B824" s="2" t="s">
        <v>60</v>
      </c>
      <c r="C824" s="2" t="s">
        <v>8212</v>
      </c>
      <c r="D824" s="2" t="s">
        <v>8213</v>
      </c>
      <c r="E824" s="2" t="s">
        <v>8214</v>
      </c>
      <c r="F824" s="3" t="s">
        <v>8320</v>
      </c>
      <c r="G824" s="3" t="s">
        <v>209</v>
      </c>
      <c r="I824" s="3" t="s">
        <v>65</v>
      </c>
      <c r="J824" s="3" t="s">
        <v>65</v>
      </c>
      <c r="K824" s="3" t="s">
        <v>66</v>
      </c>
      <c r="L824" s="2" t="s">
        <v>904</v>
      </c>
      <c r="M824" s="2" t="s">
        <v>8216</v>
      </c>
      <c r="N824" s="3" t="s">
        <v>525</v>
      </c>
      <c r="P824" s="3" t="s">
        <v>140</v>
      </c>
      <c r="R824" s="3" t="s">
        <v>71</v>
      </c>
      <c r="S824" s="4">
        <v>0</v>
      </c>
      <c r="T824" s="4">
        <v>15</v>
      </c>
      <c r="V824" s="5" t="s">
        <v>8217</v>
      </c>
      <c r="W824" s="5" t="s">
        <v>72</v>
      </c>
      <c r="X824" s="5" t="s">
        <v>72</v>
      </c>
      <c r="Y824" s="4">
        <v>4</v>
      </c>
      <c r="Z824" s="4">
        <v>1</v>
      </c>
      <c r="AA824" s="4">
        <v>1</v>
      </c>
      <c r="AB824" s="4">
        <v>1</v>
      </c>
      <c r="AC824" s="4">
        <v>1</v>
      </c>
      <c r="AD824" s="4">
        <v>1</v>
      </c>
      <c r="AE824" s="4">
        <v>1</v>
      </c>
      <c r="AF824" s="4">
        <v>0</v>
      </c>
      <c r="AG824" s="4">
        <v>0</v>
      </c>
      <c r="AH824" s="4">
        <v>1</v>
      </c>
      <c r="AI824" s="4">
        <v>1</v>
      </c>
      <c r="AJ824" s="4">
        <v>0</v>
      </c>
      <c r="AK824" s="4">
        <v>0</v>
      </c>
      <c r="AL824" s="4">
        <v>1</v>
      </c>
      <c r="AM824" s="4">
        <v>1</v>
      </c>
      <c r="AN824" s="4">
        <v>0</v>
      </c>
      <c r="AO824" s="4">
        <v>0</v>
      </c>
      <c r="AP824" s="4">
        <v>0</v>
      </c>
      <c r="AQ824" s="4">
        <v>0</v>
      </c>
      <c r="AR824" s="3" t="s">
        <v>65</v>
      </c>
      <c r="AS824" s="3" t="s">
        <v>65</v>
      </c>
      <c r="AT824" s="3" t="s">
        <v>65</v>
      </c>
      <c r="AV824" s="6" t="str">
        <f t="shared" si="14"/>
        <v>Catalog Record</v>
      </c>
      <c r="AW824" s="6" t="str">
        <f t="shared" si="15"/>
        <v>WorldCat Record</v>
      </c>
      <c r="AX824" s="3" t="s">
        <v>8218</v>
      </c>
      <c r="AY824" s="3" t="s">
        <v>8219</v>
      </c>
      <c r="AZ824" s="3" t="s">
        <v>8220</v>
      </c>
      <c r="BA824" s="3" t="s">
        <v>8220</v>
      </c>
      <c r="BB824" s="3" t="s">
        <v>8321</v>
      </c>
      <c r="BC824" s="3" t="s">
        <v>8222</v>
      </c>
      <c r="BD824" s="3" t="s">
        <v>78</v>
      </c>
      <c r="BF824" s="3" t="s">
        <v>8321</v>
      </c>
      <c r="BG824" s="3" t="s">
        <v>8322</v>
      </c>
    </row>
    <row r="825" spans="1:59" ht="58" x14ac:dyDescent="0.35">
      <c r="A825" s="2" t="s">
        <v>59</v>
      </c>
      <c r="B825" s="2" t="s">
        <v>60</v>
      </c>
      <c r="C825" s="2" t="s">
        <v>8212</v>
      </c>
      <c r="D825" s="2" t="s">
        <v>8213</v>
      </c>
      <c r="E825" s="2" t="s">
        <v>8214</v>
      </c>
      <c r="F825" s="3" t="s">
        <v>8323</v>
      </c>
      <c r="G825" s="3" t="s">
        <v>209</v>
      </c>
      <c r="I825" s="3" t="s">
        <v>65</v>
      </c>
      <c r="J825" s="3" t="s">
        <v>65</v>
      </c>
      <c r="K825" s="3" t="s">
        <v>66</v>
      </c>
      <c r="L825" s="2" t="s">
        <v>904</v>
      </c>
      <c r="M825" s="2" t="s">
        <v>8216</v>
      </c>
      <c r="N825" s="3" t="s">
        <v>525</v>
      </c>
      <c r="P825" s="3" t="s">
        <v>140</v>
      </c>
      <c r="R825" s="3" t="s">
        <v>71</v>
      </c>
      <c r="S825" s="4">
        <v>0</v>
      </c>
      <c r="T825" s="4">
        <v>15</v>
      </c>
      <c r="V825" s="5" t="s">
        <v>8217</v>
      </c>
      <c r="W825" s="5" t="s">
        <v>72</v>
      </c>
      <c r="X825" s="5" t="s">
        <v>72</v>
      </c>
      <c r="Y825" s="4">
        <v>4</v>
      </c>
      <c r="Z825" s="4">
        <v>1</v>
      </c>
      <c r="AA825" s="4">
        <v>1</v>
      </c>
      <c r="AB825" s="4">
        <v>1</v>
      </c>
      <c r="AC825" s="4">
        <v>1</v>
      </c>
      <c r="AD825" s="4">
        <v>1</v>
      </c>
      <c r="AE825" s="4">
        <v>1</v>
      </c>
      <c r="AF825" s="4">
        <v>0</v>
      </c>
      <c r="AG825" s="4">
        <v>0</v>
      </c>
      <c r="AH825" s="4">
        <v>1</v>
      </c>
      <c r="AI825" s="4">
        <v>1</v>
      </c>
      <c r="AJ825" s="4">
        <v>0</v>
      </c>
      <c r="AK825" s="4">
        <v>0</v>
      </c>
      <c r="AL825" s="4">
        <v>1</v>
      </c>
      <c r="AM825" s="4">
        <v>1</v>
      </c>
      <c r="AN825" s="4">
        <v>0</v>
      </c>
      <c r="AO825" s="4">
        <v>0</v>
      </c>
      <c r="AP825" s="4">
        <v>0</v>
      </c>
      <c r="AQ825" s="4">
        <v>0</v>
      </c>
      <c r="AR825" s="3" t="s">
        <v>65</v>
      </c>
      <c r="AS825" s="3" t="s">
        <v>65</v>
      </c>
      <c r="AT825" s="3" t="s">
        <v>65</v>
      </c>
      <c r="AV825" s="6" t="str">
        <f t="shared" si="14"/>
        <v>Catalog Record</v>
      </c>
      <c r="AW825" s="6" t="str">
        <f t="shared" si="15"/>
        <v>WorldCat Record</v>
      </c>
      <c r="AX825" s="3" t="s">
        <v>8218</v>
      </c>
      <c r="AY825" s="3" t="s">
        <v>8219</v>
      </c>
      <c r="AZ825" s="3" t="s">
        <v>8220</v>
      </c>
      <c r="BA825" s="3" t="s">
        <v>8220</v>
      </c>
      <c r="BB825" s="3" t="s">
        <v>8324</v>
      </c>
      <c r="BC825" s="3" t="s">
        <v>8222</v>
      </c>
      <c r="BD825" s="3" t="s">
        <v>78</v>
      </c>
      <c r="BF825" s="3" t="s">
        <v>8324</v>
      </c>
      <c r="BG825" s="3" t="s">
        <v>8325</v>
      </c>
    </row>
    <row r="826" spans="1:59" ht="58" x14ac:dyDescent="0.35">
      <c r="A826" s="2" t="s">
        <v>59</v>
      </c>
      <c r="B826" s="2" t="s">
        <v>60</v>
      </c>
      <c r="C826" s="2" t="s">
        <v>8212</v>
      </c>
      <c r="D826" s="2" t="s">
        <v>8213</v>
      </c>
      <c r="E826" s="2" t="s">
        <v>8214</v>
      </c>
      <c r="F826" s="3" t="s">
        <v>8326</v>
      </c>
      <c r="G826" s="3" t="s">
        <v>209</v>
      </c>
      <c r="I826" s="3" t="s">
        <v>65</v>
      </c>
      <c r="J826" s="3" t="s">
        <v>65</v>
      </c>
      <c r="K826" s="3" t="s">
        <v>66</v>
      </c>
      <c r="L826" s="2" t="s">
        <v>904</v>
      </c>
      <c r="M826" s="2" t="s">
        <v>8216</v>
      </c>
      <c r="N826" s="3" t="s">
        <v>525</v>
      </c>
      <c r="P826" s="3" t="s">
        <v>140</v>
      </c>
      <c r="R826" s="3" t="s">
        <v>71</v>
      </c>
      <c r="S826" s="4">
        <v>0</v>
      </c>
      <c r="T826" s="4">
        <v>15</v>
      </c>
      <c r="V826" s="5" t="s">
        <v>8217</v>
      </c>
      <c r="W826" s="5" t="s">
        <v>72</v>
      </c>
      <c r="X826" s="5" t="s">
        <v>72</v>
      </c>
      <c r="Y826" s="4">
        <v>4</v>
      </c>
      <c r="Z826" s="4">
        <v>1</v>
      </c>
      <c r="AA826" s="4">
        <v>1</v>
      </c>
      <c r="AB826" s="4">
        <v>1</v>
      </c>
      <c r="AC826" s="4">
        <v>1</v>
      </c>
      <c r="AD826" s="4">
        <v>1</v>
      </c>
      <c r="AE826" s="4">
        <v>1</v>
      </c>
      <c r="AF826" s="4">
        <v>0</v>
      </c>
      <c r="AG826" s="4">
        <v>0</v>
      </c>
      <c r="AH826" s="4">
        <v>1</v>
      </c>
      <c r="AI826" s="4">
        <v>1</v>
      </c>
      <c r="AJ826" s="4">
        <v>0</v>
      </c>
      <c r="AK826" s="4">
        <v>0</v>
      </c>
      <c r="AL826" s="4">
        <v>1</v>
      </c>
      <c r="AM826" s="4">
        <v>1</v>
      </c>
      <c r="AN826" s="4">
        <v>0</v>
      </c>
      <c r="AO826" s="4">
        <v>0</v>
      </c>
      <c r="AP826" s="4">
        <v>0</v>
      </c>
      <c r="AQ826" s="4">
        <v>0</v>
      </c>
      <c r="AR826" s="3" t="s">
        <v>65</v>
      </c>
      <c r="AS826" s="3" t="s">
        <v>65</v>
      </c>
      <c r="AT826" s="3" t="s">
        <v>65</v>
      </c>
      <c r="AV826" s="6" t="str">
        <f t="shared" si="14"/>
        <v>Catalog Record</v>
      </c>
      <c r="AW826" s="6" t="str">
        <f t="shared" si="15"/>
        <v>WorldCat Record</v>
      </c>
      <c r="AX826" s="3" t="s">
        <v>8218</v>
      </c>
      <c r="AY826" s="3" t="s">
        <v>8219</v>
      </c>
      <c r="AZ826" s="3" t="s">
        <v>8220</v>
      </c>
      <c r="BA826" s="3" t="s">
        <v>8220</v>
      </c>
      <c r="BB826" s="3" t="s">
        <v>8327</v>
      </c>
      <c r="BC826" s="3" t="s">
        <v>8222</v>
      </c>
      <c r="BD826" s="3" t="s">
        <v>78</v>
      </c>
      <c r="BF826" s="3" t="s">
        <v>8327</v>
      </c>
      <c r="BG826" s="3" t="s">
        <v>8328</v>
      </c>
    </row>
    <row r="827" spans="1:59" ht="58" x14ac:dyDescent="0.35">
      <c r="A827" s="2" t="s">
        <v>59</v>
      </c>
      <c r="B827" s="2" t="s">
        <v>60</v>
      </c>
      <c r="C827" s="2" t="s">
        <v>8212</v>
      </c>
      <c r="D827" s="2" t="s">
        <v>8213</v>
      </c>
      <c r="E827" s="2" t="s">
        <v>8214</v>
      </c>
      <c r="F827" s="3" t="s">
        <v>8329</v>
      </c>
      <c r="G827" s="3" t="s">
        <v>209</v>
      </c>
      <c r="I827" s="3" t="s">
        <v>65</v>
      </c>
      <c r="J827" s="3" t="s">
        <v>65</v>
      </c>
      <c r="K827" s="3" t="s">
        <v>66</v>
      </c>
      <c r="L827" s="2" t="s">
        <v>904</v>
      </c>
      <c r="M827" s="2" t="s">
        <v>8216</v>
      </c>
      <c r="N827" s="3" t="s">
        <v>525</v>
      </c>
      <c r="P827" s="3" t="s">
        <v>140</v>
      </c>
      <c r="R827" s="3" t="s">
        <v>71</v>
      </c>
      <c r="S827" s="4">
        <v>0</v>
      </c>
      <c r="T827" s="4">
        <v>15</v>
      </c>
      <c r="V827" s="5" t="s">
        <v>8217</v>
      </c>
      <c r="W827" s="5" t="s">
        <v>72</v>
      </c>
      <c r="X827" s="5" t="s">
        <v>72</v>
      </c>
      <c r="Y827" s="4">
        <v>4</v>
      </c>
      <c r="Z827" s="4">
        <v>1</v>
      </c>
      <c r="AA827" s="4">
        <v>1</v>
      </c>
      <c r="AB827" s="4">
        <v>1</v>
      </c>
      <c r="AC827" s="4">
        <v>1</v>
      </c>
      <c r="AD827" s="4">
        <v>1</v>
      </c>
      <c r="AE827" s="4">
        <v>1</v>
      </c>
      <c r="AF827" s="4">
        <v>0</v>
      </c>
      <c r="AG827" s="4">
        <v>0</v>
      </c>
      <c r="AH827" s="4">
        <v>1</v>
      </c>
      <c r="AI827" s="4">
        <v>1</v>
      </c>
      <c r="AJ827" s="4">
        <v>0</v>
      </c>
      <c r="AK827" s="4">
        <v>0</v>
      </c>
      <c r="AL827" s="4">
        <v>1</v>
      </c>
      <c r="AM827" s="4">
        <v>1</v>
      </c>
      <c r="AN827" s="4">
        <v>0</v>
      </c>
      <c r="AO827" s="4">
        <v>0</v>
      </c>
      <c r="AP827" s="4">
        <v>0</v>
      </c>
      <c r="AQ827" s="4">
        <v>0</v>
      </c>
      <c r="AR827" s="3" t="s">
        <v>65</v>
      </c>
      <c r="AS827" s="3" t="s">
        <v>65</v>
      </c>
      <c r="AT827" s="3" t="s">
        <v>65</v>
      </c>
      <c r="AV827" s="6" t="str">
        <f t="shared" si="14"/>
        <v>Catalog Record</v>
      </c>
      <c r="AW827" s="6" t="str">
        <f t="shared" si="15"/>
        <v>WorldCat Record</v>
      </c>
      <c r="AX827" s="3" t="s">
        <v>8218</v>
      </c>
      <c r="AY827" s="3" t="s">
        <v>8219</v>
      </c>
      <c r="AZ827" s="3" t="s">
        <v>8220</v>
      </c>
      <c r="BA827" s="3" t="s">
        <v>8220</v>
      </c>
      <c r="BB827" s="3" t="s">
        <v>8330</v>
      </c>
      <c r="BC827" s="3" t="s">
        <v>8222</v>
      </c>
      <c r="BD827" s="3" t="s">
        <v>78</v>
      </c>
      <c r="BF827" s="3" t="s">
        <v>8330</v>
      </c>
      <c r="BG827" s="3" t="s">
        <v>8331</v>
      </c>
    </row>
    <row r="828" spans="1:59" ht="58" x14ac:dyDescent="0.35">
      <c r="A828" s="2" t="s">
        <v>59</v>
      </c>
      <c r="B828" s="2" t="s">
        <v>60</v>
      </c>
      <c r="C828" s="2" t="s">
        <v>8212</v>
      </c>
      <c r="D828" s="2" t="s">
        <v>8213</v>
      </c>
      <c r="E828" s="2" t="s">
        <v>8214</v>
      </c>
      <c r="F828" s="3" t="s">
        <v>8332</v>
      </c>
      <c r="G828" s="3" t="s">
        <v>209</v>
      </c>
      <c r="I828" s="3" t="s">
        <v>65</v>
      </c>
      <c r="J828" s="3" t="s">
        <v>65</v>
      </c>
      <c r="K828" s="3" t="s">
        <v>66</v>
      </c>
      <c r="L828" s="2" t="s">
        <v>904</v>
      </c>
      <c r="M828" s="2" t="s">
        <v>8216</v>
      </c>
      <c r="N828" s="3" t="s">
        <v>525</v>
      </c>
      <c r="P828" s="3" t="s">
        <v>140</v>
      </c>
      <c r="R828" s="3" t="s">
        <v>71</v>
      </c>
      <c r="S828" s="4">
        <v>0</v>
      </c>
      <c r="T828" s="4">
        <v>15</v>
      </c>
      <c r="V828" s="5" t="s">
        <v>8217</v>
      </c>
      <c r="W828" s="5" t="s">
        <v>72</v>
      </c>
      <c r="X828" s="5" t="s">
        <v>72</v>
      </c>
      <c r="Y828" s="4">
        <v>4</v>
      </c>
      <c r="Z828" s="4">
        <v>1</v>
      </c>
      <c r="AA828" s="4">
        <v>1</v>
      </c>
      <c r="AB828" s="4">
        <v>1</v>
      </c>
      <c r="AC828" s="4">
        <v>1</v>
      </c>
      <c r="AD828" s="4">
        <v>1</v>
      </c>
      <c r="AE828" s="4">
        <v>1</v>
      </c>
      <c r="AF828" s="4">
        <v>0</v>
      </c>
      <c r="AG828" s="4">
        <v>0</v>
      </c>
      <c r="AH828" s="4">
        <v>1</v>
      </c>
      <c r="AI828" s="4">
        <v>1</v>
      </c>
      <c r="AJ828" s="4">
        <v>0</v>
      </c>
      <c r="AK828" s="4">
        <v>0</v>
      </c>
      <c r="AL828" s="4">
        <v>1</v>
      </c>
      <c r="AM828" s="4">
        <v>1</v>
      </c>
      <c r="AN828" s="4">
        <v>0</v>
      </c>
      <c r="AO828" s="4">
        <v>0</v>
      </c>
      <c r="AP828" s="4">
        <v>0</v>
      </c>
      <c r="AQ828" s="4">
        <v>0</v>
      </c>
      <c r="AR828" s="3" t="s">
        <v>65</v>
      </c>
      <c r="AS828" s="3" t="s">
        <v>65</v>
      </c>
      <c r="AT828" s="3" t="s">
        <v>65</v>
      </c>
      <c r="AV828" s="6" t="str">
        <f t="shared" si="14"/>
        <v>Catalog Record</v>
      </c>
      <c r="AW828" s="6" t="str">
        <f t="shared" si="15"/>
        <v>WorldCat Record</v>
      </c>
      <c r="AX828" s="3" t="s">
        <v>8218</v>
      </c>
      <c r="AY828" s="3" t="s">
        <v>8219</v>
      </c>
      <c r="AZ828" s="3" t="s">
        <v>8220</v>
      </c>
      <c r="BA828" s="3" t="s">
        <v>8220</v>
      </c>
      <c r="BB828" s="3" t="s">
        <v>8333</v>
      </c>
      <c r="BC828" s="3" t="s">
        <v>8222</v>
      </c>
      <c r="BD828" s="3" t="s">
        <v>78</v>
      </c>
      <c r="BF828" s="3" t="s">
        <v>8333</v>
      </c>
      <c r="BG828" s="3" t="s">
        <v>8334</v>
      </c>
    </row>
    <row r="829" spans="1:59" ht="58" x14ac:dyDescent="0.35">
      <c r="A829" s="2" t="s">
        <v>59</v>
      </c>
      <c r="B829" s="2" t="s">
        <v>60</v>
      </c>
      <c r="C829" s="2" t="s">
        <v>8212</v>
      </c>
      <c r="D829" s="2" t="s">
        <v>8213</v>
      </c>
      <c r="E829" s="2" t="s">
        <v>8214</v>
      </c>
      <c r="F829" s="3" t="s">
        <v>8335</v>
      </c>
      <c r="G829" s="3" t="s">
        <v>209</v>
      </c>
      <c r="I829" s="3" t="s">
        <v>65</v>
      </c>
      <c r="J829" s="3" t="s">
        <v>65</v>
      </c>
      <c r="K829" s="3" t="s">
        <v>66</v>
      </c>
      <c r="L829" s="2" t="s">
        <v>904</v>
      </c>
      <c r="M829" s="2" t="s">
        <v>8216</v>
      </c>
      <c r="N829" s="3" t="s">
        <v>525</v>
      </c>
      <c r="P829" s="3" t="s">
        <v>140</v>
      </c>
      <c r="R829" s="3" t="s">
        <v>71</v>
      </c>
      <c r="S829" s="4">
        <v>0</v>
      </c>
      <c r="T829" s="4">
        <v>15</v>
      </c>
      <c r="V829" s="5" t="s">
        <v>8217</v>
      </c>
      <c r="W829" s="5" t="s">
        <v>72</v>
      </c>
      <c r="X829" s="5" t="s">
        <v>72</v>
      </c>
      <c r="Y829" s="4">
        <v>4</v>
      </c>
      <c r="Z829" s="4">
        <v>1</v>
      </c>
      <c r="AA829" s="4">
        <v>1</v>
      </c>
      <c r="AB829" s="4">
        <v>1</v>
      </c>
      <c r="AC829" s="4">
        <v>1</v>
      </c>
      <c r="AD829" s="4">
        <v>1</v>
      </c>
      <c r="AE829" s="4">
        <v>1</v>
      </c>
      <c r="AF829" s="4">
        <v>0</v>
      </c>
      <c r="AG829" s="4">
        <v>0</v>
      </c>
      <c r="AH829" s="4">
        <v>1</v>
      </c>
      <c r="AI829" s="4">
        <v>1</v>
      </c>
      <c r="AJ829" s="4">
        <v>0</v>
      </c>
      <c r="AK829" s="4">
        <v>0</v>
      </c>
      <c r="AL829" s="4">
        <v>1</v>
      </c>
      <c r="AM829" s="4">
        <v>1</v>
      </c>
      <c r="AN829" s="4">
        <v>0</v>
      </c>
      <c r="AO829" s="4">
        <v>0</v>
      </c>
      <c r="AP829" s="4">
        <v>0</v>
      </c>
      <c r="AQ829" s="4">
        <v>0</v>
      </c>
      <c r="AR829" s="3" t="s">
        <v>65</v>
      </c>
      <c r="AS829" s="3" t="s">
        <v>65</v>
      </c>
      <c r="AT829" s="3" t="s">
        <v>65</v>
      </c>
      <c r="AV829" s="6" t="str">
        <f t="shared" si="14"/>
        <v>Catalog Record</v>
      </c>
      <c r="AW829" s="6" t="str">
        <f t="shared" si="15"/>
        <v>WorldCat Record</v>
      </c>
      <c r="AX829" s="3" t="s">
        <v>8218</v>
      </c>
      <c r="AY829" s="3" t="s">
        <v>8219</v>
      </c>
      <c r="AZ829" s="3" t="s">
        <v>8220</v>
      </c>
      <c r="BA829" s="3" t="s">
        <v>8220</v>
      </c>
      <c r="BB829" s="3" t="s">
        <v>8336</v>
      </c>
      <c r="BC829" s="3" t="s">
        <v>8222</v>
      </c>
      <c r="BD829" s="3" t="s">
        <v>78</v>
      </c>
      <c r="BF829" s="3" t="s">
        <v>8336</v>
      </c>
      <c r="BG829" s="3" t="s">
        <v>8337</v>
      </c>
    </row>
    <row r="830" spans="1:59" ht="58" x14ac:dyDescent="0.35">
      <c r="A830" s="2" t="s">
        <v>59</v>
      </c>
      <c r="B830" s="2" t="s">
        <v>60</v>
      </c>
      <c r="C830" s="2" t="s">
        <v>8212</v>
      </c>
      <c r="D830" s="2" t="s">
        <v>8213</v>
      </c>
      <c r="E830" s="2" t="s">
        <v>8214</v>
      </c>
      <c r="F830" s="3" t="s">
        <v>8338</v>
      </c>
      <c r="G830" s="3" t="s">
        <v>209</v>
      </c>
      <c r="I830" s="3" t="s">
        <v>65</v>
      </c>
      <c r="J830" s="3" t="s">
        <v>65</v>
      </c>
      <c r="K830" s="3" t="s">
        <v>66</v>
      </c>
      <c r="L830" s="2" t="s">
        <v>904</v>
      </c>
      <c r="M830" s="2" t="s">
        <v>8216</v>
      </c>
      <c r="N830" s="3" t="s">
        <v>525</v>
      </c>
      <c r="P830" s="3" t="s">
        <v>140</v>
      </c>
      <c r="R830" s="3" t="s">
        <v>71</v>
      </c>
      <c r="S830" s="4">
        <v>0</v>
      </c>
      <c r="T830" s="4">
        <v>15</v>
      </c>
      <c r="V830" s="5" t="s">
        <v>8217</v>
      </c>
      <c r="W830" s="5" t="s">
        <v>72</v>
      </c>
      <c r="X830" s="5" t="s">
        <v>72</v>
      </c>
      <c r="Y830" s="4">
        <v>4</v>
      </c>
      <c r="Z830" s="4">
        <v>1</v>
      </c>
      <c r="AA830" s="4">
        <v>1</v>
      </c>
      <c r="AB830" s="4">
        <v>1</v>
      </c>
      <c r="AC830" s="4">
        <v>1</v>
      </c>
      <c r="AD830" s="4">
        <v>1</v>
      </c>
      <c r="AE830" s="4">
        <v>1</v>
      </c>
      <c r="AF830" s="4">
        <v>0</v>
      </c>
      <c r="AG830" s="4">
        <v>0</v>
      </c>
      <c r="AH830" s="4">
        <v>1</v>
      </c>
      <c r="AI830" s="4">
        <v>1</v>
      </c>
      <c r="AJ830" s="4">
        <v>0</v>
      </c>
      <c r="AK830" s="4">
        <v>0</v>
      </c>
      <c r="AL830" s="4">
        <v>1</v>
      </c>
      <c r="AM830" s="4">
        <v>1</v>
      </c>
      <c r="AN830" s="4">
        <v>0</v>
      </c>
      <c r="AO830" s="4">
        <v>0</v>
      </c>
      <c r="AP830" s="4">
        <v>0</v>
      </c>
      <c r="AQ830" s="4">
        <v>0</v>
      </c>
      <c r="AR830" s="3" t="s">
        <v>65</v>
      </c>
      <c r="AS830" s="3" t="s">
        <v>65</v>
      </c>
      <c r="AT830" s="3" t="s">
        <v>65</v>
      </c>
      <c r="AV830" s="6" t="str">
        <f t="shared" si="14"/>
        <v>Catalog Record</v>
      </c>
      <c r="AW830" s="6" t="str">
        <f t="shared" si="15"/>
        <v>WorldCat Record</v>
      </c>
      <c r="AX830" s="3" t="s">
        <v>8218</v>
      </c>
      <c r="AY830" s="3" t="s">
        <v>8219</v>
      </c>
      <c r="AZ830" s="3" t="s">
        <v>8220</v>
      </c>
      <c r="BA830" s="3" t="s">
        <v>8220</v>
      </c>
      <c r="BB830" s="3" t="s">
        <v>8339</v>
      </c>
      <c r="BC830" s="3" t="s">
        <v>8222</v>
      </c>
      <c r="BD830" s="3" t="s">
        <v>78</v>
      </c>
      <c r="BF830" s="3" t="s">
        <v>8339</v>
      </c>
      <c r="BG830" s="3" t="s">
        <v>8340</v>
      </c>
    </row>
    <row r="831" spans="1:59" ht="58" x14ac:dyDescent="0.35">
      <c r="A831" s="2" t="s">
        <v>59</v>
      </c>
      <c r="B831" s="2" t="s">
        <v>60</v>
      </c>
      <c r="C831" s="2" t="s">
        <v>8341</v>
      </c>
      <c r="D831" s="2" t="s">
        <v>8342</v>
      </c>
      <c r="E831" s="2" t="s">
        <v>8343</v>
      </c>
      <c r="F831" s="3" t="s">
        <v>792</v>
      </c>
      <c r="G831" s="3" t="s">
        <v>209</v>
      </c>
      <c r="I831" s="3" t="s">
        <v>65</v>
      </c>
      <c r="J831" s="3" t="s">
        <v>209</v>
      </c>
      <c r="K831" s="3" t="s">
        <v>979</v>
      </c>
      <c r="L831" s="2" t="s">
        <v>904</v>
      </c>
      <c r="M831" s="2" t="s">
        <v>8344</v>
      </c>
      <c r="N831" s="3" t="s">
        <v>221</v>
      </c>
      <c r="O831" s="2" t="s">
        <v>365</v>
      </c>
      <c r="P831" s="3" t="s">
        <v>140</v>
      </c>
      <c r="Q831" s="2" t="s">
        <v>8345</v>
      </c>
      <c r="R831" s="3" t="s">
        <v>71</v>
      </c>
      <c r="S831" s="4">
        <v>7</v>
      </c>
      <c r="T831" s="4">
        <v>22</v>
      </c>
      <c r="U831" s="5" t="s">
        <v>8346</v>
      </c>
      <c r="V831" s="5" t="s">
        <v>8346</v>
      </c>
      <c r="W831" s="5" t="s">
        <v>72</v>
      </c>
      <c r="X831" s="5" t="s">
        <v>72</v>
      </c>
      <c r="Y831" s="4">
        <v>17</v>
      </c>
      <c r="Z831" s="4">
        <v>2</v>
      </c>
      <c r="AA831" s="4">
        <v>73</v>
      </c>
      <c r="AB831" s="4">
        <v>2</v>
      </c>
      <c r="AC831" s="4">
        <v>11</v>
      </c>
      <c r="AD831" s="4">
        <v>6</v>
      </c>
      <c r="AE831" s="4">
        <v>148</v>
      </c>
      <c r="AF831" s="4">
        <v>0</v>
      </c>
      <c r="AG831" s="4">
        <v>5</v>
      </c>
      <c r="AH831" s="4">
        <v>6</v>
      </c>
      <c r="AI831" s="4">
        <v>116</v>
      </c>
      <c r="AJ831" s="4">
        <v>0</v>
      </c>
      <c r="AK831" s="4">
        <v>26</v>
      </c>
      <c r="AL831" s="4">
        <v>4</v>
      </c>
      <c r="AM831" s="4">
        <v>63</v>
      </c>
      <c r="AN831" s="4">
        <v>0</v>
      </c>
      <c r="AO831" s="4">
        <v>22</v>
      </c>
      <c r="AP831" s="4">
        <v>0</v>
      </c>
      <c r="AQ831" s="4">
        <v>38</v>
      </c>
      <c r="AR831" s="3" t="s">
        <v>65</v>
      </c>
      <c r="AS831" s="3" t="s">
        <v>65</v>
      </c>
      <c r="AT831" s="3" t="s">
        <v>65</v>
      </c>
      <c r="AV831" s="6" t="str">
        <f>HYPERLINK("http://mcgill.on.worldcat.org/oclc/180013870","Catalog Record")</f>
        <v>Catalog Record</v>
      </c>
      <c r="AW831" s="6" t="str">
        <f>HYPERLINK("http://www.worldcat.org/oclc/180013870","WorldCat Record")</f>
        <v>WorldCat Record</v>
      </c>
      <c r="AX831" s="3" t="s">
        <v>983</v>
      </c>
      <c r="AY831" s="3" t="s">
        <v>8347</v>
      </c>
      <c r="AZ831" s="3" t="s">
        <v>8348</v>
      </c>
      <c r="BA831" s="3" t="s">
        <v>8348</v>
      </c>
      <c r="BB831" s="3" t="s">
        <v>8349</v>
      </c>
      <c r="BC831" s="3" t="s">
        <v>77</v>
      </c>
      <c r="BD831" s="3" t="s">
        <v>78</v>
      </c>
      <c r="BE831" s="3" t="s">
        <v>8350</v>
      </c>
      <c r="BF831" s="3" t="s">
        <v>8349</v>
      </c>
      <c r="BG831" s="3" t="s">
        <v>8351</v>
      </c>
    </row>
    <row r="832" spans="1:59" ht="58" x14ac:dyDescent="0.35">
      <c r="A832" s="2" t="s">
        <v>59</v>
      </c>
      <c r="B832" s="2" t="s">
        <v>60</v>
      </c>
      <c r="C832" s="2" t="s">
        <v>8341</v>
      </c>
      <c r="D832" s="2" t="s">
        <v>8342</v>
      </c>
      <c r="E832" s="2" t="s">
        <v>8343</v>
      </c>
      <c r="F832" s="3" t="s">
        <v>255</v>
      </c>
      <c r="G832" s="3" t="s">
        <v>209</v>
      </c>
      <c r="I832" s="3" t="s">
        <v>65</v>
      </c>
      <c r="J832" s="3" t="s">
        <v>209</v>
      </c>
      <c r="K832" s="3" t="s">
        <v>979</v>
      </c>
      <c r="L832" s="2" t="s">
        <v>904</v>
      </c>
      <c r="M832" s="2" t="s">
        <v>8344</v>
      </c>
      <c r="N832" s="3" t="s">
        <v>221</v>
      </c>
      <c r="O832" s="2" t="s">
        <v>365</v>
      </c>
      <c r="P832" s="3" t="s">
        <v>140</v>
      </c>
      <c r="Q832" s="2" t="s">
        <v>8345</v>
      </c>
      <c r="R832" s="3" t="s">
        <v>71</v>
      </c>
      <c r="S832" s="4">
        <v>4</v>
      </c>
      <c r="T832" s="4">
        <v>22</v>
      </c>
      <c r="U832" s="5" t="s">
        <v>8346</v>
      </c>
      <c r="V832" s="5" t="s">
        <v>8346</v>
      </c>
      <c r="W832" s="5" t="s">
        <v>72</v>
      </c>
      <c r="X832" s="5" t="s">
        <v>72</v>
      </c>
      <c r="Y832" s="4">
        <v>17</v>
      </c>
      <c r="Z832" s="4">
        <v>2</v>
      </c>
      <c r="AA832" s="4">
        <v>73</v>
      </c>
      <c r="AB832" s="4">
        <v>2</v>
      </c>
      <c r="AC832" s="4">
        <v>11</v>
      </c>
      <c r="AD832" s="4">
        <v>6</v>
      </c>
      <c r="AE832" s="4">
        <v>148</v>
      </c>
      <c r="AF832" s="4">
        <v>0</v>
      </c>
      <c r="AG832" s="4">
        <v>5</v>
      </c>
      <c r="AH832" s="4">
        <v>6</v>
      </c>
      <c r="AI832" s="4">
        <v>116</v>
      </c>
      <c r="AJ832" s="4">
        <v>0</v>
      </c>
      <c r="AK832" s="4">
        <v>26</v>
      </c>
      <c r="AL832" s="4">
        <v>4</v>
      </c>
      <c r="AM832" s="4">
        <v>63</v>
      </c>
      <c r="AN832" s="4">
        <v>0</v>
      </c>
      <c r="AO832" s="4">
        <v>22</v>
      </c>
      <c r="AP832" s="4">
        <v>0</v>
      </c>
      <c r="AQ832" s="4">
        <v>38</v>
      </c>
      <c r="AR832" s="3" t="s">
        <v>65</v>
      </c>
      <c r="AS832" s="3" t="s">
        <v>65</v>
      </c>
      <c r="AT832" s="3" t="s">
        <v>65</v>
      </c>
      <c r="AV832" s="6" t="str">
        <f>HYPERLINK("http://mcgill.on.worldcat.org/oclc/180013870","Catalog Record")</f>
        <v>Catalog Record</v>
      </c>
      <c r="AW832" s="6" t="str">
        <f>HYPERLINK("http://www.worldcat.org/oclc/180013870","WorldCat Record")</f>
        <v>WorldCat Record</v>
      </c>
      <c r="AX832" s="3" t="s">
        <v>983</v>
      </c>
      <c r="AY832" s="3" t="s">
        <v>8347</v>
      </c>
      <c r="AZ832" s="3" t="s">
        <v>8348</v>
      </c>
      <c r="BA832" s="3" t="s">
        <v>8348</v>
      </c>
      <c r="BB832" s="3" t="s">
        <v>8352</v>
      </c>
      <c r="BC832" s="3" t="s">
        <v>77</v>
      </c>
      <c r="BD832" s="3" t="s">
        <v>78</v>
      </c>
      <c r="BE832" s="3" t="s">
        <v>8350</v>
      </c>
      <c r="BF832" s="3" t="s">
        <v>8352</v>
      </c>
      <c r="BG832" s="3" t="s">
        <v>8353</v>
      </c>
    </row>
    <row r="833" spans="1:59" ht="58" x14ac:dyDescent="0.35">
      <c r="A833" s="2" t="s">
        <v>59</v>
      </c>
      <c r="B833" s="2" t="s">
        <v>60</v>
      </c>
      <c r="C833" s="2" t="s">
        <v>8341</v>
      </c>
      <c r="D833" s="2" t="s">
        <v>8342</v>
      </c>
      <c r="E833" s="2" t="s">
        <v>8343</v>
      </c>
      <c r="F833" s="3" t="s">
        <v>245</v>
      </c>
      <c r="G833" s="3" t="s">
        <v>209</v>
      </c>
      <c r="I833" s="3" t="s">
        <v>65</v>
      </c>
      <c r="J833" s="3" t="s">
        <v>209</v>
      </c>
      <c r="K833" s="3" t="s">
        <v>979</v>
      </c>
      <c r="L833" s="2" t="s">
        <v>904</v>
      </c>
      <c r="M833" s="2" t="s">
        <v>8344</v>
      </c>
      <c r="N833" s="3" t="s">
        <v>221</v>
      </c>
      <c r="O833" s="2" t="s">
        <v>365</v>
      </c>
      <c r="P833" s="3" t="s">
        <v>140</v>
      </c>
      <c r="Q833" s="2" t="s">
        <v>8345</v>
      </c>
      <c r="R833" s="3" t="s">
        <v>71</v>
      </c>
      <c r="S833" s="4">
        <v>4</v>
      </c>
      <c r="T833" s="4">
        <v>22</v>
      </c>
      <c r="U833" s="5" t="s">
        <v>8346</v>
      </c>
      <c r="V833" s="5" t="s">
        <v>8346</v>
      </c>
      <c r="W833" s="5" t="s">
        <v>72</v>
      </c>
      <c r="X833" s="5" t="s">
        <v>72</v>
      </c>
      <c r="Y833" s="4">
        <v>17</v>
      </c>
      <c r="Z833" s="4">
        <v>2</v>
      </c>
      <c r="AA833" s="4">
        <v>73</v>
      </c>
      <c r="AB833" s="4">
        <v>2</v>
      </c>
      <c r="AC833" s="4">
        <v>11</v>
      </c>
      <c r="AD833" s="4">
        <v>6</v>
      </c>
      <c r="AE833" s="4">
        <v>148</v>
      </c>
      <c r="AF833" s="4">
        <v>0</v>
      </c>
      <c r="AG833" s="4">
        <v>5</v>
      </c>
      <c r="AH833" s="4">
        <v>6</v>
      </c>
      <c r="AI833" s="4">
        <v>116</v>
      </c>
      <c r="AJ833" s="4">
        <v>0</v>
      </c>
      <c r="AK833" s="4">
        <v>26</v>
      </c>
      <c r="AL833" s="4">
        <v>4</v>
      </c>
      <c r="AM833" s="4">
        <v>63</v>
      </c>
      <c r="AN833" s="4">
        <v>0</v>
      </c>
      <c r="AO833" s="4">
        <v>22</v>
      </c>
      <c r="AP833" s="4">
        <v>0</v>
      </c>
      <c r="AQ833" s="4">
        <v>38</v>
      </c>
      <c r="AR833" s="3" t="s">
        <v>65</v>
      </c>
      <c r="AS833" s="3" t="s">
        <v>65</v>
      </c>
      <c r="AT833" s="3" t="s">
        <v>65</v>
      </c>
      <c r="AV833" s="6" t="str">
        <f>HYPERLINK("http://mcgill.on.worldcat.org/oclc/180013870","Catalog Record")</f>
        <v>Catalog Record</v>
      </c>
      <c r="AW833" s="6" t="str">
        <f>HYPERLINK("http://www.worldcat.org/oclc/180013870","WorldCat Record")</f>
        <v>WorldCat Record</v>
      </c>
      <c r="AX833" s="3" t="s">
        <v>983</v>
      </c>
      <c r="AY833" s="3" t="s">
        <v>8347</v>
      </c>
      <c r="AZ833" s="3" t="s">
        <v>8348</v>
      </c>
      <c r="BA833" s="3" t="s">
        <v>8348</v>
      </c>
      <c r="BB833" s="3" t="s">
        <v>8354</v>
      </c>
      <c r="BC833" s="3" t="s">
        <v>77</v>
      </c>
      <c r="BD833" s="3" t="s">
        <v>78</v>
      </c>
      <c r="BE833" s="3" t="s">
        <v>8350</v>
      </c>
      <c r="BF833" s="3" t="s">
        <v>8354</v>
      </c>
      <c r="BG833" s="3" t="s">
        <v>8355</v>
      </c>
    </row>
    <row r="834" spans="1:59" ht="58" x14ac:dyDescent="0.35">
      <c r="A834" s="2" t="s">
        <v>59</v>
      </c>
      <c r="B834" s="2" t="s">
        <v>60</v>
      </c>
      <c r="C834" s="2" t="s">
        <v>8341</v>
      </c>
      <c r="D834" s="2" t="s">
        <v>8342</v>
      </c>
      <c r="E834" s="2" t="s">
        <v>8343</v>
      </c>
      <c r="F834" s="3" t="s">
        <v>258</v>
      </c>
      <c r="G834" s="3" t="s">
        <v>209</v>
      </c>
      <c r="I834" s="3" t="s">
        <v>65</v>
      </c>
      <c r="J834" s="3" t="s">
        <v>209</v>
      </c>
      <c r="K834" s="3" t="s">
        <v>979</v>
      </c>
      <c r="L834" s="2" t="s">
        <v>904</v>
      </c>
      <c r="M834" s="2" t="s">
        <v>8344</v>
      </c>
      <c r="N834" s="3" t="s">
        <v>221</v>
      </c>
      <c r="O834" s="2" t="s">
        <v>365</v>
      </c>
      <c r="P834" s="3" t="s">
        <v>140</v>
      </c>
      <c r="Q834" s="2" t="s">
        <v>8345</v>
      </c>
      <c r="R834" s="3" t="s">
        <v>71</v>
      </c>
      <c r="S834" s="4">
        <v>7</v>
      </c>
      <c r="T834" s="4">
        <v>22</v>
      </c>
      <c r="U834" s="5" t="s">
        <v>8346</v>
      </c>
      <c r="V834" s="5" t="s">
        <v>8346</v>
      </c>
      <c r="W834" s="5" t="s">
        <v>72</v>
      </c>
      <c r="X834" s="5" t="s">
        <v>72</v>
      </c>
      <c r="Y834" s="4">
        <v>17</v>
      </c>
      <c r="Z834" s="4">
        <v>2</v>
      </c>
      <c r="AA834" s="4">
        <v>73</v>
      </c>
      <c r="AB834" s="4">
        <v>2</v>
      </c>
      <c r="AC834" s="4">
        <v>11</v>
      </c>
      <c r="AD834" s="4">
        <v>6</v>
      </c>
      <c r="AE834" s="4">
        <v>148</v>
      </c>
      <c r="AF834" s="4">
        <v>0</v>
      </c>
      <c r="AG834" s="4">
        <v>5</v>
      </c>
      <c r="AH834" s="4">
        <v>6</v>
      </c>
      <c r="AI834" s="4">
        <v>116</v>
      </c>
      <c r="AJ834" s="4">
        <v>0</v>
      </c>
      <c r="AK834" s="4">
        <v>26</v>
      </c>
      <c r="AL834" s="4">
        <v>4</v>
      </c>
      <c r="AM834" s="4">
        <v>63</v>
      </c>
      <c r="AN834" s="4">
        <v>0</v>
      </c>
      <c r="AO834" s="4">
        <v>22</v>
      </c>
      <c r="AP834" s="4">
        <v>0</v>
      </c>
      <c r="AQ834" s="4">
        <v>38</v>
      </c>
      <c r="AR834" s="3" t="s">
        <v>65</v>
      </c>
      <c r="AS834" s="3" t="s">
        <v>65</v>
      </c>
      <c r="AT834" s="3" t="s">
        <v>65</v>
      </c>
      <c r="AV834" s="6" t="str">
        <f>HYPERLINK("http://mcgill.on.worldcat.org/oclc/180013870","Catalog Record")</f>
        <v>Catalog Record</v>
      </c>
      <c r="AW834" s="6" t="str">
        <f>HYPERLINK("http://www.worldcat.org/oclc/180013870","WorldCat Record")</f>
        <v>WorldCat Record</v>
      </c>
      <c r="AX834" s="3" t="s">
        <v>983</v>
      </c>
      <c r="AY834" s="3" t="s">
        <v>8347</v>
      </c>
      <c r="AZ834" s="3" t="s">
        <v>8348</v>
      </c>
      <c r="BA834" s="3" t="s">
        <v>8348</v>
      </c>
      <c r="BB834" s="3" t="s">
        <v>8356</v>
      </c>
      <c r="BC834" s="3" t="s">
        <v>77</v>
      </c>
      <c r="BD834" s="3" t="s">
        <v>78</v>
      </c>
      <c r="BE834" s="3" t="s">
        <v>8350</v>
      </c>
      <c r="BF834" s="3" t="s">
        <v>8356</v>
      </c>
      <c r="BG834" s="3" t="s">
        <v>8357</v>
      </c>
    </row>
    <row r="835" spans="1:59" ht="58" x14ac:dyDescent="0.35">
      <c r="A835" s="2" t="s">
        <v>59</v>
      </c>
      <c r="B835" s="2" t="s">
        <v>60</v>
      </c>
      <c r="C835" s="2" t="s">
        <v>8358</v>
      </c>
      <c r="D835" s="2" t="s">
        <v>8359</v>
      </c>
      <c r="E835" s="2" t="s">
        <v>8360</v>
      </c>
      <c r="F835" s="3" t="s">
        <v>8361</v>
      </c>
      <c r="G835" s="3" t="s">
        <v>209</v>
      </c>
      <c r="I835" s="3" t="s">
        <v>65</v>
      </c>
      <c r="J835" s="3" t="s">
        <v>65</v>
      </c>
      <c r="K835" s="3" t="s">
        <v>66</v>
      </c>
      <c r="L835" s="2" t="s">
        <v>8362</v>
      </c>
      <c r="M835" s="2" t="s">
        <v>8363</v>
      </c>
      <c r="N835" s="3" t="s">
        <v>139</v>
      </c>
      <c r="P835" s="3" t="s">
        <v>140</v>
      </c>
      <c r="Q835" s="2" t="s">
        <v>8364</v>
      </c>
      <c r="R835" s="3" t="s">
        <v>71</v>
      </c>
      <c r="S835" s="4">
        <v>0</v>
      </c>
      <c r="T835" s="4">
        <v>0</v>
      </c>
      <c r="W835" s="5" t="s">
        <v>72</v>
      </c>
      <c r="X835" s="5" t="s">
        <v>72</v>
      </c>
      <c r="Y835" s="4">
        <v>19</v>
      </c>
      <c r="Z835" s="4">
        <v>1</v>
      </c>
      <c r="AA835" s="4">
        <v>3</v>
      </c>
      <c r="AB835" s="4">
        <v>1</v>
      </c>
      <c r="AC835" s="4">
        <v>1</v>
      </c>
      <c r="AD835" s="4">
        <v>9</v>
      </c>
      <c r="AE835" s="4">
        <v>25</v>
      </c>
      <c r="AF835" s="4">
        <v>0</v>
      </c>
      <c r="AG835" s="4">
        <v>0</v>
      </c>
      <c r="AH835" s="4">
        <v>9</v>
      </c>
      <c r="AI835" s="4">
        <v>24</v>
      </c>
      <c r="AJ835" s="4">
        <v>0</v>
      </c>
      <c r="AK835" s="4">
        <v>1</v>
      </c>
      <c r="AL835" s="4">
        <v>6</v>
      </c>
      <c r="AM835" s="4">
        <v>20</v>
      </c>
      <c r="AN835" s="4">
        <v>0</v>
      </c>
      <c r="AO835" s="4">
        <v>0</v>
      </c>
      <c r="AP835" s="4">
        <v>0</v>
      </c>
      <c r="AQ835" s="4">
        <v>1</v>
      </c>
      <c r="AR835" s="3" t="s">
        <v>65</v>
      </c>
      <c r="AS835" s="3" t="s">
        <v>65</v>
      </c>
      <c r="AT835" s="3" t="s">
        <v>65</v>
      </c>
      <c r="AV835" s="6" t="str">
        <f>HYPERLINK("http://mcgill.on.worldcat.org/oclc/805052948","Catalog Record")</f>
        <v>Catalog Record</v>
      </c>
      <c r="AW835" s="6" t="str">
        <f>HYPERLINK("http://www.worldcat.org/oclc/805052948","WorldCat Record")</f>
        <v>WorldCat Record</v>
      </c>
      <c r="AX835" s="3" t="s">
        <v>8365</v>
      </c>
      <c r="AY835" s="3" t="s">
        <v>8366</v>
      </c>
      <c r="AZ835" s="3" t="s">
        <v>8367</v>
      </c>
      <c r="BA835" s="3" t="s">
        <v>8367</v>
      </c>
      <c r="BB835" s="3" t="s">
        <v>8368</v>
      </c>
      <c r="BC835" s="3" t="s">
        <v>77</v>
      </c>
      <c r="BD835" s="3" t="s">
        <v>78</v>
      </c>
      <c r="BE835" s="3" t="s">
        <v>8369</v>
      </c>
      <c r="BF835" s="3" t="s">
        <v>8368</v>
      </c>
      <c r="BG835" s="3" t="s">
        <v>8370</v>
      </c>
    </row>
    <row r="836" spans="1:59" ht="58" x14ac:dyDescent="0.35">
      <c r="A836" s="2" t="s">
        <v>59</v>
      </c>
      <c r="B836" s="2" t="s">
        <v>60</v>
      </c>
      <c r="C836" s="2" t="s">
        <v>8358</v>
      </c>
      <c r="D836" s="2" t="s">
        <v>8359</v>
      </c>
      <c r="E836" s="2" t="s">
        <v>8360</v>
      </c>
      <c r="F836" s="3" t="s">
        <v>1282</v>
      </c>
      <c r="G836" s="3" t="s">
        <v>209</v>
      </c>
      <c r="I836" s="3" t="s">
        <v>65</v>
      </c>
      <c r="J836" s="3" t="s">
        <v>65</v>
      </c>
      <c r="K836" s="3" t="s">
        <v>66</v>
      </c>
      <c r="L836" s="2" t="s">
        <v>8362</v>
      </c>
      <c r="M836" s="2" t="s">
        <v>8363</v>
      </c>
      <c r="N836" s="3" t="s">
        <v>139</v>
      </c>
      <c r="P836" s="3" t="s">
        <v>140</v>
      </c>
      <c r="Q836" s="2" t="s">
        <v>8364</v>
      </c>
      <c r="R836" s="3" t="s">
        <v>71</v>
      </c>
      <c r="S836" s="4">
        <v>0</v>
      </c>
      <c r="T836" s="4">
        <v>0</v>
      </c>
      <c r="W836" s="5" t="s">
        <v>72</v>
      </c>
      <c r="X836" s="5" t="s">
        <v>72</v>
      </c>
      <c r="Y836" s="4">
        <v>19</v>
      </c>
      <c r="Z836" s="4">
        <v>1</v>
      </c>
      <c r="AA836" s="4">
        <v>3</v>
      </c>
      <c r="AB836" s="4">
        <v>1</v>
      </c>
      <c r="AC836" s="4">
        <v>1</v>
      </c>
      <c r="AD836" s="4">
        <v>9</v>
      </c>
      <c r="AE836" s="4">
        <v>25</v>
      </c>
      <c r="AF836" s="4">
        <v>0</v>
      </c>
      <c r="AG836" s="4">
        <v>0</v>
      </c>
      <c r="AH836" s="4">
        <v>9</v>
      </c>
      <c r="AI836" s="4">
        <v>24</v>
      </c>
      <c r="AJ836" s="4">
        <v>0</v>
      </c>
      <c r="AK836" s="4">
        <v>1</v>
      </c>
      <c r="AL836" s="4">
        <v>6</v>
      </c>
      <c r="AM836" s="4">
        <v>20</v>
      </c>
      <c r="AN836" s="4">
        <v>0</v>
      </c>
      <c r="AO836" s="4">
        <v>0</v>
      </c>
      <c r="AP836" s="4">
        <v>0</v>
      </c>
      <c r="AQ836" s="4">
        <v>1</v>
      </c>
      <c r="AR836" s="3" t="s">
        <v>65</v>
      </c>
      <c r="AS836" s="3" t="s">
        <v>65</v>
      </c>
      <c r="AT836" s="3" t="s">
        <v>65</v>
      </c>
      <c r="AV836" s="6" t="str">
        <f>HYPERLINK("http://mcgill.on.worldcat.org/oclc/805052948","Catalog Record")</f>
        <v>Catalog Record</v>
      </c>
      <c r="AW836" s="6" t="str">
        <f>HYPERLINK("http://www.worldcat.org/oclc/805052948","WorldCat Record")</f>
        <v>WorldCat Record</v>
      </c>
      <c r="AX836" s="3" t="s">
        <v>8365</v>
      </c>
      <c r="AY836" s="3" t="s">
        <v>8366</v>
      </c>
      <c r="AZ836" s="3" t="s">
        <v>8367</v>
      </c>
      <c r="BA836" s="3" t="s">
        <v>8367</v>
      </c>
      <c r="BB836" s="3" t="s">
        <v>8371</v>
      </c>
      <c r="BC836" s="3" t="s">
        <v>77</v>
      </c>
      <c r="BD836" s="3" t="s">
        <v>78</v>
      </c>
      <c r="BE836" s="3" t="s">
        <v>8369</v>
      </c>
      <c r="BF836" s="3" t="s">
        <v>8371</v>
      </c>
      <c r="BG836" s="3" t="s">
        <v>8372</v>
      </c>
    </row>
    <row r="837" spans="1:59" ht="58" x14ac:dyDescent="0.35">
      <c r="A837" s="2" t="s">
        <v>59</v>
      </c>
      <c r="B837" s="2" t="s">
        <v>60</v>
      </c>
      <c r="C837" s="2" t="s">
        <v>8373</v>
      </c>
      <c r="D837" s="2" t="s">
        <v>8374</v>
      </c>
      <c r="E837" s="2" t="s">
        <v>8375</v>
      </c>
      <c r="G837" s="3" t="s">
        <v>65</v>
      </c>
      <c r="I837" s="3" t="s">
        <v>65</v>
      </c>
      <c r="J837" s="3" t="s">
        <v>209</v>
      </c>
      <c r="K837" s="3" t="s">
        <v>66</v>
      </c>
      <c r="L837" s="2" t="s">
        <v>904</v>
      </c>
      <c r="M837" s="2" t="s">
        <v>8376</v>
      </c>
      <c r="N837" s="3" t="s">
        <v>8377</v>
      </c>
      <c r="O837" s="2" t="s">
        <v>8378</v>
      </c>
      <c r="P837" s="3" t="s">
        <v>69</v>
      </c>
      <c r="Q837" s="2" t="s">
        <v>8379</v>
      </c>
      <c r="R837" s="3" t="s">
        <v>71</v>
      </c>
      <c r="S837" s="4">
        <v>1</v>
      </c>
      <c r="T837" s="4">
        <v>1</v>
      </c>
      <c r="U837" s="5" t="s">
        <v>8380</v>
      </c>
      <c r="V837" s="5" t="s">
        <v>8380</v>
      </c>
      <c r="W837" s="5" t="s">
        <v>72</v>
      </c>
      <c r="X837" s="5" t="s">
        <v>72</v>
      </c>
      <c r="Y837" s="4">
        <v>1</v>
      </c>
      <c r="Z837" s="4">
        <v>1</v>
      </c>
      <c r="AA837" s="4">
        <v>1</v>
      </c>
      <c r="AB837" s="4">
        <v>1</v>
      </c>
      <c r="AC837" s="4">
        <v>1</v>
      </c>
      <c r="AD837" s="4">
        <v>0</v>
      </c>
      <c r="AE837" s="4">
        <v>2</v>
      </c>
      <c r="AF837" s="4">
        <v>0</v>
      </c>
      <c r="AG837" s="4">
        <v>0</v>
      </c>
      <c r="AH837" s="4">
        <v>0</v>
      </c>
      <c r="AI837" s="4">
        <v>2</v>
      </c>
      <c r="AJ837" s="4">
        <v>0</v>
      </c>
      <c r="AK837" s="4">
        <v>0</v>
      </c>
      <c r="AL837" s="4">
        <v>0</v>
      </c>
      <c r="AM837" s="4">
        <v>2</v>
      </c>
      <c r="AN837" s="4">
        <v>0</v>
      </c>
      <c r="AO837" s="4">
        <v>0</v>
      </c>
      <c r="AP837" s="4">
        <v>0</v>
      </c>
      <c r="AQ837" s="4">
        <v>0</v>
      </c>
      <c r="AR837" s="3" t="s">
        <v>65</v>
      </c>
      <c r="AS837" s="3" t="s">
        <v>65</v>
      </c>
      <c r="AT837" s="3" t="s">
        <v>65</v>
      </c>
      <c r="AV837" s="6" t="str">
        <f>HYPERLINK("http://mcgill.on.worldcat.org/oclc/61606526","Catalog Record")</f>
        <v>Catalog Record</v>
      </c>
      <c r="AW837" s="6" t="str">
        <f>HYPERLINK("http://www.worldcat.org/oclc/61606526","WorldCat Record")</f>
        <v>WorldCat Record</v>
      </c>
      <c r="AX837" s="3" t="s">
        <v>8381</v>
      </c>
      <c r="AY837" s="3" t="s">
        <v>8382</v>
      </c>
      <c r="AZ837" s="3" t="s">
        <v>8383</v>
      </c>
      <c r="BA837" s="3" t="s">
        <v>8383</v>
      </c>
      <c r="BB837" s="3" t="s">
        <v>8384</v>
      </c>
      <c r="BC837" s="3" t="s">
        <v>77</v>
      </c>
      <c r="BD837" s="3" t="s">
        <v>78</v>
      </c>
      <c r="BF837" s="3" t="s">
        <v>8384</v>
      </c>
      <c r="BG837" s="3" t="s">
        <v>8385</v>
      </c>
    </row>
    <row r="838" spans="1:59" ht="58" x14ac:dyDescent="0.35">
      <c r="A838" s="2" t="s">
        <v>59</v>
      </c>
      <c r="B838" s="2" t="s">
        <v>60</v>
      </c>
      <c r="C838" s="2" t="s">
        <v>8386</v>
      </c>
      <c r="D838" s="2" t="s">
        <v>8387</v>
      </c>
      <c r="E838" s="2" t="s">
        <v>8388</v>
      </c>
      <c r="G838" s="3" t="s">
        <v>65</v>
      </c>
      <c r="I838" s="3" t="s">
        <v>65</v>
      </c>
      <c r="J838" s="3" t="s">
        <v>209</v>
      </c>
      <c r="K838" s="3" t="s">
        <v>66</v>
      </c>
      <c r="L838" s="2" t="s">
        <v>904</v>
      </c>
      <c r="M838" s="2" t="s">
        <v>8389</v>
      </c>
      <c r="N838" s="3" t="s">
        <v>8390</v>
      </c>
      <c r="P838" s="3" t="s">
        <v>69</v>
      </c>
      <c r="R838" s="3" t="s">
        <v>71</v>
      </c>
      <c r="S838" s="4">
        <v>4</v>
      </c>
      <c r="T838" s="4">
        <v>4</v>
      </c>
      <c r="U838" s="5" t="s">
        <v>1754</v>
      </c>
      <c r="V838" s="5" t="s">
        <v>1754</v>
      </c>
      <c r="W838" s="5" t="s">
        <v>72</v>
      </c>
      <c r="X838" s="5" t="s">
        <v>72</v>
      </c>
      <c r="Y838" s="4">
        <v>118</v>
      </c>
      <c r="Z838" s="4">
        <v>5</v>
      </c>
      <c r="AA838" s="4">
        <v>132</v>
      </c>
      <c r="AB838" s="4">
        <v>1</v>
      </c>
      <c r="AC838" s="4">
        <v>14</v>
      </c>
      <c r="AD838" s="4">
        <v>36</v>
      </c>
      <c r="AE838" s="4">
        <v>159</v>
      </c>
      <c r="AF838" s="4">
        <v>0</v>
      </c>
      <c r="AG838" s="4">
        <v>6</v>
      </c>
      <c r="AH838" s="4">
        <v>35</v>
      </c>
      <c r="AI838" s="4">
        <v>117</v>
      </c>
      <c r="AJ838" s="4">
        <v>4</v>
      </c>
      <c r="AK838" s="4">
        <v>28</v>
      </c>
      <c r="AL838" s="4">
        <v>21</v>
      </c>
      <c r="AM838" s="4">
        <v>64</v>
      </c>
      <c r="AN838" s="4">
        <v>5</v>
      </c>
      <c r="AO838" s="4">
        <v>6</v>
      </c>
      <c r="AP838" s="4">
        <v>4</v>
      </c>
      <c r="AQ838" s="4">
        <v>47</v>
      </c>
      <c r="AR838" s="3" t="s">
        <v>65</v>
      </c>
      <c r="AS838" s="3" t="s">
        <v>65</v>
      </c>
      <c r="AT838" s="3" t="s">
        <v>209</v>
      </c>
      <c r="AU838" s="6" t="str">
        <f>HYPERLINK("http://catalog.hathitrust.org/Record/102016835","HathiTrust Record")</f>
        <v>HathiTrust Record</v>
      </c>
      <c r="AV838" s="6" t="str">
        <f>HYPERLINK("http://mcgill.on.worldcat.org/oclc/2094694","Catalog Record")</f>
        <v>Catalog Record</v>
      </c>
      <c r="AW838" s="6" t="str">
        <f>HYPERLINK("http://www.worldcat.org/oclc/2094694","WorldCat Record")</f>
        <v>WorldCat Record</v>
      </c>
      <c r="AX838" s="3" t="s">
        <v>8391</v>
      </c>
      <c r="AY838" s="3" t="s">
        <v>8392</v>
      </c>
      <c r="AZ838" s="3" t="s">
        <v>8393</v>
      </c>
      <c r="BA838" s="3" t="s">
        <v>8393</v>
      </c>
      <c r="BB838" s="3" t="s">
        <v>8394</v>
      </c>
      <c r="BC838" s="3" t="s">
        <v>77</v>
      </c>
      <c r="BD838" s="3" t="s">
        <v>78</v>
      </c>
      <c r="BF838" s="3" t="s">
        <v>8394</v>
      </c>
      <c r="BG838" s="3" t="s">
        <v>8395</v>
      </c>
    </row>
    <row r="839" spans="1:59" ht="58" x14ac:dyDescent="0.35">
      <c r="A839" s="2" t="s">
        <v>59</v>
      </c>
      <c r="B839" s="2" t="s">
        <v>60</v>
      </c>
      <c r="C839" s="2" t="s">
        <v>8396</v>
      </c>
      <c r="D839" s="2" t="s">
        <v>8397</v>
      </c>
      <c r="E839" s="2" t="s">
        <v>8398</v>
      </c>
      <c r="F839" s="3" t="s">
        <v>245</v>
      </c>
      <c r="G839" s="3" t="s">
        <v>209</v>
      </c>
      <c r="I839" s="3" t="s">
        <v>65</v>
      </c>
      <c r="J839" s="3" t="s">
        <v>65</v>
      </c>
      <c r="K839" s="3" t="s">
        <v>66</v>
      </c>
      <c r="L839" s="2" t="s">
        <v>904</v>
      </c>
      <c r="M839" s="2" t="s">
        <v>8399</v>
      </c>
      <c r="N839" s="3" t="s">
        <v>1173</v>
      </c>
      <c r="P839" s="3" t="s">
        <v>69</v>
      </c>
      <c r="Q839" s="2" t="s">
        <v>8400</v>
      </c>
      <c r="R839" s="3" t="s">
        <v>71</v>
      </c>
      <c r="S839" s="4">
        <v>15</v>
      </c>
      <c r="T839" s="4">
        <v>15</v>
      </c>
      <c r="U839" s="5" t="s">
        <v>8190</v>
      </c>
      <c r="V839" s="5" t="s">
        <v>8190</v>
      </c>
      <c r="W839" s="5" t="s">
        <v>72</v>
      </c>
      <c r="X839" s="5" t="s">
        <v>72</v>
      </c>
      <c r="Y839" s="4">
        <v>19</v>
      </c>
      <c r="Z839" s="4">
        <v>2</v>
      </c>
      <c r="AA839" s="4">
        <v>38</v>
      </c>
      <c r="AB839" s="4">
        <v>1</v>
      </c>
      <c r="AC839" s="4">
        <v>4</v>
      </c>
      <c r="AD839" s="4">
        <v>3</v>
      </c>
      <c r="AE839" s="4">
        <v>112</v>
      </c>
      <c r="AF839" s="4">
        <v>0</v>
      </c>
      <c r="AG839" s="4">
        <v>3</v>
      </c>
      <c r="AH839" s="4">
        <v>2</v>
      </c>
      <c r="AI839" s="4">
        <v>86</v>
      </c>
      <c r="AJ839" s="4">
        <v>1</v>
      </c>
      <c r="AK839" s="4">
        <v>19</v>
      </c>
      <c r="AL839" s="4">
        <v>1</v>
      </c>
      <c r="AM839" s="4">
        <v>50</v>
      </c>
      <c r="AN839" s="4">
        <v>0</v>
      </c>
      <c r="AO839" s="4">
        <v>0</v>
      </c>
      <c r="AP839" s="4">
        <v>1</v>
      </c>
      <c r="AQ839" s="4">
        <v>28</v>
      </c>
      <c r="AR839" s="3" t="s">
        <v>65</v>
      </c>
      <c r="AS839" s="3" t="s">
        <v>65</v>
      </c>
      <c r="AT839" s="3" t="s">
        <v>65</v>
      </c>
      <c r="AV839" s="6" t="str">
        <f>HYPERLINK("http://mcgill.on.worldcat.org/oclc/3242111","Catalog Record")</f>
        <v>Catalog Record</v>
      </c>
      <c r="AW839" s="6" t="str">
        <f>HYPERLINK("http://www.worldcat.org/oclc/3242111","WorldCat Record")</f>
        <v>WorldCat Record</v>
      </c>
      <c r="AX839" s="3" t="s">
        <v>8401</v>
      </c>
      <c r="AY839" s="3" t="s">
        <v>8402</v>
      </c>
      <c r="AZ839" s="3" t="s">
        <v>8403</v>
      </c>
      <c r="BA839" s="3" t="s">
        <v>8403</v>
      </c>
      <c r="BB839" s="3" t="s">
        <v>8404</v>
      </c>
      <c r="BC839" s="3" t="s">
        <v>77</v>
      </c>
      <c r="BD839" s="3" t="s">
        <v>78</v>
      </c>
      <c r="BF839" s="3" t="s">
        <v>8404</v>
      </c>
      <c r="BG839" s="3" t="s">
        <v>8405</v>
      </c>
    </row>
    <row r="840" spans="1:59" ht="58" x14ac:dyDescent="0.35">
      <c r="A840" s="2" t="s">
        <v>59</v>
      </c>
      <c r="B840" s="2" t="s">
        <v>60</v>
      </c>
      <c r="C840" s="2" t="s">
        <v>8396</v>
      </c>
      <c r="D840" s="2" t="s">
        <v>8397</v>
      </c>
      <c r="E840" s="2" t="s">
        <v>8406</v>
      </c>
      <c r="F840" s="3" t="s">
        <v>245</v>
      </c>
      <c r="G840" s="3" t="s">
        <v>209</v>
      </c>
      <c r="I840" s="3" t="s">
        <v>65</v>
      </c>
      <c r="J840" s="3" t="s">
        <v>65</v>
      </c>
      <c r="K840" s="3" t="s">
        <v>66</v>
      </c>
      <c r="L840" s="2" t="s">
        <v>904</v>
      </c>
      <c r="M840" s="2" t="s">
        <v>8407</v>
      </c>
      <c r="N840" s="3" t="s">
        <v>1173</v>
      </c>
      <c r="P840" s="3" t="s">
        <v>69</v>
      </c>
      <c r="Q840" s="2" t="s">
        <v>8408</v>
      </c>
      <c r="R840" s="3" t="s">
        <v>71</v>
      </c>
      <c r="S840" s="4">
        <v>0</v>
      </c>
      <c r="T840" s="4">
        <v>11</v>
      </c>
      <c r="V840" s="5" t="s">
        <v>8409</v>
      </c>
      <c r="W840" s="5" t="s">
        <v>72</v>
      </c>
      <c r="X840" s="5" t="s">
        <v>72</v>
      </c>
      <c r="Y840" s="4">
        <v>48</v>
      </c>
      <c r="Z840" s="4">
        <v>2</v>
      </c>
      <c r="AA840" s="4">
        <v>2</v>
      </c>
      <c r="AB840" s="4">
        <v>1</v>
      </c>
      <c r="AC840" s="4">
        <v>1</v>
      </c>
      <c r="AD840" s="4">
        <v>7</v>
      </c>
      <c r="AE840" s="4">
        <v>9</v>
      </c>
      <c r="AF840" s="4">
        <v>0</v>
      </c>
      <c r="AG840" s="4">
        <v>0</v>
      </c>
      <c r="AH840" s="4">
        <v>6</v>
      </c>
      <c r="AI840" s="4">
        <v>8</v>
      </c>
      <c r="AJ840" s="4">
        <v>0</v>
      </c>
      <c r="AK840" s="4">
        <v>0</v>
      </c>
      <c r="AL840" s="4">
        <v>3</v>
      </c>
      <c r="AM840" s="4">
        <v>4</v>
      </c>
      <c r="AN840" s="4">
        <v>0</v>
      </c>
      <c r="AO840" s="4">
        <v>0</v>
      </c>
      <c r="AP840" s="4">
        <v>1</v>
      </c>
      <c r="AQ840" s="4">
        <v>1</v>
      </c>
      <c r="AR840" s="3" t="s">
        <v>65</v>
      </c>
      <c r="AS840" s="3" t="s">
        <v>65</v>
      </c>
      <c r="AT840" s="3" t="s">
        <v>65</v>
      </c>
      <c r="AV840" s="6" t="str">
        <f>HYPERLINK("http://mcgill.on.worldcat.org/oclc/2656376","Catalog Record")</f>
        <v>Catalog Record</v>
      </c>
      <c r="AW840" s="6" t="str">
        <f>HYPERLINK("http://www.worldcat.org/oclc/2656376","WorldCat Record")</f>
        <v>WorldCat Record</v>
      </c>
      <c r="AX840" s="3" t="s">
        <v>8410</v>
      </c>
      <c r="AY840" s="3" t="s">
        <v>8411</v>
      </c>
      <c r="AZ840" s="3" t="s">
        <v>8412</v>
      </c>
      <c r="BA840" s="3" t="s">
        <v>8412</v>
      </c>
      <c r="BB840" s="3" t="s">
        <v>8413</v>
      </c>
      <c r="BC840" s="3" t="s">
        <v>77</v>
      </c>
      <c r="BD840" s="3" t="s">
        <v>78</v>
      </c>
      <c r="BE840" s="3" t="s">
        <v>8414</v>
      </c>
      <c r="BF840" s="3" t="s">
        <v>8413</v>
      </c>
      <c r="BG840" s="3" t="s">
        <v>8415</v>
      </c>
    </row>
    <row r="841" spans="1:59" ht="58" x14ac:dyDescent="0.35">
      <c r="A841" s="2" t="s">
        <v>59</v>
      </c>
      <c r="B841" s="2" t="s">
        <v>60</v>
      </c>
      <c r="C841" s="2" t="s">
        <v>8396</v>
      </c>
      <c r="D841" s="2" t="s">
        <v>8397</v>
      </c>
      <c r="E841" s="2" t="s">
        <v>8406</v>
      </c>
      <c r="F841" s="3" t="s">
        <v>258</v>
      </c>
      <c r="G841" s="3" t="s">
        <v>209</v>
      </c>
      <c r="I841" s="3" t="s">
        <v>65</v>
      </c>
      <c r="J841" s="3" t="s">
        <v>65</v>
      </c>
      <c r="K841" s="3" t="s">
        <v>66</v>
      </c>
      <c r="L841" s="2" t="s">
        <v>904</v>
      </c>
      <c r="M841" s="2" t="s">
        <v>8407</v>
      </c>
      <c r="N841" s="3" t="s">
        <v>1173</v>
      </c>
      <c r="P841" s="3" t="s">
        <v>69</v>
      </c>
      <c r="Q841" s="2" t="s">
        <v>8408</v>
      </c>
      <c r="R841" s="3" t="s">
        <v>71</v>
      </c>
      <c r="S841" s="4">
        <v>11</v>
      </c>
      <c r="T841" s="4">
        <v>11</v>
      </c>
      <c r="U841" s="5" t="s">
        <v>8409</v>
      </c>
      <c r="V841" s="5" t="s">
        <v>8409</v>
      </c>
      <c r="W841" s="5" t="s">
        <v>72</v>
      </c>
      <c r="X841" s="5" t="s">
        <v>72</v>
      </c>
      <c r="Y841" s="4">
        <v>48</v>
      </c>
      <c r="Z841" s="4">
        <v>2</v>
      </c>
      <c r="AA841" s="4">
        <v>2</v>
      </c>
      <c r="AB841" s="4">
        <v>1</v>
      </c>
      <c r="AC841" s="4">
        <v>1</v>
      </c>
      <c r="AD841" s="4">
        <v>7</v>
      </c>
      <c r="AE841" s="4">
        <v>9</v>
      </c>
      <c r="AF841" s="4">
        <v>0</v>
      </c>
      <c r="AG841" s="4">
        <v>0</v>
      </c>
      <c r="AH841" s="4">
        <v>6</v>
      </c>
      <c r="AI841" s="4">
        <v>8</v>
      </c>
      <c r="AJ841" s="4">
        <v>0</v>
      </c>
      <c r="AK841" s="4">
        <v>0</v>
      </c>
      <c r="AL841" s="4">
        <v>3</v>
      </c>
      <c r="AM841" s="4">
        <v>4</v>
      </c>
      <c r="AN841" s="4">
        <v>0</v>
      </c>
      <c r="AO841" s="4">
        <v>0</v>
      </c>
      <c r="AP841" s="4">
        <v>1</v>
      </c>
      <c r="AQ841" s="4">
        <v>1</v>
      </c>
      <c r="AR841" s="3" t="s">
        <v>65</v>
      </c>
      <c r="AS841" s="3" t="s">
        <v>65</v>
      </c>
      <c r="AT841" s="3" t="s">
        <v>65</v>
      </c>
      <c r="AV841" s="6" t="str">
        <f>HYPERLINK("http://mcgill.on.worldcat.org/oclc/2656376","Catalog Record")</f>
        <v>Catalog Record</v>
      </c>
      <c r="AW841" s="6" t="str">
        <f>HYPERLINK("http://www.worldcat.org/oclc/2656376","WorldCat Record")</f>
        <v>WorldCat Record</v>
      </c>
      <c r="AX841" s="3" t="s">
        <v>8410</v>
      </c>
      <c r="AY841" s="3" t="s">
        <v>8411</v>
      </c>
      <c r="AZ841" s="3" t="s">
        <v>8412</v>
      </c>
      <c r="BA841" s="3" t="s">
        <v>8412</v>
      </c>
      <c r="BB841" s="3" t="s">
        <v>8416</v>
      </c>
      <c r="BC841" s="3" t="s">
        <v>77</v>
      </c>
      <c r="BD841" s="3" t="s">
        <v>78</v>
      </c>
      <c r="BE841" s="3" t="s">
        <v>8414</v>
      </c>
      <c r="BF841" s="3" t="s">
        <v>8416</v>
      </c>
      <c r="BG841" s="3" t="s">
        <v>8417</v>
      </c>
    </row>
    <row r="842" spans="1:59" ht="58" x14ac:dyDescent="0.35">
      <c r="A842" s="2" t="s">
        <v>59</v>
      </c>
      <c r="B842" s="2" t="s">
        <v>60</v>
      </c>
      <c r="C842" s="2" t="s">
        <v>8396</v>
      </c>
      <c r="D842" s="2" t="s">
        <v>8397</v>
      </c>
      <c r="E842" s="2" t="s">
        <v>8418</v>
      </c>
      <c r="F842" s="3" t="s">
        <v>245</v>
      </c>
      <c r="G842" s="3" t="s">
        <v>209</v>
      </c>
      <c r="I842" s="3" t="s">
        <v>209</v>
      </c>
      <c r="J842" s="3" t="s">
        <v>209</v>
      </c>
      <c r="K842" s="3" t="s">
        <v>66</v>
      </c>
      <c r="L842" s="2" t="s">
        <v>904</v>
      </c>
      <c r="M842" s="2" t="s">
        <v>8419</v>
      </c>
      <c r="N842" s="3" t="s">
        <v>7187</v>
      </c>
      <c r="P842" s="3" t="s">
        <v>69</v>
      </c>
      <c r="Q842" s="2" t="s">
        <v>8420</v>
      </c>
      <c r="R842" s="3" t="s">
        <v>71</v>
      </c>
      <c r="S842" s="4">
        <v>31</v>
      </c>
      <c r="T842" s="4">
        <v>85</v>
      </c>
      <c r="U842" s="5" t="s">
        <v>8421</v>
      </c>
      <c r="V842" s="5" t="s">
        <v>8190</v>
      </c>
      <c r="W842" s="5" t="s">
        <v>72</v>
      </c>
      <c r="X842" s="5" t="s">
        <v>72</v>
      </c>
      <c r="Y842" s="4">
        <v>49</v>
      </c>
      <c r="Z842" s="4">
        <v>3</v>
      </c>
      <c r="AA842" s="4">
        <v>144</v>
      </c>
      <c r="AB842" s="4">
        <v>1</v>
      </c>
      <c r="AC842" s="4">
        <v>10</v>
      </c>
      <c r="AD842" s="4">
        <v>7</v>
      </c>
      <c r="AE842" s="4">
        <v>161</v>
      </c>
      <c r="AF842" s="4">
        <v>0</v>
      </c>
      <c r="AG842" s="4">
        <v>4</v>
      </c>
      <c r="AH842" s="4">
        <v>5</v>
      </c>
      <c r="AI842" s="4">
        <v>115</v>
      </c>
      <c r="AJ842" s="4">
        <v>1</v>
      </c>
      <c r="AK842" s="4">
        <v>27</v>
      </c>
      <c r="AL842" s="4">
        <v>2</v>
      </c>
      <c r="AM842" s="4">
        <v>63</v>
      </c>
      <c r="AN842" s="4">
        <v>0</v>
      </c>
      <c r="AO842" s="4">
        <v>14</v>
      </c>
      <c r="AP842" s="4">
        <v>2</v>
      </c>
      <c r="AQ842" s="4">
        <v>52</v>
      </c>
      <c r="AR842" s="3" t="s">
        <v>65</v>
      </c>
      <c r="AS842" s="3" t="s">
        <v>65</v>
      </c>
      <c r="AT842" s="3" t="s">
        <v>209</v>
      </c>
      <c r="AU842" s="6" t="str">
        <f>HYPERLINK("http://catalog.hathitrust.org/Record/007959919","HathiTrust Record")</f>
        <v>HathiTrust Record</v>
      </c>
      <c r="AV842" s="6" t="str">
        <f>HYPERLINK("http://mcgill.on.worldcat.org/oclc/8081209","Catalog Record")</f>
        <v>Catalog Record</v>
      </c>
      <c r="AW842" s="6" t="str">
        <f>HYPERLINK("http://www.worldcat.org/oclc/8081209","WorldCat Record")</f>
        <v>WorldCat Record</v>
      </c>
      <c r="AX842" s="3" t="s">
        <v>8422</v>
      </c>
      <c r="AY842" s="3" t="s">
        <v>8423</v>
      </c>
      <c r="AZ842" s="3" t="s">
        <v>8424</v>
      </c>
      <c r="BA842" s="3" t="s">
        <v>8424</v>
      </c>
      <c r="BB842" s="3" t="s">
        <v>8425</v>
      </c>
      <c r="BC842" s="3" t="s">
        <v>77</v>
      </c>
      <c r="BD842" s="3" t="s">
        <v>78</v>
      </c>
      <c r="BE842" s="3" t="s">
        <v>8426</v>
      </c>
      <c r="BF842" s="3" t="s">
        <v>8425</v>
      </c>
      <c r="BG842" s="3" t="s">
        <v>8427</v>
      </c>
    </row>
    <row r="843" spans="1:59" ht="58" x14ac:dyDescent="0.35">
      <c r="A843" s="2" t="s">
        <v>59</v>
      </c>
      <c r="B843" s="2" t="s">
        <v>60</v>
      </c>
      <c r="C843" s="2" t="s">
        <v>8428</v>
      </c>
      <c r="D843" s="2" t="s">
        <v>8429</v>
      </c>
      <c r="E843" s="2" t="s">
        <v>8418</v>
      </c>
      <c r="G843" s="3" t="s">
        <v>209</v>
      </c>
      <c r="I843" s="3" t="s">
        <v>65</v>
      </c>
      <c r="J843" s="3" t="s">
        <v>209</v>
      </c>
      <c r="K843" s="3" t="s">
        <v>66</v>
      </c>
      <c r="L843" s="2" t="s">
        <v>904</v>
      </c>
      <c r="M843" s="2" t="s">
        <v>8430</v>
      </c>
      <c r="N843" s="3" t="s">
        <v>4042</v>
      </c>
      <c r="P843" s="3" t="s">
        <v>69</v>
      </c>
      <c r="Q843" s="2" t="s">
        <v>8420</v>
      </c>
      <c r="R843" s="3" t="s">
        <v>71</v>
      </c>
      <c r="S843" s="4">
        <v>29</v>
      </c>
      <c r="T843" s="4">
        <v>29</v>
      </c>
      <c r="U843" s="5" t="s">
        <v>8431</v>
      </c>
      <c r="V843" s="5" t="s">
        <v>8431</v>
      </c>
      <c r="W843" s="5" t="s">
        <v>72</v>
      </c>
      <c r="X843" s="5" t="s">
        <v>72</v>
      </c>
      <c r="Y843" s="4">
        <v>71</v>
      </c>
      <c r="Z843" s="4">
        <v>4</v>
      </c>
      <c r="AA843" s="4">
        <v>144</v>
      </c>
      <c r="AB843" s="4">
        <v>1</v>
      </c>
      <c r="AC843" s="4">
        <v>10</v>
      </c>
      <c r="AD843" s="4">
        <v>7</v>
      </c>
      <c r="AE843" s="4">
        <v>161</v>
      </c>
      <c r="AF843" s="4">
        <v>0</v>
      </c>
      <c r="AG843" s="4">
        <v>4</v>
      </c>
      <c r="AH843" s="4">
        <v>6</v>
      </c>
      <c r="AI843" s="4">
        <v>115</v>
      </c>
      <c r="AJ843" s="4">
        <v>2</v>
      </c>
      <c r="AK843" s="4">
        <v>27</v>
      </c>
      <c r="AL843" s="4">
        <v>4</v>
      </c>
      <c r="AM843" s="4">
        <v>63</v>
      </c>
      <c r="AN843" s="4">
        <v>0</v>
      </c>
      <c r="AO843" s="4">
        <v>14</v>
      </c>
      <c r="AP843" s="4">
        <v>2</v>
      </c>
      <c r="AQ843" s="4">
        <v>52</v>
      </c>
      <c r="AR843" s="3" t="s">
        <v>65</v>
      </c>
      <c r="AS843" s="3" t="s">
        <v>65</v>
      </c>
      <c r="AT843" s="3" t="s">
        <v>209</v>
      </c>
      <c r="AU843" s="6" t="str">
        <f>HYPERLINK("http://catalog.hathitrust.org/Record/007959919","HathiTrust Record")</f>
        <v>HathiTrust Record</v>
      </c>
      <c r="AV843" s="6" t="str">
        <f>HYPERLINK("http://mcgill.on.worldcat.org/oclc/20812355","Catalog Record")</f>
        <v>Catalog Record</v>
      </c>
      <c r="AW843" s="6" t="str">
        <f>HYPERLINK("http://www.worldcat.org/oclc/20812355","WorldCat Record")</f>
        <v>WorldCat Record</v>
      </c>
      <c r="AX843" s="3" t="s">
        <v>8422</v>
      </c>
      <c r="AY843" s="3" t="s">
        <v>8432</v>
      </c>
      <c r="AZ843" s="3" t="s">
        <v>8433</v>
      </c>
      <c r="BA843" s="3" t="s">
        <v>8433</v>
      </c>
      <c r="BB843" s="3" t="s">
        <v>8434</v>
      </c>
      <c r="BC843" s="3" t="s">
        <v>77</v>
      </c>
      <c r="BD843" s="3" t="s">
        <v>78</v>
      </c>
      <c r="BE843" s="3" t="s">
        <v>8426</v>
      </c>
      <c r="BF843" s="3" t="s">
        <v>8434</v>
      </c>
      <c r="BG843" s="3" t="s">
        <v>8435</v>
      </c>
    </row>
    <row r="844" spans="1:59" ht="58" x14ac:dyDescent="0.35">
      <c r="A844" s="2" t="s">
        <v>59</v>
      </c>
      <c r="B844" s="2" t="s">
        <v>60</v>
      </c>
      <c r="C844" s="2" t="s">
        <v>8436</v>
      </c>
      <c r="D844" s="2" t="s">
        <v>8437</v>
      </c>
      <c r="E844" s="2" t="s">
        <v>8418</v>
      </c>
      <c r="F844" s="3" t="s">
        <v>258</v>
      </c>
      <c r="G844" s="3" t="s">
        <v>209</v>
      </c>
      <c r="I844" s="3" t="s">
        <v>209</v>
      </c>
      <c r="J844" s="3" t="s">
        <v>209</v>
      </c>
      <c r="K844" s="3" t="s">
        <v>66</v>
      </c>
      <c r="L844" s="2" t="s">
        <v>904</v>
      </c>
      <c r="M844" s="2" t="s">
        <v>8419</v>
      </c>
      <c r="N844" s="3" t="s">
        <v>7187</v>
      </c>
      <c r="P844" s="3" t="s">
        <v>69</v>
      </c>
      <c r="Q844" s="2" t="s">
        <v>8420</v>
      </c>
      <c r="R844" s="3" t="s">
        <v>71</v>
      </c>
      <c r="S844" s="4">
        <v>25</v>
      </c>
      <c r="T844" s="4">
        <v>85</v>
      </c>
      <c r="U844" s="5" t="s">
        <v>8438</v>
      </c>
      <c r="V844" s="5" t="s">
        <v>8190</v>
      </c>
      <c r="W844" s="5" t="s">
        <v>72</v>
      </c>
      <c r="X844" s="5" t="s">
        <v>72</v>
      </c>
      <c r="Y844" s="4">
        <v>49</v>
      </c>
      <c r="Z844" s="4">
        <v>3</v>
      </c>
      <c r="AA844" s="4">
        <v>144</v>
      </c>
      <c r="AB844" s="4">
        <v>1</v>
      </c>
      <c r="AC844" s="4">
        <v>10</v>
      </c>
      <c r="AD844" s="4">
        <v>7</v>
      </c>
      <c r="AE844" s="4">
        <v>161</v>
      </c>
      <c r="AF844" s="4">
        <v>0</v>
      </c>
      <c r="AG844" s="4">
        <v>4</v>
      </c>
      <c r="AH844" s="4">
        <v>5</v>
      </c>
      <c r="AI844" s="4">
        <v>115</v>
      </c>
      <c r="AJ844" s="4">
        <v>1</v>
      </c>
      <c r="AK844" s="4">
        <v>27</v>
      </c>
      <c r="AL844" s="4">
        <v>2</v>
      </c>
      <c r="AM844" s="4">
        <v>63</v>
      </c>
      <c r="AN844" s="4">
        <v>0</v>
      </c>
      <c r="AO844" s="4">
        <v>14</v>
      </c>
      <c r="AP844" s="4">
        <v>2</v>
      </c>
      <c r="AQ844" s="4">
        <v>52</v>
      </c>
      <c r="AR844" s="3" t="s">
        <v>65</v>
      </c>
      <c r="AS844" s="3" t="s">
        <v>65</v>
      </c>
      <c r="AT844" s="3" t="s">
        <v>209</v>
      </c>
      <c r="AU844" s="6" t="str">
        <f>HYPERLINK("http://catalog.hathitrust.org/Record/007959919","HathiTrust Record")</f>
        <v>HathiTrust Record</v>
      </c>
      <c r="AV844" s="6" t="str">
        <f>HYPERLINK("http://mcgill.on.worldcat.org/oclc/8081209","Catalog Record")</f>
        <v>Catalog Record</v>
      </c>
      <c r="AW844" s="6" t="str">
        <f>HYPERLINK("http://www.worldcat.org/oclc/8081209","WorldCat Record")</f>
        <v>WorldCat Record</v>
      </c>
      <c r="AX844" s="3" t="s">
        <v>8422</v>
      </c>
      <c r="AY844" s="3" t="s">
        <v>8423</v>
      </c>
      <c r="AZ844" s="3" t="s">
        <v>8424</v>
      </c>
      <c r="BA844" s="3" t="s">
        <v>8424</v>
      </c>
      <c r="BB844" s="3" t="s">
        <v>8439</v>
      </c>
      <c r="BC844" s="3" t="s">
        <v>77</v>
      </c>
      <c r="BD844" s="3" t="s">
        <v>78</v>
      </c>
      <c r="BE844" s="3" t="s">
        <v>8426</v>
      </c>
      <c r="BF844" s="3" t="s">
        <v>8439</v>
      </c>
      <c r="BG844" s="3" t="s">
        <v>8440</v>
      </c>
    </row>
    <row r="845" spans="1:59" ht="58" x14ac:dyDescent="0.35">
      <c r="A845" s="2" t="s">
        <v>59</v>
      </c>
      <c r="B845" s="2" t="s">
        <v>60</v>
      </c>
      <c r="C845" s="2" t="s">
        <v>8436</v>
      </c>
      <c r="D845" s="2" t="s">
        <v>8437</v>
      </c>
      <c r="E845" s="2" t="s">
        <v>8418</v>
      </c>
      <c r="F845" s="3" t="s">
        <v>245</v>
      </c>
      <c r="G845" s="3" t="s">
        <v>209</v>
      </c>
      <c r="I845" s="3" t="s">
        <v>209</v>
      </c>
      <c r="J845" s="3" t="s">
        <v>209</v>
      </c>
      <c r="K845" s="3" t="s">
        <v>66</v>
      </c>
      <c r="L845" s="2" t="s">
        <v>904</v>
      </c>
      <c r="M845" s="2" t="s">
        <v>8419</v>
      </c>
      <c r="N845" s="3" t="s">
        <v>7187</v>
      </c>
      <c r="P845" s="3" t="s">
        <v>69</v>
      </c>
      <c r="Q845" s="2" t="s">
        <v>8420</v>
      </c>
      <c r="R845" s="3" t="s">
        <v>71</v>
      </c>
      <c r="S845" s="4">
        <v>29</v>
      </c>
      <c r="T845" s="4">
        <v>85</v>
      </c>
      <c r="U845" s="5" t="s">
        <v>8190</v>
      </c>
      <c r="V845" s="5" t="s">
        <v>8190</v>
      </c>
      <c r="W845" s="5" t="s">
        <v>72</v>
      </c>
      <c r="X845" s="5" t="s">
        <v>72</v>
      </c>
      <c r="Y845" s="4">
        <v>49</v>
      </c>
      <c r="Z845" s="4">
        <v>3</v>
      </c>
      <c r="AA845" s="4">
        <v>144</v>
      </c>
      <c r="AB845" s="4">
        <v>1</v>
      </c>
      <c r="AC845" s="4">
        <v>10</v>
      </c>
      <c r="AD845" s="4">
        <v>7</v>
      </c>
      <c r="AE845" s="4">
        <v>161</v>
      </c>
      <c r="AF845" s="4">
        <v>0</v>
      </c>
      <c r="AG845" s="4">
        <v>4</v>
      </c>
      <c r="AH845" s="4">
        <v>5</v>
      </c>
      <c r="AI845" s="4">
        <v>115</v>
      </c>
      <c r="AJ845" s="4">
        <v>1</v>
      </c>
      <c r="AK845" s="4">
        <v>27</v>
      </c>
      <c r="AL845" s="4">
        <v>2</v>
      </c>
      <c r="AM845" s="4">
        <v>63</v>
      </c>
      <c r="AN845" s="4">
        <v>0</v>
      </c>
      <c r="AO845" s="4">
        <v>14</v>
      </c>
      <c r="AP845" s="4">
        <v>2</v>
      </c>
      <c r="AQ845" s="4">
        <v>52</v>
      </c>
      <c r="AR845" s="3" t="s">
        <v>65</v>
      </c>
      <c r="AS845" s="3" t="s">
        <v>65</v>
      </c>
      <c r="AT845" s="3" t="s">
        <v>209</v>
      </c>
      <c r="AU845" s="6" t="str">
        <f>HYPERLINK("http://catalog.hathitrust.org/Record/007959919","HathiTrust Record")</f>
        <v>HathiTrust Record</v>
      </c>
      <c r="AV845" s="6" t="str">
        <f>HYPERLINK("http://mcgill.on.worldcat.org/oclc/8081209","Catalog Record")</f>
        <v>Catalog Record</v>
      </c>
      <c r="AW845" s="6" t="str">
        <f>HYPERLINK("http://www.worldcat.org/oclc/8081209","WorldCat Record")</f>
        <v>WorldCat Record</v>
      </c>
      <c r="AX845" s="3" t="s">
        <v>8422</v>
      </c>
      <c r="AY845" s="3" t="s">
        <v>8423</v>
      </c>
      <c r="AZ845" s="3" t="s">
        <v>8424</v>
      </c>
      <c r="BA845" s="3" t="s">
        <v>8424</v>
      </c>
      <c r="BB845" s="3" t="s">
        <v>8441</v>
      </c>
      <c r="BC845" s="3" t="s">
        <v>77</v>
      </c>
      <c r="BD845" s="3" t="s">
        <v>78</v>
      </c>
      <c r="BE845" s="3" t="s">
        <v>8426</v>
      </c>
      <c r="BF845" s="3" t="s">
        <v>8441</v>
      </c>
      <c r="BG845" s="3" t="s">
        <v>8442</v>
      </c>
    </row>
    <row r="846" spans="1:59" ht="58" x14ac:dyDescent="0.35">
      <c r="A846" s="2" t="s">
        <v>59</v>
      </c>
      <c r="B846" s="2" t="s">
        <v>60</v>
      </c>
      <c r="C846" s="2" t="s">
        <v>8443</v>
      </c>
      <c r="D846" s="2" t="s">
        <v>8444</v>
      </c>
      <c r="E846" s="2" t="s">
        <v>8445</v>
      </c>
      <c r="G846" s="3" t="s">
        <v>65</v>
      </c>
      <c r="I846" s="3" t="s">
        <v>65</v>
      </c>
      <c r="J846" s="3" t="s">
        <v>65</v>
      </c>
      <c r="K846" s="3" t="s">
        <v>66</v>
      </c>
      <c r="L846" s="2" t="s">
        <v>904</v>
      </c>
      <c r="M846" s="2" t="s">
        <v>8446</v>
      </c>
      <c r="N846" s="3" t="s">
        <v>1967</v>
      </c>
      <c r="O846" s="2" t="s">
        <v>365</v>
      </c>
      <c r="P846" s="3" t="s">
        <v>140</v>
      </c>
      <c r="R846" s="3" t="s">
        <v>71</v>
      </c>
      <c r="S846" s="4">
        <v>2</v>
      </c>
      <c r="T846" s="4">
        <v>2</v>
      </c>
      <c r="U846" s="5" t="s">
        <v>8447</v>
      </c>
      <c r="V846" s="5" t="s">
        <v>8447</v>
      </c>
      <c r="W846" s="5" t="s">
        <v>72</v>
      </c>
      <c r="X846" s="5" t="s">
        <v>72</v>
      </c>
      <c r="Y846" s="4">
        <v>47</v>
      </c>
      <c r="Z846" s="4">
        <v>5</v>
      </c>
      <c r="AA846" s="4">
        <v>5</v>
      </c>
      <c r="AB846" s="4">
        <v>1</v>
      </c>
      <c r="AC846" s="4">
        <v>1</v>
      </c>
      <c r="AD846" s="4">
        <v>36</v>
      </c>
      <c r="AE846" s="4">
        <v>36</v>
      </c>
      <c r="AF846" s="4">
        <v>0</v>
      </c>
      <c r="AG846" s="4">
        <v>0</v>
      </c>
      <c r="AH846" s="4">
        <v>34</v>
      </c>
      <c r="AI846" s="4">
        <v>34</v>
      </c>
      <c r="AJ846" s="4">
        <v>3</v>
      </c>
      <c r="AK846" s="4">
        <v>3</v>
      </c>
      <c r="AL846" s="4">
        <v>28</v>
      </c>
      <c r="AM846" s="4">
        <v>28</v>
      </c>
      <c r="AN846" s="4">
        <v>5</v>
      </c>
      <c r="AO846" s="4">
        <v>5</v>
      </c>
      <c r="AP846" s="4">
        <v>3</v>
      </c>
      <c r="AQ846" s="4">
        <v>3</v>
      </c>
      <c r="AR846" s="3" t="s">
        <v>65</v>
      </c>
      <c r="AS846" s="3" t="s">
        <v>65</v>
      </c>
      <c r="AT846" s="3" t="s">
        <v>209</v>
      </c>
      <c r="AU846" s="6" t="str">
        <f>HYPERLINK("http://catalog.hathitrust.org/Record/005025277","HathiTrust Record")</f>
        <v>HathiTrust Record</v>
      </c>
      <c r="AV846" s="6" t="str">
        <f>HYPERLINK("http://mcgill.on.worldcat.org/oclc/60437113","Catalog Record")</f>
        <v>Catalog Record</v>
      </c>
      <c r="AW846" s="6" t="str">
        <f>HYPERLINK("http://www.worldcat.org/oclc/60437113","WorldCat Record")</f>
        <v>WorldCat Record</v>
      </c>
      <c r="AX846" s="3" t="s">
        <v>8448</v>
      </c>
      <c r="AY846" s="3" t="s">
        <v>8449</v>
      </c>
      <c r="AZ846" s="3" t="s">
        <v>8450</v>
      </c>
      <c r="BA846" s="3" t="s">
        <v>8450</v>
      </c>
      <c r="BB846" s="3" t="s">
        <v>8451</v>
      </c>
      <c r="BC846" s="3" t="s">
        <v>77</v>
      </c>
      <c r="BD846" s="3" t="s">
        <v>78</v>
      </c>
      <c r="BF846" s="3" t="s">
        <v>8451</v>
      </c>
      <c r="BG846" s="3" t="s">
        <v>8452</v>
      </c>
    </row>
    <row r="847" spans="1:59" ht="58" x14ac:dyDescent="0.35">
      <c r="A847" s="2" t="s">
        <v>59</v>
      </c>
      <c r="B847" s="2" t="s">
        <v>60</v>
      </c>
      <c r="C847" s="2" t="s">
        <v>8453</v>
      </c>
      <c r="D847" s="2" t="s">
        <v>8454</v>
      </c>
      <c r="E847" s="2" t="s">
        <v>8455</v>
      </c>
      <c r="F847" s="3" t="s">
        <v>490</v>
      </c>
      <c r="G847" s="3" t="s">
        <v>209</v>
      </c>
      <c r="I847" s="3" t="s">
        <v>65</v>
      </c>
      <c r="J847" s="3" t="s">
        <v>65</v>
      </c>
      <c r="K847" s="3" t="s">
        <v>66</v>
      </c>
      <c r="L847" s="2" t="s">
        <v>904</v>
      </c>
      <c r="M847" s="2" t="s">
        <v>8456</v>
      </c>
      <c r="N847" s="3" t="s">
        <v>5130</v>
      </c>
      <c r="P847" s="3" t="s">
        <v>69</v>
      </c>
      <c r="Q847" s="2" t="s">
        <v>8457</v>
      </c>
      <c r="R847" s="3" t="s">
        <v>71</v>
      </c>
      <c r="S847" s="4">
        <v>36</v>
      </c>
      <c r="T847" s="4">
        <v>69</v>
      </c>
      <c r="U847" s="5" t="s">
        <v>8190</v>
      </c>
      <c r="V847" s="5" t="s">
        <v>8190</v>
      </c>
      <c r="W847" s="5" t="s">
        <v>72</v>
      </c>
      <c r="X847" s="5" t="s">
        <v>72</v>
      </c>
      <c r="Y847" s="4">
        <v>330</v>
      </c>
      <c r="Z847" s="4">
        <v>10</v>
      </c>
      <c r="AA847" s="4">
        <v>10</v>
      </c>
      <c r="AB847" s="4">
        <v>1</v>
      </c>
      <c r="AC847" s="4">
        <v>1</v>
      </c>
      <c r="AD847" s="4">
        <v>47</v>
      </c>
      <c r="AE847" s="4">
        <v>47</v>
      </c>
      <c r="AF847" s="4">
        <v>0</v>
      </c>
      <c r="AG847" s="4">
        <v>0</v>
      </c>
      <c r="AH847" s="4">
        <v>40</v>
      </c>
      <c r="AI847" s="4">
        <v>40</v>
      </c>
      <c r="AJ847" s="4">
        <v>3</v>
      </c>
      <c r="AK847" s="4">
        <v>3</v>
      </c>
      <c r="AL847" s="4">
        <v>18</v>
      </c>
      <c r="AM847" s="4">
        <v>18</v>
      </c>
      <c r="AN847" s="4">
        <v>0</v>
      </c>
      <c r="AO847" s="4">
        <v>0</v>
      </c>
      <c r="AP847" s="4">
        <v>8</v>
      </c>
      <c r="AQ847" s="4">
        <v>8</v>
      </c>
      <c r="AR847" s="3" t="s">
        <v>65</v>
      </c>
      <c r="AS847" s="3" t="s">
        <v>65</v>
      </c>
      <c r="AT847" s="3" t="s">
        <v>209</v>
      </c>
      <c r="AU847" s="6" t="str">
        <f>HYPERLINK("http://catalog.hathitrust.org/Record/007959919","HathiTrust Record")</f>
        <v>HathiTrust Record</v>
      </c>
      <c r="AV847" s="6" t="str">
        <f>HYPERLINK("http://mcgill.on.worldcat.org/oclc/112114","Catalog Record")</f>
        <v>Catalog Record</v>
      </c>
      <c r="AW847" s="6" t="str">
        <f>HYPERLINK("http://www.worldcat.org/oclc/112114","WorldCat Record")</f>
        <v>WorldCat Record</v>
      </c>
      <c r="AX847" s="3" t="s">
        <v>8458</v>
      </c>
      <c r="AY847" s="3" t="s">
        <v>8459</v>
      </c>
      <c r="AZ847" s="3" t="s">
        <v>8460</v>
      </c>
      <c r="BA847" s="3" t="s">
        <v>8460</v>
      </c>
      <c r="BB847" s="3" t="s">
        <v>8461</v>
      </c>
      <c r="BC847" s="3" t="s">
        <v>77</v>
      </c>
      <c r="BD847" s="3" t="s">
        <v>78</v>
      </c>
      <c r="BE847" s="3" t="s">
        <v>8462</v>
      </c>
      <c r="BF847" s="3" t="s">
        <v>8461</v>
      </c>
      <c r="BG847" s="3" t="s">
        <v>8463</v>
      </c>
    </row>
    <row r="848" spans="1:59" ht="58" x14ac:dyDescent="0.35">
      <c r="A848" s="2" t="s">
        <v>59</v>
      </c>
      <c r="B848" s="2" t="s">
        <v>60</v>
      </c>
      <c r="C848" s="2" t="s">
        <v>8453</v>
      </c>
      <c r="D848" s="2" t="s">
        <v>8454</v>
      </c>
      <c r="E848" s="2" t="s">
        <v>8455</v>
      </c>
      <c r="F848" s="3" t="s">
        <v>503</v>
      </c>
      <c r="G848" s="3" t="s">
        <v>209</v>
      </c>
      <c r="I848" s="3" t="s">
        <v>65</v>
      </c>
      <c r="J848" s="3" t="s">
        <v>65</v>
      </c>
      <c r="K848" s="3" t="s">
        <v>66</v>
      </c>
      <c r="L848" s="2" t="s">
        <v>904</v>
      </c>
      <c r="M848" s="2" t="s">
        <v>8456</v>
      </c>
      <c r="N848" s="3" t="s">
        <v>5130</v>
      </c>
      <c r="P848" s="3" t="s">
        <v>69</v>
      </c>
      <c r="Q848" s="2" t="s">
        <v>8457</v>
      </c>
      <c r="R848" s="3" t="s">
        <v>71</v>
      </c>
      <c r="S848" s="4">
        <v>33</v>
      </c>
      <c r="T848" s="4">
        <v>69</v>
      </c>
      <c r="U848" s="5" t="s">
        <v>8409</v>
      </c>
      <c r="V848" s="5" t="s">
        <v>8190</v>
      </c>
      <c r="W848" s="5" t="s">
        <v>72</v>
      </c>
      <c r="X848" s="5" t="s">
        <v>72</v>
      </c>
      <c r="Y848" s="4">
        <v>330</v>
      </c>
      <c r="Z848" s="4">
        <v>10</v>
      </c>
      <c r="AA848" s="4">
        <v>10</v>
      </c>
      <c r="AB848" s="4">
        <v>1</v>
      </c>
      <c r="AC848" s="4">
        <v>1</v>
      </c>
      <c r="AD848" s="4">
        <v>47</v>
      </c>
      <c r="AE848" s="4">
        <v>47</v>
      </c>
      <c r="AF848" s="4">
        <v>0</v>
      </c>
      <c r="AG848" s="4">
        <v>0</v>
      </c>
      <c r="AH848" s="4">
        <v>40</v>
      </c>
      <c r="AI848" s="4">
        <v>40</v>
      </c>
      <c r="AJ848" s="4">
        <v>3</v>
      </c>
      <c r="AK848" s="4">
        <v>3</v>
      </c>
      <c r="AL848" s="4">
        <v>18</v>
      </c>
      <c r="AM848" s="4">
        <v>18</v>
      </c>
      <c r="AN848" s="4">
        <v>0</v>
      </c>
      <c r="AO848" s="4">
        <v>0</v>
      </c>
      <c r="AP848" s="4">
        <v>8</v>
      </c>
      <c r="AQ848" s="4">
        <v>8</v>
      </c>
      <c r="AR848" s="3" t="s">
        <v>65</v>
      </c>
      <c r="AS848" s="3" t="s">
        <v>65</v>
      </c>
      <c r="AT848" s="3" t="s">
        <v>209</v>
      </c>
      <c r="AU848" s="6" t="str">
        <f>HYPERLINK("http://catalog.hathitrust.org/Record/007959919","HathiTrust Record")</f>
        <v>HathiTrust Record</v>
      </c>
      <c r="AV848" s="6" t="str">
        <f>HYPERLINK("http://mcgill.on.worldcat.org/oclc/112114","Catalog Record")</f>
        <v>Catalog Record</v>
      </c>
      <c r="AW848" s="6" t="str">
        <f>HYPERLINK("http://www.worldcat.org/oclc/112114","WorldCat Record")</f>
        <v>WorldCat Record</v>
      </c>
      <c r="AX848" s="3" t="s">
        <v>8458</v>
      </c>
      <c r="AY848" s="3" t="s">
        <v>8459</v>
      </c>
      <c r="AZ848" s="3" t="s">
        <v>8460</v>
      </c>
      <c r="BA848" s="3" t="s">
        <v>8460</v>
      </c>
      <c r="BB848" s="3" t="s">
        <v>8464</v>
      </c>
      <c r="BC848" s="3" t="s">
        <v>77</v>
      </c>
      <c r="BD848" s="3" t="s">
        <v>78</v>
      </c>
      <c r="BE848" s="3" t="s">
        <v>8462</v>
      </c>
      <c r="BF848" s="3" t="s">
        <v>8464</v>
      </c>
      <c r="BG848" s="3" t="s">
        <v>8465</v>
      </c>
    </row>
    <row r="849" spans="1:59" ht="58" x14ac:dyDescent="0.35">
      <c r="A849" s="2" t="s">
        <v>59</v>
      </c>
      <c r="B849" s="2" t="s">
        <v>60</v>
      </c>
      <c r="C849" s="2" t="s">
        <v>8466</v>
      </c>
      <c r="D849" s="2" t="s">
        <v>8467</v>
      </c>
      <c r="E849" s="2" t="s">
        <v>8468</v>
      </c>
      <c r="G849" s="3" t="s">
        <v>65</v>
      </c>
      <c r="I849" s="3" t="s">
        <v>65</v>
      </c>
      <c r="J849" s="3" t="s">
        <v>209</v>
      </c>
      <c r="K849" s="3" t="s">
        <v>66</v>
      </c>
      <c r="L849" s="2" t="s">
        <v>904</v>
      </c>
      <c r="M849" s="2" t="s">
        <v>8469</v>
      </c>
      <c r="N849" s="3" t="s">
        <v>742</v>
      </c>
      <c r="O849" s="2" t="s">
        <v>8470</v>
      </c>
      <c r="P849" s="3" t="s">
        <v>69</v>
      </c>
      <c r="Q849" s="2" t="s">
        <v>8471</v>
      </c>
      <c r="R849" s="3" t="s">
        <v>71</v>
      </c>
      <c r="S849" s="4">
        <v>1</v>
      </c>
      <c r="T849" s="4">
        <v>1</v>
      </c>
      <c r="U849" s="5" t="s">
        <v>8380</v>
      </c>
      <c r="V849" s="5" t="s">
        <v>8380</v>
      </c>
      <c r="W849" s="5" t="s">
        <v>72</v>
      </c>
      <c r="X849" s="5" t="s">
        <v>72</v>
      </c>
      <c r="Y849" s="4">
        <v>20</v>
      </c>
      <c r="Z849" s="4">
        <v>1</v>
      </c>
      <c r="AA849" s="4">
        <v>39</v>
      </c>
      <c r="AB849" s="4">
        <v>1</v>
      </c>
      <c r="AC849" s="4">
        <v>2</v>
      </c>
      <c r="AD849" s="4">
        <v>4</v>
      </c>
      <c r="AE849" s="4">
        <v>102</v>
      </c>
      <c r="AF849" s="4">
        <v>0</v>
      </c>
      <c r="AG849" s="4">
        <v>1</v>
      </c>
      <c r="AH849" s="4">
        <v>4</v>
      </c>
      <c r="AI849" s="4">
        <v>84</v>
      </c>
      <c r="AJ849" s="4">
        <v>0</v>
      </c>
      <c r="AK849" s="4">
        <v>13</v>
      </c>
      <c r="AL849" s="4">
        <v>2</v>
      </c>
      <c r="AM849" s="4">
        <v>48</v>
      </c>
      <c r="AN849" s="4">
        <v>0</v>
      </c>
      <c r="AO849" s="4">
        <v>4</v>
      </c>
      <c r="AP849" s="4">
        <v>0</v>
      </c>
      <c r="AQ849" s="4">
        <v>21</v>
      </c>
      <c r="AR849" s="3" t="s">
        <v>65</v>
      </c>
      <c r="AS849" s="3" t="s">
        <v>65</v>
      </c>
      <c r="AT849" s="3" t="s">
        <v>65</v>
      </c>
      <c r="AV849" s="6" t="str">
        <f>HYPERLINK("http://mcgill.on.worldcat.org/oclc/5808835","Catalog Record")</f>
        <v>Catalog Record</v>
      </c>
      <c r="AW849" s="6" t="str">
        <f>HYPERLINK("http://www.worldcat.org/oclc/5808835","WorldCat Record")</f>
        <v>WorldCat Record</v>
      </c>
      <c r="AX849" s="3" t="s">
        <v>8472</v>
      </c>
      <c r="AY849" s="3" t="s">
        <v>8473</v>
      </c>
      <c r="AZ849" s="3" t="s">
        <v>8474</v>
      </c>
      <c r="BA849" s="3" t="s">
        <v>8474</v>
      </c>
      <c r="BB849" s="3" t="s">
        <v>8475</v>
      </c>
      <c r="BC849" s="3" t="s">
        <v>77</v>
      </c>
      <c r="BD849" s="3" t="s">
        <v>78</v>
      </c>
      <c r="BF849" s="3" t="s">
        <v>8475</v>
      </c>
      <c r="BG849" s="3" t="s">
        <v>8476</v>
      </c>
    </row>
    <row r="850" spans="1:59" ht="58" x14ac:dyDescent="0.35">
      <c r="A850" s="2" t="s">
        <v>59</v>
      </c>
      <c r="B850" s="2" t="s">
        <v>60</v>
      </c>
      <c r="C850" s="2" t="s">
        <v>8477</v>
      </c>
      <c r="D850" s="2" t="s">
        <v>8478</v>
      </c>
      <c r="E850" s="2" t="s">
        <v>8479</v>
      </c>
      <c r="F850" s="3" t="s">
        <v>245</v>
      </c>
      <c r="G850" s="3" t="s">
        <v>209</v>
      </c>
      <c r="I850" s="3" t="s">
        <v>65</v>
      </c>
      <c r="J850" s="3" t="s">
        <v>209</v>
      </c>
      <c r="K850" s="3" t="s">
        <v>66</v>
      </c>
      <c r="L850" s="2" t="s">
        <v>904</v>
      </c>
      <c r="M850" s="2" t="s">
        <v>8480</v>
      </c>
      <c r="N850" s="3" t="s">
        <v>2750</v>
      </c>
      <c r="P850" s="3" t="s">
        <v>69</v>
      </c>
      <c r="Q850" s="2" t="s">
        <v>8481</v>
      </c>
      <c r="R850" s="3" t="s">
        <v>71</v>
      </c>
      <c r="S850" s="4">
        <v>29</v>
      </c>
      <c r="T850" s="4">
        <v>45</v>
      </c>
      <c r="U850" s="5" t="s">
        <v>8190</v>
      </c>
      <c r="V850" s="5" t="s">
        <v>8482</v>
      </c>
      <c r="W850" s="5" t="s">
        <v>72</v>
      </c>
      <c r="X850" s="5" t="s">
        <v>72</v>
      </c>
      <c r="Y850" s="4">
        <v>225</v>
      </c>
      <c r="Z850" s="4">
        <v>11</v>
      </c>
      <c r="AA850" s="4">
        <v>77</v>
      </c>
      <c r="AB850" s="4">
        <v>3</v>
      </c>
      <c r="AC850" s="4">
        <v>6</v>
      </c>
      <c r="AD850" s="4">
        <v>34</v>
      </c>
      <c r="AE850" s="4">
        <v>140</v>
      </c>
      <c r="AF850" s="4">
        <v>1</v>
      </c>
      <c r="AG850" s="4">
        <v>1</v>
      </c>
      <c r="AH850" s="4">
        <v>29</v>
      </c>
      <c r="AI850" s="4">
        <v>110</v>
      </c>
      <c r="AJ850" s="4">
        <v>5</v>
      </c>
      <c r="AK850" s="4">
        <v>18</v>
      </c>
      <c r="AL850" s="4">
        <v>14</v>
      </c>
      <c r="AM850" s="4">
        <v>60</v>
      </c>
      <c r="AN850" s="4">
        <v>0</v>
      </c>
      <c r="AO850" s="4">
        <v>2</v>
      </c>
      <c r="AP850" s="4">
        <v>8</v>
      </c>
      <c r="AQ850" s="4">
        <v>36</v>
      </c>
      <c r="AR850" s="3" t="s">
        <v>65</v>
      </c>
      <c r="AS850" s="3" t="s">
        <v>65</v>
      </c>
      <c r="AT850" s="3" t="s">
        <v>209</v>
      </c>
      <c r="AU850" s="6" t="str">
        <f>HYPERLINK("http://catalog.hathitrust.org/Record/007577723","HathiTrust Record")</f>
        <v>HathiTrust Record</v>
      </c>
      <c r="AV850" s="6" t="str">
        <f>HYPERLINK("http://mcgill.on.worldcat.org/oclc/1337069","Catalog Record")</f>
        <v>Catalog Record</v>
      </c>
      <c r="AW850" s="6" t="str">
        <f>HYPERLINK("http://www.worldcat.org/oclc/1337069","WorldCat Record")</f>
        <v>WorldCat Record</v>
      </c>
      <c r="AX850" s="3" t="s">
        <v>8483</v>
      </c>
      <c r="AY850" s="3" t="s">
        <v>8484</v>
      </c>
      <c r="AZ850" s="3" t="s">
        <v>8485</v>
      </c>
      <c r="BA850" s="3" t="s">
        <v>8485</v>
      </c>
      <c r="BB850" s="3" t="s">
        <v>8486</v>
      </c>
      <c r="BC850" s="3" t="s">
        <v>77</v>
      </c>
      <c r="BD850" s="3" t="s">
        <v>78</v>
      </c>
      <c r="BE850" s="3" t="s">
        <v>8487</v>
      </c>
      <c r="BF850" s="3" t="s">
        <v>8486</v>
      </c>
      <c r="BG850" s="3" t="s">
        <v>8488</v>
      </c>
    </row>
    <row r="851" spans="1:59" ht="58" x14ac:dyDescent="0.35">
      <c r="A851" s="2" t="s">
        <v>59</v>
      </c>
      <c r="B851" s="2" t="s">
        <v>60</v>
      </c>
      <c r="C851" s="2" t="s">
        <v>8477</v>
      </c>
      <c r="D851" s="2" t="s">
        <v>8478</v>
      </c>
      <c r="E851" s="2" t="s">
        <v>8479</v>
      </c>
      <c r="F851" s="3" t="s">
        <v>258</v>
      </c>
      <c r="G851" s="3" t="s">
        <v>209</v>
      </c>
      <c r="I851" s="3" t="s">
        <v>65</v>
      </c>
      <c r="J851" s="3" t="s">
        <v>209</v>
      </c>
      <c r="K851" s="3" t="s">
        <v>66</v>
      </c>
      <c r="L851" s="2" t="s">
        <v>904</v>
      </c>
      <c r="M851" s="2" t="s">
        <v>8480</v>
      </c>
      <c r="N851" s="3" t="s">
        <v>2750</v>
      </c>
      <c r="P851" s="3" t="s">
        <v>69</v>
      </c>
      <c r="Q851" s="2" t="s">
        <v>8481</v>
      </c>
      <c r="R851" s="3" t="s">
        <v>71</v>
      </c>
      <c r="S851" s="4">
        <v>16</v>
      </c>
      <c r="T851" s="4">
        <v>45</v>
      </c>
      <c r="U851" s="5" t="s">
        <v>8482</v>
      </c>
      <c r="V851" s="5" t="s">
        <v>8482</v>
      </c>
      <c r="W851" s="5" t="s">
        <v>72</v>
      </c>
      <c r="X851" s="5" t="s">
        <v>72</v>
      </c>
      <c r="Y851" s="4">
        <v>225</v>
      </c>
      <c r="Z851" s="4">
        <v>11</v>
      </c>
      <c r="AA851" s="4">
        <v>77</v>
      </c>
      <c r="AB851" s="4">
        <v>3</v>
      </c>
      <c r="AC851" s="4">
        <v>6</v>
      </c>
      <c r="AD851" s="4">
        <v>34</v>
      </c>
      <c r="AE851" s="4">
        <v>140</v>
      </c>
      <c r="AF851" s="4">
        <v>1</v>
      </c>
      <c r="AG851" s="4">
        <v>1</v>
      </c>
      <c r="AH851" s="4">
        <v>29</v>
      </c>
      <c r="AI851" s="4">
        <v>110</v>
      </c>
      <c r="AJ851" s="4">
        <v>5</v>
      </c>
      <c r="AK851" s="4">
        <v>18</v>
      </c>
      <c r="AL851" s="4">
        <v>14</v>
      </c>
      <c r="AM851" s="4">
        <v>60</v>
      </c>
      <c r="AN851" s="4">
        <v>0</v>
      </c>
      <c r="AO851" s="4">
        <v>2</v>
      </c>
      <c r="AP851" s="4">
        <v>8</v>
      </c>
      <c r="AQ851" s="4">
        <v>36</v>
      </c>
      <c r="AR851" s="3" t="s">
        <v>65</v>
      </c>
      <c r="AS851" s="3" t="s">
        <v>65</v>
      </c>
      <c r="AT851" s="3" t="s">
        <v>209</v>
      </c>
      <c r="AU851" s="6" t="str">
        <f>HYPERLINK("http://catalog.hathitrust.org/Record/007577723","HathiTrust Record")</f>
        <v>HathiTrust Record</v>
      </c>
      <c r="AV851" s="6" t="str">
        <f>HYPERLINK("http://mcgill.on.worldcat.org/oclc/1337069","Catalog Record")</f>
        <v>Catalog Record</v>
      </c>
      <c r="AW851" s="6" t="str">
        <f>HYPERLINK("http://www.worldcat.org/oclc/1337069","WorldCat Record")</f>
        <v>WorldCat Record</v>
      </c>
      <c r="AX851" s="3" t="s">
        <v>8483</v>
      </c>
      <c r="AY851" s="3" t="s">
        <v>8484</v>
      </c>
      <c r="AZ851" s="3" t="s">
        <v>8485</v>
      </c>
      <c r="BA851" s="3" t="s">
        <v>8485</v>
      </c>
      <c r="BB851" s="3" t="s">
        <v>8489</v>
      </c>
      <c r="BC851" s="3" t="s">
        <v>77</v>
      </c>
      <c r="BD851" s="3" t="s">
        <v>78</v>
      </c>
      <c r="BE851" s="3" t="s">
        <v>8487</v>
      </c>
      <c r="BF851" s="3" t="s">
        <v>8489</v>
      </c>
      <c r="BG851" s="3" t="s">
        <v>8490</v>
      </c>
    </row>
    <row r="852" spans="1:59" ht="58" x14ac:dyDescent="0.35">
      <c r="A852" s="2" t="s">
        <v>59</v>
      </c>
      <c r="B852" s="2" t="s">
        <v>60</v>
      </c>
      <c r="C852" s="2" t="s">
        <v>8491</v>
      </c>
      <c r="D852" s="2" t="s">
        <v>8492</v>
      </c>
      <c r="E852" s="2" t="s">
        <v>8493</v>
      </c>
      <c r="G852" s="3" t="s">
        <v>65</v>
      </c>
      <c r="I852" s="3" t="s">
        <v>65</v>
      </c>
      <c r="J852" s="3" t="s">
        <v>209</v>
      </c>
      <c r="K852" s="3" t="s">
        <v>66</v>
      </c>
      <c r="L852" s="2" t="s">
        <v>904</v>
      </c>
      <c r="M852" s="2" t="s">
        <v>8494</v>
      </c>
      <c r="N852" s="3" t="s">
        <v>7039</v>
      </c>
      <c r="P852" s="3" t="s">
        <v>140</v>
      </c>
      <c r="R852" s="3" t="s">
        <v>71</v>
      </c>
      <c r="S852" s="4">
        <v>2</v>
      </c>
      <c r="T852" s="4">
        <v>2</v>
      </c>
      <c r="U852" s="5" t="s">
        <v>8178</v>
      </c>
      <c r="V852" s="5" t="s">
        <v>8178</v>
      </c>
      <c r="W852" s="5" t="s">
        <v>72</v>
      </c>
      <c r="X852" s="5" t="s">
        <v>72</v>
      </c>
      <c r="Y852" s="4">
        <v>15</v>
      </c>
      <c r="Z852" s="4">
        <v>3</v>
      </c>
      <c r="AA852" s="4">
        <v>13</v>
      </c>
      <c r="AB852" s="4">
        <v>1</v>
      </c>
      <c r="AC852" s="4">
        <v>3</v>
      </c>
      <c r="AD852" s="4">
        <v>6</v>
      </c>
      <c r="AE852" s="4">
        <v>50</v>
      </c>
      <c r="AF852" s="4">
        <v>0</v>
      </c>
      <c r="AG852" s="4">
        <v>2</v>
      </c>
      <c r="AH852" s="4">
        <v>6</v>
      </c>
      <c r="AI852" s="4">
        <v>45</v>
      </c>
      <c r="AJ852" s="4">
        <v>2</v>
      </c>
      <c r="AK852" s="4">
        <v>8</v>
      </c>
      <c r="AL852" s="4">
        <v>2</v>
      </c>
      <c r="AM852" s="4">
        <v>32</v>
      </c>
      <c r="AN852" s="4">
        <v>0</v>
      </c>
      <c r="AO852" s="4">
        <v>0</v>
      </c>
      <c r="AP852" s="4">
        <v>2</v>
      </c>
      <c r="AQ852" s="4">
        <v>8</v>
      </c>
      <c r="AR852" s="3" t="s">
        <v>65</v>
      </c>
      <c r="AS852" s="3" t="s">
        <v>65</v>
      </c>
      <c r="AT852" s="3" t="s">
        <v>65</v>
      </c>
      <c r="AV852" s="6" t="str">
        <f>HYPERLINK("http://mcgill.on.worldcat.org/oclc/7524797","Catalog Record")</f>
        <v>Catalog Record</v>
      </c>
      <c r="AW852" s="6" t="str">
        <f>HYPERLINK("http://www.worldcat.org/oclc/7524797","WorldCat Record")</f>
        <v>WorldCat Record</v>
      </c>
      <c r="AX852" s="3" t="s">
        <v>8495</v>
      </c>
      <c r="AY852" s="3" t="s">
        <v>8496</v>
      </c>
      <c r="AZ852" s="3" t="s">
        <v>8497</v>
      </c>
      <c r="BA852" s="3" t="s">
        <v>8497</v>
      </c>
      <c r="BB852" s="3" t="s">
        <v>8498</v>
      </c>
      <c r="BC852" s="3" t="s">
        <v>77</v>
      </c>
      <c r="BD852" s="3" t="s">
        <v>78</v>
      </c>
      <c r="BF852" s="3" t="s">
        <v>8498</v>
      </c>
      <c r="BG852" s="3" t="s">
        <v>8499</v>
      </c>
    </row>
    <row r="853" spans="1:59" ht="58" x14ac:dyDescent="0.35">
      <c r="A853" s="2" t="s">
        <v>59</v>
      </c>
      <c r="B853" s="2" t="s">
        <v>60</v>
      </c>
      <c r="C853" s="2" t="s">
        <v>8500</v>
      </c>
      <c r="D853" s="2" t="s">
        <v>8501</v>
      </c>
      <c r="E853" s="2" t="s">
        <v>8502</v>
      </c>
      <c r="G853" s="3" t="s">
        <v>65</v>
      </c>
      <c r="I853" s="3" t="s">
        <v>65</v>
      </c>
      <c r="J853" s="3" t="s">
        <v>65</v>
      </c>
      <c r="K853" s="3" t="s">
        <v>66</v>
      </c>
      <c r="L853" s="2" t="s">
        <v>904</v>
      </c>
      <c r="M853" s="2" t="s">
        <v>8503</v>
      </c>
      <c r="N853" s="3" t="s">
        <v>5060</v>
      </c>
      <c r="P853" s="3" t="s">
        <v>140</v>
      </c>
      <c r="Q853" s="2" t="s">
        <v>8504</v>
      </c>
      <c r="R853" s="3" t="s">
        <v>71</v>
      </c>
      <c r="S853" s="4">
        <v>4</v>
      </c>
      <c r="T853" s="4">
        <v>4</v>
      </c>
      <c r="U853" s="5" t="s">
        <v>8505</v>
      </c>
      <c r="V853" s="5" t="s">
        <v>8505</v>
      </c>
      <c r="W853" s="5" t="s">
        <v>72</v>
      </c>
      <c r="X853" s="5" t="s">
        <v>72</v>
      </c>
      <c r="Y853" s="4">
        <v>74</v>
      </c>
      <c r="Z853" s="4">
        <v>3</v>
      </c>
      <c r="AA853" s="4">
        <v>6</v>
      </c>
      <c r="AB853" s="4">
        <v>2</v>
      </c>
      <c r="AC853" s="4">
        <v>2</v>
      </c>
      <c r="AD853" s="4">
        <v>32</v>
      </c>
      <c r="AE853" s="4">
        <v>37</v>
      </c>
      <c r="AF853" s="4">
        <v>1</v>
      </c>
      <c r="AG853" s="4">
        <v>1</v>
      </c>
      <c r="AH853" s="4">
        <v>28</v>
      </c>
      <c r="AI853" s="4">
        <v>32</v>
      </c>
      <c r="AJ853" s="4">
        <v>1</v>
      </c>
      <c r="AK853" s="4">
        <v>4</v>
      </c>
      <c r="AL853" s="4">
        <v>24</v>
      </c>
      <c r="AM853" s="4">
        <v>25</v>
      </c>
      <c r="AN853" s="4">
        <v>0</v>
      </c>
      <c r="AO853" s="4">
        <v>0</v>
      </c>
      <c r="AP853" s="4">
        <v>2</v>
      </c>
      <c r="AQ853" s="4">
        <v>5</v>
      </c>
      <c r="AR853" s="3" t="s">
        <v>65</v>
      </c>
      <c r="AS853" s="3" t="s">
        <v>65</v>
      </c>
      <c r="AT853" s="3" t="s">
        <v>209</v>
      </c>
      <c r="AU853" s="6" t="str">
        <f>HYPERLINK("http://catalog.hathitrust.org/Record/000879455","HathiTrust Record")</f>
        <v>HathiTrust Record</v>
      </c>
      <c r="AV853" s="6" t="str">
        <f>HYPERLINK("http://mcgill.on.worldcat.org/oclc/2630606","Catalog Record")</f>
        <v>Catalog Record</v>
      </c>
      <c r="AW853" s="6" t="str">
        <f>HYPERLINK("http://www.worldcat.org/oclc/2630606","WorldCat Record")</f>
        <v>WorldCat Record</v>
      </c>
      <c r="AX853" s="3" t="s">
        <v>8506</v>
      </c>
      <c r="AY853" s="3" t="s">
        <v>8507</v>
      </c>
      <c r="AZ853" s="3" t="s">
        <v>8508</v>
      </c>
      <c r="BA853" s="3" t="s">
        <v>8508</v>
      </c>
      <c r="BB853" s="3" t="s">
        <v>8509</v>
      </c>
      <c r="BC853" s="3" t="s">
        <v>77</v>
      </c>
      <c r="BD853" s="3" t="s">
        <v>78</v>
      </c>
      <c r="BF853" s="3" t="s">
        <v>8509</v>
      </c>
      <c r="BG853" s="3" t="s">
        <v>8510</v>
      </c>
    </row>
    <row r="854" spans="1:59" ht="58" x14ac:dyDescent="0.35">
      <c r="A854" s="2" t="s">
        <v>59</v>
      </c>
      <c r="B854" s="2" t="s">
        <v>60</v>
      </c>
      <c r="C854" s="2" t="s">
        <v>8511</v>
      </c>
      <c r="D854" s="2" t="s">
        <v>8512</v>
      </c>
      <c r="E854" s="2" t="s">
        <v>8513</v>
      </c>
      <c r="F854" s="3" t="s">
        <v>490</v>
      </c>
      <c r="G854" s="3" t="s">
        <v>209</v>
      </c>
      <c r="I854" s="3" t="s">
        <v>209</v>
      </c>
      <c r="J854" s="3" t="s">
        <v>65</v>
      </c>
      <c r="K854" s="3" t="s">
        <v>66</v>
      </c>
      <c r="L854" s="2" t="s">
        <v>904</v>
      </c>
      <c r="M854" s="2" t="s">
        <v>8514</v>
      </c>
      <c r="N854" s="3" t="s">
        <v>311</v>
      </c>
      <c r="P854" s="3" t="s">
        <v>69</v>
      </c>
      <c r="R854" s="3" t="s">
        <v>71</v>
      </c>
      <c r="S854" s="4">
        <v>13</v>
      </c>
      <c r="T854" s="4">
        <v>21</v>
      </c>
      <c r="U854" s="5" t="s">
        <v>8515</v>
      </c>
      <c r="V854" s="5" t="s">
        <v>8515</v>
      </c>
      <c r="W854" s="5" t="s">
        <v>72</v>
      </c>
      <c r="X854" s="5" t="s">
        <v>72</v>
      </c>
      <c r="Y854" s="4">
        <v>742</v>
      </c>
      <c r="Z854" s="4">
        <v>36</v>
      </c>
      <c r="AA854" s="4">
        <v>36</v>
      </c>
      <c r="AB854" s="4">
        <v>4</v>
      </c>
      <c r="AC854" s="4">
        <v>4</v>
      </c>
      <c r="AD854" s="4">
        <v>119</v>
      </c>
      <c r="AE854" s="4">
        <v>119</v>
      </c>
      <c r="AF854" s="4">
        <v>1</v>
      </c>
      <c r="AG854" s="4">
        <v>1</v>
      </c>
      <c r="AH854" s="4">
        <v>101</v>
      </c>
      <c r="AI854" s="4">
        <v>101</v>
      </c>
      <c r="AJ854" s="4">
        <v>18</v>
      </c>
      <c r="AK854" s="4">
        <v>18</v>
      </c>
      <c r="AL854" s="4">
        <v>53</v>
      </c>
      <c r="AM854" s="4">
        <v>53</v>
      </c>
      <c r="AN854" s="4">
        <v>0</v>
      </c>
      <c r="AO854" s="4">
        <v>0</v>
      </c>
      <c r="AP854" s="4">
        <v>24</v>
      </c>
      <c r="AQ854" s="4">
        <v>24</v>
      </c>
      <c r="AR854" s="3" t="s">
        <v>65</v>
      </c>
      <c r="AS854" s="3" t="s">
        <v>65</v>
      </c>
      <c r="AT854" s="3" t="s">
        <v>209</v>
      </c>
      <c r="AU854" s="6" t="str">
        <f>HYPERLINK("http://catalog.hathitrust.org/Record/000879176","HathiTrust Record")</f>
        <v>HathiTrust Record</v>
      </c>
      <c r="AV854" s="6" t="str">
        <f>HYPERLINK("http://mcgill.on.worldcat.org/oclc/955375","Catalog Record")</f>
        <v>Catalog Record</v>
      </c>
      <c r="AW854" s="6" t="str">
        <f>HYPERLINK("http://www.worldcat.org/oclc/955375","WorldCat Record")</f>
        <v>WorldCat Record</v>
      </c>
      <c r="AX854" s="3" t="s">
        <v>8516</v>
      </c>
      <c r="AY854" s="3" t="s">
        <v>8517</v>
      </c>
      <c r="AZ854" s="3" t="s">
        <v>8518</v>
      </c>
      <c r="BA854" s="3" t="s">
        <v>8518</v>
      </c>
      <c r="BB854" s="3" t="s">
        <v>8519</v>
      </c>
      <c r="BC854" s="3" t="s">
        <v>77</v>
      </c>
      <c r="BD854" s="3" t="s">
        <v>78</v>
      </c>
      <c r="BF854" s="3" t="s">
        <v>8519</v>
      </c>
      <c r="BG854" s="3" t="s">
        <v>8520</v>
      </c>
    </row>
    <row r="855" spans="1:59" ht="58" x14ac:dyDescent="0.35">
      <c r="A855" s="2" t="s">
        <v>59</v>
      </c>
      <c r="B855" s="2" t="s">
        <v>60</v>
      </c>
      <c r="C855" s="2" t="s">
        <v>8511</v>
      </c>
      <c r="D855" s="2" t="s">
        <v>8512</v>
      </c>
      <c r="E855" s="2" t="s">
        <v>8513</v>
      </c>
      <c r="F855" s="3" t="s">
        <v>245</v>
      </c>
      <c r="G855" s="3" t="s">
        <v>209</v>
      </c>
      <c r="I855" s="3" t="s">
        <v>209</v>
      </c>
      <c r="J855" s="3" t="s">
        <v>65</v>
      </c>
      <c r="K855" s="3" t="s">
        <v>66</v>
      </c>
      <c r="L855" s="2" t="s">
        <v>904</v>
      </c>
      <c r="M855" s="2" t="s">
        <v>8514</v>
      </c>
      <c r="N855" s="3" t="s">
        <v>311</v>
      </c>
      <c r="P855" s="3" t="s">
        <v>69</v>
      </c>
      <c r="R855" s="3" t="s">
        <v>71</v>
      </c>
      <c r="S855" s="4">
        <v>3</v>
      </c>
      <c r="T855" s="4">
        <v>21</v>
      </c>
      <c r="U855" s="5" t="s">
        <v>8521</v>
      </c>
      <c r="V855" s="5" t="s">
        <v>8515</v>
      </c>
      <c r="W855" s="5" t="s">
        <v>72</v>
      </c>
      <c r="X855" s="5" t="s">
        <v>72</v>
      </c>
      <c r="Y855" s="4">
        <v>742</v>
      </c>
      <c r="Z855" s="4">
        <v>36</v>
      </c>
      <c r="AA855" s="4">
        <v>36</v>
      </c>
      <c r="AB855" s="4">
        <v>4</v>
      </c>
      <c r="AC855" s="4">
        <v>4</v>
      </c>
      <c r="AD855" s="4">
        <v>119</v>
      </c>
      <c r="AE855" s="4">
        <v>119</v>
      </c>
      <c r="AF855" s="4">
        <v>1</v>
      </c>
      <c r="AG855" s="4">
        <v>1</v>
      </c>
      <c r="AH855" s="4">
        <v>101</v>
      </c>
      <c r="AI855" s="4">
        <v>101</v>
      </c>
      <c r="AJ855" s="4">
        <v>18</v>
      </c>
      <c r="AK855" s="4">
        <v>18</v>
      </c>
      <c r="AL855" s="4">
        <v>53</v>
      </c>
      <c r="AM855" s="4">
        <v>53</v>
      </c>
      <c r="AN855" s="4">
        <v>0</v>
      </c>
      <c r="AO855" s="4">
        <v>0</v>
      </c>
      <c r="AP855" s="4">
        <v>24</v>
      </c>
      <c r="AQ855" s="4">
        <v>24</v>
      </c>
      <c r="AR855" s="3" t="s">
        <v>65</v>
      </c>
      <c r="AS855" s="3" t="s">
        <v>65</v>
      </c>
      <c r="AT855" s="3" t="s">
        <v>209</v>
      </c>
      <c r="AU855" s="6" t="str">
        <f>HYPERLINK("http://catalog.hathitrust.org/Record/000879176","HathiTrust Record")</f>
        <v>HathiTrust Record</v>
      </c>
      <c r="AV855" s="6" t="str">
        <f>HYPERLINK("http://mcgill.on.worldcat.org/oclc/955375","Catalog Record")</f>
        <v>Catalog Record</v>
      </c>
      <c r="AW855" s="6" t="str">
        <f>HYPERLINK("http://www.worldcat.org/oclc/955375","WorldCat Record")</f>
        <v>WorldCat Record</v>
      </c>
      <c r="AX855" s="3" t="s">
        <v>8516</v>
      </c>
      <c r="AY855" s="3" t="s">
        <v>8517</v>
      </c>
      <c r="AZ855" s="3" t="s">
        <v>8518</v>
      </c>
      <c r="BA855" s="3" t="s">
        <v>8518</v>
      </c>
      <c r="BB855" s="3" t="s">
        <v>8522</v>
      </c>
      <c r="BC855" s="3" t="s">
        <v>77</v>
      </c>
      <c r="BD855" s="3" t="s">
        <v>78</v>
      </c>
      <c r="BF855" s="3" t="s">
        <v>8522</v>
      </c>
      <c r="BG855" s="3" t="s">
        <v>8523</v>
      </c>
    </row>
    <row r="856" spans="1:59" ht="58" x14ac:dyDescent="0.35">
      <c r="A856" s="2" t="s">
        <v>59</v>
      </c>
      <c r="B856" s="2" t="s">
        <v>60</v>
      </c>
      <c r="C856" s="2" t="s">
        <v>8511</v>
      </c>
      <c r="D856" s="2" t="s">
        <v>8512</v>
      </c>
      <c r="E856" s="2" t="s">
        <v>8513</v>
      </c>
      <c r="F856" s="3" t="s">
        <v>503</v>
      </c>
      <c r="G856" s="3" t="s">
        <v>209</v>
      </c>
      <c r="I856" s="3" t="s">
        <v>209</v>
      </c>
      <c r="J856" s="3" t="s">
        <v>65</v>
      </c>
      <c r="K856" s="3" t="s">
        <v>66</v>
      </c>
      <c r="L856" s="2" t="s">
        <v>904</v>
      </c>
      <c r="M856" s="2" t="s">
        <v>8514</v>
      </c>
      <c r="N856" s="3" t="s">
        <v>311</v>
      </c>
      <c r="P856" s="3" t="s">
        <v>69</v>
      </c>
      <c r="R856" s="3" t="s">
        <v>71</v>
      </c>
      <c r="S856" s="4">
        <v>5</v>
      </c>
      <c r="T856" s="4">
        <v>21</v>
      </c>
      <c r="U856" s="5" t="s">
        <v>8524</v>
      </c>
      <c r="V856" s="5" t="s">
        <v>8515</v>
      </c>
      <c r="W856" s="5" t="s">
        <v>72</v>
      </c>
      <c r="X856" s="5" t="s">
        <v>72</v>
      </c>
      <c r="Y856" s="4">
        <v>742</v>
      </c>
      <c r="Z856" s="4">
        <v>36</v>
      </c>
      <c r="AA856" s="4">
        <v>36</v>
      </c>
      <c r="AB856" s="4">
        <v>4</v>
      </c>
      <c r="AC856" s="4">
        <v>4</v>
      </c>
      <c r="AD856" s="4">
        <v>119</v>
      </c>
      <c r="AE856" s="4">
        <v>119</v>
      </c>
      <c r="AF856" s="4">
        <v>1</v>
      </c>
      <c r="AG856" s="4">
        <v>1</v>
      </c>
      <c r="AH856" s="4">
        <v>101</v>
      </c>
      <c r="AI856" s="4">
        <v>101</v>
      </c>
      <c r="AJ856" s="4">
        <v>18</v>
      </c>
      <c r="AK856" s="4">
        <v>18</v>
      </c>
      <c r="AL856" s="4">
        <v>53</v>
      </c>
      <c r="AM856" s="4">
        <v>53</v>
      </c>
      <c r="AN856" s="4">
        <v>0</v>
      </c>
      <c r="AO856" s="4">
        <v>0</v>
      </c>
      <c r="AP856" s="4">
        <v>24</v>
      </c>
      <c r="AQ856" s="4">
        <v>24</v>
      </c>
      <c r="AR856" s="3" t="s">
        <v>65</v>
      </c>
      <c r="AS856" s="3" t="s">
        <v>65</v>
      </c>
      <c r="AT856" s="3" t="s">
        <v>209</v>
      </c>
      <c r="AU856" s="6" t="str">
        <f>HYPERLINK("http://catalog.hathitrust.org/Record/000879176","HathiTrust Record")</f>
        <v>HathiTrust Record</v>
      </c>
      <c r="AV856" s="6" t="str">
        <f>HYPERLINK("http://mcgill.on.worldcat.org/oclc/955375","Catalog Record")</f>
        <v>Catalog Record</v>
      </c>
      <c r="AW856" s="6" t="str">
        <f>HYPERLINK("http://www.worldcat.org/oclc/955375","WorldCat Record")</f>
        <v>WorldCat Record</v>
      </c>
      <c r="AX856" s="3" t="s">
        <v>8516</v>
      </c>
      <c r="AY856" s="3" t="s">
        <v>8517</v>
      </c>
      <c r="AZ856" s="3" t="s">
        <v>8518</v>
      </c>
      <c r="BA856" s="3" t="s">
        <v>8518</v>
      </c>
      <c r="BB856" s="3" t="s">
        <v>8525</v>
      </c>
      <c r="BC856" s="3" t="s">
        <v>77</v>
      </c>
      <c r="BD856" s="3" t="s">
        <v>78</v>
      </c>
      <c r="BF856" s="3" t="s">
        <v>8525</v>
      </c>
      <c r="BG856" s="3" t="s">
        <v>8526</v>
      </c>
    </row>
    <row r="857" spans="1:59" ht="58" x14ac:dyDescent="0.35">
      <c r="A857" s="2" t="s">
        <v>59</v>
      </c>
      <c r="B857" s="2" t="s">
        <v>60</v>
      </c>
      <c r="C857" s="2" t="s">
        <v>8511</v>
      </c>
      <c r="D857" s="2" t="s">
        <v>8512</v>
      </c>
      <c r="E857" s="2" t="s">
        <v>8513</v>
      </c>
      <c r="F857" s="3" t="s">
        <v>258</v>
      </c>
      <c r="G857" s="3" t="s">
        <v>209</v>
      </c>
      <c r="I857" s="3" t="s">
        <v>209</v>
      </c>
      <c r="J857" s="3" t="s">
        <v>65</v>
      </c>
      <c r="K857" s="3" t="s">
        <v>66</v>
      </c>
      <c r="L857" s="2" t="s">
        <v>904</v>
      </c>
      <c r="M857" s="2" t="s">
        <v>8514</v>
      </c>
      <c r="N857" s="3" t="s">
        <v>311</v>
      </c>
      <c r="P857" s="3" t="s">
        <v>69</v>
      </c>
      <c r="R857" s="3" t="s">
        <v>71</v>
      </c>
      <c r="S857" s="4">
        <v>0</v>
      </c>
      <c r="T857" s="4">
        <v>21</v>
      </c>
      <c r="V857" s="5" t="s">
        <v>8515</v>
      </c>
      <c r="W857" s="5" t="s">
        <v>72</v>
      </c>
      <c r="X857" s="5" t="s">
        <v>72</v>
      </c>
      <c r="Y857" s="4">
        <v>742</v>
      </c>
      <c r="Z857" s="4">
        <v>36</v>
      </c>
      <c r="AA857" s="4">
        <v>36</v>
      </c>
      <c r="AB857" s="4">
        <v>4</v>
      </c>
      <c r="AC857" s="4">
        <v>4</v>
      </c>
      <c r="AD857" s="4">
        <v>119</v>
      </c>
      <c r="AE857" s="4">
        <v>119</v>
      </c>
      <c r="AF857" s="4">
        <v>1</v>
      </c>
      <c r="AG857" s="4">
        <v>1</v>
      </c>
      <c r="AH857" s="4">
        <v>101</v>
      </c>
      <c r="AI857" s="4">
        <v>101</v>
      </c>
      <c r="AJ857" s="4">
        <v>18</v>
      </c>
      <c r="AK857" s="4">
        <v>18</v>
      </c>
      <c r="AL857" s="4">
        <v>53</v>
      </c>
      <c r="AM857" s="4">
        <v>53</v>
      </c>
      <c r="AN857" s="4">
        <v>0</v>
      </c>
      <c r="AO857" s="4">
        <v>0</v>
      </c>
      <c r="AP857" s="4">
        <v>24</v>
      </c>
      <c r="AQ857" s="4">
        <v>24</v>
      </c>
      <c r="AR857" s="3" t="s">
        <v>65</v>
      </c>
      <c r="AS857" s="3" t="s">
        <v>65</v>
      </c>
      <c r="AT857" s="3" t="s">
        <v>209</v>
      </c>
      <c r="AU857" s="6" t="str">
        <f>HYPERLINK("http://catalog.hathitrust.org/Record/000879176","HathiTrust Record")</f>
        <v>HathiTrust Record</v>
      </c>
      <c r="AV857" s="6" t="str">
        <f>HYPERLINK("http://mcgill.on.worldcat.org/oclc/955375","Catalog Record")</f>
        <v>Catalog Record</v>
      </c>
      <c r="AW857" s="6" t="str">
        <f>HYPERLINK("http://www.worldcat.org/oclc/955375","WorldCat Record")</f>
        <v>WorldCat Record</v>
      </c>
      <c r="AX857" s="3" t="s">
        <v>8516</v>
      </c>
      <c r="AY857" s="3" t="s">
        <v>8517</v>
      </c>
      <c r="AZ857" s="3" t="s">
        <v>8518</v>
      </c>
      <c r="BA857" s="3" t="s">
        <v>8518</v>
      </c>
      <c r="BB857" s="3" t="s">
        <v>8527</v>
      </c>
      <c r="BC857" s="3" t="s">
        <v>77</v>
      </c>
      <c r="BD857" s="3" t="s">
        <v>78</v>
      </c>
      <c r="BF857" s="3" t="s">
        <v>8527</v>
      </c>
      <c r="BG857" s="3" t="s">
        <v>8528</v>
      </c>
    </row>
    <row r="858" spans="1:59" ht="58" x14ac:dyDescent="0.35">
      <c r="A858" s="2" t="s">
        <v>59</v>
      </c>
      <c r="B858" s="2" t="s">
        <v>60</v>
      </c>
      <c r="C858" s="2" t="s">
        <v>8529</v>
      </c>
      <c r="D858" s="2" t="s">
        <v>8530</v>
      </c>
      <c r="E858" s="2" t="s">
        <v>8531</v>
      </c>
      <c r="F858" s="3" t="s">
        <v>8532</v>
      </c>
      <c r="G858" s="3" t="s">
        <v>209</v>
      </c>
      <c r="I858" s="3" t="s">
        <v>65</v>
      </c>
      <c r="J858" s="3" t="s">
        <v>209</v>
      </c>
      <c r="K858" s="3" t="s">
        <v>66</v>
      </c>
      <c r="L858" s="2" t="s">
        <v>904</v>
      </c>
      <c r="M858" s="2" t="s">
        <v>8533</v>
      </c>
      <c r="N858" s="3" t="s">
        <v>2210</v>
      </c>
      <c r="P858" s="3" t="s">
        <v>140</v>
      </c>
      <c r="Q858" s="2" t="s">
        <v>8534</v>
      </c>
      <c r="R858" s="3" t="s">
        <v>71</v>
      </c>
      <c r="S858" s="4">
        <v>1</v>
      </c>
      <c r="T858" s="4">
        <v>7</v>
      </c>
      <c r="U858" s="5" t="s">
        <v>8535</v>
      </c>
      <c r="V858" s="5" t="s">
        <v>8535</v>
      </c>
      <c r="W858" s="5" t="s">
        <v>72</v>
      </c>
      <c r="X858" s="5" t="s">
        <v>72</v>
      </c>
      <c r="Y858" s="4">
        <v>8</v>
      </c>
      <c r="Z858" s="4">
        <v>1</v>
      </c>
      <c r="AA858" s="4">
        <v>22</v>
      </c>
      <c r="AB858" s="4">
        <v>1</v>
      </c>
      <c r="AC858" s="4">
        <v>4</v>
      </c>
      <c r="AD858" s="4">
        <v>2</v>
      </c>
      <c r="AE858" s="4">
        <v>80</v>
      </c>
      <c r="AF858" s="4">
        <v>0</v>
      </c>
      <c r="AG858" s="4">
        <v>2</v>
      </c>
      <c r="AH858" s="4">
        <v>2</v>
      </c>
      <c r="AI858" s="4">
        <v>70</v>
      </c>
      <c r="AJ858" s="4">
        <v>0</v>
      </c>
      <c r="AK858" s="4">
        <v>13</v>
      </c>
      <c r="AL858" s="4">
        <v>2</v>
      </c>
      <c r="AM858" s="4">
        <v>48</v>
      </c>
      <c r="AN858" s="4">
        <v>0</v>
      </c>
      <c r="AO858" s="4">
        <v>8</v>
      </c>
      <c r="AP858" s="4">
        <v>0</v>
      </c>
      <c r="AQ858" s="4">
        <v>13</v>
      </c>
      <c r="AR858" s="3" t="s">
        <v>65</v>
      </c>
      <c r="AS858" s="3" t="s">
        <v>65</v>
      </c>
      <c r="AT858" s="3" t="s">
        <v>209</v>
      </c>
      <c r="AU858" s="6" t="str">
        <f>HYPERLINK("http://catalog.hathitrust.org/Record/005293992","HathiTrust Record")</f>
        <v>HathiTrust Record</v>
      </c>
      <c r="AV858" s="6" t="str">
        <f>HYPERLINK("http://mcgill.on.worldcat.org/oclc/427509100","Catalog Record")</f>
        <v>Catalog Record</v>
      </c>
      <c r="AW858" s="6" t="str">
        <f>HYPERLINK("http://www.worldcat.org/oclc/427509100","WorldCat Record")</f>
        <v>WorldCat Record</v>
      </c>
      <c r="AX858" s="3" t="s">
        <v>8536</v>
      </c>
      <c r="AY858" s="3" t="s">
        <v>8537</v>
      </c>
      <c r="AZ858" s="3" t="s">
        <v>8538</v>
      </c>
      <c r="BA858" s="3" t="s">
        <v>8538</v>
      </c>
      <c r="BB858" s="3" t="s">
        <v>8539</v>
      </c>
      <c r="BC858" s="3" t="s">
        <v>77</v>
      </c>
      <c r="BD858" s="3" t="s">
        <v>78</v>
      </c>
      <c r="BE858" s="3" t="s">
        <v>8540</v>
      </c>
      <c r="BF858" s="3" t="s">
        <v>8539</v>
      </c>
      <c r="BG858" s="3" t="s">
        <v>8541</v>
      </c>
    </row>
    <row r="859" spans="1:59" ht="58" x14ac:dyDescent="0.35">
      <c r="A859" s="2" t="s">
        <v>59</v>
      </c>
      <c r="B859" s="2" t="s">
        <v>60</v>
      </c>
      <c r="C859" s="2" t="s">
        <v>8529</v>
      </c>
      <c r="D859" s="2" t="s">
        <v>8530</v>
      </c>
      <c r="E859" s="2" t="s">
        <v>8531</v>
      </c>
      <c r="F859" s="3" t="s">
        <v>255</v>
      </c>
      <c r="G859" s="3" t="s">
        <v>209</v>
      </c>
      <c r="I859" s="3" t="s">
        <v>65</v>
      </c>
      <c r="J859" s="3" t="s">
        <v>209</v>
      </c>
      <c r="K859" s="3" t="s">
        <v>66</v>
      </c>
      <c r="L859" s="2" t="s">
        <v>904</v>
      </c>
      <c r="M859" s="2" t="s">
        <v>8533</v>
      </c>
      <c r="N859" s="3" t="s">
        <v>2210</v>
      </c>
      <c r="P859" s="3" t="s">
        <v>140</v>
      </c>
      <c r="Q859" s="2" t="s">
        <v>8534</v>
      </c>
      <c r="R859" s="3" t="s">
        <v>71</v>
      </c>
      <c r="S859" s="4">
        <v>3</v>
      </c>
      <c r="T859" s="4">
        <v>7</v>
      </c>
      <c r="U859" s="5" t="s">
        <v>8542</v>
      </c>
      <c r="V859" s="5" t="s">
        <v>8535</v>
      </c>
      <c r="W859" s="5" t="s">
        <v>72</v>
      </c>
      <c r="X859" s="5" t="s">
        <v>72</v>
      </c>
      <c r="Y859" s="4">
        <v>8</v>
      </c>
      <c r="Z859" s="4">
        <v>1</v>
      </c>
      <c r="AA859" s="4">
        <v>22</v>
      </c>
      <c r="AB859" s="4">
        <v>1</v>
      </c>
      <c r="AC859" s="4">
        <v>4</v>
      </c>
      <c r="AD859" s="4">
        <v>2</v>
      </c>
      <c r="AE859" s="4">
        <v>80</v>
      </c>
      <c r="AF859" s="4">
        <v>0</v>
      </c>
      <c r="AG859" s="4">
        <v>2</v>
      </c>
      <c r="AH859" s="4">
        <v>2</v>
      </c>
      <c r="AI859" s="4">
        <v>70</v>
      </c>
      <c r="AJ859" s="4">
        <v>0</v>
      </c>
      <c r="AK859" s="4">
        <v>13</v>
      </c>
      <c r="AL859" s="4">
        <v>2</v>
      </c>
      <c r="AM859" s="4">
        <v>48</v>
      </c>
      <c r="AN859" s="4">
        <v>0</v>
      </c>
      <c r="AO859" s="4">
        <v>8</v>
      </c>
      <c r="AP859" s="4">
        <v>0</v>
      </c>
      <c r="AQ859" s="4">
        <v>13</v>
      </c>
      <c r="AR859" s="3" t="s">
        <v>65</v>
      </c>
      <c r="AS859" s="3" t="s">
        <v>65</v>
      </c>
      <c r="AT859" s="3" t="s">
        <v>209</v>
      </c>
      <c r="AU859" s="6" t="str">
        <f>HYPERLINK("http://catalog.hathitrust.org/Record/005293992","HathiTrust Record")</f>
        <v>HathiTrust Record</v>
      </c>
      <c r="AV859" s="6" t="str">
        <f>HYPERLINK("http://mcgill.on.worldcat.org/oclc/427509100","Catalog Record")</f>
        <v>Catalog Record</v>
      </c>
      <c r="AW859" s="6" t="str">
        <f>HYPERLINK("http://www.worldcat.org/oclc/427509100","WorldCat Record")</f>
        <v>WorldCat Record</v>
      </c>
      <c r="AX859" s="3" t="s">
        <v>8536</v>
      </c>
      <c r="AY859" s="3" t="s">
        <v>8537</v>
      </c>
      <c r="AZ859" s="3" t="s">
        <v>8538</v>
      </c>
      <c r="BA859" s="3" t="s">
        <v>8538</v>
      </c>
      <c r="BB859" s="3" t="s">
        <v>8543</v>
      </c>
      <c r="BC859" s="3" t="s">
        <v>77</v>
      </c>
      <c r="BD859" s="3" t="s">
        <v>78</v>
      </c>
      <c r="BE859" s="3" t="s">
        <v>8540</v>
      </c>
      <c r="BF859" s="3" t="s">
        <v>8543</v>
      </c>
      <c r="BG859" s="3" t="s">
        <v>8544</v>
      </c>
    </row>
    <row r="860" spans="1:59" ht="58" x14ac:dyDescent="0.35">
      <c r="A860" s="2" t="s">
        <v>59</v>
      </c>
      <c r="B860" s="2" t="s">
        <v>60</v>
      </c>
      <c r="C860" s="2" t="s">
        <v>8529</v>
      </c>
      <c r="D860" s="2" t="s">
        <v>8530</v>
      </c>
      <c r="E860" s="2" t="s">
        <v>8531</v>
      </c>
      <c r="F860" s="3" t="s">
        <v>8545</v>
      </c>
      <c r="G860" s="3" t="s">
        <v>209</v>
      </c>
      <c r="I860" s="3" t="s">
        <v>65</v>
      </c>
      <c r="J860" s="3" t="s">
        <v>209</v>
      </c>
      <c r="K860" s="3" t="s">
        <v>66</v>
      </c>
      <c r="L860" s="2" t="s">
        <v>904</v>
      </c>
      <c r="M860" s="2" t="s">
        <v>8533</v>
      </c>
      <c r="N860" s="3" t="s">
        <v>2210</v>
      </c>
      <c r="P860" s="3" t="s">
        <v>140</v>
      </c>
      <c r="Q860" s="2" t="s">
        <v>8534</v>
      </c>
      <c r="R860" s="3" t="s">
        <v>71</v>
      </c>
      <c r="S860" s="4">
        <v>1</v>
      </c>
      <c r="T860" s="4">
        <v>7</v>
      </c>
      <c r="U860" s="5" t="s">
        <v>8542</v>
      </c>
      <c r="V860" s="5" t="s">
        <v>8535</v>
      </c>
      <c r="W860" s="5" t="s">
        <v>72</v>
      </c>
      <c r="X860" s="5" t="s">
        <v>72</v>
      </c>
      <c r="Y860" s="4">
        <v>8</v>
      </c>
      <c r="Z860" s="4">
        <v>1</v>
      </c>
      <c r="AA860" s="4">
        <v>22</v>
      </c>
      <c r="AB860" s="4">
        <v>1</v>
      </c>
      <c r="AC860" s="4">
        <v>4</v>
      </c>
      <c r="AD860" s="4">
        <v>2</v>
      </c>
      <c r="AE860" s="4">
        <v>80</v>
      </c>
      <c r="AF860" s="4">
        <v>0</v>
      </c>
      <c r="AG860" s="4">
        <v>2</v>
      </c>
      <c r="AH860" s="4">
        <v>2</v>
      </c>
      <c r="AI860" s="4">
        <v>70</v>
      </c>
      <c r="AJ860" s="4">
        <v>0</v>
      </c>
      <c r="AK860" s="4">
        <v>13</v>
      </c>
      <c r="AL860" s="4">
        <v>2</v>
      </c>
      <c r="AM860" s="4">
        <v>48</v>
      </c>
      <c r="AN860" s="4">
        <v>0</v>
      </c>
      <c r="AO860" s="4">
        <v>8</v>
      </c>
      <c r="AP860" s="4">
        <v>0</v>
      </c>
      <c r="AQ860" s="4">
        <v>13</v>
      </c>
      <c r="AR860" s="3" t="s">
        <v>65</v>
      </c>
      <c r="AS860" s="3" t="s">
        <v>65</v>
      </c>
      <c r="AT860" s="3" t="s">
        <v>209</v>
      </c>
      <c r="AU860" s="6" t="str">
        <f>HYPERLINK("http://catalog.hathitrust.org/Record/005293992","HathiTrust Record")</f>
        <v>HathiTrust Record</v>
      </c>
      <c r="AV860" s="6" t="str">
        <f>HYPERLINK("http://mcgill.on.worldcat.org/oclc/427509100","Catalog Record")</f>
        <v>Catalog Record</v>
      </c>
      <c r="AW860" s="6" t="str">
        <f>HYPERLINK("http://www.worldcat.org/oclc/427509100","WorldCat Record")</f>
        <v>WorldCat Record</v>
      </c>
      <c r="AX860" s="3" t="s">
        <v>8536</v>
      </c>
      <c r="AY860" s="3" t="s">
        <v>8537</v>
      </c>
      <c r="AZ860" s="3" t="s">
        <v>8538</v>
      </c>
      <c r="BA860" s="3" t="s">
        <v>8538</v>
      </c>
      <c r="BB860" s="3" t="s">
        <v>8546</v>
      </c>
      <c r="BC860" s="3" t="s">
        <v>77</v>
      </c>
      <c r="BD860" s="3" t="s">
        <v>78</v>
      </c>
      <c r="BE860" s="3" t="s">
        <v>8540</v>
      </c>
      <c r="BF860" s="3" t="s">
        <v>8546</v>
      </c>
      <c r="BG860" s="3" t="s">
        <v>8547</v>
      </c>
    </row>
    <row r="861" spans="1:59" ht="58" x14ac:dyDescent="0.35">
      <c r="A861" s="2" t="s">
        <v>59</v>
      </c>
      <c r="B861" s="2" t="s">
        <v>60</v>
      </c>
      <c r="C861" s="2" t="s">
        <v>8529</v>
      </c>
      <c r="D861" s="2" t="s">
        <v>8530</v>
      </c>
      <c r="E861" s="2" t="s">
        <v>8531</v>
      </c>
      <c r="F861" s="3" t="s">
        <v>8548</v>
      </c>
      <c r="G861" s="3" t="s">
        <v>209</v>
      </c>
      <c r="I861" s="3" t="s">
        <v>65</v>
      </c>
      <c r="J861" s="3" t="s">
        <v>209</v>
      </c>
      <c r="K861" s="3" t="s">
        <v>66</v>
      </c>
      <c r="L861" s="2" t="s">
        <v>904</v>
      </c>
      <c r="M861" s="2" t="s">
        <v>8533</v>
      </c>
      <c r="N861" s="3" t="s">
        <v>2210</v>
      </c>
      <c r="P861" s="3" t="s">
        <v>140</v>
      </c>
      <c r="Q861" s="2" t="s">
        <v>8534</v>
      </c>
      <c r="R861" s="3" t="s">
        <v>71</v>
      </c>
      <c r="S861" s="4">
        <v>1</v>
      </c>
      <c r="T861" s="4">
        <v>7</v>
      </c>
      <c r="U861" s="5" t="s">
        <v>8542</v>
      </c>
      <c r="V861" s="5" t="s">
        <v>8535</v>
      </c>
      <c r="W861" s="5" t="s">
        <v>72</v>
      </c>
      <c r="X861" s="5" t="s">
        <v>72</v>
      </c>
      <c r="Y861" s="4">
        <v>8</v>
      </c>
      <c r="Z861" s="4">
        <v>1</v>
      </c>
      <c r="AA861" s="4">
        <v>22</v>
      </c>
      <c r="AB861" s="4">
        <v>1</v>
      </c>
      <c r="AC861" s="4">
        <v>4</v>
      </c>
      <c r="AD861" s="4">
        <v>2</v>
      </c>
      <c r="AE861" s="4">
        <v>80</v>
      </c>
      <c r="AF861" s="4">
        <v>0</v>
      </c>
      <c r="AG861" s="4">
        <v>2</v>
      </c>
      <c r="AH861" s="4">
        <v>2</v>
      </c>
      <c r="AI861" s="4">
        <v>70</v>
      </c>
      <c r="AJ861" s="4">
        <v>0</v>
      </c>
      <c r="AK861" s="4">
        <v>13</v>
      </c>
      <c r="AL861" s="4">
        <v>2</v>
      </c>
      <c r="AM861" s="4">
        <v>48</v>
      </c>
      <c r="AN861" s="4">
        <v>0</v>
      </c>
      <c r="AO861" s="4">
        <v>8</v>
      </c>
      <c r="AP861" s="4">
        <v>0</v>
      </c>
      <c r="AQ861" s="4">
        <v>13</v>
      </c>
      <c r="AR861" s="3" t="s">
        <v>65</v>
      </c>
      <c r="AS861" s="3" t="s">
        <v>65</v>
      </c>
      <c r="AT861" s="3" t="s">
        <v>209</v>
      </c>
      <c r="AU861" s="6" t="str">
        <f>HYPERLINK("http://catalog.hathitrust.org/Record/005293992","HathiTrust Record")</f>
        <v>HathiTrust Record</v>
      </c>
      <c r="AV861" s="6" t="str">
        <f>HYPERLINK("http://mcgill.on.worldcat.org/oclc/427509100","Catalog Record")</f>
        <v>Catalog Record</v>
      </c>
      <c r="AW861" s="6" t="str">
        <f>HYPERLINK("http://www.worldcat.org/oclc/427509100","WorldCat Record")</f>
        <v>WorldCat Record</v>
      </c>
      <c r="AX861" s="3" t="s">
        <v>8536</v>
      </c>
      <c r="AY861" s="3" t="s">
        <v>8537</v>
      </c>
      <c r="AZ861" s="3" t="s">
        <v>8538</v>
      </c>
      <c r="BA861" s="3" t="s">
        <v>8538</v>
      </c>
      <c r="BB861" s="3" t="s">
        <v>8549</v>
      </c>
      <c r="BC861" s="3" t="s">
        <v>77</v>
      </c>
      <c r="BD861" s="3" t="s">
        <v>78</v>
      </c>
      <c r="BE861" s="3" t="s">
        <v>8540</v>
      </c>
      <c r="BF861" s="3" t="s">
        <v>8549</v>
      </c>
      <c r="BG861" s="3" t="s">
        <v>8550</v>
      </c>
    </row>
    <row r="862" spans="1:59" ht="58" x14ac:dyDescent="0.35">
      <c r="A862" s="2" t="s">
        <v>59</v>
      </c>
      <c r="B862" s="2" t="s">
        <v>60</v>
      </c>
      <c r="C862" s="2" t="s">
        <v>8529</v>
      </c>
      <c r="D862" s="2" t="s">
        <v>8530</v>
      </c>
      <c r="E862" s="2" t="s">
        <v>8531</v>
      </c>
      <c r="F862" s="3" t="s">
        <v>8551</v>
      </c>
      <c r="G862" s="3" t="s">
        <v>209</v>
      </c>
      <c r="I862" s="3" t="s">
        <v>65</v>
      </c>
      <c r="J862" s="3" t="s">
        <v>209</v>
      </c>
      <c r="K862" s="3" t="s">
        <v>66</v>
      </c>
      <c r="L862" s="2" t="s">
        <v>904</v>
      </c>
      <c r="M862" s="2" t="s">
        <v>8533</v>
      </c>
      <c r="N862" s="3" t="s">
        <v>2210</v>
      </c>
      <c r="P862" s="3" t="s">
        <v>140</v>
      </c>
      <c r="Q862" s="2" t="s">
        <v>8534</v>
      </c>
      <c r="R862" s="3" t="s">
        <v>71</v>
      </c>
      <c r="S862" s="4">
        <v>1</v>
      </c>
      <c r="T862" s="4">
        <v>7</v>
      </c>
      <c r="U862" s="5" t="s">
        <v>8542</v>
      </c>
      <c r="V862" s="5" t="s">
        <v>8535</v>
      </c>
      <c r="W862" s="5" t="s">
        <v>72</v>
      </c>
      <c r="X862" s="5" t="s">
        <v>72</v>
      </c>
      <c r="Y862" s="4">
        <v>8</v>
      </c>
      <c r="Z862" s="4">
        <v>1</v>
      </c>
      <c r="AA862" s="4">
        <v>22</v>
      </c>
      <c r="AB862" s="4">
        <v>1</v>
      </c>
      <c r="AC862" s="4">
        <v>4</v>
      </c>
      <c r="AD862" s="4">
        <v>2</v>
      </c>
      <c r="AE862" s="4">
        <v>80</v>
      </c>
      <c r="AF862" s="4">
        <v>0</v>
      </c>
      <c r="AG862" s="4">
        <v>2</v>
      </c>
      <c r="AH862" s="4">
        <v>2</v>
      </c>
      <c r="AI862" s="4">
        <v>70</v>
      </c>
      <c r="AJ862" s="4">
        <v>0</v>
      </c>
      <c r="AK862" s="4">
        <v>13</v>
      </c>
      <c r="AL862" s="4">
        <v>2</v>
      </c>
      <c r="AM862" s="4">
        <v>48</v>
      </c>
      <c r="AN862" s="4">
        <v>0</v>
      </c>
      <c r="AO862" s="4">
        <v>8</v>
      </c>
      <c r="AP862" s="4">
        <v>0</v>
      </c>
      <c r="AQ862" s="4">
        <v>13</v>
      </c>
      <c r="AR862" s="3" t="s">
        <v>65</v>
      </c>
      <c r="AS862" s="3" t="s">
        <v>65</v>
      </c>
      <c r="AT862" s="3" t="s">
        <v>209</v>
      </c>
      <c r="AU862" s="6" t="str">
        <f>HYPERLINK("http://catalog.hathitrust.org/Record/005293992","HathiTrust Record")</f>
        <v>HathiTrust Record</v>
      </c>
      <c r="AV862" s="6" t="str">
        <f>HYPERLINK("http://mcgill.on.worldcat.org/oclc/427509100","Catalog Record")</f>
        <v>Catalog Record</v>
      </c>
      <c r="AW862" s="6" t="str">
        <f>HYPERLINK("http://www.worldcat.org/oclc/427509100","WorldCat Record")</f>
        <v>WorldCat Record</v>
      </c>
      <c r="AX862" s="3" t="s">
        <v>8536</v>
      </c>
      <c r="AY862" s="3" t="s">
        <v>8537</v>
      </c>
      <c r="AZ862" s="3" t="s">
        <v>8538</v>
      </c>
      <c r="BA862" s="3" t="s">
        <v>8538</v>
      </c>
      <c r="BB862" s="3" t="s">
        <v>8552</v>
      </c>
      <c r="BC862" s="3" t="s">
        <v>77</v>
      </c>
      <c r="BD862" s="3" t="s">
        <v>78</v>
      </c>
      <c r="BE862" s="3" t="s">
        <v>8540</v>
      </c>
      <c r="BF862" s="3" t="s">
        <v>8552</v>
      </c>
      <c r="BG862" s="3" t="s">
        <v>8553</v>
      </c>
    </row>
    <row r="863" spans="1:59" ht="58" x14ac:dyDescent="0.35">
      <c r="A863" s="2" t="s">
        <v>59</v>
      </c>
      <c r="B863" s="2" t="s">
        <v>60</v>
      </c>
      <c r="C863" s="2" t="s">
        <v>8554</v>
      </c>
      <c r="D863" s="2" t="s">
        <v>8555</v>
      </c>
      <c r="E863" s="2" t="s">
        <v>8556</v>
      </c>
      <c r="G863" s="3" t="s">
        <v>65</v>
      </c>
      <c r="I863" s="3" t="s">
        <v>65</v>
      </c>
      <c r="J863" s="3" t="s">
        <v>65</v>
      </c>
      <c r="K863" s="3" t="s">
        <v>66</v>
      </c>
      <c r="L863" s="2" t="s">
        <v>904</v>
      </c>
      <c r="M863" s="2" t="s">
        <v>8557</v>
      </c>
      <c r="N863" s="3" t="s">
        <v>126</v>
      </c>
      <c r="P863" s="3" t="s">
        <v>140</v>
      </c>
      <c r="Q863" s="2" t="s">
        <v>8558</v>
      </c>
      <c r="R863" s="3" t="s">
        <v>71</v>
      </c>
      <c r="S863" s="4">
        <v>1</v>
      </c>
      <c r="T863" s="4">
        <v>1</v>
      </c>
      <c r="U863" s="5" t="s">
        <v>8535</v>
      </c>
      <c r="V863" s="5" t="s">
        <v>8535</v>
      </c>
      <c r="W863" s="5" t="s">
        <v>72</v>
      </c>
      <c r="X863" s="5" t="s">
        <v>72</v>
      </c>
      <c r="Y863" s="4">
        <v>3</v>
      </c>
      <c r="Z863" s="4">
        <v>2</v>
      </c>
      <c r="AA863" s="4">
        <v>2</v>
      </c>
      <c r="AB863" s="4">
        <v>1</v>
      </c>
      <c r="AC863" s="4">
        <v>1</v>
      </c>
      <c r="AD863" s="4">
        <v>1</v>
      </c>
      <c r="AE863" s="4">
        <v>1</v>
      </c>
      <c r="AF863" s="4">
        <v>0</v>
      </c>
      <c r="AG863" s="4">
        <v>0</v>
      </c>
      <c r="AH863" s="4">
        <v>0</v>
      </c>
      <c r="AI863" s="4">
        <v>0</v>
      </c>
      <c r="AJ863" s="4">
        <v>1</v>
      </c>
      <c r="AK863" s="4">
        <v>1</v>
      </c>
      <c r="AL863" s="4">
        <v>0</v>
      </c>
      <c r="AM863" s="4">
        <v>0</v>
      </c>
      <c r="AN863" s="4">
        <v>0</v>
      </c>
      <c r="AO863" s="4">
        <v>0</v>
      </c>
      <c r="AP863" s="4">
        <v>1</v>
      </c>
      <c r="AQ863" s="4">
        <v>1</v>
      </c>
      <c r="AR863" s="3" t="s">
        <v>65</v>
      </c>
      <c r="AS863" s="3" t="s">
        <v>65</v>
      </c>
      <c r="AT863" s="3" t="s">
        <v>65</v>
      </c>
      <c r="AV863" s="6" t="str">
        <f>HYPERLINK("http://mcgill.on.worldcat.org/oclc/791323180","Catalog Record")</f>
        <v>Catalog Record</v>
      </c>
      <c r="AW863" s="6" t="str">
        <f>HYPERLINK("http://www.worldcat.org/oclc/791323180","WorldCat Record")</f>
        <v>WorldCat Record</v>
      </c>
      <c r="AX863" s="3" t="s">
        <v>8559</v>
      </c>
      <c r="AY863" s="3" t="s">
        <v>8560</v>
      </c>
      <c r="AZ863" s="3" t="s">
        <v>8561</v>
      </c>
      <c r="BA863" s="3" t="s">
        <v>8561</v>
      </c>
      <c r="BB863" s="3" t="s">
        <v>8562</v>
      </c>
      <c r="BC863" s="3" t="s">
        <v>77</v>
      </c>
      <c r="BD863" s="3" t="s">
        <v>78</v>
      </c>
      <c r="BE863" s="3" t="s">
        <v>8563</v>
      </c>
      <c r="BF863" s="3" t="s">
        <v>8562</v>
      </c>
      <c r="BG863" s="3" t="s">
        <v>8564</v>
      </c>
    </row>
    <row r="864" spans="1:59" ht="58" x14ac:dyDescent="0.35">
      <c r="A864" s="2" t="s">
        <v>59</v>
      </c>
      <c r="B864" s="2" t="s">
        <v>60</v>
      </c>
      <c r="C864" s="2" t="s">
        <v>8565</v>
      </c>
      <c r="D864" s="2" t="s">
        <v>8566</v>
      </c>
      <c r="E864" s="2" t="s">
        <v>8567</v>
      </c>
      <c r="G864" s="3" t="s">
        <v>65</v>
      </c>
      <c r="I864" s="3" t="s">
        <v>65</v>
      </c>
      <c r="J864" s="3" t="s">
        <v>65</v>
      </c>
      <c r="K864" s="3" t="s">
        <v>66</v>
      </c>
      <c r="L864" s="2" t="s">
        <v>8568</v>
      </c>
      <c r="M864" s="2" t="s">
        <v>8569</v>
      </c>
      <c r="N864" s="3" t="s">
        <v>113</v>
      </c>
      <c r="P864" s="3" t="s">
        <v>140</v>
      </c>
      <c r="Q864" s="2" t="s">
        <v>8570</v>
      </c>
      <c r="R864" s="3" t="s">
        <v>71</v>
      </c>
      <c r="S864" s="4">
        <v>1</v>
      </c>
      <c r="T864" s="4">
        <v>1</v>
      </c>
      <c r="U864" s="5" t="s">
        <v>8505</v>
      </c>
      <c r="V864" s="5" t="s">
        <v>8505</v>
      </c>
      <c r="W864" s="5" t="s">
        <v>72</v>
      </c>
      <c r="X864" s="5" t="s">
        <v>72</v>
      </c>
      <c r="Y864" s="4">
        <v>52</v>
      </c>
      <c r="Z864" s="4">
        <v>3</v>
      </c>
      <c r="AA864" s="4">
        <v>3</v>
      </c>
      <c r="AB864" s="4">
        <v>1</v>
      </c>
      <c r="AC864" s="4">
        <v>1</v>
      </c>
      <c r="AD864" s="4">
        <v>34</v>
      </c>
      <c r="AE864" s="4">
        <v>34</v>
      </c>
      <c r="AF864" s="4">
        <v>0</v>
      </c>
      <c r="AG864" s="4">
        <v>0</v>
      </c>
      <c r="AH864" s="4">
        <v>33</v>
      </c>
      <c r="AI864" s="4">
        <v>33</v>
      </c>
      <c r="AJ864" s="4">
        <v>1</v>
      </c>
      <c r="AK864" s="4">
        <v>1</v>
      </c>
      <c r="AL864" s="4">
        <v>25</v>
      </c>
      <c r="AM864" s="4">
        <v>25</v>
      </c>
      <c r="AN864" s="4">
        <v>0</v>
      </c>
      <c r="AO864" s="4">
        <v>0</v>
      </c>
      <c r="AP864" s="4">
        <v>1</v>
      </c>
      <c r="AQ864" s="4">
        <v>1</v>
      </c>
      <c r="AR864" s="3" t="s">
        <v>65</v>
      </c>
      <c r="AS864" s="3" t="s">
        <v>65</v>
      </c>
      <c r="AT864" s="3" t="s">
        <v>65</v>
      </c>
      <c r="AV864" s="6" t="str">
        <f>HYPERLINK("http://mcgill.on.worldcat.org/oclc/669944744","Catalog Record")</f>
        <v>Catalog Record</v>
      </c>
      <c r="AW864" s="6" t="str">
        <f>HYPERLINK("http://www.worldcat.org/oclc/669944744","WorldCat Record")</f>
        <v>WorldCat Record</v>
      </c>
      <c r="AX864" s="3" t="s">
        <v>8571</v>
      </c>
      <c r="AY864" s="3" t="s">
        <v>8572</v>
      </c>
      <c r="AZ864" s="3" t="s">
        <v>8573</v>
      </c>
      <c r="BA864" s="3" t="s">
        <v>8573</v>
      </c>
      <c r="BB864" s="3" t="s">
        <v>8574</v>
      </c>
      <c r="BC864" s="3" t="s">
        <v>77</v>
      </c>
      <c r="BD864" s="3" t="s">
        <v>78</v>
      </c>
      <c r="BE864" s="3" t="s">
        <v>8575</v>
      </c>
      <c r="BF864" s="3" t="s">
        <v>8574</v>
      </c>
      <c r="BG864" s="3" t="s">
        <v>8576</v>
      </c>
    </row>
    <row r="865" spans="1:59" ht="58" x14ac:dyDescent="0.35">
      <c r="A865" s="2" t="s">
        <v>59</v>
      </c>
      <c r="B865" s="2" t="s">
        <v>60</v>
      </c>
      <c r="C865" s="2" t="s">
        <v>8577</v>
      </c>
      <c r="D865" s="2" t="s">
        <v>8578</v>
      </c>
      <c r="E865" s="2" t="s">
        <v>8579</v>
      </c>
      <c r="G865" s="3" t="s">
        <v>65</v>
      </c>
      <c r="I865" s="3" t="s">
        <v>65</v>
      </c>
      <c r="J865" s="3" t="s">
        <v>65</v>
      </c>
      <c r="K865" s="3" t="s">
        <v>213</v>
      </c>
      <c r="L865" s="2" t="s">
        <v>8580</v>
      </c>
      <c r="M865" s="2" t="s">
        <v>8581</v>
      </c>
      <c r="N865" s="3" t="s">
        <v>2377</v>
      </c>
      <c r="P865" s="3" t="s">
        <v>69</v>
      </c>
      <c r="Q865" s="2" t="s">
        <v>8582</v>
      </c>
      <c r="R865" s="3" t="s">
        <v>71</v>
      </c>
      <c r="S865" s="4">
        <v>2</v>
      </c>
      <c r="T865" s="4">
        <v>2</v>
      </c>
      <c r="U865" s="5" t="s">
        <v>8583</v>
      </c>
      <c r="V865" s="5" t="s">
        <v>8583</v>
      </c>
      <c r="W865" s="5" t="s">
        <v>72</v>
      </c>
      <c r="X865" s="5" t="s">
        <v>72</v>
      </c>
      <c r="Y865" s="4">
        <v>283</v>
      </c>
      <c r="Z865" s="4">
        <v>18</v>
      </c>
      <c r="AA865" s="4">
        <v>22</v>
      </c>
      <c r="AB865" s="4">
        <v>1</v>
      </c>
      <c r="AC865" s="4">
        <v>2</v>
      </c>
      <c r="AD865" s="4">
        <v>109</v>
      </c>
      <c r="AE865" s="4">
        <v>114</v>
      </c>
      <c r="AF865" s="4">
        <v>0</v>
      </c>
      <c r="AG865" s="4">
        <v>0</v>
      </c>
      <c r="AH865" s="4">
        <v>98</v>
      </c>
      <c r="AI865" s="4">
        <v>102</v>
      </c>
      <c r="AJ865" s="4">
        <v>13</v>
      </c>
      <c r="AK865" s="4">
        <v>14</v>
      </c>
      <c r="AL865" s="4">
        <v>56</v>
      </c>
      <c r="AM865" s="4">
        <v>58</v>
      </c>
      <c r="AN865" s="4">
        <v>0</v>
      </c>
      <c r="AO865" s="4">
        <v>0</v>
      </c>
      <c r="AP865" s="4">
        <v>14</v>
      </c>
      <c r="AQ865" s="4">
        <v>15</v>
      </c>
      <c r="AR865" s="3" t="s">
        <v>65</v>
      </c>
      <c r="AS865" s="3" t="s">
        <v>65</v>
      </c>
      <c r="AT865" s="3" t="s">
        <v>65</v>
      </c>
      <c r="AV865" s="6" t="str">
        <f>HYPERLINK("http://mcgill.on.worldcat.org/oclc/20170885","Catalog Record")</f>
        <v>Catalog Record</v>
      </c>
      <c r="AW865" s="6" t="str">
        <f>HYPERLINK("http://www.worldcat.org/oclc/20170885","WorldCat Record")</f>
        <v>WorldCat Record</v>
      </c>
      <c r="AX865" s="3" t="s">
        <v>8584</v>
      </c>
      <c r="AY865" s="3" t="s">
        <v>8585</v>
      </c>
      <c r="AZ865" s="3" t="s">
        <v>8586</v>
      </c>
      <c r="BA865" s="3" t="s">
        <v>8586</v>
      </c>
      <c r="BB865" s="3" t="s">
        <v>8587</v>
      </c>
      <c r="BC865" s="3" t="s">
        <v>77</v>
      </c>
      <c r="BD865" s="3" t="s">
        <v>78</v>
      </c>
      <c r="BE865" s="3" t="s">
        <v>8588</v>
      </c>
      <c r="BF865" s="3" t="s">
        <v>8587</v>
      </c>
      <c r="BG865" s="3" t="s">
        <v>8589</v>
      </c>
    </row>
    <row r="866" spans="1:59" ht="58" x14ac:dyDescent="0.35">
      <c r="A866" s="2" t="s">
        <v>59</v>
      </c>
      <c r="B866" s="2" t="s">
        <v>60</v>
      </c>
      <c r="C866" s="2" t="s">
        <v>8590</v>
      </c>
      <c r="D866" s="2" t="s">
        <v>8591</v>
      </c>
      <c r="E866" s="2" t="s">
        <v>8592</v>
      </c>
      <c r="G866" s="3" t="s">
        <v>65</v>
      </c>
      <c r="I866" s="3" t="s">
        <v>65</v>
      </c>
      <c r="J866" s="3" t="s">
        <v>209</v>
      </c>
      <c r="K866" s="3" t="s">
        <v>66</v>
      </c>
      <c r="L866" s="2" t="s">
        <v>904</v>
      </c>
      <c r="M866" s="2" t="s">
        <v>8593</v>
      </c>
      <c r="N866" s="3" t="s">
        <v>5338</v>
      </c>
      <c r="P866" s="3" t="s">
        <v>140</v>
      </c>
      <c r="Q866" s="2" t="s">
        <v>8594</v>
      </c>
      <c r="R866" s="3" t="s">
        <v>71</v>
      </c>
      <c r="S866" s="4">
        <v>9</v>
      </c>
      <c r="T866" s="4">
        <v>9</v>
      </c>
      <c r="U866" s="5" t="s">
        <v>3351</v>
      </c>
      <c r="V866" s="5" t="s">
        <v>3351</v>
      </c>
      <c r="W866" s="5" t="s">
        <v>72</v>
      </c>
      <c r="X866" s="5" t="s">
        <v>72</v>
      </c>
      <c r="Y866" s="4">
        <v>106</v>
      </c>
      <c r="Z866" s="4">
        <v>8</v>
      </c>
      <c r="AA866" s="4">
        <v>20</v>
      </c>
      <c r="AB866" s="4">
        <v>1</v>
      </c>
      <c r="AC866" s="4">
        <v>4</v>
      </c>
      <c r="AD866" s="4">
        <v>49</v>
      </c>
      <c r="AE866" s="4">
        <v>95</v>
      </c>
      <c r="AF866" s="4">
        <v>0</v>
      </c>
      <c r="AG866" s="4">
        <v>2</v>
      </c>
      <c r="AH866" s="4">
        <v>46</v>
      </c>
      <c r="AI866" s="4">
        <v>84</v>
      </c>
      <c r="AJ866" s="4">
        <v>5</v>
      </c>
      <c r="AK866" s="4">
        <v>12</v>
      </c>
      <c r="AL866" s="4">
        <v>35</v>
      </c>
      <c r="AM866" s="4">
        <v>55</v>
      </c>
      <c r="AN866" s="4">
        <v>0</v>
      </c>
      <c r="AO866" s="4">
        <v>1</v>
      </c>
      <c r="AP866" s="4">
        <v>5</v>
      </c>
      <c r="AQ866" s="4">
        <v>11</v>
      </c>
      <c r="AR866" s="3" t="s">
        <v>65</v>
      </c>
      <c r="AS866" s="3" t="s">
        <v>65</v>
      </c>
      <c r="AT866" s="3" t="s">
        <v>209</v>
      </c>
      <c r="AU866" s="6" t="str">
        <f>HYPERLINK("http://catalog.hathitrust.org/Record/000877539","HathiTrust Record")</f>
        <v>HathiTrust Record</v>
      </c>
      <c r="AV866" s="6" t="str">
        <f>HYPERLINK("http://mcgill.on.worldcat.org/oclc/529934","Catalog Record")</f>
        <v>Catalog Record</v>
      </c>
      <c r="AW866" s="6" t="str">
        <f>HYPERLINK("http://www.worldcat.org/oclc/529934","WorldCat Record")</f>
        <v>WorldCat Record</v>
      </c>
      <c r="AX866" s="3" t="s">
        <v>8595</v>
      </c>
      <c r="AY866" s="3" t="s">
        <v>8596</v>
      </c>
      <c r="AZ866" s="3" t="s">
        <v>8597</v>
      </c>
      <c r="BA866" s="3" t="s">
        <v>8597</v>
      </c>
      <c r="BB866" s="3" t="s">
        <v>8598</v>
      </c>
      <c r="BC866" s="3" t="s">
        <v>77</v>
      </c>
      <c r="BD866" s="3" t="s">
        <v>78</v>
      </c>
      <c r="BF866" s="3" t="s">
        <v>8598</v>
      </c>
      <c r="BG866" s="3" t="s">
        <v>8599</v>
      </c>
    </row>
    <row r="867" spans="1:59" ht="58" x14ac:dyDescent="0.35">
      <c r="A867" s="2" t="s">
        <v>59</v>
      </c>
      <c r="B867" s="2" t="s">
        <v>60</v>
      </c>
      <c r="C867" s="2" t="s">
        <v>8600</v>
      </c>
      <c r="D867" s="2" t="s">
        <v>8601</v>
      </c>
      <c r="E867" s="2" t="s">
        <v>8602</v>
      </c>
      <c r="F867" s="3" t="s">
        <v>8603</v>
      </c>
      <c r="G867" s="3" t="s">
        <v>209</v>
      </c>
      <c r="I867" s="3" t="s">
        <v>65</v>
      </c>
      <c r="J867" s="3" t="s">
        <v>209</v>
      </c>
      <c r="K867" s="3" t="s">
        <v>66</v>
      </c>
      <c r="L867" s="2" t="s">
        <v>904</v>
      </c>
      <c r="M867" s="2" t="s">
        <v>8604</v>
      </c>
      <c r="N867" s="3" t="s">
        <v>1032</v>
      </c>
      <c r="P867" s="3" t="s">
        <v>140</v>
      </c>
      <c r="Q867" s="2" t="s">
        <v>8605</v>
      </c>
      <c r="R867" s="3" t="s">
        <v>71</v>
      </c>
      <c r="S867" s="4">
        <v>1</v>
      </c>
      <c r="T867" s="4">
        <v>11</v>
      </c>
      <c r="U867" s="5" t="s">
        <v>8606</v>
      </c>
      <c r="V867" s="5" t="s">
        <v>8178</v>
      </c>
      <c r="W867" s="5" t="s">
        <v>72</v>
      </c>
      <c r="X867" s="5" t="s">
        <v>72</v>
      </c>
      <c r="Y867" s="4">
        <v>86</v>
      </c>
      <c r="Z867" s="4">
        <v>4</v>
      </c>
      <c r="AA867" s="4">
        <v>20</v>
      </c>
      <c r="AB867" s="4">
        <v>1</v>
      </c>
      <c r="AC867" s="4">
        <v>4</v>
      </c>
      <c r="AD867" s="4">
        <v>46</v>
      </c>
      <c r="AE867" s="4">
        <v>95</v>
      </c>
      <c r="AF867" s="4">
        <v>0</v>
      </c>
      <c r="AG867" s="4">
        <v>2</v>
      </c>
      <c r="AH867" s="4">
        <v>43</v>
      </c>
      <c r="AI867" s="4">
        <v>84</v>
      </c>
      <c r="AJ867" s="4">
        <v>3</v>
      </c>
      <c r="AK867" s="4">
        <v>12</v>
      </c>
      <c r="AL867" s="4">
        <v>31</v>
      </c>
      <c r="AM867" s="4">
        <v>55</v>
      </c>
      <c r="AN867" s="4">
        <v>0</v>
      </c>
      <c r="AO867" s="4">
        <v>1</v>
      </c>
      <c r="AP867" s="4">
        <v>3</v>
      </c>
      <c r="AQ867" s="4">
        <v>11</v>
      </c>
      <c r="AR867" s="3" t="s">
        <v>65</v>
      </c>
      <c r="AS867" s="3" t="s">
        <v>65</v>
      </c>
      <c r="AT867" s="3" t="s">
        <v>209</v>
      </c>
      <c r="AU867" s="6" t="str">
        <f>HYPERLINK("http://catalog.hathitrust.org/Record/003102284","HathiTrust Record")</f>
        <v>HathiTrust Record</v>
      </c>
      <c r="AV867" s="6" t="str">
        <f>HYPERLINK("http://mcgill.on.worldcat.org/oclc/34491352","Catalog Record")</f>
        <v>Catalog Record</v>
      </c>
      <c r="AW867" s="6" t="str">
        <f>HYPERLINK("http://www.worldcat.org/oclc/34491352","WorldCat Record")</f>
        <v>WorldCat Record</v>
      </c>
      <c r="AX867" s="3" t="s">
        <v>8595</v>
      </c>
      <c r="AY867" s="3" t="s">
        <v>8607</v>
      </c>
      <c r="AZ867" s="3" t="s">
        <v>8608</v>
      </c>
      <c r="BA867" s="3" t="s">
        <v>8608</v>
      </c>
      <c r="BB867" s="3" t="s">
        <v>8609</v>
      </c>
      <c r="BC867" s="3" t="s">
        <v>77</v>
      </c>
      <c r="BD867" s="3" t="s">
        <v>78</v>
      </c>
      <c r="BE867" s="3" t="s">
        <v>8610</v>
      </c>
      <c r="BF867" s="3" t="s">
        <v>8609</v>
      </c>
      <c r="BG867" s="3" t="s">
        <v>8611</v>
      </c>
    </row>
    <row r="868" spans="1:59" ht="58" x14ac:dyDescent="0.35">
      <c r="A868" s="2" t="s">
        <v>59</v>
      </c>
      <c r="B868" s="2" t="s">
        <v>60</v>
      </c>
      <c r="C868" s="2" t="s">
        <v>8600</v>
      </c>
      <c r="D868" s="2" t="s">
        <v>8601</v>
      </c>
      <c r="E868" s="2" t="s">
        <v>8602</v>
      </c>
      <c r="F868" s="3" t="s">
        <v>8612</v>
      </c>
      <c r="G868" s="3" t="s">
        <v>209</v>
      </c>
      <c r="I868" s="3" t="s">
        <v>65</v>
      </c>
      <c r="J868" s="3" t="s">
        <v>209</v>
      </c>
      <c r="K868" s="3" t="s">
        <v>66</v>
      </c>
      <c r="L868" s="2" t="s">
        <v>904</v>
      </c>
      <c r="M868" s="2" t="s">
        <v>8604</v>
      </c>
      <c r="N868" s="3" t="s">
        <v>1032</v>
      </c>
      <c r="P868" s="3" t="s">
        <v>140</v>
      </c>
      <c r="Q868" s="2" t="s">
        <v>8605</v>
      </c>
      <c r="R868" s="3" t="s">
        <v>71</v>
      </c>
      <c r="S868" s="4">
        <v>2</v>
      </c>
      <c r="T868" s="4">
        <v>11</v>
      </c>
      <c r="U868" s="5" t="s">
        <v>8606</v>
      </c>
      <c r="V868" s="5" t="s">
        <v>8178</v>
      </c>
      <c r="W868" s="5" t="s">
        <v>72</v>
      </c>
      <c r="X868" s="5" t="s">
        <v>72</v>
      </c>
      <c r="Y868" s="4">
        <v>86</v>
      </c>
      <c r="Z868" s="4">
        <v>4</v>
      </c>
      <c r="AA868" s="4">
        <v>20</v>
      </c>
      <c r="AB868" s="4">
        <v>1</v>
      </c>
      <c r="AC868" s="4">
        <v>4</v>
      </c>
      <c r="AD868" s="4">
        <v>46</v>
      </c>
      <c r="AE868" s="4">
        <v>95</v>
      </c>
      <c r="AF868" s="4">
        <v>0</v>
      </c>
      <c r="AG868" s="4">
        <v>2</v>
      </c>
      <c r="AH868" s="4">
        <v>43</v>
      </c>
      <c r="AI868" s="4">
        <v>84</v>
      </c>
      <c r="AJ868" s="4">
        <v>3</v>
      </c>
      <c r="AK868" s="4">
        <v>12</v>
      </c>
      <c r="AL868" s="4">
        <v>31</v>
      </c>
      <c r="AM868" s="4">
        <v>55</v>
      </c>
      <c r="AN868" s="4">
        <v>0</v>
      </c>
      <c r="AO868" s="4">
        <v>1</v>
      </c>
      <c r="AP868" s="4">
        <v>3</v>
      </c>
      <c r="AQ868" s="4">
        <v>11</v>
      </c>
      <c r="AR868" s="3" t="s">
        <v>65</v>
      </c>
      <c r="AS868" s="3" t="s">
        <v>65</v>
      </c>
      <c r="AT868" s="3" t="s">
        <v>209</v>
      </c>
      <c r="AU868" s="6" t="str">
        <f>HYPERLINK("http://catalog.hathitrust.org/Record/003102284","HathiTrust Record")</f>
        <v>HathiTrust Record</v>
      </c>
      <c r="AV868" s="6" t="str">
        <f>HYPERLINK("http://mcgill.on.worldcat.org/oclc/34491352","Catalog Record")</f>
        <v>Catalog Record</v>
      </c>
      <c r="AW868" s="6" t="str">
        <f>HYPERLINK("http://www.worldcat.org/oclc/34491352","WorldCat Record")</f>
        <v>WorldCat Record</v>
      </c>
      <c r="AX868" s="3" t="s">
        <v>8595</v>
      </c>
      <c r="AY868" s="3" t="s">
        <v>8607</v>
      </c>
      <c r="AZ868" s="3" t="s">
        <v>8608</v>
      </c>
      <c r="BA868" s="3" t="s">
        <v>8608</v>
      </c>
      <c r="BB868" s="3" t="s">
        <v>8613</v>
      </c>
      <c r="BC868" s="3" t="s">
        <v>77</v>
      </c>
      <c r="BD868" s="3" t="s">
        <v>78</v>
      </c>
      <c r="BE868" s="3" t="s">
        <v>8610</v>
      </c>
      <c r="BF868" s="3" t="s">
        <v>8613</v>
      </c>
      <c r="BG868" s="3" t="s">
        <v>8614</v>
      </c>
    </row>
    <row r="869" spans="1:59" ht="58" x14ac:dyDescent="0.35">
      <c r="A869" s="2" t="s">
        <v>59</v>
      </c>
      <c r="B869" s="2" t="s">
        <v>60</v>
      </c>
      <c r="C869" s="2" t="s">
        <v>8600</v>
      </c>
      <c r="D869" s="2" t="s">
        <v>8601</v>
      </c>
      <c r="E869" s="2" t="s">
        <v>8602</v>
      </c>
      <c r="F869" s="3" t="s">
        <v>258</v>
      </c>
      <c r="G869" s="3" t="s">
        <v>209</v>
      </c>
      <c r="I869" s="3" t="s">
        <v>65</v>
      </c>
      <c r="J869" s="3" t="s">
        <v>209</v>
      </c>
      <c r="K869" s="3" t="s">
        <v>66</v>
      </c>
      <c r="L869" s="2" t="s">
        <v>904</v>
      </c>
      <c r="M869" s="2" t="s">
        <v>8604</v>
      </c>
      <c r="N869" s="3" t="s">
        <v>1032</v>
      </c>
      <c r="P869" s="3" t="s">
        <v>140</v>
      </c>
      <c r="Q869" s="2" t="s">
        <v>8605</v>
      </c>
      <c r="R869" s="3" t="s">
        <v>71</v>
      </c>
      <c r="S869" s="4">
        <v>8</v>
      </c>
      <c r="T869" s="4">
        <v>11</v>
      </c>
      <c r="U869" s="5" t="s">
        <v>8178</v>
      </c>
      <c r="V869" s="5" t="s">
        <v>8178</v>
      </c>
      <c r="W869" s="5" t="s">
        <v>72</v>
      </c>
      <c r="X869" s="5" t="s">
        <v>72</v>
      </c>
      <c r="Y869" s="4">
        <v>86</v>
      </c>
      <c r="Z869" s="4">
        <v>4</v>
      </c>
      <c r="AA869" s="4">
        <v>20</v>
      </c>
      <c r="AB869" s="4">
        <v>1</v>
      </c>
      <c r="AC869" s="4">
        <v>4</v>
      </c>
      <c r="AD869" s="4">
        <v>46</v>
      </c>
      <c r="AE869" s="4">
        <v>95</v>
      </c>
      <c r="AF869" s="4">
        <v>0</v>
      </c>
      <c r="AG869" s="4">
        <v>2</v>
      </c>
      <c r="AH869" s="4">
        <v>43</v>
      </c>
      <c r="AI869" s="4">
        <v>84</v>
      </c>
      <c r="AJ869" s="4">
        <v>3</v>
      </c>
      <c r="AK869" s="4">
        <v>12</v>
      </c>
      <c r="AL869" s="4">
        <v>31</v>
      </c>
      <c r="AM869" s="4">
        <v>55</v>
      </c>
      <c r="AN869" s="4">
        <v>0</v>
      </c>
      <c r="AO869" s="4">
        <v>1</v>
      </c>
      <c r="AP869" s="4">
        <v>3</v>
      </c>
      <c r="AQ869" s="4">
        <v>11</v>
      </c>
      <c r="AR869" s="3" t="s">
        <v>65</v>
      </c>
      <c r="AS869" s="3" t="s">
        <v>65</v>
      </c>
      <c r="AT869" s="3" t="s">
        <v>209</v>
      </c>
      <c r="AU869" s="6" t="str">
        <f>HYPERLINK("http://catalog.hathitrust.org/Record/003102284","HathiTrust Record")</f>
        <v>HathiTrust Record</v>
      </c>
      <c r="AV869" s="6" t="str">
        <f>HYPERLINK("http://mcgill.on.worldcat.org/oclc/34491352","Catalog Record")</f>
        <v>Catalog Record</v>
      </c>
      <c r="AW869" s="6" t="str">
        <f>HYPERLINK("http://www.worldcat.org/oclc/34491352","WorldCat Record")</f>
        <v>WorldCat Record</v>
      </c>
      <c r="AX869" s="3" t="s">
        <v>8595</v>
      </c>
      <c r="AY869" s="3" t="s">
        <v>8607</v>
      </c>
      <c r="AZ869" s="3" t="s">
        <v>8608</v>
      </c>
      <c r="BA869" s="3" t="s">
        <v>8608</v>
      </c>
      <c r="BB869" s="3" t="s">
        <v>8615</v>
      </c>
      <c r="BC869" s="3" t="s">
        <v>77</v>
      </c>
      <c r="BD869" s="3" t="s">
        <v>78</v>
      </c>
      <c r="BE869" s="3" t="s">
        <v>8610</v>
      </c>
      <c r="BF869" s="3" t="s">
        <v>8615</v>
      </c>
      <c r="BG869" s="3" t="s">
        <v>8616</v>
      </c>
    </row>
    <row r="870" spans="1:59" ht="58" x14ac:dyDescent="0.35">
      <c r="A870" s="2" t="s">
        <v>59</v>
      </c>
      <c r="B870" s="2" t="s">
        <v>60</v>
      </c>
      <c r="C870" s="2" t="s">
        <v>8617</v>
      </c>
      <c r="D870" s="2" t="s">
        <v>8618</v>
      </c>
      <c r="E870" s="2" t="s">
        <v>8619</v>
      </c>
      <c r="G870" s="3" t="s">
        <v>65</v>
      </c>
      <c r="I870" s="3" t="s">
        <v>65</v>
      </c>
      <c r="J870" s="3" t="s">
        <v>65</v>
      </c>
      <c r="K870" s="3" t="s">
        <v>66</v>
      </c>
      <c r="L870" s="2" t="s">
        <v>904</v>
      </c>
      <c r="M870" s="2" t="s">
        <v>8620</v>
      </c>
      <c r="N870" s="3" t="s">
        <v>2377</v>
      </c>
      <c r="P870" s="3" t="s">
        <v>69</v>
      </c>
      <c r="Q870" s="2" t="s">
        <v>8621</v>
      </c>
      <c r="R870" s="3" t="s">
        <v>71</v>
      </c>
      <c r="S870" s="4">
        <v>31</v>
      </c>
      <c r="T870" s="4">
        <v>31</v>
      </c>
      <c r="U870" s="5" t="s">
        <v>8622</v>
      </c>
      <c r="V870" s="5" t="s">
        <v>8622</v>
      </c>
      <c r="W870" s="5" t="s">
        <v>72</v>
      </c>
      <c r="X870" s="5" t="s">
        <v>72</v>
      </c>
      <c r="Y870" s="4">
        <v>223</v>
      </c>
      <c r="Z870" s="4">
        <v>15</v>
      </c>
      <c r="AA870" s="4">
        <v>15</v>
      </c>
      <c r="AB870" s="4">
        <v>1</v>
      </c>
      <c r="AC870" s="4">
        <v>1</v>
      </c>
      <c r="AD870" s="4">
        <v>74</v>
      </c>
      <c r="AE870" s="4">
        <v>74</v>
      </c>
      <c r="AF870" s="4">
        <v>0</v>
      </c>
      <c r="AG870" s="4">
        <v>0</v>
      </c>
      <c r="AH870" s="4">
        <v>67</v>
      </c>
      <c r="AI870" s="4">
        <v>67</v>
      </c>
      <c r="AJ870" s="4">
        <v>7</v>
      </c>
      <c r="AK870" s="4">
        <v>7</v>
      </c>
      <c r="AL870" s="4">
        <v>39</v>
      </c>
      <c r="AM870" s="4">
        <v>39</v>
      </c>
      <c r="AN870" s="4">
        <v>0</v>
      </c>
      <c r="AO870" s="4">
        <v>0</v>
      </c>
      <c r="AP870" s="4">
        <v>11</v>
      </c>
      <c r="AQ870" s="4">
        <v>11</v>
      </c>
      <c r="AR870" s="3" t="s">
        <v>65</v>
      </c>
      <c r="AS870" s="3" t="s">
        <v>65</v>
      </c>
      <c r="AT870" s="3" t="s">
        <v>209</v>
      </c>
      <c r="AU870" s="6" t="str">
        <f>HYPERLINK("http://catalog.hathitrust.org/Record/002563512","HathiTrust Record")</f>
        <v>HathiTrust Record</v>
      </c>
      <c r="AV870" s="6" t="str">
        <f>HYPERLINK("http://mcgill.on.worldcat.org/oclc/20453864","Catalog Record")</f>
        <v>Catalog Record</v>
      </c>
      <c r="AW870" s="6" t="str">
        <f>HYPERLINK("http://www.worldcat.org/oclc/20453864","WorldCat Record")</f>
        <v>WorldCat Record</v>
      </c>
      <c r="AX870" s="3" t="s">
        <v>8623</v>
      </c>
      <c r="AY870" s="3" t="s">
        <v>8624</v>
      </c>
      <c r="AZ870" s="3" t="s">
        <v>8625</v>
      </c>
      <c r="BA870" s="3" t="s">
        <v>8625</v>
      </c>
      <c r="BB870" s="3" t="s">
        <v>8626</v>
      </c>
      <c r="BC870" s="3" t="s">
        <v>77</v>
      </c>
      <c r="BD870" s="3" t="s">
        <v>78</v>
      </c>
      <c r="BE870" s="3" t="s">
        <v>8627</v>
      </c>
      <c r="BF870" s="3" t="s">
        <v>8626</v>
      </c>
      <c r="BG870" s="3" t="s">
        <v>8628</v>
      </c>
    </row>
    <row r="871" spans="1:59" ht="58" x14ac:dyDescent="0.35">
      <c r="A871" s="2" t="s">
        <v>59</v>
      </c>
      <c r="B871" s="2" t="s">
        <v>60</v>
      </c>
      <c r="C871" s="2" t="s">
        <v>8629</v>
      </c>
      <c r="D871" s="2" t="s">
        <v>8630</v>
      </c>
      <c r="E871" s="2" t="s">
        <v>8631</v>
      </c>
      <c r="G871" s="3" t="s">
        <v>65</v>
      </c>
      <c r="I871" s="3" t="s">
        <v>65</v>
      </c>
      <c r="J871" s="3" t="s">
        <v>65</v>
      </c>
      <c r="K871" s="3" t="s">
        <v>66</v>
      </c>
      <c r="L871" s="2" t="s">
        <v>8632</v>
      </c>
      <c r="M871" s="2" t="s">
        <v>8633</v>
      </c>
      <c r="N871" s="3" t="s">
        <v>68</v>
      </c>
      <c r="P871" s="3" t="s">
        <v>69</v>
      </c>
      <c r="Q871" s="2" t="s">
        <v>1197</v>
      </c>
      <c r="R871" s="3" t="s">
        <v>71</v>
      </c>
      <c r="S871" s="4">
        <v>3</v>
      </c>
      <c r="T871" s="4">
        <v>3</v>
      </c>
      <c r="U871" s="5" t="s">
        <v>8634</v>
      </c>
      <c r="V871" s="5" t="s">
        <v>8634</v>
      </c>
      <c r="W871" s="5" t="s">
        <v>72</v>
      </c>
      <c r="X871" s="5" t="s">
        <v>72</v>
      </c>
      <c r="Y871" s="4">
        <v>138</v>
      </c>
      <c r="Z871" s="4">
        <v>12</v>
      </c>
      <c r="AA871" s="4">
        <v>84</v>
      </c>
      <c r="AB871" s="4">
        <v>3</v>
      </c>
      <c r="AC871" s="4">
        <v>17</v>
      </c>
      <c r="AD871" s="4">
        <v>71</v>
      </c>
      <c r="AE871" s="4">
        <v>125</v>
      </c>
      <c r="AF871" s="4">
        <v>1</v>
      </c>
      <c r="AG871" s="4">
        <v>8</v>
      </c>
      <c r="AH871" s="4">
        <v>63</v>
      </c>
      <c r="AI871" s="4">
        <v>85</v>
      </c>
      <c r="AJ871" s="4">
        <v>9</v>
      </c>
      <c r="AK871" s="4">
        <v>25</v>
      </c>
      <c r="AL871" s="4">
        <v>44</v>
      </c>
      <c r="AM871" s="4">
        <v>50</v>
      </c>
      <c r="AN871" s="4">
        <v>0</v>
      </c>
      <c r="AO871" s="4">
        <v>0</v>
      </c>
      <c r="AP871" s="4">
        <v>8</v>
      </c>
      <c r="AQ871" s="4">
        <v>47</v>
      </c>
      <c r="AR871" s="3" t="s">
        <v>209</v>
      </c>
      <c r="AS871" s="3" t="s">
        <v>65</v>
      </c>
      <c r="AT871" s="3" t="s">
        <v>65</v>
      </c>
      <c r="AV871" s="6" t="str">
        <f>HYPERLINK("http://mcgill.on.worldcat.org/oclc/926248539","Catalog Record")</f>
        <v>Catalog Record</v>
      </c>
      <c r="AW871" s="6" t="str">
        <f>HYPERLINK("http://www.worldcat.org/oclc/926248539","WorldCat Record")</f>
        <v>WorldCat Record</v>
      </c>
      <c r="AX871" s="3" t="s">
        <v>8635</v>
      </c>
      <c r="AY871" s="3" t="s">
        <v>8636</v>
      </c>
      <c r="AZ871" s="3" t="s">
        <v>8637</v>
      </c>
      <c r="BA871" s="3" t="s">
        <v>8637</v>
      </c>
      <c r="BB871" s="3" t="s">
        <v>8638</v>
      </c>
      <c r="BC871" s="3" t="s">
        <v>77</v>
      </c>
      <c r="BD871" s="3" t="s">
        <v>78</v>
      </c>
      <c r="BE871" s="3" t="s">
        <v>8639</v>
      </c>
      <c r="BF871" s="3" t="s">
        <v>8638</v>
      </c>
      <c r="BG871" s="3" t="s">
        <v>8640</v>
      </c>
    </row>
    <row r="872" spans="1:59" ht="58" x14ac:dyDescent="0.35">
      <c r="A872" s="2" t="s">
        <v>59</v>
      </c>
      <c r="B872" s="2" t="s">
        <v>60</v>
      </c>
      <c r="C872" s="2" t="s">
        <v>8641</v>
      </c>
      <c r="D872" s="2" t="s">
        <v>8642</v>
      </c>
      <c r="E872" s="2" t="s">
        <v>8643</v>
      </c>
      <c r="G872" s="3" t="s">
        <v>65</v>
      </c>
      <c r="I872" s="3" t="s">
        <v>65</v>
      </c>
      <c r="J872" s="3" t="s">
        <v>65</v>
      </c>
      <c r="K872" s="3" t="s">
        <v>66</v>
      </c>
      <c r="M872" s="2" t="s">
        <v>7543</v>
      </c>
      <c r="N872" s="3" t="s">
        <v>176</v>
      </c>
      <c r="P872" s="3" t="s">
        <v>140</v>
      </c>
      <c r="Q872" s="2" t="s">
        <v>8644</v>
      </c>
      <c r="R872" s="3" t="s">
        <v>71</v>
      </c>
      <c r="S872" s="4">
        <v>2</v>
      </c>
      <c r="T872" s="4">
        <v>2</v>
      </c>
      <c r="U872" s="5" t="s">
        <v>3351</v>
      </c>
      <c r="V872" s="5" t="s">
        <v>3351</v>
      </c>
      <c r="W872" s="5" t="s">
        <v>72</v>
      </c>
      <c r="X872" s="5" t="s">
        <v>72</v>
      </c>
      <c r="Y872" s="4">
        <v>54</v>
      </c>
      <c r="Z872" s="4">
        <v>3</v>
      </c>
      <c r="AA872" s="4">
        <v>3</v>
      </c>
      <c r="AB872" s="4">
        <v>1</v>
      </c>
      <c r="AC872" s="4">
        <v>1</v>
      </c>
      <c r="AD872" s="4">
        <v>34</v>
      </c>
      <c r="AE872" s="4">
        <v>34</v>
      </c>
      <c r="AF872" s="4">
        <v>0</v>
      </c>
      <c r="AG872" s="4">
        <v>0</v>
      </c>
      <c r="AH872" s="4">
        <v>33</v>
      </c>
      <c r="AI872" s="4">
        <v>33</v>
      </c>
      <c r="AJ872" s="4">
        <v>1</v>
      </c>
      <c r="AK872" s="4">
        <v>1</v>
      </c>
      <c r="AL872" s="4">
        <v>27</v>
      </c>
      <c r="AM872" s="4">
        <v>27</v>
      </c>
      <c r="AN872" s="4">
        <v>0</v>
      </c>
      <c r="AO872" s="4">
        <v>0</v>
      </c>
      <c r="AP872" s="4">
        <v>1</v>
      </c>
      <c r="AQ872" s="4">
        <v>1</v>
      </c>
      <c r="AR872" s="3" t="s">
        <v>65</v>
      </c>
      <c r="AS872" s="3" t="s">
        <v>65</v>
      </c>
      <c r="AT872" s="3" t="s">
        <v>65</v>
      </c>
      <c r="AV872" s="6" t="str">
        <f>HYPERLINK("http://mcgill.on.worldcat.org/oclc/905552447","Catalog Record")</f>
        <v>Catalog Record</v>
      </c>
      <c r="AW872" s="6" t="str">
        <f>HYPERLINK("http://www.worldcat.org/oclc/905552447","WorldCat Record")</f>
        <v>WorldCat Record</v>
      </c>
      <c r="AX872" s="3" t="s">
        <v>8645</v>
      </c>
      <c r="AY872" s="3" t="s">
        <v>8646</v>
      </c>
      <c r="AZ872" s="3" t="s">
        <v>8647</v>
      </c>
      <c r="BA872" s="3" t="s">
        <v>8647</v>
      </c>
      <c r="BB872" s="3" t="s">
        <v>8648</v>
      </c>
      <c r="BC872" s="3" t="s">
        <v>77</v>
      </c>
      <c r="BD872" s="3" t="s">
        <v>78</v>
      </c>
      <c r="BE872" s="3" t="s">
        <v>8649</v>
      </c>
      <c r="BF872" s="3" t="s">
        <v>8648</v>
      </c>
      <c r="BG872" s="3" t="s">
        <v>8650</v>
      </c>
    </row>
    <row r="873" spans="1:59" ht="58" x14ac:dyDescent="0.35">
      <c r="A873" s="2" t="s">
        <v>59</v>
      </c>
      <c r="B873" s="2" t="s">
        <v>60</v>
      </c>
      <c r="C873" s="2" t="s">
        <v>8651</v>
      </c>
      <c r="D873" s="2" t="s">
        <v>8652</v>
      </c>
      <c r="E873" s="2" t="s">
        <v>8653</v>
      </c>
      <c r="G873" s="3" t="s">
        <v>65</v>
      </c>
      <c r="I873" s="3" t="s">
        <v>65</v>
      </c>
      <c r="J873" s="3" t="s">
        <v>65</v>
      </c>
      <c r="K873" s="3" t="s">
        <v>66</v>
      </c>
      <c r="L873" s="2" t="s">
        <v>8654</v>
      </c>
      <c r="M873" s="2" t="s">
        <v>8655</v>
      </c>
      <c r="N873" s="3" t="s">
        <v>552</v>
      </c>
      <c r="P873" s="3" t="s">
        <v>69</v>
      </c>
      <c r="Q873" s="2" t="s">
        <v>8656</v>
      </c>
      <c r="R873" s="3" t="s">
        <v>71</v>
      </c>
      <c r="S873" s="4">
        <v>3</v>
      </c>
      <c r="T873" s="4">
        <v>3</v>
      </c>
      <c r="U873" s="5" t="s">
        <v>8657</v>
      </c>
      <c r="V873" s="5" t="s">
        <v>8657</v>
      </c>
      <c r="W873" s="5" t="s">
        <v>72</v>
      </c>
      <c r="X873" s="5" t="s">
        <v>72</v>
      </c>
      <c r="Y873" s="4">
        <v>119</v>
      </c>
      <c r="Z873" s="4">
        <v>12</v>
      </c>
      <c r="AA873" s="4">
        <v>15</v>
      </c>
      <c r="AB873" s="4">
        <v>1</v>
      </c>
      <c r="AC873" s="4">
        <v>3</v>
      </c>
      <c r="AD873" s="4">
        <v>52</v>
      </c>
      <c r="AE873" s="4">
        <v>55</v>
      </c>
      <c r="AF873" s="4">
        <v>0</v>
      </c>
      <c r="AG873" s="4">
        <v>0</v>
      </c>
      <c r="AH873" s="4">
        <v>45</v>
      </c>
      <c r="AI873" s="4">
        <v>48</v>
      </c>
      <c r="AJ873" s="4">
        <v>7</v>
      </c>
      <c r="AK873" s="4">
        <v>8</v>
      </c>
      <c r="AL873" s="4">
        <v>38</v>
      </c>
      <c r="AM873" s="4">
        <v>39</v>
      </c>
      <c r="AN873" s="4">
        <v>0</v>
      </c>
      <c r="AO873" s="4">
        <v>0</v>
      </c>
      <c r="AP873" s="4">
        <v>7</v>
      </c>
      <c r="AQ873" s="4">
        <v>8</v>
      </c>
      <c r="AR873" s="3" t="s">
        <v>65</v>
      </c>
      <c r="AS873" s="3" t="s">
        <v>65</v>
      </c>
      <c r="AT873" s="3" t="s">
        <v>65</v>
      </c>
      <c r="AV873" s="6" t="str">
        <f>HYPERLINK("http://mcgill.on.worldcat.org/oclc/38014666","Catalog Record")</f>
        <v>Catalog Record</v>
      </c>
      <c r="AW873" s="6" t="str">
        <f>HYPERLINK("http://www.worldcat.org/oclc/38014666","WorldCat Record")</f>
        <v>WorldCat Record</v>
      </c>
      <c r="AX873" s="3" t="s">
        <v>8658</v>
      </c>
      <c r="AY873" s="3" t="s">
        <v>8659</v>
      </c>
      <c r="AZ873" s="3" t="s">
        <v>8660</v>
      </c>
      <c r="BA873" s="3" t="s">
        <v>8660</v>
      </c>
      <c r="BB873" s="3" t="s">
        <v>8661</v>
      </c>
      <c r="BC873" s="3" t="s">
        <v>77</v>
      </c>
      <c r="BD873" s="3" t="s">
        <v>78</v>
      </c>
      <c r="BE873" s="3" t="s">
        <v>8662</v>
      </c>
      <c r="BF873" s="3" t="s">
        <v>8661</v>
      </c>
      <c r="BG873" s="3" t="s">
        <v>8663</v>
      </c>
    </row>
    <row r="874" spans="1:59" ht="58" x14ac:dyDescent="0.35">
      <c r="A874" s="2" t="s">
        <v>59</v>
      </c>
      <c r="B874" s="2" t="s">
        <v>60</v>
      </c>
      <c r="C874" s="2" t="s">
        <v>8664</v>
      </c>
      <c r="D874" s="2" t="s">
        <v>8665</v>
      </c>
      <c r="E874" s="2" t="s">
        <v>8666</v>
      </c>
      <c r="G874" s="3" t="s">
        <v>65</v>
      </c>
      <c r="I874" s="3" t="s">
        <v>65</v>
      </c>
      <c r="J874" s="3" t="s">
        <v>65</v>
      </c>
      <c r="K874" s="3" t="s">
        <v>66</v>
      </c>
      <c r="M874" s="2" t="s">
        <v>1788</v>
      </c>
      <c r="N874" s="3" t="s">
        <v>176</v>
      </c>
      <c r="P874" s="3" t="s">
        <v>69</v>
      </c>
      <c r="Q874" s="2" t="s">
        <v>8667</v>
      </c>
      <c r="R874" s="3" t="s">
        <v>71</v>
      </c>
      <c r="S874" s="4">
        <v>1</v>
      </c>
      <c r="T874" s="4">
        <v>1</v>
      </c>
      <c r="U874" s="5" t="s">
        <v>8668</v>
      </c>
      <c r="V874" s="5" t="s">
        <v>8668</v>
      </c>
      <c r="W874" s="5" t="s">
        <v>72</v>
      </c>
      <c r="X874" s="5" t="s">
        <v>72</v>
      </c>
      <c r="Y874" s="4">
        <v>48</v>
      </c>
      <c r="Z874" s="4">
        <v>7</v>
      </c>
      <c r="AA874" s="4">
        <v>7</v>
      </c>
      <c r="AB874" s="4">
        <v>1</v>
      </c>
      <c r="AC874" s="4">
        <v>1</v>
      </c>
      <c r="AD874" s="4">
        <v>37</v>
      </c>
      <c r="AE874" s="4">
        <v>37</v>
      </c>
      <c r="AF874" s="4">
        <v>0</v>
      </c>
      <c r="AG874" s="4">
        <v>0</v>
      </c>
      <c r="AH874" s="4">
        <v>36</v>
      </c>
      <c r="AI874" s="4">
        <v>36</v>
      </c>
      <c r="AJ874" s="4">
        <v>3</v>
      </c>
      <c r="AK874" s="4">
        <v>3</v>
      </c>
      <c r="AL874" s="4">
        <v>27</v>
      </c>
      <c r="AM874" s="4">
        <v>27</v>
      </c>
      <c r="AN874" s="4">
        <v>0</v>
      </c>
      <c r="AO874" s="4">
        <v>0</v>
      </c>
      <c r="AP874" s="4">
        <v>3</v>
      </c>
      <c r="AQ874" s="4">
        <v>3</v>
      </c>
      <c r="AR874" s="3" t="s">
        <v>65</v>
      </c>
      <c r="AS874" s="3" t="s">
        <v>65</v>
      </c>
      <c r="AT874" s="3" t="s">
        <v>65</v>
      </c>
      <c r="AV874" s="6" t="str">
        <f>HYPERLINK("http://mcgill.on.worldcat.org/oclc/913745374","Catalog Record")</f>
        <v>Catalog Record</v>
      </c>
      <c r="AW874" s="6" t="str">
        <f>HYPERLINK("http://www.worldcat.org/oclc/913745374","WorldCat Record")</f>
        <v>WorldCat Record</v>
      </c>
      <c r="AX874" s="3" t="s">
        <v>8669</v>
      </c>
      <c r="AY874" s="3" t="s">
        <v>8670</v>
      </c>
      <c r="AZ874" s="3" t="s">
        <v>8671</v>
      </c>
      <c r="BA874" s="3" t="s">
        <v>8671</v>
      </c>
      <c r="BB874" s="3" t="s">
        <v>8672</v>
      </c>
      <c r="BC874" s="3" t="s">
        <v>77</v>
      </c>
      <c r="BD874" s="3" t="s">
        <v>78</v>
      </c>
      <c r="BE874" s="3" t="s">
        <v>8673</v>
      </c>
      <c r="BF874" s="3" t="s">
        <v>8672</v>
      </c>
      <c r="BG874" s="3" t="s">
        <v>8674</v>
      </c>
    </row>
    <row r="875" spans="1:59" ht="58" x14ac:dyDescent="0.35">
      <c r="A875" s="2" t="s">
        <v>59</v>
      </c>
      <c r="B875" s="2" t="s">
        <v>60</v>
      </c>
      <c r="C875" s="2" t="s">
        <v>8675</v>
      </c>
      <c r="D875" s="2" t="s">
        <v>8676</v>
      </c>
      <c r="E875" s="2" t="s">
        <v>8677</v>
      </c>
      <c r="G875" s="3" t="s">
        <v>65</v>
      </c>
      <c r="I875" s="3" t="s">
        <v>65</v>
      </c>
      <c r="J875" s="3" t="s">
        <v>65</v>
      </c>
      <c r="K875" s="3" t="s">
        <v>66</v>
      </c>
      <c r="L875" s="2" t="s">
        <v>8678</v>
      </c>
      <c r="M875" s="2" t="s">
        <v>8679</v>
      </c>
      <c r="N875" s="3" t="s">
        <v>113</v>
      </c>
      <c r="P875" s="3" t="s">
        <v>140</v>
      </c>
      <c r="Q875" s="2" t="s">
        <v>8680</v>
      </c>
      <c r="R875" s="3" t="s">
        <v>71</v>
      </c>
      <c r="S875" s="4">
        <v>3</v>
      </c>
      <c r="T875" s="4">
        <v>3</v>
      </c>
      <c r="U875" s="5" t="s">
        <v>8681</v>
      </c>
      <c r="V875" s="5" t="s">
        <v>8681</v>
      </c>
      <c r="W875" s="5" t="s">
        <v>72</v>
      </c>
      <c r="X875" s="5" t="s">
        <v>72</v>
      </c>
      <c r="Y875" s="4">
        <v>57</v>
      </c>
      <c r="Z875" s="4">
        <v>6</v>
      </c>
      <c r="AA875" s="4">
        <v>6</v>
      </c>
      <c r="AB875" s="4">
        <v>1</v>
      </c>
      <c r="AC875" s="4">
        <v>1</v>
      </c>
      <c r="AD875" s="4">
        <v>30</v>
      </c>
      <c r="AE875" s="4">
        <v>30</v>
      </c>
      <c r="AF875" s="4">
        <v>0</v>
      </c>
      <c r="AG875" s="4">
        <v>0</v>
      </c>
      <c r="AH875" s="4">
        <v>29</v>
      </c>
      <c r="AI875" s="4">
        <v>29</v>
      </c>
      <c r="AJ875" s="4">
        <v>3</v>
      </c>
      <c r="AK875" s="4">
        <v>3</v>
      </c>
      <c r="AL875" s="4">
        <v>20</v>
      </c>
      <c r="AM875" s="4">
        <v>20</v>
      </c>
      <c r="AN875" s="4">
        <v>0</v>
      </c>
      <c r="AO875" s="4">
        <v>0</v>
      </c>
      <c r="AP875" s="4">
        <v>3</v>
      </c>
      <c r="AQ875" s="4">
        <v>3</v>
      </c>
      <c r="AR875" s="3" t="s">
        <v>65</v>
      </c>
      <c r="AS875" s="3" t="s">
        <v>65</v>
      </c>
      <c r="AT875" s="3" t="s">
        <v>65</v>
      </c>
      <c r="AV875" s="6" t="str">
        <f>HYPERLINK("http://mcgill.on.worldcat.org/oclc/697264314","Catalog Record")</f>
        <v>Catalog Record</v>
      </c>
      <c r="AW875" s="6" t="str">
        <f>HYPERLINK("http://www.worldcat.org/oclc/697264314","WorldCat Record")</f>
        <v>WorldCat Record</v>
      </c>
      <c r="AX875" s="3" t="s">
        <v>8682</v>
      </c>
      <c r="AY875" s="3" t="s">
        <v>8683</v>
      </c>
      <c r="AZ875" s="3" t="s">
        <v>8684</v>
      </c>
      <c r="BA875" s="3" t="s">
        <v>8684</v>
      </c>
      <c r="BB875" s="3" t="s">
        <v>8685</v>
      </c>
      <c r="BC875" s="3" t="s">
        <v>77</v>
      </c>
      <c r="BD875" s="3" t="s">
        <v>78</v>
      </c>
      <c r="BE875" s="3" t="s">
        <v>8686</v>
      </c>
      <c r="BF875" s="3" t="s">
        <v>8685</v>
      </c>
      <c r="BG875" s="3" t="s">
        <v>8687</v>
      </c>
    </row>
    <row r="876" spans="1:59" ht="58" x14ac:dyDescent="0.35">
      <c r="A876" s="2" t="s">
        <v>59</v>
      </c>
      <c r="B876" s="2" t="s">
        <v>60</v>
      </c>
      <c r="C876" s="2" t="s">
        <v>8688</v>
      </c>
      <c r="D876" s="2" t="s">
        <v>8689</v>
      </c>
      <c r="E876" s="2" t="s">
        <v>8690</v>
      </c>
      <c r="G876" s="3" t="s">
        <v>65</v>
      </c>
      <c r="I876" s="3" t="s">
        <v>65</v>
      </c>
      <c r="J876" s="3" t="s">
        <v>209</v>
      </c>
      <c r="K876" s="3" t="s">
        <v>66</v>
      </c>
      <c r="L876" s="2" t="s">
        <v>8691</v>
      </c>
      <c r="M876" s="2" t="s">
        <v>8692</v>
      </c>
      <c r="N876" s="3" t="s">
        <v>139</v>
      </c>
      <c r="P876" s="3" t="s">
        <v>140</v>
      </c>
      <c r="Q876" s="2" t="s">
        <v>8693</v>
      </c>
      <c r="R876" s="3" t="s">
        <v>71</v>
      </c>
      <c r="S876" s="4">
        <v>0</v>
      </c>
      <c r="T876" s="4">
        <v>0</v>
      </c>
      <c r="W876" s="5" t="s">
        <v>72</v>
      </c>
      <c r="X876" s="5" t="s">
        <v>72</v>
      </c>
      <c r="Y876" s="4">
        <v>43</v>
      </c>
      <c r="Z876" s="4">
        <v>3</v>
      </c>
      <c r="AA876" s="4">
        <v>4</v>
      </c>
      <c r="AB876" s="4">
        <v>1</v>
      </c>
      <c r="AC876" s="4">
        <v>1</v>
      </c>
      <c r="AD876" s="4">
        <v>26</v>
      </c>
      <c r="AE876" s="4">
        <v>33</v>
      </c>
      <c r="AF876" s="4">
        <v>0</v>
      </c>
      <c r="AG876" s="4">
        <v>0</v>
      </c>
      <c r="AH876" s="4">
        <v>25</v>
      </c>
      <c r="AI876" s="4">
        <v>31</v>
      </c>
      <c r="AJ876" s="4">
        <v>1</v>
      </c>
      <c r="AK876" s="4">
        <v>2</v>
      </c>
      <c r="AL876" s="4">
        <v>20</v>
      </c>
      <c r="AM876" s="4">
        <v>23</v>
      </c>
      <c r="AN876" s="4">
        <v>0</v>
      </c>
      <c r="AO876" s="4">
        <v>0</v>
      </c>
      <c r="AP876" s="4">
        <v>1</v>
      </c>
      <c r="AQ876" s="4">
        <v>2</v>
      </c>
      <c r="AR876" s="3" t="s">
        <v>65</v>
      </c>
      <c r="AS876" s="3" t="s">
        <v>65</v>
      </c>
      <c r="AT876" s="3" t="s">
        <v>65</v>
      </c>
      <c r="AV876" s="6" t="str">
        <f>HYPERLINK("http://mcgill.on.worldcat.org/oclc/778374311","Catalog Record")</f>
        <v>Catalog Record</v>
      </c>
      <c r="AW876" s="6" t="str">
        <f>HYPERLINK("http://www.worldcat.org/oclc/778374311","WorldCat Record")</f>
        <v>WorldCat Record</v>
      </c>
      <c r="AX876" s="3" t="s">
        <v>8694</v>
      </c>
      <c r="AY876" s="3" t="s">
        <v>8695</v>
      </c>
      <c r="AZ876" s="3" t="s">
        <v>8696</v>
      </c>
      <c r="BA876" s="3" t="s">
        <v>8696</v>
      </c>
      <c r="BB876" s="3" t="s">
        <v>8697</v>
      </c>
      <c r="BC876" s="3" t="s">
        <v>77</v>
      </c>
      <c r="BD876" s="3" t="s">
        <v>78</v>
      </c>
      <c r="BF876" s="3" t="s">
        <v>8697</v>
      </c>
      <c r="BG876" s="3" t="s">
        <v>8698</v>
      </c>
    </row>
    <row r="877" spans="1:59" ht="72.5" x14ac:dyDescent="0.35">
      <c r="A877" s="2" t="s">
        <v>59</v>
      </c>
      <c r="B877" s="2" t="s">
        <v>60</v>
      </c>
      <c r="C877" s="2" t="s">
        <v>8699</v>
      </c>
      <c r="D877" s="2" t="s">
        <v>8700</v>
      </c>
      <c r="E877" s="2" t="s">
        <v>8701</v>
      </c>
      <c r="G877" s="3" t="s">
        <v>65</v>
      </c>
      <c r="I877" s="3" t="s">
        <v>65</v>
      </c>
      <c r="J877" s="3" t="s">
        <v>65</v>
      </c>
      <c r="K877" s="3" t="s">
        <v>66</v>
      </c>
      <c r="L877" s="2" t="s">
        <v>904</v>
      </c>
      <c r="M877" s="2" t="s">
        <v>8702</v>
      </c>
      <c r="N877" s="3" t="s">
        <v>8703</v>
      </c>
      <c r="O877" s="2" t="s">
        <v>8704</v>
      </c>
      <c r="P877" s="3" t="s">
        <v>140</v>
      </c>
      <c r="R877" s="3" t="s">
        <v>71</v>
      </c>
      <c r="S877" s="4">
        <v>2</v>
      </c>
      <c r="T877" s="4">
        <v>2</v>
      </c>
      <c r="U877" s="5" t="s">
        <v>8505</v>
      </c>
      <c r="V877" s="5" t="s">
        <v>8505</v>
      </c>
      <c r="W877" s="5" t="s">
        <v>72</v>
      </c>
      <c r="X877" s="5" t="s">
        <v>72</v>
      </c>
      <c r="Y877" s="4">
        <v>43</v>
      </c>
      <c r="Z877" s="4">
        <v>1</v>
      </c>
      <c r="AA877" s="4">
        <v>1</v>
      </c>
      <c r="AB877" s="4">
        <v>1</v>
      </c>
      <c r="AC877" s="4">
        <v>1</v>
      </c>
      <c r="AD877" s="4">
        <v>20</v>
      </c>
      <c r="AE877" s="4">
        <v>21</v>
      </c>
      <c r="AF877" s="4">
        <v>0</v>
      </c>
      <c r="AG877" s="4">
        <v>0</v>
      </c>
      <c r="AH877" s="4">
        <v>19</v>
      </c>
      <c r="AI877" s="4">
        <v>20</v>
      </c>
      <c r="AJ877" s="4">
        <v>0</v>
      </c>
      <c r="AK877" s="4">
        <v>0</v>
      </c>
      <c r="AL877" s="4">
        <v>17</v>
      </c>
      <c r="AM877" s="4">
        <v>17</v>
      </c>
      <c r="AN877" s="4">
        <v>0</v>
      </c>
      <c r="AO877" s="4">
        <v>0</v>
      </c>
      <c r="AP877" s="4">
        <v>0</v>
      </c>
      <c r="AQ877" s="4">
        <v>0</v>
      </c>
      <c r="AR877" s="3" t="s">
        <v>65</v>
      </c>
      <c r="AS877" s="3" t="s">
        <v>65</v>
      </c>
      <c r="AT877" s="3" t="s">
        <v>65</v>
      </c>
      <c r="AU877" s="6" t="str">
        <f>HYPERLINK("http://catalog.hathitrust.org/Record/000879139","HathiTrust Record")</f>
        <v>HathiTrust Record</v>
      </c>
      <c r="AV877" s="6" t="str">
        <f>HYPERLINK("http://mcgill.on.worldcat.org/oclc/4472655","Catalog Record")</f>
        <v>Catalog Record</v>
      </c>
      <c r="AW877" s="6" t="str">
        <f>HYPERLINK("http://www.worldcat.org/oclc/4472655","WorldCat Record")</f>
        <v>WorldCat Record</v>
      </c>
      <c r="AX877" s="3" t="s">
        <v>8705</v>
      </c>
      <c r="AY877" s="3" t="s">
        <v>8706</v>
      </c>
      <c r="AZ877" s="3" t="s">
        <v>8707</v>
      </c>
      <c r="BA877" s="3" t="s">
        <v>8707</v>
      </c>
      <c r="BB877" s="3" t="s">
        <v>8708</v>
      </c>
      <c r="BC877" s="3" t="s">
        <v>77</v>
      </c>
      <c r="BD877" s="3" t="s">
        <v>78</v>
      </c>
      <c r="BF877" s="3" t="s">
        <v>8708</v>
      </c>
      <c r="BG877" s="3" t="s">
        <v>8709</v>
      </c>
    </row>
    <row r="878" spans="1:59" ht="58" x14ac:dyDescent="0.35">
      <c r="A878" s="2" t="s">
        <v>59</v>
      </c>
      <c r="B878" s="2" t="s">
        <v>60</v>
      </c>
      <c r="C878" s="2" t="s">
        <v>8710</v>
      </c>
      <c r="D878" s="2" t="s">
        <v>8711</v>
      </c>
      <c r="E878" s="2" t="s">
        <v>8712</v>
      </c>
      <c r="G878" s="3" t="s">
        <v>65</v>
      </c>
      <c r="I878" s="3" t="s">
        <v>65</v>
      </c>
      <c r="J878" s="3" t="s">
        <v>65</v>
      </c>
      <c r="K878" s="3" t="s">
        <v>66</v>
      </c>
      <c r="L878" s="2" t="s">
        <v>904</v>
      </c>
      <c r="M878" s="2" t="s">
        <v>8713</v>
      </c>
      <c r="N878" s="3" t="s">
        <v>463</v>
      </c>
      <c r="O878" s="2" t="s">
        <v>8714</v>
      </c>
      <c r="P878" s="3" t="s">
        <v>140</v>
      </c>
      <c r="Q878" s="2" t="s">
        <v>8715</v>
      </c>
      <c r="R878" s="3" t="s">
        <v>71</v>
      </c>
      <c r="S878" s="4">
        <v>15</v>
      </c>
      <c r="T878" s="4">
        <v>15</v>
      </c>
      <c r="U878" s="5" t="s">
        <v>8716</v>
      </c>
      <c r="V878" s="5" t="s">
        <v>8716</v>
      </c>
      <c r="W878" s="5" t="s">
        <v>72</v>
      </c>
      <c r="X878" s="5" t="s">
        <v>72</v>
      </c>
      <c r="Y878" s="4">
        <v>41</v>
      </c>
      <c r="Z878" s="4">
        <v>2</v>
      </c>
      <c r="AA878" s="4">
        <v>6</v>
      </c>
      <c r="AB878" s="4">
        <v>1</v>
      </c>
      <c r="AC878" s="4">
        <v>1</v>
      </c>
      <c r="AD878" s="4">
        <v>17</v>
      </c>
      <c r="AE878" s="4">
        <v>41</v>
      </c>
      <c r="AF878" s="4">
        <v>0</v>
      </c>
      <c r="AG878" s="4">
        <v>0</v>
      </c>
      <c r="AH878" s="4">
        <v>15</v>
      </c>
      <c r="AI878" s="4">
        <v>38</v>
      </c>
      <c r="AJ878" s="4">
        <v>0</v>
      </c>
      <c r="AK878" s="4">
        <v>2</v>
      </c>
      <c r="AL878" s="4">
        <v>14</v>
      </c>
      <c r="AM878" s="4">
        <v>30</v>
      </c>
      <c r="AN878" s="4">
        <v>0</v>
      </c>
      <c r="AO878" s="4">
        <v>0</v>
      </c>
      <c r="AP878" s="4">
        <v>0</v>
      </c>
      <c r="AQ878" s="4">
        <v>2</v>
      </c>
      <c r="AR878" s="3" t="s">
        <v>65</v>
      </c>
      <c r="AS878" s="3" t="s">
        <v>65</v>
      </c>
      <c r="AT878" s="3" t="s">
        <v>209</v>
      </c>
      <c r="AU878" s="6" t="str">
        <f>HYPERLINK("http://catalog.hathitrust.org/Record/000878812","HathiTrust Record")</f>
        <v>HathiTrust Record</v>
      </c>
      <c r="AV878" s="6" t="str">
        <f>HYPERLINK("http://mcgill.on.worldcat.org/oclc/7057060","Catalog Record")</f>
        <v>Catalog Record</v>
      </c>
      <c r="AW878" s="6" t="str">
        <f>HYPERLINK("http://www.worldcat.org/oclc/7057060","WorldCat Record")</f>
        <v>WorldCat Record</v>
      </c>
      <c r="AX878" s="3" t="s">
        <v>8717</v>
      </c>
      <c r="AY878" s="3" t="s">
        <v>8718</v>
      </c>
      <c r="AZ878" s="3" t="s">
        <v>8719</v>
      </c>
      <c r="BA878" s="3" t="s">
        <v>8719</v>
      </c>
      <c r="BB878" s="3" t="s">
        <v>8720</v>
      </c>
      <c r="BC878" s="3" t="s">
        <v>77</v>
      </c>
      <c r="BD878" s="3" t="s">
        <v>78</v>
      </c>
      <c r="BF878" s="3" t="s">
        <v>8720</v>
      </c>
      <c r="BG878" s="3" t="s">
        <v>8721</v>
      </c>
    </row>
    <row r="879" spans="1:59" ht="58" x14ac:dyDescent="0.35">
      <c r="A879" s="2" t="s">
        <v>59</v>
      </c>
      <c r="B879" s="2" t="s">
        <v>60</v>
      </c>
      <c r="C879" s="2" t="s">
        <v>8722</v>
      </c>
      <c r="D879" s="2" t="s">
        <v>8723</v>
      </c>
      <c r="E879" s="2" t="s">
        <v>8724</v>
      </c>
      <c r="G879" s="3" t="s">
        <v>65</v>
      </c>
      <c r="I879" s="3" t="s">
        <v>65</v>
      </c>
      <c r="J879" s="3" t="s">
        <v>209</v>
      </c>
      <c r="K879" s="3" t="s">
        <v>66</v>
      </c>
      <c r="L879" s="2" t="s">
        <v>904</v>
      </c>
      <c r="M879" s="2" t="s">
        <v>8725</v>
      </c>
      <c r="N879" s="3" t="s">
        <v>5439</v>
      </c>
      <c r="P879" s="3" t="s">
        <v>140</v>
      </c>
      <c r="Q879" s="2" t="s">
        <v>8726</v>
      </c>
      <c r="R879" s="3" t="s">
        <v>71</v>
      </c>
      <c r="S879" s="4">
        <v>17</v>
      </c>
      <c r="T879" s="4">
        <v>17</v>
      </c>
      <c r="U879" s="5" t="s">
        <v>8067</v>
      </c>
      <c r="V879" s="5" t="s">
        <v>8067</v>
      </c>
      <c r="W879" s="5" t="s">
        <v>72</v>
      </c>
      <c r="X879" s="5" t="s">
        <v>72</v>
      </c>
      <c r="Y879" s="4">
        <v>9</v>
      </c>
      <c r="Z879" s="4">
        <v>3</v>
      </c>
      <c r="AA879" s="4">
        <v>43</v>
      </c>
      <c r="AB879" s="4">
        <v>1</v>
      </c>
      <c r="AC879" s="4">
        <v>7</v>
      </c>
      <c r="AD879" s="4">
        <v>1</v>
      </c>
      <c r="AE879" s="4">
        <v>115</v>
      </c>
      <c r="AF879" s="4">
        <v>0</v>
      </c>
      <c r="AG879" s="4">
        <v>4</v>
      </c>
      <c r="AH879" s="4">
        <v>1</v>
      </c>
      <c r="AI879" s="4">
        <v>95</v>
      </c>
      <c r="AJ879" s="4">
        <v>1</v>
      </c>
      <c r="AK879" s="4">
        <v>20</v>
      </c>
      <c r="AL879" s="4">
        <v>0</v>
      </c>
      <c r="AM879" s="4">
        <v>58</v>
      </c>
      <c r="AN879" s="4">
        <v>0</v>
      </c>
      <c r="AO879" s="4">
        <v>15</v>
      </c>
      <c r="AP879" s="4">
        <v>1</v>
      </c>
      <c r="AQ879" s="4">
        <v>24</v>
      </c>
      <c r="AR879" s="3" t="s">
        <v>65</v>
      </c>
      <c r="AS879" s="3" t="s">
        <v>65</v>
      </c>
      <c r="AT879" s="3" t="s">
        <v>65</v>
      </c>
      <c r="AV879" s="6" t="str">
        <f>HYPERLINK("http://mcgill.on.worldcat.org/oclc/317857577","Catalog Record")</f>
        <v>Catalog Record</v>
      </c>
      <c r="AW879" s="6" t="str">
        <f>HYPERLINK("http://www.worldcat.org/oclc/317857577","WorldCat Record")</f>
        <v>WorldCat Record</v>
      </c>
      <c r="AX879" s="3" t="s">
        <v>8727</v>
      </c>
      <c r="AY879" s="3" t="s">
        <v>8728</v>
      </c>
      <c r="AZ879" s="3" t="s">
        <v>8729</v>
      </c>
      <c r="BA879" s="3" t="s">
        <v>8729</v>
      </c>
      <c r="BB879" s="3" t="s">
        <v>8730</v>
      </c>
      <c r="BC879" s="3" t="s">
        <v>77</v>
      </c>
      <c r="BD879" s="3" t="s">
        <v>78</v>
      </c>
      <c r="BF879" s="3" t="s">
        <v>8730</v>
      </c>
      <c r="BG879" s="3" t="s">
        <v>8731</v>
      </c>
    </row>
    <row r="880" spans="1:59" ht="58" x14ac:dyDescent="0.35">
      <c r="A880" s="2" t="s">
        <v>59</v>
      </c>
      <c r="B880" s="2" t="s">
        <v>60</v>
      </c>
      <c r="C880" s="2" t="s">
        <v>8732</v>
      </c>
      <c r="D880" s="2" t="s">
        <v>8733</v>
      </c>
      <c r="E880" s="2" t="s">
        <v>8734</v>
      </c>
      <c r="G880" s="3" t="s">
        <v>65</v>
      </c>
      <c r="I880" s="3" t="s">
        <v>65</v>
      </c>
      <c r="J880" s="3" t="s">
        <v>209</v>
      </c>
      <c r="K880" s="3" t="s">
        <v>8735</v>
      </c>
      <c r="L880" s="2" t="s">
        <v>904</v>
      </c>
      <c r="M880" s="2" t="s">
        <v>8736</v>
      </c>
      <c r="N880" s="3" t="s">
        <v>5130</v>
      </c>
      <c r="O880" s="2" t="s">
        <v>8737</v>
      </c>
      <c r="P880" s="3" t="s">
        <v>69</v>
      </c>
      <c r="Q880" s="2" t="s">
        <v>8738</v>
      </c>
      <c r="R880" s="3" t="s">
        <v>71</v>
      </c>
      <c r="S880" s="4">
        <v>35</v>
      </c>
      <c r="T880" s="4">
        <v>35</v>
      </c>
      <c r="U880" s="5" t="s">
        <v>7362</v>
      </c>
      <c r="V880" s="5" t="s">
        <v>7362</v>
      </c>
      <c r="W880" s="5" t="s">
        <v>72</v>
      </c>
      <c r="X880" s="5" t="s">
        <v>72</v>
      </c>
      <c r="Y880" s="4">
        <v>514</v>
      </c>
      <c r="Z880" s="4">
        <v>25</v>
      </c>
      <c r="AA880" s="4">
        <v>132</v>
      </c>
      <c r="AB880" s="4">
        <v>2</v>
      </c>
      <c r="AC880" s="4">
        <v>19</v>
      </c>
      <c r="AD880" s="4">
        <v>96</v>
      </c>
      <c r="AE880" s="4">
        <v>163</v>
      </c>
      <c r="AF880" s="4">
        <v>1</v>
      </c>
      <c r="AG880" s="4">
        <v>8</v>
      </c>
      <c r="AH880" s="4">
        <v>84</v>
      </c>
      <c r="AI880" s="4">
        <v>116</v>
      </c>
      <c r="AJ880" s="4">
        <v>13</v>
      </c>
      <c r="AK880" s="4">
        <v>28</v>
      </c>
      <c r="AL880" s="4">
        <v>46</v>
      </c>
      <c r="AM880" s="4">
        <v>63</v>
      </c>
      <c r="AN880" s="4">
        <v>0</v>
      </c>
      <c r="AO880" s="4">
        <v>18</v>
      </c>
      <c r="AP880" s="4">
        <v>17</v>
      </c>
      <c r="AQ880" s="4">
        <v>53</v>
      </c>
      <c r="AR880" s="3" t="s">
        <v>65</v>
      </c>
      <c r="AS880" s="3" t="s">
        <v>65</v>
      </c>
      <c r="AT880" s="3" t="s">
        <v>65</v>
      </c>
      <c r="AV880" s="6" t="str">
        <f>HYPERLINK("http://mcgill.on.worldcat.org/oclc/642521","Catalog Record")</f>
        <v>Catalog Record</v>
      </c>
      <c r="AW880" s="6" t="str">
        <f>HYPERLINK("http://www.worldcat.org/oclc/642521","WorldCat Record")</f>
        <v>WorldCat Record</v>
      </c>
      <c r="AX880" s="3" t="s">
        <v>8739</v>
      </c>
      <c r="AY880" s="3" t="s">
        <v>8740</v>
      </c>
      <c r="AZ880" s="3" t="s">
        <v>8741</v>
      </c>
      <c r="BA880" s="3" t="s">
        <v>8741</v>
      </c>
      <c r="BB880" s="3" t="s">
        <v>8742</v>
      </c>
      <c r="BC880" s="3" t="s">
        <v>77</v>
      </c>
      <c r="BD880" s="3" t="s">
        <v>78</v>
      </c>
      <c r="BE880" s="3" t="s">
        <v>8743</v>
      </c>
      <c r="BF880" s="3" t="s">
        <v>8742</v>
      </c>
      <c r="BG880" s="3" t="s">
        <v>8744</v>
      </c>
    </row>
    <row r="881" spans="1:59" ht="58" x14ac:dyDescent="0.35">
      <c r="A881" s="2" t="s">
        <v>59</v>
      </c>
      <c r="B881" s="2" t="s">
        <v>60</v>
      </c>
      <c r="C881" s="2" t="s">
        <v>8745</v>
      </c>
      <c r="D881" s="2" t="s">
        <v>8746</v>
      </c>
      <c r="E881" s="2" t="s">
        <v>8747</v>
      </c>
      <c r="G881" s="3" t="s">
        <v>65</v>
      </c>
      <c r="I881" s="3" t="s">
        <v>65</v>
      </c>
      <c r="J881" s="3" t="s">
        <v>65</v>
      </c>
      <c r="K881" s="3" t="s">
        <v>66</v>
      </c>
      <c r="L881" s="2" t="s">
        <v>8748</v>
      </c>
      <c r="M881" s="2" t="s">
        <v>8749</v>
      </c>
      <c r="N881" s="3" t="s">
        <v>2460</v>
      </c>
      <c r="P881" s="3" t="s">
        <v>69</v>
      </c>
      <c r="R881" s="3" t="s">
        <v>71</v>
      </c>
      <c r="S881" s="4">
        <v>35</v>
      </c>
      <c r="T881" s="4">
        <v>35</v>
      </c>
      <c r="U881" s="5" t="s">
        <v>8750</v>
      </c>
      <c r="V881" s="5" t="s">
        <v>8750</v>
      </c>
      <c r="W881" s="5" t="s">
        <v>72</v>
      </c>
      <c r="X881" s="5" t="s">
        <v>72</v>
      </c>
      <c r="Y881" s="4">
        <v>374</v>
      </c>
      <c r="Z881" s="4">
        <v>17</v>
      </c>
      <c r="AA881" s="4">
        <v>17</v>
      </c>
      <c r="AB881" s="4">
        <v>1</v>
      </c>
      <c r="AC881" s="4">
        <v>1</v>
      </c>
      <c r="AD881" s="4">
        <v>108</v>
      </c>
      <c r="AE881" s="4">
        <v>108</v>
      </c>
      <c r="AF881" s="4">
        <v>0</v>
      </c>
      <c r="AG881" s="4">
        <v>0</v>
      </c>
      <c r="AH881" s="4">
        <v>98</v>
      </c>
      <c r="AI881" s="4">
        <v>98</v>
      </c>
      <c r="AJ881" s="4">
        <v>10</v>
      </c>
      <c r="AK881" s="4">
        <v>10</v>
      </c>
      <c r="AL881" s="4">
        <v>57</v>
      </c>
      <c r="AM881" s="4">
        <v>57</v>
      </c>
      <c r="AN881" s="4">
        <v>0</v>
      </c>
      <c r="AO881" s="4">
        <v>0</v>
      </c>
      <c r="AP881" s="4">
        <v>13</v>
      </c>
      <c r="AQ881" s="4">
        <v>13</v>
      </c>
      <c r="AR881" s="3" t="s">
        <v>65</v>
      </c>
      <c r="AS881" s="3" t="s">
        <v>65</v>
      </c>
      <c r="AT881" s="3" t="s">
        <v>209</v>
      </c>
      <c r="AU881" s="6" t="str">
        <f>HYPERLINK("http://catalog.hathitrust.org/Record/001077502","HathiTrust Record")</f>
        <v>HathiTrust Record</v>
      </c>
      <c r="AV881" s="6" t="str">
        <f>HYPERLINK("http://mcgill.on.worldcat.org/oclc/17674924","Catalog Record")</f>
        <v>Catalog Record</v>
      </c>
      <c r="AW881" s="6" t="str">
        <f>HYPERLINK("http://www.worldcat.org/oclc/17674924","WorldCat Record")</f>
        <v>WorldCat Record</v>
      </c>
      <c r="AX881" s="3" t="s">
        <v>8751</v>
      </c>
      <c r="AY881" s="3" t="s">
        <v>8752</v>
      </c>
      <c r="AZ881" s="3" t="s">
        <v>8753</v>
      </c>
      <c r="BA881" s="3" t="s">
        <v>8753</v>
      </c>
      <c r="BB881" s="3" t="s">
        <v>8754</v>
      </c>
      <c r="BC881" s="3" t="s">
        <v>77</v>
      </c>
      <c r="BD881" s="3" t="s">
        <v>78</v>
      </c>
      <c r="BE881" s="3" t="s">
        <v>8755</v>
      </c>
      <c r="BF881" s="3" t="s">
        <v>8754</v>
      </c>
      <c r="BG881" s="3" t="s">
        <v>8756</v>
      </c>
    </row>
    <row r="882" spans="1:59" ht="116" x14ac:dyDescent="0.35">
      <c r="A882" s="2" t="s">
        <v>59</v>
      </c>
      <c r="B882" s="2" t="s">
        <v>60</v>
      </c>
      <c r="C882" s="2" t="s">
        <v>8757</v>
      </c>
      <c r="D882" s="2" t="s">
        <v>8758</v>
      </c>
      <c r="E882" s="2" t="s">
        <v>8759</v>
      </c>
      <c r="G882" s="3" t="s">
        <v>65</v>
      </c>
      <c r="I882" s="3" t="s">
        <v>65</v>
      </c>
      <c r="J882" s="3" t="s">
        <v>209</v>
      </c>
      <c r="K882" s="3" t="s">
        <v>66</v>
      </c>
      <c r="L882" s="2" t="s">
        <v>8760</v>
      </c>
      <c r="M882" s="2" t="s">
        <v>8761</v>
      </c>
      <c r="N882" s="3" t="s">
        <v>525</v>
      </c>
      <c r="O882" s="2" t="s">
        <v>8762</v>
      </c>
      <c r="P882" s="3" t="s">
        <v>140</v>
      </c>
      <c r="Q882" s="2" t="s">
        <v>8763</v>
      </c>
      <c r="R882" s="3" t="s">
        <v>71</v>
      </c>
      <c r="S882" s="4">
        <v>2</v>
      </c>
      <c r="T882" s="4">
        <v>2</v>
      </c>
      <c r="U882" s="5" t="s">
        <v>7988</v>
      </c>
      <c r="V882" s="5" t="s">
        <v>7988</v>
      </c>
      <c r="W882" s="5" t="s">
        <v>72</v>
      </c>
      <c r="X882" s="5" t="s">
        <v>72</v>
      </c>
      <c r="Y882" s="4">
        <v>67</v>
      </c>
      <c r="Z882" s="4">
        <v>6</v>
      </c>
      <c r="AA882" s="4">
        <v>7</v>
      </c>
      <c r="AB882" s="4">
        <v>1</v>
      </c>
      <c r="AC882" s="4">
        <v>1</v>
      </c>
      <c r="AD882" s="4">
        <v>39</v>
      </c>
      <c r="AE882" s="4">
        <v>50</v>
      </c>
      <c r="AF882" s="4">
        <v>0</v>
      </c>
      <c r="AG882" s="4">
        <v>0</v>
      </c>
      <c r="AH882" s="4">
        <v>36</v>
      </c>
      <c r="AI882" s="4">
        <v>47</v>
      </c>
      <c r="AJ882" s="4">
        <v>3</v>
      </c>
      <c r="AK882" s="4">
        <v>4</v>
      </c>
      <c r="AL882" s="4">
        <v>27</v>
      </c>
      <c r="AM882" s="4">
        <v>37</v>
      </c>
      <c r="AN882" s="4">
        <v>0</v>
      </c>
      <c r="AO882" s="4">
        <v>0</v>
      </c>
      <c r="AP882" s="4">
        <v>3</v>
      </c>
      <c r="AQ882" s="4">
        <v>4</v>
      </c>
      <c r="AR882" s="3" t="s">
        <v>65</v>
      </c>
      <c r="AS882" s="3" t="s">
        <v>65</v>
      </c>
      <c r="AT882" s="3" t="s">
        <v>209</v>
      </c>
      <c r="AU882" s="6" t="str">
        <f>HYPERLINK("http://catalog.hathitrust.org/Record/004915352","HathiTrust Record")</f>
        <v>HathiTrust Record</v>
      </c>
      <c r="AV882" s="6" t="str">
        <f>HYPERLINK("http://mcgill.on.worldcat.org/oclc/56022580","Catalog Record")</f>
        <v>Catalog Record</v>
      </c>
      <c r="AW882" s="6" t="str">
        <f>HYPERLINK("http://www.worldcat.org/oclc/56022580","WorldCat Record")</f>
        <v>WorldCat Record</v>
      </c>
      <c r="AX882" s="3" t="s">
        <v>8764</v>
      </c>
      <c r="AY882" s="3" t="s">
        <v>8765</v>
      </c>
      <c r="AZ882" s="3" t="s">
        <v>8766</v>
      </c>
      <c r="BA882" s="3" t="s">
        <v>8766</v>
      </c>
      <c r="BB882" s="3" t="s">
        <v>8767</v>
      </c>
      <c r="BC882" s="3" t="s">
        <v>77</v>
      </c>
      <c r="BD882" s="3" t="s">
        <v>78</v>
      </c>
      <c r="BE882" s="3" t="s">
        <v>8768</v>
      </c>
      <c r="BF882" s="3" t="s">
        <v>8767</v>
      </c>
      <c r="BG882" s="3" t="s">
        <v>8769</v>
      </c>
    </row>
    <row r="883" spans="1:59" ht="58" x14ac:dyDescent="0.35">
      <c r="A883" s="2" t="s">
        <v>59</v>
      </c>
      <c r="B883" s="2" t="s">
        <v>60</v>
      </c>
      <c r="C883" s="2" t="s">
        <v>8770</v>
      </c>
      <c r="D883" s="2" t="s">
        <v>8771</v>
      </c>
      <c r="E883" s="2" t="s">
        <v>8772</v>
      </c>
      <c r="G883" s="3" t="s">
        <v>65</v>
      </c>
      <c r="I883" s="3" t="s">
        <v>65</v>
      </c>
      <c r="J883" s="3" t="s">
        <v>65</v>
      </c>
      <c r="K883" s="3" t="s">
        <v>66</v>
      </c>
      <c r="L883" s="2" t="s">
        <v>8773</v>
      </c>
      <c r="M883" s="2" t="s">
        <v>8774</v>
      </c>
      <c r="N883" s="3" t="s">
        <v>188</v>
      </c>
      <c r="O883" s="2" t="s">
        <v>379</v>
      </c>
      <c r="P883" s="3" t="s">
        <v>140</v>
      </c>
      <c r="Q883" s="2" t="s">
        <v>8775</v>
      </c>
      <c r="R883" s="3" t="s">
        <v>71</v>
      </c>
      <c r="S883" s="4">
        <v>0</v>
      </c>
      <c r="T883" s="4">
        <v>0</v>
      </c>
      <c r="W883" s="5" t="s">
        <v>72</v>
      </c>
      <c r="X883" s="5" t="s">
        <v>72</v>
      </c>
      <c r="Y883" s="4">
        <v>28</v>
      </c>
      <c r="Z883" s="4">
        <v>1</v>
      </c>
      <c r="AA883" s="4">
        <v>1</v>
      </c>
      <c r="AB883" s="4">
        <v>1</v>
      </c>
      <c r="AC883" s="4">
        <v>1</v>
      </c>
      <c r="AD883" s="4">
        <v>22</v>
      </c>
      <c r="AE883" s="4">
        <v>22</v>
      </c>
      <c r="AF883" s="4">
        <v>0</v>
      </c>
      <c r="AG883" s="4">
        <v>0</v>
      </c>
      <c r="AH883" s="4">
        <v>21</v>
      </c>
      <c r="AI883" s="4">
        <v>21</v>
      </c>
      <c r="AJ883" s="4">
        <v>0</v>
      </c>
      <c r="AK883" s="4">
        <v>0</v>
      </c>
      <c r="AL883" s="4">
        <v>19</v>
      </c>
      <c r="AM883" s="4">
        <v>19</v>
      </c>
      <c r="AN883" s="4">
        <v>0</v>
      </c>
      <c r="AO883" s="4">
        <v>0</v>
      </c>
      <c r="AP883" s="4">
        <v>0</v>
      </c>
      <c r="AQ883" s="4">
        <v>0</v>
      </c>
      <c r="AR883" s="3" t="s">
        <v>65</v>
      </c>
      <c r="AS883" s="3" t="s">
        <v>65</v>
      </c>
      <c r="AT883" s="3" t="s">
        <v>65</v>
      </c>
      <c r="AV883" s="6" t="str">
        <f>HYPERLINK("http://mcgill.on.worldcat.org/oclc/992801515","Catalog Record")</f>
        <v>Catalog Record</v>
      </c>
      <c r="AW883" s="6" t="str">
        <f>HYPERLINK("http://www.worldcat.org/oclc/992801515","WorldCat Record")</f>
        <v>WorldCat Record</v>
      </c>
      <c r="AX883" s="3" t="s">
        <v>8776</v>
      </c>
      <c r="AY883" s="3" t="s">
        <v>8777</v>
      </c>
      <c r="AZ883" s="3" t="s">
        <v>8778</v>
      </c>
      <c r="BA883" s="3" t="s">
        <v>8778</v>
      </c>
      <c r="BB883" s="3" t="s">
        <v>8779</v>
      </c>
      <c r="BC883" s="3" t="s">
        <v>77</v>
      </c>
      <c r="BD883" s="3" t="s">
        <v>78</v>
      </c>
      <c r="BE883" s="3" t="s">
        <v>8780</v>
      </c>
      <c r="BF883" s="3" t="s">
        <v>8779</v>
      </c>
      <c r="BG883" s="3" t="s">
        <v>8781</v>
      </c>
    </row>
    <row r="884" spans="1:59" ht="58" x14ac:dyDescent="0.35">
      <c r="A884" s="2" t="s">
        <v>59</v>
      </c>
      <c r="B884" s="2" t="s">
        <v>60</v>
      </c>
      <c r="C884" s="2" t="s">
        <v>8782</v>
      </c>
      <c r="D884" s="2" t="s">
        <v>8783</v>
      </c>
      <c r="E884" s="2" t="s">
        <v>8784</v>
      </c>
      <c r="G884" s="3" t="s">
        <v>65</v>
      </c>
      <c r="I884" s="3" t="s">
        <v>65</v>
      </c>
      <c r="J884" s="3" t="s">
        <v>65</v>
      </c>
      <c r="K884" s="3" t="s">
        <v>66</v>
      </c>
      <c r="L884" s="2" t="s">
        <v>8785</v>
      </c>
      <c r="M884" s="2" t="s">
        <v>8786</v>
      </c>
      <c r="N884" s="3" t="s">
        <v>1835</v>
      </c>
      <c r="P884" s="3" t="s">
        <v>69</v>
      </c>
      <c r="Q884" s="2" t="s">
        <v>8787</v>
      </c>
      <c r="R884" s="3" t="s">
        <v>71</v>
      </c>
      <c r="S884" s="4">
        <v>16</v>
      </c>
      <c r="T884" s="4">
        <v>16</v>
      </c>
      <c r="U884" s="5" t="s">
        <v>5353</v>
      </c>
      <c r="V884" s="5" t="s">
        <v>5353</v>
      </c>
      <c r="W884" s="5" t="s">
        <v>72</v>
      </c>
      <c r="X884" s="5" t="s">
        <v>72</v>
      </c>
      <c r="Y884" s="4">
        <v>512</v>
      </c>
      <c r="Z884" s="4">
        <v>29</v>
      </c>
      <c r="AA884" s="4">
        <v>93</v>
      </c>
      <c r="AB884" s="4">
        <v>2</v>
      </c>
      <c r="AC884" s="4">
        <v>15</v>
      </c>
      <c r="AD884" s="4">
        <v>123</v>
      </c>
      <c r="AE884" s="4">
        <v>154</v>
      </c>
      <c r="AF884" s="4">
        <v>1</v>
      </c>
      <c r="AG884" s="4">
        <v>8</v>
      </c>
      <c r="AH884" s="4">
        <v>108</v>
      </c>
      <c r="AI884" s="4">
        <v>115</v>
      </c>
      <c r="AJ884" s="4">
        <v>18</v>
      </c>
      <c r="AK884" s="4">
        <v>26</v>
      </c>
      <c r="AL884" s="4">
        <v>56</v>
      </c>
      <c r="AM884" s="4">
        <v>62</v>
      </c>
      <c r="AN884" s="4">
        <v>0</v>
      </c>
      <c r="AO884" s="4">
        <v>0</v>
      </c>
      <c r="AP884" s="4">
        <v>23</v>
      </c>
      <c r="AQ884" s="4">
        <v>47</v>
      </c>
      <c r="AR884" s="3" t="s">
        <v>65</v>
      </c>
      <c r="AS884" s="3" t="s">
        <v>65</v>
      </c>
      <c r="AT884" s="3" t="s">
        <v>65</v>
      </c>
      <c r="AV884" s="6" t="str">
        <f>HYPERLINK("http://mcgill.on.worldcat.org/oclc/7460235","Catalog Record")</f>
        <v>Catalog Record</v>
      </c>
      <c r="AW884" s="6" t="str">
        <f>HYPERLINK("http://www.worldcat.org/oclc/7460235","WorldCat Record")</f>
        <v>WorldCat Record</v>
      </c>
      <c r="AX884" s="3" t="s">
        <v>8788</v>
      </c>
      <c r="AY884" s="3" t="s">
        <v>8789</v>
      </c>
      <c r="AZ884" s="3" t="s">
        <v>8790</v>
      </c>
      <c r="BA884" s="3" t="s">
        <v>8790</v>
      </c>
      <c r="BB884" s="3" t="s">
        <v>8791</v>
      </c>
      <c r="BC884" s="3" t="s">
        <v>77</v>
      </c>
      <c r="BD884" s="3" t="s">
        <v>78</v>
      </c>
      <c r="BE884" s="3" t="s">
        <v>8792</v>
      </c>
      <c r="BF884" s="3" t="s">
        <v>8791</v>
      </c>
      <c r="BG884" s="3" t="s">
        <v>8793</v>
      </c>
    </row>
    <row r="885" spans="1:59" ht="58" x14ac:dyDescent="0.35">
      <c r="A885" s="2" t="s">
        <v>59</v>
      </c>
      <c r="B885" s="2" t="s">
        <v>60</v>
      </c>
      <c r="C885" s="2" t="s">
        <v>8794</v>
      </c>
      <c r="D885" s="2" t="s">
        <v>8795</v>
      </c>
      <c r="E885" s="2" t="s">
        <v>8796</v>
      </c>
      <c r="G885" s="3" t="s">
        <v>65</v>
      </c>
      <c r="I885" s="3" t="s">
        <v>65</v>
      </c>
      <c r="J885" s="3" t="s">
        <v>209</v>
      </c>
      <c r="K885" s="3" t="s">
        <v>66</v>
      </c>
      <c r="L885" s="2" t="s">
        <v>8797</v>
      </c>
      <c r="M885" s="2" t="s">
        <v>8798</v>
      </c>
      <c r="N885" s="3" t="s">
        <v>4042</v>
      </c>
      <c r="O885" s="2" t="s">
        <v>8799</v>
      </c>
      <c r="P885" s="3" t="s">
        <v>140</v>
      </c>
      <c r="Q885" s="2" t="s">
        <v>8800</v>
      </c>
      <c r="R885" s="3" t="s">
        <v>71</v>
      </c>
      <c r="S885" s="4">
        <v>15</v>
      </c>
      <c r="T885" s="4">
        <v>15</v>
      </c>
      <c r="U885" s="5" t="s">
        <v>8801</v>
      </c>
      <c r="V885" s="5" t="s">
        <v>8801</v>
      </c>
      <c r="W885" s="5" t="s">
        <v>72</v>
      </c>
      <c r="X885" s="5" t="s">
        <v>72</v>
      </c>
      <c r="Y885" s="4">
        <v>82</v>
      </c>
      <c r="Z885" s="4">
        <v>12</v>
      </c>
      <c r="AA885" s="4">
        <v>14</v>
      </c>
      <c r="AB885" s="4">
        <v>1</v>
      </c>
      <c r="AC885" s="4">
        <v>1</v>
      </c>
      <c r="AD885" s="4">
        <v>41</v>
      </c>
      <c r="AE885" s="4">
        <v>56</v>
      </c>
      <c r="AF885" s="4">
        <v>0</v>
      </c>
      <c r="AG885" s="4">
        <v>0</v>
      </c>
      <c r="AH885" s="4">
        <v>38</v>
      </c>
      <c r="AI885" s="4">
        <v>52</v>
      </c>
      <c r="AJ885" s="4">
        <v>7</v>
      </c>
      <c r="AK885" s="4">
        <v>8</v>
      </c>
      <c r="AL885" s="4">
        <v>27</v>
      </c>
      <c r="AM885" s="4">
        <v>36</v>
      </c>
      <c r="AN885" s="4">
        <v>0</v>
      </c>
      <c r="AO885" s="4">
        <v>0</v>
      </c>
      <c r="AP885" s="4">
        <v>8</v>
      </c>
      <c r="AQ885" s="4">
        <v>9</v>
      </c>
      <c r="AR885" s="3" t="s">
        <v>65</v>
      </c>
      <c r="AS885" s="3" t="s">
        <v>65</v>
      </c>
      <c r="AT885" s="3" t="s">
        <v>209</v>
      </c>
      <c r="AU885" s="6" t="str">
        <f>HYPERLINK("http://catalog.hathitrust.org/Record/000878651","HathiTrust Record")</f>
        <v>HathiTrust Record</v>
      </c>
      <c r="AV885" s="6" t="str">
        <f>HYPERLINK("http://mcgill.on.worldcat.org/oclc/941521","Catalog Record")</f>
        <v>Catalog Record</v>
      </c>
      <c r="AW885" s="6" t="str">
        <f>HYPERLINK("http://www.worldcat.org/oclc/941521","WorldCat Record")</f>
        <v>WorldCat Record</v>
      </c>
      <c r="AX885" s="3" t="s">
        <v>8802</v>
      </c>
      <c r="AY885" s="3" t="s">
        <v>8803</v>
      </c>
      <c r="AZ885" s="3" t="s">
        <v>8804</v>
      </c>
      <c r="BA885" s="3" t="s">
        <v>8804</v>
      </c>
      <c r="BB885" s="3" t="s">
        <v>8805</v>
      </c>
      <c r="BC885" s="3" t="s">
        <v>77</v>
      </c>
      <c r="BD885" s="3" t="s">
        <v>78</v>
      </c>
      <c r="BF885" s="3" t="s">
        <v>8805</v>
      </c>
      <c r="BG885" s="3" t="s">
        <v>8806</v>
      </c>
    </row>
    <row r="886" spans="1:59" ht="58" x14ac:dyDescent="0.35">
      <c r="A886" s="2" t="s">
        <v>59</v>
      </c>
      <c r="B886" s="2" t="s">
        <v>60</v>
      </c>
      <c r="C886" s="2" t="s">
        <v>8807</v>
      </c>
      <c r="D886" s="2" t="s">
        <v>8808</v>
      </c>
      <c r="E886" s="2" t="s">
        <v>8809</v>
      </c>
      <c r="G886" s="3" t="s">
        <v>65</v>
      </c>
      <c r="I886" s="3" t="s">
        <v>65</v>
      </c>
      <c r="J886" s="3" t="s">
        <v>65</v>
      </c>
      <c r="K886" s="3" t="s">
        <v>66</v>
      </c>
      <c r="L886" s="2" t="s">
        <v>8810</v>
      </c>
      <c r="M886" s="2" t="s">
        <v>8811</v>
      </c>
      <c r="N886" s="3" t="s">
        <v>8812</v>
      </c>
      <c r="P886" s="3" t="s">
        <v>69</v>
      </c>
      <c r="R886" s="3" t="s">
        <v>71</v>
      </c>
      <c r="S886" s="4">
        <v>21</v>
      </c>
      <c r="T886" s="4">
        <v>21</v>
      </c>
      <c r="U886" s="5" t="s">
        <v>5353</v>
      </c>
      <c r="V886" s="5" t="s">
        <v>5353</v>
      </c>
      <c r="W886" s="5" t="s">
        <v>72</v>
      </c>
      <c r="X886" s="5" t="s">
        <v>72</v>
      </c>
      <c r="Y886" s="4">
        <v>276</v>
      </c>
      <c r="Z886" s="4">
        <v>11</v>
      </c>
      <c r="AA886" s="4">
        <v>32</v>
      </c>
      <c r="AB886" s="4">
        <v>1</v>
      </c>
      <c r="AC886" s="4">
        <v>4</v>
      </c>
      <c r="AD886" s="4">
        <v>78</v>
      </c>
      <c r="AE886" s="4">
        <v>124</v>
      </c>
      <c r="AF886" s="4">
        <v>0</v>
      </c>
      <c r="AG886" s="4">
        <v>2</v>
      </c>
      <c r="AH886" s="4">
        <v>74</v>
      </c>
      <c r="AI886" s="4">
        <v>108</v>
      </c>
      <c r="AJ886" s="4">
        <v>7</v>
      </c>
      <c r="AK886" s="4">
        <v>16</v>
      </c>
      <c r="AL886" s="4">
        <v>43</v>
      </c>
      <c r="AM886" s="4">
        <v>60</v>
      </c>
      <c r="AN886" s="4">
        <v>0</v>
      </c>
      <c r="AO886" s="4">
        <v>0</v>
      </c>
      <c r="AP886" s="4">
        <v>7</v>
      </c>
      <c r="AQ886" s="4">
        <v>21</v>
      </c>
      <c r="AR886" s="3" t="s">
        <v>65</v>
      </c>
      <c r="AS886" s="3" t="s">
        <v>209</v>
      </c>
      <c r="AT886" s="3" t="s">
        <v>65</v>
      </c>
      <c r="AU886" s="6" t="str">
        <f>HYPERLINK("http://catalog.hathitrust.org/Record/000878449","HathiTrust Record")</f>
        <v>HathiTrust Record</v>
      </c>
      <c r="AV886" s="6" t="str">
        <f>HYPERLINK("http://mcgill.on.worldcat.org/oclc/345284","Catalog Record")</f>
        <v>Catalog Record</v>
      </c>
      <c r="AW886" s="6" t="str">
        <f>HYPERLINK("http://www.worldcat.org/oclc/345284","WorldCat Record")</f>
        <v>WorldCat Record</v>
      </c>
      <c r="AX886" s="3" t="s">
        <v>8813</v>
      </c>
      <c r="AY886" s="3" t="s">
        <v>8814</v>
      </c>
      <c r="AZ886" s="3" t="s">
        <v>8815</v>
      </c>
      <c r="BA886" s="3" t="s">
        <v>8815</v>
      </c>
      <c r="BB886" s="3" t="s">
        <v>8816</v>
      </c>
      <c r="BC886" s="3" t="s">
        <v>77</v>
      </c>
      <c r="BD886" s="3" t="s">
        <v>78</v>
      </c>
      <c r="BF886" s="3" t="s">
        <v>8816</v>
      </c>
      <c r="BG886" s="3" t="s">
        <v>8817</v>
      </c>
    </row>
    <row r="887" spans="1:59" ht="58" x14ac:dyDescent="0.35">
      <c r="A887" s="2" t="s">
        <v>59</v>
      </c>
      <c r="B887" s="2" t="s">
        <v>60</v>
      </c>
      <c r="C887" s="2" t="s">
        <v>8818</v>
      </c>
      <c r="D887" s="2" t="s">
        <v>8819</v>
      </c>
      <c r="E887" s="2" t="s">
        <v>8820</v>
      </c>
      <c r="G887" s="3" t="s">
        <v>65</v>
      </c>
      <c r="I887" s="3" t="s">
        <v>65</v>
      </c>
      <c r="J887" s="3" t="s">
        <v>65</v>
      </c>
      <c r="K887" s="3" t="s">
        <v>66</v>
      </c>
      <c r="L887" s="2" t="s">
        <v>8821</v>
      </c>
      <c r="M887" s="2" t="s">
        <v>8822</v>
      </c>
      <c r="N887" s="3" t="s">
        <v>68</v>
      </c>
      <c r="O887" s="2" t="s">
        <v>2438</v>
      </c>
      <c r="P887" s="3" t="s">
        <v>69</v>
      </c>
      <c r="Q887" s="2" t="s">
        <v>8823</v>
      </c>
      <c r="R887" s="3" t="s">
        <v>71</v>
      </c>
      <c r="S887" s="4">
        <v>1</v>
      </c>
      <c r="T887" s="4">
        <v>1</v>
      </c>
      <c r="U887" s="5" t="s">
        <v>8801</v>
      </c>
      <c r="V887" s="5" t="s">
        <v>8801</v>
      </c>
      <c r="W887" s="5" t="s">
        <v>72</v>
      </c>
      <c r="X887" s="5" t="s">
        <v>72</v>
      </c>
      <c r="Y887" s="4">
        <v>122</v>
      </c>
      <c r="Z887" s="4">
        <v>11</v>
      </c>
      <c r="AA887" s="4">
        <v>26</v>
      </c>
      <c r="AB887" s="4">
        <v>1</v>
      </c>
      <c r="AC887" s="4">
        <v>9</v>
      </c>
      <c r="AD887" s="4">
        <v>62</v>
      </c>
      <c r="AE887" s="4">
        <v>80</v>
      </c>
      <c r="AF887" s="4">
        <v>0</v>
      </c>
      <c r="AG887" s="4">
        <v>4</v>
      </c>
      <c r="AH887" s="4">
        <v>59</v>
      </c>
      <c r="AI887" s="4">
        <v>69</v>
      </c>
      <c r="AJ887" s="4">
        <v>8</v>
      </c>
      <c r="AK887" s="4">
        <v>13</v>
      </c>
      <c r="AL887" s="4">
        <v>41</v>
      </c>
      <c r="AM887" s="4">
        <v>46</v>
      </c>
      <c r="AN887" s="4">
        <v>0</v>
      </c>
      <c r="AO887" s="4">
        <v>0</v>
      </c>
      <c r="AP887" s="4">
        <v>8</v>
      </c>
      <c r="AQ887" s="4">
        <v>16</v>
      </c>
      <c r="AR887" s="3" t="s">
        <v>65</v>
      </c>
      <c r="AS887" s="3" t="s">
        <v>65</v>
      </c>
      <c r="AT887" s="3" t="s">
        <v>65</v>
      </c>
      <c r="AV887" s="6" t="str">
        <f>HYPERLINK("http://mcgill.on.worldcat.org/oclc/915493656","Catalog Record")</f>
        <v>Catalog Record</v>
      </c>
      <c r="AW887" s="6" t="str">
        <f>HYPERLINK("http://www.worldcat.org/oclc/915493656","WorldCat Record")</f>
        <v>WorldCat Record</v>
      </c>
      <c r="AX887" s="3" t="s">
        <v>8824</v>
      </c>
      <c r="AY887" s="3" t="s">
        <v>8825</v>
      </c>
      <c r="AZ887" s="3" t="s">
        <v>8826</v>
      </c>
      <c r="BA887" s="3" t="s">
        <v>8826</v>
      </c>
      <c r="BB887" s="3" t="s">
        <v>8827</v>
      </c>
      <c r="BC887" s="3" t="s">
        <v>77</v>
      </c>
      <c r="BD887" s="3" t="s">
        <v>78</v>
      </c>
      <c r="BE887" s="3" t="s">
        <v>8828</v>
      </c>
      <c r="BF887" s="3" t="s">
        <v>8827</v>
      </c>
      <c r="BG887" s="3" t="s">
        <v>8829</v>
      </c>
    </row>
    <row r="888" spans="1:59" ht="58" x14ac:dyDescent="0.35">
      <c r="A888" s="2" t="s">
        <v>59</v>
      </c>
      <c r="B888" s="2" t="s">
        <v>60</v>
      </c>
      <c r="C888" s="2" t="s">
        <v>8830</v>
      </c>
      <c r="D888" s="2" t="s">
        <v>8831</v>
      </c>
      <c r="E888" s="2" t="s">
        <v>8832</v>
      </c>
      <c r="G888" s="3" t="s">
        <v>65</v>
      </c>
      <c r="I888" s="3" t="s">
        <v>65</v>
      </c>
      <c r="J888" s="3" t="s">
        <v>209</v>
      </c>
      <c r="K888" s="3" t="s">
        <v>66</v>
      </c>
      <c r="L888" s="2" t="s">
        <v>904</v>
      </c>
      <c r="M888" s="2" t="s">
        <v>8833</v>
      </c>
      <c r="N888" s="3" t="s">
        <v>8834</v>
      </c>
      <c r="P888" s="3" t="s">
        <v>8835</v>
      </c>
      <c r="R888" s="3" t="s">
        <v>71</v>
      </c>
      <c r="S888" s="4">
        <v>4</v>
      </c>
      <c r="T888" s="4">
        <v>4</v>
      </c>
      <c r="U888" s="5" t="s">
        <v>8836</v>
      </c>
      <c r="V888" s="5" t="s">
        <v>8836</v>
      </c>
      <c r="W888" s="5" t="s">
        <v>72</v>
      </c>
      <c r="X888" s="5" t="s">
        <v>72</v>
      </c>
      <c r="Y888" s="4">
        <v>2</v>
      </c>
      <c r="Z888" s="4">
        <v>1</v>
      </c>
      <c r="AA888" s="4">
        <v>24</v>
      </c>
      <c r="AB888" s="4">
        <v>1</v>
      </c>
      <c r="AC888" s="4">
        <v>1</v>
      </c>
      <c r="AD888" s="4">
        <v>0</v>
      </c>
      <c r="AE888" s="4">
        <v>38</v>
      </c>
      <c r="AF888" s="4">
        <v>0</v>
      </c>
      <c r="AG888" s="4">
        <v>0</v>
      </c>
      <c r="AH888" s="4">
        <v>0</v>
      </c>
      <c r="AI888" s="4">
        <v>32</v>
      </c>
      <c r="AJ888" s="4">
        <v>0</v>
      </c>
      <c r="AK888" s="4">
        <v>7</v>
      </c>
      <c r="AL888" s="4">
        <v>0</v>
      </c>
      <c r="AM888" s="4">
        <v>21</v>
      </c>
      <c r="AN888" s="4">
        <v>0</v>
      </c>
      <c r="AO888" s="4">
        <v>0</v>
      </c>
      <c r="AP888" s="4">
        <v>0</v>
      </c>
      <c r="AQ888" s="4">
        <v>11</v>
      </c>
      <c r="AR888" s="3" t="s">
        <v>65</v>
      </c>
      <c r="AS888" s="3" t="s">
        <v>65</v>
      </c>
      <c r="AT888" s="3" t="s">
        <v>65</v>
      </c>
      <c r="AU888" s="6" t="str">
        <f>HYPERLINK("http://catalog.hathitrust.org/Record/009948502","HathiTrust Record")</f>
        <v>HathiTrust Record</v>
      </c>
      <c r="AV888" s="6" t="str">
        <f>HYPERLINK("http://mcgill.on.worldcat.org/oclc/427505686","Catalog Record")</f>
        <v>Catalog Record</v>
      </c>
      <c r="AW888" s="6" t="str">
        <f>HYPERLINK("http://www.worldcat.org/oclc/427505686","WorldCat Record")</f>
        <v>WorldCat Record</v>
      </c>
      <c r="AX888" s="3" t="s">
        <v>8837</v>
      </c>
      <c r="AY888" s="3" t="s">
        <v>8838</v>
      </c>
      <c r="AZ888" s="3" t="s">
        <v>8839</v>
      </c>
      <c r="BA888" s="3" t="s">
        <v>8839</v>
      </c>
      <c r="BB888" s="3" t="s">
        <v>8840</v>
      </c>
      <c r="BC888" s="3" t="s">
        <v>77</v>
      </c>
      <c r="BD888" s="3" t="s">
        <v>78</v>
      </c>
      <c r="BF888" s="3" t="s">
        <v>8840</v>
      </c>
      <c r="BG888" s="3" t="s">
        <v>8841</v>
      </c>
    </row>
    <row r="889" spans="1:59" ht="87" x14ac:dyDescent="0.35">
      <c r="A889" s="2" t="s">
        <v>59</v>
      </c>
      <c r="B889" s="2" t="s">
        <v>60</v>
      </c>
      <c r="C889" s="2" t="s">
        <v>8842</v>
      </c>
      <c r="D889" s="2" t="s">
        <v>8843</v>
      </c>
      <c r="E889" s="2" t="s">
        <v>8844</v>
      </c>
      <c r="G889" s="3" t="s">
        <v>65</v>
      </c>
      <c r="I889" s="3" t="s">
        <v>65</v>
      </c>
      <c r="J889" s="3" t="s">
        <v>65</v>
      </c>
      <c r="K889" s="3" t="s">
        <v>66</v>
      </c>
      <c r="L889" s="2" t="s">
        <v>8845</v>
      </c>
      <c r="M889" s="2" t="s">
        <v>8846</v>
      </c>
      <c r="N889" s="3" t="s">
        <v>525</v>
      </c>
      <c r="P889" s="3" t="s">
        <v>69</v>
      </c>
      <c r="R889" s="3" t="s">
        <v>71</v>
      </c>
      <c r="S889" s="4">
        <v>9</v>
      </c>
      <c r="T889" s="4">
        <v>9</v>
      </c>
      <c r="U889" s="5" t="s">
        <v>8836</v>
      </c>
      <c r="V889" s="5" t="s">
        <v>8836</v>
      </c>
      <c r="W889" s="5" t="s">
        <v>72</v>
      </c>
      <c r="X889" s="5" t="s">
        <v>72</v>
      </c>
      <c r="Y889" s="4">
        <v>272</v>
      </c>
      <c r="Z889" s="4">
        <v>16</v>
      </c>
      <c r="AA889" s="4">
        <v>99</v>
      </c>
      <c r="AB889" s="4">
        <v>1</v>
      </c>
      <c r="AC889" s="4">
        <v>19</v>
      </c>
      <c r="AD889" s="4">
        <v>98</v>
      </c>
      <c r="AE889" s="4">
        <v>143</v>
      </c>
      <c r="AF889" s="4">
        <v>0</v>
      </c>
      <c r="AG889" s="4">
        <v>8</v>
      </c>
      <c r="AH889" s="4">
        <v>93</v>
      </c>
      <c r="AI889" s="4">
        <v>107</v>
      </c>
      <c r="AJ889" s="4">
        <v>10</v>
      </c>
      <c r="AK889" s="4">
        <v>23</v>
      </c>
      <c r="AL889" s="4">
        <v>52</v>
      </c>
      <c r="AM889" s="4">
        <v>57</v>
      </c>
      <c r="AN889" s="4">
        <v>0</v>
      </c>
      <c r="AO889" s="4">
        <v>0</v>
      </c>
      <c r="AP889" s="4">
        <v>10</v>
      </c>
      <c r="AQ889" s="4">
        <v>44</v>
      </c>
      <c r="AR889" s="3" t="s">
        <v>65</v>
      </c>
      <c r="AS889" s="3" t="s">
        <v>65</v>
      </c>
      <c r="AT889" s="3" t="s">
        <v>209</v>
      </c>
      <c r="AU889" s="6" t="str">
        <f>HYPERLINK("http://catalog.hathitrust.org/Record/004364316","HathiTrust Record")</f>
        <v>HathiTrust Record</v>
      </c>
      <c r="AV889" s="6" t="str">
        <f>HYPERLINK("http://mcgill.on.worldcat.org/oclc/50643801","Catalog Record")</f>
        <v>Catalog Record</v>
      </c>
      <c r="AW889" s="6" t="str">
        <f>HYPERLINK("http://www.worldcat.org/oclc/50643801","WorldCat Record")</f>
        <v>WorldCat Record</v>
      </c>
      <c r="AX889" s="3" t="s">
        <v>8847</v>
      </c>
      <c r="AY889" s="3" t="s">
        <v>8848</v>
      </c>
      <c r="AZ889" s="3" t="s">
        <v>8849</v>
      </c>
      <c r="BA889" s="3" t="s">
        <v>8849</v>
      </c>
      <c r="BB889" s="3" t="s">
        <v>8850</v>
      </c>
      <c r="BC889" s="3" t="s">
        <v>77</v>
      </c>
      <c r="BD889" s="3" t="s">
        <v>78</v>
      </c>
      <c r="BE889" s="3" t="s">
        <v>8851</v>
      </c>
      <c r="BF889" s="3" t="s">
        <v>8850</v>
      </c>
      <c r="BG889" s="3" t="s">
        <v>8852</v>
      </c>
    </row>
    <row r="890" spans="1:59" ht="58" x14ac:dyDescent="0.35">
      <c r="A890" s="2" t="s">
        <v>59</v>
      </c>
      <c r="B890" s="2" t="s">
        <v>60</v>
      </c>
      <c r="C890" s="2" t="s">
        <v>8853</v>
      </c>
      <c r="D890" s="2" t="s">
        <v>8854</v>
      </c>
      <c r="E890" s="2" t="s">
        <v>8855</v>
      </c>
      <c r="G890" s="3" t="s">
        <v>65</v>
      </c>
      <c r="I890" s="3" t="s">
        <v>65</v>
      </c>
      <c r="J890" s="3" t="s">
        <v>65</v>
      </c>
      <c r="K890" s="3" t="s">
        <v>66</v>
      </c>
      <c r="L890" s="2" t="s">
        <v>8856</v>
      </c>
      <c r="M890" s="2" t="s">
        <v>2603</v>
      </c>
      <c r="N890" s="3" t="s">
        <v>139</v>
      </c>
      <c r="O890" s="2" t="s">
        <v>365</v>
      </c>
      <c r="P890" s="3" t="s">
        <v>140</v>
      </c>
      <c r="Q890" s="2" t="s">
        <v>8857</v>
      </c>
      <c r="R890" s="3" t="s">
        <v>71</v>
      </c>
      <c r="S890" s="4">
        <v>0</v>
      </c>
      <c r="T890" s="4">
        <v>0</v>
      </c>
      <c r="W890" s="5" t="s">
        <v>72</v>
      </c>
      <c r="X890" s="5" t="s">
        <v>72</v>
      </c>
      <c r="Y890" s="4">
        <v>54</v>
      </c>
      <c r="Z890" s="4">
        <v>6</v>
      </c>
      <c r="AA890" s="4">
        <v>6</v>
      </c>
      <c r="AB890" s="4">
        <v>1</v>
      </c>
      <c r="AC890" s="4">
        <v>1</v>
      </c>
      <c r="AD890" s="4">
        <v>39</v>
      </c>
      <c r="AE890" s="4">
        <v>39</v>
      </c>
      <c r="AF890" s="4">
        <v>0</v>
      </c>
      <c r="AG890" s="4">
        <v>0</v>
      </c>
      <c r="AH890" s="4">
        <v>38</v>
      </c>
      <c r="AI890" s="4">
        <v>38</v>
      </c>
      <c r="AJ890" s="4">
        <v>3</v>
      </c>
      <c r="AK890" s="4">
        <v>3</v>
      </c>
      <c r="AL890" s="4">
        <v>29</v>
      </c>
      <c r="AM890" s="4">
        <v>29</v>
      </c>
      <c r="AN890" s="4">
        <v>0</v>
      </c>
      <c r="AO890" s="4">
        <v>0</v>
      </c>
      <c r="AP890" s="4">
        <v>3</v>
      </c>
      <c r="AQ890" s="4">
        <v>3</v>
      </c>
      <c r="AR890" s="3" t="s">
        <v>65</v>
      </c>
      <c r="AS890" s="3" t="s">
        <v>65</v>
      </c>
      <c r="AT890" s="3" t="s">
        <v>65</v>
      </c>
      <c r="AV890" s="6" t="str">
        <f>HYPERLINK("http://mcgill.on.worldcat.org/oclc/820121242","Catalog Record")</f>
        <v>Catalog Record</v>
      </c>
      <c r="AW890" s="6" t="str">
        <f>HYPERLINK("http://www.worldcat.org/oclc/820121242","WorldCat Record")</f>
        <v>WorldCat Record</v>
      </c>
      <c r="AX890" s="3" t="s">
        <v>8858</v>
      </c>
      <c r="AY890" s="3" t="s">
        <v>8859</v>
      </c>
      <c r="AZ890" s="3" t="s">
        <v>8860</v>
      </c>
      <c r="BA890" s="3" t="s">
        <v>8860</v>
      </c>
      <c r="BB890" s="3" t="s">
        <v>8861</v>
      </c>
      <c r="BC890" s="3" t="s">
        <v>77</v>
      </c>
      <c r="BD890" s="3" t="s">
        <v>78</v>
      </c>
      <c r="BE890" s="3" t="s">
        <v>8862</v>
      </c>
      <c r="BF890" s="3" t="s">
        <v>8861</v>
      </c>
      <c r="BG890" s="3" t="s">
        <v>8863</v>
      </c>
    </row>
    <row r="891" spans="1:59" ht="58" x14ac:dyDescent="0.35">
      <c r="A891" s="2" t="s">
        <v>59</v>
      </c>
      <c r="B891" s="2" t="s">
        <v>60</v>
      </c>
      <c r="C891" s="2" t="s">
        <v>8864</v>
      </c>
      <c r="D891" s="2" t="s">
        <v>8865</v>
      </c>
      <c r="E891" s="2" t="s">
        <v>8866</v>
      </c>
      <c r="G891" s="3" t="s">
        <v>65</v>
      </c>
      <c r="I891" s="3" t="s">
        <v>65</v>
      </c>
      <c r="J891" s="3" t="s">
        <v>65</v>
      </c>
      <c r="K891" s="3" t="s">
        <v>66</v>
      </c>
      <c r="L891" s="2" t="s">
        <v>8867</v>
      </c>
      <c r="M891" s="2" t="s">
        <v>8868</v>
      </c>
      <c r="N891" s="3" t="s">
        <v>352</v>
      </c>
      <c r="P891" s="3" t="s">
        <v>140</v>
      </c>
      <c r="Q891" s="2" t="s">
        <v>8869</v>
      </c>
      <c r="R891" s="3" t="s">
        <v>71</v>
      </c>
      <c r="S891" s="4">
        <v>1</v>
      </c>
      <c r="T891" s="4">
        <v>1</v>
      </c>
      <c r="U891" s="5" t="s">
        <v>8870</v>
      </c>
      <c r="V891" s="5" t="s">
        <v>8870</v>
      </c>
      <c r="W891" s="5" t="s">
        <v>72</v>
      </c>
      <c r="X891" s="5" t="s">
        <v>72</v>
      </c>
      <c r="Y891" s="4">
        <v>53</v>
      </c>
      <c r="Z891" s="4">
        <v>2</v>
      </c>
      <c r="AA891" s="4">
        <v>3</v>
      </c>
      <c r="AB891" s="4">
        <v>1</v>
      </c>
      <c r="AC891" s="4">
        <v>2</v>
      </c>
      <c r="AD891" s="4">
        <v>30</v>
      </c>
      <c r="AE891" s="4">
        <v>31</v>
      </c>
      <c r="AF891" s="4">
        <v>0</v>
      </c>
      <c r="AG891" s="4">
        <v>1</v>
      </c>
      <c r="AH891" s="4">
        <v>30</v>
      </c>
      <c r="AI891" s="4">
        <v>30</v>
      </c>
      <c r="AJ891" s="4">
        <v>1</v>
      </c>
      <c r="AK891" s="4">
        <v>2</v>
      </c>
      <c r="AL891" s="4">
        <v>22</v>
      </c>
      <c r="AM891" s="4">
        <v>22</v>
      </c>
      <c r="AN891" s="4">
        <v>0</v>
      </c>
      <c r="AO891" s="4">
        <v>0</v>
      </c>
      <c r="AP891" s="4">
        <v>1</v>
      </c>
      <c r="AQ891" s="4">
        <v>1</v>
      </c>
      <c r="AR891" s="3" t="s">
        <v>65</v>
      </c>
      <c r="AS891" s="3" t="s">
        <v>65</v>
      </c>
      <c r="AT891" s="3" t="s">
        <v>209</v>
      </c>
      <c r="AU891" s="6" t="str">
        <f>HYPERLINK("http://catalog.hathitrust.org/Record/000876678","HathiTrust Record")</f>
        <v>HathiTrust Record</v>
      </c>
      <c r="AV891" s="6" t="str">
        <f>HYPERLINK("http://mcgill.on.worldcat.org/oclc/7211582","Catalog Record")</f>
        <v>Catalog Record</v>
      </c>
      <c r="AW891" s="6" t="str">
        <f>HYPERLINK("http://www.worldcat.org/oclc/7211582","WorldCat Record")</f>
        <v>WorldCat Record</v>
      </c>
      <c r="AX891" s="3" t="s">
        <v>8871</v>
      </c>
      <c r="AY891" s="3" t="s">
        <v>8872</v>
      </c>
      <c r="AZ891" s="3" t="s">
        <v>8873</v>
      </c>
      <c r="BA891" s="3" t="s">
        <v>8873</v>
      </c>
      <c r="BB891" s="3" t="s">
        <v>8874</v>
      </c>
      <c r="BC891" s="3" t="s">
        <v>77</v>
      </c>
      <c r="BD891" s="3" t="s">
        <v>78</v>
      </c>
      <c r="BF891" s="3" t="s">
        <v>8874</v>
      </c>
      <c r="BG891" s="3" t="s">
        <v>8875</v>
      </c>
    </row>
    <row r="892" spans="1:59" ht="58" x14ac:dyDescent="0.35">
      <c r="A892" s="2" t="s">
        <v>59</v>
      </c>
      <c r="B892" s="2" t="s">
        <v>60</v>
      </c>
      <c r="C892" s="2" t="s">
        <v>8876</v>
      </c>
      <c r="D892" s="2" t="s">
        <v>8877</v>
      </c>
      <c r="E892" s="2" t="s">
        <v>8878</v>
      </c>
      <c r="G892" s="3" t="s">
        <v>209</v>
      </c>
      <c r="I892" s="3" t="s">
        <v>209</v>
      </c>
      <c r="J892" s="3" t="s">
        <v>209</v>
      </c>
      <c r="K892" s="3" t="s">
        <v>66</v>
      </c>
      <c r="L892" s="2" t="s">
        <v>904</v>
      </c>
      <c r="M892" s="2" t="s">
        <v>8879</v>
      </c>
      <c r="N892" s="3" t="s">
        <v>3994</v>
      </c>
      <c r="P892" s="3" t="s">
        <v>140</v>
      </c>
      <c r="Q892" s="2" t="s">
        <v>8880</v>
      </c>
      <c r="R892" s="3" t="s">
        <v>71</v>
      </c>
      <c r="S892" s="4">
        <v>9</v>
      </c>
      <c r="T892" s="4">
        <v>9</v>
      </c>
      <c r="U892" s="5" t="s">
        <v>8881</v>
      </c>
      <c r="V892" s="5" t="s">
        <v>8881</v>
      </c>
      <c r="W892" s="5" t="s">
        <v>72</v>
      </c>
      <c r="X892" s="5" t="s">
        <v>72</v>
      </c>
      <c r="Y892" s="4">
        <v>55</v>
      </c>
      <c r="Z892" s="4">
        <v>4</v>
      </c>
      <c r="AA892" s="4">
        <v>22</v>
      </c>
      <c r="AB892" s="4">
        <v>1</v>
      </c>
      <c r="AC892" s="4">
        <v>1</v>
      </c>
      <c r="AD892" s="4">
        <v>35</v>
      </c>
      <c r="AE892" s="4">
        <v>84</v>
      </c>
      <c r="AF892" s="4">
        <v>0</v>
      </c>
      <c r="AG892" s="4">
        <v>0</v>
      </c>
      <c r="AH892" s="4">
        <v>32</v>
      </c>
      <c r="AI892" s="4">
        <v>76</v>
      </c>
      <c r="AJ892" s="4">
        <v>3</v>
      </c>
      <c r="AK892" s="4">
        <v>8</v>
      </c>
      <c r="AL892" s="4">
        <v>26</v>
      </c>
      <c r="AM892" s="4">
        <v>51</v>
      </c>
      <c r="AN892" s="4">
        <v>0</v>
      </c>
      <c r="AO892" s="4">
        <v>0</v>
      </c>
      <c r="AP892" s="4">
        <v>3</v>
      </c>
      <c r="AQ892" s="4">
        <v>11</v>
      </c>
      <c r="AR892" s="3" t="s">
        <v>65</v>
      </c>
      <c r="AS892" s="3" t="s">
        <v>65</v>
      </c>
      <c r="AT892" s="3" t="s">
        <v>209</v>
      </c>
      <c r="AU892" s="6" t="str">
        <f>HYPERLINK("http://catalog.hathitrust.org/Record/000278312","HathiTrust Record")</f>
        <v>HathiTrust Record</v>
      </c>
      <c r="AV892" s="6" t="str">
        <f>HYPERLINK("http://mcgill.on.worldcat.org/oclc/513549","Catalog Record")</f>
        <v>Catalog Record</v>
      </c>
      <c r="AW892" s="6" t="str">
        <f>HYPERLINK("http://www.worldcat.org/oclc/513549","WorldCat Record")</f>
        <v>WorldCat Record</v>
      </c>
      <c r="AX892" s="3" t="s">
        <v>8882</v>
      </c>
      <c r="AY892" s="3" t="s">
        <v>8883</v>
      </c>
      <c r="AZ892" s="3" t="s">
        <v>8884</v>
      </c>
      <c r="BA892" s="3" t="s">
        <v>8884</v>
      </c>
      <c r="BB892" s="3" t="s">
        <v>8885</v>
      </c>
      <c r="BC892" s="3" t="s">
        <v>77</v>
      </c>
      <c r="BD892" s="3" t="s">
        <v>78</v>
      </c>
      <c r="BF892" s="3" t="s">
        <v>8885</v>
      </c>
      <c r="BG892" s="3" t="s">
        <v>8886</v>
      </c>
    </row>
    <row r="893" spans="1:59" ht="58" x14ac:dyDescent="0.35">
      <c r="A893" s="2" t="s">
        <v>59</v>
      </c>
      <c r="B893" s="2" t="s">
        <v>60</v>
      </c>
      <c r="C893" s="2" t="s">
        <v>8887</v>
      </c>
      <c r="D893" s="2" t="s">
        <v>8888</v>
      </c>
      <c r="E893" s="2" t="s">
        <v>8889</v>
      </c>
      <c r="G893" s="3" t="s">
        <v>65</v>
      </c>
      <c r="I893" s="3" t="s">
        <v>65</v>
      </c>
      <c r="J893" s="3" t="s">
        <v>65</v>
      </c>
      <c r="K893" s="3" t="s">
        <v>66</v>
      </c>
      <c r="L893" s="2" t="s">
        <v>904</v>
      </c>
      <c r="M893" s="2" t="s">
        <v>8890</v>
      </c>
      <c r="N893" s="3" t="s">
        <v>1085</v>
      </c>
      <c r="P893" s="3" t="s">
        <v>69</v>
      </c>
      <c r="Q893" s="2" t="s">
        <v>8891</v>
      </c>
      <c r="R893" s="3" t="s">
        <v>71</v>
      </c>
      <c r="S893" s="4">
        <v>14</v>
      </c>
      <c r="T893" s="4">
        <v>14</v>
      </c>
      <c r="U893" s="5" t="s">
        <v>8881</v>
      </c>
      <c r="V893" s="5" t="s">
        <v>8881</v>
      </c>
      <c r="W893" s="5" t="s">
        <v>72</v>
      </c>
      <c r="X893" s="5" t="s">
        <v>72</v>
      </c>
      <c r="Y893" s="4">
        <v>321</v>
      </c>
      <c r="Z893" s="4">
        <v>13</v>
      </c>
      <c r="AA893" s="4">
        <v>17</v>
      </c>
      <c r="AB893" s="4">
        <v>1</v>
      </c>
      <c r="AC893" s="4">
        <v>2</v>
      </c>
      <c r="AD893" s="4">
        <v>89</v>
      </c>
      <c r="AE893" s="4">
        <v>95</v>
      </c>
      <c r="AF893" s="4">
        <v>0</v>
      </c>
      <c r="AG893" s="4">
        <v>1</v>
      </c>
      <c r="AH893" s="4">
        <v>84</v>
      </c>
      <c r="AI893" s="4">
        <v>87</v>
      </c>
      <c r="AJ893" s="4">
        <v>7</v>
      </c>
      <c r="AK893" s="4">
        <v>10</v>
      </c>
      <c r="AL893" s="4">
        <v>51</v>
      </c>
      <c r="AM893" s="4">
        <v>53</v>
      </c>
      <c r="AN893" s="4">
        <v>0</v>
      </c>
      <c r="AO893" s="4">
        <v>0</v>
      </c>
      <c r="AP893" s="4">
        <v>8</v>
      </c>
      <c r="AQ893" s="4">
        <v>10</v>
      </c>
      <c r="AR893" s="3" t="s">
        <v>65</v>
      </c>
      <c r="AS893" s="3" t="s">
        <v>65</v>
      </c>
      <c r="AT893" s="3" t="s">
        <v>65</v>
      </c>
      <c r="AV893" s="6" t="str">
        <f>HYPERLINK("http://mcgill.on.worldcat.org/oclc/33897428","Catalog Record")</f>
        <v>Catalog Record</v>
      </c>
      <c r="AW893" s="6" t="str">
        <f>HYPERLINK("http://www.worldcat.org/oclc/33897428","WorldCat Record")</f>
        <v>WorldCat Record</v>
      </c>
      <c r="AX893" s="3" t="s">
        <v>8892</v>
      </c>
      <c r="AY893" s="3" t="s">
        <v>8893</v>
      </c>
      <c r="AZ893" s="3" t="s">
        <v>8894</v>
      </c>
      <c r="BA893" s="3" t="s">
        <v>8894</v>
      </c>
      <c r="BB893" s="3" t="s">
        <v>8895</v>
      </c>
      <c r="BC893" s="3" t="s">
        <v>77</v>
      </c>
      <c r="BD893" s="3" t="s">
        <v>78</v>
      </c>
      <c r="BE893" s="3" t="s">
        <v>8896</v>
      </c>
      <c r="BF893" s="3" t="s">
        <v>8895</v>
      </c>
      <c r="BG893" s="3" t="s">
        <v>8897</v>
      </c>
    </row>
    <row r="894" spans="1:59" ht="101.5" x14ac:dyDescent="0.35">
      <c r="A894" s="2" t="s">
        <v>59</v>
      </c>
      <c r="B894" s="2" t="s">
        <v>60</v>
      </c>
      <c r="C894" s="2" t="s">
        <v>8898</v>
      </c>
      <c r="D894" s="2" t="s">
        <v>8899</v>
      </c>
      <c r="E894" s="2" t="s">
        <v>8900</v>
      </c>
      <c r="G894" s="3" t="s">
        <v>65</v>
      </c>
      <c r="I894" s="3" t="s">
        <v>65</v>
      </c>
      <c r="J894" s="3" t="s">
        <v>65</v>
      </c>
      <c r="K894" s="3" t="s">
        <v>66</v>
      </c>
      <c r="L894" s="2" t="s">
        <v>904</v>
      </c>
      <c r="M894" s="2" t="s">
        <v>8901</v>
      </c>
      <c r="N894" s="3" t="s">
        <v>8902</v>
      </c>
      <c r="O894" s="2" t="s">
        <v>8903</v>
      </c>
      <c r="P894" s="3" t="s">
        <v>140</v>
      </c>
      <c r="R894" s="3" t="s">
        <v>71</v>
      </c>
      <c r="S894" s="4">
        <v>7</v>
      </c>
      <c r="T894" s="4">
        <v>7</v>
      </c>
      <c r="U894" s="5" t="s">
        <v>8904</v>
      </c>
      <c r="V894" s="5" t="s">
        <v>8904</v>
      </c>
      <c r="W894" s="5" t="s">
        <v>72</v>
      </c>
      <c r="X894" s="5" t="s">
        <v>72</v>
      </c>
      <c r="Y894" s="4">
        <v>7</v>
      </c>
      <c r="Z894" s="4">
        <v>2</v>
      </c>
      <c r="AA894" s="4">
        <v>2</v>
      </c>
      <c r="AB894" s="4">
        <v>2</v>
      </c>
      <c r="AC894" s="4">
        <v>2</v>
      </c>
      <c r="AD894" s="4">
        <v>2</v>
      </c>
      <c r="AE894" s="4">
        <v>2</v>
      </c>
      <c r="AF894" s="4">
        <v>0</v>
      </c>
      <c r="AG894" s="4">
        <v>0</v>
      </c>
      <c r="AH894" s="4">
        <v>2</v>
      </c>
      <c r="AI894" s="4">
        <v>2</v>
      </c>
      <c r="AJ894" s="4">
        <v>0</v>
      </c>
      <c r="AK894" s="4">
        <v>0</v>
      </c>
      <c r="AL894" s="4">
        <v>1</v>
      </c>
      <c r="AM894" s="4">
        <v>1</v>
      </c>
      <c r="AN894" s="4">
        <v>0</v>
      </c>
      <c r="AO894" s="4">
        <v>0</v>
      </c>
      <c r="AP894" s="4">
        <v>0</v>
      </c>
      <c r="AQ894" s="4">
        <v>0</v>
      </c>
      <c r="AR894" s="3" t="s">
        <v>65</v>
      </c>
      <c r="AS894" s="3" t="s">
        <v>65</v>
      </c>
      <c r="AT894" s="3" t="s">
        <v>65</v>
      </c>
      <c r="AV894" s="6" t="str">
        <f>HYPERLINK("http://mcgill.on.worldcat.org/oclc/20499728","Catalog Record")</f>
        <v>Catalog Record</v>
      </c>
      <c r="AW894" s="6" t="str">
        <f>HYPERLINK("http://www.worldcat.org/oclc/20499728","WorldCat Record")</f>
        <v>WorldCat Record</v>
      </c>
      <c r="AX894" s="3" t="s">
        <v>8905</v>
      </c>
      <c r="AY894" s="3" t="s">
        <v>8906</v>
      </c>
      <c r="AZ894" s="3" t="s">
        <v>8907</v>
      </c>
      <c r="BA894" s="3" t="s">
        <v>8907</v>
      </c>
      <c r="BB894" s="3" t="s">
        <v>8908</v>
      </c>
      <c r="BC894" s="3" t="s">
        <v>77</v>
      </c>
      <c r="BD894" s="3" t="s">
        <v>78</v>
      </c>
      <c r="BF894" s="3" t="s">
        <v>8908</v>
      </c>
      <c r="BG894" s="3" t="s">
        <v>8909</v>
      </c>
    </row>
    <row r="895" spans="1:59" ht="58" x14ac:dyDescent="0.35">
      <c r="A895" s="2" t="s">
        <v>59</v>
      </c>
      <c r="B895" s="2" t="s">
        <v>60</v>
      </c>
      <c r="C895" s="2" t="s">
        <v>8910</v>
      </c>
      <c r="D895" s="2" t="s">
        <v>8911</v>
      </c>
      <c r="E895" s="2" t="s">
        <v>8912</v>
      </c>
      <c r="G895" s="3" t="s">
        <v>65</v>
      </c>
      <c r="I895" s="3" t="s">
        <v>65</v>
      </c>
      <c r="J895" s="3" t="s">
        <v>209</v>
      </c>
      <c r="K895" s="3" t="s">
        <v>66</v>
      </c>
      <c r="L895" s="2" t="s">
        <v>904</v>
      </c>
      <c r="M895" s="2" t="s">
        <v>8913</v>
      </c>
      <c r="N895" s="3" t="s">
        <v>139</v>
      </c>
      <c r="P895" s="3" t="s">
        <v>140</v>
      </c>
      <c r="Q895" s="2" t="s">
        <v>8914</v>
      </c>
      <c r="R895" s="3" t="s">
        <v>71</v>
      </c>
      <c r="S895" s="4">
        <v>0</v>
      </c>
      <c r="T895" s="4">
        <v>0</v>
      </c>
      <c r="W895" s="5" t="s">
        <v>72</v>
      </c>
      <c r="X895" s="5" t="s">
        <v>72</v>
      </c>
      <c r="Y895" s="4">
        <v>24</v>
      </c>
      <c r="Z895" s="4">
        <v>3</v>
      </c>
      <c r="AA895" s="4">
        <v>22</v>
      </c>
      <c r="AB895" s="4">
        <v>1</v>
      </c>
      <c r="AC895" s="4">
        <v>1</v>
      </c>
      <c r="AD895" s="4">
        <v>15</v>
      </c>
      <c r="AE895" s="4">
        <v>84</v>
      </c>
      <c r="AF895" s="4">
        <v>0</v>
      </c>
      <c r="AG895" s="4">
        <v>0</v>
      </c>
      <c r="AH895" s="4">
        <v>15</v>
      </c>
      <c r="AI895" s="4">
        <v>76</v>
      </c>
      <c r="AJ895" s="4">
        <v>2</v>
      </c>
      <c r="AK895" s="4">
        <v>8</v>
      </c>
      <c r="AL895" s="4">
        <v>10</v>
      </c>
      <c r="AM895" s="4">
        <v>51</v>
      </c>
      <c r="AN895" s="4">
        <v>0</v>
      </c>
      <c r="AO895" s="4">
        <v>0</v>
      </c>
      <c r="AP895" s="4">
        <v>2</v>
      </c>
      <c r="AQ895" s="4">
        <v>11</v>
      </c>
      <c r="AR895" s="3" t="s">
        <v>65</v>
      </c>
      <c r="AS895" s="3" t="s">
        <v>65</v>
      </c>
      <c r="AT895" s="3" t="s">
        <v>65</v>
      </c>
      <c r="AV895" s="6" t="str">
        <f>HYPERLINK("http://mcgill.on.worldcat.org/oclc/830863049","Catalog Record")</f>
        <v>Catalog Record</v>
      </c>
      <c r="AW895" s="6" t="str">
        <f>HYPERLINK("http://www.worldcat.org/oclc/830863049","WorldCat Record")</f>
        <v>WorldCat Record</v>
      </c>
      <c r="AX895" s="3" t="s">
        <v>8882</v>
      </c>
      <c r="AY895" s="3" t="s">
        <v>8915</v>
      </c>
      <c r="AZ895" s="3" t="s">
        <v>8916</v>
      </c>
      <c r="BA895" s="3" t="s">
        <v>8916</v>
      </c>
      <c r="BB895" s="3" t="s">
        <v>8917</v>
      </c>
      <c r="BC895" s="3" t="s">
        <v>77</v>
      </c>
      <c r="BD895" s="3" t="s">
        <v>78</v>
      </c>
      <c r="BE895" s="3" t="s">
        <v>8918</v>
      </c>
      <c r="BF895" s="3" t="s">
        <v>8917</v>
      </c>
      <c r="BG895" s="3" t="s">
        <v>8919</v>
      </c>
    </row>
    <row r="896" spans="1:59" ht="58" x14ac:dyDescent="0.35">
      <c r="A896" s="2" t="s">
        <v>59</v>
      </c>
      <c r="B896" s="2" t="s">
        <v>60</v>
      </c>
      <c r="C896" s="2" t="s">
        <v>8920</v>
      </c>
      <c r="D896" s="2" t="s">
        <v>8921</v>
      </c>
      <c r="E896" s="2" t="s">
        <v>8922</v>
      </c>
      <c r="G896" s="3" t="s">
        <v>65</v>
      </c>
      <c r="I896" s="3" t="s">
        <v>65</v>
      </c>
      <c r="J896" s="3" t="s">
        <v>65</v>
      </c>
      <c r="K896" s="3" t="s">
        <v>66</v>
      </c>
      <c r="L896" s="2" t="s">
        <v>8923</v>
      </c>
      <c r="M896" s="2" t="s">
        <v>8924</v>
      </c>
      <c r="N896" s="3" t="s">
        <v>113</v>
      </c>
      <c r="P896" s="3" t="s">
        <v>140</v>
      </c>
      <c r="Q896" s="2" t="s">
        <v>8925</v>
      </c>
      <c r="R896" s="3" t="s">
        <v>71</v>
      </c>
      <c r="S896" s="4">
        <v>0</v>
      </c>
      <c r="T896" s="4">
        <v>0</v>
      </c>
      <c r="W896" s="5" t="s">
        <v>72</v>
      </c>
      <c r="X896" s="5" t="s">
        <v>72</v>
      </c>
      <c r="Y896" s="4">
        <v>56</v>
      </c>
      <c r="Z896" s="4">
        <v>4</v>
      </c>
      <c r="AA896" s="4">
        <v>4</v>
      </c>
      <c r="AB896" s="4">
        <v>1</v>
      </c>
      <c r="AC896" s="4">
        <v>1</v>
      </c>
      <c r="AD896" s="4">
        <v>31</v>
      </c>
      <c r="AE896" s="4">
        <v>31</v>
      </c>
      <c r="AF896" s="4">
        <v>0</v>
      </c>
      <c r="AG896" s="4">
        <v>0</v>
      </c>
      <c r="AH896" s="4">
        <v>30</v>
      </c>
      <c r="AI896" s="4">
        <v>30</v>
      </c>
      <c r="AJ896" s="4">
        <v>2</v>
      </c>
      <c r="AK896" s="4">
        <v>2</v>
      </c>
      <c r="AL896" s="4">
        <v>22</v>
      </c>
      <c r="AM896" s="4">
        <v>22</v>
      </c>
      <c r="AN896" s="4">
        <v>0</v>
      </c>
      <c r="AO896" s="4">
        <v>0</v>
      </c>
      <c r="AP896" s="4">
        <v>2</v>
      </c>
      <c r="AQ896" s="4">
        <v>2</v>
      </c>
      <c r="AR896" s="3" t="s">
        <v>65</v>
      </c>
      <c r="AS896" s="3" t="s">
        <v>65</v>
      </c>
      <c r="AT896" s="3" t="s">
        <v>65</v>
      </c>
      <c r="AV896" s="6" t="str">
        <f>HYPERLINK("http://mcgill.on.worldcat.org/oclc/647667071","Catalog Record")</f>
        <v>Catalog Record</v>
      </c>
      <c r="AW896" s="6" t="str">
        <f>HYPERLINK("http://www.worldcat.org/oclc/647667071","WorldCat Record")</f>
        <v>WorldCat Record</v>
      </c>
      <c r="AX896" s="3" t="s">
        <v>8926</v>
      </c>
      <c r="AY896" s="3" t="s">
        <v>8927</v>
      </c>
      <c r="AZ896" s="3" t="s">
        <v>8928</v>
      </c>
      <c r="BA896" s="3" t="s">
        <v>8928</v>
      </c>
      <c r="BB896" s="3" t="s">
        <v>8929</v>
      </c>
      <c r="BC896" s="3" t="s">
        <v>77</v>
      </c>
      <c r="BD896" s="3" t="s">
        <v>78</v>
      </c>
      <c r="BE896" s="3" t="s">
        <v>8930</v>
      </c>
      <c r="BF896" s="3" t="s">
        <v>8929</v>
      </c>
      <c r="BG896" s="3" t="s">
        <v>8931</v>
      </c>
    </row>
    <row r="897" spans="1:59" ht="58" x14ac:dyDescent="0.35">
      <c r="A897" s="2" t="s">
        <v>59</v>
      </c>
      <c r="B897" s="2" t="s">
        <v>60</v>
      </c>
      <c r="C897" s="2" t="s">
        <v>8932</v>
      </c>
      <c r="D897" s="2" t="s">
        <v>8933</v>
      </c>
      <c r="E897" s="2" t="s">
        <v>8934</v>
      </c>
      <c r="G897" s="3" t="s">
        <v>65</v>
      </c>
      <c r="I897" s="3" t="s">
        <v>65</v>
      </c>
      <c r="J897" s="3" t="s">
        <v>65</v>
      </c>
      <c r="K897" s="3" t="s">
        <v>66</v>
      </c>
      <c r="L897" s="2" t="s">
        <v>8935</v>
      </c>
      <c r="M897" s="2" t="s">
        <v>8936</v>
      </c>
      <c r="N897" s="3" t="s">
        <v>176</v>
      </c>
      <c r="O897" s="2" t="s">
        <v>235</v>
      </c>
      <c r="P897" s="3" t="s">
        <v>140</v>
      </c>
      <c r="Q897" s="2" t="s">
        <v>8937</v>
      </c>
      <c r="R897" s="3" t="s">
        <v>71</v>
      </c>
      <c r="S897" s="4">
        <v>0</v>
      </c>
      <c r="T897" s="4">
        <v>0</v>
      </c>
      <c r="W897" s="5" t="s">
        <v>72</v>
      </c>
      <c r="X897" s="5" t="s">
        <v>72</v>
      </c>
      <c r="Y897" s="4">
        <v>58</v>
      </c>
      <c r="Z897" s="4">
        <v>4</v>
      </c>
      <c r="AA897" s="4">
        <v>4</v>
      </c>
      <c r="AB897" s="4">
        <v>1</v>
      </c>
      <c r="AC897" s="4">
        <v>1</v>
      </c>
      <c r="AD897" s="4">
        <v>35</v>
      </c>
      <c r="AE897" s="4">
        <v>35</v>
      </c>
      <c r="AF897" s="4">
        <v>0</v>
      </c>
      <c r="AG897" s="4">
        <v>0</v>
      </c>
      <c r="AH897" s="4">
        <v>34</v>
      </c>
      <c r="AI897" s="4">
        <v>34</v>
      </c>
      <c r="AJ897" s="4">
        <v>2</v>
      </c>
      <c r="AK897" s="4">
        <v>2</v>
      </c>
      <c r="AL897" s="4">
        <v>27</v>
      </c>
      <c r="AM897" s="4">
        <v>27</v>
      </c>
      <c r="AN897" s="4">
        <v>0</v>
      </c>
      <c r="AO897" s="4">
        <v>0</v>
      </c>
      <c r="AP897" s="4">
        <v>2</v>
      </c>
      <c r="AQ897" s="4">
        <v>2</v>
      </c>
      <c r="AR897" s="3" t="s">
        <v>65</v>
      </c>
      <c r="AS897" s="3" t="s">
        <v>65</v>
      </c>
      <c r="AT897" s="3" t="s">
        <v>65</v>
      </c>
      <c r="AV897" s="6" t="str">
        <f>HYPERLINK("http://mcgill.on.worldcat.org/oclc/907638913","Catalog Record")</f>
        <v>Catalog Record</v>
      </c>
      <c r="AW897" s="6" t="str">
        <f>HYPERLINK("http://www.worldcat.org/oclc/907638913","WorldCat Record")</f>
        <v>WorldCat Record</v>
      </c>
      <c r="AX897" s="3" t="s">
        <v>8938</v>
      </c>
      <c r="AY897" s="3" t="s">
        <v>8939</v>
      </c>
      <c r="AZ897" s="3" t="s">
        <v>8940</v>
      </c>
      <c r="BA897" s="3" t="s">
        <v>8940</v>
      </c>
      <c r="BB897" s="3" t="s">
        <v>8941</v>
      </c>
      <c r="BC897" s="3" t="s">
        <v>77</v>
      </c>
      <c r="BD897" s="3" t="s">
        <v>78</v>
      </c>
      <c r="BE897" s="3" t="s">
        <v>8942</v>
      </c>
      <c r="BF897" s="3" t="s">
        <v>8941</v>
      </c>
      <c r="BG897" s="3" t="s">
        <v>8943</v>
      </c>
    </row>
    <row r="898" spans="1:59" ht="58" x14ac:dyDescent="0.35">
      <c r="A898" s="2" t="s">
        <v>59</v>
      </c>
      <c r="B898" s="2" t="s">
        <v>60</v>
      </c>
      <c r="C898" s="2" t="s">
        <v>8944</v>
      </c>
      <c r="D898" s="2" t="s">
        <v>8945</v>
      </c>
      <c r="E898" s="2" t="s">
        <v>8946</v>
      </c>
      <c r="G898" s="3" t="s">
        <v>65</v>
      </c>
      <c r="I898" s="3" t="s">
        <v>65</v>
      </c>
      <c r="J898" s="3" t="s">
        <v>65</v>
      </c>
      <c r="K898" s="3" t="s">
        <v>66</v>
      </c>
      <c r="L898" s="2" t="s">
        <v>904</v>
      </c>
      <c r="M898" s="2" t="s">
        <v>8947</v>
      </c>
      <c r="N898" s="3" t="s">
        <v>311</v>
      </c>
      <c r="O898" s="2" t="s">
        <v>8378</v>
      </c>
      <c r="P898" s="3" t="s">
        <v>69</v>
      </c>
      <c r="R898" s="3" t="s">
        <v>71</v>
      </c>
      <c r="S898" s="4">
        <v>8</v>
      </c>
      <c r="T898" s="4">
        <v>8</v>
      </c>
      <c r="U898" s="5" t="s">
        <v>8836</v>
      </c>
      <c r="V898" s="5" t="s">
        <v>8836</v>
      </c>
      <c r="W898" s="5" t="s">
        <v>72</v>
      </c>
      <c r="X898" s="5" t="s">
        <v>72</v>
      </c>
      <c r="Y898" s="4">
        <v>238</v>
      </c>
      <c r="Z898" s="4">
        <v>16</v>
      </c>
      <c r="AA898" s="4">
        <v>24</v>
      </c>
      <c r="AB898" s="4">
        <v>1</v>
      </c>
      <c r="AC898" s="4">
        <v>2</v>
      </c>
      <c r="AD898" s="4">
        <v>79</v>
      </c>
      <c r="AE898" s="4">
        <v>92</v>
      </c>
      <c r="AF898" s="4">
        <v>0</v>
      </c>
      <c r="AG898" s="4">
        <v>1</v>
      </c>
      <c r="AH898" s="4">
        <v>72</v>
      </c>
      <c r="AI898" s="4">
        <v>80</v>
      </c>
      <c r="AJ898" s="4">
        <v>10</v>
      </c>
      <c r="AK898" s="4">
        <v>14</v>
      </c>
      <c r="AL898" s="4">
        <v>38</v>
      </c>
      <c r="AM898" s="4">
        <v>43</v>
      </c>
      <c r="AN898" s="4">
        <v>0</v>
      </c>
      <c r="AO898" s="4">
        <v>4</v>
      </c>
      <c r="AP898" s="4">
        <v>12</v>
      </c>
      <c r="AQ898" s="4">
        <v>17</v>
      </c>
      <c r="AR898" s="3" t="s">
        <v>65</v>
      </c>
      <c r="AS898" s="3" t="s">
        <v>65</v>
      </c>
      <c r="AT898" s="3" t="s">
        <v>209</v>
      </c>
      <c r="AU898" s="6" t="str">
        <f>HYPERLINK("http://catalog.hathitrust.org/Record/000878159","HathiTrust Record")</f>
        <v>HathiTrust Record</v>
      </c>
      <c r="AV898" s="6" t="str">
        <f>HYPERLINK("http://mcgill.on.worldcat.org/oclc/956060","Catalog Record")</f>
        <v>Catalog Record</v>
      </c>
      <c r="AW898" s="6" t="str">
        <f>HYPERLINK("http://www.worldcat.org/oclc/956060","WorldCat Record")</f>
        <v>WorldCat Record</v>
      </c>
      <c r="AX898" s="3" t="s">
        <v>8948</v>
      </c>
      <c r="AY898" s="3" t="s">
        <v>8949</v>
      </c>
      <c r="AZ898" s="3" t="s">
        <v>8950</v>
      </c>
      <c r="BA898" s="3" t="s">
        <v>8950</v>
      </c>
      <c r="BB898" s="3" t="s">
        <v>8951</v>
      </c>
      <c r="BC898" s="3" t="s">
        <v>77</v>
      </c>
      <c r="BD898" s="3" t="s">
        <v>78</v>
      </c>
      <c r="BF898" s="3" t="s">
        <v>8951</v>
      </c>
      <c r="BG898" s="3" t="s">
        <v>8952</v>
      </c>
    </row>
    <row r="899" spans="1:59" ht="58" x14ac:dyDescent="0.35">
      <c r="A899" s="2" t="s">
        <v>59</v>
      </c>
      <c r="B899" s="2" t="s">
        <v>60</v>
      </c>
      <c r="C899" s="2" t="s">
        <v>8953</v>
      </c>
      <c r="D899" s="2" t="s">
        <v>8954</v>
      </c>
      <c r="E899" s="2" t="s">
        <v>8955</v>
      </c>
      <c r="G899" s="3" t="s">
        <v>65</v>
      </c>
      <c r="I899" s="3" t="s">
        <v>65</v>
      </c>
      <c r="J899" s="3" t="s">
        <v>65</v>
      </c>
      <c r="K899" s="3" t="s">
        <v>66</v>
      </c>
      <c r="L899" s="2" t="s">
        <v>904</v>
      </c>
      <c r="M899" s="2" t="s">
        <v>4557</v>
      </c>
      <c r="N899" s="3" t="s">
        <v>139</v>
      </c>
      <c r="P899" s="3" t="s">
        <v>140</v>
      </c>
      <c r="Q899" s="2" t="s">
        <v>8956</v>
      </c>
      <c r="R899" s="3" t="s">
        <v>71</v>
      </c>
      <c r="S899" s="4">
        <v>0</v>
      </c>
      <c r="T899" s="4">
        <v>0</v>
      </c>
      <c r="W899" s="5" t="s">
        <v>72</v>
      </c>
      <c r="X899" s="5" t="s">
        <v>72</v>
      </c>
      <c r="Y899" s="4">
        <v>49</v>
      </c>
      <c r="Z899" s="4">
        <v>4</v>
      </c>
      <c r="AA899" s="4">
        <v>4</v>
      </c>
      <c r="AB899" s="4">
        <v>1</v>
      </c>
      <c r="AC899" s="4">
        <v>1</v>
      </c>
      <c r="AD899" s="4">
        <v>27</v>
      </c>
      <c r="AE899" s="4">
        <v>27</v>
      </c>
      <c r="AF899" s="4">
        <v>0</v>
      </c>
      <c r="AG899" s="4">
        <v>0</v>
      </c>
      <c r="AH899" s="4">
        <v>26</v>
      </c>
      <c r="AI899" s="4">
        <v>26</v>
      </c>
      <c r="AJ899" s="4">
        <v>1</v>
      </c>
      <c r="AK899" s="4">
        <v>1</v>
      </c>
      <c r="AL899" s="4">
        <v>23</v>
      </c>
      <c r="AM899" s="4">
        <v>23</v>
      </c>
      <c r="AN899" s="4">
        <v>0</v>
      </c>
      <c r="AO899" s="4">
        <v>0</v>
      </c>
      <c r="AP899" s="4">
        <v>1</v>
      </c>
      <c r="AQ899" s="4">
        <v>1</v>
      </c>
      <c r="AR899" s="3" t="s">
        <v>65</v>
      </c>
      <c r="AS899" s="3" t="s">
        <v>65</v>
      </c>
      <c r="AT899" s="3" t="s">
        <v>65</v>
      </c>
      <c r="AV899" s="6" t="str">
        <f>HYPERLINK("http://mcgill.on.worldcat.org/oclc/823176867","Catalog Record")</f>
        <v>Catalog Record</v>
      </c>
      <c r="AW899" s="6" t="str">
        <f>HYPERLINK("http://www.worldcat.org/oclc/823176867","WorldCat Record")</f>
        <v>WorldCat Record</v>
      </c>
      <c r="AX899" s="3" t="s">
        <v>8957</v>
      </c>
      <c r="AY899" s="3" t="s">
        <v>8958</v>
      </c>
      <c r="AZ899" s="3" t="s">
        <v>8959</v>
      </c>
      <c r="BA899" s="3" t="s">
        <v>8959</v>
      </c>
      <c r="BB899" s="3" t="s">
        <v>8960</v>
      </c>
      <c r="BC899" s="3" t="s">
        <v>77</v>
      </c>
      <c r="BD899" s="3" t="s">
        <v>78</v>
      </c>
      <c r="BE899" s="3" t="s">
        <v>8961</v>
      </c>
      <c r="BF899" s="3" t="s">
        <v>8960</v>
      </c>
      <c r="BG899" s="3" t="s">
        <v>8962</v>
      </c>
    </row>
    <row r="900" spans="1:59" ht="58" x14ac:dyDescent="0.35">
      <c r="A900" s="2" t="s">
        <v>59</v>
      </c>
      <c r="B900" s="2" t="s">
        <v>60</v>
      </c>
      <c r="C900" s="2" t="s">
        <v>8963</v>
      </c>
      <c r="D900" s="2" t="s">
        <v>8964</v>
      </c>
      <c r="E900" s="2" t="s">
        <v>8965</v>
      </c>
      <c r="G900" s="3" t="s">
        <v>65</v>
      </c>
      <c r="I900" s="3" t="s">
        <v>65</v>
      </c>
      <c r="J900" s="3" t="s">
        <v>65</v>
      </c>
      <c r="K900" s="3" t="s">
        <v>66</v>
      </c>
      <c r="L900" s="2" t="s">
        <v>8966</v>
      </c>
      <c r="M900" s="2" t="s">
        <v>8967</v>
      </c>
      <c r="N900" s="3" t="s">
        <v>68</v>
      </c>
      <c r="P900" s="3" t="s">
        <v>69</v>
      </c>
      <c r="Q900" s="2" t="s">
        <v>8968</v>
      </c>
      <c r="R900" s="3" t="s">
        <v>71</v>
      </c>
      <c r="S900" s="4">
        <v>0</v>
      </c>
      <c r="T900" s="4">
        <v>0</v>
      </c>
      <c r="W900" s="5" t="s">
        <v>72</v>
      </c>
      <c r="X900" s="5" t="s">
        <v>72</v>
      </c>
      <c r="Y900" s="4">
        <v>42</v>
      </c>
      <c r="Z900" s="4">
        <v>6</v>
      </c>
      <c r="AA900" s="4">
        <v>6</v>
      </c>
      <c r="AB900" s="4">
        <v>1</v>
      </c>
      <c r="AC900" s="4">
        <v>1</v>
      </c>
      <c r="AD900" s="4">
        <v>29</v>
      </c>
      <c r="AE900" s="4">
        <v>29</v>
      </c>
      <c r="AF900" s="4">
        <v>0</v>
      </c>
      <c r="AG900" s="4">
        <v>0</v>
      </c>
      <c r="AH900" s="4">
        <v>28</v>
      </c>
      <c r="AI900" s="4">
        <v>28</v>
      </c>
      <c r="AJ900" s="4">
        <v>3</v>
      </c>
      <c r="AK900" s="4">
        <v>3</v>
      </c>
      <c r="AL900" s="4">
        <v>22</v>
      </c>
      <c r="AM900" s="4">
        <v>22</v>
      </c>
      <c r="AN900" s="4">
        <v>0</v>
      </c>
      <c r="AO900" s="4">
        <v>0</v>
      </c>
      <c r="AP900" s="4">
        <v>3</v>
      </c>
      <c r="AQ900" s="4">
        <v>3</v>
      </c>
      <c r="AR900" s="3" t="s">
        <v>65</v>
      </c>
      <c r="AS900" s="3" t="s">
        <v>65</v>
      </c>
      <c r="AT900" s="3" t="s">
        <v>65</v>
      </c>
      <c r="AV900" s="6" t="str">
        <f>HYPERLINK("http://mcgill.on.worldcat.org/oclc/950887823","Catalog Record")</f>
        <v>Catalog Record</v>
      </c>
      <c r="AW900" s="6" t="str">
        <f>HYPERLINK("http://www.worldcat.org/oclc/950887823","WorldCat Record")</f>
        <v>WorldCat Record</v>
      </c>
      <c r="AX900" s="3" t="s">
        <v>8969</v>
      </c>
      <c r="AY900" s="3" t="s">
        <v>8970</v>
      </c>
      <c r="AZ900" s="3" t="s">
        <v>8971</v>
      </c>
      <c r="BA900" s="3" t="s">
        <v>8971</v>
      </c>
      <c r="BB900" s="3" t="s">
        <v>8972</v>
      </c>
      <c r="BC900" s="3" t="s">
        <v>77</v>
      </c>
      <c r="BD900" s="3" t="s">
        <v>78</v>
      </c>
      <c r="BE900" s="3" t="s">
        <v>8973</v>
      </c>
      <c r="BF900" s="3" t="s">
        <v>8972</v>
      </c>
      <c r="BG900" s="3" t="s">
        <v>8974</v>
      </c>
    </row>
    <row r="901" spans="1:59" ht="58" x14ac:dyDescent="0.35">
      <c r="A901" s="2" t="s">
        <v>59</v>
      </c>
      <c r="B901" s="2" t="s">
        <v>60</v>
      </c>
      <c r="C901" s="2" t="s">
        <v>8975</v>
      </c>
      <c r="D901" s="2" t="s">
        <v>8976</v>
      </c>
      <c r="E901" s="2" t="s">
        <v>8977</v>
      </c>
      <c r="G901" s="3" t="s">
        <v>65</v>
      </c>
      <c r="I901" s="3" t="s">
        <v>65</v>
      </c>
      <c r="J901" s="3" t="s">
        <v>65</v>
      </c>
      <c r="K901" s="3" t="s">
        <v>66</v>
      </c>
      <c r="L901" s="2" t="s">
        <v>904</v>
      </c>
      <c r="M901" s="2" t="s">
        <v>8978</v>
      </c>
      <c r="N901" s="3" t="s">
        <v>364</v>
      </c>
      <c r="P901" s="3" t="s">
        <v>140</v>
      </c>
      <c r="Q901" s="2" t="s">
        <v>8979</v>
      </c>
      <c r="R901" s="3" t="s">
        <v>71</v>
      </c>
      <c r="S901" s="4">
        <v>3</v>
      </c>
      <c r="T901" s="4">
        <v>3</v>
      </c>
      <c r="U901" s="5" t="s">
        <v>5832</v>
      </c>
      <c r="V901" s="5" t="s">
        <v>5832</v>
      </c>
      <c r="W901" s="5" t="s">
        <v>72</v>
      </c>
      <c r="X901" s="5" t="s">
        <v>72</v>
      </c>
      <c r="Y901" s="4">
        <v>30</v>
      </c>
      <c r="Z901" s="4">
        <v>4</v>
      </c>
      <c r="AA901" s="4">
        <v>9</v>
      </c>
      <c r="AB901" s="4">
        <v>2</v>
      </c>
      <c r="AC901" s="4">
        <v>3</v>
      </c>
      <c r="AD901" s="4">
        <v>2</v>
      </c>
      <c r="AE901" s="4">
        <v>42</v>
      </c>
      <c r="AF901" s="4">
        <v>0</v>
      </c>
      <c r="AG901" s="4">
        <v>1</v>
      </c>
      <c r="AH901" s="4">
        <v>2</v>
      </c>
      <c r="AI901" s="4">
        <v>40</v>
      </c>
      <c r="AJ901" s="4">
        <v>1</v>
      </c>
      <c r="AK901" s="4">
        <v>6</v>
      </c>
      <c r="AL901" s="4">
        <v>2</v>
      </c>
      <c r="AM901" s="4">
        <v>32</v>
      </c>
      <c r="AN901" s="4">
        <v>0</v>
      </c>
      <c r="AO901" s="4">
        <v>0</v>
      </c>
      <c r="AP901" s="4">
        <v>1</v>
      </c>
      <c r="AQ901" s="4">
        <v>6</v>
      </c>
      <c r="AR901" s="3" t="s">
        <v>65</v>
      </c>
      <c r="AS901" s="3" t="s">
        <v>65</v>
      </c>
      <c r="AT901" s="3" t="s">
        <v>209</v>
      </c>
      <c r="AU901" s="6" t="str">
        <f>HYPERLINK("http://catalog.hathitrust.org/Record/004203505","HathiTrust Record")</f>
        <v>HathiTrust Record</v>
      </c>
      <c r="AV901" s="6" t="str">
        <f>HYPERLINK("http://mcgill.on.worldcat.org/oclc/428015401","Catalog Record")</f>
        <v>Catalog Record</v>
      </c>
      <c r="AW901" s="6" t="str">
        <f>HYPERLINK("http://www.worldcat.org/oclc/428015401","WorldCat Record")</f>
        <v>WorldCat Record</v>
      </c>
      <c r="AX901" s="3" t="s">
        <v>8980</v>
      </c>
      <c r="AY901" s="3" t="s">
        <v>8981</v>
      </c>
      <c r="AZ901" s="3" t="s">
        <v>8982</v>
      </c>
      <c r="BA901" s="3" t="s">
        <v>8982</v>
      </c>
      <c r="BB901" s="3" t="s">
        <v>8983</v>
      </c>
      <c r="BC901" s="3" t="s">
        <v>77</v>
      </c>
      <c r="BD901" s="3" t="s">
        <v>78</v>
      </c>
      <c r="BE901" s="3" t="s">
        <v>8984</v>
      </c>
      <c r="BF901" s="3" t="s">
        <v>8983</v>
      </c>
      <c r="BG901" s="3" t="s">
        <v>8985</v>
      </c>
    </row>
    <row r="902" spans="1:59" ht="58" x14ac:dyDescent="0.35">
      <c r="A902" s="2" t="s">
        <v>59</v>
      </c>
      <c r="B902" s="2" t="s">
        <v>60</v>
      </c>
      <c r="C902" s="2" t="s">
        <v>8986</v>
      </c>
      <c r="D902" s="2" t="s">
        <v>8987</v>
      </c>
      <c r="E902" s="2" t="s">
        <v>8988</v>
      </c>
      <c r="G902" s="3" t="s">
        <v>65</v>
      </c>
      <c r="I902" s="3" t="s">
        <v>209</v>
      </c>
      <c r="J902" s="3" t="s">
        <v>209</v>
      </c>
      <c r="K902" s="3" t="s">
        <v>66</v>
      </c>
      <c r="L902" s="2" t="s">
        <v>904</v>
      </c>
      <c r="M902" s="2" t="s">
        <v>8989</v>
      </c>
      <c r="N902" s="3" t="s">
        <v>2818</v>
      </c>
      <c r="P902" s="3" t="s">
        <v>69</v>
      </c>
      <c r="Q902" s="2" t="s">
        <v>8990</v>
      </c>
      <c r="R902" s="3" t="s">
        <v>71</v>
      </c>
      <c r="S902" s="4">
        <v>18</v>
      </c>
      <c r="T902" s="4">
        <v>33</v>
      </c>
      <c r="U902" s="5" t="s">
        <v>819</v>
      </c>
      <c r="V902" s="5" t="s">
        <v>819</v>
      </c>
      <c r="W902" s="5" t="s">
        <v>72</v>
      </c>
      <c r="X902" s="5" t="s">
        <v>72</v>
      </c>
      <c r="Y902" s="4">
        <v>18</v>
      </c>
      <c r="Z902" s="4">
        <v>5</v>
      </c>
      <c r="AA902" s="4">
        <v>47</v>
      </c>
      <c r="AB902" s="4">
        <v>1</v>
      </c>
      <c r="AC902" s="4">
        <v>7</v>
      </c>
      <c r="AD902" s="4">
        <v>2</v>
      </c>
      <c r="AE902" s="4">
        <v>90</v>
      </c>
      <c r="AF902" s="4">
        <v>0</v>
      </c>
      <c r="AG902" s="4">
        <v>2</v>
      </c>
      <c r="AH902" s="4">
        <v>2</v>
      </c>
      <c r="AI902" s="4">
        <v>74</v>
      </c>
      <c r="AJ902" s="4">
        <v>2</v>
      </c>
      <c r="AK902" s="4">
        <v>12</v>
      </c>
      <c r="AL902" s="4">
        <v>1</v>
      </c>
      <c r="AM902" s="4">
        <v>43</v>
      </c>
      <c r="AN902" s="4">
        <v>0</v>
      </c>
      <c r="AO902" s="4">
        <v>0</v>
      </c>
      <c r="AP902" s="4">
        <v>2</v>
      </c>
      <c r="AQ902" s="4">
        <v>19</v>
      </c>
      <c r="AR902" s="3" t="s">
        <v>65</v>
      </c>
      <c r="AS902" s="3" t="s">
        <v>65</v>
      </c>
      <c r="AT902" s="3" t="s">
        <v>65</v>
      </c>
      <c r="AV902" s="6" t="str">
        <f>HYPERLINK("http://mcgill.on.worldcat.org/oclc/224031724","Catalog Record")</f>
        <v>Catalog Record</v>
      </c>
      <c r="AW902" s="6" t="str">
        <f>HYPERLINK("http://www.worldcat.org/oclc/224031724","WorldCat Record")</f>
        <v>WorldCat Record</v>
      </c>
      <c r="AX902" s="3" t="s">
        <v>8991</v>
      </c>
      <c r="AY902" s="3" t="s">
        <v>8992</v>
      </c>
      <c r="AZ902" s="3" t="s">
        <v>8993</v>
      </c>
      <c r="BA902" s="3" t="s">
        <v>8993</v>
      </c>
      <c r="BB902" s="3" t="s">
        <v>8994</v>
      </c>
      <c r="BC902" s="3" t="s">
        <v>77</v>
      </c>
      <c r="BD902" s="3" t="s">
        <v>78</v>
      </c>
      <c r="BF902" s="3" t="s">
        <v>8994</v>
      </c>
      <c r="BG902" s="3" t="s">
        <v>8995</v>
      </c>
    </row>
    <row r="903" spans="1:59" ht="58" x14ac:dyDescent="0.35">
      <c r="A903" s="2" t="s">
        <v>59</v>
      </c>
      <c r="B903" s="2" t="s">
        <v>60</v>
      </c>
      <c r="C903" s="2" t="s">
        <v>8986</v>
      </c>
      <c r="D903" s="2" t="s">
        <v>8987</v>
      </c>
      <c r="E903" s="2" t="s">
        <v>8988</v>
      </c>
      <c r="G903" s="3" t="s">
        <v>65</v>
      </c>
      <c r="I903" s="3" t="s">
        <v>209</v>
      </c>
      <c r="J903" s="3" t="s">
        <v>209</v>
      </c>
      <c r="K903" s="3" t="s">
        <v>66</v>
      </c>
      <c r="L903" s="2" t="s">
        <v>904</v>
      </c>
      <c r="M903" s="2" t="s">
        <v>8989</v>
      </c>
      <c r="N903" s="3" t="s">
        <v>2818</v>
      </c>
      <c r="P903" s="3" t="s">
        <v>69</v>
      </c>
      <c r="Q903" s="2" t="s">
        <v>8990</v>
      </c>
      <c r="R903" s="3" t="s">
        <v>71</v>
      </c>
      <c r="S903" s="4">
        <v>5</v>
      </c>
      <c r="T903" s="4">
        <v>33</v>
      </c>
      <c r="U903" s="5" t="s">
        <v>8996</v>
      </c>
      <c r="V903" s="5" t="s">
        <v>819</v>
      </c>
      <c r="W903" s="5" t="s">
        <v>72</v>
      </c>
      <c r="X903" s="5" t="s">
        <v>72</v>
      </c>
      <c r="Y903" s="4">
        <v>18</v>
      </c>
      <c r="Z903" s="4">
        <v>5</v>
      </c>
      <c r="AA903" s="4">
        <v>47</v>
      </c>
      <c r="AB903" s="4">
        <v>1</v>
      </c>
      <c r="AC903" s="4">
        <v>7</v>
      </c>
      <c r="AD903" s="4">
        <v>2</v>
      </c>
      <c r="AE903" s="4">
        <v>90</v>
      </c>
      <c r="AF903" s="4">
        <v>0</v>
      </c>
      <c r="AG903" s="4">
        <v>2</v>
      </c>
      <c r="AH903" s="4">
        <v>2</v>
      </c>
      <c r="AI903" s="4">
        <v>74</v>
      </c>
      <c r="AJ903" s="4">
        <v>2</v>
      </c>
      <c r="AK903" s="4">
        <v>12</v>
      </c>
      <c r="AL903" s="4">
        <v>1</v>
      </c>
      <c r="AM903" s="4">
        <v>43</v>
      </c>
      <c r="AN903" s="4">
        <v>0</v>
      </c>
      <c r="AO903" s="4">
        <v>0</v>
      </c>
      <c r="AP903" s="4">
        <v>2</v>
      </c>
      <c r="AQ903" s="4">
        <v>19</v>
      </c>
      <c r="AR903" s="3" t="s">
        <v>65</v>
      </c>
      <c r="AS903" s="3" t="s">
        <v>65</v>
      </c>
      <c r="AT903" s="3" t="s">
        <v>65</v>
      </c>
      <c r="AV903" s="6" t="str">
        <f>HYPERLINK("http://mcgill.on.worldcat.org/oclc/224031724","Catalog Record")</f>
        <v>Catalog Record</v>
      </c>
      <c r="AW903" s="6" t="str">
        <f>HYPERLINK("http://www.worldcat.org/oclc/224031724","WorldCat Record")</f>
        <v>WorldCat Record</v>
      </c>
      <c r="AX903" s="3" t="s">
        <v>8991</v>
      </c>
      <c r="AY903" s="3" t="s">
        <v>8992</v>
      </c>
      <c r="AZ903" s="3" t="s">
        <v>8993</v>
      </c>
      <c r="BA903" s="3" t="s">
        <v>8993</v>
      </c>
      <c r="BB903" s="3" t="s">
        <v>8997</v>
      </c>
      <c r="BC903" s="3" t="s">
        <v>77</v>
      </c>
      <c r="BD903" s="3" t="s">
        <v>78</v>
      </c>
      <c r="BF903" s="3" t="s">
        <v>8997</v>
      </c>
      <c r="BG903" s="3" t="s">
        <v>8998</v>
      </c>
    </row>
    <row r="904" spans="1:59" ht="58" x14ac:dyDescent="0.35">
      <c r="A904" s="2" t="s">
        <v>59</v>
      </c>
      <c r="B904" s="2" t="s">
        <v>60</v>
      </c>
      <c r="C904" s="2" t="s">
        <v>8986</v>
      </c>
      <c r="D904" s="2" t="s">
        <v>8987</v>
      </c>
      <c r="E904" s="2" t="s">
        <v>8988</v>
      </c>
      <c r="G904" s="3" t="s">
        <v>65</v>
      </c>
      <c r="I904" s="3" t="s">
        <v>209</v>
      </c>
      <c r="J904" s="3" t="s">
        <v>209</v>
      </c>
      <c r="K904" s="3" t="s">
        <v>66</v>
      </c>
      <c r="L904" s="2" t="s">
        <v>904</v>
      </c>
      <c r="M904" s="2" t="s">
        <v>8989</v>
      </c>
      <c r="N904" s="3" t="s">
        <v>2818</v>
      </c>
      <c r="P904" s="3" t="s">
        <v>69</v>
      </c>
      <c r="Q904" s="2" t="s">
        <v>8990</v>
      </c>
      <c r="R904" s="3" t="s">
        <v>71</v>
      </c>
      <c r="S904" s="4">
        <v>10</v>
      </c>
      <c r="T904" s="4">
        <v>33</v>
      </c>
      <c r="U904" s="5" t="s">
        <v>8999</v>
      </c>
      <c r="V904" s="5" t="s">
        <v>819</v>
      </c>
      <c r="W904" s="5" t="s">
        <v>72</v>
      </c>
      <c r="X904" s="5" t="s">
        <v>72</v>
      </c>
      <c r="Y904" s="4">
        <v>18</v>
      </c>
      <c r="Z904" s="4">
        <v>5</v>
      </c>
      <c r="AA904" s="4">
        <v>47</v>
      </c>
      <c r="AB904" s="4">
        <v>1</v>
      </c>
      <c r="AC904" s="4">
        <v>7</v>
      </c>
      <c r="AD904" s="4">
        <v>2</v>
      </c>
      <c r="AE904" s="4">
        <v>90</v>
      </c>
      <c r="AF904" s="4">
        <v>0</v>
      </c>
      <c r="AG904" s="4">
        <v>2</v>
      </c>
      <c r="AH904" s="4">
        <v>2</v>
      </c>
      <c r="AI904" s="4">
        <v>74</v>
      </c>
      <c r="AJ904" s="4">
        <v>2</v>
      </c>
      <c r="AK904" s="4">
        <v>12</v>
      </c>
      <c r="AL904" s="4">
        <v>1</v>
      </c>
      <c r="AM904" s="4">
        <v>43</v>
      </c>
      <c r="AN904" s="4">
        <v>0</v>
      </c>
      <c r="AO904" s="4">
        <v>0</v>
      </c>
      <c r="AP904" s="4">
        <v>2</v>
      </c>
      <c r="AQ904" s="4">
        <v>19</v>
      </c>
      <c r="AR904" s="3" t="s">
        <v>65</v>
      </c>
      <c r="AS904" s="3" t="s">
        <v>65</v>
      </c>
      <c r="AT904" s="3" t="s">
        <v>65</v>
      </c>
      <c r="AV904" s="6" t="str">
        <f>HYPERLINK("http://mcgill.on.worldcat.org/oclc/224031724","Catalog Record")</f>
        <v>Catalog Record</v>
      </c>
      <c r="AW904" s="6" t="str">
        <f>HYPERLINK("http://www.worldcat.org/oclc/224031724","WorldCat Record")</f>
        <v>WorldCat Record</v>
      </c>
      <c r="AX904" s="3" t="s">
        <v>8991</v>
      </c>
      <c r="AY904" s="3" t="s">
        <v>8992</v>
      </c>
      <c r="AZ904" s="3" t="s">
        <v>8993</v>
      </c>
      <c r="BA904" s="3" t="s">
        <v>8993</v>
      </c>
      <c r="BB904" s="3" t="s">
        <v>9000</v>
      </c>
      <c r="BC904" s="3" t="s">
        <v>77</v>
      </c>
      <c r="BD904" s="3" t="s">
        <v>78</v>
      </c>
      <c r="BF904" s="3" t="s">
        <v>9000</v>
      </c>
      <c r="BG904" s="3" t="s">
        <v>9001</v>
      </c>
    </row>
    <row r="905" spans="1:59" ht="58" x14ac:dyDescent="0.35">
      <c r="A905" s="2" t="s">
        <v>59</v>
      </c>
      <c r="B905" s="2" t="s">
        <v>60</v>
      </c>
      <c r="C905" s="2" t="s">
        <v>9002</v>
      </c>
      <c r="D905" s="2" t="s">
        <v>9003</v>
      </c>
      <c r="E905" s="2" t="s">
        <v>9004</v>
      </c>
      <c r="G905" s="3" t="s">
        <v>65</v>
      </c>
      <c r="I905" s="3" t="s">
        <v>65</v>
      </c>
      <c r="J905" s="3" t="s">
        <v>209</v>
      </c>
      <c r="K905" s="3" t="s">
        <v>66</v>
      </c>
      <c r="L905" s="2" t="s">
        <v>9005</v>
      </c>
      <c r="M905" s="2" t="s">
        <v>9006</v>
      </c>
      <c r="N905" s="3" t="s">
        <v>1967</v>
      </c>
      <c r="P905" s="3" t="s">
        <v>69</v>
      </c>
      <c r="Q905" s="2" t="s">
        <v>7248</v>
      </c>
      <c r="R905" s="3" t="s">
        <v>71</v>
      </c>
      <c r="S905" s="4">
        <v>25</v>
      </c>
      <c r="T905" s="4">
        <v>25</v>
      </c>
      <c r="U905" s="5" t="s">
        <v>9007</v>
      </c>
      <c r="V905" s="5" t="s">
        <v>9007</v>
      </c>
      <c r="W905" s="5" t="s">
        <v>72</v>
      </c>
      <c r="X905" s="5" t="s">
        <v>72</v>
      </c>
      <c r="Y905" s="4">
        <v>285</v>
      </c>
      <c r="Z905" s="4">
        <v>18</v>
      </c>
      <c r="AA905" s="4">
        <v>47</v>
      </c>
      <c r="AB905" s="4">
        <v>4</v>
      </c>
      <c r="AC905" s="4">
        <v>7</v>
      </c>
      <c r="AD905" s="4">
        <v>22</v>
      </c>
      <c r="AE905" s="4">
        <v>90</v>
      </c>
      <c r="AF905" s="4">
        <v>1</v>
      </c>
      <c r="AG905" s="4">
        <v>2</v>
      </c>
      <c r="AH905" s="4">
        <v>17</v>
      </c>
      <c r="AI905" s="4">
        <v>74</v>
      </c>
      <c r="AJ905" s="4">
        <v>4</v>
      </c>
      <c r="AK905" s="4">
        <v>12</v>
      </c>
      <c r="AL905" s="4">
        <v>10</v>
      </c>
      <c r="AM905" s="4">
        <v>43</v>
      </c>
      <c r="AN905" s="4">
        <v>0</v>
      </c>
      <c r="AO905" s="4">
        <v>0</v>
      </c>
      <c r="AP905" s="4">
        <v>7</v>
      </c>
      <c r="AQ905" s="4">
        <v>19</v>
      </c>
      <c r="AR905" s="3" t="s">
        <v>65</v>
      </c>
      <c r="AS905" s="3" t="s">
        <v>65</v>
      </c>
      <c r="AT905" s="3" t="s">
        <v>209</v>
      </c>
      <c r="AU905" s="6" t="str">
        <f>HYPERLINK("http://catalog.hathitrust.org/Record/003037985","HathiTrust Record")</f>
        <v>HathiTrust Record</v>
      </c>
      <c r="AV905" s="6" t="str">
        <f>HYPERLINK("http://mcgill.on.worldcat.org/oclc/52905409","Catalog Record")</f>
        <v>Catalog Record</v>
      </c>
      <c r="AW905" s="6" t="str">
        <f>HYPERLINK("http://www.worldcat.org/oclc/52905409","WorldCat Record")</f>
        <v>WorldCat Record</v>
      </c>
      <c r="AX905" s="3" t="s">
        <v>8991</v>
      </c>
      <c r="AY905" s="3" t="s">
        <v>9008</v>
      </c>
      <c r="AZ905" s="3" t="s">
        <v>9009</v>
      </c>
      <c r="BA905" s="3" t="s">
        <v>9009</v>
      </c>
      <c r="BB905" s="3" t="s">
        <v>9010</v>
      </c>
      <c r="BC905" s="3" t="s">
        <v>77</v>
      </c>
      <c r="BD905" s="3" t="s">
        <v>106</v>
      </c>
      <c r="BE905" s="3" t="s">
        <v>9011</v>
      </c>
      <c r="BF905" s="3" t="s">
        <v>9010</v>
      </c>
      <c r="BG905" s="3" t="s">
        <v>9012</v>
      </c>
    </row>
    <row r="906" spans="1:59" ht="72.5" x14ac:dyDescent="0.35">
      <c r="A906" s="2" t="s">
        <v>59</v>
      </c>
      <c r="B906" s="2" t="s">
        <v>60</v>
      </c>
      <c r="C906" s="2" t="s">
        <v>9013</v>
      </c>
      <c r="D906" s="2" t="s">
        <v>9014</v>
      </c>
      <c r="E906" s="2" t="s">
        <v>9015</v>
      </c>
      <c r="G906" s="3" t="s">
        <v>65</v>
      </c>
      <c r="I906" s="3" t="s">
        <v>65</v>
      </c>
      <c r="J906" s="3" t="s">
        <v>209</v>
      </c>
      <c r="K906" s="3" t="s">
        <v>9016</v>
      </c>
      <c r="L906" s="2" t="s">
        <v>904</v>
      </c>
      <c r="M906" s="2" t="s">
        <v>9017</v>
      </c>
      <c r="N906" s="3" t="s">
        <v>9018</v>
      </c>
      <c r="P906" s="3" t="s">
        <v>69</v>
      </c>
      <c r="R906" s="3" t="s">
        <v>71</v>
      </c>
      <c r="S906" s="4">
        <v>9</v>
      </c>
      <c r="T906" s="4">
        <v>9</v>
      </c>
      <c r="U906" s="5" t="s">
        <v>9019</v>
      </c>
      <c r="V906" s="5" t="s">
        <v>9019</v>
      </c>
      <c r="W906" s="5" t="s">
        <v>72</v>
      </c>
      <c r="X906" s="5" t="s">
        <v>72</v>
      </c>
      <c r="Y906" s="4">
        <v>216</v>
      </c>
      <c r="Z906" s="4">
        <v>11</v>
      </c>
      <c r="AA906" s="4">
        <v>188</v>
      </c>
      <c r="AB906" s="4">
        <v>1</v>
      </c>
      <c r="AC906" s="4">
        <v>24</v>
      </c>
      <c r="AD906" s="4">
        <v>48</v>
      </c>
      <c r="AE906" s="4">
        <v>175</v>
      </c>
      <c r="AF906" s="4">
        <v>0</v>
      </c>
      <c r="AG906" s="4">
        <v>8</v>
      </c>
      <c r="AH906" s="4">
        <v>44</v>
      </c>
      <c r="AI906" s="4">
        <v>118</v>
      </c>
      <c r="AJ906" s="4">
        <v>6</v>
      </c>
      <c r="AK906" s="4">
        <v>30</v>
      </c>
      <c r="AL906" s="4">
        <v>21</v>
      </c>
      <c r="AM906" s="4">
        <v>63</v>
      </c>
      <c r="AN906" s="4">
        <v>0</v>
      </c>
      <c r="AO906" s="4">
        <v>22</v>
      </c>
      <c r="AP906" s="4">
        <v>7</v>
      </c>
      <c r="AQ906" s="4">
        <v>61</v>
      </c>
      <c r="AR906" s="3" t="s">
        <v>65</v>
      </c>
      <c r="AS906" s="3" t="s">
        <v>209</v>
      </c>
      <c r="AT906" s="3" t="s">
        <v>65</v>
      </c>
      <c r="AU906" s="6" t="str">
        <f>HYPERLINK("http://catalog.hathitrust.org/Record/100323668","HathiTrust Record")</f>
        <v>HathiTrust Record</v>
      </c>
      <c r="AV906" s="6" t="str">
        <f>HYPERLINK("http://mcgill.on.worldcat.org/oclc/1295570","Catalog Record")</f>
        <v>Catalog Record</v>
      </c>
      <c r="AW906" s="6" t="str">
        <f>HYPERLINK("http://www.worldcat.org/oclc/1295570","WorldCat Record")</f>
        <v>WorldCat Record</v>
      </c>
      <c r="AX906" s="3" t="s">
        <v>9020</v>
      </c>
      <c r="AY906" s="3" t="s">
        <v>9021</v>
      </c>
      <c r="AZ906" s="3" t="s">
        <v>9022</v>
      </c>
      <c r="BA906" s="3" t="s">
        <v>9022</v>
      </c>
      <c r="BB906" s="3" t="s">
        <v>9023</v>
      </c>
      <c r="BC906" s="3" t="s">
        <v>77</v>
      </c>
      <c r="BD906" s="3" t="s">
        <v>78</v>
      </c>
      <c r="BF906" s="3" t="s">
        <v>9023</v>
      </c>
      <c r="BG906" s="3" t="s">
        <v>9024</v>
      </c>
    </row>
    <row r="907" spans="1:59" ht="58" x14ac:dyDescent="0.35">
      <c r="A907" s="2" t="s">
        <v>59</v>
      </c>
      <c r="B907" s="2" t="s">
        <v>60</v>
      </c>
      <c r="C907" s="2" t="s">
        <v>9025</v>
      </c>
      <c r="D907" s="2" t="s">
        <v>9026</v>
      </c>
      <c r="E907" s="2" t="s">
        <v>9027</v>
      </c>
      <c r="G907" s="3" t="s">
        <v>65</v>
      </c>
      <c r="I907" s="3" t="s">
        <v>65</v>
      </c>
      <c r="J907" s="3" t="s">
        <v>65</v>
      </c>
      <c r="K907" s="3" t="s">
        <v>66</v>
      </c>
      <c r="L907" s="2" t="s">
        <v>904</v>
      </c>
      <c r="M907" s="2" t="s">
        <v>9028</v>
      </c>
      <c r="N907" s="3" t="s">
        <v>742</v>
      </c>
      <c r="P907" s="3" t="s">
        <v>69</v>
      </c>
      <c r="R907" s="3" t="s">
        <v>71</v>
      </c>
      <c r="S907" s="4">
        <v>7</v>
      </c>
      <c r="T907" s="4">
        <v>7</v>
      </c>
      <c r="U907" s="5" t="s">
        <v>7362</v>
      </c>
      <c r="V907" s="5" t="s">
        <v>7362</v>
      </c>
      <c r="W907" s="5" t="s">
        <v>72</v>
      </c>
      <c r="X907" s="5" t="s">
        <v>72</v>
      </c>
      <c r="Y907" s="4">
        <v>2</v>
      </c>
      <c r="Z907" s="4">
        <v>1</v>
      </c>
      <c r="AA907" s="4">
        <v>1</v>
      </c>
      <c r="AB907" s="4">
        <v>1</v>
      </c>
      <c r="AC907" s="4">
        <v>1</v>
      </c>
      <c r="AD907" s="4">
        <v>0</v>
      </c>
      <c r="AE907" s="4">
        <v>0</v>
      </c>
      <c r="AF907" s="4">
        <v>0</v>
      </c>
      <c r="AG907" s="4">
        <v>0</v>
      </c>
      <c r="AH907" s="4">
        <v>0</v>
      </c>
      <c r="AI907" s="4">
        <v>0</v>
      </c>
      <c r="AJ907" s="4">
        <v>0</v>
      </c>
      <c r="AK907" s="4">
        <v>0</v>
      </c>
      <c r="AL907" s="4">
        <v>0</v>
      </c>
      <c r="AM907" s="4">
        <v>0</v>
      </c>
      <c r="AN907" s="4">
        <v>0</v>
      </c>
      <c r="AO907" s="4">
        <v>0</v>
      </c>
      <c r="AP907" s="4">
        <v>0</v>
      </c>
      <c r="AQ907" s="4">
        <v>0</v>
      </c>
      <c r="AR907" s="3" t="s">
        <v>209</v>
      </c>
      <c r="AS907" s="3" t="s">
        <v>65</v>
      </c>
      <c r="AT907" s="3" t="s">
        <v>65</v>
      </c>
      <c r="AU907" s="6" t="str">
        <f>HYPERLINK("http://catalog.hathitrust.org/Record/100370433","HathiTrust Record")</f>
        <v>HathiTrust Record</v>
      </c>
      <c r="AV907" s="6" t="str">
        <f>HYPERLINK("http://mcgill.on.worldcat.org/oclc/61585268","Catalog Record")</f>
        <v>Catalog Record</v>
      </c>
      <c r="AW907" s="6" t="str">
        <f>HYPERLINK("http://www.worldcat.org/oclc/61585268","WorldCat Record")</f>
        <v>WorldCat Record</v>
      </c>
      <c r="AX907" s="3" t="s">
        <v>9029</v>
      </c>
      <c r="AY907" s="3" t="s">
        <v>9030</v>
      </c>
      <c r="AZ907" s="3" t="s">
        <v>9031</v>
      </c>
      <c r="BA907" s="3" t="s">
        <v>9031</v>
      </c>
      <c r="BB907" s="3" t="s">
        <v>9032</v>
      </c>
      <c r="BC907" s="3" t="s">
        <v>77</v>
      </c>
      <c r="BD907" s="3" t="s">
        <v>78</v>
      </c>
      <c r="BF907" s="3" t="s">
        <v>9032</v>
      </c>
      <c r="BG907" s="3" t="s">
        <v>9033</v>
      </c>
    </row>
    <row r="908" spans="1:59" ht="72.5" x14ac:dyDescent="0.35">
      <c r="A908" s="2" t="s">
        <v>59</v>
      </c>
      <c r="B908" s="2" t="s">
        <v>60</v>
      </c>
      <c r="C908" s="2" t="s">
        <v>9034</v>
      </c>
      <c r="D908" s="2" t="s">
        <v>9035</v>
      </c>
      <c r="E908" s="2" t="s">
        <v>9036</v>
      </c>
      <c r="F908" s="3" t="s">
        <v>245</v>
      </c>
      <c r="G908" s="3" t="s">
        <v>209</v>
      </c>
      <c r="I908" s="3" t="s">
        <v>65</v>
      </c>
      <c r="J908" s="3" t="s">
        <v>209</v>
      </c>
      <c r="K908" s="3" t="s">
        <v>9016</v>
      </c>
      <c r="L908" s="2" t="s">
        <v>904</v>
      </c>
      <c r="M908" s="2" t="s">
        <v>9037</v>
      </c>
      <c r="N908" s="3" t="s">
        <v>1085</v>
      </c>
      <c r="P908" s="3" t="s">
        <v>69</v>
      </c>
      <c r="R908" s="3" t="s">
        <v>71</v>
      </c>
      <c r="S908" s="4">
        <v>13</v>
      </c>
      <c r="T908" s="4">
        <v>23</v>
      </c>
      <c r="U908" s="5" t="s">
        <v>2474</v>
      </c>
      <c r="V908" s="5" t="s">
        <v>2474</v>
      </c>
      <c r="W908" s="5" t="s">
        <v>72</v>
      </c>
      <c r="X908" s="5" t="s">
        <v>72</v>
      </c>
      <c r="Y908" s="4">
        <v>993</v>
      </c>
      <c r="Z908" s="4">
        <v>38</v>
      </c>
      <c r="AA908" s="4">
        <v>188</v>
      </c>
      <c r="AB908" s="4">
        <v>3</v>
      </c>
      <c r="AC908" s="4">
        <v>24</v>
      </c>
      <c r="AD908" s="4">
        <v>122</v>
      </c>
      <c r="AE908" s="4">
        <v>175</v>
      </c>
      <c r="AF908" s="4">
        <v>2</v>
      </c>
      <c r="AG908" s="4">
        <v>8</v>
      </c>
      <c r="AH908" s="4">
        <v>106</v>
      </c>
      <c r="AI908" s="4">
        <v>118</v>
      </c>
      <c r="AJ908" s="4">
        <v>17</v>
      </c>
      <c r="AK908" s="4">
        <v>30</v>
      </c>
      <c r="AL908" s="4">
        <v>58</v>
      </c>
      <c r="AM908" s="4">
        <v>63</v>
      </c>
      <c r="AN908" s="4">
        <v>0</v>
      </c>
      <c r="AO908" s="4">
        <v>22</v>
      </c>
      <c r="AP908" s="4">
        <v>23</v>
      </c>
      <c r="AQ908" s="4">
        <v>61</v>
      </c>
      <c r="AR908" s="3" t="s">
        <v>65</v>
      </c>
      <c r="AS908" s="3" t="s">
        <v>65</v>
      </c>
      <c r="AT908" s="3" t="s">
        <v>209</v>
      </c>
      <c r="AU908" s="6" t="str">
        <f>HYPERLINK("http://catalog.hathitrust.org/Record/003090109","HathiTrust Record")</f>
        <v>HathiTrust Record</v>
      </c>
      <c r="AV908" s="6" t="str">
        <f>HYPERLINK("http://mcgill.on.worldcat.org/oclc/32430822","Catalog Record")</f>
        <v>Catalog Record</v>
      </c>
      <c r="AW908" s="6" t="str">
        <f>HYPERLINK("http://www.worldcat.org/oclc/32430822","WorldCat Record")</f>
        <v>WorldCat Record</v>
      </c>
      <c r="AX908" s="3" t="s">
        <v>9020</v>
      </c>
      <c r="AY908" s="3" t="s">
        <v>9038</v>
      </c>
      <c r="AZ908" s="3" t="s">
        <v>9039</v>
      </c>
      <c r="BA908" s="3" t="s">
        <v>9039</v>
      </c>
      <c r="BB908" s="3" t="s">
        <v>9040</v>
      </c>
      <c r="BC908" s="3" t="s">
        <v>77</v>
      </c>
      <c r="BD908" s="3" t="s">
        <v>78</v>
      </c>
      <c r="BE908" s="3" t="s">
        <v>9041</v>
      </c>
      <c r="BF908" s="3" t="s">
        <v>9040</v>
      </c>
      <c r="BG908" s="3" t="s">
        <v>9042</v>
      </c>
    </row>
    <row r="909" spans="1:59" ht="72.5" x14ac:dyDescent="0.35">
      <c r="A909" s="2" t="s">
        <v>59</v>
      </c>
      <c r="B909" s="2" t="s">
        <v>60</v>
      </c>
      <c r="C909" s="2" t="s">
        <v>9034</v>
      </c>
      <c r="D909" s="2" t="s">
        <v>9035</v>
      </c>
      <c r="E909" s="2" t="s">
        <v>9036</v>
      </c>
      <c r="F909" s="3" t="s">
        <v>258</v>
      </c>
      <c r="G909" s="3" t="s">
        <v>209</v>
      </c>
      <c r="I909" s="3" t="s">
        <v>65</v>
      </c>
      <c r="J909" s="3" t="s">
        <v>209</v>
      </c>
      <c r="K909" s="3" t="s">
        <v>9016</v>
      </c>
      <c r="L909" s="2" t="s">
        <v>904</v>
      </c>
      <c r="M909" s="2" t="s">
        <v>9037</v>
      </c>
      <c r="N909" s="3" t="s">
        <v>1085</v>
      </c>
      <c r="P909" s="3" t="s">
        <v>69</v>
      </c>
      <c r="R909" s="3" t="s">
        <v>71</v>
      </c>
      <c r="S909" s="4">
        <v>10</v>
      </c>
      <c r="T909" s="4">
        <v>23</v>
      </c>
      <c r="U909" s="5" t="s">
        <v>2474</v>
      </c>
      <c r="V909" s="5" t="s">
        <v>2474</v>
      </c>
      <c r="W909" s="5" t="s">
        <v>72</v>
      </c>
      <c r="X909" s="5" t="s">
        <v>72</v>
      </c>
      <c r="Y909" s="4">
        <v>993</v>
      </c>
      <c r="Z909" s="4">
        <v>38</v>
      </c>
      <c r="AA909" s="4">
        <v>188</v>
      </c>
      <c r="AB909" s="4">
        <v>3</v>
      </c>
      <c r="AC909" s="4">
        <v>24</v>
      </c>
      <c r="AD909" s="4">
        <v>122</v>
      </c>
      <c r="AE909" s="4">
        <v>175</v>
      </c>
      <c r="AF909" s="4">
        <v>2</v>
      </c>
      <c r="AG909" s="4">
        <v>8</v>
      </c>
      <c r="AH909" s="4">
        <v>106</v>
      </c>
      <c r="AI909" s="4">
        <v>118</v>
      </c>
      <c r="AJ909" s="4">
        <v>17</v>
      </c>
      <c r="AK909" s="4">
        <v>30</v>
      </c>
      <c r="AL909" s="4">
        <v>58</v>
      </c>
      <c r="AM909" s="4">
        <v>63</v>
      </c>
      <c r="AN909" s="4">
        <v>0</v>
      </c>
      <c r="AO909" s="4">
        <v>22</v>
      </c>
      <c r="AP909" s="4">
        <v>23</v>
      </c>
      <c r="AQ909" s="4">
        <v>61</v>
      </c>
      <c r="AR909" s="3" t="s">
        <v>65</v>
      </c>
      <c r="AS909" s="3" t="s">
        <v>65</v>
      </c>
      <c r="AT909" s="3" t="s">
        <v>209</v>
      </c>
      <c r="AU909" s="6" t="str">
        <f>HYPERLINK("http://catalog.hathitrust.org/Record/003090109","HathiTrust Record")</f>
        <v>HathiTrust Record</v>
      </c>
      <c r="AV909" s="6" t="str">
        <f>HYPERLINK("http://mcgill.on.worldcat.org/oclc/32430822","Catalog Record")</f>
        <v>Catalog Record</v>
      </c>
      <c r="AW909" s="6" t="str">
        <f>HYPERLINK("http://www.worldcat.org/oclc/32430822","WorldCat Record")</f>
        <v>WorldCat Record</v>
      </c>
      <c r="AX909" s="3" t="s">
        <v>9020</v>
      </c>
      <c r="AY909" s="3" t="s">
        <v>9038</v>
      </c>
      <c r="AZ909" s="3" t="s">
        <v>9039</v>
      </c>
      <c r="BA909" s="3" t="s">
        <v>9039</v>
      </c>
      <c r="BB909" s="3" t="s">
        <v>9043</v>
      </c>
      <c r="BC909" s="3" t="s">
        <v>77</v>
      </c>
      <c r="BD909" s="3" t="s">
        <v>78</v>
      </c>
      <c r="BE909" s="3" t="s">
        <v>9041</v>
      </c>
      <c r="BF909" s="3" t="s">
        <v>9043</v>
      </c>
      <c r="BG909" s="3" t="s">
        <v>9044</v>
      </c>
    </row>
    <row r="910" spans="1:59" ht="58" x14ac:dyDescent="0.35">
      <c r="A910" s="2" t="s">
        <v>59</v>
      </c>
      <c r="B910" s="2" t="s">
        <v>60</v>
      </c>
      <c r="C910" s="2" t="s">
        <v>9045</v>
      </c>
      <c r="D910" s="2" t="s">
        <v>9046</v>
      </c>
      <c r="E910" s="2" t="s">
        <v>9047</v>
      </c>
      <c r="F910" s="3" t="s">
        <v>503</v>
      </c>
      <c r="G910" s="3" t="s">
        <v>209</v>
      </c>
      <c r="I910" s="3" t="s">
        <v>65</v>
      </c>
      <c r="J910" s="3" t="s">
        <v>65</v>
      </c>
      <c r="K910" s="3" t="s">
        <v>66</v>
      </c>
      <c r="L910" s="2" t="s">
        <v>904</v>
      </c>
      <c r="M910" s="2" t="s">
        <v>9048</v>
      </c>
      <c r="N910" s="3" t="s">
        <v>955</v>
      </c>
      <c r="P910" s="3" t="s">
        <v>69</v>
      </c>
      <c r="Q910" s="2" t="s">
        <v>9049</v>
      </c>
      <c r="R910" s="3" t="s">
        <v>71</v>
      </c>
      <c r="S910" s="4">
        <v>23</v>
      </c>
      <c r="T910" s="4">
        <v>90</v>
      </c>
      <c r="U910" s="5" t="s">
        <v>9050</v>
      </c>
      <c r="V910" s="5" t="s">
        <v>3091</v>
      </c>
      <c r="W910" s="5" t="s">
        <v>72</v>
      </c>
      <c r="X910" s="5" t="s">
        <v>72</v>
      </c>
      <c r="Y910" s="4">
        <v>71</v>
      </c>
      <c r="Z910" s="4">
        <v>13</v>
      </c>
      <c r="AA910" s="4">
        <v>18</v>
      </c>
      <c r="AB910" s="4">
        <v>1</v>
      </c>
      <c r="AC910" s="4">
        <v>1</v>
      </c>
      <c r="AD910" s="4">
        <v>17</v>
      </c>
      <c r="AE910" s="4">
        <v>26</v>
      </c>
      <c r="AF910" s="4">
        <v>0</v>
      </c>
      <c r="AG910" s="4">
        <v>0</v>
      </c>
      <c r="AH910" s="4">
        <v>15</v>
      </c>
      <c r="AI910" s="4">
        <v>24</v>
      </c>
      <c r="AJ910" s="4">
        <v>4</v>
      </c>
      <c r="AK910" s="4">
        <v>7</v>
      </c>
      <c r="AL910" s="4">
        <v>9</v>
      </c>
      <c r="AM910" s="4">
        <v>13</v>
      </c>
      <c r="AN910" s="4">
        <v>0</v>
      </c>
      <c r="AO910" s="4">
        <v>0</v>
      </c>
      <c r="AP910" s="4">
        <v>5</v>
      </c>
      <c r="AQ910" s="4">
        <v>8</v>
      </c>
      <c r="AR910" s="3" t="s">
        <v>65</v>
      </c>
      <c r="AS910" s="3" t="s">
        <v>65</v>
      </c>
      <c r="AT910" s="3" t="s">
        <v>209</v>
      </c>
      <c r="AU910" s="6" t="str">
        <f>HYPERLINK("http://catalog.hathitrust.org/Record/004462975","HathiTrust Record")</f>
        <v>HathiTrust Record</v>
      </c>
      <c r="AV910" s="6" t="str">
        <f>HYPERLINK("http://mcgill.on.worldcat.org/oclc/11232831","Catalog Record")</f>
        <v>Catalog Record</v>
      </c>
      <c r="AW910" s="6" t="str">
        <f>HYPERLINK("http://www.worldcat.org/oclc/11232831","WorldCat Record")</f>
        <v>WorldCat Record</v>
      </c>
      <c r="AX910" s="3" t="s">
        <v>9051</v>
      </c>
      <c r="AY910" s="3" t="s">
        <v>9052</v>
      </c>
      <c r="AZ910" s="3" t="s">
        <v>9053</v>
      </c>
      <c r="BA910" s="3" t="s">
        <v>9053</v>
      </c>
      <c r="BB910" s="3" t="s">
        <v>9054</v>
      </c>
      <c r="BC910" s="3" t="s">
        <v>77</v>
      </c>
      <c r="BD910" s="3" t="s">
        <v>78</v>
      </c>
      <c r="BE910" s="3" t="s">
        <v>9055</v>
      </c>
      <c r="BF910" s="3" t="s">
        <v>9054</v>
      </c>
      <c r="BG910" s="3" t="s">
        <v>9056</v>
      </c>
    </row>
    <row r="911" spans="1:59" ht="58" x14ac:dyDescent="0.35">
      <c r="A911" s="2" t="s">
        <v>59</v>
      </c>
      <c r="B911" s="2" t="s">
        <v>60</v>
      </c>
      <c r="C911" s="2" t="s">
        <v>9045</v>
      </c>
      <c r="D911" s="2" t="s">
        <v>9046</v>
      </c>
      <c r="E911" s="2" t="s">
        <v>9047</v>
      </c>
      <c r="F911" s="3" t="s">
        <v>490</v>
      </c>
      <c r="G911" s="3" t="s">
        <v>209</v>
      </c>
      <c r="I911" s="3" t="s">
        <v>65</v>
      </c>
      <c r="J911" s="3" t="s">
        <v>65</v>
      </c>
      <c r="K911" s="3" t="s">
        <v>66</v>
      </c>
      <c r="L911" s="2" t="s">
        <v>904</v>
      </c>
      <c r="M911" s="2" t="s">
        <v>9048</v>
      </c>
      <c r="N911" s="3" t="s">
        <v>955</v>
      </c>
      <c r="P911" s="3" t="s">
        <v>69</v>
      </c>
      <c r="Q911" s="2" t="s">
        <v>9049</v>
      </c>
      <c r="R911" s="3" t="s">
        <v>71</v>
      </c>
      <c r="S911" s="4">
        <v>44</v>
      </c>
      <c r="T911" s="4">
        <v>90</v>
      </c>
      <c r="U911" s="5" t="s">
        <v>6008</v>
      </c>
      <c r="V911" s="5" t="s">
        <v>3091</v>
      </c>
      <c r="W911" s="5" t="s">
        <v>72</v>
      </c>
      <c r="X911" s="5" t="s">
        <v>72</v>
      </c>
      <c r="Y911" s="4">
        <v>71</v>
      </c>
      <c r="Z911" s="4">
        <v>13</v>
      </c>
      <c r="AA911" s="4">
        <v>18</v>
      </c>
      <c r="AB911" s="4">
        <v>1</v>
      </c>
      <c r="AC911" s="4">
        <v>1</v>
      </c>
      <c r="AD911" s="4">
        <v>17</v>
      </c>
      <c r="AE911" s="4">
        <v>26</v>
      </c>
      <c r="AF911" s="4">
        <v>0</v>
      </c>
      <c r="AG911" s="4">
        <v>0</v>
      </c>
      <c r="AH911" s="4">
        <v>15</v>
      </c>
      <c r="AI911" s="4">
        <v>24</v>
      </c>
      <c r="AJ911" s="4">
        <v>4</v>
      </c>
      <c r="AK911" s="4">
        <v>7</v>
      </c>
      <c r="AL911" s="4">
        <v>9</v>
      </c>
      <c r="AM911" s="4">
        <v>13</v>
      </c>
      <c r="AN911" s="4">
        <v>0</v>
      </c>
      <c r="AO911" s="4">
        <v>0</v>
      </c>
      <c r="AP911" s="4">
        <v>5</v>
      </c>
      <c r="AQ911" s="4">
        <v>8</v>
      </c>
      <c r="AR911" s="3" t="s">
        <v>65</v>
      </c>
      <c r="AS911" s="3" t="s">
        <v>65</v>
      </c>
      <c r="AT911" s="3" t="s">
        <v>209</v>
      </c>
      <c r="AU911" s="6" t="str">
        <f>HYPERLINK("http://catalog.hathitrust.org/Record/004462975","HathiTrust Record")</f>
        <v>HathiTrust Record</v>
      </c>
      <c r="AV911" s="6" t="str">
        <f>HYPERLINK("http://mcgill.on.worldcat.org/oclc/11232831","Catalog Record")</f>
        <v>Catalog Record</v>
      </c>
      <c r="AW911" s="6" t="str">
        <f>HYPERLINK("http://www.worldcat.org/oclc/11232831","WorldCat Record")</f>
        <v>WorldCat Record</v>
      </c>
      <c r="AX911" s="3" t="s">
        <v>9051</v>
      </c>
      <c r="AY911" s="3" t="s">
        <v>9052</v>
      </c>
      <c r="AZ911" s="3" t="s">
        <v>9053</v>
      </c>
      <c r="BA911" s="3" t="s">
        <v>9053</v>
      </c>
      <c r="BB911" s="3" t="s">
        <v>9057</v>
      </c>
      <c r="BC911" s="3" t="s">
        <v>77</v>
      </c>
      <c r="BD911" s="3" t="s">
        <v>78</v>
      </c>
      <c r="BE911" s="3" t="s">
        <v>9055</v>
      </c>
      <c r="BF911" s="3" t="s">
        <v>9057</v>
      </c>
      <c r="BG911" s="3" t="s">
        <v>9058</v>
      </c>
    </row>
    <row r="912" spans="1:59" ht="58" x14ac:dyDescent="0.35">
      <c r="A912" s="2" t="s">
        <v>59</v>
      </c>
      <c r="B912" s="2" t="s">
        <v>60</v>
      </c>
      <c r="C912" s="2" t="s">
        <v>9045</v>
      </c>
      <c r="D912" s="2" t="s">
        <v>9046</v>
      </c>
      <c r="E912" s="2" t="s">
        <v>9047</v>
      </c>
      <c r="F912" s="3" t="s">
        <v>9059</v>
      </c>
      <c r="G912" s="3" t="s">
        <v>209</v>
      </c>
      <c r="I912" s="3" t="s">
        <v>65</v>
      </c>
      <c r="J912" s="3" t="s">
        <v>65</v>
      </c>
      <c r="K912" s="3" t="s">
        <v>66</v>
      </c>
      <c r="L912" s="2" t="s">
        <v>904</v>
      </c>
      <c r="M912" s="2" t="s">
        <v>9048</v>
      </c>
      <c r="N912" s="3" t="s">
        <v>955</v>
      </c>
      <c r="P912" s="3" t="s">
        <v>69</v>
      </c>
      <c r="Q912" s="2" t="s">
        <v>9049</v>
      </c>
      <c r="R912" s="3" t="s">
        <v>71</v>
      </c>
      <c r="S912" s="4">
        <v>23</v>
      </c>
      <c r="T912" s="4">
        <v>90</v>
      </c>
      <c r="U912" s="5" t="s">
        <v>3091</v>
      </c>
      <c r="V912" s="5" t="s">
        <v>3091</v>
      </c>
      <c r="W912" s="5" t="s">
        <v>72</v>
      </c>
      <c r="X912" s="5" t="s">
        <v>72</v>
      </c>
      <c r="Y912" s="4">
        <v>71</v>
      </c>
      <c r="Z912" s="4">
        <v>13</v>
      </c>
      <c r="AA912" s="4">
        <v>18</v>
      </c>
      <c r="AB912" s="4">
        <v>1</v>
      </c>
      <c r="AC912" s="4">
        <v>1</v>
      </c>
      <c r="AD912" s="4">
        <v>17</v>
      </c>
      <c r="AE912" s="4">
        <v>26</v>
      </c>
      <c r="AF912" s="4">
        <v>0</v>
      </c>
      <c r="AG912" s="4">
        <v>0</v>
      </c>
      <c r="AH912" s="4">
        <v>15</v>
      </c>
      <c r="AI912" s="4">
        <v>24</v>
      </c>
      <c r="AJ912" s="4">
        <v>4</v>
      </c>
      <c r="AK912" s="4">
        <v>7</v>
      </c>
      <c r="AL912" s="4">
        <v>9</v>
      </c>
      <c r="AM912" s="4">
        <v>13</v>
      </c>
      <c r="AN912" s="4">
        <v>0</v>
      </c>
      <c r="AO912" s="4">
        <v>0</v>
      </c>
      <c r="AP912" s="4">
        <v>5</v>
      </c>
      <c r="AQ912" s="4">
        <v>8</v>
      </c>
      <c r="AR912" s="3" t="s">
        <v>65</v>
      </c>
      <c r="AS912" s="3" t="s">
        <v>65</v>
      </c>
      <c r="AT912" s="3" t="s">
        <v>209</v>
      </c>
      <c r="AU912" s="6" t="str">
        <f>HYPERLINK("http://catalog.hathitrust.org/Record/004462975","HathiTrust Record")</f>
        <v>HathiTrust Record</v>
      </c>
      <c r="AV912" s="6" t="str">
        <f>HYPERLINK("http://mcgill.on.worldcat.org/oclc/11232831","Catalog Record")</f>
        <v>Catalog Record</v>
      </c>
      <c r="AW912" s="6" t="str">
        <f>HYPERLINK("http://www.worldcat.org/oclc/11232831","WorldCat Record")</f>
        <v>WorldCat Record</v>
      </c>
      <c r="AX912" s="3" t="s">
        <v>9051</v>
      </c>
      <c r="AY912" s="3" t="s">
        <v>9052</v>
      </c>
      <c r="AZ912" s="3" t="s">
        <v>9053</v>
      </c>
      <c r="BA912" s="3" t="s">
        <v>9053</v>
      </c>
      <c r="BB912" s="3" t="s">
        <v>9060</v>
      </c>
      <c r="BC912" s="3" t="s">
        <v>77</v>
      </c>
      <c r="BD912" s="3" t="s">
        <v>78</v>
      </c>
      <c r="BE912" s="3" t="s">
        <v>9055</v>
      </c>
      <c r="BF912" s="3" t="s">
        <v>9060</v>
      </c>
      <c r="BG912" s="3" t="s">
        <v>9061</v>
      </c>
    </row>
    <row r="913" spans="1:59" ht="58" x14ac:dyDescent="0.35">
      <c r="A913" s="2" t="s">
        <v>59</v>
      </c>
      <c r="B913" s="2" t="s">
        <v>60</v>
      </c>
      <c r="C913" s="2" t="s">
        <v>9062</v>
      </c>
      <c r="D913" s="2" t="s">
        <v>9063</v>
      </c>
      <c r="E913" s="2" t="s">
        <v>9064</v>
      </c>
      <c r="G913" s="3" t="s">
        <v>65</v>
      </c>
      <c r="I913" s="3" t="s">
        <v>65</v>
      </c>
      <c r="J913" s="3" t="s">
        <v>209</v>
      </c>
      <c r="K913" s="3" t="s">
        <v>9016</v>
      </c>
      <c r="L913" s="2" t="s">
        <v>904</v>
      </c>
      <c r="M913" s="2" t="s">
        <v>9065</v>
      </c>
      <c r="N913" s="3" t="s">
        <v>139</v>
      </c>
      <c r="P913" s="3" t="s">
        <v>69</v>
      </c>
      <c r="R913" s="3" t="s">
        <v>71</v>
      </c>
      <c r="S913" s="4">
        <v>19</v>
      </c>
      <c r="T913" s="4">
        <v>19</v>
      </c>
      <c r="U913" s="5" t="s">
        <v>1369</v>
      </c>
      <c r="V913" s="5" t="s">
        <v>1369</v>
      </c>
      <c r="W913" s="5" t="s">
        <v>72</v>
      </c>
      <c r="X913" s="5" t="s">
        <v>72</v>
      </c>
      <c r="Y913" s="4">
        <v>27</v>
      </c>
      <c r="Z913" s="4">
        <v>2</v>
      </c>
      <c r="AA913" s="4">
        <v>188</v>
      </c>
      <c r="AB913" s="4">
        <v>1</v>
      </c>
      <c r="AC913" s="4">
        <v>24</v>
      </c>
      <c r="AD913" s="4">
        <v>12</v>
      </c>
      <c r="AE913" s="4">
        <v>175</v>
      </c>
      <c r="AF913" s="4">
        <v>0</v>
      </c>
      <c r="AG913" s="4">
        <v>8</v>
      </c>
      <c r="AH913" s="4">
        <v>12</v>
      </c>
      <c r="AI913" s="4">
        <v>118</v>
      </c>
      <c r="AJ913" s="4">
        <v>1</v>
      </c>
      <c r="AK913" s="4">
        <v>30</v>
      </c>
      <c r="AL913" s="4">
        <v>11</v>
      </c>
      <c r="AM913" s="4">
        <v>63</v>
      </c>
      <c r="AN913" s="4">
        <v>0</v>
      </c>
      <c r="AO913" s="4">
        <v>0</v>
      </c>
      <c r="AP913" s="4">
        <v>1</v>
      </c>
      <c r="AQ913" s="4">
        <v>61</v>
      </c>
      <c r="AR913" s="3" t="s">
        <v>65</v>
      </c>
      <c r="AS913" s="3" t="s">
        <v>65</v>
      </c>
      <c r="AT913" s="3" t="s">
        <v>65</v>
      </c>
      <c r="AV913" s="6" t="str">
        <f>HYPERLINK("http://mcgill.on.worldcat.org/oclc/802295291","Catalog Record")</f>
        <v>Catalog Record</v>
      </c>
      <c r="AW913" s="6" t="str">
        <f>HYPERLINK("http://www.worldcat.org/oclc/802295291","WorldCat Record")</f>
        <v>WorldCat Record</v>
      </c>
      <c r="AX913" s="3" t="s">
        <v>9020</v>
      </c>
      <c r="AY913" s="3" t="s">
        <v>9066</v>
      </c>
      <c r="AZ913" s="3" t="s">
        <v>9067</v>
      </c>
      <c r="BA913" s="3" t="s">
        <v>9067</v>
      </c>
      <c r="BB913" s="3" t="s">
        <v>9068</v>
      </c>
      <c r="BC913" s="3" t="s">
        <v>77</v>
      </c>
      <c r="BD913" s="3" t="s">
        <v>78</v>
      </c>
      <c r="BE913" s="3" t="s">
        <v>9069</v>
      </c>
      <c r="BF913" s="3" t="s">
        <v>9068</v>
      </c>
      <c r="BG913" s="3" t="s">
        <v>9070</v>
      </c>
    </row>
    <row r="914" spans="1:59" ht="58" x14ac:dyDescent="0.35">
      <c r="A914" s="2" t="s">
        <v>59</v>
      </c>
      <c r="B914" s="2" t="s">
        <v>9071</v>
      </c>
      <c r="C914" s="2" t="s">
        <v>9072</v>
      </c>
      <c r="D914" s="2" t="s">
        <v>9073</v>
      </c>
      <c r="E914" s="2" t="s">
        <v>9074</v>
      </c>
      <c r="F914" s="3" t="s">
        <v>3103</v>
      </c>
      <c r="G914" s="3" t="s">
        <v>209</v>
      </c>
      <c r="I914" s="3" t="s">
        <v>65</v>
      </c>
      <c r="J914" s="3" t="s">
        <v>209</v>
      </c>
      <c r="K914" s="3" t="s">
        <v>9016</v>
      </c>
      <c r="L914" s="2" t="s">
        <v>904</v>
      </c>
      <c r="M914" s="2" t="s">
        <v>9075</v>
      </c>
      <c r="N914" s="3" t="s">
        <v>210</v>
      </c>
      <c r="P914" s="3" t="s">
        <v>69</v>
      </c>
      <c r="R914" s="3" t="s">
        <v>71</v>
      </c>
      <c r="S914" s="4">
        <v>0</v>
      </c>
      <c r="T914" s="4">
        <v>6</v>
      </c>
      <c r="V914" s="5" t="s">
        <v>9076</v>
      </c>
      <c r="W914" s="5" t="s">
        <v>72</v>
      </c>
      <c r="X914" s="5" t="s">
        <v>72</v>
      </c>
      <c r="Y914" s="4">
        <v>24</v>
      </c>
      <c r="Z914" s="4">
        <v>4</v>
      </c>
      <c r="AA914" s="4">
        <v>188</v>
      </c>
      <c r="AB914" s="4">
        <v>1</v>
      </c>
      <c r="AC914" s="4">
        <v>24</v>
      </c>
      <c r="AD914" s="4">
        <v>2</v>
      </c>
      <c r="AE914" s="4">
        <v>175</v>
      </c>
      <c r="AF914" s="4">
        <v>0</v>
      </c>
      <c r="AG914" s="4">
        <v>8</v>
      </c>
      <c r="AH914" s="4">
        <v>1</v>
      </c>
      <c r="AI914" s="4">
        <v>118</v>
      </c>
      <c r="AJ914" s="4">
        <v>0</v>
      </c>
      <c r="AK914" s="4">
        <v>30</v>
      </c>
      <c r="AL914" s="4">
        <v>1</v>
      </c>
      <c r="AM914" s="4">
        <v>63</v>
      </c>
      <c r="AN914" s="4">
        <v>0</v>
      </c>
      <c r="AO914" s="4">
        <v>22</v>
      </c>
      <c r="AP914" s="4">
        <v>1</v>
      </c>
      <c r="AQ914" s="4">
        <v>61</v>
      </c>
      <c r="AR914" s="3" t="s">
        <v>65</v>
      </c>
      <c r="AS914" s="3" t="s">
        <v>65</v>
      </c>
      <c r="AT914" s="3" t="s">
        <v>65</v>
      </c>
      <c r="AV914" s="6" t="str">
        <f>HYPERLINK("http://mcgill.on.worldcat.org/oclc/1485153","Catalog Record")</f>
        <v>Catalog Record</v>
      </c>
      <c r="AW914" s="6" t="str">
        <f>HYPERLINK("http://www.worldcat.org/oclc/1485153","WorldCat Record")</f>
        <v>WorldCat Record</v>
      </c>
      <c r="AX914" s="3" t="s">
        <v>9020</v>
      </c>
      <c r="AY914" s="3" t="s">
        <v>9077</v>
      </c>
      <c r="AZ914" s="3" t="s">
        <v>9078</v>
      </c>
      <c r="BA914" s="3" t="s">
        <v>9078</v>
      </c>
      <c r="BB914" s="3" t="s">
        <v>9079</v>
      </c>
      <c r="BC914" s="3" t="s">
        <v>77</v>
      </c>
      <c r="BD914" s="3" t="s">
        <v>78</v>
      </c>
      <c r="BF914" s="3" t="s">
        <v>9079</v>
      </c>
      <c r="BG914" s="3" t="s">
        <v>9080</v>
      </c>
    </row>
    <row r="915" spans="1:59" ht="58" x14ac:dyDescent="0.35">
      <c r="A915" s="2" t="s">
        <v>59</v>
      </c>
      <c r="B915" s="2" t="s">
        <v>9071</v>
      </c>
      <c r="C915" s="2" t="s">
        <v>9072</v>
      </c>
      <c r="D915" s="2" t="s">
        <v>9073</v>
      </c>
      <c r="E915" s="2" t="s">
        <v>9074</v>
      </c>
      <c r="F915" s="3" t="s">
        <v>490</v>
      </c>
      <c r="G915" s="3" t="s">
        <v>209</v>
      </c>
      <c r="I915" s="3" t="s">
        <v>65</v>
      </c>
      <c r="J915" s="3" t="s">
        <v>209</v>
      </c>
      <c r="K915" s="3" t="s">
        <v>9016</v>
      </c>
      <c r="L915" s="2" t="s">
        <v>904</v>
      </c>
      <c r="M915" s="2" t="s">
        <v>9075</v>
      </c>
      <c r="N915" s="3" t="s">
        <v>210</v>
      </c>
      <c r="P915" s="3" t="s">
        <v>69</v>
      </c>
      <c r="R915" s="3" t="s">
        <v>71</v>
      </c>
      <c r="S915" s="4">
        <v>6</v>
      </c>
      <c r="T915" s="4">
        <v>6</v>
      </c>
      <c r="U915" s="5" t="s">
        <v>9076</v>
      </c>
      <c r="V915" s="5" t="s">
        <v>9076</v>
      </c>
      <c r="W915" s="5" t="s">
        <v>72</v>
      </c>
      <c r="X915" s="5" t="s">
        <v>72</v>
      </c>
      <c r="Y915" s="4">
        <v>24</v>
      </c>
      <c r="Z915" s="4">
        <v>4</v>
      </c>
      <c r="AA915" s="4">
        <v>188</v>
      </c>
      <c r="AB915" s="4">
        <v>1</v>
      </c>
      <c r="AC915" s="4">
        <v>24</v>
      </c>
      <c r="AD915" s="4">
        <v>2</v>
      </c>
      <c r="AE915" s="4">
        <v>175</v>
      </c>
      <c r="AF915" s="4">
        <v>0</v>
      </c>
      <c r="AG915" s="4">
        <v>8</v>
      </c>
      <c r="AH915" s="4">
        <v>1</v>
      </c>
      <c r="AI915" s="4">
        <v>118</v>
      </c>
      <c r="AJ915" s="4">
        <v>0</v>
      </c>
      <c r="AK915" s="4">
        <v>30</v>
      </c>
      <c r="AL915" s="4">
        <v>1</v>
      </c>
      <c r="AM915" s="4">
        <v>63</v>
      </c>
      <c r="AN915" s="4">
        <v>0</v>
      </c>
      <c r="AO915" s="4">
        <v>22</v>
      </c>
      <c r="AP915" s="4">
        <v>1</v>
      </c>
      <c r="AQ915" s="4">
        <v>61</v>
      </c>
      <c r="AR915" s="3" t="s">
        <v>65</v>
      </c>
      <c r="AS915" s="3" t="s">
        <v>65</v>
      </c>
      <c r="AT915" s="3" t="s">
        <v>65</v>
      </c>
      <c r="AV915" s="6" t="str">
        <f>HYPERLINK("http://mcgill.on.worldcat.org/oclc/1485153","Catalog Record")</f>
        <v>Catalog Record</v>
      </c>
      <c r="AW915" s="6" t="str">
        <f>HYPERLINK("http://www.worldcat.org/oclc/1485153","WorldCat Record")</f>
        <v>WorldCat Record</v>
      </c>
      <c r="AX915" s="3" t="s">
        <v>9020</v>
      </c>
      <c r="AY915" s="3" t="s">
        <v>9077</v>
      </c>
      <c r="AZ915" s="3" t="s">
        <v>9078</v>
      </c>
      <c r="BA915" s="3" t="s">
        <v>9078</v>
      </c>
      <c r="BB915" s="3" t="s">
        <v>9081</v>
      </c>
      <c r="BC915" s="3" t="s">
        <v>77</v>
      </c>
      <c r="BD915" s="3" t="s">
        <v>78</v>
      </c>
      <c r="BF915" s="3" t="s">
        <v>9081</v>
      </c>
      <c r="BG915" s="3" t="s">
        <v>9082</v>
      </c>
    </row>
    <row r="916" spans="1:59" ht="58" x14ac:dyDescent="0.35">
      <c r="A916" s="2" t="s">
        <v>59</v>
      </c>
      <c r="B916" s="2" t="s">
        <v>9071</v>
      </c>
      <c r="C916" s="2" t="s">
        <v>9072</v>
      </c>
      <c r="D916" s="2" t="s">
        <v>9073</v>
      </c>
      <c r="E916" s="2" t="s">
        <v>9074</v>
      </c>
      <c r="F916" s="3" t="s">
        <v>503</v>
      </c>
      <c r="G916" s="3" t="s">
        <v>209</v>
      </c>
      <c r="I916" s="3" t="s">
        <v>65</v>
      </c>
      <c r="J916" s="3" t="s">
        <v>209</v>
      </c>
      <c r="K916" s="3" t="s">
        <v>9016</v>
      </c>
      <c r="L916" s="2" t="s">
        <v>904</v>
      </c>
      <c r="M916" s="2" t="s">
        <v>9075</v>
      </c>
      <c r="N916" s="3" t="s">
        <v>210</v>
      </c>
      <c r="P916" s="3" t="s">
        <v>69</v>
      </c>
      <c r="R916" s="3" t="s">
        <v>71</v>
      </c>
      <c r="S916" s="4">
        <v>0</v>
      </c>
      <c r="T916" s="4">
        <v>6</v>
      </c>
      <c r="V916" s="5" t="s">
        <v>9076</v>
      </c>
      <c r="W916" s="5" t="s">
        <v>72</v>
      </c>
      <c r="X916" s="5" t="s">
        <v>72</v>
      </c>
      <c r="Y916" s="4">
        <v>24</v>
      </c>
      <c r="Z916" s="4">
        <v>4</v>
      </c>
      <c r="AA916" s="4">
        <v>188</v>
      </c>
      <c r="AB916" s="4">
        <v>1</v>
      </c>
      <c r="AC916" s="4">
        <v>24</v>
      </c>
      <c r="AD916" s="4">
        <v>2</v>
      </c>
      <c r="AE916" s="4">
        <v>175</v>
      </c>
      <c r="AF916" s="4">
        <v>0</v>
      </c>
      <c r="AG916" s="4">
        <v>8</v>
      </c>
      <c r="AH916" s="4">
        <v>1</v>
      </c>
      <c r="AI916" s="4">
        <v>118</v>
      </c>
      <c r="AJ916" s="4">
        <v>0</v>
      </c>
      <c r="AK916" s="4">
        <v>30</v>
      </c>
      <c r="AL916" s="4">
        <v>1</v>
      </c>
      <c r="AM916" s="4">
        <v>63</v>
      </c>
      <c r="AN916" s="4">
        <v>0</v>
      </c>
      <c r="AO916" s="4">
        <v>22</v>
      </c>
      <c r="AP916" s="4">
        <v>1</v>
      </c>
      <c r="AQ916" s="4">
        <v>61</v>
      </c>
      <c r="AR916" s="3" t="s">
        <v>65</v>
      </c>
      <c r="AS916" s="3" t="s">
        <v>65</v>
      </c>
      <c r="AT916" s="3" t="s">
        <v>65</v>
      </c>
      <c r="AV916" s="6" t="str">
        <f>HYPERLINK("http://mcgill.on.worldcat.org/oclc/1485153","Catalog Record")</f>
        <v>Catalog Record</v>
      </c>
      <c r="AW916" s="6" t="str">
        <f>HYPERLINK("http://www.worldcat.org/oclc/1485153","WorldCat Record")</f>
        <v>WorldCat Record</v>
      </c>
      <c r="AX916" s="3" t="s">
        <v>9020</v>
      </c>
      <c r="AY916" s="3" t="s">
        <v>9077</v>
      </c>
      <c r="AZ916" s="3" t="s">
        <v>9078</v>
      </c>
      <c r="BA916" s="3" t="s">
        <v>9078</v>
      </c>
      <c r="BB916" s="3" t="s">
        <v>9083</v>
      </c>
      <c r="BC916" s="3" t="s">
        <v>77</v>
      </c>
      <c r="BD916" s="3" t="s">
        <v>78</v>
      </c>
      <c r="BF916" s="3" t="s">
        <v>9083</v>
      </c>
      <c r="BG916" s="3" t="s">
        <v>9084</v>
      </c>
    </row>
    <row r="917" spans="1:59" ht="58" x14ac:dyDescent="0.35">
      <c r="A917" s="2" t="s">
        <v>59</v>
      </c>
      <c r="B917" s="2" t="s">
        <v>60</v>
      </c>
      <c r="C917" s="2" t="s">
        <v>9085</v>
      </c>
      <c r="D917" s="2" t="s">
        <v>9086</v>
      </c>
      <c r="E917" s="2" t="s">
        <v>9087</v>
      </c>
      <c r="F917" s="3" t="s">
        <v>490</v>
      </c>
      <c r="G917" s="3" t="s">
        <v>209</v>
      </c>
      <c r="I917" s="3" t="s">
        <v>65</v>
      </c>
      <c r="J917" s="3" t="s">
        <v>65</v>
      </c>
      <c r="K917" s="3" t="s">
        <v>66</v>
      </c>
      <c r="L917" s="2" t="s">
        <v>904</v>
      </c>
      <c r="M917" s="2" t="s">
        <v>9088</v>
      </c>
      <c r="N917" s="3" t="s">
        <v>9089</v>
      </c>
      <c r="O917" s="2" t="s">
        <v>7328</v>
      </c>
      <c r="P917" s="3" t="s">
        <v>69</v>
      </c>
      <c r="R917" s="3" t="s">
        <v>71</v>
      </c>
      <c r="S917" s="4">
        <v>7</v>
      </c>
      <c r="T917" s="4">
        <v>19</v>
      </c>
      <c r="U917" s="5" t="s">
        <v>9090</v>
      </c>
      <c r="V917" s="5" t="s">
        <v>8431</v>
      </c>
      <c r="W917" s="5" t="s">
        <v>72</v>
      </c>
      <c r="X917" s="5" t="s">
        <v>72</v>
      </c>
      <c r="Y917" s="4">
        <v>1</v>
      </c>
      <c r="Z917" s="4">
        <v>1</v>
      </c>
      <c r="AA917" s="4">
        <v>2</v>
      </c>
      <c r="AB917" s="4">
        <v>1</v>
      </c>
      <c r="AC917" s="4">
        <v>1</v>
      </c>
      <c r="AD917" s="4">
        <v>0</v>
      </c>
      <c r="AE917" s="4">
        <v>29</v>
      </c>
      <c r="AF917" s="4">
        <v>0</v>
      </c>
      <c r="AG917" s="4">
        <v>0</v>
      </c>
      <c r="AH917" s="4">
        <v>0</v>
      </c>
      <c r="AI917" s="4">
        <v>27</v>
      </c>
      <c r="AJ917" s="4">
        <v>0</v>
      </c>
      <c r="AK917" s="4">
        <v>1</v>
      </c>
      <c r="AL917" s="4">
        <v>0</v>
      </c>
      <c r="AM917" s="4">
        <v>20</v>
      </c>
      <c r="AN917" s="4">
        <v>0</v>
      </c>
      <c r="AO917" s="4">
        <v>5</v>
      </c>
      <c r="AP917" s="4">
        <v>0</v>
      </c>
      <c r="AQ917" s="4">
        <v>1</v>
      </c>
      <c r="AR917" s="3" t="s">
        <v>65</v>
      </c>
      <c r="AS917" s="3" t="s">
        <v>65</v>
      </c>
      <c r="AT917" s="3" t="s">
        <v>65</v>
      </c>
      <c r="AV917" s="6" t="str">
        <f>HYPERLINK("http://mcgill.on.worldcat.org/oclc/427568995","Catalog Record")</f>
        <v>Catalog Record</v>
      </c>
      <c r="AW917" s="6" t="str">
        <f>HYPERLINK("http://www.worldcat.org/oclc/427568995","WorldCat Record")</f>
        <v>WorldCat Record</v>
      </c>
      <c r="AX917" s="3" t="s">
        <v>9091</v>
      </c>
      <c r="AY917" s="3" t="s">
        <v>9092</v>
      </c>
      <c r="AZ917" s="3" t="s">
        <v>9093</v>
      </c>
      <c r="BA917" s="3" t="s">
        <v>9093</v>
      </c>
      <c r="BB917" s="3" t="s">
        <v>9094</v>
      </c>
      <c r="BC917" s="3" t="s">
        <v>77</v>
      </c>
      <c r="BD917" s="3" t="s">
        <v>78</v>
      </c>
      <c r="BF917" s="3" t="s">
        <v>9094</v>
      </c>
      <c r="BG917" s="3" t="s">
        <v>9095</v>
      </c>
    </row>
    <row r="918" spans="1:59" ht="58" x14ac:dyDescent="0.35">
      <c r="A918" s="2" t="s">
        <v>59</v>
      </c>
      <c r="B918" s="2" t="s">
        <v>60</v>
      </c>
      <c r="C918" s="2" t="s">
        <v>9085</v>
      </c>
      <c r="D918" s="2" t="s">
        <v>9086</v>
      </c>
      <c r="E918" s="2" t="s">
        <v>9087</v>
      </c>
      <c r="F918" s="3" t="s">
        <v>503</v>
      </c>
      <c r="G918" s="3" t="s">
        <v>209</v>
      </c>
      <c r="I918" s="3" t="s">
        <v>65</v>
      </c>
      <c r="J918" s="3" t="s">
        <v>65</v>
      </c>
      <c r="K918" s="3" t="s">
        <v>66</v>
      </c>
      <c r="L918" s="2" t="s">
        <v>904</v>
      </c>
      <c r="M918" s="2" t="s">
        <v>9088</v>
      </c>
      <c r="N918" s="3" t="s">
        <v>9089</v>
      </c>
      <c r="O918" s="2" t="s">
        <v>7328</v>
      </c>
      <c r="P918" s="3" t="s">
        <v>69</v>
      </c>
      <c r="R918" s="3" t="s">
        <v>71</v>
      </c>
      <c r="S918" s="4">
        <v>5</v>
      </c>
      <c r="T918" s="4">
        <v>19</v>
      </c>
      <c r="U918" s="5" t="s">
        <v>9096</v>
      </c>
      <c r="V918" s="5" t="s">
        <v>8431</v>
      </c>
      <c r="W918" s="5" t="s">
        <v>72</v>
      </c>
      <c r="X918" s="5" t="s">
        <v>72</v>
      </c>
      <c r="Y918" s="4">
        <v>1</v>
      </c>
      <c r="Z918" s="4">
        <v>1</v>
      </c>
      <c r="AA918" s="4">
        <v>2</v>
      </c>
      <c r="AB918" s="4">
        <v>1</v>
      </c>
      <c r="AC918" s="4">
        <v>1</v>
      </c>
      <c r="AD918" s="4">
        <v>0</v>
      </c>
      <c r="AE918" s="4">
        <v>29</v>
      </c>
      <c r="AF918" s="4">
        <v>0</v>
      </c>
      <c r="AG918" s="4">
        <v>0</v>
      </c>
      <c r="AH918" s="4">
        <v>0</v>
      </c>
      <c r="AI918" s="4">
        <v>27</v>
      </c>
      <c r="AJ918" s="4">
        <v>0</v>
      </c>
      <c r="AK918" s="4">
        <v>1</v>
      </c>
      <c r="AL918" s="4">
        <v>0</v>
      </c>
      <c r="AM918" s="4">
        <v>20</v>
      </c>
      <c r="AN918" s="4">
        <v>0</v>
      </c>
      <c r="AO918" s="4">
        <v>5</v>
      </c>
      <c r="AP918" s="4">
        <v>0</v>
      </c>
      <c r="AQ918" s="4">
        <v>1</v>
      </c>
      <c r="AR918" s="3" t="s">
        <v>65</v>
      </c>
      <c r="AS918" s="3" t="s">
        <v>65</v>
      </c>
      <c r="AT918" s="3" t="s">
        <v>65</v>
      </c>
      <c r="AV918" s="6" t="str">
        <f>HYPERLINK("http://mcgill.on.worldcat.org/oclc/427568995","Catalog Record")</f>
        <v>Catalog Record</v>
      </c>
      <c r="AW918" s="6" t="str">
        <f>HYPERLINK("http://www.worldcat.org/oclc/427568995","WorldCat Record")</f>
        <v>WorldCat Record</v>
      </c>
      <c r="AX918" s="3" t="s">
        <v>9091</v>
      </c>
      <c r="AY918" s="3" t="s">
        <v>9092</v>
      </c>
      <c r="AZ918" s="3" t="s">
        <v>9093</v>
      </c>
      <c r="BA918" s="3" t="s">
        <v>9093</v>
      </c>
      <c r="BB918" s="3" t="s">
        <v>9097</v>
      </c>
      <c r="BC918" s="3" t="s">
        <v>77</v>
      </c>
      <c r="BD918" s="3" t="s">
        <v>78</v>
      </c>
      <c r="BF918" s="3" t="s">
        <v>9097</v>
      </c>
      <c r="BG918" s="3" t="s">
        <v>9098</v>
      </c>
    </row>
    <row r="919" spans="1:59" ht="58" x14ac:dyDescent="0.35">
      <c r="A919" s="2" t="s">
        <v>59</v>
      </c>
      <c r="B919" s="2" t="s">
        <v>60</v>
      </c>
      <c r="C919" s="2" t="s">
        <v>9085</v>
      </c>
      <c r="D919" s="2" t="s">
        <v>9086</v>
      </c>
      <c r="E919" s="2" t="s">
        <v>9087</v>
      </c>
      <c r="F919" s="3" t="s">
        <v>3103</v>
      </c>
      <c r="G919" s="3" t="s">
        <v>209</v>
      </c>
      <c r="I919" s="3" t="s">
        <v>65</v>
      </c>
      <c r="J919" s="3" t="s">
        <v>65</v>
      </c>
      <c r="K919" s="3" t="s">
        <v>66</v>
      </c>
      <c r="L919" s="2" t="s">
        <v>904</v>
      </c>
      <c r="M919" s="2" t="s">
        <v>9088</v>
      </c>
      <c r="N919" s="3" t="s">
        <v>9089</v>
      </c>
      <c r="O919" s="2" t="s">
        <v>7328</v>
      </c>
      <c r="P919" s="3" t="s">
        <v>69</v>
      </c>
      <c r="R919" s="3" t="s">
        <v>71</v>
      </c>
      <c r="S919" s="4">
        <v>7</v>
      </c>
      <c r="T919" s="4">
        <v>19</v>
      </c>
      <c r="U919" s="5" t="s">
        <v>8431</v>
      </c>
      <c r="V919" s="5" t="s">
        <v>8431</v>
      </c>
      <c r="W919" s="5" t="s">
        <v>72</v>
      </c>
      <c r="X919" s="5" t="s">
        <v>72</v>
      </c>
      <c r="Y919" s="4">
        <v>1</v>
      </c>
      <c r="Z919" s="4">
        <v>1</v>
      </c>
      <c r="AA919" s="4">
        <v>2</v>
      </c>
      <c r="AB919" s="4">
        <v>1</v>
      </c>
      <c r="AC919" s="4">
        <v>1</v>
      </c>
      <c r="AD919" s="4">
        <v>0</v>
      </c>
      <c r="AE919" s="4">
        <v>29</v>
      </c>
      <c r="AF919" s="4">
        <v>0</v>
      </c>
      <c r="AG919" s="4">
        <v>0</v>
      </c>
      <c r="AH919" s="4">
        <v>0</v>
      </c>
      <c r="AI919" s="4">
        <v>27</v>
      </c>
      <c r="AJ919" s="4">
        <v>0</v>
      </c>
      <c r="AK919" s="4">
        <v>1</v>
      </c>
      <c r="AL919" s="4">
        <v>0</v>
      </c>
      <c r="AM919" s="4">
        <v>20</v>
      </c>
      <c r="AN919" s="4">
        <v>0</v>
      </c>
      <c r="AO919" s="4">
        <v>5</v>
      </c>
      <c r="AP919" s="4">
        <v>0</v>
      </c>
      <c r="AQ919" s="4">
        <v>1</v>
      </c>
      <c r="AR919" s="3" t="s">
        <v>65</v>
      </c>
      <c r="AS919" s="3" t="s">
        <v>65</v>
      </c>
      <c r="AT919" s="3" t="s">
        <v>65</v>
      </c>
      <c r="AV919" s="6" t="str">
        <f>HYPERLINK("http://mcgill.on.worldcat.org/oclc/427568995","Catalog Record")</f>
        <v>Catalog Record</v>
      </c>
      <c r="AW919" s="6" t="str">
        <f>HYPERLINK("http://www.worldcat.org/oclc/427568995","WorldCat Record")</f>
        <v>WorldCat Record</v>
      </c>
      <c r="AX919" s="3" t="s">
        <v>9091</v>
      </c>
      <c r="AY919" s="3" t="s">
        <v>9092</v>
      </c>
      <c r="AZ919" s="3" t="s">
        <v>9093</v>
      </c>
      <c r="BA919" s="3" t="s">
        <v>9093</v>
      </c>
      <c r="BB919" s="3" t="s">
        <v>9099</v>
      </c>
      <c r="BC919" s="3" t="s">
        <v>77</v>
      </c>
      <c r="BD919" s="3" t="s">
        <v>78</v>
      </c>
      <c r="BF919" s="3" t="s">
        <v>9099</v>
      </c>
      <c r="BG919" s="3" t="s">
        <v>9100</v>
      </c>
    </row>
    <row r="920" spans="1:59" ht="58" x14ac:dyDescent="0.35">
      <c r="A920" s="2" t="s">
        <v>59</v>
      </c>
      <c r="B920" s="2" t="s">
        <v>60</v>
      </c>
      <c r="C920" s="2" t="s">
        <v>9101</v>
      </c>
      <c r="D920" s="2" t="s">
        <v>9102</v>
      </c>
      <c r="E920" s="2" t="s">
        <v>9103</v>
      </c>
      <c r="G920" s="3" t="s">
        <v>65</v>
      </c>
      <c r="I920" s="3" t="s">
        <v>65</v>
      </c>
      <c r="J920" s="3" t="s">
        <v>209</v>
      </c>
      <c r="K920" s="3" t="s">
        <v>213</v>
      </c>
      <c r="L920" s="2" t="s">
        <v>904</v>
      </c>
      <c r="M920" s="2" t="s">
        <v>9104</v>
      </c>
      <c r="N920" s="3" t="s">
        <v>113</v>
      </c>
      <c r="P920" s="3" t="s">
        <v>69</v>
      </c>
      <c r="Q920" s="2" t="s">
        <v>9105</v>
      </c>
      <c r="R920" s="3" t="s">
        <v>71</v>
      </c>
      <c r="S920" s="4">
        <v>7</v>
      </c>
      <c r="T920" s="4">
        <v>7</v>
      </c>
      <c r="U920" s="5" t="s">
        <v>743</v>
      </c>
      <c r="V920" s="5" t="s">
        <v>743</v>
      </c>
      <c r="W920" s="5" t="s">
        <v>72</v>
      </c>
      <c r="X920" s="5" t="s">
        <v>72</v>
      </c>
      <c r="Y920" s="4">
        <v>342</v>
      </c>
      <c r="Z920" s="4">
        <v>19</v>
      </c>
      <c r="AA920" s="4">
        <v>78</v>
      </c>
      <c r="AB920" s="4">
        <v>1</v>
      </c>
      <c r="AC920" s="4">
        <v>3</v>
      </c>
      <c r="AD920" s="4">
        <v>79</v>
      </c>
      <c r="AE920" s="4">
        <v>143</v>
      </c>
      <c r="AF920" s="4">
        <v>0</v>
      </c>
      <c r="AG920" s="4">
        <v>1</v>
      </c>
      <c r="AH920" s="4">
        <v>72</v>
      </c>
      <c r="AI920" s="4">
        <v>110</v>
      </c>
      <c r="AJ920" s="4">
        <v>11</v>
      </c>
      <c r="AK920" s="4">
        <v>21</v>
      </c>
      <c r="AL920" s="4">
        <v>44</v>
      </c>
      <c r="AM920" s="4">
        <v>61</v>
      </c>
      <c r="AN920" s="4">
        <v>5</v>
      </c>
      <c r="AO920" s="4">
        <v>5</v>
      </c>
      <c r="AP920" s="4">
        <v>12</v>
      </c>
      <c r="AQ920" s="4">
        <v>38</v>
      </c>
      <c r="AR920" s="3" t="s">
        <v>65</v>
      </c>
      <c r="AS920" s="3" t="s">
        <v>65</v>
      </c>
      <c r="AT920" s="3" t="s">
        <v>209</v>
      </c>
      <c r="AU920" s="6" t="str">
        <f>HYPERLINK("http://catalog.hathitrust.org/Record/008984183","HathiTrust Record")</f>
        <v>HathiTrust Record</v>
      </c>
      <c r="AV920" s="6" t="str">
        <f>HYPERLINK("http://mcgill.on.worldcat.org/oclc/319495606","Catalog Record")</f>
        <v>Catalog Record</v>
      </c>
      <c r="AW920" s="6" t="str">
        <f>HYPERLINK("http://www.worldcat.org/oclc/319495606","WorldCat Record")</f>
        <v>WorldCat Record</v>
      </c>
      <c r="AX920" s="3" t="s">
        <v>8123</v>
      </c>
      <c r="AY920" s="3" t="s">
        <v>9106</v>
      </c>
      <c r="AZ920" s="3" t="s">
        <v>9107</v>
      </c>
      <c r="BA920" s="3" t="s">
        <v>9107</v>
      </c>
      <c r="BB920" s="3" t="s">
        <v>9108</v>
      </c>
      <c r="BC920" s="3" t="s">
        <v>77</v>
      </c>
      <c r="BD920" s="3" t="s">
        <v>78</v>
      </c>
      <c r="BE920" s="3" t="s">
        <v>9109</v>
      </c>
      <c r="BF920" s="3" t="s">
        <v>9108</v>
      </c>
      <c r="BG920" s="3" t="s">
        <v>9110</v>
      </c>
    </row>
    <row r="921" spans="1:59" ht="58" x14ac:dyDescent="0.35">
      <c r="A921" s="2" t="s">
        <v>59</v>
      </c>
      <c r="B921" s="2" t="s">
        <v>60</v>
      </c>
      <c r="C921" s="2" t="s">
        <v>9111</v>
      </c>
      <c r="D921" s="2" t="s">
        <v>9112</v>
      </c>
      <c r="E921" s="2" t="s">
        <v>9113</v>
      </c>
      <c r="F921" s="3" t="s">
        <v>503</v>
      </c>
      <c r="G921" s="3" t="s">
        <v>209</v>
      </c>
      <c r="I921" s="3" t="s">
        <v>65</v>
      </c>
      <c r="J921" s="3" t="s">
        <v>209</v>
      </c>
      <c r="K921" s="3" t="s">
        <v>66</v>
      </c>
      <c r="L921" s="2" t="s">
        <v>904</v>
      </c>
      <c r="M921" s="2" t="s">
        <v>9114</v>
      </c>
      <c r="N921" s="3" t="s">
        <v>9115</v>
      </c>
      <c r="P921" s="3" t="s">
        <v>69</v>
      </c>
      <c r="Q921" s="2" t="s">
        <v>9116</v>
      </c>
      <c r="R921" s="3" t="s">
        <v>71</v>
      </c>
      <c r="S921" s="4">
        <v>17</v>
      </c>
      <c r="T921" s="4">
        <v>53</v>
      </c>
      <c r="U921" s="5" t="s">
        <v>9117</v>
      </c>
      <c r="V921" s="5" t="s">
        <v>6480</v>
      </c>
      <c r="W921" s="5" t="s">
        <v>72</v>
      </c>
      <c r="X921" s="5" t="s">
        <v>72</v>
      </c>
      <c r="Y921" s="4">
        <v>501</v>
      </c>
      <c r="Z921" s="4">
        <v>20</v>
      </c>
      <c r="AA921" s="4">
        <v>52</v>
      </c>
      <c r="AB921" s="4">
        <v>2</v>
      </c>
      <c r="AC921" s="4">
        <v>4</v>
      </c>
      <c r="AD921" s="4">
        <v>65</v>
      </c>
      <c r="AE921" s="4">
        <v>118</v>
      </c>
      <c r="AF921" s="4">
        <v>1</v>
      </c>
      <c r="AG921" s="4">
        <v>3</v>
      </c>
      <c r="AH921" s="4">
        <v>55</v>
      </c>
      <c r="AI921" s="4">
        <v>93</v>
      </c>
      <c r="AJ921" s="4">
        <v>10</v>
      </c>
      <c r="AK921" s="4">
        <v>19</v>
      </c>
      <c r="AL921" s="4">
        <v>30</v>
      </c>
      <c r="AM921" s="4">
        <v>51</v>
      </c>
      <c r="AN921" s="4">
        <v>0</v>
      </c>
      <c r="AO921" s="4">
        <v>0</v>
      </c>
      <c r="AP921" s="4">
        <v>14</v>
      </c>
      <c r="AQ921" s="4">
        <v>31</v>
      </c>
      <c r="AR921" s="3" t="s">
        <v>65</v>
      </c>
      <c r="AS921" s="3" t="s">
        <v>65</v>
      </c>
      <c r="AT921" s="3" t="s">
        <v>209</v>
      </c>
      <c r="AU921" s="6" t="str">
        <f>HYPERLINK("http://catalog.hathitrust.org/Record/012280189","HathiTrust Record")</f>
        <v>HathiTrust Record</v>
      </c>
      <c r="AV921" s="6" t="str">
        <f>HYPERLINK("http://mcgill.on.worldcat.org/oclc/1551766","Catalog Record")</f>
        <v>Catalog Record</v>
      </c>
      <c r="AW921" s="6" t="str">
        <f>HYPERLINK("http://www.worldcat.org/oclc/1551766","WorldCat Record")</f>
        <v>WorldCat Record</v>
      </c>
      <c r="AX921" s="3" t="s">
        <v>9118</v>
      </c>
      <c r="AY921" s="3" t="s">
        <v>9119</v>
      </c>
      <c r="AZ921" s="3" t="s">
        <v>9120</v>
      </c>
      <c r="BA921" s="3" t="s">
        <v>9120</v>
      </c>
      <c r="BB921" s="3" t="s">
        <v>9121</v>
      </c>
      <c r="BC921" s="3" t="s">
        <v>77</v>
      </c>
      <c r="BD921" s="3" t="s">
        <v>78</v>
      </c>
      <c r="BE921" s="3" t="s">
        <v>9122</v>
      </c>
      <c r="BF921" s="3" t="s">
        <v>9121</v>
      </c>
      <c r="BG921" s="3" t="s">
        <v>9123</v>
      </c>
    </row>
    <row r="922" spans="1:59" ht="58" x14ac:dyDescent="0.35">
      <c r="A922" s="2" t="s">
        <v>59</v>
      </c>
      <c r="B922" s="2" t="s">
        <v>60</v>
      </c>
      <c r="C922" s="2" t="s">
        <v>9111</v>
      </c>
      <c r="D922" s="2" t="s">
        <v>9112</v>
      </c>
      <c r="E922" s="2" t="s">
        <v>9113</v>
      </c>
      <c r="F922" s="3" t="s">
        <v>3103</v>
      </c>
      <c r="G922" s="3" t="s">
        <v>209</v>
      </c>
      <c r="I922" s="3" t="s">
        <v>65</v>
      </c>
      <c r="J922" s="3" t="s">
        <v>209</v>
      </c>
      <c r="K922" s="3" t="s">
        <v>66</v>
      </c>
      <c r="L922" s="2" t="s">
        <v>904</v>
      </c>
      <c r="M922" s="2" t="s">
        <v>9114</v>
      </c>
      <c r="N922" s="3" t="s">
        <v>9115</v>
      </c>
      <c r="P922" s="3" t="s">
        <v>69</v>
      </c>
      <c r="Q922" s="2" t="s">
        <v>9116</v>
      </c>
      <c r="R922" s="3" t="s">
        <v>71</v>
      </c>
      <c r="S922" s="4">
        <v>16</v>
      </c>
      <c r="T922" s="4">
        <v>53</v>
      </c>
      <c r="U922" s="5" t="s">
        <v>6480</v>
      </c>
      <c r="V922" s="5" t="s">
        <v>6480</v>
      </c>
      <c r="W922" s="5" t="s">
        <v>72</v>
      </c>
      <c r="X922" s="5" t="s">
        <v>72</v>
      </c>
      <c r="Y922" s="4">
        <v>501</v>
      </c>
      <c r="Z922" s="4">
        <v>20</v>
      </c>
      <c r="AA922" s="4">
        <v>52</v>
      </c>
      <c r="AB922" s="4">
        <v>2</v>
      </c>
      <c r="AC922" s="4">
        <v>4</v>
      </c>
      <c r="AD922" s="4">
        <v>65</v>
      </c>
      <c r="AE922" s="4">
        <v>118</v>
      </c>
      <c r="AF922" s="4">
        <v>1</v>
      </c>
      <c r="AG922" s="4">
        <v>3</v>
      </c>
      <c r="AH922" s="4">
        <v>55</v>
      </c>
      <c r="AI922" s="4">
        <v>93</v>
      </c>
      <c r="AJ922" s="4">
        <v>10</v>
      </c>
      <c r="AK922" s="4">
        <v>19</v>
      </c>
      <c r="AL922" s="4">
        <v>30</v>
      </c>
      <c r="AM922" s="4">
        <v>51</v>
      </c>
      <c r="AN922" s="4">
        <v>0</v>
      </c>
      <c r="AO922" s="4">
        <v>0</v>
      </c>
      <c r="AP922" s="4">
        <v>14</v>
      </c>
      <c r="AQ922" s="4">
        <v>31</v>
      </c>
      <c r="AR922" s="3" t="s">
        <v>65</v>
      </c>
      <c r="AS922" s="3" t="s">
        <v>65</v>
      </c>
      <c r="AT922" s="3" t="s">
        <v>209</v>
      </c>
      <c r="AU922" s="6" t="str">
        <f>HYPERLINK("http://catalog.hathitrust.org/Record/012280189","HathiTrust Record")</f>
        <v>HathiTrust Record</v>
      </c>
      <c r="AV922" s="6" t="str">
        <f>HYPERLINK("http://mcgill.on.worldcat.org/oclc/1551766","Catalog Record")</f>
        <v>Catalog Record</v>
      </c>
      <c r="AW922" s="6" t="str">
        <f>HYPERLINK("http://www.worldcat.org/oclc/1551766","WorldCat Record")</f>
        <v>WorldCat Record</v>
      </c>
      <c r="AX922" s="3" t="s">
        <v>9118</v>
      </c>
      <c r="AY922" s="3" t="s">
        <v>9119</v>
      </c>
      <c r="AZ922" s="3" t="s">
        <v>9120</v>
      </c>
      <c r="BA922" s="3" t="s">
        <v>9120</v>
      </c>
      <c r="BB922" s="3" t="s">
        <v>9124</v>
      </c>
      <c r="BC922" s="3" t="s">
        <v>77</v>
      </c>
      <c r="BD922" s="3" t="s">
        <v>78</v>
      </c>
      <c r="BE922" s="3" t="s">
        <v>9122</v>
      </c>
      <c r="BF922" s="3" t="s">
        <v>9124</v>
      </c>
      <c r="BG922" s="3" t="s">
        <v>9125</v>
      </c>
    </row>
    <row r="923" spans="1:59" ht="58" x14ac:dyDescent="0.35">
      <c r="A923" s="2" t="s">
        <v>59</v>
      </c>
      <c r="B923" s="2" t="s">
        <v>60</v>
      </c>
      <c r="C923" s="2" t="s">
        <v>9111</v>
      </c>
      <c r="D923" s="2" t="s">
        <v>9112</v>
      </c>
      <c r="E923" s="2" t="s">
        <v>9113</v>
      </c>
      <c r="F923" s="3" t="s">
        <v>490</v>
      </c>
      <c r="G923" s="3" t="s">
        <v>209</v>
      </c>
      <c r="I923" s="3" t="s">
        <v>65</v>
      </c>
      <c r="J923" s="3" t="s">
        <v>209</v>
      </c>
      <c r="K923" s="3" t="s">
        <v>66</v>
      </c>
      <c r="L923" s="2" t="s">
        <v>904</v>
      </c>
      <c r="M923" s="2" t="s">
        <v>9114</v>
      </c>
      <c r="N923" s="3" t="s">
        <v>9115</v>
      </c>
      <c r="P923" s="3" t="s">
        <v>69</v>
      </c>
      <c r="Q923" s="2" t="s">
        <v>9116</v>
      </c>
      <c r="R923" s="3" t="s">
        <v>71</v>
      </c>
      <c r="S923" s="4">
        <v>20</v>
      </c>
      <c r="T923" s="4">
        <v>53</v>
      </c>
      <c r="U923" s="5" t="s">
        <v>9126</v>
      </c>
      <c r="V923" s="5" t="s">
        <v>6480</v>
      </c>
      <c r="W923" s="5" t="s">
        <v>72</v>
      </c>
      <c r="X923" s="5" t="s">
        <v>72</v>
      </c>
      <c r="Y923" s="4">
        <v>501</v>
      </c>
      <c r="Z923" s="4">
        <v>20</v>
      </c>
      <c r="AA923" s="4">
        <v>52</v>
      </c>
      <c r="AB923" s="4">
        <v>2</v>
      </c>
      <c r="AC923" s="4">
        <v>4</v>
      </c>
      <c r="AD923" s="4">
        <v>65</v>
      </c>
      <c r="AE923" s="4">
        <v>118</v>
      </c>
      <c r="AF923" s="4">
        <v>1</v>
      </c>
      <c r="AG923" s="4">
        <v>3</v>
      </c>
      <c r="AH923" s="4">
        <v>55</v>
      </c>
      <c r="AI923" s="4">
        <v>93</v>
      </c>
      <c r="AJ923" s="4">
        <v>10</v>
      </c>
      <c r="AK923" s="4">
        <v>19</v>
      </c>
      <c r="AL923" s="4">
        <v>30</v>
      </c>
      <c r="AM923" s="4">
        <v>51</v>
      </c>
      <c r="AN923" s="4">
        <v>0</v>
      </c>
      <c r="AO923" s="4">
        <v>0</v>
      </c>
      <c r="AP923" s="4">
        <v>14</v>
      </c>
      <c r="AQ923" s="4">
        <v>31</v>
      </c>
      <c r="AR923" s="3" t="s">
        <v>65</v>
      </c>
      <c r="AS923" s="3" t="s">
        <v>65</v>
      </c>
      <c r="AT923" s="3" t="s">
        <v>209</v>
      </c>
      <c r="AU923" s="6" t="str">
        <f>HYPERLINK("http://catalog.hathitrust.org/Record/012280189","HathiTrust Record")</f>
        <v>HathiTrust Record</v>
      </c>
      <c r="AV923" s="6" t="str">
        <f>HYPERLINK("http://mcgill.on.worldcat.org/oclc/1551766","Catalog Record")</f>
        <v>Catalog Record</v>
      </c>
      <c r="AW923" s="6" t="str">
        <f>HYPERLINK("http://www.worldcat.org/oclc/1551766","WorldCat Record")</f>
        <v>WorldCat Record</v>
      </c>
      <c r="AX923" s="3" t="s">
        <v>9118</v>
      </c>
      <c r="AY923" s="3" t="s">
        <v>9119</v>
      </c>
      <c r="AZ923" s="3" t="s">
        <v>9120</v>
      </c>
      <c r="BA923" s="3" t="s">
        <v>9120</v>
      </c>
      <c r="BB923" s="3" t="s">
        <v>9127</v>
      </c>
      <c r="BC923" s="3" t="s">
        <v>77</v>
      </c>
      <c r="BD923" s="3" t="s">
        <v>78</v>
      </c>
      <c r="BE923" s="3" t="s">
        <v>9122</v>
      </c>
      <c r="BF923" s="3" t="s">
        <v>9127</v>
      </c>
      <c r="BG923" s="3" t="s">
        <v>9128</v>
      </c>
    </row>
    <row r="924" spans="1:59" ht="58" x14ac:dyDescent="0.35">
      <c r="A924" s="2" t="s">
        <v>59</v>
      </c>
      <c r="B924" s="2" t="s">
        <v>60</v>
      </c>
      <c r="C924" s="2" t="s">
        <v>9129</v>
      </c>
      <c r="D924" s="2" t="s">
        <v>9130</v>
      </c>
      <c r="E924" s="2" t="s">
        <v>9131</v>
      </c>
      <c r="F924" s="3" t="s">
        <v>9132</v>
      </c>
      <c r="G924" s="3" t="s">
        <v>209</v>
      </c>
      <c r="I924" s="3" t="s">
        <v>209</v>
      </c>
      <c r="J924" s="3" t="s">
        <v>209</v>
      </c>
      <c r="K924" s="3" t="s">
        <v>66</v>
      </c>
      <c r="L924" s="2" t="s">
        <v>904</v>
      </c>
      <c r="M924" s="2" t="s">
        <v>9133</v>
      </c>
      <c r="N924" s="3" t="s">
        <v>1835</v>
      </c>
      <c r="P924" s="3" t="s">
        <v>69</v>
      </c>
      <c r="R924" s="3" t="s">
        <v>71</v>
      </c>
      <c r="S924" s="4">
        <v>29</v>
      </c>
      <c r="T924" s="4">
        <v>112</v>
      </c>
      <c r="U924" s="5" t="s">
        <v>9134</v>
      </c>
      <c r="V924" s="5" t="s">
        <v>9134</v>
      </c>
      <c r="W924" s="5" t="s">
        <v>72</v>
      </c>
      <c r="X924" s="5" t="s">
        <v>72</v>
      </c>
      <c r="Y924" s="4">
        <v>186</v>
      </c>
      <c r="Z924" s="4">
        <v>3</v>
      </c>
      <c r="AA924" s="4">
        <v>52</v>
      </c>
      <c r="AB924" s="4">
        <v>1</v>
      </c>
      <c r="AC924" s="4">
        <v>4</v>
      </c>
      <c r="AD924" s="4">
        <v>14</v>
      </c>
      <c r="AE924" s="4">
        <v>118</v>
      </c>
      <c r="AF924" s="4">
        <v>0</v>
      </c>
      <c r="AG924" s="4">
        <v>3</v>
      </c>
      <c r="AH924" s="4">
        <v>13</v>
      </c>
      <c r="AI924" s="4">
        <v>93</v>
      </c>
      <c r="AJ924" s="4">
        <v>0</v>
      </c>
      <c r="AK924" s="4">
        <v>19</v>
      </c>
      <c r="AL924" s="4">
        <v>10</v>
      </c>
      <c r="AM924" s="4">
        <v>51</v>
      </c>
      <c r="AN924" s="4">
        <v>0</v>
      </c>
      <c r="AO924" s="4">
        <v>0</v>
      </c>
      <c r="AP924" s="4">
        <v>0</v>
      </c>
      <c r="AQ924" s="4">
        <v>31</v>
      </c>
      <c r="AR924" s="3" t="s">
        <v>65</v>
      </c>
      <c r="AS924" s="3" t="s">
        <v>65</v>
      </c>
      <c r="AT924" s="3" t="s">
        <v>65</v>
      </c>
      <c r="AV924" s="6" t="str">
        <f>HYPERLINK("http://mcgill.on.worldcat.org/oclc/9177289","Catalog Record")</f>
        <v>Catalog Record</v>
      </c>
      <c r="AW924" s="6" t="str">
        <f>HYPERLINK("http://www.worldcat.org/oclc/9177289","WorldCat Record")</f>
        <v>WorldCat Record</v>
      </c>
      <c r="AX924" s="3" t="s">
        <v>9118</v>
      </c>
      <c r="AY924" s="3" t="s">
        <v>9135</v>
      </c>
      <c r="AZ924" s="3" t="s">
        <v>9136</v>
      </c>
      <c r="BA924" s="3" t="s">
        <v>9136</v>
      </c>
      <c r="BB924" s="3" t="s">
        <v>9137</v>
      </c>
      <c r="BC924" s="3" t="s">
        <v>77</v>
      </c>
      <c r="BD924" s="3" t="s">
        <v>78</v>
      </c>
      <c r="BE924" s="3" t="s">
        <v>9138</v>
      </c>
      <c r="BF924" s="3" t="s">
        <v>9137</v>
      </c>
      <c r="BG924" s="3" t="s">
        <v>9139</v>
      </c>
    </row>
    <row r="925" spans="1:59" ht="58" x14ac:dyDescent="0.35">
      <c r="A925" s="2" t="s">
        <v>59</v>
      </c>
      <c r="B925" s="2" t="s">
        <v>60</v>
      </c>
      <c r="C925" s="2" t="s">
        <v>9129</v>
      </c>
      <c r="D925" s="2" t="s">
        <v>9130</v>
      </c>
      <c r="E925" s="2" t="s">
        <v>9131</v>
      </c>
      <c r="F925" s="3" t="s">
        <v>1282</v>
      </c>
      <c r="G925" s="3" t="s">
        <v>209</v>
      </c>
      <c r="I925" s="3" t="s">
        <v>209</v>
      </c>
      <c r="J925" s="3" t="s">
        <v>209</v>
      </c>
      <c r="K925" s="3" t="s">
        <v>66</v>
      </c>
      <c r="L925" s="2" t="s">
        <v>904</v>
      </c>
      <c r="M925" s="2" t="s">
        <v>9133</v>
      </c>
      <c r="N925" s="3" t="s">
        <v>1835</v>
      </c>
      <c r="P925" s="3" t="s">
        <v>69</v>
      </c>
      <c r="R925" s="3" t="s">
        <v>71</v>
      </c>
      <c r="S925" s="4">
        <v>38</v>
      </c>
      <c r="T925" s="4">
        <v>112</v>
      </c>
      <c r="U925" s="5" t="s">
        <v>9140</v>
      </c>
      <c r="V925" s="5" t="s">
        <v>9134</v>
      </c>
      <c r="W925" s="5" t="s">
        <v>72</v>
      </c>
      <c r="X925" s="5" t="s">
        <v>72</v>
      </c>
      <c r="Y925" s="4">
        <v>186</v>
      </c>
      <c r="Z925" s="4">
        <v>3</v>
      </c>
      <c r="AA925" s="4">
        <v>52</v>
      </c>
      <c r="AB925" s="4">
        <v>1</v>
      </c>
      <c r="AC925" s="4">
        <v>4</v>
      </c>
      <c r="AD925" s="4">
        <v>14</v>
      </c>
      <c r="AE925" s="4">
        <v>118</v>
      </c>
      <c r="AF925" s="4">
        <v>0</v>
      </c>
      <c r="AG925" s="4">
        <v>3</v>
      </c>
      <c r="AH925" s="4">
        <v>13</v>
      </c>
      <c r="AI925" s="4">
        <v>93</v>
      </c>
      <c r="AJ925" s="4">
        <v>0</v>
      </c>
      <c r="AK925" s="4">
        <v>19</v>
      </c>
      <c r="AL925" s="4">
        <v>10</v>
      </c>
      <c r="AM925" s="4">
        <v>51</v>
      </c>
      <c r="AN925" s="4">
        <v>0</v>
      </c>
      <c r="AO925" s="4">
        <v>0</v>
      </c>
      <c r="AP925" s="4">
        <v>0</v>
      </c>
      <c r="AQ925" s="4">
        <v>31</v>
      </c>
      <c r="AR925" s="3" t="s">
        <v>65</v>
      </c>
      <c r="AS925" s="3" t="s">
        <v>65</v>
      </c>
      <c r="AT925" s="3" t="s">
        <v>65</v>
      </c>
      <c r="AV925" s="6" t="str">
        <f>HYPERLINK("http://mcgill.on.worldcat.org/oclc/9177289","Catalog Record")</f>
        <v>Catalog Record</v>
      </c>
      <c r="AW925" s="6" t="str">
        <f>HYPERLINK("http://www.worldcat.org/oclc/9177289","WorldCat Record")</f>
        <v>WorldCat Record</v>
      </c>
      <c r="AX925" s="3" t="s">
        <v>9118</v>
      </c>
      <c r="AY925" s="3" t="s">
        <v>9135</v>
      </c>
      <c r="AZ925" s="3" t="s">
        <v>9136</v>
      </c>
      <c r="BA925" s="3" t="s">
        <v>9136</v>
      </c>
      <c r="BB925" s="3" t="s">
        <v>9141</v>
      </c>
      <c r="BC925" s="3" t="s">
        <v>77</v>
      </c>
      <c r="BD925" s="3" t="s">
        <v>78</v>
      </c>
      <c r="BE925" s="3" t="s">
        <v>9138</v>
      </c>
      <c r="BF925" s="3" t="s">
        <v>9141</v>
      </c>
      <c r="BG925" s="3" t="s">
        <v>9142</v>
      </c>
    </row>
    <row r="926" spans="1:59" ht="58" x14ac:dyDescent="0.35">
      <c r="A926" s="2" t="s">
        <v>59</v>
      </c>
      <c r="B926" s="2" t="s">
        <v>60</v>
      </c>
      <c r="C926" s="2" t="s">
        <v>9129</v>
      </c>
      <c r="D926" s="2" t="s">
        <v>9130</v>
      </c>
      <c r="E926" s="2" t="s">
        <v>9131</v>
      </c>
      <c r="F926" s="3" t="s">
        <v>8361</v>
      </c>
      <c r="G926" s="3" t="s">
        <v>209</v>
      </c>
      <c r="I926" s="3" t="s">
        <v>209</v>
      </c>
      <c r="J926" s="3" t="s">
        <v>209</v>
      </c>
      <c r="K926" s="3" t="s">
        <v>66</v>
      </c>
      <c r="L926" s="2" t="s">
        <v>904</v>
      </c>
      <c r="M926" s="2" t="s">
        <v>9133</v>
      </c>
      <c r="N926" s="3" t="s">
        <v>1835</v>
      </c>
      <c r="P926" s="3" t="s">
        <v>69</v>
      </c>
      <c r="R926" s="3" t="s">
        <v>71</v>
      </c>
      <c r="S926" s="4">
        <v>25</v>
      </c>
      <c r="T926" s="4">
        <v>112</v>
      </c>
      <c r="U926" s="5" t="s">
        <v>7627</v>
      </c>
      <c r="V926" s="5" t="s">
        <v>9134</v>
      </c>
      <c r="W926" s="5" t="s">
        <v>72</v>
      </c>
      <c r="X926" s="5" t="s">
        <v>72</v>
      </c>
      <c r="Y926" s="4">
        <v>186</v>
      </c>
      <c r="Z926" s="4">
        <v>3</v>
      </c>
      <c r="AA926" s="4">
        <v>52</v>
      </c>
      <c r="AB926" s="4">
        <v>1</v>
      </c>
      <c r="AC926" s="4">
        <v>4</v>
      </c>
      <c r="AD926" s="4">
        <v>14</v>
      </c>
      <c r="AE926" s="4">
        <v>118</v>
      </c>
      <c r="AF926" s="4">
        <v>0</v>
      </c>
      <c r="AG926" s="4">
        <v>3</v>
      </c>
      <c r="AH926" s="4">
        <v>13</v>
      </c>
      <c r="AI926" s="4">
        <v>93</v>
      </c>
      <c r="AJ926" s="4">
        <v>0</v>
      </c>
      <c r="AK926" s="4">
        <v>19</v>
      </c>
      <c r="AL926" s="4">
        <v>10</v>
      </c>
      <c r="AM926" s="4">
        <v>51</v>
      </c>
      <c r="AN926" s="4">
        <v>0</v>
      </c>
      <c r="AO926" s="4">
        <v>0</v>
      </c>
      <c r="AP926" s="4">
        <v>0</v>
      </c>
      <c r="AQ926" s="4">
        <v>31</v>
      </c>
      <c r="AR926" s="3" t="s">
        <v>65</v>
      </c>
      <c r="AS926" s="3" t="s">
        <v>65</v>
      </c>
      <c r="AT926" s="3" t="s">
        <v>65</v>
      </c>
      <c r="AV926" s="6" t="str">
        <f>HYPERLINK("http://mcgill.on.worldcat.org/oclc/9177289","Catalog Record")</f>
        <v>Catalog Record</v>
      </c>
      <c r="AW926" s="6" t="str">
        <f>HYPERLINK("http://www.worldcat.org/oclc/9177289","WorldCat Record")</f>
        <v>WorldCat Record</v>
      </c>
      <c r="AX926" s="3" t="s">
        <v>9118</v>
      </c>
      <c r="AY926" s="3" t="s">
        <v>9135</v>
      </c>
      <c r="AZ926" s="3" t="s">
        <v>9136</v>
      </c>
      <c r="BA926" s="3" t="s">
        <v>9136</v>
      </c>
      <c r="BB926" s="3" t="s">
        <v>9143</v>
      </c>
      <c r="BC926" s="3" t="s">
        <v>77</v>
      </c>
      <c r="BD926" s="3" t="s">
        <v>78</v>
      </c>
      <c r="BE926" s="3" t="s">
        <v>9138</v>
      </c>
      <c r="BF926" s="3" t="s">
        <v>9143</v>
      </c>
      <c r="BG926" s="3" t="s">
        <v>9144</v>
      </c>
    </row>
    <row r="927" spans="1:59" ht="58" x14ac:dyDescent="0.35">
      <c r="A927" s="2" t="s">
        <v>59</v>
      </c>
      <c r="B927" s="2" t="s">
        <v>60</v>
      </c>
      <c r="C927" s="2" t="s">
        <v>9145</v>
      </c>
      <c r="D927" s="2" t="s">
        <v>9146</v>
      </c>
      <c r="E927" s="2" t="s">
        <v>9147</v>
      </c>
      <c r="G927" s="3" t="s">
        <v>65</v>
      </c>
      <c r="I927" s="3" t="s">
        <v>209</v>
      </c>
      <c r="J927" s="3" t="s">
        <v>209</v>
      </c>
      <c r="K927" s="3" t="s">
        <v>9016</v>
      </c>
      <c r="L927" s="2" t="s">
        <v>904</v>
      </c>
      <c r="M927" s="2" t="s">
        <v>9148</v>
      </c>
      <c r="N927" s="3" t="s">
        <v>955</v>
      </c>
      <c r="P927" s="3" t="s">
        <v>69</v>
      </c>
      <c r="R927" s="3" t="s">
        <v>71</v>
      </c>
      <c r="S927" s="4">
        <v>25</v>
      </c>
      <c r="T927" s="4">
        <v>57</v>
      </c>
      <c r="U927" s="5" t="s">
        <v>9149</v>
      </c>
      <c r="V927" s="5" t="s">
        <v>9150</v>
      </c>
      <c r="W927" s="5" t="s">
        <v>72</v>
      </c>
      <c r="X927" s="5" t="s">
        <v>72</v>
      </c>
      <c r="Y927" s="4">
        <v>195</v>
      </c>
      <c r="Z927" s="4">
        <v>15</v>
      </c>
      <c r="AA927" s="4">
        <v>188</v>
      </c>
      <c r="AB927" s="4">
        <v>1</v>
      </c>
      <c r="AC927" s="4">
        <v>24</v>
      </c>
      <c r="AD927" s="4">
        <v>61</v>
      </c>
      <c r="AE927" s="4">
        <v>175</v>
      </c>
      <c r="AF927" s="4">
        <v>0</v>
      </c>
      <c r="AG927" s="4">
        <v>8</v>
      </c>
      <c r="AH927" s="4">
        <v>57</v>
      </c>
      <c r="AI927" s="4">
        <v>118</v>
      </c>
      <c r="AJ927" s="4">
        <v>12</v>
      </c>
      <c r="AK927" s="4">
        <v>30</v>
      </c>
      <c r="AL927" s="4">
        <v>29</v>
      </c>
      <c r="AM927" s="4">
        <v>63</v>
      </c>
      <c r="AN927" s="4">
        <v>0</v>
      </c>
      <c r="AO927" s="4">
        <v>22</v>
      </c>
      <c r="AP927" s="4">
        <v>12</v>
      </c>
      <c r="AQ927" s="4">
        <v>61</v>
      </c>
      <c r="AR927" s="3" t="s">
        <v>65</v>
      </c>
      <c r="AS927" s="3" t="s">
        <v>65</v>
      </c>
      <c r="AT927" s="3" t="s">
        <v>209</v>
      </c>
      <c r="AU927" s="6" t="str">
        <f>HYPERLINK("http://catalog.hathitrust.org/Record/000233386","HathiTrust Record")</f>
        <v>HathiTrust Record</v>
      </c>
      <c r="AV927" s="6" t="str">
        <f>HYPERLINK("http://mcgill.on.worldcat.org/oclc/6761612","Catalog Record")</f>
        <v>Catalog Record</v>
      </c>
      <c r="AW927" s="6" t="str">
        <f>HYPERLINK("http://www.worldcat.org/oclc/6761612","WorldCat Record")</f>
        <v>WorldCat Record</v>
      </c>
      <c r="AX927" s="3" t="s">
        <v>9020</v>
      </c>
      <c r="AY927" s="3" t="s">
        <v>9151</v>
      </c>
      <c r="AZ927" s="3" t="s">
        <v>9152</v>
      </c>
      <c r="BA927" s="3" t="s">
        <v>9152</v>
      </c>
      <c r="BB927" s="3" t="s">
        <v>9153</v>
      </c>
      <c r="BC927" s="3" t="s">
        <v>77</v>
      </c>
      <c r="BD927" s="3" t="s">
        <v>78</v>
      </c>
      <c r="BE927" s="3" t="s">
        <v>9154</v>
      </c>
      <c r="BF927" s="3" t="s">
        <v>9153</v>
      </c>
      <c r="BG927" s="3" t="s">
        <v>9155</v>
      </c>
    </row>
    <row r="928" spans="1:59" ht="58" x14ac:dyDescent="0.35">
      <c r="A928" s="2" t="s">
        <v>59</v>
      </c>
      <c r="B928" s="2" t="s">
        <v>60</v>
      </c>
      <c r="C928" s="2" t="s">
        <v>9145</v>
      </c>
      <c r="D928" s="2" t="s">
        <v>9146</v>
      </c>
      <c r="E928" s="2" t="s">
        <v>9147</v>
      </c>
      <c r="G928" s="3" t="s">
        <v>65</v>
      </c>
      <c r="I928" s="3" t="s">
        <v>209</v>
      </c>
      <c r="J928" s="3" t="s">
        <v>209</v>
      </c>
      <c r="K928" s="3" t="s">
        <v>9016</v>
      </c>
      <c r="L928" s="2" t="s">
        <v>904</v>
      </c>
      <c r="M928" s="2" t="s">
        <v>9148</v>
      </c>
      <c r="N928" s="3" t="s">
        <v>955</v>
      </c>
      <c r="P928" s="3" t="s">
        <v>69</v>
      </c>
      <c r="R928" s="3" t="s">
        <v>71</v>
      </c>
      <c r="S928" s="4">
        <v>32</v>
      </c>
      <c r="T928" s="4">
        <v>57</v>
      </c>
      <c r="U928" s="5" t="s">
        <v>9150</v>
      </c>
      <c r="V928" s="5" t="s">
        <v>9150</v>
      </c>
      <c r="W928" s="5" t="s">
        <v>72</v>
      </c>
      <c r="X928" s="5" t="s">
        <v>72</v>
      </c>
      <c r="Y928" s="4">
        <v>195</v>
      </c>
      <c r="Z928" s="4">
        <v>15</v>
      </c>
      <c r="AA928" s="4">
        <v>188</v>
      </c>
      <c r="AB928" s="4">
        <v>1</v>
      </c>
      <c r="AC928" s="4">
        <v>24</v>
      </c>
      <c r="AD928" s="4">
        <v>61</v>
      </c>
      <c r="AE928" s="4">
        <v>175</v>
      </c>
      <c r="AF928" s="4">
        <v>0</v>
      </c>
      <c r="AG928" s="4">
        <v>8</v>
      </c>
      <c r="AH928" s="4">
        <v>57</v>
      </c>
      <c r="AI928" s="4">
        <v>118</v>
      </c>
      <c r="AJ928" s="4">
        <v>12</v>
      </c>
      <c r="AK928" s="4">
        <v>30</v>
      </c>
      <c r="AL928" s="4">
        <v>29</v>
      </c>
      <c r="AM928" s="4">
        <v>63</v>
      </c>
      <c r="AN928" s="4">
        <v>0</v>
      </c>
      <c r="AO928" s="4">
        <v>22</v>
      </c>
      <c r="AP928" s="4">
        <v>12</v>
      </c>
      <c r="AQ928" s="4">
        <v>61</v>
      </c>
      <c r="AR928" s="3" t="s">
        <v>65</v>
      </c>
      <c r="AS928" s="3" t="s">
        <v>65</v>
      </c>
      <c r="AT928" s="3" t="s">
        <v>209</v>
      </c>
      <c r="AU928" s="6" t="str">
        <f>HYPERLINK("http://catalog.hathitrust.org/Record/000233386","HathiTrust Record")</f>
        <v>HathiTrust Record</v>
      </c>
      <c r="AV928" s="6" t="str">
        <f>HYPERLINK("http://mcgill.on.worldcat.org/oclc/6761612","Catalog Record")</f>
        <v>Catalog Record</v>
      </c>
      <c r="AW928" s="6" t="str">
        <f>HYPERLINK("http://www.worldcat.org/oclc/6761612","WorldCat Record")</f>
        <v>WorldCat Record</v>
      </c>
      <c r="AX928" s="3" t="s">
        <v>9020</v>
      </c>
      <c r="AY928" s="3" t="s">
        <v>9151</v>
      </c>
      <c r="AZ928" s="3" t="s">
        <v>9152</v>
      </c>
      <c r="BA928" s="3" t="s">
        <v>9152</v>
      </c>
      <c r="BB928" s="3" t="s">
        <v>9156</v>
      </c>
      <c r="BC928" s="3" t="s">
        <v>77</v>
      </c>
      <c r="BD928" s="3" t="s">
        <v>78</v>
      </c>
      <c r="BE928" s="3" t="s">
        <v>9154</v>
      </c>
      <c r="BF928" s="3" t="s">
        <v>9156</v>
      </c>
      <c r="BG928" s="3" t="s">
        <v>9157</v>
      </c>
    </row>
    <row r="929" spans="1:59" ht="58" x14ac:dyDescent="0.35">
      <c r="A929" s="2" t="s">
        <v>59</v>
      </c>
      <c r="B929" s="2" t="s">
        <v>60</v>
      </c>
      <c r="C929" s="2" t="s">
        <v>9158</v>
      </c>
      <c r="D929" s="2" t="s">
        <v>9159</v>
      </c>
      <c r="E929" s="2" t="s">
        <v>9160</v>
      </c>
      <c r="G929" s="3" t="s">
        <v>65</v>
      </c>
      <c r="I929" s="3" t="s">
        <v>65</v>
      </c>
      <c r="J929" s="3" t="s">
        <v>209</v>
      </c>
      <c r="K929" s="3" t="s">
        <v>213</v>
      </c>
      <c r="L929" s="2" t="s">
        <v>904</v>
      </c>
      <c r="M929" s="2" t="s">
        <v>9161</v>
      </c>
      <c r="N929" s="3" t="s">
        <v>1895</v>
      </c>
      <c r="O929" s="2" t="s">
        <v>9162</v>
      </c>
      <c r="P929" s="3" t="s">
        <v>69</v>
      </c>
      <c r="Q929" s="2" t="s">
        <v>9163</v>
      </c>
      <c r="R929" s="3" t="s">
        <v>71</v>
      </c>
      <c r="S929" s="4">
        <v>37</v>
      </c>
      <c r="T929" s="4">
        <v>37</v>
      </c>
      <c r="U929" s="5" t="s">
        <v>212</v>
      </c>
      <c r="V929" s="5" t="s">
        <v>212</v>
      </c>
      <c r="W929" s="5" t="s">
        <v>72</v>
      </c>
      <c r="X929" s="5" t="s">
        <v>72</v>
      </c>
      <c r="Y929" s="4">
        <v>204</v>
      </c>
      <c r="Z929" s="4">
        <v>12</v>
      </c>
      <c r="AA929" s="4">
        <v>78</v>
      </c>
      <c r="AB929" s="4">
        <v>1</v>
      </c>
      <c r="AC929" s="4">
        <v>3</v>
      </c>
      <c r="AD929" s="4">
        <v>12</v>
      </c>
      <c r="AE929" s="4">
        <v>143</v>
      </c>
      <c r="AF929" s="4">
        <v>0</v>
      </c>
      <c r="AG929" s="4">
        <v>1</v>
      </c>
      <c r="AH929" s="4">
        <v>9</v>
      </c>
      <c r="AI929" s="4">
        <v>110</v>
      </c>
      <c r="AJ929" s="4">
        <v>5</v>
      </c>
      <c r="AK929" s="4">
        <v>21</v>
      </c>
      <c r="AL929" s="4">
        <v>5</v>
      </c>
      <c r="AM929" s="4">
        <v>61</v>
      </c>
      <c r="AN929" s="4">
        <v>0</v>
      </c>
      <c r="AO929" s="4">
        <v>5</v>
      </c>
      <c r="AP929" s="4">
        <v>5</v>
      </c>
      <c r="AQ929" s="4">
        <v>38</v>
      </c>
      <c r="AR929" s="3" t="s">
        <v>65</v>
      </c>
      <c r="AS929" s="3" t="s">
        <v>65</v>
      </c>
      <c r="AT929" s="3" t="s">
        <v>65</v>
      </c>
      <c r="AV929" s="6" t="str">
        <f>HYPERLINK("http://mcgill.on.worldcat.org/oclc/39503915","Catalog Record")</f>
        <v>Catalog Record</v>
      </c>
      <c r="AW929" s="6" t="str">
        <f>HYPERLINK("http://www.worldcat.org/oclc/39503915","WorldCat Record")</f>
        <v>WorldCat Record</v>
      </c>
      <c r="AX929" s="3" t="s">
        <v>8123</v>
      </c>
      <c r="AY929" s="3" t="s">
        <v>9164</v>
      </c>
      <c r="AZ929" s="3" t="s">
        <v>9165</v>
      </c>
      <c r="BA929" s="3" t="s">
        <v>9165</v>
      </c>
      <c r="BB929" s="3" t="s">
        <v>9166</v>
      </c>
      <c r="BC929" s="3" t="s">
        <v>77</v>
      </c>
      <c r="BD929" s="3" t="s">
        <v>78</v>
      </c>
      <c r="BE929" s="3" t="s">
        <v>9167</v>
      </c>
      <c r="BF929" s="3" t="s">
        <v>9166</v>
      </c>
      <c r="BG929" s="3" t="s">
        <v>9168</v>
      </c>
    </row>
    <row r="930" spans="1:59" ht="58" x14ac:dyDescent="0.35">
      <c r="A930" s="2" t="s">
        <v>59</v>
      </c>
      <c r="B930" s="2" t="s">
        <v>60</v>
      </c>
      <c r="C930" s="2" t="s">
        <v>9169</v>
      </c>
      <c r="D930" s="2" t="s">
        <v>9170</v>
      </c>
      <c r="E930" s="2" t="s">
        <v>9171</v>
      </c>
      <c r="G930" s="3" t="s">
        <v>65</v>
      </c>
      <c r="I930" s="3" t="s">
        <v>65</v>
      </c>
      <c r="J930" s="3" t="s">
        <v>209</v>
      </c>
      <c r="K930" s="3" t="s">
        <v>66</v>
      </c>
      <c r="L930" s="2" t="s">
        <v>904</v>
      </c>
      <c r="M930" s="2" t="s">
        <v>9172</v>
      </c>
      <c r="N930" s="3" t="s">
        <v>139</v>
      </c>
      <c r="P930" s="3" t="s">
        <v>69</v>
      </c>
      <c r="R930" s="3" t="s">
        <v>71</v>
      </c>
      <c r="S930" s="4">
        <v>8</v>
      </c>
      <c r="T930" s="4">
        <v>8</v>
      </c>
      <c r="U930" s="5" t="s">
        <v>9173</v>
      </c>
      <c r="V930" s="5" t="s">
        <v>9173</v>
      </c>
      <c r="W930" s="5" t="s">
        <v>72</v>
      </c>
      <c r="X930" s="5" t="s">
        <v>72</v>
      </c>
      <c r="Y930" s="4">
        <v>550</v>
      </c>
      <c r="Z930" s="4">
        <v>14</v>
      </c>
      <c r="AA930" s="4">
        <v>144</v>
      </c>
      <c r="AB930" s="4">
        <v>2</v>
      </c>
      <c r="AC930" s="4">
        <v>10</v>
      </c>
      <c r="AD930" s="4">
        <v>74</v>
      </c>
      <c r="AE930" s="4">
        <v>161</v>
      </c>
      <c r="AF930" s="4">
        <v>0</v>
      </c>
      <c r="AG930" s="4">
        <v>4</v>
      </c>
      <c r="AH930" s="4">
        <v>71</v>
      </c>
      <c r="AI930" s="4">
        <v>115</v>
      </c>
      <c r="AJ930" s="4">
        <v>5</v>
      </c>
      <c r="AK930" s="4">
        <v>27</v>
      </c>
      <c r="AL930" s="4">
        <v>42</v>
      </c>
      <c r="AM930" s="4">
        <v>63</v>
      </c>
      <c r="AN930" s="4">
        <v>0</v>
      </c>
      <c r="AO930" s="4">
        <v>14</v>
      </c>
      <c r="AP930" s="4">
        <v>5</v>
      </c>
      <c r="AQ930" s="4">
        <v>52</v>
      </c>
      <c r="AR930" s="3" t="s">
        <v>65</v>
      </c>
      <c r="AS930" s="3" t="s">
        <v>65</v>
      </c>
      <c r="AT930" s="3" t="s">
        <v>65</v>
      </c>
      <c r="AV930" s="6" t="str">
        <f>HYPERLINK("http://mcgill.on.worldcat.org/oclc/786185675","Catalog Record")</f>
        <v>Catalog Record</v>
      </c>
      <c r="AW930" s="6" t="str">
        <f>HYPERLINK("http://www.worldcat.org/oclc/786185675","WorldCat Record")</f>
        <v>WorldCat Record</v>
      </c>
      <c r="AX930" s="3" t="s">
        <v>8422</v>
      </c>
      <c r="AY930" s="3" t="s">
        <v>9174</v>
      </c>
      <c r="AZ930" s="3" t="s">
        <v>9175</v>
      </c>
      <c r="BA930" s="3" t="s">
        <v>9175</v>
      </c>
      <c r="BB930" s="3" t="s">
        <v>9176</v>
      </c>
      <c r="BC930" s="3" t="s">
        <v>77</v>
      </c>
      <c r="BD930" s="3" t="s">
        <v>78</v>
      </c>
      <c r="BE930" s="3" t="s">
        <v>9177</v>
      </c>
      <c r="BF930" s="3" t="s">
        <v>9176</v>
      </c>
      <c r="BG930" s="3" t="s">
        <v>9178</v>
      </c>
    </row>
    <row r="931" spans="1:59" ht="58" x14ac:dyDescent="0.35">
      <c r="A931" s="2" t="s">
        <v>59</v>
      </c>
      <c r="B931" s="2" t="s">
        <v>60</v>
      </c>
      <c r="C931" s="2" t="s">
        <v>9179</v>
      </c>
      <c r="D931" s="2" t="s">
        <v>9180</v>
      </c>
      <c r="E931" s="2" t="s">
        <v>9181</v>
      </c>
      <c r="G931" s="3" t="s">
        <v>65</v>
      </c>
      <c r="I931" s="3" t="s">
        <v>65</v>
      </c>
      <c r="J931" s="3" t="s">
        <v>209</v>
      </c>
      <c r="K931" s="3" t="s">
        <v>66</v>
      </c>
      <c r="L931" s="2" t="s">
        <v>904</v>
      </c>
      <c r="M931" s="2" t="s">
        <v>9182</v>
      </c>
      <c r="N931" s="3" t="s">
        <v>525</v>
      </c>
      <c r="P931" s="3" t="s">
        <v>69</v>
      </c>
      <c r="R931" s="3" t="s">
        <v>71</v>
      </c>
      <c r="S931" s="4">
        <v>19</v>
      </c>
      <c r="T931" s="4">
        <v>19</v>
      </c>
      <c r="U931" s="5" t="s">
        <v>9183</v>
      </c>
      <c r="V931" s="5" t="s">
        <v>9183</v>
      </c>
      <c r="W931" s="5" t="s">
        <v>72</v>
      </c>
      <c r="X931" s="5" t="s">
        <v>72</v>
      </c>
      <c r="Y931" s="4">
        <v>426</v>
      </c>
      <c r="Z931" s="4">
        <v>17</v>
      </c>
      <c r="AA931" s="4">
        <v>132</v>
      </c>
      <c r="AB931" s="4">
        <v>2</v>
      </c>
      <c r="AC931" s="4">
        <v>14</v>
      </c>
      <c r="AD931" s="4">
        <v>50</v>
      </c>
      <c r="AE931" s="4">
        <v>159</v>
      </c>
      <c r="AF931" s="4">
        <v>0</v>
      </c>
      <c r="AG931" s="4">
        <v>6</v>
      </c>
      <c r="AH931" s="4">
        <v>46</v>
      </c>
      <c r="AI931" s="4">
        <v>117</v>
      </c>
      <c r="AJ931" s="4">
        <v>4</v>
      </c>
      <c r="AK931" s="4">
        <v>28</v>
      </c>
      <c r="AL931" s="4">
        <v>32</v>
      </c>
      <c r="AM931" s="4">
        <v>64</v>
      </c>
      <c r="AN931" s="4">
        <v>0</v>
      </c>
      <c r="AO931" s="4">
        <v>6</v>
      </c>
      <c r="AP931" s="4">
        <v>4</v>
      </c>
      <c r="AQ931" s="4">
        <v>47</v>
      </c>
      <c r="AR931" s="3" t="s">
        <v>65</v>
      </c>
      <c r="AS931" s="3" t="s">
        <v>65</v>
      </c>
      <c r="AT931" s="3" t="s">
        <v>65</v>
      </c>
      <c r="AV931" s="6" t="str">
        <f>HYPERLINK("http://mcgill.on.worldcat.org/oclc/52860059","Catalog Record")</f>
        <v>Catalog Record</v>
      </c>
      <c r="AW931" s="6" t="str">
        <f>HYPERLINK("http://www.worldcat.org/oclc/52860059","WorldCat Record")</f>
        <v>WorldCat Record</v>
      </c>
      <c r="AX931" s="3" t="s">
        <v>8391</v>
      </c>
      <c r="AY931" s="3" t="s">
        <v>9184</v>
      </c>
      <c r="AZ931" s="3" t="s">
        <v>9185</v>
      </c>
      <c r="BA931" s="3" t="s">
        <v>9185</v>
      </c>
      <c r="BB931" s="3" t="s">
        <v>9186</v>
      </c>
      <c r="BC931" s="3" t="s">
        <v>77</v>
      </c>
      <c r="BD931" s="3" t="s">
        <v>78</v>
      </c>
      <c r="BE931" s="3" t="s">
        <v>9187</v>
      </c>
      <c r="BF931" s="3" t="s">
        <v>9186</v>
      </c>
      <c r="BG931" s="3" t="s">
        <v>9188</v>
      </c>
    </row>
    <row r="932" spans="1:59" ht="58" x14ac:dyDescent="0.35">
      <c r="A932" s="2" t="s">
        <v>59</v>
      </c>
      <c r="B932" s="2" t="s">
        <v>60</v>
      </c>
      <c r="C932" s="2" t="s">
        <v>9189</v>
      </c>
      <c r="D932" s="2" t="s">
        <v>9190</v>
      </c>
      <c r="E932" s="2" t="s">
        <v>9191</v>
      </c>
      <c r="G932" s="3" t="s">
        <v>65</v>
      </c>
      <c r="I932" s="3" t="s">
        <v>209</v>
      </c>
      <c r="J932" s="3" t="s">
        <v>209</v>
      </c>
      <c r="K932" s="3" t="s">
        <v>66</v>
      </c>
      <c r="L932" s="2" t="s">
        <v>9005</v>
      </c>
      <c r="M932" s="2" t="s">
        <v>9192</v>
      </c>
      <c r="N932" s="3" t="s">
        <v>928</v>
      </c>
      <c r="O932" s="2" t="s">
        <v>9193</v>
      </c>
      <c r="P932" s="3" t="s">
        <v>69</v>
      </c>
      <c r="R932" s="3" t="s">
        <v>71</v>
      </c>
      <c r="S932" s="4">
        <v>19</v>
      </c>
      <c r="T932" s="4">
        <v>33</v>
      </c>
      <c r="U932" s="5" t="s">
        <v>495</v>
      </c>
      <c r="V932" s="5" t="s">
        <v>9194</v>
      </c>
      <c r="W932" s="5" t="s">
        <v>72</v>
      </c>
      <c r="X932" s="5" t="s">
        <v>72</v>
      </c>
      <c r="Y932" s="4">
        <v>546</v>
      </c>
      <c r="Z932" s="4">
        <v>13</v>
      </c>
      <c r="AA932" s="4">
        <v>144</v>
      </c>
      <c r="AB932" s="4">
        <v>1</v>
      </c>
      <c r="AC932" s="4">
        <v>10</v>
      </c>
      <c r="AD932" s="4">
        <v>82</v>
      </c>
      <c r="AE932" s="4">
        <v>161</v>
      </c>
      <c r="AF932" s="4">
        <v>0</v>
      </c>
      <c r="AG932" s="4">
        <v>4</v>
      </c>
      <c r="AH932" s="4">
        <v>76</v>
      </c>
      <c r="AI932" s="4">
        <v>115</v>
      </c>
      <c r="AJ932" s="4">
        <v>4</v>
      </c>
      <c r="AK932" s="4">
        <v>27</v>
      </c>
      <c r="AL932" s="4">
        <v>47</v>
      </c>
      <c r="AM932" s="4">
        <v>63</v>
      </c>
      <c r="AN932" s="4">
        <v>0</v>
      </c>
      <c r="AO932" s="4">
        <v>14</v>
      </c>
      <c r="AP932" s="4">
        <v>6</v>
      </c>
      <c r="AQ932" s="4">
        <v>52</v>
      </c>
      <c r="AR932" s="3" t="s">
        <v>65</v>
      </c>
      <c r="AS932" s="3" t="s">
        <v>65</v>
      </c>
      <c r="AT932" s="3" t="s">
        <v>209</v>
      </c>
      <c r="AU932" s="6" t="str">
        <f>HYPERLINK("http://catalog.hathitrust.org/Record/000876413","HathiTrust Record")</f>
        <v>HathiTrust Record</v>
      </c>
      <c r="AV932" s="6" t="str">
        <f>HYPERLINK("http://mcgill.on.worldcat.org/oclc/347627","Catalog Record")</f>
        <v>Catalog Record</v>
      </c>
      <c r="AW932" s="6" t="str">
        <f>HYPERLINK("http://www.worldcat.org/oclc/347627","WorldCat Record")</f>
        <v>WorldCat Record</v>
      </c>
      <c r="AX932" s="3" t="s">
        <v>8422</v>
      </c>
      <c r="AY932" s="3" t="s">
        <v>9195</v>
      </c>
      <c r="AZ932" s="3" t="s">
        <v>9196</v>
      </c>
      <c r="BA932" s="3" t="s">
        <v>9196</v>
      </c>
      <c r="BB932" s="3" t="s">
        <v>9197</v>
      </c>
      <c r="BC932" s="3" t="s">
        <v>77</v>
      </c>
      <c r="BD932" s="3" t="s">
        <v>78</v>
      </c>
      <c r="BF932" s="3" t="s">
        <v>9197</v>
      </c>
      <c r="BG932" s="3" t="s">
        <v>9198</v>
      </c>
    </row>
    <row r="933" spans="1:59" ht="58" x14ac:dyDescent="0.35">
      <c r="A933" s="2" t="s">
        <v>59</v>
      </c>
      <c r="B933" s="2" t="s">
        <v>60</v>
      </c>
      <c r="C933" s="2" t="s">
        <v>9189</v>
      </c>
      <c r="D933" s="2" t="s">
        <v>9190</v>
      </c>
      <c r="E933" s="2" t="s">
        <v>9191</v>
      </c>
      <c r="G933" s="3" t="s">
        <v>65</v>
      </c>
      <c r="I933" s="3" t="s">
        <v>209</v>
      </c>
      <c r="J933" s="3" t="s">
        <v>209</v>
      </c>
      <c r="K933" s="3" t="s">
        <v>66</v>
      </c>
      <c r="L933" s="2" t="s">
        <v>9005</v>
      </c>
      <c r="M933" s="2" t="s">
        <v>9192</v>
      </c>
      <c r="N933" s="3" t="s">
        <v>928</v>
      </c>
      <c r="O933" s="2" t="s">
        <v>9193</v>
      </c>
      <c r="P933" s="3" t="s">
        <v>69</v>
      </c>
      <c r="R933" s="3" t="s">
        <v>71</v>
      </c>
      <c r="S933" s="4">
        <v>14</v>
      </c>
      <c r="T933" s="4">
        <v>33</v>
      </c>
      <c r="U933" s="5" t="s">
        <v>9194</v>
      </c>
      <c r="V933" s="5" t="s">
        <v>9194</v>
      </c>
      <c r="W933" s="5" t="s">
        <v>72</v>
      </c>
      <c r="X933" s="5" t="s">
        <v>72</v>
      </c>
      <c r="Y933" s="4">
        <v>546</v>
      </c>
      <c r="Z933" s="4">
        <v>13</v>
      </c>
      <c r="AA933" s="4">
        <v>144</v>
      </c>
      <c r="AB933" s="4">
        <v>1</v>
      </c>
      <c r="AC933" s="4">
        <v>10</v>
      </c>
      <c r="AD933" s="4">
        <v>82</v>
      </c>
      <c r="AE933" s="4">
        <v>161</v>
      </c>
      <c r="AF933" s="4">
        <v>0</v>
      </c>
      <c r="AG933" s="4">
        <v>4</v>
      </c>
      <c r="AH933" s="4">
        <v>76</v>
      </c>
      <c r="AI933" s="4">
        <v>115</v>
      </c>
      <c r="AJ933" s="4">
        <v>4</v>
      </c>
      <c r="AK933" s="4">
        <v>27</v>
      </c>
      <c r="AL933" s="4">
        <v>47</v>
      </c>
      <c r="AM933" s="4">
        <v>63</v>
      </c>
      <c r="AN933" s="4">
        <v>0</v>
      </c>
      <c r="AO933" s="4">
        <v>14</v>
      </c>
      <c r="AP933" s="4">
        <v>6</v>
      </c>
      <c r="AQ933" s="4">
        <v>52</v>
      </c>
      <c r="AR933" s="3" t="s">
        <v>65</v>
      </c>
      <c r="AS933" s="3" t="s">
        <v>65</v>
      </c>
      <c r="AT933" s="3" t="s">
        <v>209</v>
      </c>
      <c r="AU933" s="6" t="str">
        <f>HYPERLINK("http://catalog.hathitrust.org/Record/000876413","HathiTrust Record")</f>
        <v>HathiTrust Record</v>
      </c>
      <c r="AV933" s="6" t="str">
        <f>HYPERLINK("http://mcgill.on.worldcat.org/oclc/347627","Catalog Record")</f>
        <v>Catalog Record</v>
      </c>
      <c r="AW933" s="6" t="str">
        <f>HYPERLINK("http://www.worldcat.org/oclc/347627","WorldCat Record")</f>
        <v>WorldCat Record</v>
      </c>
      <c r="AX933" s="3" t="s">
        <v>8422</v>
      </c>
      <c r="AY933" s="3" t="s">
        <v>9195</v>
      </c>
      <c r="AZ933" s="3" t="s">
        <v>9196</v>
      </c>
      <c r="BA933" s="3" t="s">
        <v>9196</v>
      </c>
      <c r="BB933" s="3" t="s">
        <v>9199</v>
      </c>
      <c r="BC933" s="3" t="s">
        <v>77</v>
      </c>
      <c r="BD933" s="3" t="s">
        <v>78</v>
      </c>
      <c r="BF933" s="3" t="s">
        <v>9199</v>
      </c>
      <c r="BG933" s="3" t="s">
        <v>9200</v>
      </c>
    </row>
    <row r="934" spans="1:59" ht="58" x14ac:dyDescent="0.35">
      <c r="A934" s="2" t="s">
        <v>59</v>
      </c>
      <c r="B934" s="2" t="s">
        <v>60</v>
      </c>
      <c r="C934" s="2" t="s">
        <v>9201</v>
      </c>
      <c r="D934" s="2" t="s">
        <v>9202</v>
      </c>
      <c r="E934" s="2" t="s">
        <v>9203</v>
      </c>
      <c r="G934" s="3" t="s">
        <v>65</v>
      </c>
      <c r="I934" s="3" t="s">
        <v>65</v>
      </c>
      <c r="J934" s="3" t="s">
        <v>65</v>
      </c>
      <c r="K934" s="3" t="s">
        <v>66</v>
      </c>
      <c r="L934" s="2" t="s">
        <v>904</v>
      </c>
      <c r="M934" s="2" t="s">
        <v>9204</v>
      </c>
      <c r="N934" s="3" t="s">
        <v>99</v>
      </c>
      <c r="O934" s="2" t="s">
        <v>9205</v>
      </c>
      <c r="P934" s="3" t="s">
        <v>69</v>
      </c>
      <c r="Q934" s="2" t="s">
        <v>7248</v>
      </c>
      <c r="R934" s="3" t="s">
        <v>71</v>
      </c>
      <c r="S934" s="4">
        <v>27</v>
      </c>
      <c r="T934" s="4">
        <v>27</v>
      </c>
      <c r="U934" s="5" t="s">
        <v>9206</v>
      </c>
      <c r="V934" s="5" t="s">
        <v>9206</v>
      </c>
      <c r="W934" s="5" t="s">
        <v>72</v>
      </c>
      <c r="X934" s="5" t="s">
        <v>72</v>
      </c>
      <c r="Y934" s="4">
        <v>188</v>
      </c>
      <c r="Z934" s="4">
        <v>8</v>
      </c>
      <c r="AA934" s="4">
        <v>11</v>
      </c>
      <c r="AB934" s="4">
        <v>1</v>
      </c>
      <c r="AC934" s="4">
        <v>2</v>
      </c>
      <c r="AD934" s="4">
        <v>40</v>
      </c>
      <c r="AE934" s="4">
        <v>43</v>
      </c>
      <c r="AF934" s="4">
        <v>0</v>
      </c>
      <c r="AG934" s="4">
        <v>1</v>
      </c>
      <c r="AH934" s="4">
        <v>37</v>
      </c>
      <c r="AI934" s="4">
        <v>39</v>
      </c>
      <c r="AJ934" s="4">
        <v>4</v>
      </c>
      <c r="AK934" s="4">
        <v>6</v>
      </c>
      <c r="AL934" s="4">
        <v>28</v>
      </c>
      <c r="AM934" s="4">
        <v>29</v>
      </c>
      <c r="AN934" s="4">
        <v>0</v>
      </c>
      <c r="AO934" s="4">
        <v>0</v>
      </c>
      <c r="AP934" s="4">
        <v>4</v>
      </c>
      <c r="AQ934" s="4">
        <v>6</v>
      </c>
      <c r="AR934" s="3" t="s">
        <v>65</v>
      </c>
      <c r="AS934" s="3" t="s">
        <v>65</v>
      </c>
      <c r="AT934" s="3" t="s">
        <v>209</v>
      </c>
      <c r="AU934" s="6" t="str">
        <f>HYPERLINK("http://catalog.hathitrust.org/Record/005286817","HathiTrust Record")</f>
        <v>HathiTrust Record</v>
      </c>
      <c r="AV934" s="6" t="str">
        <f>HYPERLINK("http://mcgill.on.worldcat.org/oclc/62760710","Catalog Record")</f>
        <v>Catalog Record</v>
      </c>
      <c r="AW934" s="6" t="str">
        <f>HYPERLINK("http://www.worldcat.org/oclc/62760710","WorldCat Record")</f>
        <v>WorldCat Record</v>
      </c>
      <c r="AX934" s="3" t="s">
        <v>9207</v>
      </c>
      <c r="AY934" s="3" t="s">
        <v>9208</v>
      </c>
      <c r="AZ934" s="3" t="s">
        <v>9209</v>
      </c>
      <c r="BA934" s="3" t="s">
        <v>9209</v>
      </c>
      <c r="BB934" s="3" t="s">
        <v>9210</v>
      </c>
      <c r="BC934" s="3" t="s">
        <v>77</v>
      </c>
      <c r="BD934" s="3" t="s">
        <v>78</v>
      </c>
      <c r="BE934" s="3" t="s">
        <v>9211</v>
      </c>
      <c r="BF934" s="3" t="s">
        <v>9210</v>
      </c>
      <c r="BG934" s="3" t="s">
        <v>9212</v>
      </c>
    </row>
    <row r="935" spans="1:59" ht="72.5" x14ac:dyDescent="0.35">
      <c r="A935" s="2" t="s">
        <v>59</v>
      </c>
      <c r="B935" s="2" t="s">
        <v>60</v>
      </c>
      <c r="C935" s="2" t="s">
        <v>9213</v>
      </c>
      <c r="D935" s="2" t="s">
        <v>9214</v>
      </c>
      <c r="E935" s="2" t="s">
        <v>9215</v>
      </c>
      <c r="G935" s="3" t="s">
        <v>65</v>
      </c>
      <c r="I935" s="3" t="s">
        <v>65</v>
      </c>
      <c r="J935" s="3" t="s">
        <v>65</v>
      </c>
      <c r="K935" s="3" t="s">
        <v>66</v>
      </c>
      <c r="L935" s="2" t="s">
        <v>904</v>
      </c>
      <c r="M935" s="2" t="s">
        <v>9216</v>
      </c>
      <c r="N935" s="3" t="s">
        <v>525</v>
      </c>
      <c r="P935" s="3" t="s">
        <v>69</v>
      </c>
      <c r="Q935" s="2" t="s">
        <v>9217</v>
      </c>
      <c r="R935" s="3" t="s">
        <v>71</v>
      </c>
      <c r="S935" s="4">
        <v>20</v>
      </c>
      <c r="T935" s="4">
        <v>20</v>
      </c>
      <c r="U935" s="5" t="s">
        <v>6927</v>
      </c>
      <c r="V935" s="5" t="s">
        <v>6927</v>
      </c>
      <c r="W935" s="5" t="s">
        <v>72</v>
      </c>
      <c r="X935" s="5" t="s">
        <v>72</v>
      </c>
      <c r="Y935" s="4">
        <v>61</v>
      </c>
      <c r="Z935" s="4">
        <v>3</v>
      </c>
      <c r="AA935" s="4">
        <v>15</v>
      </c>
      <c r="AB935" s="4">
        <v>2</v>
      </c>
      <c r="AC935" s="4">
        <v>3</v>
      </c>
      <c r="AD935" s="4">
        <v>8</v>
      </c>
      <c r="AE935" s="4">
        <v>21</v>
      </c>
      <c r="AF935" s="4">
        <v>1</v>
      </c>
      <c r="AG935" s="4">
        <v>1</v>
      </c>
      <c r="AH935" s="4">
        <v>7</v>
      </c>
      <c r="AI935" s="4">
        <v>15</v>
      </c>
      <c r="AJ935" s="4">
        <v>1</v>
      </c>
      <c r="AK935" s="4">
        <v>4</v>
      </c>
      <c r="AL935" s="4">
        <v>6</v>
      </c>
      <c r="AM935" s="4">
        <v>12</v>
      </c>
      <c r="AN935" s="4">
        <v>0</v>
      </c>
      <c r="AO935" s="4">
        <v>0</v>
      </c>
      <c r="AP935" s="4">
        <v>1</v>
      </c>
      <c r="AQ935" s="4">
        <v>6</v>
      </c>
      <c r="AR935" s="3" t="s">
        <v>65</v>
      </c>
      <c r="AS935" s="3" t="s">
        <v>65</v>
      </c>
      <c r="AT935" s="3" t="s">
        <v>209</v>
      </c>
      <c r="AU935" s="6" t="str">
        <f>HYPERLINK("http://catalog.hathitrust.org/Record/102324625","HathiTrust Record")</f>
        <v>HathiTrust Record</v>
      </c>
      <c r="AV935" s="6" t="str">
        <f>HYPERLINK("http://mcgill.on.worldcat.org/oclc/63673337","Catalog Record")</f>
        <v>Catalog Record</v>
      </c>
      <c r="AW935" s="6" t="str">
        <f>HYPERLINK("http://www.worldcat.org/oclc/63673337","WorldCat Record")</f>
        <v>WorldCat Record</v>
      </c>
      <c r="AX935" s="3" t="s">
        <v>9218</v>
      </c>
      <c r="AY935" s="3" t="s">
        <v>9219</v>
      </c>
      <c r="AZ935" s="3" t="s">
        <v>9220</v>
      </c>
      <c r="BA935" s="3" t="s">
        <v>9220</v>
      </c>
      <c r="BB935" s="3" t="s">
        <v>9221</v>
      </c>
      <c r="BC935" s="3" t="s">
        <v>77</v>
      </c>
      <c r="BD935" s="3" t="s">
        <v>78</v>
      </c>
      <c r="BE935" s="3" t="s">
        <v>9222</v>
      </c>
      <c r="BF935" s="3" t="s">
        <v>9221</v>
      </c>
      <c r="BG935" s="3" t="s">
        <v>9223</v>
      </c>
    </row>
    <row r="936" spans="1:59" ht="58" x14ac:dyDescent="0.35">
      <c r="A936" s="2" t="s">
        <v>59</v>
      </c>
      <c r="B936" s="2" t="s">
        <v>60</v>
      </c>
      <c r="C936" s="2" t="s">
        <v>9224</v>
      </c>
      <c r="D936" s="2" t="s">
        <v>9225</v>
      </c>
      <c r="E936" s="2" t="s">
        <v>9226</v>
      </c>
      <c r="G936" s="3" t="s">
        <v>65</v>
      </c>
      <c r="I936" s="3" t="s">
        <v>209</v>
      </c>
      <c r="J936" s="3" t="s">
        <v>209</v>
      </c>
      <c r="K936" s="3" t="s">
        <v>66</v>
      </c>
      <c r="L936" s="2" t="s">
        <v>904</v>
      </c>
      <c r="M936" s="2" t="s">
        <v>9227</v>
      </c>
      <c r="N936" s="3" t="s">
        <v>1173</v>
      </c>
      <c r="P936" s="3" t="s">
        <v>69</v>
      </c>
      <c r="R936" s="3" t="s">
        <v>71</v>
      </c>
      <c r="S936" s="4">
        <v>38</v>
      </c>
      <c r="T936" s="4">
        <v>43</v>
      </c>
      <c r="U936" s="5" t="s">
        <v>9228</v>
      </c>
      <c r="V936" s="5" t="s">
        <v>9228</v>
      </c>
      <c r="W936" s="5" t="s">
        <v>72</v>
      </c>
      <c r="X936" s="5" t="s">
        <v>72</v>
      </c>
      <c r="Y936" s="4">
        <v>623</v>
      </c>
      <c r="Z936" s="4">
        <v>35</v>
      </c>
      <c r="AA936" s="4">
        <v>132</v>
      </c>
      <c r="AB936" s="4">
        <v>2</v>
      </c>
      <c r="AC936" s="4">
        <v>14</v>
      </c>
      <c r="AD936" s="4">
        <v>110</v>
      </c>
      <c r="AE936" s="4">
        <v>159</v>
      </c>
      <c r="AF936" s="4">
        <v>1</v>
      </c>
      <c r="AG936" s="4">
        <v>6</v>
      </c>
      <c r="AH936" s="4">
        <v>91</v>
      </c>
      <c r="AI936" s="4">
        <v>117</v>
      </c>
      <c r="AJ936" s="4">
        <v>17</v>
      </c>
      <c r="AK936" s="4">
        <v>28</v>
      </c>
      <c r="AL936" s="4">
        <v>52</v>
      </c>
      <c r="AM936" s="4">
        <v>64</v>
      </c>
      <c r="AN936" s="4">
        <v>0</v>
      </c>
      <c r="AO936" s="4">
        <v>6</v>
      </c>
      <c r="AP936" s="4">
        <v>26</v>
      </c>
      <c r="AQ936" s="4">
        <v>47</v>
      </c>
      <c r="AR936" s="3" t="s">
        <v>65</v>
      </c>
      <c r="AS936" s="3" t="s">
        <v>65</v>
      </c>
      <c r="AT936" s="3" t="s">
        <v>209</v>
      </c>
      <c r="AU936" s="6" t="str">
        <f>HYPERLINK("http://catalog.hathitrust.org/Record/000878432","HathiTrust Record")</f>
        <v>HathiTrust Record</v>
      </c>
      <c r="AV936" s="6" t="str">
        <f>HYPERLINK("http://mcgill.on.worldcat.org/oclc/125596","Catalog Record")</f>
        <v>Catalog Record</v>
      </c>
      <c r="AW936" s="6" t="str">
        <f>HYPERLINK("http://www.worldcat.org/oclc/125596","WorldCat Record")</f>
        <v>WorldCat Record</v>
      </c>
      <c r="AX936" s="3" t="s">
        <v>8391</v>
      </c>
      <c r="AY936" s="3" t="s">
        <v>9229</v>
      </c>
      <c r="AZ936" s="3" t="s">
        <v>9230</v>
      </c>
      <c r="BA936" s="3" t="s">
        <v>9230</v>
      </c>
      <c r="BB936" s="3" t="s">
        <v>9231</v>
      </c>
      <c r="BC936" s="3" t="s">
        <v>77</v>
      </c>
      <c r="BD936" s="3" t="s">
        <v>78</v>
      </c>
      <c r="BE936" s="3" t="s">
        <v>9232</v>
      </c>
      <c r="BF936" s="3" t="s">
        <v>9231</v>
      </c>
      <c r="BG936" s="3" t="s">
        <v>9233</v>
      </c>
    </row>
    <row r="937" spans="1:59" ht="58" x14ac:dyDescent="0.35">
      <c r="A937" s="2" t="s">
        <v>59</v>
      </c>
      <c r="B937" s="2" t="s">
        <v>60</v>
      </c>
      <c r="C937" s="2" t="s">
        <v>9224</v>
      </c>
      <c r="D937" s="2" t="s">
        <v>9225</v>
      </c>
      <c r="E937" s="2" t="s">
        <v>9226</v>
      </c>
      <c r="G937" s="3" t="s">
        <v>65</v>
      </c>
      <c r="I937" s="3" t="s">
        <v>209</v>
      </c>
      <c r="J937" s="3" t="s">
        <v>209</v>
      </c>
      <c r="K937" s="3" t="s">
        <v>66</v>
      </c>
      <c r="L937" s="2" t="s">
        <v>904</v>
      </c>
      <c r="M937" s="2" t="s">
        <v>9227</v>
      </c>
      <c r="N937" s="3" t="s">
        <v>1173</v>
      </c>
      <c r="P937" s="3" t="s">
        <v>69</v>
      </c>
      <c r="R937" s="3" t="s">
        <v>71</v>
      </c>
      <c r="S937" s="4">
        <v>0</v>
      </c>
      <c r="T937" s="4">
        <v>43</v>
      </c>
      <c r="V937" s="5" t="s">
        <v>9228</v>
      </c>
      <c r="W937" s="5" t="s">
        <v>72</v>
      </c>
      <c r="X937" s="5" t="s">
        <v>72</v>
      </c>
      <c r="Y937" s="4">
        <v>623</v>
      </c>
      <c r="Z937" s="4">
        <v>35</v>
      </c>
      <c r="AA937" s="4">
        <v>132</v>
      </c>
      <c r="AB937" s="4">
        <v>2</v>
      </c>
      <c r="AC937" s="4">
        <v>14</v>
      </c>
      <c r="AD937" s="4">
        <v>110</v>
      </c>
      <c r="AE937" s="4">
        <v>159</v>
      </c>
      <c r="AF937" s="4">
        <v>1</v>
      </c>
      <c r="AG937" s="4">
        <v>6</v>
      </c>
      <c r="AH937" s="4">
        <v>91</v>
      </c>
      <c r="AI937" s="4">
        <v>117</v>
      </c>
      <c r="AJ937" s="4">
        <v>17</v>
      </c>
      <c r="AK937" s="4">
        <v>28</v>
      </c>
      <c r="AL937" s="4">
        <v>52</v>
      </c>
      <c r="AM937" s="4">
        <v>64</v>
      </c>
      <c r="AN937" s="4">
        <v>0</v>
      </c>
      <c r="AO937" s="4">
        <v>6</v>
      </c>
      <c r="AP937" s="4">
        <v>26</v>
      </c>
      <c r="AQ937" s="4">
        <v>47</v>
      </c>
      <c r="AR937" s="3" t="s">
        <v>65</v>
      </c>
      <c r="AS937" s="3" t="s">
        <v>65</v>
      </c>
      <c r="AT937" s="3" t="s">
        <v>209</v>
      </c>
      <c r="AU937" s="6" t="str">
        <f>HYPERLINK("http://catalog.hathitrust.org/Record/000878432","HathiTrust Record")</f>
        <v>HathiTrust Record</v>
      </c>
      <c r="AV937" s="6" t="str">
        <f>HYPERLINK("http://mcgill.on.worldcat.org/oclc/125596","Catalog Record")</f>
        <v>Catalog Record</v>
      </c>
      <c r="AW937" s="6" t="str">
        <f>HYPERLINK("http://www.worldcat.org/oclc/125596","WorldCat Record")</f>
        <v>WorldCat Record</v>
      </c>
      <c r="AX937" s="3" t="s">
        <v>8391</v>
      </c>
      <c r="AY937" s="3" t="s">
        <v>9229</v>
      </c>
      <c r="AZ937" s="3" t="s">
        <v>9230</v>
      </c>
      <c r="BA937" s="3" t="s">
        <v>9230</v>
      </c>
      <c r="BB937" s="3" t="s">
        <v>9234</v>
      </c>
      <c r="BC937" s="3" t="s">
        <v>77</v>
      </c>
      <c r="BD937" s="3" t="s">
        <v>78</v>
      </c>
      <c r="BE937" s="3" t="s">
        <v>9232</v>
      </c>
      <c r="BF937" s="3" t="s">
        <v>9234</v>
      </c>
      <c r="BG937" s="3" t="s">
        <v>9235</v>
      </c>
    </row>
    <row r="938" spans="1:59" ht="58" x14ac:dyDescent="0.35">
      <c r="A938" s="2" t="s">
        <v>59</v>
      </c>
      <c r="B938" s="2" t="s">
        <v>60</v>
      </c>
      <c r="C938" s="2" t="s">
        <v>9224</v>
      </c>
      <c r="D938" s="2" t="s">
        <v>9225</v>
      </c>
      <c r="E938" s="2" t="s">
        <v>9226</v>
      </c>
      <c r="G938" s="3" t="s">
        <v>65</v>
      </c>
      <c r="I938" s="3" t="s">
        <v>209</v>
      </c>
      <c r="J938" s="3" t="s">
        <v>209</v>
      </c>
      <c r="K938" s="3" t="s">
        <v>66</v>
      </c>
      <c r="L938" s="2" t="s">
        <v>904</v>
      </c>
      <c r="M938" s="2" t="s">
        <v>9227</v>
      </c>
      <c r="N938" s="3" t="s">
        <v>1173</v>
      </c>
      <c r="P938" s="3" t="s">
        <v>69</v>
      </c>
      <c r="R938" s="3" t="s">
        <v>71</v>
      </c>
      <c r="S938" s="4">
        <v>5</v>
      </c>
      <c r="T938" s="4">
        <v>43</v>
      </c>
      <c r="U938" s="5" t="s">
        <v>9236</v>
      </c>
      <c r="V938" s="5" t="s">
        <v>9228</v>
      </c>
      <c r="W938" s="5" t="s">
        <v>72</v>
      </c>
      <c r="X938" s="5" t="s">
        <v>72</v>
      </c>
      <c r="Y938" s="4">
        <v>623</v>
      </c>
      <c r="Z938" s="4">
        <v>35</v>
      </c>
      <c r="AA938" s="4">
        <v>132</v>
      </c>
      <c r="AB938" s="4">
        <v>2</v>
      </c>
      <c r="AC938" s="4">
        <v>14</v>
      </c>
      <c r="AD938" s="4">
        <v>110</v>
      </c>
      <c r="AE938" s="4">
        <v>159</v>
      </c>
      <c r="AF938" s="4">
        <v>1</v>
      </c>
      <c r="AG938" s="4">
        <v>6</v>
      </c>
      <c r="AH938" s="4">
        <v>91</v>
      </c>
      <c r="AI938" s="4">
        <v>117</v>
      </c>
      <c r="AJ938" s="4">
        <v>17</v>
      </c>
      <c r="AK938" s="4">
        <v>28</v>
      </c>
      <c r="AL938" s="4">
        <v>52</v>
      </c>
      <c r="AM938" s="4">
        <v>64</v>
      </c>
      <c r="AN938" s="4">
        <v>0</v>
      </c>
      <c r="AO938" s="4">
        <v>6</v>
      </c>
      <c r="AP938" s="4">
        <v>26</v>
      </c>
      <c r="AQ938" s="4">
        <v>47</v>
      </c>
      <c r="AR938" s="3" t="s">
        <v>65</v>
      </c>
      <c r="AS938" s="3" t="s">
        <v>65</v>
      </c>
      <c r="AT938" s="3" t="s">
        <v>209</v>
      </c>
      <c r="AU938" s="6" t="str">
        <f>HYPERLINK("http://catalog.hathitrust.org/Record/000878432","HathiTrust Record")</f>
        <v>HathiTrust Record</v>
      </c>
      <c r="AV938" s="6" t="str">
        <f>HYPERLINK("http://mcgill.on.worldcat.org/oclc/125596","Catalog Record")</f>
        <v>Catalog Record</v>
      </c>
      <c r="AW938" s="6" t="str">
        <f>HYPERLINK("http://www.worldcat.org/oclc/125596","WorldCat Record")</f>
        <v>WorldCat Record</v>
      </c>
      <c r="AX938" s="3" t="s">
        <v>8391</v>
      </c>
      <c r="AY938" s="3" t="s">
        <v>9229</v>
      </c>
      <c r="AZ938" s="3" t="s">
        <v>9230</v>
      </c>
      <c r="BA938" s="3" t="s">
        <v>9230</v>
      </c>
      <c r="BB938" s="3" t="s">
        <v>9237</v>
      </c>
      <c r="BC938" s="3" t="s">
        <v>77</v>
      </c>
      <c r="BD938" s="3" t="s">
        <v>78</v>
      </c>
      <c r="BE938" s="3" t="s">
        <v>9232</v>
      </c>
      <c r="BF938" s="3" t="s">
        <v>9237</v>
      </c>
      <c r="BG938" s="3" t="s">
        <v>9238</v>
      </c>
    </row>
    <row r="939" spans="1:59" ht="58" x14ac:dyDescent="0.35">
      <c r="A939" s="2" t="s">
        <v>59</v>
      </c>
      <c r="B939" s="2" t="s">
        <v>60</v>
      </c>
      <c r="C939" s="2" t="s">
        <v>9239</v>
      </c>
      <c r="D939" s="2" t="s">
        <v>9240</v>
      </c>
      <c r="E939" s="2" t="s">
        <v>9241</v>
      </c>
      <c r="F939" s="3" t="s">
        <v>255</v>
      </c>
      <c r="G939" s="3" t="s">
        <v>209</v>
      </c>
      <c r="I939" s="3" t="s">
        <v>209</v>
      </c>
      <c r="J939" s="3" t="s">
        <v>65</v>
      </c>
      <c r="K939" s="3" t="s">
        <v>66</v>
      </c>
      <c r="L939" s="2" t="s">
        <v>904</v>
      </c>
      <c r="M939" s="2" t="s">
        <v>9242</v>
      </c>
      <c r="N939" s="3" t="s">
        <v>1085</v>
      </c>
      <c r="P939" s="3" t="s">
        <v>69</v>
      </c>
      <c r="Q939" s="2" t="s">
        <v>9243</v>
      </c>
      <c r="R939" s="3" t="s">
        <v>71</v>
      </c>
      <c r="S939" s="4">
        <v>0</v>
      </c>
      <c r="T939" s="4">
        <v>85</v>
      </c>
      <c r="V939" s="5" t="s">
        <v>9244</v>
      </c>
      <c r="W939" s="5" t="s">
        <v>72</v>
      </c>
      <c r="X939" s="5" t="s">
        <v>72</v>
      </c>
      <c r="Y939" s="4">
        <v>478</v>
      </c>
      <c r="Z939" s="4">
        <v>27</v>
      </c>
      <c r="AA939" s="4">
        <v>28</v>
      </c>
      <c r="AB939" s="4">
        <v>1</v>
      </c>
      <c r="AC939" s="4">
        <v>2</v>
      </c>
      <c r="AD939" s="4">
        <v>110</v>
      </c>
      <c r="AE939" s="4">
        <v>111</v>
      </c>
      <c r="AF939" s="4">
        <v>0</v>
      </c>
      <c r="AG939" s="4">
        <v>1</v>
      </c>
      <c r="AH939" s="4">
        <v>96</v>
      </c>
      <c r="AI939" s="4">
        <v>97</v>
      </c>
      <c r="AJ939" s="4">
        <v>16</v>
      </c>
      <c r="AK939" s="4">
        <v>17</v>
      </c>
      <c r="AL939" s="4">
        <v>55</v>
      </c>
      <c r="AM939" s="4">
        <v>55</v>
      </c>
      <c r="AN939" s="4">
        <v>0</v>
      </c>
      <c r="AO939" s="4">
        <v>0</v>
      </c>
      <c r="AP939" s="4">
        <v>19</v>
      </c>
      <c r="AQ939" s="4">
        <v>20</v>
      </c>
      <c r="AR939" s="3" t="s">
        <v>65</v>
      </c>
      <c r="AS939" s="3" t="s">
        <v>65</v>
      </c>
      <c r="AT939" s="3" t="s">
        <v>209</v>
      </c>
      <c r="AU939" s="6" t="str">
        <f t="shared" ref="AU939:AU950" si="16">HYPERLINK("http://catalog.hathitrust.org/Record/003155728","HathiTrust Record")</f>
        <v>HathiTrust Record</v>
      </c>
      <c r="AV939" s="6" t="str">
        <f t="shared" ref="AV939:AV950" si="17">HYPERLINK("http://mcgill.on.worldcat.org/oclc/34411789","Catalog Record")</f>
        <v>Catalog Record</v>
      </c>
      <c r="AW939" s="6" t="str">
        <f t="shared" ref="AW939:AW950" si="18">HYPERLINK("http://www.worldcat.org/oclc/34411789","WorldCat Record")</f>
        <v>WorldCat Record</v>
      </c>
      <c r="AX939" s="3" t="s">
        <v>9245</v>
      </c>
      <c r="AY939" s="3" t="s">
        <v>9246</v>
      </c>
      <c r="AZ939" s="3" t="s">
        <v>9247</v>
      </c>
      <c r="BA939" s="3" t="s">
        <v>9247</v>
      </c>
      <c r="BB939" s="3" t="s">
        <v>9248</v>
      </c>
      <c r="BC939" s="3" t="s">
        <v>77</v>
      </c>
      <c r="BD939" s="3" t="s">
        <v>78</v>
      </c>
      <c r="BE939" s="3" t="s">
        <v>9249</v>
      </c>
      <c r="BF939" s="3" t="s">
        <v>9248</v>
      </c>
      <c r="BG939" s="3" t="s">
        <v>9250</v>
      </c>
    </row>
    <row r="940" spans="1:59" ht="58" x14ac:dyDescent="0.35">
      <c r="A940" s="2" t="s">
        <v>59</v>
      </c>
      <c r="B940" s="2" t="s">
        <v>60</v>
      </c>
      <c r="C940" s="2" t="s">
        <v>9239</v>
      </c>
      <c r="D940" s="2" t="s">
        <v>9240</v>
      </c>
      <c r="E940" s="2" t="s">
        <v>9241</v>
      </c>
      <c r="F940" s="3" t="s">
        <v>1071</v>
      </c>
      <c r="G940" s="3" t="s">
        <v>209</v>
      </c>
      <c r="I940" s="3" t="s">
        <v>209</v>
      </c>
      <c r="J940" s="3" t="s">
        <v>65</v>
      </c>
      <c r="K940" s="3" t="s">
        <v>66</v>
      </c>
      <c r="L940" s="2" t="s">
        <v>904</v>
      </c>
      <c r="M940" s="2" t="s">
        <v>9242</v>
      </c>
      <c r="N940" s="3" t="s">
        <v>1085</v>
      </c>
      <c r="P940" s="3" t="s">
        <v>69</v>
      </c>
      <c r="Q940" s="2" t="s">
        <v>9243</v>
      </c>
      <c r="R940" s="3" t="s">
        <v>71</v>
      </c>
      <c r="S940" s="4">
        <v>2</v>
      </c>
      <c r="T940" s="4">
        <v>85</v>
      </c>
      <c r="U940" s="5" t="s">
        <v>9251</v>
      </c>
      <c r="V940" s="5" t="s">
        <v>9244</v>
      </c>
      <c r="W940" s="5" t="s">
        <v>72</v>
      </c>
      <c r="X940" s="5" t="s">
        <v>72</v>
      </c>
      <c r="Y940" s="4">
        <v>478</v>
      </c>
      <c r="Z940" s="4">
        <v>27</v>
      </c>
      <c r="AA940" s="4">
        <v>28</v>
      </c>
      <c r="AB940" s="4">
        <v>1</v>
      </c>
      <c r="AC940" s="4">
        <v>2</v>
      </c>
      <c r="AD940" s="4">
        <v>110</v>
      </c>
      <c r="AE940" s="4">
        <v>111</v>
      </c>
      <c r="AF940" s="4">
        <v>0</v>
      </c>
      <c r="AG940" s="4">
        <v>1</v>
      </c>
      <c r="AH940" s="4">
        <v>96</v>
      </c>
      <c r="AI940" s="4">
        <v>97</v>
      </c>
      <c r="AJ940" s="4">
        <v>16</v>
      </c>
      <c r="AK940" s="4">
        <v>17</v>
      </c>
      <c r="AL940" s="4">
        <v>55</v>
      </c>
      <c r="AM940" s="4">
        <v>55</v>
      </c>
      <c r="AN940" s="4">
        <v>0</v>
      </c>
      <c r="AO940" s="4">
        <v>0</v>
      </c>
      <c r="AP940" s="4">
        <v>19</v>
      </c>
      <c r="AQ940" s="4">
        <v>20</v>
      </c>
      <c r="AR940" s="3" t="s">
        <v>65</v>
      </c>
      <c r="AS940" s="3" t="s">
        <v>65</v>
      </c>
      <c r="AT940" s="3" t="s">
        <v>209</v>
      </c>
      <c r="AU940" s="6" t="str">
        <f t="shared" si="16"/>
        <v>HathiTrust Record</v>
      </c>
      <c r="AV940" s="6" t="str">
        <f t="shared" si="17"/>
        <v>Catalog Record</v>
      </c>
      <c r="AW940" s="6" t="str">
        <f t="shared" si="18"/>
        <v>WorldCat Record</v>
      </c>
      <c r="AX940" s="3" t="s">
        <v>9245</v>
      </c>
      <c r="AY940" s="3" t="s">
        <v>9246</v>
      </c>
      <c r="AZ940" s="3" t="s">
        <v>9247</v>
      </c>
      <c r="BA940" s="3" t="s">
        <v>9247</v>
      </c>
      <c r="BB940" s="3" t="s">
        <v>9252</v>
      </c>
      <c r="BC940" s="3" t="s">
        <v>77</v>
      </c>
      <c r="BD940" s="3" t="s">
        <v>78</v>
      </c>
      <c r="BE940" s="3" t="s">
        <v>9249</v>
      </c>
      <c r="BF940" s="3" t="s">
        <v>9252</v>
      </c>
      <c r="BG940" s="3" t="s">
        <v>9253</v>
      </c>
    </row>
    <row r="941" spans="1:59" ht="58" x14ac:dyDescent="0.35">
      <c r="A941" s="2" t="s">
        <v>59</v>
      </c>
      <c r="B941" s="2" t="s">
        <v>60</v>
      </c>
      <c r="C941" s="2" t="s">
        <v>9239</v>
      </c>
      <c r="D941" s="2" t="s">
        <v>9240</v>
      </c>
      <c r="E941" s="2" t="s">
        <v>9241</v>
      </c>
      <c r="F941" s="3" t="s">
        <v>792</v>
      </c>
      <c r="G941" s="3" t="s">
        <v>209</v>
      </c>
      <c r="I941" s="3" t="s">
        <v>209</v>
      </c>
      <c r="J941" s="3" t="s">
        <v>65</v>
      </c>
      <c r="K941" s="3" t="s">
        <v>66</v>
      </c>
      <c r="L941" s="2" t="s">
        <v>904</v>
      </c>
      <c r="M941" s="2" t="s">
        <v>9242</v>
      </c>
      <c r="N941" s="3" t="s">
        <v>1085</v>
      </c>
      <c r="P941" s="3" t="s">
        <v>69</v>
      </c>
      <c r="Q941" s="2" t="s">
        <v>9243</v>
      </c>
      <c r="R941" s="3" t="s">
        <v>71</v>
      </c>
      <c r="S941" s="4">
        <v>6</v>
      </c>
      <c r="T941" s="4">
        <v>85</v>
      </c>
      <c r="U941" s="5" t="s">
        <v>9254</v>
      </c>
      <c r="V941" s="5" t="s">
        <v>9244</v>
      </c>
      <c r="W941" s="5" t="s">
        <v>72</v>
      </c>
      <c r="X941" s="5" t="s">
        <v>72</v>
      </c>
      <c r="Y941" s="4">
        <v>478</v>
      </c>
      <c r="Z941" s="4">
        <v>27</v>
      </c>
      <c r="AA941" s="4">
        <v>28</v>
      </c>
      <c r="AB941" s="4">
        <v>1</v>
      </c>
      <c r="AC941" s="4">
        <v>2</v>
      </c>
      <c r="AD941" s="4">
        <v>110</v>
      </c>
      <c r="AE941" s="4">
        <v>111</v>
      </c>
      <c r="AF941" s="4">
        <v>0</v>
      </c>
      <c r="AG941" s="4">
        <v>1</v>
      </c>
      <c r="AH941" s="4">
        <v>96</v>
      </c>
      <c r="AI941" s="4">
        <v>97</v>
      </c>
      <c r="AJ941" s="4">
        <v>16</v>
      </c>
      <c r="AK941" s="4">
        <v>17</v>
      </c>
      <c r="AL941" s="4">
        <v>55</v>
      </c>
      <c r="AM941" s="4">
        <v>55</v>
      </c>
      <c r="AN941" s="4">
        <v>0</v>
      </c>
      <c r="AO941" s="4">
        <v>0</v>
      </c>
      <c r="AP941" s="4">
        <v>19</v>
      </c>
      <c r="AQ941" s="4">
        <v>20</v>
      </c>
      <c r="AR941" s="3" t="s">
        <v>65</v>
      </c>
      <c r="AS941" s="3" t="s">
        <v>65</v>
      </c>
      <c r="AT941" s="3" t="s">
        <v>209</v>
      </c>
      <c r="AU941" s="6" t="str">
        <f t="shared" si="16"/>
        <v>HathiTrust Record</v>
      </c>
      <c r="AV941" s="6" t="str">
        <f t="shared" si="17"/>
        <v>Catalog Record</v>
      </c>
      <c r="AW941" s="6" t="str">
        <f t="shared" si="18"/>
        <v>WorldCat Record</v>
      </c>
      <c r="AX941" s="3" t="s">
        <v>9245</v>
      </c>
      <c r="AY941" s="3" t="s">
        <v>9246</v>
      </c>
      <c r="AZ941" s="3" t="s">
        <v>9247</v>
      </c>
      <c r="BA941" s="3" t="s">
        <v>9247</v>
      </c>
      <c r="BB941" s="3" t="s">
        <v>9255</v>
      </c>
      <c r="BC941" s="3" t="s">
        <v>77</v>
      </c>
      <c r="BD941" s="3" t="s">
        <v>78</v>
      </c>
      <c r="BE941" s="3" t="s">
        <v>9249</v>
      </c>
      <c r="BF941" s="3" t="s">
        <v>9255</v>
      </c>
      <c r="BG941" s="3" t="s">
        <v>9256</v>
      </c>
    </row>
    <row r="942" spans="1:59" ht="58" x14ac:dyDescent="0.35">
      <c r="A942" s="2" t="s">
        <v>59</v>
      </c>
      <c r="B942" s="2" t="s">
        <v>60</v>
      </c>
      <c r="C942" s="2" t="s">
        <v>9239</v>
      </c>
      <c r="D942" s="2" t="s">
        <v>9240</v>
      </c>
      <c r="E942" s="2" t="s">
        <v>9241</v>
      </c>
      <c r="F942" s="3" t="s">
        <v>245</v>
      </c>
      <c r="G942" s="3" t="s">
        <v>209</v>
      </c>
      <c r="I942" s="3" t="s">
        <v>209</v>
      </c>
      <c r="J942" s="3" t="s">
        <v>65</v>
      </c>
      <c r="K942" s="3" t="s">
        <v>66</v>
      </c>
      <c r="L942" s="2" t="s">
        <v>904</v>
      </c>
      <c r="M942" s="2" t="s">
        <v>9242</v>
      </c>
      <c r="N942" s="3" t="s">
        <v>1085</v>
      </c>
      <c r="P942" s="3" t="s">
        <v>69</v>
      </c>
      <c r="Q942" s="2" t="s">
        <v>9243</v>
      </c>
      <c r="R942" s="3" t="s">
        <v>71</v>
      </c>
      <c r="S942" s="4">
        <v>30</v>
      </c>
      <c r="T942" s="4">
        <v>85</v>
      </c>
      <c r="U942" s="5" t="s">
        <v>9244</v>
      </c>
      <c r="V942" s="5" t="s">
        <v>9244</v>
      </c>
      <c r="W942" s="5" t="s">
        <v>72</v>
      </c>
      <c r="X942" s="5" t="s">
        <v>72</v>
      </c>
      <c r="Y942" s="4">
        <v>478</v>
      </c>
      <c r="Z942" s="4">
        <v>27</v>
      </c>
      <c r="AA942" s="4">
        <v>28</v>
      </c>
      <c r="AB942" s="4">
        <v>1</v>
      </c>
      <c r="AC942" s="4">
        <v>2</v>
      </c>
      <c r="AD942" s="4">
        <v>110</v>
      </c>
      <c r="AE942" s="4">
        <v>111</v>
      </c>
      <c r="AF942" s="4">
        <v>0</v>
      </c>
      <c r="AG942" s="4">
        <v>1</v>
      </c>
      <c r="AH942" s="4">
        <v>96</v>
      </c>
      <c r="AI942" s="4">
        <v>97</v>
      </c>
      <c r="AJ942" s="4">
        <v>16</v>
      </c>
      <c r="AK942" s="4">
        <v>17</v>
      </c>
      <c r="AL942" s="4">
        <v>55</v>
      </c>
      <c r="AM942" s="4">
        <v>55</v>
      </c>
      <c r="AN942" s="4">
        <v>0</v>
      </c>
      <c r="AO942" s="4">
        <v>0</v>
      </c>
      <c r="AP942" s="4">
        <v>19</v>
      </c>
      <c r="AQ942" s="4">
        <v>20</v>
      </c>
      <c r="AR942" s="3" t="s">
        <v>65</v>
      </c>
      <c r="AS942" s="3" t="s">
        <v>65</v>
      </c>
      <c r="AT942" s="3" t="s">
        <v>209</v>
      </c>
      <c r="AU942" s="6" t="str">
        <f t="shared" si="16"/>
        <v>HathiTrust Record</v>
      </c>
      <c r="AV942" s="6" t="str">
        <f t="shared" si="17"/>
        <v>Catalog Record</v>
      </c>
      <c r="AW942" s="6" t="str">
        <f t="shared" si="18"/>
        <v>WorldCat Record</v>
      </c>
      <c r="AX942" s="3" t="s">
        <v>9245</v>
      </c>
      <c r="AY942" s="3" t="s">
        <v>9246</v>
      </c>
      <c r="AZ942" s="3" t="s">
        <v>9247</v>
      </c>
      <c r="BA942" s="3" t="s">
        <v>9247</v>
      </c>
      <c r="BB942" s="3" t="s">
        <v>9257</v>
      </c>
      <c r="BC942" s="3" t="s">
        <v>77</v>
      </c>
      <c r="BD942" s="3" t="s">
        <v>78</v>
      </c>
      <c r="BE942" s="3" t="s">
        <v>9249</v>
      </c>
      <c r="BF942" s="3" t="s">
        <v>9257</v>
      </c>
      <c r="BG942" s="3" t="s">
        <v>9258</v>
      </c>
    </row>
    <row r="943" spans="1:59" ht="58" x14ac:dyDescent="0.35">
      <c r="A943" s="2" t="s">
        <v>59</v>
      </c>
      <c r="B943" s="2" t="s">
        <v>60</v>
      </c>
      <c r="C943" s="2" t="s">
        <v>9239</v>
      </c>
      <c r="D943" s="2" t="s">
        <v>9240</v>
      </c>
      <c r="E943" s="2" t="s">
        <v>9241</v>
      </c>
      <c r="F943" s="3" t="s">
        <v>245</v>
      </c>
      <c r="G943" s="3" t="s">
        <v>209</v>
      </c>
      <c r="I943" s="3" t="s">
        <v>209</v>
      </c>
      <c r="J943" s="3" t="s">
        <v>65</v>
      </c>
      <c r="K943" s="3" t="s">
        <v>66</v>
      </c>
      <c r="L943" s="2" t="s">
        <v>904</v>
      </c>
      <c r="M943" s="2" t="s">
        <v>9242</v>
      </c>
      <c r="N943" s="3" t="s">
        <v>1085</v>
      </c>
      <c r="P943" s="3" t="s">
        <v>69</v>
      </c>
      <c r="Q943" s="2" t="s">
        <v>9243</v>
      </c>
      <c r="R943" s="3" t="s">
        <v>71</v>
      </c>
      <c r="S943" s="4">
        <v>5</v>
      </c>
      <c r="T943" s="4">
        <v>85</v>
      </c>
      <c r="U943" s="5" t="s">
        <v>2806</v>
      </c>
      <c r="V943" s="5" t="s">
        <v>9244</v>
      </c>
      <c r="W943" s="5" t="s">
        <v>72</v>
      </c>
      <c r="X943" s="5" t="s">
        <v>72</v>
      </c>
      <c r="Y943" s="4">
        <v>478</v>
      </c>
      <c r="Z943" s="4">
        <v>27</v>
      </c>
      <c r="AA943" s="4">
        <v>28</v>
      </c>
      <c r="AB943" s="4">
        <v>1</v>
      </c>
      <c r="AC943" s="4">
        <v>2</v>
      </c>
      <c r="AD943" s="4">
        <v>110</v>
      </c>
      <c r="AE943" s="4">
        <v>111</v>
      </c>
      <c r="AF943" s="4">
        <v>0</v>
      </c>
      <c r="AG943" s="4">
        <v>1</v>
      </c>
      <c r="AH943" s="4">
        <v>96</v>
      </c>
      <c r="AI943" s="4">
        <v>97</v>
      </c>
      <c r="AJ943" s="4">
        <v>16</v>
      </c>
      <c r="AK943" s="4">
        <v>17</v>
      </c>
      <c r="AL943" s="4">
        <v>55</v>
      </c>
      <c r="AM943" s="4">
        <v>55</v>
      </c>
      <c r="AN943" s="4">
        <v>0</v>
      </c>
      <c r="AO943" s="4">
        <v>0</v>
      </c>
      <c r="AP943" s="4">
        <v>19</v>
      </c>
      <c r="AQ943" s="4">
        <v>20</v>
      </c>
      <c r="AR943" s="3" t="s">
        <v>65</v>
      </c>
      <c r="AS943" s="3" t="s">
        <v>65</v>
      </c>
      <c r="AT943" s="3" t="s">
        <v>209</v>
      </c>
      <c r="AU943" s="6" t="str">
        <f t="shared" si="16"/>
        <v>HathiTrust Record</v>
      </c>
      <c r="AV943" s="6" t="str">
        <f t="shared" si="17"/>
        <v>Catalog Record</v>
      </c>
      <c r="AW943" s="6" t="str">
        <f t="shared" si="18"/>
        <v>WorldCat Record</v>
      </c>
      <c r="AX943" s="3" t="s">
        <v>9245</v>
      </c>
      <c r="AY943" s="3" t="s">
        <v>9246</v>
      </c>
      <c r="AZ943" s="3" t="s">
        <v>9247</v>
      </c>
      <c r="BA943" s="3" t="s">
        <v>9247</v>
      </c>
      <c r="BB943" s="3" t="s">
        <v>9259</v>
      </c>
      <c r="BC943" s="3" t="s">
        <v>77</v>
      </c>
      <c r="BD943" s="3" t="s">
        <v>78</v>
      </c>
      <c r="BE943" s="3" t="s">
        <v>9249</v>
      </c>
      <c r="BF943" s="3" t="s">
        <v>9259</v>
      </c>
      <c r="BG943" s="3" t="s">
        <v>9260</v>
      </c>
    </row>
    <row r="944" spans="1:59" ht="58" x14ac:dyDescent="0.35">
      <c r="A944" s="2" t="s">
        <v>59</v>
      </c>
      <c r="B944" s="2" t="s">
        <v>60</v>
      </c>
      <c r="C944" s="2" t="s">
        <v>9239</v>
      </c>
      <c r="D944" s="2" t="s">
        <v>9240</v>
      </c>
      <c r="E944" s="2" t="s">
        <v>9241</v>
      </c>
      <c r="F944" s="3" t="s">
        <v>1075</v>
      </c>
      <c r="G944" s="3" t="s">
        <v>209</v>
      </c>
      <c r="I944" s="3" t="s">
        <v>209</v>
      </c>
      <c r="J944" s="3" t="s">
        <v>65</v>
      </c>
      <c r="K944" s="3" t="s">
        <v>66</v>
      </c>
      <c r="L944" s="2" t="s">
        <v>904</v>
      </c>
      <c r="M944" s="2" t="s">
        <v>9242</v>
      </c>
      <c r="N944" s="3" t="s">
        <v>1085</v>
      </c>
      <c r="P944" s="3" t="s">
        <v>69</v>
      </c>
      <c r="Q944" s="2" t="s">
        <v>9243</v>
      </c>
      <c r="R944" s="3" t="s">
        <v>71</v>
      </c>
      <c r="S944" s="4">
        <v>1</v>
      </c>
      <c r="T944" s="4">
        <v>85</v>
      </c>
      <c r="U944" s="5" t="s">
        <v>9261</v>
      </c>
      <c r="V944" s="5" t="s">
        <v>9244</v>
      </c>
      <c r="W944" s="5" t="s">
        <v>72</v>
      </c>
      <c r="X944" s="5" t="s">
        <v>72</v>
      </c>
      <c r="Y944" s="4">
        <v>478</v>
      </c>
      <c r="Z944" s="4">
        <v>27</v>
      </c>
      <c r="AA944" s="4">
        <v>28</v>
      </c>
      <c r="AB944" s="4">
        <v>1</v>
      </c>
      <c r="AC944" s="4">
        <v>2</v>
      </c>
      <c r="AD944" s="4">
        <v>110</v>
      </c>
      <c r="AE944" s="4">
        <v>111</v>
      </c>
      <c r="AF944" s="4">
        <v>0</v>
      </c>
      <c r="AG944" s="4">
        <v>1</v>
      </c>
      <c r="AH944" s="4">
        <v>96</v>
      </c>
      <c r="AI944" s="4">
        <v>97</v>
      </c>
      <c r="AJ944" s="4">
        <v>16</v>
      </c>
      <c r="AK944" s="4">
        <v>17</v>
      </c>
      <c r="AL944" s="4">
        <v>55</v>
      </c>
      <c r="AM944" s="4">
        <v>55</v>
      </c>
      <c r="AN944" s="4">
        <v>0</v>
      </c>
      <c r="AO944" s="4">
        <v>0</v>
      </c>
      <c r="AP944" s="4">
        <v>19</v>
      </c>
      <c r="AQ944" s="4">
        <v>20</v>
      </c>
      <c r="AR944" s="3" t="s">
        <v>65</v>
      </c>
      <c r="AS944" s="3" t="s">
        <v>65</v>
      </c>
      <c r="AT944" s="3" t="s">
        <v>209</v>
      </c>
      <c r="AU944" s="6" t="str">
        <f t="shared" si="16"/>
        <v>HathiTrust Record</v>
      </c>
      <c r="AV944" s="6" t="str">
        <f t="shared" si="17"/>
        <v>Catalog Record</v>
      </c>
      <c r="AW944" s="6" t="str">
        <f t="shared" si="18"/>
        <v>WorldCat Record</v>
      </c>
      <c r="AX944" s="3" t="s">
        <v>9245</v>
      </c>
      <c r="AY944" s="3" t="s">
        <v>9246</v>
      </c>
      <c r="AZ944" s="3" t="s">
        <v>9247</v>
      </c>
      <c r="BA944" s="3" t="s">
        <v>9247</v>
      </c>
      <c r="BB944" s="3" t="s">
        <v>9262</v>
      </c>
      <c r="BC944" s="3" t="s">
        <v>77</v>
      </c>
      <c r="BD944" s="3" t="s">
        <v>78</v>
      </c>
      <c r="BE944" s="3" t="s">
        <v>9249</v>
      </c>
      <c r="BF944" s="3" t="s">
        <v>9262</v>
      </c>
      <c r="BG944" s="3" t="s">
        <v>9263</v>
      </c>
    </row>
    <row r="945" spans="1:59" ht="58" x14ac:dyDescent="0.35">
      <c r="A945" s="2" t="s">
        <v>59</v>
      </c>
      <c r="B945" s="2" t="s">
        <v>60</v>
      </c>
      <c r="C945" s="2" t="s">
        <v>9239</v>
      </c>
      <c r="D945" s="2" t="s">
        <v>9240</v>
      </c>
      <c r="E945" s="2" t="s">
        <v>9241</v>
      </c>
      <c r="F945" s="3" t="s">
        <v>258</v>
      </c>
      <c r="G945" s="3" t="s">
        <v>209</v>
      </c>
      <c r="I945" s="3" t="s">
        <v>209</v>
      </c>
      <c r="J945" s="3" t="s">
        <v>65</v>
      </c>
      <c r="K945" s="3" t="s">
        <v>66</v>
      </c>
      <c r="L945" s="2" t="s">
        <v>904</v>
      </c>
      <c r="M945" s="2" t="s">
        <v>9242</v>
      </c>
      <c r="N945" s="3" t="s">
        <v>1085</v>
      </c>
      <c r="P945" s="3" t="s">
        <v>69</v>
      </c>
      <c r="Q945" s="2" t="s">
        <v>9243</v>
      </c>
      <c r="R945" s="3" t="s">
        <v>71</v>
      </c>
      <c r="S945" s="4">
        <v>28</v>
      </c>
      <c r="T945" s="4">
        <v>85</v>
      </c>
      <c r="U945" s="5" t="s">
        <v>9244</v>
      </c>
      <c r="V945" s="5" t="s">
        <v>9244</v>
      </c>
      <c r="W945" s="5" t="s">
        <v>72</v>
      </c>
      <c r="X945" s="5" t="s">
        <v>72</v>
      </c>
      <c r="Y945" s="4">
        <v>478</v>
      </c>
      <c r="Z945" s="4">
        <v>27</v>
      </c>
      <c r="AA945" s="4">
        <v>28</v>
      </c>
      <c r="AB945" s="4">
        <v>1</v>
      </c>
      <c r="AC945" s="4">
        <v>2</v>
      </c>
      <c r="AD945" s="4">
        <v>110</v>
      </c>
      <c r="AE945" s="4">
        <v>111</v>
      </c>
      <c r="AF945" s="4">
        <v>0</v>
      </c>
      <c r="AG945" s="4">
        <v>1</v>
      </c>
      <c r="AH945" s="4">
        <v>96</v>
      </c>
      <c r="AI945" s="4">
        <v>97</v>
      </c>
      <c r="AJ945" s="4">
        <v>16</v>
      </c>
      <c r="AK945" s="4">
        <v>17</v>
      </c>
      <c r="AL945" s="4">
        <v>55</v>
      </c>
      <c r="AM945" s="4">
        <v>55</v>
      </c>
      <c r="AN945" s="4">
        <v>0</v>
      </c>
      <c r="AO945" s="4">
        <v>0</v>
      </c>
      <c r="AP945" s="4">
        <v>19</v>
      </c>
      <c r="AQ945" s="4">
        <v>20</v>
      </c>
      <c r="AR945" s="3" t="s">
        <v>65</v>
      </c>
      <c r="AS945" s="3" t="s">
        <v>65</v>
      </c>
      <c r="AT945" s="3" t="s">
        <v>209</v>
      </c>
      <c r="AU945" s="6" t="str">
        <f t="shared" si="16"/>
        <v>HathiTrust Record</v>
      </c>
      <c r="AV945" s="6" t="str">
        <f t="shared" si="17"/>
        <v>Catalog Record</v>
      </c>
      <c r="AW945" s="6" t="str">
        <f t="shared" si="18"/>
        <v>WorldCat Record</v>
      </c>
      <c r="AX945" s="3" t="s">
        <v>9245</v>
      </c>
      <c r="AY945" s="3" t="s">
        <v>9246</v>
      </c>
      <c r="AZ945" s="3" t="s">
        <v>9247</v>
      </c>
      <c r="BA945" s="3" t="s">
        <v>9247</v>
      </c>
      <c r="BB945" s="3" t="s">
        <v>9264</v>
      </c>
      <c r="BC945" s="3" t="s">
        <v>77</v>
      </c>
      <c r="BD945" s="3" t="s">
        <v>78</v>
      </c>
      <c r="BE945" s="3" t="s">
        <v>9249</v>
      </c>
      <c r="BF945" s="3" t="s">
        <v>9264</v>
      </c>
      <c r="BG945" s="3" t="s">
        <v>9265</v>
      </c>
    </row>
    <row r="946" spans="1:59" ht="58" x14ac:dyDescent="0.35">
      <c r="A946" s="2" t="s">
        <v>59</v>
      </c>
      <c r="B946" s="2" t="s">
        <v>60</v>
      </c>
      <c r="C946" s="2" t="s">
        <v>9239</v>
      </c>
      <c r="D946" s="2" t="s">
        <v>9240</v>
      </c>
      <c r="E946" s="2" t="s">
        <v>9241</v>
      </c>
      <c r="F946" s="3" t="s">
        <v>258</v>
      </c>
      <c r="G946" s="3" t="s">
        <v>209</v>
      </c>
      <c r="I946" s="3" t="s">
        <v>209</v>
      </c>
      <c r="J946" s="3" t="s">
        <v>65</v>
      </c>
      <c r="K946" s="3" t="s">
        <v>66</v>
      </c>
      <c r="L946" s="2" t="s">
        <v>904</v>
      </c>
      <c r="M946" s="2" t="s">
        <v>9242</v>
      </c>
      <c r="N946" s="3" t="s">
        <v>1085</v>
      </c>
      <c r="P946" s="3" t="s">
        <v>69</v>
      </c>
      <c r="Q946" s="2" t="s">
        <v>9243</v>
      </c>
      <c r="R946" s="3" t="s">
        <v>71</v>
      </c>
      <c r="S946" s="4">
        <v>3</v>
      </c>
      <c r="T946" s="4">
        <v>85</v>
      </c>
      <c r="U946" s="5" t="s">
        <v>2806</v>
      </c>
      <c r="V946" s="5" t="s">
        <v>9244</v>
      </c>
      <c r="W946" s="5" t="s">
        <v>72</v>
      </c>
      <c r="X946" s="5" t="s">
        <v>72</v>
      </c>
      <c r="Y946" s="4">
        <v>478</v>
      </c>
      <c r="Z946" s="4">
        <v>27</v>
      </c>
      <c r="AA946" s="4">
        <v>28</v>
      </c>
      <c r="AB946" s="4">
        <v>1</v>
      </c>
      <c r="AC946" s="4">
        <v>2</v>
      </c>
      <c r="AD946" s="4">
        <v>110</v>
      </c>
      <c r="AE946" s="4">
        <v>111</v>
      </c>
      <c r="AF946" s="4">
        <v>0</v>
      </c>
      <c r="AG946" s="4">
        <v>1</v>
      </c>
      <c r="AH946" s="4">
        <v>96</v>
      </c>
      <c r="AI946" s="4">
        <v>97</v>
      </c>
      <c r="AJ946" s="4">
        <v>16</v>
      </c>
      <c r="AK946" s="4">
        <v>17</v>
      </c>
      <c r="AL946" s="4">
        <v>55</v>
      </c>
      <c r="AM946" s="4">
        <v>55</v>
      </c>
      <c r="AN946" s="4">
        <v>0</v>
      </c>
      <c r="AO946" s="4">
        <v>0</v>
      </c>
      <c r="AP946" s="4">
        <v>19</v>
      </c>
      <c r="AQ946" s="4">
        <v>20</v>
      </c>
      <c r="AR946" s="3" t="s">
        <v>65</v>
      </c>
      <c r="AS946" s="3" t="s">
        <v>65</v>
      </c>
      <c r="AT946" s="3" t="s">
        <v>209</v>
      </c>
      <c r="AU946" s="6" t="str">
        <f t="shared" si="16"/>
        <v>HathiTrust Record</v>
      </c>
      <c r="AV946" s="6" t="str">
        <f t="shared" si="17"/>
        <v>Catalog Record</v>
      </c>
      <c r="AW946" s="6" t="str">
        <f t="shared" si="18"/>
        <v>WorldCat Record</v>
      </c>
      <c r="AX946" s="3" t="s">
        <v>9245</v>
      </c>
      <c r="AY946" s="3" t="s">
        <v>9246</v>
      </c>
      <c r="AZ946" s="3" t="s">
        <v>9247</v>
      </c>
      <c r="BA946" s="3" t="s">
        <v>9247</v>
      </c>
      <c r="BB946" s="3" t="s">
        <v>9266</v>
      </c>
      <c r="BC946" s="3" t="s">
        <v>77</v>
      </c>
      <c r="BD946" s="3" t="s">
        <v>78</v>
      </c>
      <c r="BE946" s="3" t="s">
        <v>9249</v>
      </c>
      <c r="BF946" s="3" t="s">
        <v>9266</v>
      </c>
      <c r="BG946" s="3" t="s">
        <v>9267</v>
      </c>
    </row>
    <row r="947" spans="1:59" ht="58" x14ac:dyDescent="0.35">
      <c r="A947" s="2" t="s">
        <v>59</v>
      </c>
      <c r="B947" s="2" t="s">
        <v>60</v>
      </c>
      <c r="C947" s="2" t="s">
        <v>9239</v>
      </c>
      <c r="D947" s="2" t="s">
        <v>9240</v>
      </c>
      <c r="E947" s="2" t="s">
        <v>9241</v>
      </c>
      <c r="F947" s="3" t="s">
        <v>255</v>
      </c>
      <c r="G947" s="3" t="s">
        <v>209</v>
      </c>
      <c r="I947" s="3" t="s">
        <v>209</v>
      </c>
      <c r="J947" s="3" t="s">
        <v>65</v>
      </c>
      <c r="K947" s="3" t="s">
        <v>66</v>
      </c>
      <c r="L947" s="2" t="s">
        <v>904</v>
      </c>
      <c r="M947" s="2" t="s">
        <v>9242</v>
      </c>
      <c r="N947" s="3" t="s">
        <v>1085</v>
      </c>
      <c r="P947" s="3" t="s">
        <v>69</v>
      </c>
      <c r="Q947" s="2" t="s">
        <v>9243</v>
      </c>
      <c r="R947" s="3" t="s">
        <v>71</v>
      </c>
      <c r="S947" s="4">
        <v>8</v>
      </c>
      <c r="T947" s="4">
        <v>85</v>
      </c>
      <c r="U947" s="5" t="s">
        <v>9268</v>
      </c>
      <c r="V947" s="5" t="s">
        <v>9244</v>
      </c>
      <c r="W947" s="5" t="s">
        <v>72</v>
      </c>
      <c r="X947" s="5" t="s">
        <v>72</v>
      </c>
      <c r="Y947" s="4">
        <v>478</v>
      </c>
      <c r="Z947" s="4">
        <v>27</v>
      </c>
      <c r="AA947" s="4">
        <v>28</v>
      </c>
      <c r="AB947" s="4">
        <v>1</v>
      </c>
      <c r="AC947" s="4">
        <v>2</v>
      </c>
      <c r="AD947" s="4">
        <v>110</v>
      </c>
      <c r="AE947" s="4">
        <v>111</v>
      </c>
      <c r="AF947" s="4">
        <v>0</v>
      </c>
      <c r="AG947" s="4">
        <v>1</v>
      </c>
      <c r="AH947" s="4">
        <v>96</v>
      </c>
      <c r="AI947" s="4">
        <v>97</v>
      </c>
      <c r="AJ947" s="4">
        <v>16</v>
      </c>
      <c r="AK947" s="4">
        <v>17</v>
      </c>
      <c r="AL947" s="4">
        <v>55</v>
      </c>
      <c r="AM947" s="4">
        <v>55</v>
      </c>
      <c r="AN947" s="4">
        <v>0</v>
      </c>
      <c r="AO947" s="4">
        <v>0</v>
      </c>
      <c r="AP947" s="4">
        <v>19</v>
      </c>
      <c r="AQ947" s="4">
        <v>20</v>
      </c>
      <c r="AR947" s="3" t="s">
        <v>65</v>
      </c>
      <c r="AS947" s="3" t="s">
        <v>65</v>
      </c>
      <c r="AT947" s="3" t="s">
        <v>209</v>
      </c>
      <c r="AU947" s="6" t="str">
        <f t="shared" si="16"/>
        <v>HathiTrust Record</v>
      </c>
      <c r="AV947" s="6" t="str">
        <f t="shared" si="17"/>
        <v>Catalog Record</v>
      </c>
      <c r="AW947" s="6" t="str">
        <f t="shared" si="18"/>
        <v>WorldCat Record</v>
      </c>
      <c r="AX947" s="3" t="s">
        <v>9245</v>
      </c>
      <c r="AY947" s="3" t="s">
        <v>9246</v>
      </c>
      <c r="AZ947" s="3" t="s">
        <v>9247</v>
      </c>
      <c r="BA947" s="3" t="s">
        <v>9247</v>
      </c>
      <c r="BB947" s="3" t="s">
        <v>9269</v>
      </c>
      <c r="BC947" s="3" t="s">
        <v>77</v>
      </c>
      <c r="BD947" s="3" t="s">
        <v>78</v>
      </c>
      <c r="BE947" s="3" t="s">
        <v>9249</v>
      </c>
      <c r="BF947" s="3" t="s">
        <v>9269</v>
      </c>
      <c r="BG947" s="3" t="s">
        <v>9270</v>
      </c>
    </row>
    <row r="948" spans="1:59" ht="58" x14ac:dyDescent="0.35">
      <c r="A948" s="2" t="s">
        <v>59</v>
      </c>
      <c r="B948" s="2" t="s">
        <v>60</v>
      </c>
      <c r="C948" s="2" t="s">
        <v>9239</v>
      </c>
      <c r="D948" s="2" t="s">
        <v>9240</v>
      </c>
      <c r="E948" s="2" t="s">
        <v>9241</v>
      </c>
      <c r="F948" s="3" t="s">
        <v>1075</v>
      </c>
      <c r="G948" s="3" t="s">
        <v>209</v>
      </c>
      <c r="I948" s="3" t="s">
        <v>209</v>
      </c>
      <c r="J948" s="3" t="s">
        <v>65</v>
      </c>
      <c r="K948" s="3" t="s">
        <v>66</v>
      </c>
      <c r="L948" s="2" t="s">
        <v>904</v>
      </c>
      <c r="M948" s="2" t="s">
        <v>9242</v>
      </c>
      <c r="N948" s="3" t="s">
        <v>1085</v>
      </c>
      <c r="P948" s="3" t="s">
        <v>69</v>
      </c>
      <c r="Q948" s="2" t="s">
        <v>9243</v>
      </c>
      <c r="R948" s="3" t="s">
        <v>71</v>
      </c>
      <c r="S948" s="4">
        <v>1</v>
      </c>
      <c r="T948" s="4">
        <v>85</v>
      </c>
      <c r="U948" s="5" t="s">
        <v>9271</v>
      </c>
      <c r="V948" s="5" t="s">
        <v>9244</v>
      </c>
      <c r="W948" s="5" t="s">
        <v>72</v>
      </c>
      <c r="X948" s="5" t="s">
        <v>72</v>
      </c>
      <c r="Y948" s="4">
        <v>478</v>
      </c>
      <c r="Z948" s="4">
        <v>27</v>
      </c>
      <c r="AA948" s="4">
        <v>28</v>
      </c>
      <c r="AB948" s="4">
        <v>1</v>
      </c>
      <c r="AC948" s="4">
        <v>2</v>
      </c>
      <c r="AD948" s="4">
        <v>110</v>
      </c>
      <c r="AE948" s="4">
        <v>111</v>
      </c>
      <c r="AF948" s="4">
        <v>0</v>
      </c>
      <c r="AG948" s="4">
        <v>1</v>
      </c>
      <c r="AH948" s="4">
        <v>96</v>
      </c>
      <c r="AI948" s="4">
        <v>97</v>
      </c>
      <c r="AJ948" s="4">
        <v>16</v>
      </c>
      <c r="AK948" s="4">
        <v>17</v>
      </c>
      <c r="AL948" s="4">
        <v>55</v>
      </c>
      <c r="AM948" s="4">
        <v>55</v>
      </c>
      <c r="AN948" s="4">
        <v>0</v>
      </c>
      <c r="AO948" s="4">
        <v>0</v>
      </c>
      <c r="AP948" s="4">
        <v>19</v>
      </c>
      <c r="AQ948" s="4">
        <v>20</v>
      </c>
      <c r="AR948" s="3" t="s">
        <v>65</v>
      </c>
      <c r="AS948" s="3" t="s">
        <v>65</v>
      </c>
      <c r="AT948" s="3" t="s">
        <v>209</v>
      </c>
      <c r="AU948" s="6" t="str">
        <f t="shared" si="16"/>
        <v>HathiTrust Record</v>
      </c>
      <c r="AV948" s="6" t="str">
        <f t="shared" si="17"/>
        <v>Catalog Record</v>
      </c>
      <c r="AW948" s="6" t="str">
        <f t="shared" si="18"/>
        <v>WorldCat Record</v>
      </c>
      <c r="AX948" s="3" t="s">
        <v>9245</v>
      </c>
      <c r="AY948" s="3" t="s">
        <v>9246</v>
      </c>
      <c r="AZ948" s="3" t="s">
        <v>9247</v>
      </c>
      <c r="BA948" s="3" t="s">
        <v>9247</v>
      </c>
      <c r="BB948" s="3" t="s">
        <v>9272</v>
      </c>
      <c r="BC948" s="3" t="s">
        <v>77</v>
      </c>
      <c r="BD948" s="3" t="s">
        <v>78</v>
      </c>
      <c r="BE948" s="3" t="s">
        <v>9249</v>
      </c>
      <c r="BF948" s="3" t="s">
        <v>9272</v>
      </c>
      <c r="BG948" s="3" t="s">
        <v>9273</v>
      </c>
    </row>
    <row r="949" spans="1:59" ht="58" x14ac:dyDescent="0.35">
      <c r="A949" s="2" t="s">
        <v>59</v>
      </c>
      <c r="B949" s="2" t="s">
        <v>60</v>
      </c>
      <c r="C949" s="2" t="s">
        <v>9239</v>
      </c>
      <c r="D949" s="2" t="s">
        <v>9240</v>
      </c>
      <c r="E949" s="2" t="s">
        <v>9241</v>
      </c>
      <c r="F949" s="3" t="s">
        <v>792</v>
      </c>
      <c r="G949" s="3" t="s">
        <v>209</v>
      </c>
      <c r="I949" s="3" t="s">
        <v>209</v>
      </c>
      <c r="J949" s="3" t="s">
        <v>65</v>
      </c>
      <c r="K949" s="3" t="s">
        <v>66</v>
      </c>
      <c r="L949" s="2" t="s">
        <v>904</v>
      </c>
      <c r="M949" s="2" t="s">
        <v>9242</v>
      </c>
      <c r="N949" s="3" t="s">
        <v>1085</v>
      </c>
      <c r="P949" s="3" t="s">
        <v>69</v>
      </c>
      <c r="Q949" s="2" t="s">
        <v>9243</v>
      </c>
      <c r="R949" s="3" t="s">
        <v>71</v>
      </c>
      <c r="S949" s="4">
        <v>1</v>
      </c>
      <c r="T949" s="4">
        <v>85</v>
      </c>
      <c r="U949" s="5" t="s">
        <v>9261</v>
      </c>
      <c r="V949" s="5" t="s">
        <v>9244</v>
      </c>
      <c r="W949" s="5" t="s">
        <v>72</v>
      </c>
      <c r="X949" s="5" t="s">
        <v>72</v>
      </c>
      <c r="Y949" s="4">
        <v>478</v>
      </c>
      <c r="Z949" s="4">
        <v>27</v>
      </c>
      <c r="AA949" s="4">
        <v>28</v>
      </c>
      <c r="AB949" s="4">
        <v>1</v>
      </c>
      <c r="AC949" s="4">
        <v>2</v>
      </c>
      <c r="AD949" s="4">
        <v>110</v>
      </c>
      <c r="AE949" s="4">
        <v>111</v>
      </c>
      <c r="AF949" s="4">
        <v>0</v>
      </c>
      <c r="AG949" s="4">
        <v>1</v>
      </c>
      <c r="AH949" s="4">
        <v>96</v>
      </c>
      <c r="AI949" s="4">
        <v>97</v>
      </c>
      <c r="AJ949" s="4">
        <v>16</v>
      </c>
      <c r="AK949" s="4">
        <v>17</v>
      </c>
      <c r="AL949" s="4">
        <v>55</v>
      </c>
      <c r="AM949" s="4">
        <v>55</v>
      </c>
      <c r="AN949" s="4">
        <v>0</v>
      </c>
      <c r="AO949" s="4">
        <v>0</v>
      </c>
      <c r="AP949" s="4">
        <v>19</v>
      </c>
      <c r="AQ949" s="4">
        <v>20</v>
      </c>
      <c r="AR949" s="3" t="s">
        <v>65</v>
      </c>
      <c r="AS949" s="3" t="s">
        <v>65</v>
      </c>
      <c r="AT949" s="3" t="s">
        <v>209</v>
      </c>
      <c r="AU949" s="6" t="str">
        <f t="shared" si="16"/>
        <v>HathiTrust Record</v>
      </c>
      <c r="AV949" s="6" t="str">
        <f t="shared" si="17"/>
        <v>Catalog Record</v>
      </c>
      <c r="AW949" s="6" t="str">
        <f t="shared" si="18"/>
        <v>WorldCat Record</v>
      </c>
      <c r="AX949" s="3" t="s">
        <v>9245</v>
      </c>
      <c r="AY949" s="3" t="s">
        <v>9246</v>
      </c>
      <c r="AZ949" s="3" t="s">
        <v>9247</v>
      </c>
      <c r="BA949" s="3" t="s">
        <v>9247</v>
      </c>
      <c r="BB949" s="3" t="s">
        <v>9274</v>
      </c>
      <c r="BC949" s="3" t="s">
        <v>77</v>
      </c>
      <c r="BD949" s="3" t="s">
        <v>78</v>
      </c>
      <c r="BE949" s="3" t="s">
        <v>9249</v>
      </c>
      <c r="BF949" s="3" t="s">
        <v>9274</v>
      </c>
      <c r="BG949" s="3" t="s">
        <v>9275</v>
      </c>
    </row>
    <row r="950" spans="1:59" ht="58" x14ac:dyDescent="0.35">
      <c r="A950" s="2" t="s">
        <v>59</v>
      </c>
      <c r="B950" s="2" t="s">
        <v>60</v>
      </c>
      <c r="C950" s="2" t="s">
        <v>9239</v>
      </c>
      <c r="D950" s="2" t="s">
        <v>9240</v>
      </c>
      <c r="E950" s="2" t="s">
        <v>9241</v>
      </c>
      <c r="F950" s="3" t="s">
        <v>1071</v>
      </c>
      <c r="G950" s="3" t="s">
        <v>209</v>
      </c>
      <c r="I950" s="3" t="s">
        <v>209</v>
      </c>
      <c r="J950" s="3" t="s">
        <v>65</v>
      </c>
      <c r="K950" s="3" t="s">
        <v>66</v>
      </c>
      <c r="L950" s="2" t="s">
        <v>904</v>
      </c>
      <c r="M950" s="2" t="s">
        <v>9242</v>
      </c>
      <c r="N950" s="3" t="s">
        <v>1085</v>
      </c>
      <c r="P950" s="3" t="s">
        <v>69</v>
      </c>
      <c r="Q950" s="2" t="s">
        <v>9243</v>
      </c>
      <c r="R950" s="3" t="s">
        <v>71</v>
      </c>
      <c r="S950" s="4">
        <v>0</v>
      </c>
      <c r="T950" s="4">
        <v>85</v>
      </c>
      <c r="V950" s="5" t="s">
        <v>9244</v>
      </c>
      <c r="W950" s="5" t="s">
        <v>72</v>
      </c>
      <c r="X950" s="5" t="s">
        <v>72</v>
      </c>
      <c r="Y950" s="4">
        <v>478</v>
      </c>
      <c r="Z950" s="4">
        <v>27</v>
      </c>
      <c r="AA950" s="4">
        <v>28</v>
      </c>
      <c r="AB950" s="4">
        <v>1</v>
      </c>
      <c r="AC950" s="4">
        <v>2</v>
      </c>
      <c r="AD950" s="4">
        <v>110</v>
      </c>
      <c r="AE950" s="4">
        <v>111</v>
      </c>
      <c r="AF950" s="4">
        <v>0</v>
      </c>
      <c r="AG950" s="4">
        <v>1</v>
      </c>
      <c r="AH950" s="4">
        <v>96</v>
      </c>
      <c r="AI950" s="4">
        <v>97</v>
      </c>
      <c r="AJ950" s="4">
        <v>16</v>
      </c>
      <c r="AK950" s="4">
        <v>17</v>
      </c>
      <c r="AL950" s="4">
        <v>55</v>
      </c>
      <c r="AM950" s="4">
        <v>55</v>
      </c>
      <c r="AN950" s="4">
        <v>0</v>
      </c>
      <c r="AO950" s="4">
        <v>0</v>
      </c>
      <c r="AP950" s="4">
        <v>19</v>
      </c>
      <c r="AQ950" s="4">
        <v>20</v>
      </c>
      <c r="AR950" s="3" t="s">
        <v>65</v>
      </c>
      <c r="AS950" s="3" t="s">
        <v>65</v>
      </c>
      <c r="AT950" s="3" t="s">
        <v>209</v>
      </c>
      <c r="AU950" s="6" t="str">
        <f t="shared" si="16"/>
        <v>HathiTrust Record</v>
      </c>
      <c r="AV950" s="6" t="str">
        <f t="shared" si="17"/>
        <v>Catalog Record</v>
      </c>
      <c r="AW950" s="6" t="str">
        <f t="shared" si="18"/>
        <v>WorldCat Record</v>
      </c>
      <c r="AX950" s="3" t="s">
        <v>9245</v>
      </c>
      <c r="AY950" s="3" t="s">
        <v>9246</v>
      </c>
      <c r="AZ950" s="3" t="s">
        <v>9247</v>
      </c>
      <c r="BA950" s="3" t="s">
        <v>9247</v>
      </c>
      <c r="BB950" s="3" t="s">
        <v>9276</v>
      </c>
      <c r="BC950" s="3" t="s">
        <v>77</v>
      </c>
      <c r="BD950" s="3" t="s">
        <v>78</v>
      </c>
      <c r="BE950" s="3" t="s">
        <v>9249</v>
      </c>
      <c r="BF950" s="3" t="s">
        <v>9276</v>
      </c>
      <c r="BG950" s="3" t="s">
        <v>9277</v>
      </c>
    </row>
    <row r="951" spans="1:59" ht="58" x14ac:dyDescent="0.35">
      <c r="A951" s="2" t="s">
        <v>59</v>
      </c>
      <c r="B951" s="2" t="s">
        <v>60</v>
      </c>
      <c r="C951" s="2" t="s">
        <v>9278</v>
      </c>
      <c r="D951" s="2" t="s">
        <v>9279</v>
      </c>
      <c r="E951" s="2" t="s">
        <v>9280</v>
      </c>
      <c r="G951" s="3" t="s">
        <v>65</v>
      </c>
      <c r="I951" s="3" t="s">
        <v>209</v>
      </c>
      <c r="J951" s="3" t="s">
        <v>65</v>
      </c>
      <c r="K951" s="3" t="s">
        <v>66</v>
      </c>
      <c r="L951" s="2" t="s">
        <v>904</v>
      </c>
      <c r="M951" s="2" t="s">
        <v>9281</v>
      </c>
      <c r="N951" s="3" t="s">
        <v>1032</v>
      </c>
      <c r="P951" s="3" t="s">
        <v>69</v>
      </c>
      <c r="Q951" s="2" t="s">
        <v>9243</v>
      </c>
      <c r="R951" s="3" t="s">
        <v>71</v>
      </c>
      <c r="S951" s="4">
        <v>30</v>
      </c>
      <c r="T951" s="4">
        <v>91</v>
      </c>
      <c r="U951" s="5" t="s">
        <v>9282</v>
      </c>
      <c r="V951" s="5" t="s">
        <v>9283</v>
      </c>
      <c r="W951" s="5" t="s">
        <v>72</v>
      </c>
      <c r="X951" s="5" t="s">
        <v>72</v>
      </c>
      <c r="Y951" s="4">
        <v>645</v>
      </c>
      <c r="Z951" s="4">
        <v>22</v>
      </c>
      <c r="AA951" s="4">
        <v>97</v>
      </c>
      <c r="AB951" s="4">
        <v>1</v>
      </c>
      <c r="AC951" s="4">
        <v>17</v>
      </c>
      <c r="AD951" s="4">
        <v>99</v>
      </c>
      <c r="AE951" s="4">
        <v>140</v>
      </c>
      <c r="AF951" s="4">
        <v>0</v>
      </c>
      <c r="AG951" s="4">
        <v>8</v>
      </c>
      <c r="AH951" s="4">
        <v>91</v>
      </c>
      <c r="AI951" s="4">
        <v>104</v>
      </c>
      <c r="AJ951" s="4">
        <v>11</v>
      </c>
      <c r="AK951" s="4">
        <v>23</v>
      </c>
      <c r="AL951" s="4">
        <v>51</v>
      </c>
      <c r="AM951" s="4">
        <v>55</v>
      </c>
      <c r="AN951" s="4">
        <v>0</v>
      </c>
      <c r="AO951" s="4">
        <v>0</v>
      </c>
      <c r="AP951" s="4">
        <v>13</v>
      </c>
      <c r="AQ951" s="4">
        <v>45</v>
      </c>
      <c r="AR951" s="3" t="s">
        <v>65</v>
      </c>
      <c r="AS951" s="3" t="s">
        <v>65</v>
      </c>
      <c r="AT951" s="3" t="s">
        <v>209</v>
      </c>
      <c r="AU951" s="6" t="str">
        <f>HYPERLINK("http://catalog.hathitrust.org/Record/002992274","HathiTrust Record")</f>
        <v>HathiTrust Record</v>
      </c>
      <c r="AV951" s="6" t="str">
        <f>HYPERLINK("http://mcgill.on.worldcat.org/oclc/30891599","Catalog Record")</f>
        <v>Catalog Record</v>
      </c>
      <c r="AW951" s="6" t="str">
        <f>HYPERLINK("http://www.worldcat.org/oclc/30891599","WorldCat Record")</f>
        <v>WorldCat Record</v>
      </c>
      <c r="AX951" s="3" t="s">
        <v>9284</v>
      </c>
      <c r="AY951" s="3" t="s">
        <v>9285</v>
      </c>
      <c r="AZ951" s="3" t="s">
        <v>9286</v>
      </c>
      <c r="BA951" s="3" t="s">
        <v>9286</v>
      </c>
      <c r="BB951" s="3" t="s">
        <v>9287</v>
      </c>
      <c r="BC951" s="3" t="s">
        <v>77</v>
      </c>
      <c r="BD951" s="3" t="s">
        <v>78</v>
      </c>
      <c r="BE951" s="3" t="s">
        <v>9288</v>
      </c>
      <c r="BF951" s="3" t="s">
        <v>9287</v>
      </c>
      <c r="BG951" s="3" t="s">
        <v>9289</v>
      </c>
    </row>
    <row r="952" spans="1:59" ht="58" x14ac:dyDescent="0.35">
      <c r="A952" s="2" t="s">
        <v>59</v>
      </c>
      <c r="B952" s="2" t="s">
        <v>60</v>
      </c>
      <c r="C952" s="2" t="s">
        <v>9278</v>
      </c>
      <c r="D952" s="2" t="s">
        <v>9279</v>
      </c>
      <c r="E952" s="2" t="s">
        <v>9280</v>
      </c>
      <c r="G952" s="3" t="s">
        <v>65</v>
      </c>
      <c r="I952" s="3" t="s">
        <v>209</v>
      </c>
      <c r="J952" s="3" t="s">
        <v>65</v>
      </c>
      <c r="K952" s="3" t="s">
        <v>66</v>
      </c>
      <c r="L952" s="2" t="s">
        <v>904</v>
      </c>
      <c r="M952" s="2" t="s">
        <v>9281</v>
      </c>
      <c r="N952" s="3" t="s">
        <v>1032</v>
      </c>
      <c r="P952" s="3" t="s">
        <v>69</v>
      </c>
      <c r="Q952" s="2" t="s">
        <v>9243</v>
      </c>
      <c r="R952" s="3" t="s">
        <v>71</v>
      </c>
      <c r="S952" s="4">
        <v>33</v>
      </c>
      <c r="T952" s="4">
        <v>91</v>
      </c>
      <c r="U952" s="5" t="s">
        <v>9283</v>
      </c>
      <c r="V952" s="5" t="s">
        <v>9283</v>
      </c>
      <c r="W952" s="5" t="s">
        <v>72</v>
      </c>
      <c r="X952" s="5" t="s">
        <v>72</v>
      </c>
      <c r="Y952" s="4">
        <v>645</v>
      </c>
      <c r="Z952" s="4">
        <v>22</v>
      </c>
      <c r="AA952" s="4">
        <v>97</v>
      </c>
      <c r="AB952" s="4">
        <v>1</v>
      </c>
      <c r="AC952" s="4">
        <v>17</v>
      </c>
      <c r="AD952" s="4">
        <v>99</v>
      </c>
      <c r="AE952" s="4">
        <v>140</v>
      </c>
      <c r="AF952" s="4">
        <v>0</v>
      </c>
      <c r="AG952" s="4">
        <v>8</v>
      </c>
      <c r="AH952" s="4">
        <v>91</v>
      </c>
      <c r="AI952" s="4">
        <v>104</v>
      </c>
      <c r="AJ952" s="4">
        <v>11</v>
      </c>
      <c r="AK952" s="4">
        <v>23</v>
      </c>
      <c r="AL952" s="4">
        <v>51</v>
      </c>
      <c r="AM952" s="4">
        <v>55</v>
      </c>
      <c r="AN952" s="4">
        <v>0</v>
      </c>
      <c r="AO952" s="4">
        <v>0</v>
      </c>
      <c r="AP952" s="4">
        <v>13</v>
      </c>
      <c r="AQ952" s="4">
        <v>45</v>
      </c>
      <c r="AR952" s="3" t="s">
        <v>65</v>
      </c>
      <c r="AS952" s="3" t="s">
        <v>65</v>
      </c>
      <c r="AT952" s="3" t="s">
        <v>209</v>
      </c>
      <c r="AU952" s="6" t="str">
        <f>HYPERLINK("http://catalog.hathitrust.org/Record/002992274","HathiTrust Record")</f>
        <v>HathiTrust Record</v>
      </c>
      <c r="AV952" s="6" t="str">
        <f>HYPERLINK("http://mcgill.on.worldcat.org/oclc/30891599","Catalog Record")</f>
        <v>Catalog Record</v>
      </c>
      <c r="AW952" s="6" t="str">
        <f>HYPERLINK("http://www.worldcat.org/oclc/30891599","WorldCat Record")</f>
        <v>WorldCat Record</v>
      </c>
      <c r="AX952" s="3" t="s">
        <v>9284</v>
      </c>
      <c r="AY952" s="3" t="s">
        <v>9285</v>
      </c>
      <c r="AZ952" s="3" t="s">
        <v>9286</v>
      </c>
      <c r="BA952" s="3" t="s">
        <v>9286</v>
      </c>
      <c r="BB952" s="3" t="s">
        <v>9290</v>
      </c>
      <c r="BC952" s="3" t="s">
        <v>77</v>
      </c>
      <c r="BD952" s="3" t="s">
        <v>78</v>
      </c>
      <c r="BE952" s="3" t="s">
        <v>9288</v>
      </c>
      <c r="BF952" s="3" t="s">
        <v>9290</v>
      </c>
      <c r="BG952" s="3" t="s">
        <v>9291</v>
      </c>
    </row>
    <row r="953" spans="1:59" ht="58" x14ac:dyDescent="0.35">
      <c r="A953" s="2" t="s">
        <v>59</v>
      </c>
      <c r="B953" s="2" t="s">
        <v>60</v>
      </c>
      <c r="C953" s="2" t="s">
        <v>9278</v>
      </c>
      <c r="D953" s="2" t="s">
        <v>9279</v>
      </c>
      <c r="E953" s="2" t="s">
        <v>9280</v>
      </c>
      <c r="G953" s="3" t="s">
        <v>65</v>
      </c>
      <c r="I953" s="3" t="s">
        <v>209</v>
      </c>
      <c r="J953" s="3" t="s">
        <v>65</v>
      </c>
      <c r="K953" s="3" t="s">
        <v>66</v>
      </c>
      <c r="L953" s="2" t="s">
        <v>904</v>
      </c>
      <c r="M953" s="2" t="s">
        <v>9281</v>
      </c>
      <c r="N953" s="3" t="s">
        <v>1032</v>
      </c>
      <c r="P953" s="3" t="s">
        <v>69</v>
      </c>
      <c r="Q953" s="2" t="s">
        <v>9243</v>
      </c>
      <c r="R953" s="3" t="s">
        <v>71</v>
      </c>
      <c r="S953" s="4">
        <v>28</v>
      </c>
      <c r="T953" s="4">
        <v>91</v>
      </c>
      <c r="U953" s="5" t="s">
        <v>9292</v>
      </c>
      <c r="V953" s="5" t="s">
        <v>9283</v>
      </c>
      <c r="W953" s="5" t="s">
        <v>72</v>
      </c>
      <c r="X953" s="5" t="s">
        <v>72</v>
      </c>
      <c r="Y953" s="4">
        <v>645</v>
      </c>
      <c r="Z953" s="4">
        <v>22</v>
      </c>
      <c r="AA953" s="4">
        <v>97</v>
      </c>
      <c r="AB953" s="4">
        <v>1</v>
      </c>
      <c r="AC953" s="4">
        <v>17</v>
      </c>
      <c r="AD953" s="4">
        <v>99</v>
      </c>
      <c r="AE953" s="4">
        <v>140</v>
      </c>
      <c r="AF953" s="4">
        <v>0</v>
      </c>
      <c r="AG953" s="4">
        <v>8</v>
      </c>
      <c r="AH953" s="4">
        <v>91</v>
      </c>
      <c r="AI953" s="4">
        <v>104</v>
      </c>
      <c r="AJ953" s="4">
        <v>11</v>
      </c>
      <c r="AK953" s="4">
        <v>23</v>
      </c>
      <c r="AL953" s="4">
        <v>51</v>
      </c>
      <c r="AM953" s="4">
        <v>55</v>
      </c>
      <c r="AN953" s="4">
        <v>0</v>
      </c>
      <c r="AO953" s="4">
        <v>0</v>
      </c>
      <c r="AP953" s="4">
        <v>13</v>
      </c>
      <c r="AQ953" s="4">
        <v>45</v>
      </c>
      <c r="AR953" s="3" t="s">
        <v>65</v>
      </c>
      <c r="AS953" s="3" t="s">
        <v>65</v>
      </c>
      <c r="AT953" s="3" t="s">
        <v>209</v>
      </c>
      <c r="AU953" s="6" t="str">
        <f>HYPERLINK("http://catalog.hathitrust.org/Record/002992274","HathiTrust Record")</f>
        <v>HathiTrust Record</v>
      </c>
      <c r="AV953" s="6" t="str">
        <f>HYPERLINK("http://mcgill.on.worldcat.org/oclc/30891599","Catalog Record")</f>
        <v>Catalog Record</v>
      </c>
      <c r="AW953" s="6" t="str">
        <f>HYPERLINK("http://www.worldcat.org/oclc/30891599","WorldCat Record")</f>
        <v>WorldCat Record</v>
      </c>
      <c r="AX953" s="3" t="s">
        <v>9284</v>
      </c>
      <c r="AY953" s="3" t="s">
        <v>9285</v>
      </c>
      <c r="AZ953" s="3" t="s">
        <v>9286</v>
      </c>
      <c r="BA953" s="3" t="s">
        <v>9286</v>
      </c>
      <c r="BB953" s="3" t="s">
        <v>9293</v>
      </c>
      <c r="BC953" s="3" t="s">
        <v>77</v>
      </c>
      <c r="BD953" s="3" t="s">
        <v>78</v>
      </c>
      <c r="BE953" s="3" t="s">
        <v>9288</v>
      </c>
      <c r="BF953" s="3" t="s">
        <v>9293</v>
      </c>
      <c r="BG953" s="3" t="s">
        <v>9294</v>
      </c>
    </row>
    <row r="954" spans="1:59" ht="58" x14ac:dyDescent="0.35">
      <c r="A954" s="2" t="s">
        <v>59</v>
      </c>
      <c r="B954" s="2" t="s">
        <v>60</v>
      </c>
      <c r="C954" s="2" t="s">
        <v>9295</v>
      </c>
      <c r="D954" s="2" t="s">
        <v>9296</v>
      </c>
      <c r="E954" s="2" t="s">
        <v>9297</v>
      </c>
      <c r="G954" s="3" t="s">
        <v>65</v>
      </c>
      <c r="I954" s="3" t="s">
        <v>65</v>
      </c>
      <c r="J954" s="3" t="s">
        <v>209</v>
      </c>
      <c r="K954" s="3" t="s">
        <v>66</v>
      </c>
      <c r="L954" s="2" t="s">
        <v>904</v>
      </c>
      <c r="M954" s="2" t="s">
        <v>9298</v>
      </c>
      <c r="N954" s="3" t="s">
        <v>1967</v>
      </c>
      <c r="P954" s="3" t="s">
        <v>69</v>
      </c>
      <c r="Q954" s="2" t="s">
        <v>7248</v>
      </c>
      <c r="R954" s="3" t="s">
        <v>71</v>
      </c>
      <c r="S954" s="4">
        <v>30</v>
      </c>
      <c r="T954" s="4">
        <v>30</v>
      </c>
      <c r="U954" s="5" t="s">
        <v>8681</v>
      </c>
      <c r="V954" s="5" t="s">
        <v>8681</v>
      </c>
      <c r="W954" s="5" t="s">
        <v>72</v>
      </c>
      <c r="X954" s="5" t="s">
        <v>72</v>
      </c>
      <c r="Y954" s="4">
        <v>19</v>
      </c>
      <c r="Z954" s="4">
        <v>2</v>
      </c>
      <c r="AA954" s="4">
        <v>144</v>
      </c>
      <c r="AB954" s="4">
        <v>1</v>
      </c>
      <c r="AC954" s="4">
        <v>10</v>
      </c>
      <c r="AD954" s="4">
        <v>0</v>
      </c>
      <c r="AE954" s="4">
        <v>161</v>
      </c>
      <c r="AF954" s="4">
        <v>0</v>
      </c>
      <c r="AG954" s="4">
        <v>4</v>
      </c>
      <c r="AH954" s="4">
        <v>0</v>
      </c>
      <c r="AI954" s="4">
        <v>115</v>
      </c>
      <c r="AJ954" s="4">
        <v>0</v>
      </c>
      <c r="AK954" s="4">
        <v>27</v>
      </c>
      <c r="AL954" s="4">
        <v>0</v>
      </c>
      <c r="AM954" s="4">
        <v>63</v>
      </c>
      <c r="AN954" s="4">
        <v>0</v>
      </c>
      <c r="AO954" s="4">
        <v>14</v>
      </c>
      <c r="AP954" s="4">
        <v>0</v>
      </c>
      <c r="AQ954" s="4">
        <v>52</v>
      </c>
      <c r="AR954" s="3" t="s">
        <v>65</v>
      </c>
      <c r="AS954" s="3" t="s">
        <v>65</v>
      </c>
      <c r="AT954" s="3" t="s">
        <v>65</v>
      </c>
      <c r="AV954" s="6" t="str">
        <f>HYPERLINK("http://mcgill.on.worldcat.org/oclc/61568987","Catalog Record")</f>
        <v>Catalog Record</v>
      </c>
      <c r="AW954" s="6" t="str">
        <f>HYPERLINK("http://www.worldcat.org/oclc/61568987","WorldCat Record")</f>
        <v>WorldCat Record</v>
      </c>
      <c r="AX954" s="3" t="s">
        <v>8422</v>
      </c>
      <c r="AY954" s="3" t="s">
        <v>9299</v>
      </c>
      <c r="AZ954" s="3" t="s">
        <v>9300</v>
      </c>
      <c r="BA954" s="3" t="s">
        <v>9300</v>
      </c>
      <c r="BB954" s="3" t="s">
        <v>9301</v>
      </c>
      <c r="BC954" s="3" t="s">
        <v>77</v>
      </c>
      <c r="BD954" s="3" t="s">
        <v>78</v>
      </c>
      <c r="BE954" s="3" t="s">
        <v>9302</v>
      </c>
      <c r="BF954" s="3" t="s">
        <v>9301</v>
      </c>
      <c r="BG954" s="3" t="s">
        <v>9303</v>
      </c>
    </row>
    <row r="955" spans="1:59" ht="58" x14ac:dyDescent="0.35">
      <c r="A955" s="2" t="s">
        <v>59</v>
      </c>
      <c r="B955" s="2" t="s">
        <v>60</v>
      </c>
      <c r="C955" s="2" t="s">
        <v>9304</v>
      </c>
      <c r="D955" s="2" t="s">
        <v>9305</v>
      </c>
      <c r="E955" s="2" t="s">
        <v>9306</v>
      </c>
      <c r="G955" s="3" t="s">
        <v>65</v>
      </c>
      <c r="I955" s="3" t="s">
        <v>65</v>
      </c>
      <c r="J955" s="3" t="s">
        <v>209</v>
      </c>
      <c r="K955" s="3" t="s">
        <v>66</v>
      </c>
      <c r="L955" s="2" t="s">
        <v>904</v>
      </c>
      <c r="M955" s="2" t="s">
        <v>9307</v>
      </c>
      <c r="N955" s="3" t="s">
        <v>1196</v>
      </c>
      <c r="P955" s="3" t="s">
        <v>69</v>
      </c>
      <c r="Q955" s="2" t="s">
        <v>9308</v>
      </c>
      <c r="R955" s="3" t="s">
        <v>71</v>
      </c>
      <c r="S955" s="4">
        <v>16</v>
      </c>
      <c r="T955" s="4">
        <v>16</v>
      </c>
      <c r="U955" s="5" t="s">
        <v>9309</v>
      </c>
      <c r="V955" s="5" t="s">
        <v>9309</v>
      </c>
      <c r="W955" s="5" t="s">
        <v>72</v>
      </c>
      <c r="X955" s="5" t="s">
        <v>72</v>
      </c>
      <c r="Y955" s="4">
        <v>127</v>
      </c>
      <c r="Z955" s="4">
        <v>10</v>
      </c>
      <c r="AA955" s="4">
        <v>144</v>
      </c>
      <c r="AB955" s="4">
        <v>1</v>
      </c>
      <c r="AC955" s="4">
        <v>10</v>
      </c>
      <c r="AD955" s="4">
        <v>46</v>
      </c>
      <c r="AE955" s="4">
        <v>161</v>
      </c>
      <c r="AF955" s="4">
        <v>0</v>
      </c>
      <c r="AG955" s="4">
        <v>4</v>
      </c>
      <c r="AH955" s="4">
        <v>44</v>
      </c>
      <c r="AI955" s="4">
        <v>115</v>
      </c>
      <c r="AJ955" s="4">
        <v>3</v>
      </c>
      <c r="AK955" s="4">
        <v>27</v>
      </c>
      <c r="AL955" s="4">
        <v>37</v>
      </c>
      <c r="AM955" s="4">
        <v>63</v>
      </c>
      <c r="AN955" s="4">
        <v>0</v>
      </c>
      <c r="AO955" s="4">
        <v>14</v>
      </c>
      <c r="AP955" s="4">
        <v>3</v>
      </c>
      <c r="AQ955" s="4">
        <v>52</v>
      </c>
      <c r="AR955" s="3" t="s">
        <v>65</v>
      </c>
      <c r="AS955" s="3" t="s">
        <v>65</v>
      </c>
      <c r="AT955" s="3" t="s">
        <v>209</v>
      </c>
      <c r="AU955" s="6" t="str">
        <f>HYPERLINK("http://catalog.hathitrust.org/Record/004976340","HathiTrust Record")</f>
        <v>HathiTrust Record</v>
      </c>
      <c r="AV955" s="6" t="str">
        <f>HYPERLINK("http://mcgill.on.worldcat.org/oclc/57166932","Catalog Record")</f>
        <v>Catalog Record</v>
      </c>
      <c r="AW955" s="6" t="str">
        <f>HYPERLINK("http://www.worldcat.org/oclc/57166932","WorldCat Record")</f>
        <v>WorldCat Record</v>
      </c>
      <c r="AX955" s="3" t="s">
        <v>8422</v>
      </c>
      <c r="AY955" s="3" t="s">
        <v>9310</v>
      </c>
      <c r="AZ955" s="3" t="s">
        <v>9311</v>
      </c>
      <c r="BA955" s="3" t="s">
        <v>9311</v>
      </c>
      <c r="BB955" s="3" t="s">
        <v>9312</v>
      </c>
      <c r="BC955" s="3" t="s">
        <v>77</v>
      </c>
      <c r="BD955" s="3" t="s">
        <v>106</v>
      </c>
      <c r="BE955" s="3" t="s">
        <v>9313</v>
      </c>
      <c r="BF955" s="3" t="s">
        <v>9312</v>
      </c>
      <c r="BG955" s="3" t="s">
        <v>9314</v>
      </c>
    </row>
    <row r="956" spans="1:59" ht="58" x14ac:dyDescent="0.35">
      <c r="A956" s="2" t="s">
        <v>59</v>
      </c>
      <c r="B956" s="2" t="s">
        <v>60</v>
      </c>
      <c r="C956" s="2" t="s">
        <v>9315</v>
      </c>
      <c r="D956" s="2" t="s">
        <v>9316</v>
      </c>
      <c r="E956" s="2" t="s">
        <v>9317</v>
      </c>
      <c r="G956" s="3" t="s">
        <v>65</v>
      </c>
      <c r="I956" s="3" t="s">
        <v>65</v>
      </c>
      <c r="J956" s="3" t="s">
        <v>209</v>
      </c>
      <c r="K956" s="3" t="s">
        <v>66</v>
      </c>
      <c r="L956" s="2" t="s">
        <v>904</v>
      </c>
      <c r="M956" s="2" t="s">
        <v>9318</v>
      </c>
      <c r="N956" s="3" t="s">
        <v>99</v>
      </c>
      <c r="P956" s="3" t="s">
        <v>69</v>
      </c>
      <c r="R956" s="3" t="s">
        <v>71</v>
      </c>
      <c r="S956" s="4">
        <v>10</v>
      </c>
      <c r="T956" s="4">
        <v>10</v>
      </c>
      <c r="U956" s="5" t="s">
        <v>7026</v>
      </c>
      <c r="V956" s="5" t="s">
        <v>7026</v>
      </c>
      <c r="W956" s="5" t="s">
        <v>72</v>
      </c>
      <c r="X956" s="5" t="s">
        <v>72</v>
      </c>
      <c r="Y956" s="4">
        <v>132</v>
      </c>
      <c r="Z956" s="4">
        <v>12</v>
      </c>
      <c r="AA956" s="4">
        <v>144</v>
      </c>
      <c r="AB956" s="4">
        <v>1</v>
      </c>
      <c r="AC956" s="4">
        <v>10</v>
      </c>
      <c r="AD956" s="4">
        <v>35</v>
      </c>
      <c r="AE956" s="4">
        <v>161</v>
      </c>
      <c r="AF956" s="4">
        <v>0</v>
      </c>
      <c r="AG956" s="4">
        <v>4</v>
      </c>
      <c r="AH956" s="4">
        <v>31</v>
      </c>
      <c r="AI956" s="4">
        <v>115</v>
      </c>
      <c r="AJ956" s="4">
        <v>6</v>
      </c>
      <c r="AK956" s="4">
        <v>27</v>
      </c>
      <c r="AL956" s="4">
        <v>26</v>
      </c>
      <c r="AM956" s="4">
        <v>63</v>
      </c>
      <c r="AN956" s="4">
        <v>0</v>
      </c>
      <c r="AO956" s="4">
        <v>14</v>
      </c>
      <c r="AP956" s="4">
        <v>6</v>
      </c>
      <c r="AQ956" s="4">
        <v>52</v>
      </c>
      <c r="AR956" s="3" t="s">
        <v>65</v>
      </c>
      <c r="AS956" s="3" t="s">
        <v>65</v>
      </c>
      <c r="AT956" s="3" t="s">
        <v>209</v>
      </c>
      <c r="AU956" s="6" t="str">
        <f>HYPERLINK("http://catalog.hathitrust.org/Record/005400191","HathiTrust Record")</f>
        <v>HathiTrust Record</v>
      </c>
      <c r="AV956" s="6" t="str">
        <f>HYPERLINK("http://mcgill.on.worldcat.org/oclc/70671601","Catalog Record")</f>
        <v>Catalog Record</v>
      </c>
      <c r="AW956" s="6" t="str">
        <f>HYPERLINK("http://www.worldcat.org/oclc/70671601","WorldCat Record")</f>
        <v>WorldCat Record</v>
      </c>
      <c r="AX956" s="3" t="s">
        <v>8422</v>
      </c>
      <c r="AY956" s="3" t="s">
        <v>9319</v>
      </c>
      <c r="AZ956" s="3" t="s">
        <v>9320</v>
      </c>
      <c r="BA956" s="3" t="s">
        <v>9320</v>
      </c>
      <c r="BB956" s="3" t="s">
        <v>9321</v>
      </c>
      <c r="BC956" s="3" t="s">
        <v>77</v>
      </c>
      <c r="BD956" s="3" t="s">
        <v>78</v>
      </c>
      <c r="BE956" s="3" t="s">
        <v>9322</v>
      </c>
      <c r="BF956" s="3" t="s">
        <v>9321</v>
      </c>
      <c r="BG956" s="3" t="s">
        <v>9323</v>
      </c>
    </row>
    <row r="957" spans="1:59" ht="58" x14ac:dyDescent="0.35">
      <c r="A957" s="2" t="s">
        <v>59</v>
      </c>
      <c r="B957" s="2" t="s">
        <v>60</v>
      </c>
      <c r="C957" s="2" t="s">
        <v>9324</v>
      </c>
      <c r="D957" s="2" t="s">
        <v>9325</v>
      </c>
      <c r="E957" s="2" t="s">
        <v>9326</v>
      </c>
      <c r="G957" s="3" t="s">
        <v>65</v>
      </c>
      <c r="I957" s="3" t="s">
        <v>209</v>
      </c>
      <c r="J957" s="3" t="s">
        <v>65</v>
      </c>
      <c r="K957" s="3" t="s">
        <v>66</v>
      </c>
      <c r="L957" s="2" t="s">
        <v>904</v>
      </c>
      <c r="M957" s="2" t="s">
        <v>9327</v>
      </c>
      <c r="N957" s="3" t="s">
        <v>479</v>
      </c>
      <c r="P957" s="3" t="s">
        <v>69</v>
      </c>
      <c r="Q957" s="2" t="s">
        <v>7259</v>
      </c>
      <c r="R957" s="3" t="s">
        <v>71</v>
      </c>
      <c r="S957" s="4">
        <v>7</v>
      </c>
      <c r="T957" s="4">
        <v>13</v>
      </c>
      <c r="U957" s="5" t="s">
        <v>9328</v>
      </c>
      <c r="V957" s="5" t="s">
        <v>9328</v>
      </c>
      <c r="W957" s="5" t="s">
        <v>72</v>
      </c>
      <c r="X957" s="5" t="s">
        <v>72</v>
      </c>
      <c r="Y957" s="4">
        <v>288</v>
      </c>
      <c r="Z957" s="4">
        <v>13</v>
      </c>
      <c r="AA957" s="4">
        <v>13</v>
      </c>
      <c r="AB957" s="4">
        <v>1</v>
      </c>
      <c r="AC957" s="4">
        <v>1</v>
      </c>
      <c r="AD957" s="4">
        <v>67</v>
      </c>
      <c r="AE957" s="4">
        <v>67</v>
      </c>
      <c r="AF957" s="4">
        <v>0</v>
      </c>
      <c r="AG957" s="4">
        <v>0</v>
      </c>
      <c r="AH957" s="4">
        <v>63</v>
      </c>
      <c r="AI957" s="4">
        <v>63</v>
      </c>
      <c r="AJ957" s="4">
        <v>8</v>
      </c>
      <c r="AK957" s="4">
        <v>8</v>
      </c>
      <c r="AL957" s="4">
        <v>35</v>
      </c>
      <c r="AM957" s="4">
        <v>35</v>
      </c>
      <c r="AN957" s="4">
        <v>0</v>
      </c>
      <c r="AO957" s="4">
        <v>0</v>
      </c>
      <c r="AP957" s="4">
        <v>9</v>
      </c>
      <c r="AQ957" s="4">
        <v>9</v>
      </c>
      <c r="AR957" s="3" t="s">
        <v>65</v>
      </c>
      <c r="AS957" s="3" t="s">
        <v>65</v>
      </c>
      <c r="AT957" s="3" t="s">
        <v>65</v>
      </c>
      <c r="AV957" s="6" t="str">
        <f>HYPERLINK("http://mcgill.on.worldcat.org/oclc/74460599","Catalog Record")</f>
        <v>Catalog Record</v>
      </c>
      <c r="AW957" s="6" t="str">
        <f>HYPERLINK("http://www.worldcat.org/oclc/74460599","WorldCat Record")</f>
        <v>WorldCat Record</v>
      </c>
      <c r="AX957" s="3" t="s">
        <v>9329</v>
      </c>
      <c r="AY957" s="3" t="s">
        <v>9330</v>
      </c>
      <c r="AZ957" s="3" t="s">
        <v>9331</v>
      </c>
      <c r="BA957" s="3" t="s">
        <v>9331</v>
      </c>
      <c r="BB957" s="3" t="s">
        <v>9332</v>
      </c>
      <c r="BC957" s="3" t="s">
        <v>77</v>
      </c>
      <c r="BD957" s="3" t="s">
        <v>78</v>
      </c>
      <c r="BE957" s="3" t="s">
        <v>9333</v>
      </c>
      <c r="BF957" s="3" t="s">
        <v>9332</v>
      </c>
      <c r="BG957" s="3" t="s">
        <v>9334</v>
      </c>
    </row>
    <row r="958" spans="1:59" ht="58" x14ac:dyDescent="0.35">
      <c r="A958" s="2" t="s">
        <v>59</v>
      </c>
      <c r="B958" s="2" t="s">
        <v>60</v>
      </c>
      <c r="C958" s="2" t="s">
        <v>9324</v>
      </c>
      <c r="D958" s="2" t="s">
        <v>9325</v>
      </c>
      <c r="E958" s="2" t="s">
        <v>9326</v>
      </c>
      <c r="G958" s="3" t="s">
        <v>65</v>
      </c>
      <c r="I958" s="3" t="s">
        <v>209</v>
      </c>
      <c r="J958" s="3" t="s">
        <v>65</v>
      </c>
      <c r="K958" s="3" t="s">
        <v>66</v>
      </c>
      <c r="L958" s="2" t="s">
        <v>904</v>
      </c>
      <c r="M958" s="2" t="s">
        <v>9327</v>
      </c>
      <c r="N958" s="3" t="s">
        <v>479</v>
      </c>
      <c r="P958" s="3" t="s">
        <v>69</v>
      </c>
      <c r="Q958" s="2" t="s">
        <v>7259</v>
      </c>
      <c r="R958" s="3" t="s">
        <v>71</v>
      </c>
      <c r="S958" s="4">
        <v>6</v>
      </c>
      <c r="T958" s="4">
        <v>13</v>
      </c>
      <c r="U958" s="5" t="s">
        <v>9335</v>
      </c>
      <c r="V958" s="5" t="s">
        <v>9328</v>
      </c>
      <c r="W958" s="5" t="s">
        <v>72</v>
      </c>
      <c r="X958" s="5" t="s">
        <v>72</v>
      </c>
      <c r="Y958" s="4">
        <v>288</v>
      </c>
      <c r="Z958" s="4">
        <v>13</v>
      </c>
      <c r="AA958" s="4">
        <v>13</v>
      </c>
      <c r="AB958" s="4">
        <v>1</v>
      </c>
      <c r="AC958" s="4">
        <v>1</v>
      </c>
      <c r="AD958" s="4">
        <v>67</v>
      </c>
      <c r="AE958" s="4">
        <v>67</v>
      </c>
      <c r="AF958" s="4">
        <v>0</v>
      </c>
      <c r="AG958" s="4">
        <v>0</v>
      </c>
      <c r="AH958" s="4">
        <v>63</v>
      </c>
      <c r="AI958" s="4">
        <v>63</v>
      </c>
      <c r="AJ958" s="4">
        <v>8</v>
      </c>
      <c r="AK958" s="4">
        <v>8</v>
      </c>
      <c r="AL958" s="4">
        <v>35</v>
      </c>
      <c r="AM958" s="4">
        <v>35</v>
      </c>
      <c r="AN958" s="4">
        <v>0</v>
      </c>
      <c r="AO958" s="4">
        <v>0</v>
      </c>
      <c r="AP958" s="4">
        <v>9</v>
      </c>
      <c r="AQ958" s="4">
        <v>9</v>
      </c>
      <c r="AR958" s="3" t="s">
        <v>65</v>
      </c>
      <c r="AS958" s="3" t="s">
        <v>65</v>
      </c>
      <c r="AT958" s="3" t="s">
        <v>65</v>
      </c>
      <c r="AV958" s="6" t="str">
        <f>HYPERLINK("http://mcgill.on.worldcat.org/oclc/74460599","Catalog Record")</f>
        <v>Catalog Record</v>
      </c>
      <c r="AW958" s="6" t="str">
        <f>HYPERLINK("http://www.worldcat.org/oclc/74460599","WorldCat Record")</f>
        <v>WorldCat Record</v>
      </c>
      <c r="AX958" s="3" t="s">
        <v>9329</v>
      </c>
      <c r="AY958" s="3" t="s">
        <v>9330</v>
      </c>
      <c r="AZ958" s="3" t="s">
        <v>9331</v>
      </c>
      <c r="BA958" s="3" t="s">
        <v>9331</v>
      </c>
      <c r="BB958" s="3" t="s">
        <v>9336</v>
      </c>
      <c r="BC958" s="3" t="s">
        <v>77</v>
      </c>
      <c r="BD958" s="3" t="s">
        <v>106</v>
      </c>
      <c r="BE958" s="3" t="s">
        <v>9333</v>
      </c>
      <c r="BF958" s="3" t="s">
        <v>9336</v>
      </c>
      <c r="BG958" s="3" t="s">
        <v>9337</v>
      </c>
    </row>
    <row r="959" spans="1:59" ht="58" x14ac:dyDescent="0.35">
      <c r="A959" s="2" t="s">
        <v>59</v>
      </c>
      <c r="B959" s="2" t="s">
        <v>60</v>
      </c>
      <c r="C959" s="2" t="s">
        <v>9338</v>
      </c>
      <c r="D959" s="2" t="s">
        <v>9339</v>
      </c>
      <c r="E959" s="2" t="s">
        <v>9340</v>
      </c>
      <c r="G959" s="3" t="s">
        <v>65</v>
      </c>
      <c r="I959" s="3" t="s">
        <v>65</v>
      </c>
      <c r="J959" s="3" t="s">
        <v>65</v>
      </c>
      <c r="K959" s="3" t="s">
        <v>66</v>
      </c>
      <c r="L959" s="2" t="s">
        <v>904</v>
      </c>
      <c r="M959" s="2" t="s">
        <v>9341</v>
      </c>
      <c r="N959" s="3" t="s">
        <v>1932</v>
      </c>
      <c r="O959" s="2" t="s">
        <v>526</v>
      </c>
      <c r="P959" s="3" t="s">
        <v>69</v>
      </c>
      <c r="R959" s="3" t="s">
        <v>71</v>
      </c>
      <c r="S959" s="4">
        <v>35</v>
      </c>
      <c r="T959" s="4">
        <v>35</v>
      </c>
      <c r="U959" s="5" t="s">
        <v>8681</v>
      </c>
      <c r="V959" s="5" t="s">
        <v>8681</v>
      </c>
      <c r="W959" s="5" t="s">
        <v>72</v>
      </c>
      <c r="X959" s="5" t="s">
        <v>72</v>
      </c>
      <c r="Y959" s="4">
        <v>1088</v>
      </c>
      <c r="Z959" s="4">
        <v>38</v>
      </c>
      <c r="AA959" s="4">
        <v>46</v>
      </c>
      <c r="AB959" s="4">
        <v>1</v>
      </c>
      <c r="AC959" s="4">
        <v>2</v>
      </c>
      <c r="AD959" s="4">
        <v>114</v>
      </c>
      <c r="AE959" s="4">
        <v>127</v>
      </c>
      <c r="AF959" s="4">
        <v>0</v>
      </c>
      <c r="AG959" s="4">
        <v>1</v>
      </c>
      <c r="AH959" s="4">
        <v>97</v>
      </c>
      <c r="AI959" s="4">
        <v>107</v>
      </c>
      <c r="AJ959" s="4">
        <v>11</v>
      </c>
      <c r="AK959" s="4">
        <v>16</v>
      </c>
      <c r="AL959" s="4">
        <v>56</v>
      </c>
      <c r="AM959" s="4">
        <v>59</v>
      </c>
      <c r="AN959" s="4">
        <v>0</v>
      </c>
      <c r="AO959" s="4">
        <v>0</v>
      </c>
      <c r="AP959" s="4">
        <v>20</v>
      </c>
      <c r="AQ959" s="4">
        <v>26</v>
      </c>
      <c r="AR959" s="3" t="s">
        <v>65</v>
      </c>
      <c r="AS959" s="3" t="s">
        <v>65</v>
      </c>
      <c r="AT959" s="3" t="s">
        <v>65</v>
      </c>
      <c r="AV959" s="6" t="str">
        <f>HYPERLINK("http://mcgill.on.worldcat.org/oclc/29255473","Catalog Record")</f>
        <v>Catalog Record</v>
      </c>
      <c r="AW959" s="6" t="str">
        <f>HYPERLINK("http://www.worldcat.org/oclc/29255473","WorldCat Record")</f>
        <v>WorldCat Record</v>
      </c>
      <c r="AX959" s="3" t="s">
        <v>9342</v>
      </c>
      <c r="AY959" s="3" t="s">
        <v>9343</v>
      </c>
      <c r="AZ959" s="3" t="s">
        <v>9344</v>
      </c>
      <c r="BA959" s="3" t="s">
        <v>9344</v>
      </c>
      <c r="BB959" s="3" t="s">
        <v>9345</v>
      </c>
      <c r="BC959" s="3" t="s">
        <v>77</v>
      </c>
      <c r="BD959" s="3" t="s">
        <v>78</v>
      </c>
      <c r="BE959" s="3" t="s">
        <v>9346</v>
      </c>
      <c r="BF959" s="3" t="s">
        <v>9345</v>
      </c>
      <c r="BG959" s="3" t="s">
        <v>9347</v>
      </c>
    </row>
    <row r="960" spans="1:59" ht="58" x14ac:dyDescent="0.35">
      <c r="A960" s="2" t="s">
        <v>59</v>
      </c>
      <c r="B960" s="2" t="s">
        <v>60</v>
      </c>
      <c r="C960" s="2" t="s">
        <v>9348</v>
      </c>
      <c r="D960" s="2" t="s">
        <v>9349</v>
      </c>
      <c r="E960" s="2" t="s">
        <v>9350</v>
      </c>
      <c r="F960" s="3" t="s">
        <v>245</v>
      </c>
      <c r="G960" s="3" t="s">
        <v>209</v>
      </c>
      <c r="I960" s="3" t="s">
        <v>65</v>
      </c>
      <c r="J960" s="3" t="s">
        <v>65</v>
      </c>
      <c r="K960" s="3" t="s">
        <v>66</v>
      </c>
      <c r="L960" s="2" t="s">
        <v>904</v>
      </c>
      <c r="M960" s="2" t="s">
        <v>9351</v>
      </c>
      <c r="N960" s="3" t="s">
        <v>392</v>
      </c>
      <c r="P960" s="3" t="s">
        <v>69</v>
      </c>
      <c r="Q960" s="2" t="s">
        <v>9352</v>
      </c>
      <c r="R960" s="3" t="s">
        <v>71</v>
      </c>
      <c r="S960" s="4">
        <v>18</v>
      </c>
      <c r="T960" s="4">
        <v>31</v>
      </c>
      <c r="U960" s="5" t="s">
        <v>2940</v>
      </c>
      <c r="V960" s="5" t="s">
        <v>2940</v>
      </c>
      <c r="W960" s="5" t="s">
        <v>72</v>
      </c>
      <c r="X960" s="5" t="s">
        <v>72</v>
      </c>
      <c r="Y960" s="4">
        <v>102</v>
      </c>
      <c r="Z960" s="4">
        <v>4</v>
      </c>
      <c r="AA960" s="4">
        <v>6</v>
      </c>
      <c r="AB960" s="4">
        <v>1</v>
      </c>
      <c r="AC960" s="4">
        <v>1</v>
      </c>
      <c r="AD960" s="4">
        <v>13</v>
      </c>
      <c r="AE960" s="4">
        <v>19</v>
      </c>
      <c r="AF960" s="4">
        <v>0</v>
      </c>
      <c r="AG960" s="4">
        <v>0</v>
      </c>
      <c r="AH960" s="4">
        <v>10</v>
      </c>
      <c r="AI960" s="4">
        <v>15</v>
      </c>
      <c r="AJ960" s="4">
        <v>0</v>
      </c>
      <c r="AK960" s="4">
        <v>0</v>
      </c>
      <c r="AL960" s="4">
        <v>5</v>
      </c>
      <c r="AM960" s="4">
        <v>8</v>
      </c>
      <c r="AN960" s="4">
        <v>0</v>
      </c>
      <c r="AO960" s="4">
        <v>0</v>
      </c>
      <c r="AP960" s="4">
        <v>3</v>
      </c>
      <c r="AQ960" s="4">
        <v>4</v>
      </c>
      <c r="AR960" s="3" t="s">
        <v>65</v>
      </c>
      <c r="AS960" s="3" t="s">
        <v>65</v>
      </c>
      <c r="AT960" s="3" t="s">
        <v>65</v>
      </c>
      <c r="AV960" s="6" t="str">
        <f>HYPERLINK("http://mcgill.on.worldcat.org/oclc/22971438","Catalog Record")</f>
        <v>Catalog Record</v>
      </c>
      <c r="AW960" s="6" t="str">
        <f>HYPERLINK("http://www.worldcat.org/oclc/22971438","WorldCat Record")</f>
        <v>WorldCat Record</v>
      </c>
      <c r="AX960" s="3" t="s">
        <v>9353</v>
      </c>
      <c r="AY960" s="3" t="s">
        <v>9354</v>
      </c>
      <c r="AZ960" s="3" t="s">
        <v>9355</v>
      </c>
      <c r="BA960" s="3" t="s">
        <v>9355</v>
      </c>
      <c r="BB960" s="3" t="s">
        <v>9356</v>
      </c>
      <c r="BC960" s="3" t="s">
        <v>77</v>
      </c>
      <c r="BD960" s="3" t="s">
        <v>78</v>
      </c>
      <c r="BE960" s="3" t="s">
        <v>9357</v>
      </c>
      <c r="BF960" s="3" t="s">
        <v>9356</v>
      </c>
      <c r="BG960" s="3" t="s">
        <v>9358</v>
      </c>
    </row>
    <row r="961" spans="1:59" ht="58" x14ac:dyDescent="0.35">
      <c r="A961" s="2" t="s">
        <v>59</v>
      </c>
      <c r="B961" s="2" t="s">
        <v>60</v>
      </c>
      <c r="C961" s="2" t="s">
        <v>9348</v>
      </c>
      <c r="D961" s="2" t="s">
        <v>9349</v>
      </c>
      <c r="E961" s="2" t="s">
        <v>9350</v>
      </c>
      <c r="F961" s="3" t="s">
        <v>258</v>
      </c>
      <c r="G961" s="3" t="s">
        <v>209</v>
      </c>
      <c r="I961" s="3" t="s">
        <v>65</v>
      </c>
      <c r="J961" s="3" t="s">
        <v>65</v>
      </c>
      <c r="K961" s="3" t="s">
        <v>66</v>
      </c>
      <c r="L961" s="2" t="s">
        <v>904</v>
      </c>
      <c r="M961" s="2" t="s">
        <v>9351</v>
      </c>
      <c r="N961" s="3" t="s">
        <v>392</v>
      </c>
      <c r="P961" s="3" t="s">
        <v>69</v>
      </c>
      <c r="Q961" s="2" t="s">
        <v>9352</v>
      </c>
      <c r="R961" s="3" t="s">
        <v>71</v>
      </c>
      <c r="S961" s="4">
        <v>13</v>
      </c>
      <c r="T961" s="4">
        <v>31</v>
      </c>
      <c r="U961" s="5" t="s">
        <v>2940</v>
      </c>
      <c r="V961" s="5" t="s">
        <v>2940</v>
      </c>
      <c r="W961" s="5" t="s">
        <v>72</v>
      </c>
      <c r="X961" s="5" t="s">
        <v>72</v>
      </c>
      <c r="Y961" s="4">
        <v>102</v>
      </c>
      <c r="Z961" s="4">
        <v>4</v>
      </c>
      <c r="AA961" s="4">
        <v>6</v>
      </c>
      <c r="AB961" s="4">
        <v>1</v>
      </c>
      <c r="AC961" s="4">
        <v>1</v>
      </c>
      <c r="AD961" s="4">
        <v>13</v>
      </c>
      <c r="AE961" s="4">
        <v>19</v>
      </c>
      <c r="AF961" s="4">
        <v>0</v>
      </c>
      <c r="AG961" s="4">
        <v>0</v>
      </c>
      <c r="AH961" s="4">
        <v>10</v>
      </c>
      <c r="AI961" s="4">
        <v>15</v>
      </c>
      <c r="AJ961" s="4">
        <v>0</v>
      </c>
      <c r="AK961" s="4">
        <v>0</v>
      </c>
      <c r="AL961" s="4">
        <v>5</v>
      </c>
      <c r="AM961" s="4">
        <v>8</v>
      </c>
      <c r="AN961" s="4">
        <v>0</v>
      </c>
      <c r="AO961" s="4">
        <v>0</v>
      </c>
      <c r="AP961" s="4">
        <v>3</v>
      </c>
      <c r="AQ961" s="4">
        <v>4</v>
      </c>
      <c r="AR961" s="3" t="s">
        <v>65</v>
      </c>
      <c r="AS961" s="3" t="s">
        <v>65</v>
      </c>
      <c r="AT961" s="3" t="s">
        <v>65</v>
      </c>
      <c r="AV961" s="6" t="str">
        <f>HYPERLINK("http://mcgill.on.worldcat.org/oclc/22971438","Catalog Record")</f>
        <v>Catalog Record</v>
      </c>
      <c r="AW961" s="6" t="str">
        <f>HYPERLINK("http://www.worldcat.org/oclc/22971438","WorldCat Record")</f>
        <v>WorldCat Record</v>
      </c>
      <c r="AX961" s="3" t="s">
        <v>9353</v>
      </c>
      <c r="AY961" s="3" t="s">
        <v>9354</v>
      </c>
      <c r="AZ961" s="3" t="s">
        <v>9355</v>
      </c>
      <c r="BA961" s="3" t="s">
        <v>9355</v>
      </c>
      <c r="BB961" s="3" t="s">
        <v>9359</v>
      </c>
      <c r="BC961" s="3" t="s">
        <v>77</v>
      </c>
      <c r="BD961" s="3" t="s">
        <v>78</v>
      </c>
      <c r="BE961" s="3" t="s">
        <v>9357</v>
      </c>
      <c r="BF961" s="3" t="s">
        <v>9359</v>
      </c>
      <c r="BG961" s="3" t="s">
        <v>9360</v>
      </c>
    </row>
    <row r="962" spans="1:59" ht="58" x14ac:dyDescent="0.35">
      <c r="A962" s="2" t="s">
        <v>59</v>
      </c>
      <c r="B962" s="2" t="s">
        <v>60</v>
      </c>
      <c r="C962" s="2" t="s">
        <v>9361</v>
      </c>
      <c r="D962" s="2" t="s">
        <v>9362</v>
      </c>
      <c r="E962" s="2" t="s">
        <v>9363</v>
      </c>
      <c r="G962" s="3" t="s">
        <v>65</v>
      </c>
      <c r="I962" s="3" t="s">
        <v>65</v>
      </c>
      <c r="J962" s="3" t="s">
        <v>209</v>
      </c>
      <c r="K962" s="3" t="s">
        <v>66</v>
      </c>
      <c r="L962" s="2" t="s">
        <v>904</v>
      </c>
      <c r="M962" s="2" t="s">
        <v>9364</v>
      </c>
      <c r="N962" s="3" t="s">
        <v>525</v>
      </c>
      <c r="O962" s="2" t="s">
        <v>9365</v>
      </c>
      <c r="P962" s="3" t="s">
        <v>69</v>
      </c>
      <c r="R962" s="3" t="s">
        <v>71</v>
      </c>
      <c r="S962" s="4">
        <v>5</v>
      </c>
      <c r="T962" s="4">
        <v>5</v>
      </c>
      <c r="U962" s="5" t="s">
        <v>9366</v>
      </c>
      <c r="V962" s="5" t="s">
        <v>9366</v>
      </c>
      <c r="W962" s="5" t="s">
        <v>72</v>
      </c>
      <c r="X962" s="5" t="s">
        <v>72</v>
      </c>
      <c r="Y962" s="4">
        <v>220</v>
      </c>
      <c r="Z962" s="4">
        <v>14</v>
      </c>
      <c r="AA962" s="4">
        <v>120</v>
      </c>
      <c r="AB962" s="4">
        <v>2</v>
      </c>
      <c r="AC962" s="4">
        <v>7</v>
      </c>
      <c r="AD962" s="4">
        <v>15</v>
      </c>
      <c r="AE962" s="4">
        <v>143</v>
      </c>
      <c r="AF962" s="4">
        <v>0</v>
      </c>
      <c r="AG962" s="4">
        <v>1</v>
      </c>
      <c r="AH962" s="4">
        <v>12</v>
      </c>
      <c r="AI962" s="4">
        <v>112</v>
      </c>
      <c r="AJ962" s="4">
        <v>2</v>
      </c>
      <c r="AK962" s="4">
        <v>20</v>
      </c>
      <c r="AL962" s="4">
        <v>4</v>
      </c>
      <c r="AM962" s="4">
        <v>60</v>
      </c>
      <c r="AN962" s="4">
        <v>0</v>
      </c>
      <c r="AO962" s="4">
        <v>3</v>
      </c>
      <c r="AP962" s="4">
        <v>5</v>
      </c>
      <c r="AQ962" s="4">
        <v>38</v>
      </c>
      <c r="AR962" s="3" t="s">
        <v>65</v>
      </c>
      <c r="AS962" s="3" t="s">
        <v>65</v>
      </c>
      <c r="AT962" s="3" t="s">
        <v>65</v>
      </c>
      <c r="AV962" s="6" t="str">
        <f>HYPERLINK("http://mcgill.on.worldcat.org/oclc/54011754","Catalog Record")</f>
        <v>Catalog Record</v>
      </c>
      <c r="AW962" s="6" t="str">
        <f>HYPERLINK("http://www.worldcat.org/oclc/54011754","WorldCat Record")</f>
        <v>WorldCat Record</v>
      </c>
      <c r="AX962" s="3" t="s">
        <v>9367</v>
      </c>
      <c r="AY962" s="3" t="s">
        <v>9368</v>
      </c>
      <c r="AZ962" s="3" t="s">
        <v>9369</v>
      </c>
      <c r="BA962" s="3" t="s">
        <v>9369</v>
      </c>
      <c r="BB962" s="3" t="s">
        <v>9370</v>
      </c>
      <c r="BC962" s="3" t="s">
        <v>77</v>
      </c>
      <c r="BD962" s="3" t="s">
        <v>78</v>
      </c>
      <c r="BE962" s="3" t="s">
        <v>9371</v>
      </c>
      <c r="BF962" s="3" t="s">
        <v>9370</v>
      </c>
      <c r="BG962" s="3" t="s">
        <v>9372</v>
      </c>
    </row>
    <row r="963" spans="1:59" ht="58" x14ac:dyDescent="0.35">
      <c r="A963" s="2" t="s">
        <v>59</v>
      </c>
      <c r="B963" s="2" t="s">
        <v>60</v>
      </c>
      <c r="C963" s="2" t="s">
        <v>9373</v>
      </c>
      <c r="D963" s="2" t="s">
        <v>9374</v>
      </c>
      <c r="E963" s="2" t="s">
        <v>9375</v>
      </c>
      <c r="G963" s="3" t="s">
        <v>65</v>
      </c>
      <c r="I963" s="3" t="s">
        <v>65</v>
      </c>
      <c r="J963" s="3" t="s">
        <v>65</v>
      </c>
      <c r="K963" s="3" t="s">
        <v>66</v>
      </c>
      <c r="L963" s="2" t="s">
        <v>904</v>
      </c>
      <c r="M963" s="2" t="s">
        <v>9376</v>
      </c>
      <c r="N963" s="3" t="s">
        <v>221</v>
      </c>
      <c r="P963" s="3" t="s">
        <v>69</v>
      </c>
      <c r="Q963" s="2" t="s">
        <v>7248</v>
      </c>
      <c r="R963" s="3" t="s">
        <v>71</v>
      </c>
      <c r="S963" s="4">
        <v>9</v>
      </c>
      <c r="T963" s="4">
        <v>9</v>
      </c>
      <c r="U963" s="5" t="s">
        <v>982</v>
      </c>
      <c r="V963" s="5" t="s">
        <v>982</v>
      </c>
      <c r="W963" s="5" t="s">
        <v>72</v>
      </c>
      <c r="X963" s="5" t="s">
        <v>72</v>
      </c>
      <c r="Y963" s="4">
        <v>149</v>
      </c>
      <c r="Z963" s="4">
        <v>7</v>
      </c>
      <c r="AA963" s="4">
        <v>7</v>
      </c>
      <c r="AB963" s="4">
        <v>1</v>
      </c>
      <c r="AC963" s="4">
        <v>1</v>
      </c>
      <c r="AD963" s="4">
        <v>41</v>
      </c>
      <c r="AE963" s="4">
        <v>41</v>
      </c>
      <c r="AF963" s="4">
        <v>0</v>
      </c>
      <c r="AG963" s="4">
        <v>0</v>
      </c>
      <c r="AH963" s="4">
        <v>38</v>
      </c>
      <c r="AI963" s="4">
        <v>38</v>
      </c>
      <c r="AJ963" s="4">
        <v>3</v>
      </c>
      <c r="AK963" s="4">
        <v>3</v>
      </c>
      <c r="AL963" s="4">
        <v>27</v>
      </c>
      <c r="AM963" s="4">
        <v>27</v>
      </c>
      <c r="AN963" s="4">
        <v>0</v>
      </c>
      <c r="AO963" s="4">
        <v>0</v>
      </c>
      <c r="AP963" s="4">
        <v>3</v>
      </c>
      <c r="AQ963" s="4">
        <v>3</v>
      </c>
      <c r="AR963" s="3" t="s">
        <v>65</v>
      </c>
      <c r="AS963" s="3" t="s">
        <v>65</v>
      </c>
      <c r="AT963" s="3" t="s">
        <v>209</v>
      </c>
      <c r="AU963" s="6" t="str">
        <f>HYPERLINK("http://catalog.hathitrust.org/Record/005616680","HathiTrust Record")</f>
        <v>HathiTrust Record</v>
      </c>
      <c r="AV963" s="6" t="str">
        <f>HYPERLINK("http://mcgill.on.worldcat.org/oclc/85828758","Catalog Record")</f>
        <v>Catalog Record</v>
      </c>
      <c r="AW963" s="6" t="str">
        <f>HYPERLINK("http://www.worldcat.org/oclc/85828758","WorldCat Record")</f>
        <v>WorldCat Record</v>
      </c>
      <c r="AX963" s="3" t="s">
        <v>9377</v>
      </c>
      <c r="AY963" s="3" t="s">
        <v>9378</v>
      </c>
      <c r="AZ963" s="3" t="s">
        <v>9379</v>
      </c>
      <c r="BA963" s="3" t="s">
        <v>9379</v>
      </c>
      <c r="BB963" s="3" t="s">
        <v>9380</v>
      </c>
      <c r="BC963" s="3" t="s">
        <v>77</v>
      </c>
      <c r="BD963" s="3" t="s">
        <v>78</v>
      </c>
      <c r="BE963" s="3" t="s">
        <v>9381</v>
      </c>
      <c r="BF963" s="3" t="s">
        <v>9380</v>
      </c>
      <c r="BG963" s="3" t="s">
        <v>9382</v>
      </c>
    </row>
    <row r="964" spans="1:59" ht="58" x14ac:dyDescent="0.35">
      <c r="A964" s="2" t="s">
        <v>59</v>
      </c>
      <c r="B964" s="2" t="s">
        <v>60</v>
      </c>
      <c r="C964" s="2" t="s">
        <v>9383</v>
      </c>
      <c r="D964" s="2" t="s">
        <v>9384</v>
      </c>
      <c r="E964" s="2" t="s">
        <v>9385</v>
      </c>
      <c r="G964" s="3" t="s">
        <v>65</v>
      </c>
      <c r="I964" s="3" t="s">
        <v>65</v>
      </c>
      <c r="J964" s="3" t="s">
        <v>209</v>
      </c>
      <c r="K964" s="3" t="s">
        <v>66</v>
      </c>
      <c r="L964" s="2" t="s">
        <v>904</v>
      </c>
      <c r="M964" s="2" t="s">
        <v>9386</v>
      </c>
      <c r="N964" s="3" t="s">
        <v>525</v>
      </c>
      <c r="O964" s="2" t="s">
        <v>9387</v>
      </c>
      <c r="P964" s="3" t="s">
        <v>69</v>
      </c>
      <c r="Q964" s="2" t="s">
        <v>9388</v>
      </c>
      <c r="R964" s="3" t="s">
        <v>71</v>
      </c>
      <c r="S964" s="4">
        <v>8</v>
      </c>
      <c r="T964" s="4">
        <v>8</v>
      </c>
      <c r="U964" s="5" t="s">
        <v>9389</v>
      </c>
      <c r="V964" s="5" t="s">
        <v>9389</v>
      </c>
      <c r="W964" s="5" t="s">
        <v>72</v>
      </c>
      <c r="X964" s="5" t="s">
        <v>72</v>
      </c>
      <c r="Y964" s="4">
        <v>28</v>
      </c>
      <c r="Z964" s="4">
        <v>1</v>
      </c>
      <c r="AA964" s="4">
        <v>120</v>
      </c>
      <c r="AB964" s="4">
        <v>1</v>
      </c>
      <c r="AC964" s="4">
        <v>7</v>
      </c>
      <c r="AD964" s="4">
        <v>2</v>
      </c>
      <c r="AE964" s="4">
        <v>143</v>
      </c>
      <c r="AF964" s="4">
        <v>0</v>
      </c>
      <c r="AG964" s="4">
        <v>1</v>
      </c>
      <c r="AH964" s="4">
        <v>2</v>
      </c>
      <c r="AI964" s="4">
        <v>112</v>
      </c>
      <c r="AJ964" s="4">
        <v>0</v>
      </c>
      <c r="AK964" s="4">
        <v>20</v>
      </c>
      <c r="AL964" s="4">
        <v>2</v>
      </c>
      <c r="AM964" s="4">
        <v>60</v>
      </c>
      <c r="AN964" s="4">
        <v>0</v>
      </c>
      <c r="AO964" s="4">
        <v>3</v>
      </c>
      <c r="AP964" s="4">
        <v>0</v>
      </c>
      <c r="AQ964" s="4">
        <v>38</v>
      </c>
      <c r="AR964" s="3" t="s">
        <v>65</v>
      </c>
      <c r="AS964" s="3" t="s">
        <v>65</v>
      </c>
      <c r="AT964" s="3" t="s">
        <v>209</v>
      </c>
      <c r="AU964" s="6" t="str">
        <f>HYPERLINK("http://catalog.hathitrust.org/Record/007041868","HathiTrust Record")</f>
        <v>HathiTrust Record</v>
      </c>
      <c r="AV964" s="6" t="str">
        <f>HYPERLINK("http://mcgill.on.worldcat.org/oclc/58917708","Catalog Record")</f>
        <v>Catalog Record</v>
      </c>
      <c r="AW964" s="6" t="str">
        <f>HYPERLINK("http://www.worldcat.org/oclc/58917708","WorldCat Record")</f>
        <v>WorldCat Record</v>
      </c>
      <c r="AX964" s="3" t="s">
        <v>9367</v>
      </c>
      <c r="AY964" s="3" t="s">
        <v>9390</v>
      </c>
      <c r="AZ964" s="3" t="s">
        <v>9391</v>
      </c>
      <c r="BA964" s="3" t="s">
        <v>9391</v>
      </c>
      <c r="BB964" s="3" t="s">
        <v>9392</v>
      </c>
      <c r="BC964" s="3" t="s">
        <v>77</v>
      </c>
      <c r="BD964" s="3" t="s">
        <v>78</v>
      </c>
      <c r="BE964" s="3" t="s">
        <v>9393</v>
      </c>
      <c r="BF964" s="3" t="s">
        <v>9392</v>
      </c>
      <c r="BG964" s="3" t="s">
        <v>9394</v>
      </c>
    </row>
    <row r="965" spans="1:59" ht="58" x14ac:dyDescent="0.35">
      <c r="A965" s="2" t="s">
        <v>59</v>
      </c>
      <c r="B965" s="2" t="s">
        <v>60</v>
      </c>
      <c r="C965" s="2" t="s">
        <v>9395</v>
      </c>
      <c r="D965" s="2" t="s">
        <v>9396</v>
      </c>
      <c r="E965" s="2" t="s">
        <v>9397</v>
      </c>
      <c r="G965" s="3" t="s">
        <v>65</v>
      </c>
      <c r="I965" s="3" t="s">
        <v>65</v>
      </c>
      <c r="J965" s="3" t="s">
        <v>65</v>
      </c>
      <c r="K965" s="3" t="s">
        <v>66</v>
      </c>
      <c r="L965" s="2" t="s">
        <v>904</v>
      </c>
      <c r="M965" s="2" t="s">
        <v>9398</v>
      </c>
      <c r="N965" s="3" t="s">
        <v>1835</v>
      </c>
      <c r="P965" s="3" t="s">
        <v>69</v>
      </c>
      <c r="R965" s="3" t="s">
        <v>71</v>
      </c>
      <c r="S965" s="4">
        <v>25</v>
      </c>
      <c r="T965" s="4">
        <v>25</v>
      </c>
      <c r="U965" s="5" t="s">
        <v>9399</v>
      </c>
      <c r="V965" s="5" t="s">
        <v>9399</v>
      </c>
      <c r="W965" s="5" t="s">
        <v>72</v>
      </c>
      <c r="X965" s="5" t="s">
        <v>72</v>
      </c>
      <c r="Y965" s="4">
        <v>698</v>
      </c>
      <c r="Z965" s="4">
        <v>31</v>
      </c>
      <c r="AA965" s="4">
        <v>32</v>
      </c>
      <c r="AB965" s="4">
        <v>2</v>
      </c>
      <c r="AC965" s="4">
        <v>3</v>
      </c>
      <c r="AD965" s="4">
        <v>114</v>
      </c>
      <c r="AE965" s="4">
        <v>115</v>
      </c>
      <c r="AF965" s="4">
        <v>1</v>
      </c>
      <c r="AG965" s="4">
        <v>2</v>
      </c>
      <c r="AH965" s="4">
        <v>102</v>
      </c>
      <c r="AI965" s="4">
        <v>102</v>
      </c>
      <c r="AJ965" s="4">
        <v>14</v>
      </c>
      <c r="AK965" s="4">
        <v>15</v>
      </c>
      <c r="AL965" s="4">
        <v>55</v>
      </c>
      <c r="AM965" s="4">
        <v>55</v>
      </c>
      <c r="AN965" s="4">
        <v>0</v>
      </c>
      <c r="AO965" s="4">
        <v>0</v>
      </c>
      <c r="AP965" s="4">
        <v>19</v>
      </c>
      <c r="AQ965" s="4">
        <v>19</v>
      </c>
      <c r="AR965" s="3" t="s">
        <v>65</v>
      </c>
      <c r="AS965" s="3" t="s">
        <v>65</v>
      </c>
      <c r="AT965" s="3" t="s">
        <v>209</v>
      </c>
      <c r="AU965" s="6" t="str">
        <f>HYPERLINK("http://catalog.hathitrust.org/Record/000098733","HathiTrust Record")</f>
        <v>HathiTrust Record</v>
      </c>
      <c r="AV965" s="6" t="str">
        <f>HYPERLINK("http://mcgill.on.worldcat.org/oclc/6762575","Catalog Record")</f>
        <v>Catalog Record</v>
      </c>
      <c r="AW965" s="6" t="str">
        <f>HYPERLINK("http://www.worldcat.org/oclc/6762575","WorldCat Record")</f>
        <v>WorldCat Record</v>
      </c>
      <c r="AX965" s="3" t="s">
        <v>9400</v>
      </c>
      <c r="AY965" s="3" t="s">
        <v>9401</v>
      </c>
      <c r="AZ965" s="3" t="s">
        <v>9402</v>
      </c>
      <c r="BA965" s="3" t="s">
        <v>9402</v>
      </c>
      <c r="BB965" s="3" t="s">
        <v>9403</v>
      </c>
      <c r="BC965" s="3" t="s">
        <v>77</v>
      </c>
      <c r="BD965" s="3" t="s">
        <v>78</v>
      </c>
      <c r="BE965" s="3" t="s">
        <v>9404</v>
      </c>
      <c r="BF965" s="3" t="s">
        <v>9403</v>
      </c>
      <c r="BG965" s="3" t="s">
        <v>9405</v>
      </c>
    </row>
    <row r="966" spans="1:59" ht="58" x14ac:dyDescent="0.35">
      <c r="A966" s="2" t="s">
        <v>59</v>
      </c>
      <c r="B966" s="2" t="s">
        <v>60</v>
      </c>
      <c r="C966" s="2" t="s">
        <v>9406</v>
      </c>
      <c r="D966" s="2" t="s">
        <v>9407</v>
      </c>
      <c r="E966" s="2" t="s">
        <v>9408</v>
      </c>
      <c r="G966" s="3" t="s">
        <v>65</v>
      </c>
      <c r="I966" s="3" t="s">
        <v>65</v>
      </c>
      <c r="J966" s="3" t="s">
        <v>209</v>
      </c>
      <c r="K966" s="3" t="s">
        <v>66</v>
      </c>
      <c r="L966" s="2" t="s">
        <v>904</v>
      </c>
      <c r="M966" s="2" t="s">
        <v>9409</v>
      </c>
      <c r="N966" s="3" t="s">
        <v>4688</v>
      </c>
      <c r="P966" s="3" t="s">
        <v>69</v>
      </c>
      <c r="Q966" s="2" t="s">
        <v>9410</v>
      </c>
      <c r="R966" s="3" t="s">
        <v>71</v>
      </c>
      <c r="S966" s="4">
        <v>18</v>
      </c>
      <c r="T966" s="4">
        <v>18</v>
      </c>
      <c r="U966" s="5" t="s">
        <v>9411</v>
      </c>
      <c r="V966" s="5" t="s">
        <v>9411</v>
      </c>
      <c r="W966" s="5" t="s">
        <v>72</v>
      </c>
      <c r="X966" s="5" t="s">
        <v>72</v>
      </c>
      <c r="Y966" s="4">
        <v>236</v>
      </c>
      <c r="Z966" s="4">
        <v>16</v>
      </c>
      <c r="AA966" s="4">
        <v>120</v>
      </c>
      <c r="AB966" s="4">
        <v>1</v>
      </c>
      <c r="AC966" s="4">
        <v>7</v>
      </c>
      <c r="AD966" s="4">
        <v>15</v>
      </c>
      <c r="AE966" s="4">
        <v>143</v>
      </c>
      <c r="AF966" s="4">
        <v>0</v>
      </c>
      <c r="AG966" s="4">
        <v>1</v>
      </c>
      <c r="AH966" s="4">
        <v>15</v>
      </c>
      <c r="AI966" s="4">
        <v>112</v>
      </c>
      <c r="AJ966" s="4">
        <v>1</v>
      </c>
      <c r="AK966" s="4">
        <v>20</v>
      </c>
      <c r="AL966" s="4">
        <v>8</v>
      </c>
      <c r="AM966" s="4">
        <v>60</v>
      </c>
      <c r="AN966" s="4">
        <v>0</v>
      </c>
      <c r="AO966" s="4">
        <v>3</v>
      </c>
      <c r="AP966" s="4">
        <v>1</v>
      </c>
      <c r="AQ966" s="4">
        <v>38</v>
      </c>
      <c r="AR966" s="3" t="s">
        <v>65</v>
      </c>
      <c r="AS966" s="3" t="s">
        <v>65</v>
      </c>
      <c r="AT966" s="3" t="s">
        <v>65</v>
      </c>
      <c r="AV966" s="6" t="str">
        <f>HYPERLINK("http://mcgill.on.worldcat.org/oclc/10877064","Catalog Record")</f>
        <v>Catalog Record</v>
      </c>
      <c r="AW966" s="6" t="str">
        <f>HYPERLINK("http://www.worldcat.org/oclc/10877064","WorldCat Record")</f>
        <v>WorldCat Record</v>
      </c>
      <c r="AX966" s="3" t="s">
        <v>9367</v>
      </c>
      <c r="AY966" s="3" t="s">
        <v>9412</v>
      </c>
      <c r="AZ966" s="3" t="s">
        <v>9413</v>
      </c>
      <c r="BA966" s="3" t="s">
        <v>9413</v>
      </c>
      <c r="BB966" s="3" t="s">
        <v>9414</v>
      </c>
      <c r="BC966" s="3" t="s">
        <v>77</v>
      </c>
      <c r="BD966" s="3" t="s">
        <v>78</v>
      </c>
      <c r="BE966" s="3" t="s">
        <v>9415</v>
      </c>
      <c r="BF966" s="3" t="s">
        <v>9414</v>
      </c>
      <c r="BG966" s="3" t="s">
        <v>9416</v>
      </c>
    </row>
    <row r="967" spans="1:59" ht="58" x14ac:dyDescent="0.35">
      <c r="A967" s="2" t="s">
        <v>59</v>
      </c>
      <c r="B967" s="2" t="s">
        <v>60</v>
      </c>
      <c r="C967" s="2" t="s">
        <v>9417</v>
      </c>
      <c r="D967" s="2" t="s">
        <v>9418</v>
      </c>
      <c r="E967" s="2" t="s">
        <v>9419</v>
      </c>
      <c r="G967" s="3" t="s">
        <v>65</v>
      </c>
      <c r="I967" s="3" t="s">
        <v>65</v>
      </c>
      <c r="J967" s="3" t="s">
        <v>209</v>
      </c>
      <c r="K967" s="3" t="s">
        <v>66</v>
      </c>
      <c r="L967" s="2" t="s">
        <v>904</v>
      </c>
      <c r="M967" s="2" t="s">
        <v>9420</v>
      </c>
      <c r="N967" s="3" t="s">
        <v>221</v>
      </c>
      <c r="O967" s="2" t="s">
        <v>526</v>
      </c>
      <c r="P967" s="3" t="s">
        <v>69</v>
      </c>
      <c r="R967" s="3" t="s">
        <v>71</v>
      </c>
      <c r="S967" s="4">
        <v>10</v>
      </c>
      <c r="T967" s="4">
        <v>10</v>
      </c>
      <c r="U967" s="5" t="s">
        <v>9421</v>
      </c>
      <c r="V967" s="5" t="s">
        <v>9421</v>
      </c>
      <c r="W967" s="5" t="s">
        <v>72</v>
      </c>
      <c r="X967" s="5" t="s">
        <v>72</v>
      </c>
      <c r="Y967" s="4">
        <v>467</v>
      </c>
      <c r="Z967" s="4">
        <v>26</v>
      </c>
      <c r="AA967" s="4">
        <v>77</v>
      </c>
      <c r="AB967" s="4">
        <v>2</v>
      </c>
      <c r="AC967" s="4">
        <v>6</v>
      </c>
      <c r="AD967" s="4">
        <v>94</v>
      </c>
      <c r="AE967" s="4">
        <v>140</v>
      </c>
      <c r="AF967" s="4">
        <v>0</v>
      </c>
      <c r="AG967" s="4">
        <v>1</v>
      </c>
      <c r="AH967" s="4">
        <v>84</v>
      </c>
      <c r="AI967" s="4">
        <v>110</v>
      </c>
      <c r="AJ967" s="4">
        <v>13</v>
      </c>
      <c r="AK967" s="4">
        <v>18</v>
      </c>
      <c r="AL967" s="4">
        <v>48</v>
      </c>
      <c r="AM967" s="4">
        <v>60</v>
      </c>
      <c r="AN967" s="4">
        <v>0</v>
      </c>
      <c r="AO967" s="4">
        <v>2</v>
      </c>
      <c r="AP967" s="4">
        <v>16</v>
      </c>
      <c r="AQ967" s="4">
        <v>36</v>
      </c>
      <c r="AR967" s="3" t="s">
        <v>65</v>
      </c>
      <c r="AS967" s="3" t="s">
        <v>65</v>
      </c>
      <c r="AT967" s="3" t="s">
        <v>209</v>
      </c>
      <c r="AU967" s="6" t="str">
        <f>HYPERLINK("http://catalog.hathitrust.org/Record/005616684","HathiTrust Record")</f>
        <v>HathiTrust Record</v>
      </c>
      <c r="AV967" s="6" t="str">
        <f>HYPERLINK("http://mcgill.on.worldcat.org/oclc/128236486","Catalog Record")</f>
        <v>Catalog Record</v>
      </c>
      <c r="AW967" s="6" t="str">
        <f>HYPERLINK("http://www.worldcat.org/oclc/128236486","WorldCat Record")</f>
        <v>WorldCat Record</v>
      </c>
      <c r="AX967" s="3" t="s">
        <v>8483</v>
      </c>
      <c r="AY967" s="3" t="s">
        <v>9422</v>
      </c>
      <c r="AZ967" s="3" t="s">
        <v>9423</v>
      </c>
      <c r="BA967" s="3" t="s">
        <v>9423</v>
      </c>
      <c r="BB967" s="3" t="s">
        <v>9424</v>
      </c>
      <c r="BC967" s="3" t="s">
        <v>77</v>
      </c>
      <c r="BD967" s="3" t="s">
        <v>78</v>
      </c>
      <c r="BE967" s="3" t="s">
        <v>9425</v>
      </c>
      <c r="BF967" s="3" t="s">
        <v>9424</v>
      </c>
      <c r="BG967" s="3" t="s">
        <v>9426</v>
      </c>
    </row>
    <row r="968" spans="1:59" ht="58" x14ac:dyDescent="0.35">
      <c r="A968" s="2" t="s">
        <v>59</v>
      </c>
      <c r="B968" s="2" t="s">
        <v>60</v>
      </c>
      <c r="C968" s="2" t="s">
        <v>9427</v>
      </c>
      <c r="D968" s="2" t="s">
        <v>9428</v>
      </c>
      <c r="E968" s="2" t="s">
        <v>9429</v>
      </c>
      <c r="G968" s="3" t="s">
        <v>65</v>
      </c>
      <c r="I968" s="3" t="s">
        <v>65</v>
      </c>
      <c r="J968" s="3" t="s">
        <v>65</v>
      </c>
      <c r="K968" s="3" t="s">
        <v>66</v>
      </c>
      <c r="L968" s="2" t="s">
        <v>904</v>
      </c>
      <c r="M968" s="2" t="s">
        <v>9376</v>
      </c>
      <c r="N968" s="3" t="s">
        <v>221</v>
      </c>
      <c r="O968" s="2" t="s">
        <v>9205</v>
      </c>
      <c r="P968" s="3" t="s">
        <v>69</v>
      </c>
      <c r="Q968" s="2" t="s">
        <v>7248</v>
      </c>
      <c r="R968" s="3" t="s">
        <v>71</v>
      </c>
      <c r="S968" s="4">
        <v>9</v>
      </c>
      <c r="T968" s="4">
        <v>9</v>
      </c>
      <c r="U968" s="5" t="s">
        <v>9430</v>
      </c>
      <c r="V968" s="5" t="s">
        <v>9430</v>
      </c>
      <c r="W968" s="5" t="s">
        <v>72</v>
      </c>
      <c r="X968" s="5" t="s">
        <v>72</v>
      </c>
      <c r="Y968" s="4">
        <v>147</v>
      </c>
      <c r="Z968" s="4">
        <v>7</v>
      </c>
      <c r="AA968" s="4">
        <v>9</v>
      </c>
      <c r="AB968" s="4">
        <v>1</v>
      </c>
      <c r="AC968" s="4">
        <v>1</v>
      </c>
      <c r="AD968" s="4">
        <v>36</v>
      </c>
      <c r="AE968" s="4">
        <v>38</v>
      </c>
      <c r="AF968" s="4">
        <v>0</v>
      </c>
      <c r="AG968" s="4">
        <v>0</v>
      </c>
      <c r="AH968" s="4">
        <v>33</v>
      </c>
      <c r="AI968" s="4">
        <v>34</v>
      </c>
      <c r="AJ968" s="4">
        <v>2</v>
      </c>
      <c r="AK968" s="4">
        <v>3</v>
      </c>
      <c r="AL968" s="4">
        <v>25</v>
      </c>
      <c r="AM968" s="4">
        <v>25</v>
      </c>
      <c r="AN968" s="4">
        <v>0</v>
      </c>
      <c r="AO968" s="4">
        <v>0</v>
      </c>
      <c r="AP968" s="4">
        <v>2</v>
      </c>
      <c r="AQ968" s="4">
        <v>4</v>
      </c>
      <c r="AR968" s="3" t="s">
        <v>65</v>
      </c>
      <c r="AS968" s="3" t="s">
        <v>65</v>
      </c>
      <c r="AT968" s="3" t="s">
        <v>209</v>
      </c>
      <c r="AU968" s="6" t="str">
        <f>HYPERLINK("http://catalog.hathitrust.org/Record/005644926","HathiTrust Record")</f>
        <v>HathiTrust Record</v>
      </c>
      <c r="AV968" s="6" t="str">
        <f>HYPERLINK("http://mcgill.on.worldcat.org/oclc/155678469","Catalog Record")</f>
        <v>Catalog Record</v>
      </c>
      <c r="AW968" s="6" t="str">
        <f>HYPERLINK("http://www.worldcat.org/oclc/155678469","WorldCat Record")</f>
        <v>WorldCat Record</v>
      </c>
      <c r="AX968" s="3" t="s">
        <v>9431</v>
      </c>
      <c r="AY968" s="3" t="s">
        <v>9432</v>
      </c>
      <c r="AZ968" s="3" t="s">
        <v>9433</v>
      </c>
      <c r="BA968" s="3" t="s">
        <v>9433</v>
      </c>
      <c r="BB968" s="3" t="s">
        <v>9434</v>
      </c>
      <c r="BC968" s="3" t="s">
        <v>77</v>
      </c>
      <c r="BD968" s="3" t="s">
        <v>78</v>
      </c>
      <c r="BE968" s="3" t="s">
        <v>9435</v>
      </c>
      <c r="BF968" s="3" t="s">
        <v>9434</v>
      </c>
      <c r="BG968" s="3" t="s">
        <v>9436</v>
      </c>
    </row>
    <row r="969" spans="1:59" ht="58" x14ac:dyDescent="0.35">
      <c r="A969" s="2" t="s">
        <v>59</v>
      </c>
      <c r="B969" s="2" t="s">
        <v>60</v>
      </c>
      <c r="C969" s="2" t="s">
        <v>9437</v>
      </c>
      <c r="D969" s="2" t="s">
        <v>9438</v>
      </c>
      <c r="E969" s="2" t="s">
        <v>9439</v>
      </c>
      <c r="G969" s="3" t="s">
        <v>65</v>
      </c>
      <c r="I969" s="3" t="s">
        <v>65</v>
      </c>
      <c r="J969" s="3" t="s">
        <v>65</v>
      </c>
      <c r="K969" s="3" t="s">
        <v>66</v>
      </c>
      <c r="L969" s="2" t="s">
        <v>904</v>
      </c>
      <c r="M969" s="2" t="s">
        <v>9440</v>
      </c>
      <c r="N969" s="3" t="s">
        <v>615</v>
      </c>
      <c r="P969" s="3" t="s">
        <v>69</v>
      </c>
      <c r="R969" s="3" t="s">
        <v>71</v>
      </c>
      <c r="S969" s="4">
        <v>21</v>
      </c>
      <c r="T969" s="4">
        <v>21</v>
      </c>
      <c r="U969" s="5" t="s">
        <v>9441</v>
      </c>
      <c r="V969" s="5" t="s">
        <v>9441</v>
      </c>
      <c r="W969" s="5" t="s">
        <v>72</v>
      </c>
      <c r="X969" s="5" t="s">
        <v>72</v>
      </c>
      <c r="Y969" s="4">
        <v>620</v>
      </c>
      <c r="Z969" s="4">
        <v>29</v>
      </c>
      <c r="AA969" s="4">
        <v>29</v>
      </c>
      <c r="AB969" s="4">
        <v>1</v>
      </c>
      <c r="AC969" s="4">
        <v>1</v>
      </c>
      <c r="AD969" s="4">
        <v>115</v>
      </c>
      <c r="AE969" s="4">
        <v>115</v>
      </c>
      <c r="AF969" s="4">
        <v>0</v>
      </c>
      <c r="AG969" s="4">
        <v>0</v>
      </c>
      <c r="AH969" s="4">
        <v>101</v>
      </c>
      <c r="AI969" s="4">
        <v>101</v>
      </c>
      <c r="AJ969" s="4">
        <v>13</v>
      </c>
      <c r="AK969" s="4">
        <v>13</v>
      </c>
      <c r="AL969" s="4">
        <v>57</v>
      </c>
      <c r="AM969" s="4">
        <v>57</v>
      </c>
      <c r="AN969" s="4">
        <v>0</v>
      </c>
      <c r="AO969" s="4">
        <v>0</v>
      </c>
      <c r="AP969" s="4">
        <v>20</v>
      </c>
      <c r="AQ969" s="4">
        <v>20</v>
      </c>
      <c r="AR969" s="3" t="s">
        <v>65</v>
      </c>
      <c r="AS969" s="3" t="s">
        <v>65</v>
      </c>
      <c r="AT969" s="3" t="s">
        <v>209</v>
      </c>
      <c r="AU969" s="6" t="str">
        <f>HYPERLINK("http://catalog.hathitrust.org/Record/000325531","HathiTrust Record")</f>
        <v>HathiTrust Record</v>
      </c>
      <c r="AV969" s="6" t="str">
        <f>HYPERLINK("http://mcgill.on.worldcat.org/oclc/10020470","Catalog Record")</f>
        <v>Catalog Record</v>
      </c>
      <c r="AW969" s="6" t="str">
        <f>HYPERLINK("http://www.worldcat.org/oclc/10020470","WorldCat Record")</f>
        <v>WorldCat Record</v>
      </c>
      <c r="AX969" s="3" t="s">
        <v>9442</v>
      </c>
      <c r="AY969" s="3" t="s">
        <v>9443</v>
      </c>
      <c r="AZ969" s="3" t="s">
        <v>9444</v>
      </c>
      <c r="BA969" s="3" t="s">
        <v>9444</v>
      </c>
      <c r="BB969" s="3" t="s">
        <v>9445</v>
      </c>
      <c r="BC969" s="3" t="s">
        <v>77</v>
      </c>
      <c r="BD969" s="3" t="s">
        <v>78</v>
      </c>
      <c r="BE969" s="3" t="s">
        <v>9446</v>
      </c>
      <c r="BF969" s="3" t="s">
        <v>9445</v>
      </c>
      <c r="BG969" s="3" t="s">
        <v>9447</v>
      </c>
    </row>
    <row r="970" spans="1:59" ht="58" x14ac:dyDescent="0.35">
      <c r="A970" s="2" t="s">
        <v>59</v>
      </c>
      <c r="B970" s="2" t="s">
        <v>60</v>
      </c>
      <c r="C970" s="2" t="s">
        <v>9448</v>
      </c>
      <c r="D970" s="2" t="s">
        <v>9449</v>
      </c>
      <c r="E970" s="2" t="s">
        <v>9450</v>
      </c>
      <c r="G970" s="3" t="s">
        <v>65</v>
      </c>
      <c r="I970" s="3" t="s">
        <v>65</v>
      </c>
      <c r="J970" s="3" t="s">
        <v>209</v>
      </c>
      <c r="K970" s="3" t="s">
        <v>66</v>
      </c>
      <c r="L970" s="2" t="s">
        <v>904</v>
      </c>
      <c r="M970" s="2" t="s">
        <v>9451</v>
      </c>
      <c r="N970" s="3" t="s">
        <v>5961</v>
      </c>
      <c r="P970" s="3" t="s">
        <v>69</v>
      </c>
      <c r="Q970" s="2" t="s">
        <v>9452</v>
      </c>
      <c r="R970" s="3" t="s">
        <v>71</v>
      </c>
      <c r="S970" s="4">
        <v>20</v>
      </c>
      <c r="T970" s="4">
        <v>20</v>
      </c>
      <c r="U970" s="5" t="s">
        <v>9453</v>
      </c>
      <c r="V970" s="5" t="s">
        <v>9453</v>
      </c>
      <c r="W970" s="5" t="s">
        <v>72</v>
      </c>
      <c r="X970" s="5" t="s">
        <v>72</v>
      </c>
      <c r="Y970" s="4">
        <v>213</v>
      </c>
      <c r="Z970" s="4">
        <v>12</v>
      </c>
      <c r="AA970" s="4">
        <v>43</v>
      </c>
      <c r="AB970" s="4">
        <v>1</v>
      </c>
      <c r="AC970" s="4">
        <v>2</v>
      </c>
      <c r="AD970" s="4">
        <v>14</v>
      </c>
      <c r="AE970" s="4">
        <v>106</v>
      </c>
      <c r="AF970" s="4">
        <v>0</v>
      </c>
      <c r="AG970" s="4">
        <v>0</v>
      </c>
      <c r="AH970" s="4">
        <v>14</v>
      </c>
      <c r="AI970" s="4">
        <v>92</v>
      </c>
      <c r="AJ970" s="4">
        <v>1</v>
      </c>
      <c r="AK970" s="4">
        <v>13</v>
      </c>
      <c r="AL970" s="4">
        <v>8</v>
      </c>
      <c r="AM970" s="4">
        <v>53</v>
      </c>
      <c r="AN970" s="4">
        <v>0</v>
      </c>
      <c r="AO970" s="4">
        <v>2</v>
      </c>
      <c r="AP970" s="4">
        <v>1</v>
      </c>
      <c r="AQ970" s="4">
        <v>18</v>
      </c>
      <c r="AR970" s="3" t="s">
        <v>65</v>
      </c>
      <c r="AS970" s="3" t="s">
        <v>65</v>
      </c>
      <c r="AT970" s="3" t="s">
        <v>65</v>
      </c>
      <c r="AV970" s="6" t="str">
        <f>HYPERLINK("http://mcgill.on.worldcat.org/oclc/12944731","Catalog Record")</f>
        <v>Catalog Record</v>
      </c>
      <c r="AW970" s="6" t="str">
        <f>HYPERLINK("http://www.worldcat.org/oclc/12944731","WorldCat Record")</f>
        <v>WorldCat Record</v>
      </c>
      <c r="AX970" s="3" t="s">
        <v>9454</v>
      </c>
      <c r="AY970" s="3" t="s">
        <v>9455</v>
      </c>
      <c r="AZ970" s="3" t="s">
        <v>9456</v>
      </c>
      <c r="BA970" s="3" t="s">
        <v>9456</v>
      </c>
      <c r="BB970" s="3" t="s">
        <v>9457</v>
      </c>
      <c r="BC970" s="3" t="s">
        <v>77</v>
      </c>
      <c r="BD970" s="3" t="s">
        <v>78</v>
      </c>
      <c r="BE970" s="3" t="s">
        <v>9458</v>
      </c>
      <c r="BF970" s="3" t="s">
        <v>9457</v>
      </c>
      <c r="BG970" s="3" t="s">
        <v>9459</v>
      </c>
    </row>
    <row r="971" spans="1:59" ht="58" x14ac:dyDescent="0.35">
      <c r="A971" s="2" t="s">
        <v>59</v>
      </c>
      <c r="B971" s="2" t="s">
        <v>60</v>
      </c>
      <c r="C971" s="2" t="s">
        <v>9460</v>
      </c>
      <c r="D971" s="2" t="s">
        <v>9461</v>
      </c>
      <c r="E971" s="2" t="s">
        <v>8479</v>
      </c>
      <c r="F971" s="3" t="s">
        <v>245</v>
      </c>
      <c r="G971" s="3" t="s">
        <v>209</v>
      </c>
      <c r="I971" s="3" t="s">
        <v>65</v>
      </c>
      <c r="J971" s="3" t="s">
        <v>209</v>
      </c>
      <c r="K971" s="3" t="s">
        <v>66</v>
      </c>
      <c r="L971" s="2" t="s">
        <v>904</v>
      </c>
      <c r="M971" s="2" t="s">
        <v>9462</v>
      </c>
      <c r="N971" s="3" t="s">
        <v>770</v>
      </c>
      <c r="O971" s="2" t="s">
        <v>9463</v>
      </c>
      <c r="P971" s="3" t="s">
        <v>69</v>
      </c>
      <c r="Q971" s="2" t="s">
        <v>9452</v>
      </c>
      <c r="R971" s="3" t="s">
        <v>71</v>
      </c>
      <c r="S971" s="4">
        <v>17</v>
      </c>
      <c r="T971" s="4">
        <v>33</v>
      </c>
      <c r="U971" s="5" t="s">
        <v>5213</v>
      </c>
      <c r="V971" s="5" t="s">
        <v>5213</v>
      </c>
      <c r="W971" s="5" t="s">
        <v>72</v>
      </c>
      <c r="X971" s="5" t="s">
        <v>72</v>
      </c>
      <c r="Y971" s="4">
        <v>80</v>
      </c>
      <c r="Z971" s="4">
        <v>3</v>
      </c>
      <c r="AA971" s="4">
        <v>77</v>
      </c>
      <c r="AB971" s="4">
        <v>1</v>
      </c>
      <c r="AC971" s="4">
        <v>6</v>
      </c>
      <c r="AD971" s="4">
        <v>7</v>
      </c>
      <c r="AE971" s="4">
        <v>140</v>
      </c>
      <c r="AF971" s="4">
        <v>0</v>
      </c>
      <c r="AG971" s="4">
        <v>1</v>
      </c>
      <c r="AH971" s="4">
        <v>5</v>
      </c>
      <c r="AI971" s="4">
        <v>110</v>
      </c>
      <c r="AJ971" s="4">
        <v>0</v>
      </c>
      <c r="AK971" s="4">
        <v>18</v>
      </c>
      <c r="AL971" s="4">
        <v>3</v>
      </c>
      <c r="AM971" s="4">
        <v>60</v>
      </c>
      <c r="AN971" s="4">
        <v>0</v>
      </c>
      <c r="AO971" s="4">
        <v>2</v>
      </c>
      <c r="AP971" s="4">
        <v>2</v>
      </c>
      <c r="AQ971" s="4">
        <v>36</v>
      </c>
      <c r="AR971" s="3" t="s">
        <v>65</v>
      </c>
      <c r="AS971" s="3" t="s">
        <v>65</v>
      </c>
      <c r="AT971" s="3" t="s">
        <v>65</v>
      </c>
      <c r="AV971" s="6" t="str">
        <f>HYPERLINK("http://mcgill.on.worldcat.org/oclc/24611448","Catalog Record")</f>
        <v>Catalog Record</v>
      </c>
      <c r="AW971" s="6" t="str">
        <f>HYPERLINK("http://www.worldcat.org/oclc/24611448","WorldCat Record")</f>
        <v>WorldCat Record</v>
      </c>
      <c r="AX971" s="3" t="s">
        <v>8483</v>
      </c>
      <c r="AY971" s="3" t="s">
        <v>9464</v>
      </c>
      <c r="AZ971" s="3" t="s">
        <v>9465</v>
      </c>
      <c r="BA971" s="3" t="s">
        <v>9465</v>
      </c>
      <c r="BB971" s="3" t="s">
        <v>9466</v>
      </c>
      <c r="BC971" s="3" t="s">
        <v>77</v>
      </c>
      <c r="BD971" s="3" t="s">
        <v>78</v>
      </c>
      <c r="BE971" s="3" t="s">
        <v>9467</v>
      </c>
      <c r="BF971" s="3" t="s">
        <v>9466</v>
      </c>
      <c r="BG971" s="3" t="s">
        <v>9468</v>
      </c>
    </row>
    <row r="972" spans="1:59" ht="58" x14ac:dyDescent="0.35">
      <c r="A972" s="2" t="s">
        <v>59</v>
      </c>
      <c r="B972" s="2" t="s">
        <v>60</v>
      </c>
      <c r="C972" s="2" t="s">
        <v>9460</v>
      </c>
      <c r="D972" s="2" t="s">
        <v>9461</v>
      </c>
      <c r="E972" s="2" t="s">
        <v>8479</v>
      </c>
      <c r="F972" s="3" t="s">
        <v>258</v>
      </c>
      <c r="G972" s="3" t="s">
        <v>209</v>
      </c>
      <c r="I972" s="3" t="s">
        <v>65</v>
      </c>
      <c r="J972" s="3" t="s">
        <v>209</v>
      </c>
      <c r="K972" s="3" t="s">
        <v>66</v>
      </c>
      <c r="L972" s="2" t="s">
        <v>904</v>
      </c>
      <c r="M972" s="2" t="s">
        <v>9462</v>
      </c>
      <c r="N972" s="3" t="s">
        <v>770</v>
      </c>
      <c r="O972" s="2" t="s">
        <v>9463</v>
      </c>
      <c r="P972" s="3" t="s">
        <v>69</v>
      </c>
      <c r="Q972" s="2" t="s">
        <v>9452</v>
      </c>
      <c r="R972" s="3" t="s">
        <v>71</v>
      </c>
      <c r="S972" s="4">
        <v>16</v>
      </c>
      <c r="T972" s="4">
        <v>33</v>
      </c>
      <c r="U972" s="5" t="s">
        <v>5213</v>
      </c>
      <c r="V972" s="5" t="s">
        <v>5213</v>
      </c>
      <c r="W972" s="5" t="s">
        <v>72</v>
      </c>
      <c r="X972" s="5" t="s">
        <v>72</v>
      </c>
      <c r="Y972" s="4">
        <v>80</v>
      </c>
      <c r="Z972" s="4">
        <v>3</v>
      </c>
      <c r="AA972" s="4">
        <v>77</v>
      </c>
      <c r="AB972" s="4">
        <v>1</v>
      </c>
      <c r="AC972" s="4">
        <v>6</v>
      </c>
      <c r="AD972" s="4">
        <v>7</v>
      </c>
      <c r="AE972" s="4">
        <v>140</v>
      </c>
      <c r="AF972" s="4">
        <v>0</v>
      </c>
      <c r="AG972" s="4">
        <v>1</v>
      </c>
      <c r="AH972" s="4">
        <v>5</v>
      </c>
      <c r="AI972" s="4">
        <v>110</v>
      </c>
      <c r="AJ972" s="4">
        <v>0</v>
      </c>
      <c r="AK972" s="4">
        <v>18</v>
      </c>
      <c r="AL972" s="4">
        <v>3</v>
      </c>
      <c r="AM972" s="4">
        <v>60</v>
      </c>
      <c r="AN972" s="4">
        <v>0</v>
      </c>
      <c r="AO972" s="4">
        <v>2</v>
      </c>
      <c r="AP972" s="4">
        <v>2</v>
      </c>
      <c r="AQ972" s="4">
        <v>36</v>
      </c>
      <c r="AR972" s="3" t="s">
        <v>65</v>
      </c>
      <c r="AS972" s="3" t="s">
        <v>65</v>
      </c>
      <c r="AT972" s="3" t="s">
        <v>65</v>
      </c>
      <c r="AV972" s="6" t="str">
        <f>HYPERLINK("http://mcgill.on.worldcat.org/oclc/24611448","Catalog Record")</f>
        <v>Catalog Record</v>
      </c>
      <c r="AW972" s="6" t="str">
        <f>HYPERLINK("http://www.worldcat.org/oclc/24611448","WorldCat Record")</f>
        <v>WorldCat Record</v>
      </c>
      <c r="AX972" s="3" t="s">
        <v>8483</v>
      </c>
      <c r="AY972" s="3" t="s">
        <v>9464</v>
      </c>
      <c r="AZ972" s="3" t="s">
        <v>9465</v>
      </c>
      <c r="BA972" s="3" t="s">
        <v>9465</v>
      </c>
      <c r="BB972" s="3" t="s">
        <v>9469</v>
      </c>
      <c r="BC972" s="3" t="s">
        <v>77</v>
      </c>
      <c r="BD972" s="3" t="s">
        <v>78</v>
      </c>
      <c r="BE972" s="3" t="s">
        <v>9467</v>
      </c>
      <c r="BF972" s="3" t="s">
        <v>9469</v>
      </c>
      <c r="BG972" s="3" t="s">
        <v>9470</v>
      </c>
    </row>
    <row r="973" spans="1:59" ht="101.5" x14ac:dyDescent="0.35">
      <c r="A973" s="2" t="s">
        <v>59</v>
      </c>
      <c r="B973" s="2" t="s">
        <v>60</v>
      </c>
      <c r="C973" s="2" t="s">
        <v>9471</v>
      </c>
      <c r="D973" s="2" t="s">
        <v>9472</v>
      </c>
      <c r="E973" s="2" t="s">
        <v>9473</v>
      </c>
      <c r="G973" s="3" t="s">
        <v>65</v>
      </c>
      <c r="I973" s="3" t="s">
        <v>65</v>
      </c>
      <c r="J973" s="3" t="s">
        <v>65</v>
      </c>
      <c r="K973" s="3" t="s">
        <v>66</v>
      </c>
      <c r="L973" s="2" t="s">
        <v>9005</v>
      </c>
      <c r="M973" s="2" t="s">
        <v>5769</v>
      </c>
      <c r="N973" s="3" t="s">
        <v>164</v>
      </c>
      <c r="P973" s="3" t="s">
        <v>69</v>
      </c>
      <c r="Q973" s="2" t="s">
        <v>9474</v>
      </c>
      <c r="R973" s="3" t="s">
        <v>71</v>
      </c>
      <c r="S973" s="4">
        <v>0</v>
      </c>
      <c r="T973" s="4">
        <v>0</v>
      </c>
      <c r="W973" s="5" t="s">
        <v>72</v>
      </c>
      <c r="X973" s="5" t="s">
        <v>72</v>
      </c>
      <c r="Y973" s="4">
        <v>187</v>
      </c>
      <c r="Z973" s="4">
        <v>16</v>
      </c>
      <c r="AA973" s="4">
        <v>98</v>
      </c>
      <c r="AB973" s="4">
        <v>1</v>
      </c>
      <c r="AC973" s="4">
        <v>16</v>
      </c>
      <c r="AD973" s="4">
        <v>69</v>
      </c>
      <c r="AE973" s="4">
        <v>130</v>
      </c>
      <c r="AF973" s="4">
        <v>0</v>
      </c>
      <c r="AG973" s="4">
        <v>8</v>
      </c>
      <c r="AH973" s="4">
        <v>62</v>
      </c>
      <c r="AI973" s="4">
        <v>88</v>
      </c>
      <c r="AJ973" s="4">
        <v>8</v>
      </c>
      <c r="AK973" s="4">
        <v>24</v>
      </c>
      <c r="AL973" s="4">
        <v>45</v>
      </c>
      <c r="AM973" s="4">
        <v>53</v>
      </c>
      <c r="AN973" s="4">
        <v>0</v>
      </c>
      <c r="AO973" s="4">
        <v>0</v>
      </c>
      <c r="AP973" s="4">
        <v>8</v>
      </c>
      <c r="AQ973" s="4">
        <v>48</v>
      </c>
      <c r="AR973" s="3" t="s">
        <v>209</v>
      </c>
      <c r="AS973" s="3" t="s">
        <v>65</v>
      </c>
      <c r="AT973" s="3" t="s">
        <v>65</v>
      </c>
      <c r="AV973" s="6" t="str">
        <f>HYPERLINK("http://mcgill.on.worldcat.org/oclc/888557741","Catalog Record")</f>
        <v>Catalog Record</v>
      </c>
      <c r="AW973" s="6" t="str">
        <f>HYPERLINK("http://www.worldcat.org/oclc/888557741","WorldCat Record")</f>
        <v>WorldCat Record</v>
      </c>
      <c r="AX973" s="3" t="s">
        <v>9475</v>
      </c>
      <c r="AY973" s="3" t="s">
        <v>9476</v>
      </c>
      <c r="AZ973" s="3" t="s">
        <v>9477</v>
      </c>
      <c r="BA973" s="3" t="s">
        <v>9477</v>
      </c>
      <c r="BB973" s="3" t="s">
        <v>9478</v>
      </c>
      <c r="BC973" s="3" t="s">
        <v>77</v>
      </c>
      <c r="BD973" s="3" t="s">
        <v>78</v>
      </c>
      <c r="BE973" s="3" t="s">
        <v>9479</v>
      </c>
      <c r="BF973" s="3" t="s">
        <v>9478</v>
      </c>
      <c r="BG973" s="3" t="s">
        <v>9480</v>
      </c>
    </row>
    <row r="974" spans="1:59" ht="58" x14ac:dyDescent="0.35">
      <c r="A974" s="2" t="s">
        <v>59</v>
      </c>
      <c r="B974" s="2" t="s">
        <v>60</v>
      </c>
      <c r="C974" s="2" t="s">
        <v>9481</v>
      </c>
      <c r="D974" s="2" t="s">
        <v>9482</v>
      </c>
      <c r="E974" s="2" t="s">
        <v>9483</v>
      </c>
      <c r="G974" s="3" t="s">
        <v>65</v>
      </c>
      <c r="I974" s="3" t="s">
        <v>65</v>
      </c>
      <c r="J974" s="3" t="s">
        <v>65</v>
      </c>
      <c r="K974" s="3" t="s">
        <v>66</v>
      </c>
      <c r="L974" s="2" t="s">
        <v>904</v>
      </c>
      <c r="M974" s="2" t="s">
        <v>9484</v>
      </c>
      <c r="N974" s="3" t="s">
        <v>392</v>
      </c>
      <c r="P974" s="3" t="s">
        <v>69</v>
      </c>
      <c r="Q974" s="2" t="s">
        <v>9485</v>
      </c>
      <c r="R974" s="3" t="s">
        <v>71</v>
      </c>
      <c r="S974" s="4">
        <v>31</v>
      </c>
      <c r="T974" s="4">
        <v>31</v>
      </c>
      <c r="U974" s="5" t="s">
        <v>9486</v>
      </c>
      <c r="V974" s="5" t="s">
        <v>9486</v>
      </c>
      <c r="W974" s="5" t="s">
        <v>72</v>
      </c>
      <c r="X974" s="5" t="s">
        <v>72</v>
      </c>
      <c r="Y974" s="4">
        <v>195</v>
      </c>
      <c r="Z974" s="4">
        <v>16</v>
      </c>
      <c r="AA974" s="4">
        <v>16</v>
      </c>
      <c r="AB974" s="4">
        <v>1</v>
      </c>
      <c r="AC974" s="4">
        <v>1</v>
      </c>
      <c r="AD974" s="4">
        <v>91</v>
      </c>
      <c r="AE974" s="4">
        <v>91</v>
      </c>
      <c r="AF974" s="4">
        <v>0</v>
      </c>
      <c r="AG974" s="4">
        <v>0</v>
      </c>
      <c r="AH974" s="4">
        <v>84</v>
      </c>
      <c r="AI974" s="4">
        <v>84</v>
      </c>
      <c r="AJ974" s="4">
        <v>12</v>
      </c>
      <c r="AK974" s="4">
        <v>12</v>
      </c>
      <c r="AL974" s="4">
        <v>50</v>
      </c>
      <c r="AM974" s="4">
        <v>50</v>
      </c>
      <c r="AN974" s="4">
        <v>0</v>
      </c>
      <c r="AO974" s="4">
        <v>0</v>
      </c>
      <c r="AP974" s="4">
        <v>13</v>
      </c>
      <c r="AQ974" s="4">
        <v>13</v>
      </c>
      <c r="AR974" s="3" t="s">
        <v>65</v>
      </c>
      <c r="AS974" s="3" t="s">
        <v>65</v>
      </c>
      <c r="AT974" s="3" t="s">
        <v>209</v>
      </c>
      <c r="AU974" s="6" t="str">
        <f>HYPERLINK("http://catalog.hathitrust.org/Record/001818909","HathiTrust Record")</f>
        <v>HathiTrust Record</v>
      </c>
      <c r="AV974" s="6" t="str">
        <f>HYPERLINK("http://mcgill.on.worldcat.org/oclc/19719332","Catalog Record")</f>
        <v>Catalog Record</v>
      </c>
      <c r="AW974" s="6" t="str">
        <f>HYPERLINK("http://www.worldcat.org/oclc/19719332","WorldCat Record")</f>
        <v>WorldCat Record</v>
      </c>
      <c r="AX974" s="3" t="s">
        <v>9487</v>
      </c>
      <c r="AY974" s="3" t="s">
        <v>9488</v>
      </c>
      <c r="AZ974" s="3" t="s">
        <v>9489</v>
      </c>
      <c r="BA974" s="3" t="s">
        <v>9489</v>
      </c>
      <c r="BB974" s="3" t="s">
        <v>9490</v>
      </c>
      <c r="BC974" s="3" t="s">
        <v>77</v>
      </c>
      <c r="BD974" s="3" t="s">
        <v>78</v>
      </c>
      <c r="BE974" s="3" t="s">
        <v>9491</v>
      </c>
      <c r="BF974" s="3" t="s">
        <v>9490</v>
      </c>
      <c r="BG974" s="3" t="s">
        <v>9492</v>
      </c>
    </row>
    <row r="975" spans="1:59" ht="58" x14ac:dyDescent="0.35">
      <c r="A975" s="2" t="s">
        <v>59</v>
      </c>
      <c r="B975" s="2" t="s">
        <v>60</v>
      </c>
      <c r="C975" s="2" t="s">
        <v>9493</v>
      </c>
      <c r="D975" s="2" t="s">
        <v>9494</v>
      </c>
      <c r="E975" s="2" t="s">
        <v>9495</v>
      </c>
      <c r="F975" s="3" t="s">
        <v>245</v>
      </c>
      <c r="G975" s="3" t="s">
        <v>209</v>
      </c>
      <c r="I975" s="3" t="s">
        <v>65</v>
      </c>
      <c r="J975" s="3" t="s">
        <v>209</v>
      </c>
      <c r="K975" s="3" t="s">
        <v>8735</v>
      </c>
      <c r="L975" s="2" t="s">
        <v>904</v>
      </c>
      <c r="M975" s="2" t="s">
        <v>9496</v>
      </c>
      <c r="N975" s="3" t="s">
        <v>1032</v>
      </c>
      <c r="P975" s="3" t="s">
        <v>69</v>
      </c>
      <c r="R975" s="3" t="s">
        <v>71</v>
      </c>
      <c r="S975" s="4">
        <v>32</v>
      </c>
      <c r="T975" s="4">
        <v>32</v>
      </c>
      <c r="U975" s="5" t="s">
        <v>8622</v>
      </c>
      <c r="V975" s="5" t="s">
        <v>8622</v>
      </c>
      <c r="W975" s="5" t="s">
        <v>72</v>
      </c>
      <c r="X975" s="5" t="s">
        <v>72</v>
      </c>
      <c r="Y975" s="4">
        <v>390</v>
      </c>
      <c r="Z975" s="4">
        <v>21</v>
      </c>
      <c r="AA975" s="4">
        <v>132</v>
      </c>
      <c r="AB975" s="4">
        <v>1</v>
      </c>
      <c r="AC975" s="4">
        <v>19</v>
      </c>
      <c r="AD975" s="4">
        <v>98</v>
      </c>
      <c r="AE975" s="4">
        <v>163</v>
      </c>
      <c r="AF975" s="4">
        <v>0</v>
      </c>
      <c r="AG975" s="4">
        <v>8</v>
      </c>
      <c r="AH975" s="4">
        <v>91</v>
      </c>
      <c r="AI975" s="4">
        <v>116</v>
      </c>
      <c r="AJ975" s="4">
        <v>9</v>
      </c>
      <c r="AK975" s="4">
        <v>28</v>
      </c>
      <c r="AL975" s="4">
        <v>52</v>
      </c>
      <c r="AM975" s="4">
        <v>63</v>
      </c>
      <c r="AN975" s="4">
        <v>0</v>
      </c>
      <c r="AO975" s="4">
        <v>18</v>
      </c>
      <c r="AP975" s="4">
        <v>12</v>
      </c>
      <c r="AQ975" s="4">
        <v>53</v>
      </c>
      <c r="AR975" s="3" t="s">
        <v>65</v>
      </c>
      <c r="AS975" s="3" t="s">
        <v>65</v>
      </c>
      <c r="AT975" s="3" t="s">
        <v>209</v>
      </c>
      <c r="AU975" s="6" t="str">
        <f>HYPERLINK("http://catalog.hathitrust.org/Record/003009070","HathiTrust Record")</f>
        <v>HathiTrust Record</v>
      </c>
      <c r="AV975" s="6" t="str">
        <f>HYPERLINK("http://mcgill.on.worldcat.org/oclc/32014244","Catalog Record")</f>
        <v>Catalog Record</v>
      </c>
      <c r="AW975" s="6" t="str">
        <f>HYPERLINK("http://www.worldcat.org/oclc/32014244","WorldCat Record")</f>
        <v>WorldCat Record</v>
      </c>
      <c r="AX975" s="3" t="s">
        <v>8739</v>
      </c>
      <c r="AY975" s="3" t="s">
        <v>9497</v>
      </c>
      <c r="AZ975" s="3" t="s">
        <v>9498</v>
      </c>
      <c r="BA975" s="3" t="s">
        <v>9498</v>
      </c>
      <c r="BB975" s="3" t="s">
        <v>9499</v>
      </c>
      <c r="BC975" s="3" t="s">
        <v>77</v>
      </c>
      <c r="BD975" s="3" t="s">
        <v>78</v>
      </c>
      <c r="BE975" s="3" t="s">
        <v>9500</v>
      </c>
      <c r="BF975" s="3" t="s">
        <v>9499</v>
      </c>
      <c r="BG975" s="3" t="s">
        <v>9501</v>
      </c>
    </row>
    <row r="976" spans="1:59" ht="58" x14ac:dyDescent="0.35">
      <c r="A976" s="2" t="s">
        <v>59</v>
      </c>
      <c r="B976" s="2" t="s">
        <v>60</v>
      </c>
      <c r="C976" s="2" t="s">
        <v>9502</v>
      </c>
      <c r="D976" s="2" t="s">
        <v>9503</v>
      </c>
      <c r="E976" s="2" t="s">
        <v>9504</v>
      </c>
      <c r="G976" s="3" t="s">
        <v>65</v>
      </c>
      <c r="I976" s="3" t="s">
        <v>65</v>
      </c>
      <c r="J976" s="3" t="s">
        <v>209</v>
      </c>
      <c r="K976" s="3" t="s">
        <v>8735</v>
      </c>
      <c r="L976" s="2" t="s">
        <v>904</v>
      </c>
      <c r="M976" s="2" t="s">
        <v>9505</v>
      </c>
      <c r="N976" s="3" t="s">
        <v>126</v>
      </c>
      <c r="P976" s="3" t="s">
        <v>69</v>
      </c>
      <c r="Q976" s="2" t="s">
        <v>9506</v>
      </c>
      <c r="R976" s="3" t="s">
        <v>71</v>
      </c>
      <c r="S976" s="4">
        <v>11</v>
      </c>
      <c r="T976" s="4">
        <v>11</v>
      </c>
      <c r="U976" s="5" t="s">
        <v>8515</v>
      </c>
      <c r="V976" s="5" t="s">
        <v>8515</v>
      </c>
      <c r="W976" s="5" t="s">
        <v>72</v>
      </c>
      <c r="X976" s="5" t="s">
        <v>72</v>
      </c>
      <c r="Y976" s="4">
        <v>73</v>
      </c>
      <c r="Z976" s="4">
        <v>7</v>
      </c>
      <c r="AA976" s="4">
        <v>132</v>
      </c>
      <c r="AB976" s="4">
        <v>1</v>
      </c>
      <c r="AC976" s="4">
        <v>19</v>
      </c>
      <c r="AD976" s="4">
        <v>40</v>
      </c>
      <c r="AE976" s="4">
        <v>163</v>
      </c>
      <c r="AF976" s="4">
        <v>0</v>
      </c>
      <c r="AG976" s="4">
        <v>8</v>
      </c>
      <c r="AH976" s="4">
        <v>38</v>
      </c>
      <c r="AI976" s="4">
        <v>116</v>
      </c>
      <c r="AJ976" s="4">
        <v>5</v>
      </c>
      <c r="AK976" s="4">
        <v>28</v>
      </c>
      <c r="AL976" s="4">
        <v>27</v>
      </c>
      <c r="AM976" s="4">
        <v>63</v>
      </c>
      <c r="AN976" s="4">
        <v>0</v>
      </c>
      <c r="AO976" s="4">
        <v>18</v>
      </c>
      <c r="AP976" s="4">
        <v>5</v>
      </c>
      <c r="AQ976" s="4">
        <v>53</v>
      </c>
      <c r="AR976" s="3" t="s">
        <v>65</v>
      </c>
      <c r="AS976" s="3" t="s">
        <v>65</v>
      </c>
      <c r="AT976" s="3" t="s">
        <v>65</v>
      </c>
      <c r="AV976" s="6" t="str">
        <f>HYPERLINK("http://mcgill.on.worldcat.org/oclc/751058361","Catalog Record")</f>
        <v>Catalog Record</v>
      </c>
      <c r="AW976" s="6" t="str">
        <f>HYPERLINK("http://www.worldcat.org/oclc/751058361","WorldCat Record")</f>
        <v>WorldCat Record</v>
      </c>
      <c r="AX976" s="3" t="s">
        <v>8739</v>
      </c>
      <c r="AY976" s="3" t="s">
        <v>9507</v>
      </c>
      <c r="AZ976" s="3" t="s">
        <v>9508</v>
      </c>
      <c r="BA976" s="3" t="s">
        <v>9508</v>
      </c>
      <c r="BB976" s="3" t="s">
        <v>9509</v>
      </c>
      <c r="BC976" s="3" t="s">
        <v>77</v>
      </c>
      <c r="BD976" s="3" t="s">
        <v>78</v>
      </c>
      <c r="BE976" s="3" t="s">
        <v>9510</v>
      </c>
      <c r="BF976" s="3" t="s">
        <v>9509</v>
      </c>
      <c r="BG976" s="3" t="s">
        <v>9511</v>
      </c>
    </row>
    <row r="977" spans="1:59" ht="58" x14ac:dyDescent="0.35">
      <c r="A977" s="2" t="s">
        <v>59</v>
      </c>
      <c r="B977" s="2" t="s">
        <v>60</v>
      </c>
      <c r="C977" s="2" t="s">
        <v>9512</v>
      </c>
      <c r="D977" s="2" t="s">
        <v>9513</v>
      </c>
      <c r="E977" s="2" t="s">
        <v>9514</v>
      </c>
      <c r="G977" s="3" t="s">
        <v>65</v>
      </c>
      <c r="I977" s="3" t="s">
        <v>65</v>
      </c>
      <c r="J977" s="3" t="s">
        <v>209</v>
      </c>
      <c r="K977" s="3" t="s">
        <v>8735</v>
      </c>
      <c r="L977" s="2" t="s">
        <v>904</v>
      </c>
      <c r="M977" s="2" t="s">
        <v>9515</v>
      </c>
      <c r="N977" s="3" t="s">
        <v>863</v>
      </c>
      <c r="P977" s="3" t="s">
        <v>69</v>
      </c>
      <c r="Q977" s="2" t="s">
        <v>9516</v>
      </c>
      <c r="R977" s="3" t="s">
        <v>71</v>
      </c>
      <c r="S977" s="4">
        <v>31</v>
      </c>
      <c r="T977" s="4">
        <v>31</v>
      </c>
      <c r="U977" s="5" t="s">
        <v>9517</v>
      </c>
      <c r="V977" s="5" t="s">
        <v>9517</v>
      </c>
      <c r="W977" s="5" t="s">
        <v>72</v>
      </c>
      <c r="X977" s="5" t="s">
        <v>72</v>
      </c>
      <c r="Y977" s="4">
        <v>149</v>
      </c>
      <c r="Z977" s="4">
        <v>7</v>
      </c>
      <c r="AA977" s="4">
        <v>132</v>
      </c>
      <c r="AB977" s="4">
        <v>1</v>
      </c>
      <c r="AC977" s="4">
        <v>19</v>
      </c>
      <c r="AD977" s="4">
        <v>46</v>
      </c>
      <c r="AE977" s="4">
        <v>163</v>
      </c>
      <c r="AF977" s="4">
        <v>0</v>
      </c>
      <c r="AG977" s="4">
        <v>8</v>
      </c>
      <c r="AH977" s="4">
        <v>44</v>
      </c>
      <c r="AI977" s="4">
        <v>116</v>
      </c>
      <c r="AJ977" s="4">
        <v>3</v>
      </c>
      <c r="AK977" s="4">
        <v>28</v>
      </c>
      <c r="AL977" s="4">
        <v>29</v>
      </c>
      <c r="AM977" s="4">
        <v>63</v>
      </c>
      <c r="AN977" s="4">
        <v>0</v>
      </c>
      <c r="AO977" s="4">
        <v>18</v>
      </c>
      <c r="AP977" s="4">
        <v>3</v>
      </c>
      <c r="AQ977" s="4">
        <v>53</v>
      </c>
      <c r="AR977" s="3" t="s">
        <v>65</v>
      </c>
      <c r="AS977" s="3" t="s">
        <v>65</v>
      </c>
      <c r="AT977" s="3" t="s">
        <v>65</v>
      </c>
      <c r="AV977" s="6" t="str">
        <f>HYPERLINK("http://mcgill.on.worldcat.org/oclc/24503888","Catalog Record")</f>
        <v>Catalog Record</v>
      </c>
      <c r="AW977" s="6" t="str">
        <f>HYPERLINK("http://www.worldcat.org/oclc/24503888","WorldCat Record")</f>
        <v>WorldCat Record</v>
      </c>
      <c r="AX977" s="3" t="s">
        <v>8739</v>
      </c>
      <c r="AY977" s="3" t="s">
        <v>9518</v>
      </c>
      <c r="AZ977" s="3" t="s">
        <v>9519</v>
      </c>
      <c r="BA977" s="3" t="s">
        <v>9519</v>
      </c>
      <c r="BB977" s="3" t="s">
        <v>9520</v>
      </c>
      <c r="BC977" s="3" t="s">
        <v>77</v>
      </c>
      <c r="BD977" s="3" t="s">
        <v>78</v>
      </c>
      <c r="BE977" s="3" t="s">
        <v>9521</v>
      </c>
      <c r="BF977" s="3" t="s">
        <v>9520</v>
      </c>
      <c r="BG977" s="3" t="s">
        <v>9522</v>
      </c>
    </row>
    <row r="978" spans="1:59" ht="58" x14ac:dyDescent="0.35">
      <c r="A978" s="2" t="s">
        <v>59</v>
      </c>
      <c r="B978" s="2" t="s">
        <v>60</v>
      </c>
      <c r="C978" s="2" t="s">
        <v>9523</v>
      </c>
      <c r="D978" s="2" t="s">
        <v>9524</v>
      </c>
      <c r="E978" s="2" t="s">
        <v>9525</v>
      </c>
      <c r="G978" s="3" t="s">
        <v>65</v>
      </c>
      <c r="I978" s="3" t="s">
        <v>65</v>
      </c>
      <c r="J978" s="3" t="s">
        <v>209</v>
      </c>
      <c r="K978" s="3" t="s">
        <v>8735</v>
      </c>
      <c r="L978" s="2" t="s">
        <v>904</v>
      </c>
      <c r="M978" s="2" t="s">
        <v>9526</v>
      </c>
      <c r="N978" s="3" t="s">
        <v>479</v>
      </c>
      <c r="P978" s="3" t="s">
        <v>69</v>
      </c>
      <c r="Q978" s="2" t="s">
        <v>9163</v>
      </c>
      <c r="R978" s="3" t="s">
        <v>71</v>
      </c>
      <c r="S978" s="4">
        <v>5</v>
      </c>
      <c r="T978" s="4">
        <v>5</v>
      </c>
      <c r="U978" s="5" t="s">
        <v>9527</v>
      </c>
      <c r="V978" s="5" t="s">
        <v>9527</v>
      </c>
      <c r="W978" s="5" t="s">
        <v>72</v>
      </c>
      <c r="X978" s="5" t="s">
        <v>72</v>
      </c>
      <c r="Y978" s="4">
        <v>80</v>
      </c>
      <c r="Z978" s="4">
        <v>3</v>
      </c>
      <c r="AA978" s="4">
        <v>132</v>
      </c>
      <c r="AB978" s="4">
        <v>1</v>
      </c>
      <c r="AC978" s="4">
        <v>19</v>
      </c>
      <c r="AD978" s="4">
        <v>7</v>
      </c>
      <c r="AE978" s="4">
        <v>163</v>
      </c>
      <c r="AF978" s="4">
        <v>0</v>
      </c>
      <c r="AG978" s="4">
        <v>8</v>
      </c>
      <c r="AH978" s="4">
        <v>6</v>
      </c>
      <c r="AI978" s="4">
        <v>116</v>
      </c>
      <c r="AJ978" s="4">
        <v>0</v>
      </c>
      <c r="AK978" s="4">
        <v>28</v>
      </c>
      <c r="AL978" s="4">
        <v>3</v>
      </c>
      <c r="AM978" s="4">
        <v>63</v>
      </c>
      <c r="AN978" s="4">
        <v>0</v>
      </c>
      <c r="AO978" s="4">
        <v>18</v>
      </c>
      <c r="AP978" s="4">
        <v>0</v>
      </c>
      <c r="AQ978" s="4">
        <v>53</v>
      </c>
      <c r="AR978" s="3" t="s">
        <v>65</v>
      </c>
      <c r="AS978" s="3" t="s">
        <v>65</v>
      </c>
      <c r="AT978" s="3" t="s">
        <v>65</v>
      </c>
      <c r="AV978" s="6" t="str">
        <f>HYPERLINK("http://mcgill.on.worldcat.org/oclc/232358291","Catalog Record")</f>
        <v>Catalog Record</v>
      </c>
      <c r="AW978" s="6" t="str">
        <f>HYPERLINK("http://www.worldcat.org/oclc/232358291","WorldCat Record")</f>
        <v>WorldCat Record</v>
      </c>
      <c r="AX978" s="3" t="s">
        <v>8739</v>
      </c>
      <c r="AY978" s="3" t="s">
        <v>9528</v>
      </c>
      <c r="AZ978" s="3" t="s">
        <v>9529</v>
      </c>
      <c r="BA978" s="3" t="s">
        <v>9529</v>
      </c>
      <c r="BB978" s="3" t="s">
        <v>9530</v>
      </c>
      <c r="BC978" s="3" t="s">
        <v>77</v>
      </c>
      <c r="BD978" s="3" t="s">
        <v>78</v>
      </c>
      <c r="BE978" s="3" t="s">
        <v>9531</v>
      </c>
      <c r="BF978" s="3" t="s">
        <v>9530</v>
      </c>
      <c r="BG978" s="3" t="s">
        <v>9532</v>
      </c>
    </row>
    <row r="979" spans="1:59" ht="58" x14ac:dyDescent="0.35">
      <c r="A979" s="2" t="s">
        <v>59</v>
      </c>
      <c r="B979" s="2" t="s">
        <v>9071</v>
      </c>
      <c r="C979" s="2" t="s">
        <v>9533</v>
      </c>
      <c r="D979" s="2" t="s">
        <v>9534</v>
      </c>
      <c r="E979" s="2" t="s">
        <v>9535</v>
      </c>
      <c r="G979" s="3" t="s">
        <v>65</v>
      </c>
      <c r="I979" s="3" t="s">
        <v>65</v>
      </c>
      <c r="J979" s="3" t="s">
        <v>209</v>
      </c>
      <c r="K979" s="3" t="s">
        <v>8735</v>
      </c>
      <c r="L979" s="2" t="s">
        <v>904</v>
      </c>
      <c r="M979" s="2" t="s">
        <v>9536</v>
      </c>
      <c r="N979" s="3" t="s">
        <v>9537</v>
      </c>
      <c r="P979" s="3" t="s">
        <v>69</v>
      </c>
      <c r="R979" s="3" t="s">
        <v>71</v>
      </c>
      <c r="S979" s="4">
        <v>3</v>
      </c>
      <c r="T979" s="4">
        <v>3</v>
      </c>
      <c r="U979" s="5" t="s">
        <v>9538</v>
      </c>
      <c r="V979" s="5" t="s">
        <v>9538</v>
      </c>
      <c r="W979" s="5" t="s">
        <v>72</v>
      </c>
      <c r="X979" s="5" t="s">
        <v>72</v>
      </c>
      <c r="Y979" s="4">
        <v>104</v>
      </c>
      <c r="Z979" s="4">
        <v>4</v>
      </c>
      <c r="AA979" s="4">
        <v>132</v>
      </c>
      <c r="AB979" s="4">
        <v>1</v>
      </c>
      <c r="AC979" s="4">
        <v>19</v>
      </c>
      <c r="AD979" s="4">
        <v>35</v>
      </c>
      <c r="AE979" s="4">
        <v>163</v>
      </c>
      <c r="AF979" s="4">
        <v>0</v>
      </c>
      <c r="AG979" s="4">
        <v>8</v>
      </c>
      <c r="AH979" s="4">
        <v>33</v>
      </c>
      <c r="AI979" s="4">
        <v>116</v>
      </c>
      <c r="AJ979" s="4">
        <v>1</v>
      </c>
      <c r="AK979" s="4">
        <v>28</v>
      </c>
      <c r="AL979" s="4">
        <v>23</v>
      </c>
      <c r="AM979" s="4">
        <v>63</v>
      </c>
      <c r="AN979" s="4">
        <v>0</v>
      </c>
      <c r="AO979" s="4">
        <v>18</v>
      </c>
      <c r="AP979" s="4">
        <v>2</v>
      </c>
      <c r="AQ979" s="4">
        <v>53</v>
      </c>
      <c r="AR979" s="3" t="s">
        <v>65</v>
      </c>
      <c r="AS979" s="3" t="s">
        <v>209</v>
      </c>
      <c r="AT979" s="3" t="s">
        <v>65</v>
      </c>
      <c r="AU979" s="6" t="str">
        <f>HYPERLINK("http://catalog.hathitrust.org/Record/000878795","HathiTrust Record")</f>
        <v>HathiTrust Record</v>
      </c>
      <c r="AV979" s="6" t="str">
        <f>HYPERLINK("http://mcgill.on.worldcat.org/oclc/2828536","Catalog Record")</f>
        <v>Catalog Record</v>
      </c>
      <c r="AW979" s="6" t="str">
        <f>HYPERLINK("http://www.worldcat.org/oclc/2828536","WorldCat Record")</f>
        <v>WorldCat Record</v>
      </c>
      <c r="AX979" s="3" t="s">
        <v>8739</v>
      </c>
      <c r="AY979" s="3" t="s">
        <v>9539</v>
      </c>
      <c r="AZ979" s="3" t="s">
        <v>9540</v>
      </c>
      <c r="BA979" s="3" t="s">
        <v>9540</v>
      </c>
      <c r="BB979" s="3" t="s">
        <v>9541</v>
      </c>
      <c r="BC979" s="3" t="s">
        <v>77</v>
      </c>
      <c r="BD979" s="3" t="s">
        <v>78</v>
      </c>
      <c r="BF979" s="3" t="s">
        <v>9541</v>
      </c>
      <c r="BG979" s="3" t="s">
        <v>9542</v>
      </c>
    </row>
    <row r="980" spans="1:59" ht="58" x14ac:dyDescent="0.35">
      <c r="A980" s="2" t="s">
        <v>59</v>
      </c>
      <c r="B980" s="2" t="s">
        <v>9071</v>
      </c>
      <c r="C980" s="2" t="s">
        <v>9543</v>
      </c>
      <c r="D980" s="2" t="s">
        <v>9544</v>
      </c>
      <c r="E980" s="2" t="s">
        <v>9545</v>
      </c>
      <c r="G980" s="3" t="s">
        <v>65</v>
      </c>
      <c r="I980" s="3" t="s">
        <v>65</v>
      </c>
      <c r="J980" s="3" t="s">
        <v>209</v>
      </c>
      <c r="K980" s="3" t="s">
        <v>8735</v>
      </c>
      <c r="L980" s="2" t="s">
        <v>904</v>
      </c>
      <c r="M980" s="2" t="s">
        <v>9546</v>
      </c>
      <c r="N980" s="3" t="s">
        <v>9547</v>
      </c>
      <c r="P980" s="3" t="s">
        <v>69</v>
      </c>
      <c r="Q980" s="2" t="s">
        <v>9548</v>
      </c>
      <c r="R980" s="3" t="s">
        <v>71</v>
      </c>
      <c r="S980" s="4">
        <v>18</v>
      </c>
      <c r="T980" s="4">
        <v>18</v>
      </c>
      <c r="U980" s="5" t="s">
        <v>9538</v>
      </c>
      <c r="V980" s="5" t="s">
        <v>9538</v>
      </c>
      <c r="W980" s="5" t="s">
        <v>72</v>
      </c>
      <c r="X980" s="5" t="s">
        <v>72</v>
      </c>
      <c r="Y980" s="4">
        <v>1</v>
      </c>
      <c r="Z980" s="4">
        <v>1</v>
      </c>
      <c r="AA980" s="4">
        <v>132</v>
      </c>
      <c r="AB980" s="4">
        <v>1</v>
      </c>
      <c r="AC980" s="4">
        <v>19</v>
      </c>
      <c r="AD980" s="4">
        <v>0</v>
      </c>
      <c r="AE980" s="4">
        <v>163</v>
      </c>
      <c r="AF980" s="4">
        <v>0</v>
      </c>
      <c r="AG980" s="4">
        <v>8</v>
      </c>
      <c r="AH980" s="4">
        <v>0</v>
      </c>
      <c r="AI980" s="4">
        <v>116</v>
      </c>
      <c r="AJ980" s="4">
        <v>0</v>
      </c>
      <c r="AK980" s="4">
        <v>28</v>
      </c>
      <c r="AL980" s="4">
        <v>0</v>
      </c>
      <c r="AM980" s="4">
        <v>63</v>
      </c>
      <c r="AN980" s="4">
        <v>0</v>
      </c>
      <c r="AO980" s="4">
        <v>18</v>
      </c>
      <c r="AP980" s="4">
        <v>0</v>
      </c>
      <c r="AQ980" s="4">
        <v>53</v>
      </c>
      <c r="AR980" s="3" t="s">
        <v>65</v>
      </c>
      <c r="AS980" s="3" t="s">
        <v>65</v>
      </c>
      <c r="AT980" s="3" t="s">
        <v>65</v>
      </c>
      <c r="AV980" s="6" t="str">
        <f>HYPERLINK("http://mcgill.on.worldcat.org/oclc/427142464","Catalog Record")</f>
        <v>Catalog Record</v>
      </c>
      <c r="AW980" s="6" t="str">
        <f>HYPERLINK("http://www.worldcat.org/oclc/427142464","WorldCat Record")</f>
        <v>WorldCat Record</v>
      </c>
      <c r="AX980" s="3" t="s">
        <v>8739</v>
      </c>
      <c r="AY980" s="3" t="s">
        <v>9549</v>
      </c>
      <c r="AZ980" s="3" t="s">
        <v>9550</v>
      </c>
      <c r="BA980" s="3" t="s">
        <v>9550</v>
      </c>
      <c r="BB980" s="3" t="s">
        <v>9551</v>
      </c>
      <c r="BC980" s="3" t="s">
        <v>77</v>
      </c>
      <c r="BD980" s="3" t="s">
        <v>78</v>
      </c>
      <c r="BF980" s="3" t="s">
        <v>9551</v>
      </c>
      <c r="BG980" s="3" t="s">
        <v>9552</v>
      </c>
    </row>
    <row r="981" spans="1:59" ht="58" x14ac:dyDescent="0.35">
      <c r="A981" s="2" t="s">
        <v>59</v>
      </c>
      <c r="B981" s="2" t="s">
        <v>60</v>
      </c>
      <c r="C981" s="2" t="s">
        <v>9553</v>
      </c>
      <c r="D981" s="2" t="s">
        <v>9554</v>
      </c>
      <c r="E981" s="2" t="s">
        <v>9555</v>
      </c>
      <c r="G981" s="3" t="s">
        <v>65</v>
      </c>
      <c r="I981" s="3" t="s">
        <v>65</v>
      </c>
      <c r="J981" s="3" t="s">
        <v>65</v>
      </c>
      <c r="K981" s="3" t="s">
        <v>66</v>
      </c>
      <c r="L981" s="2" t="s">
        <v>904</v>
      </c>
      <c r="M981" s="2" t="s">
        <v>9556</v>
      </c>
      <c r="N981" s="3" t="s">
        <v>1895</v>
      </c>
      <c r="P981" s="3" t="s">
        <v>69</v>
      </c>
      <c r="Q981" s="2" t="s">
        <v>9557</v>
      </c>
      <c r="R981" s="3" t="s">
        <v>71</v>
      </c>
      <c r="S981" s="4">
        <v>26</v>
      </c>
      <c r="T981" s="4">
        <v>26</v>
      </c>
      <c r="U981" s="5" t="s">
        <v>9558</v>
      </c>
      <c r="V981" s="5" t="s">
        <v>9558</v>
      </c>
      <c r="W981" s="5" t="s">
        <v>72</v>
      </c>
      <c r="X981" s="5" t="s">
        <v>72</v>
      </c>
      <c r="Y981" s="4">
        <v>244</v>
      </c>
      <c r="Z981" s="4">
        <v>23</v>
      </c>
      <c r="AA981" s="4">
        <v>74</v>
      </c>
      <c r="AB981" s="4">
        <v>1</v>
      </c>
      <c r="AC981" s="4">
        <v>16</v>
      </c>
      <c r="AD981" s="4">
        <v>92</v>
      </c>
      <c r="AE981" s="4">
        <v>131</v>
      </c>
      <c r="AF981" s="4">
        <v>0</v>
      </c>
      <c r="AG981" s="4">
        <v>9</v>
      </c>
      <c r="AH981" s="4">
        <v>82</v>
      </c>
      <c r="AI981" s="4">
        <v>88</v>
      </c>
      <c r="AJ981" s="4">
        <v>12</v>
      </c>
      <c r="AK981" s="4">
        <v>25</v>
      </c>
      <c r="AL981" s="4">
        <v>48</v>
      </c>
      <c r="AM981" s="4">
        <v>48</v>
      </c>
      <c r="AN981" s="4">
        <v>0</v>
      </c>
      <c r="AO981" s="4">
        <v>0</v>
      </c>
      <c r="AP981" s="4">
        <v>13</v>
      </c>
      <c r="AQ981" s="4">
        <v>50</v>
      </c>
      <c r="AR981" s="3" t="s">
        <v>209</v>
      </c>
      <c r="AS981" s="3" t="s">
        <v>65</v>
      </c>
      <c r="AT981" s="3" t="s">
        <v>209</v>
      </c>
      <c r="AU981" s="6" t="str">
        <f>HYPERLINK("http://catalog.hathitrust.org/Record/003268637","HathiTrust Record")</f>
        <v>HathiTrust Record</v>
      </c>
      <c r="AV981" s="6" t="str">
        <f>HYPERLINK("http://mcgill.on.worldcat.org/oclc/38432113","Catalog Record")</f>
        <v>Catalog Record</v>
      </c>
      <c r="AW981" s="6" t="str">
        <f>HYPERLINK("http://www.worldcat.org/oclc/38432113","WorldCat Record")</f>
        <v>WorldCat Record</v>
      </c>
      <c r="AX981" s="3" t="s">
        <v>9559</v>
      </c>
      <c r="AY981" s="3" t="s">
        <v>9560</v>
      </c>
      <c r="AZ981" s="3" t="s">
        <v>9561</v>
      </c>
      <c r="BA981" s="3" t="s">
        <v>9561</v>
      </c>
      <c r="BB981" s="3" t="s">
        <v>9562</v>
      </c>
      <c r="BC981" s="3" t="s">
        <v>77</v>
      </c>
      <c r="BD981" s="3" t="s">
        <v>78</v>
      </c>
      <c r="BE981" s="3" t="s">
        <v>9563</v>
      </c>
      <c r="BF981" s="3" t="s">
        <v>9562</v>
      </c>
      <c r="BG981" s="3" t="s">
        <v>9564</v>
      </c>
    </row>
    <row r="982" spans="1:59" ht="58" x14ac:dyDescent="0.35">
      <c r="A982" s="2" t="s">
        <v>59</v>
      </c>
      <c r="B982" s="2" t="s">
        <v>60</v>
      </c>
      <c r="C982" s="2" t="s">
        <v>9565</v>
      </c>
      <c r="D982" s="2" t="s">
        <v>9566</v>
      </c>
      <c r="E982" s="2" t="s">
        <v>9567</v>
      </c>
      <c r="G982" s="3" t="s">
        <v>65</v>
      </c>
      <c r="I982" s="3" t="s">
        <v>209</v>
      </c>
      <c r="J982" s="3" t="s">
        <v>65</v>
      </c>
      <c r="K982" s="3" t="s">
        <v>66</v>
      </c>
      <c r="L982" s="2" t="s">
        <v>904</v>
      </c>
      <c r="M982" s="2" t="s">
        <v>9568</v>
      </c>
      <c r="N982" s="3" t="s">
        <v>928</v>
      </c>
      <c r="P982" s="3" t="s">
        <v>69</v>
      </c>
      <c r="Q982" s="2" t="s">
        <v>9569</v>
      </c>
      <c r="R982" s="3" t="s">
        <v>71</v>
      </c>
      <c r="S982" s="4">
        <v>13</v>
      </c>
      <c r="T982" s="4">
        <v>32</v>
      </c>
      <c r="U982" s="5" t="s">
        <v>9570</v>
      </c>
      <c r="V982" s="5" t="s">
        <v>9558</v>
      </c>
      <c r="W982" s="5" t="s">
        <v>72</v>
      </c>
      <c r="X982" s="5" t="s">
        <v>72</v>
      </c>
      <c r="Y982" s="4">
        <v>13</v>
      </c>
      <c r="Z982" s="4">
        <v>6</v>
      </c>
      <c r="AA982" s="4">
        <v>23</v>
      </c>
      <c r="AB982" s="4">
        <v>2</v>
      </c>
      <c r="AC982" s="4">
        <v>2</v>
      </c>
      <c r="AD982" s="4">
        <v>5</v>
      </c>
      <c r="AE982" s="4">
        <v>74</v>
      </c>
      <c r="AF982" s="4">
        <v>1</v>
      </c>
      <c r="AG982" s="4">
        <v>1</v>
      </c>
      <c r="AH982" s="4">
        <v>2</v>
      </c>
      <c r="AI982" s="4">
        <v>64</v>
      </c>
      <c r="AJ982" s="4">
        <v>5</v>
      </c>
      <c r="AK982" s="4">
        <v>14</v>
      </c>
      <c r="AL982" s="4">
        <v>0</v>
      </c>
      <c r="AM982" s="4">
        <v>34</v>
      </c>
      <c r="AN982" s="4">
        <v>0</v>
      </c>
      <c r="AO982" s="4">
        <v>0</v>
      </c>
      <c r="AP982" s="4">
        <v>5</v>
      </c>
      <c r="AQ982" s="4">
        <v>17</v>
      </c>
      <c r="AR982" s="3" t="s">
        <v>65</v>
      </c>
      <c r="AS982" s="3" t="s">
        <v>65</v>
      </c>
      <c r="AT982" s="3" t="s">
        <v>209</v>
      </c>
      <c r="AU982" s="6" t="str">
        <f>HYPERLINK("http://catalog.hathitrust.org/Record/009917990","HathiTrust Record")</f>
        <v>HathiTrust Record</v>
      </c>
      <c r="AV982" s="6" t="str">
        <f>HYPERLINK("http://mcgill.on.worldcat.org/oclc/320544897","Catalog Record")</f>
        <v>Catalog Record</v>
      </c>
      <c r="AW982" s="6" t="str">
        <f>HYPERLINK("http://www.worldcat.org/oclc/320544897","WorldCat Record")</f>
        <v>WorldCat Record</v>
      </c>
      <c r="AX982" s="3" t="s">
        <v>9571</v>
      </c>
      <c r="AY982" s="3" t="s">
        <v>9572</v>
      </c>
      <c r="AZ982" s="3" t="s">
        <v>9573</v>
      </c>
      <c r="BA982" s="3" t="s">
        <v>9573</v>
      </c>
      <c r="BB982" s="3" t="s">
        <v>9574</v>
      </c>
      <c r="BC982" s="3" t="s">
        <v>77</v>
      </c>
      <c r="BD982" s="3" t="s">
        <v>78</v>
      </c>
      <c r="BF982" s="3" t="s">
        <v>9574</v>
      </c>
      <c r="BG982" s="3" t="s">
        <v>9575</v>
      </c>
    </row>
    <row r="983" spans="1:59" ht="58" x14ac:dyDescent="0.35">
      <c r="A983" s="2" t="s">
        <v>59</v>
      </c>
      <c r="B983" s="2" t="s">
        <v>60</v>
      </c>
      <c r="C983" s="2" t="s">
        <v>9565</v>
      </c>
      <c r="D983" s="2" t="s">
        <v>9566</v>
      </c>
      <c r="E983" s="2" t="s">
        <v>9567</v>
      </c>
      <c r="G983" s="3" t="s">
        <v>65</v>
      </c>
      <c r="I983" s="3" t="s">
        <v>209</v>
      </c>
      <c r="J983" s="3" t="s">
        <v>65</v>
      </c>
      <c r="K983" s="3" t="s">
        <v>66</v>
      </c>
      <c r="L983" s="2" t="s">
        <v>904</v>
      </c>
      <c r="M983" s="2" t="s">
        <v>9568</v>
      </c>
      <c r="N983" s="3" t="s">
        <v>928</v>
      </c>
      <c r="P983" s="3" t="s">
        <v>69</v>
      </c>
      <c r="Q983" s="2" t="s">
        <v>9569</v>
      </c>
      <c r="R983" s="3" t="s">
        <v>71</v>
      </c>
      <c r="S983" s="4">
        <v>16</v>
      </c>
      <c r="T983" s="4">
        <v>32</v>
      </c>
      <c r="U983" s="5" t="s">
        <v>9558</v>
      </c>
      <c r="V983" s="5" t="s">
        <v>9558</v>
      </c>
      <c r="W983" s="5" t="s">
        <v>72</v>
      </c>
      <c r="X983" s="5" t="s">
        <v>72</v>
      </c>
      <c r="Y983" s="4">
        <v>13</v>
      </c>
      <c r="Z983" s="4">
        <v>6</v>
      </c>
      <c r="AA983" s="4">
        <v>23</v>
      </c>
      <c r="AB983" s="4">
        <v>2</v>
      </c>
      <c r="AC983" s="4">
        <v>2</v>
      </c>
      <c r="AD983" s="4">
        <v>5</v>
      </c>
      <c r="AE983" s="4">
        <v>74</v>
      </c>
      <c r="AF983" s="4">
        <v>1</v>
      </c>
      <c r="AG983" s="4">
        <v>1</v>
      </c>
      <c r="AH983" s="4">
        <v>2</v>
      </c>
      <c r="AI983" s="4">
        <v>64</v>
      </c>
      <c r="AJ983" s="4">
        <v>5</v>
      </c>
      <c r="AK983" s="4">
        <v>14</v>
      </c>
      <c r="AL983" s="4">
        <v>0</v>
      </c>
      <c r="AM983" s="4">
        <v>34</v>
      </c>
      <c r="AN983" s="4">
        <v>0</v>
      </c>
      <c r="AO983" s="4">
        <v>0</v>
      </c>
      <c r="AP983" s="4">
        <v>5</v>
      </c>
      <c r="AQ983" s="4">
        <v>17</v>
      </c>
      <c r="AR983" s="3" t="s">
        <v>65</v>
      </c>
      <c r="AS983" s="3" t="s">
        <v>65</v>
      </c>
      <c r="AT983" s="3" t="s">
        <v>209</v>
      </c>
      <c r="AU983" s="6" t="str">
        <f>HYPERLINK("http://catalog.hathitrust.org/Record/009917990","HathiTrust Record")</f>
        <v>HathiTrust Record</v>
      </c>
      <c r="AV983" s="6" t="str">
        <f>HYPERLINK("http://mcgill.on.worldcat.org/oclc/320544897","Catalog Record")</f>
        <v>Catalog Record</v>
      </c>
      <c r="AW983" s="6" t="str">
        <f>HYPERLINK("http://www.worldcat.org/oclc/320544897","WorldCat Record")</f>
        <v>WorldCat Record</v>
      </c>
      <c r="AX983" s="3" t="s">
        <v>9571</v>
      </c>
      <c r="AY983" s="3" t="s">
        <v>9572</v>
      </c>
      <c r="AZ983" s="3" t="s">
        <v>9573</v>
      </c>
      <c r="BA983" s="3" t="s">
        <v>9573</v>
      </c>
      <c r="BB983" s="3" t="s">
        <v>9576</v>
      </c>
      <c r="BC983" s="3" t="s">
        <v>77</v>
      </c>
      <c r="BD983" s="3" t="s">
        <v>78</v>
      </c>
      <c r="BF983" s="3" t="s">
        <v>9576</v>
      </c>
      <c r="BG983" s="3" t="s">
        <v>9577</v>
      </c>
    </row>
    <row r="984" spans="1:59" ht="58" x14ac:dyDescent="0.35">
      <c r="A984" s="2" t="s">
        <v>59</v>
      </c>
      <c r="B984" s="2" t="s">
        <v>60</v>
      </c>
      <c r="C984" s="2" t="s">
        <v>9565</v>
      </c>
      <c r="D984" s="2" t="s">
        <v>9566</v>
      </c>
      <c r="E984" s="2" t="s">
        <v>9567</v>
      </c>
      <c r="G984" s="3" t="s">
        <v>65</v>
      </c>
      <c r="I984" s="3" t="s">
        <v>209</v>
      </c>
      <c r="J984" s="3" t="s">
        <v>65</v>
      </c>
      <c r="K984" s="3" t="s">
        <v>66</v>
      </c>
      <c r="L984" s="2" t="s">
        <v>904</v>
      </c>
      <c r="M984" s="2" t="s">
        <v>9568</v>
      </c>
      <c r="N984" s="3" t="s">
        <v>928</v>
      </c>
      <c r="P984" s="3" t="s">
        <v>69</v>
      </c>
      <c r="Q984" s="2" t="s">
        <v>9569</v>
      </c>
      <c r="R984" s="3" t="s">
        <v>71</v>
      </c>
      <c r="S984" s="4">
        <v>3</v>
      </c>
      <c r="T984" s="4">
        <v>32</v>
      </c>
      <c r="U984" s="5" t="s">
        <v>9578</v>
      </c>
      <c r="V984" s="5" t="s">
        <v>9558</v>
      </c>
      <c r="W984" s="5" t="s">
        <v>72</v>
      </c>
      <c r="X984" s="5" t="s">
        <v>72</v>
      </c>
      <c r="Y984" s="4">
        <v>13</v>
      </c>
      <c r="Z984" s="4">
        <v>6</v>
      </c>
      <c r="AA984" s="4">
        <v>23</v>
      </c>
      <c r="AB984" s="4">
        <v>2</v>
      </c>
      <c r="AC984" s="4">
        <v>2</v>
      </c>
      <c r="AD984" s="4">
        <v>5</v>
      </c>
      <c r="AE984" s="4">
        <v>74</v>
      </c>
      <c r="AF984" s="4">
        <v>1</v>
      </c>
      <c r="AG984" s="4">
        <v>1</v>
      </c>
      <c r="AH984" s="4">
        <v>2</v>
      </c>
      <c r="AI984" s="4">
        <v>64</v>
      </c>
      <c r="AJ984" s="4">
        <v>5</v>
      </c>
      <c r="AK984" s="4">
        <v>14</v>
      </c>
      <c r="AL984" s="4">
        <v>0</v>
      </c>
      <c r="AM984" s="4">
        <v>34</v>
      </c>
      <c r="AN984" s="4">
        <v>0</v>
      </c>
      <c r="AO984" s="4">
        <v>0</v>
      </c>
      <c r="AP984" s="4">
        <v>5</v>
      </c>
      <c r="AQ984" s="4">
        <v>17</v>
      </c>
      <c r="AR984" s="3" t="s">
        <v>65</v>
      </c>
      <c r="AS984" s="3" t="s">
        <v>65</v>
      </c>
      <c r="AT984" s="3" t="s">
        <v>209</v>
      </c>
      <c r="AU984" s="6" t="str">
        <f>HYPERLINK("http://catalog.hathitrust.org/Record/009917990","HathiTrust Record")</f>
        <v>HathiTrust Record</v>
      </c>
      <c r="AV984" s="6" t="str">
        <f>HYPERLINK("http://mcgill.on.worldcat.org/oclc/320544897","Catalog Record")</f>
        <v>Catalog Record</v>
      </c>
      <c r="AW984" s="6" t="str">
        <f>HYPERLINK("http://www.worldcat.org/oclc/320544897","WorldCat Record")</f>
        <v>WorldCat Record</v>
      </c>
      <c r="AX984" s="3" t="s">
        <v>9571</v>
      </c>
      <c r="AY984" s="3" t="s">
        <v>9572</v>
      </c>
      <c r="AZ984" s="3" t="s">
        <v>9573</v>
      </c>
      <c r="BA984" s="3" t="s">
        <v>9573</v>
      </c>
      <c r="BB984" s="3" t="s">
        <v>9579</v>
      </c>
      <c r="BC984" s="3" t="s">
        <v>77</v>
      </c>
      <c r="BD984" s="3" t="s">
        <v>78</v>
      </c>
      <c r="BF984" s="3" t="s">
        <v>9579</v>
      </c>
      <c r="BG984" s="3" t="s">
        <v>9580</v>
      </c>
    </row>
    <row r="985" spans="1:59" ht="58" x14ac:dyDescent="0.35">
      <c r="A985" s="2" t="s">
        <v>59</v>
      </c>
      <c r="B985" s="2" t="s">
        <v>60</v>
      </c>
      <c r="C985" s="2" t="s">
        <v>9581</v>
      </c>
      <c r="D985" s="2" t="s">
        <v>9582</v>
      </c>
      <c r="E985" s="2" t="s">
        <v>9583</v>
      </c>
      <c r="G985" s="3" t="s">
        <v>65</v>
      </c>
      <c r="I985" s="3" t="s">
        <v>209</v>
      </c>
      <c r="J985" s="3" t="s">
        <v>209</v>
      </c>
      <c r="K985" s="3" t="s">
        <v>66</v>
      </c>
      <c r="L985" s="2" t="s">
        <v>904</v>
      </c>
      <c r="M985" s="2" t="s">
        <v>9584</v>
      </c>
      <c r="N985" s="3" t="s">
        <v>564</v>
      </c>
      <c r="O985" s="2" t="s">
        <v>9585</v>
      </c>
      <c r="P985" s="3" t="s">
        <v>69</v>
      </c>
      <c r="Q985" s="2" t="s">
        <v>9586</v>
      </c>
      <c r="R985" s="3" t="s">
        <v>71</v>
      </c>
      <c r="S985" s="4">
        <v>6</v>
      </c>
      <c r="T985" s="4">
        <v>23</v>
      </c>
      <c r="U985" s="5" t="s">
        <v>9558</v>
      </c>
      <c r="V985" s="5" t="s">
        <v>9558</v>
      </c>
      <c r="W985" s="5" t="s">
        <v>72</v>
      </c>
      <c r="X985" s="5" t="s">
        <v>72</v>
      </c>
      <c r="Y985" s="4">
        <v>377</v>
      </c>
      <c r="Z985" s="4">
        <v>21</v>
      </c>
      <c r="AA985" s="4">
        <v>62</v>
      </c>
      <c r="AB985" s="4">
        <v>3</v>
      </c>
      <c r="AC985" s="4">
        <v>9</v>
      </c>
      <c r="AD985" s="4">
        <v>73</v>
      </c>
      <c r="AE985" s="4">
        <v>139</v>
      </c>
      <c r="AF985" s="4">
        <v>1</v>
      </c>
      <c r="AG985" s="4">
        <v>5</v>
      </c>
      <c r="AH985" s="4">
        <v>64</v>
      </c>
      <c r="AI985" s="4">
        <v>110</v>
      </c>
      <c r="AJ985" s="4">
        <v>9</v>
      </c>
      <c r="AK985" s="4">
        <v>26</v>
      </c>
      <c r="AL985" s="4">
        <v>37</v>
      </c>
      <c r="AM985" s="4">
        <v>61</v>
      </c>
      <c r="AN985" s="4">
        <v>0</v>
      </c>
      <c r="AO985" s="4">
        <v>5</v>
      </c>
      <c r="AP985" s="4">
        <v>13</v>
      </c>
      <c r="AQ985" s="4">
        <v>37</v>
      </c>
      <c r="AR985" s="3" t="s">
        <v>65</v>
      </c>
      <c r="AS985" s="3" t="s">
        <v>65</v>
      </c>
      <c r="AT985" s="3" t="s">
        <v>209</v>
      </c>
      <c r="AU985" s="6" t="str">
        <f>HYPERLINK("http://catalog.hathitrust.org/Record/007873596","HathiTrust Record")</f>
        <v>HathiTrust Record</v>
      </c>
      <c r="AV985" s="6" t="str">
        <f>HYPERLINK("http://mcgill.on.worldcat.org/oclc/806682","Catalog Record")</f>
        <v>Catalog Record</v>
      </c>
      <c r="AW985" s="6" t="str">
        <f>HYPERLINK("http://www.worldcat.org/oclc/806682","WorldCat Record")</f>
        <v>WorldCat Record</v>
      </c>
      <c r="AX985" s="3" t="s">
        <v>9587</v>
      </c>
      <c r="AY985" s="3" t="s">
        <v>9588</v>
      </c>
      <c r="AZ985" s="3" t="s">
        <v>9589</v>
      </c>
      <c r="BA985" s="3" t="s">
        <v>9589</v>
      </c>
      <c r="BB985" s="3" t="s">
        <v>9590</v>
      </c>
      <c r="BC985" s="3" t="s">
        <v>77</v>
      </c>
      <c r="BD985" s="3" t="s">
        <v>78</v>
      </c>
      <c r="BF985" s="3" t="s">
        <v>9590</v>
      </c>
      <c r="BG985" s="3" t="s">
        <v>9591</v>
      </c>
    </row>
    <row r="986" spans="1:59" ht="58" x14ac:dyDescent="0.35">
      <c r="A986" s="2" t="s">
        <v>59</v>
      </c>
      <c r="B986" s="2" t="s">
        <v>60</v>
      </c>
      <c r="C986" s="2" t="s">
        <v>9581</v>
      </c>
      <c r="D986" s="2" t="s">
        <v>9582</v>
      </c>
      <c r="E986" s="2" t="s">
        <v>9583</v>
      </c>
      <c r="G986" s="3" t="s">
        <v>65</v>
      </c>
      <c r="I986" s="3" t="s">
        <v>209</v>
      </c>
      <c r="J986" s="3" t="s">
        <v>209</v>
      </c>
      <c r="K986" s="3" t="s">
        <v>66</v>
      </c>
      <c r="L986" s="2" t="s">
        <v>904</v>
      </c>
      <c r="M986" s="2" t="s">
        <v>9584</v>
      </c>
      <c r="N986" s="3" t="s">
        <v>564</v>
      </c>
      <c r="O986" s="2" t="s">
        <v>9585</v>
      </c>
      <c r="P986" s="3" t="s">
        <v>69</v>
      </c>
      <c r="Q986" s="2" t="s">
        <v>9586</v>
      </c>
      <c r="R986" s="3" t="s">
        <v>71</v>
      </c>
      <c r="S986" s="4">
        <v>2</v>
      </c>
      <c r="T986" s="4">
        <v>23</v>
      </c>
      <c r="U986" s="5" t="s">
        <v>9592</v>
      </c>
      <c r="V986" s="5" t="s">
        <v>9558</v>
      </c>
      <c r="W986" s="5" t="s">
        <v>72</v>
      </c>
      <c r="X986" s="5" t="s">
        <v>72</v>
      </c>
      <c r="Y986" s="4">
        <v>377</v>
      </c>
      <c r="Z986" s="4">
        <v>21</v>
      </c>
      <c r="AA986" s="4">
        <v>62</v>
      </c>
      <c r="AB986" s="4">
        <v>3</v>
      </c>
      <c r="AC986" s="4">
        <v>9</v>
      </c>
      <c r="AD986" s="4">
        <v>73</v>
      </c>
      <c r="AE986" s="4">
        <v>139</v>
      </c>
      <c r="AF986" s="4">
        <v>1</v>
      </c>
      <c r="AG986" s="4">
        <v>5</v>
      </c>
      <c r="AH986" s="4">
        <v>64</v>
      </c>
      <c r="AI986" s="4">
        <v>110</v>
      </c>
      <c r="AJ986" s="4">
        <v>9</v>
      </c>
      <c r="AK986" s="4">
        <v>26</v>
      </c>
      <c r="AL986" s="4">
        <v>37</v>
      </c>
      <c r="AM986" s="4">
        <v>61</v>
      </c>
      <c r="AN986" s="4">
        <v>0</v>
      </c>
      <c r="AO986" s="4">
        <v>5</v>
      </c>
      <c r="AP986" s="4">
        <v>13</v>
      </c>
      <c r="AQ986" s="4">
        <v>37</v>
      </c>
      <c r="AR986" s="3" t="s">
        <v>65</v>
      </c>
      <c r="AS986" s="3" t="s">
        <v>65</v>
      </c>
      <c r="AT986" s="3" t="s">
        <v>209</v>
      </c>
      <c r="AU986" s="6" t="str">
        <f>HYPERLINK("http://catalog.hathitrust.org/Record/007873596","HathiTrust Record")</f>
        <v>HathiTrust Record</v>
      </c>
      <c r="AV986" s="6" t="str">
        <f>HYPERLINK("http://mcgill.on.worldcat.org/oclc/806682","Catalog Record")</f>
        <v>Catalog Record</v>
      </c>
      <c r="AW986" s="6" t="str">
        <f>HYPERLINK("http://www.worldcat.org/oclc/806682","WorldCat Record")</f>
        <v>WorldCat Record</v>
      </c>
      <c r="AX986" s="3" t="s">
        <v>9587</v>
      </c>
      <c r="AY986" s="3" t="s">
        <v>9588</v>
      </c>
      <c r="AZ986" s="3" t="s">
        <v>9589</v>
      </c>
      <c r="BA986" s="3" t="s">
        <v>9589</v>
      </c>
      <c r="BB986" s="3" t="s">
        <v>9593</v>
      </c>
      <c r="BC986" s="3" t="s">
        <v>77</v>
      </c>
      <c r="BD986" s="3" t="s">
        <v>78</v>
      </c>
      <c r="BF986" s="3" t="s">
        <v>9593</v>
      </c>
      <c r="BG986" s="3" t="s">
        <v>9594</v>
      </c>
    </row>
    <row r="987" spans="1:59" ht="58" x14ac:dyDescent="0.35">
      <c r="A987" s="2" t="s">
        <v>59</v>
      </c>
      <c r="B987" s="2" t="s">
        <v>60</v>
      </c>
      <c r="C987" s="2" t="s">
        <v>9581</v>
      </c>
      <c r="D987" s="2" t="s">
        <v>9582</v>
      </c>
      <c r="E987" s="2" t="s">
        <v>9583</v>
      </c>
      <c r="G987" s="3" t="s">
        <v>65</v>
      </c>
      <c r="I987" s="3" t="s">
        <v>209</v>
      </c>
      <c r="J987" s="3" t="s">
        <v>209</v>
      </c>
      <c r="K987" s="3" t="s">
        <v>66</v>
      </c>
      <c r="L987" s="2" t="s">
        <v>904</v>
      </c>
      <c r="M987" s="2" t="s">
        <v>9584</v>
      </c>
      <c r="N987" s="3" t="s">
        <v>564</v>
      </c>
      <c r="O987" s="2" t="s">
        <v>9585</v>
      </c>
      <c r="P987" s="3" t="s">
        <v>69</v>
      </c>
      <c r="Q987" s="2" t="s">
        <v>9586</v>
      </c>
      <c r="R987" s="3" t="s">
        <v>71</v>
      </c>
      <c r="S987" s="4">
        <v>6</v>
      </c>
      <c r="T987" s="4">
        <v>23</v>
      </c>
      <c r="U987" s="5" t="s">
        <v>9595</v>
      </c>
      <c r="V987" s="5" t="s">
        <v>9558</v>
      </c>
      <c r="W987" s="5" t="s">
        <v>72</v>
      </c>
      <c r="X987" s="5" t="s">
        <v>72</v>
      </c>
      <c r="Y987" s="4">
        <v>377</v>
      </c>
      <c r="Z987" s="4">
        <v>21</v>
      </c>
      <c r="AA987" s="4">
        <v>62</v>
      </c>
      <c r="AB987" s="4">
        <v>3</v>
      </c>
      <c r="AC987" s="4">
        <v>9</v>
      </c>
      <c r="AD987" s="4">
        <v>73</v>
      </c>
      <c r="AE987" s="4">
        <v>139</v>
      </c>
      <c r="AF987" s="4">
        <v>1</v>
      </c>
      <c r="AG987" s="4">
        <v>5</v>
      </c>
      <c r="AH987" s="4">
        <v>64</v>
      </c>
      <c r="AI987" s="4">
        <v>110</v>
      </c>
      <c r="AJ987" s="4">
        <v>9</v>
      </c>
      <c r="AK987" s="4">
        <v>26</v>
      </c>
      <c r="AL987" s="4">
        <v>37</v>
      </c>
      <c r="AM987" s="4">
        <v>61</v>
      </c>
      <c r="AN987" s="4">
        <v>0</v>
      </c>
      <c r="AO987" s="4">
        <v>5</v>
      </c>
      <c r="AP987" s="4">
        <v>13</v>
      </c>
      <c r="AQ987" s="4">
        <v>37</v>
      </c>
      <c r="AR987" s="3" t="s">
        <v>65</v>
      </c>
      <c r="AS987" s="3" t="s">
        <v>65</v>
      </c>
      <c r="AT987" s="3" t="s">
        <v>209</v>
      </c>
      <c r="AU987" s="6" t="str">
        <f>HYPERLINK("http://catalog.hathitrust.org/Record/007873596","HathiTrust Record")</f>
        <v>HathiTrust Record</v>
      </c>
      <c r="AV987" s="6" t="str">
        <f>HYPERLINK("http://mcgill.on.worldcat.org/oclc/806682","Catalog Record")</f>
        <v>Catalog Record</v>
      </c>
      <c r="AW987" s="6" t="str">
        <f>HYPERLINK("http://www.worldcat.org/oclc/806682","WorldCat Record")</f>
        <v>WorldCat Record</v>
      </c>
      <c r="AX987" s="3" t="s">
        <v>9587</v>
      </c>
      <c r="AY987" s="3" t="s">
        <v>9588</v>
      </c>
      <c r="AZ987" s="3" t="s">
        <v>9589</v>
      </c>
      <c r="BA987" s="3" t="s">
        <v>9589</v>
      </c>
      <c r="BB987" s="3" t="s">
        <v>9596</v>
      </c>
      <c r="BC987" s="3" t="s">
        <v>77</v>
      </c>
      <c r="BD987" s="3" t="s">
        <v>78</v>
      </c>
      <c r="BF987" s="3" t="s">
        <v>9596</v>
      </c>
      <c r="BG987" s="3" t="s">
        <v>9597</v>
      </c>
    </row>
    <row r="988" spans="1:59" ht="58" x14ac:dyDescent="0.35">
      <c r="A988" s="2" t="s">
        <v>59</v>
      </c>
      <c r="B988" s="2" t="s">
        <v>60</v>
      </c>
      <c r="C988" s="2" t="s">
        <v>9598</v>
      </c>
      <c r="D988" s="2" t="s">
        <v>9599</v>
      </c>
      <c r="E988" s="2" t="s">
        <v>9600</v>
      </c>
      <c r="G988" s="3" t="s">
        <v>65</v>
      </c>
      <c r="I988" s="3" t="s">
        <v>65</v>
      </c>
      <c r="J988" s="3" t="s">
        <v>65</v>
      </c>
      <c r="K988" s="3" t="s">
        <v>66</v>
      </c>
      <c r="L988" s="2" t="s">
        <v>904</v>
      </c>
      <c r="M988" s="2" t="s">
        <v>9601</v>
      </c>
      <c r="N988" s="3" t="s">
        <v>1085</v>
      </c>
      <c r="P988" s="3" t="s">
        <v>69</v>
      </c>
      <c r="Q988" s="2" t="s">
        <v>9602</v>
      </c>
      <c r="R988" s="3" t="s">
        <v>71</v>
      </c>
      <c r="S988" s="4">
        <v>33</v>
      </c>
      <c r="T988" s="4">
        <v>33</v>
      </c>
      <c r="U988" s="5" t="s">
        <v>5132</v>
      </c>
      <c r="V988" s="5" t="s">
        <v>5132</v>
      </c>
      <c r="W988" s="5" t="s">
        <v>72</v>
      </c>
      <c r="X988" s="5" t="s">
        <v>72</v>
      </c>
      <c r="Y988" s="4">
        <v>375</v>
      </c>
      <c r="Z988" s="4">
        <v>31</v>
      </c>
      <c r="AA988" s="4">
        <v>32</v>
      </c>
      <c r="AB988" s="4">
        <v>2</v>
      </c>
      <c r="AC988" s="4">
        <v>2</v>
      </c>
      <c r="AD988" s="4">
        <v>100</v>
      </c>
      <c r="AE988" s="4">
        <v>100</v>
      </c>
      <c r="AF988" s="4">
        <v>1</v>
      </c>
      <c r="AG988" s="4">
        <v>1</v>
      </c>
      <c r="AH988" s="4">
        <v>87</v>
      </c>
      <c r="AI988" s="4">
        <v>87</v>
      </c>
      <c r="AJ988" s="4">
        <v>13</v>
      </c>
      <c r="AK988" s="4">
        <v>13</v>
      </c>
      <c r="AL988" s="4">
        <v>52</v>
      </c>
      <c r="AM988" s="4">
        <v>52</v>
      </c>
      <c r="AN988" s="4">
        <v>0</v>
      </c>
      <c r="AO988" s="4">
        <v>0</v>
      </c>
      <c r="AP988" s="4">
        <v>20</v>
      </c>
      <c r="AQ988" s="4">
        <v>20</v>
      </c>
      <c r="AR988" s="3" t="s">
        <v>65</v>
      </c>
      <c r="AS988" s="3" t="s">
        <v>65</v>
      </c>
      <c r="AT988" s="3" t="s">
        <v>65</v>
      </c>
      <c r="AV988" s="6" t="str">
        <f>HYPERLINK("http://mcgill.on.worldcat.org/oclc/35556364","Catalog Record")</f>
        <v>Catalog Record</v>
      </c>
      <c r="AW988" s="6" t="str">
        <f>HYPERLINK("http://www.worldcat.org/oclc/35556364","WorldCat Record")</f>
        <v>WorldCat Record</v>
      </c>
      <c r="AX988" s="3" t="s">
        <v>9603</v>
      </c>
      <c r="AY988" s="3" t="s">
        <v>9604</v>
      </c>
      <c r="AZ988" s="3" t="s">
        <v>9605</v>
      </c>
      <c r="BA988" s="3" t="s">
        <v>9605</v>
      </c>
      <c r="BB988" s="3" t="s">
        <v>9606</v>
      </c>
      <c r="BC988" s="3" t="s">
        <v>77</v>
      </c>
      <c r="BD988" s="3" t="s">
        <v>78</v>
      </c>
      <c r="BE988" s="3" t="s">
        <v>9607</v>
      </c>
      <c r="BF988" s="3" t="s">
        <v>9606</v>
      </c>
      <c r="BG988" s="3" t="s">
        <v>9608</v>
      </c>
    </row>
    <row r="989" spans="1:59" ht="58" x14ac:dyDescent="0.35">
      <c r="A989" s="2" t="s">
        <v>59</v>
      </c>
      <c r="B989" s="2" t="s">
        <v>60</v>
      </c>
      <c r="C989" s="2" t="s">
        <v>9609</v>
      </c>
      <c r="D989" s="2" t="s">
        <v>9610</v>
      </c>
      <c r="E989" s="2" t="s">
        <v>9611</v>
      </c>
      <c r="G989" s="3" t="s">
        <v>65</v>
      </c>
      <c r="I989" s="3" t="s">
        <v>65</v>
      </c>
      <c r="J989" s="3" t="s">
        <v>65</v>
      </c>
      <c r="K989" s="3" t="s">
        <v>66</v>
      </c>
      <c r="L989" s="2" t="s">
        <v>904</v>
      </c>
      <c r="M989" s="2" t="s">
        <v>9612</v>
      </c>
      <c r="N989" s="3" t="s">
        <v>1032</v>
      </c>
      <c r="P989" s="3" t="s">
        <v>69</v>
      </c>
      <c r="Q989" s="2" t="s">
        <v>9613</v>
      </c>
      <c r="R989" s="3" t="s">
        <v>71</v>
      </c>
      <c r="S989" s="4">
        <v>26</v>
      </c>
      <c r="T989" s="4">
        <v>26</v>
      </c>
      <c r="U989" s="5" t="s">
        <v>9019</v>
      </c>
      <c r="V989" s="5" t="s">
        <v>9019</v>
      </c>
      <c r="W989" s="5" t="s">
        <v>72</v>
      </c>
      <c r="X989" s="5" t="s">
        <v>72</v>
      </c>
      <c r="Y989" s="4">
        <v>353</v>
      </c>
      <c r="Z989" s="4">
        <v>22</v>
      </c>
      <c r="AA989" s="4">
        <v>22</v>
      </c>
      <c r="AB989" s="4">
        <v>1</v>
      </c>
      <c r="AC989" s="4">
        <v>1</v>
      </c>
      <c r="AD989" s="4">
        <v>95</v>
      </c>
      <c r="AE989" s="4">
        <v>95</v>
      </c>
      <c r="AF989" s="4">
        <v>0</v>
      </c>
      <c r="AG989" s="4">
        <v>0</v>
      </c>
      <c r="AH989" s="4">
        <v>86</v>
      </c>
      <c r="AI989" s="4">
        <v>86</v>
      </c>
      <c r="AJ989" s="4">
        <v>13</v>
      </c>
      <c r="AK989" s="4">
        <v>13</v>
      </c>
      <c r="AL989" s="4">
        <v>51</v>
      </c>
      <c r="AM989" s="4">
        <v>51</v>
      </c>
      <c r="AN989" s="4">
        <v>0</v>
      </c>
      <c r="AO989" s="4">
        <v>0</v>
      </c>
      <c r="AP989" s="4">
        <v>14</v>
      </c>
      <c r="AQ989" s="4">
        <v>14</v>
      </c>
      <c r="AR989" s="3" t="s">
        <v>65</v>
      </c>
      <c r="AS989" s="3" t="s">
        <v>65</v>
      </c>
      <c r="AT989" s="3" t="s">
        <v>65</v>
      </c>
      <c r="AV989" s="6" t="str">
        <f>HYPERLINK("http://mcgill.on.worldcat.org/oclc/31295179","Catalog Record")</f>
        <v>Catalog Record</v>
      </c>
      <c r="AW989" s="6" t="str">
        <f>HYPERLINK("http://www.worldcat.org/oclc/31295179","WorldCat Record")</f>
        <v>WorldCat Record</v>
      </c>
      <c r="AX989" s="3" t="s">
        <v>9614</v>
      </c>
      <c r="AY989" s="3" t="s">
        <v>9615</v>
      </c>
      <c r="AZ989" s="3" t="s">
        <v>9616</v>
      </c>
      <c r="BA989" s="3" t="s">
        <v>9616</v>
      </c>
      <c r="BB989" s="3" t="s">
        <v>9617</v>
      </c>
      <c r="BC989" s="3" t="s">
        <v>77</v>
      </c>
      <c r="BD989" s="3" t="s">
        <v>78</v>
      </c>
      <c r="BE989" s="3" t="s">
        <v>9618</v>
      </c>
      <c r="BF989" s="3" t="s">
        <v>9617</v>
      </c>
      <c r="BG989" s="3" t="s">
        <v>9619</v>
      </c>
    </row>
    <row r="990" spans="1:59" ht="58" x14ac:dyDescent="0.35">
      <c r="A990" s="2" t="s">
        <v>59</v>
      </c>
      <c r="B990" s="2" t="s">
        <v>60</v>
      </c>
      <c r="C990" s="2" t="s">
        <v>9620</v>
      </c>
      <c r="D990" s="2" t="s">
        <v>9621</v>
      </c>
      <c r="E990" s="2" t="s">
        <v>9622</v>
      </c>
      <c r="G990" s="3" t="s">
        <v>65</v>
      </c>
      <c r="I990" s="3" t="s">
        <v>65</v>
      </c>
      <c r="J990" s="3" t="s">
        <v>65</v>
      </c>
      <c r="K990" s="3" t="s">
        <v>66</v>
      </c>
      <c r="L990" s="2" t="s">
        <v>904</v>
      </c>
      <c r="M990" s="2" t="s">
        <v>9623</v>
      </c>
      <c r="N990" s="3" t="s">
        <v>5060</v>
      </c>
      <c r="P990" s="3" t="s">
        <v>616</v>
      </c>
      <c r="Q990" s="2" t="s">
        <v>9624</v>
      </c>
      <c r="R990" s="3" t="s">
        <v>71</v>
      </c>
      <c r="S990" s="4">
        <v>49</v>
      </c>
      <c r="T990" s="4">
        <v>49</v>
      </c>
      <c r="U990" s="5" t="s">
        <v>9625</v>
      </c>
      <c r="V990" s="5" t="s">
        <v>9625</v>
      </c>
      <c r="W990" s="5" t="s">
        <v>72</v>
      </c>
      <c r="X990" s="5" t="s">
        <v>72</v>
      </c>
      <c r="Y990" s="4">
        <v>93</v>
      </c>
      <c r="Z990" s="4">
        <v>9</v>
      </c>
      <c r="AA990" s="4">
        <v>24</v>
      </c>
      <c r="AB990" s="4">
        <v>2</v>
      </c>
      <c r="AC990" s="4">
        <v>10</v>
      </c>
      <c r="AD990" s="4">
        <v>33</v>
      </c>
      <c r="AE990" s="4">
        <v>49</v>
      </c>
      <c r="AF990" s="4">
        <v>1</v>
      </c>
      <c r="AG990" s="4">
        <v>5</v>
      </c>
      <c r="AH990" s="4">
        <v>28</v>
      </c>
      <c r="AI990" s="4">
        <v>37</v>
      </c>
      <c r="AJ990" s="4">
        <v>3</v>
      </c>
      <c r="AK990" s="4">
        <v>10</v>
      </c>
      <c r="AL990" s="4">
        <v>18</v>
      </c>
      <c r="AM990" s="4">
        <v>21</v>
      </c>
      <c r="AN990" s="4">
        <v>0</v>
      </c>
      <c r="AO990" s="4">
        <v>0</v>
      </c>
      <c r="AP990" s="4">
        <v>5</v>
      </c>
      <c r="AQ990" s="4">
        <v>13</v>
      </c>
      <c r="AR990" s="3" t="s">
        <v>65</v>
      </c>
      <c r="AS990" s="3" t="s">
        <v>65</v>
      </c>
      <c r="AT990" s="3" t="s">
        <v>209</v>
      </c>
      <c r="AU990" s="6" t="str">
        <f>HYPERLINK("http://catalog.hathitrust.org/Record/000877786","HathiTrust Record")</f>
        <v>HathiTrust Record</v>
      </c>
      <c r="AV990" s="6" t="str">
        <f>HYPERLINK("http://mcgill.on.worldcat.org/oclc/2871999","Catalog Record")</f>
        <v>Catalog Record</v>
      </c>
      <c r="AW990" s="6" t="str">
        <f>HYPERLINK("http://www.worldcat.org/oclc/2871999","WorldCat Record")</f>
        <v>WorldCat Record</v>
      </c>
      <c r="AX990" s="3" t="s">
        <v>9626</v>
      </c>
      <c r="AY990" s="3" t="s">
        <v>9627</v>
      </c>
      <c r="AZ990" s="3" t="s">
        <v>9628</v>
      </c>
      <c r="BA990" s="3" t="s">
        <v>9628</v>
      </c>
      <c r="BB990" s="3" t="s">
        <v>9629</v>
      </c>
      <c r="BC990" s="3" t="s">
        <v>77</v>
      </c>
      <c r="BD990" s="3" t="s">
        <v>106</v>
      </c>
      <c r="BE990" s="3" t="s">
        <v>9630</v>
      </c>
      <c r="BF990" s="3" t="s">
        <v>9629</v>
      </c>
      <c r="BG990" s="3" t="s">
        <v>9631</v>
      </c>
    </row>
    <row r="991" spans="1:59" ht="58" x14ac:dyDescent="0.35">
      <c r="A991" s="2" t="s">
        <v>59</v>
      </c>
      <c r="B991" s="2" t="s">
        <v>60</v>
      </c>
      <c r="C991" s="2" t="s">
        <v>9632</v>
      </c>
      <c r="D991" s="2" t="s">
        <v>9633</v>
      </c>
      <c r="E991" s="2" t="s">
        <v>9634</v>
      </c>
      <c r="G991" s="3" t="s">
        <v>65</v>
      </c>
      <c r="I991" s="3" t="s">
        <v>65</v>
      </c>
      <c r="J991" s="3" t="s">
        <v>65</v>
      </c>
      <c r="K991" s="3" t="s">
        <v>66</v>
      </c>
      <c r="L991" s="2" t="s">
        <v>904</v>
      </c>
      <c r="M991" s="2" t="s">
        <v>9635</v>
      </c>
      <c r="N991" s="3" t="s">
        <v>9636</v>
      </c>
      <c r="P991" s="3" t="s">
        <v>616</v>
      </c>
      <c r="Q991" s="2" t="s">
        <v>9637</v>
      </c>
      <c r="R991" s="3" t="s">
        <v>71</v>
      </c>
      <c r="S991" s="4">
        <v>3</v>
      </c>
      <c r="T991" s="4">
        <v>3</v>
      </c>
      <c r="U991" s="5" t="s">
        <v>2617</v>
      </c>
      <c r="V991" s="5" t="s">
        <v>2617</v>
      </c>
      <c r="W991" s="5" t="s">
        <v>72</v>
      </c>
      <c r="X991" s="5" t="s">
        <v>72</v>
      </c>
      <c r="Y991" s="4">
        <v>1</v>
      </c>
      <c r="Z991" s="4">
        <v>1</v>
      </c>
      <c r="AA991" s="4">
        <v>1</v>
      </c>
      <c r="AB991" s="4">
        <v>1</v>
      </c>
      <c r="AC991" s="4">
        <v>1</v>
      </c>
      <c r="AD991" s="4">
        <v>0</v>
      </c>
      <c r="AE991" s="4">
        <v>0</v>
      </c>
      <c r="AF991" s="4">
        <v>0</v>
      </c>
      <c r="AG991" s="4">
        <v>0</v>
      </c>
      <c r="AH991" s="4">
        <v>0</v>
      </c>
      <c r="AI991" s="4">
        <v>0</v>
      </c>
      <c r="AJ991" s="4">
        <v>0</v>
      </c>
      <c r="AK991" s="4">
        <v>0</v>
      </c>
      <c r="AL991" s="4">
        <v>0</v>
      </c>
      <c r="AM991" s="4">
        <v>0</v>
      </c>
      <c r="AN991" s="4">
        <v>0</v>
      </c>
      <c r="AO991" s="4">
        <v>0</v>
      </c>
      <c r="AP991" s="4">
        <v>0</v>
      </c>
      <c r="AQ991" s="4">
        <v>0</v>
      </c>
      <c r="AR991" s="3" t="s">
        <v>65</v>
      </c>
      <c r="AS991" s="3" t="s">
        <v>65</v>
      </c>
      <c r="AT991" s="3" t="s">
        <v>65</v>
      </c>
      <c r="AV991" s="6" t="str">
        <f>HYPERLINK("http://mcgill.on.worldcat.org/oclc/61605853","Catalog Record")</f>
        <v>Catalog Record</v>
      </c>
      <c r="AW991" s="6" t="str">
        <f>HYPERLINK("http://www.worldcat.org/oclc/61605853","WorldCat Record")</f>
        <v>WorldCat Record</v>
      </c>
      <c r="AX991" s="3" t="s">
        <v>9638</v>
      </c>
      <c r="AY991" s="3" t="s">
        <v>9639</v>
      </c>
      <c r="AZ991" s="3" t="s">
        <v>9640</v>
      </c>
      <c r="BA991" s="3" t="s">
        <v>9640</v>
      </c>
      <c r="BB991" s="3" t="s">
        <v>9641</v>
      </c>
      <c r="BC991" s="3" t="s">
        <v>77</v>
      </c>
      <c r="BD991" s="3" t="s">
        <v>106</v>
      </c>
      <c r="BF991" s="3" t="s">
        <v>9641</v>
      </c>
      <c r="BG991" s="3" t="s">
        <v>9642</v>
      </c>
    </row>
    <row r="992" spans="1:59" ht="58" x14ac:dyDescent="0.35">
      <c r="A992" s="2" t="s">
        <v>59</v>
      </c>
      <c r="B992" s="2" t="s">
        <v>60</v>
      </c>
      <c r="C992" s="2" t="s">
        <v>9643</v>
      </c>
      <c r="D992" s="2" t="s">
        <v>9644</v>
      </c>
      <c r="E992" s="2" t="s">
        <v>9645</v>
      </c>
      <c r="G992" s="3" t="s">
        <v>65</v>
      </c>
      <c r="I992" s="3" t="s">
        <v>65</v>
      </c>
      <c r="J992" s="3" t="s">
        <v>65</v>
      </c>
      <c r="K992" s="3" t="s">
        <v>9016</v>
      </c>
      <c r="L992" s="2" t="s">
        <v>904</v>
      </c>
      <c r="M992" s="2" t="s">
        <v>9646</v>
      </c>
      <c r="N992" s="3" t="s">
        <v>392</v>
      </c>
      <c r="O992" s="2" t="s">
        <v>9647</v>
      </c>
      <c r="P992" s="3" t="s">
        <v>616</v>
      </c>
      <c r="Q992" s="2" t="s">
        <v>9648</v>
      </c>
      <c r="R992" s="3" t="s">
        <v>71</v>
      </c>
      <c r="S992" s="4">
        <v>32</v>
      </c>
      <c r="T992" s="4">
        <v>32</v>
      </c>
      <c r="U992" s="5" t="s">
        <v>7704</v>
      </c>
      <c r="V992" s="5" t="s">
        <v>7704</v>
      </c>
      <c r="W992" s="5" t="s">
        <v>72</v>
      </c>
      <c r="X992" s="5" t="s">
        <v>72</v>
      </c>
      <c r="Y992" s="4">
        <v>6</v>
      </c>
      <c r="Z992" s="4">
        <v>2</v>
      </c>
      <c r="AA992" s="4">
        <v>71</v>
      </c>
      <c r="AB992" s="4">
        <v>1</v>
      </c>
      <c r="AC992" s="4">
        <v>19</v>
      </c>
      <c r="AD992" s="4">
        <v>1</v>
      </c>
      <c r="AE992" s="4">
        <v>110</v>
      </c>
      <c r="AF992" s="4">
        <v>0</v>
      </c>
      <c r="AG992" s="4">
        <v>6</v>
      </c>
      <c r="AH992" s="4">
        <v>1</v>
      </c>
      <c r="AI992" s="4">
        <v>84</v>
      </c>
      <c r="AJ992" s="4">
        <v>0</v>
      </c>
      <c r="AK992" s="4">
        <v>21</v>
      </c>
      <c r="AL992" s="4">
        <v>0</v>
      </c>
      <c r="AM992" s="4">
        <v>49</v>
      </c>
      <c r="AN992" s="4">
        <v>0</v>
      </c>
      <c r="AO992" s="4">
        <v>8</v>
      </c>
      <c r="AP992" s="4">
        <v>0</v>
      </c>
      <c r="AQ992" s="4">
        <v>30</v>
      </c>
      <c r="AR992" s="3" t="s">
        <v>65</v>
      </c>
      <c r="AS992" s="3" t="s">
        <v>65</v>
      </c>
      <c r="AT992" s="3" t="s">
        <v>65</v>
      </c>
      <c r="AV992" s="6" t="str">
        <f>HYPERLINK("http://mcgill.on.worldcat.org/oclc/33145427","Catalog Record")</f>
        <v>Catalog Record</v>
      </c>
      <c r="AW992" s="6" t="str">
        <f>HYPERLINK("http://www.worldcat.org/oclc/33145427","WorldCat Record")</f>
        <v>WorldCat Record</v>
      </c>
      <c r="AX992" s="3" t="s">
        <v>9649</v>
      </c>
      <c r="AY992" s="3" t="s">
        <v>9650</v>
      </c>
      <c r="AZ992" s="3" t="s">
        <v>9651</v>
      </c>
      <c r="BA992" s="3" t="s">
        <v>9651</v>
      </c>
      <c r="BB992" s="3" t="s">
        <v>9652</v>
      </c>
      <c r="BC992" s="3" t="s">
        <v>77</v>
      </c>
      <c r="BD992" s="3" t="s">
        <v>78</v>
      </c>
      <c r="BE992" s="3" t="s">
        <v>9653</v>
      </c>
      <c r="BF992" s="3" t="s">
        <v>9652</v>
      </c>
      <c r="BG992" s="3" t="s">
        <v>9654</v>
      </c>
    </row>
    <row r="993" spans="1:59" ht="58" x14ac:dyDescent="0.35">
      <c r="A993" s="2" t="s">
        <v>59</v>
      </c>
      <c r="B993" s="2" t="s">
        <v>60</v>
      </c>
      <c r="C993" s="2" t="s">
        <v>9655</v>
      </c>
      <c r="D993" s="2" t="s">
        <v>9656</v>
      </c>
      <c r="E993" s="2" t="s">
        <v>9657</v>
      </c>
      <c r="G993" s="3" t="s">
        <v>209</v>
      </c>
      <c r="I993" s="3" t="s">
        <v>65</v>
      </c>
      <c r="J993" s="3" t="s">
        <v>65</v>
      </c>
      <c r="K993" s="3" t="s">
        <v>66</v>
      </c>
      <c r="M993" s="2" t="s">
        <v>9658</v>
      </c>
      <c r="N993" s="3" t="s">
        <v>139</v>
      </c>
      <c r="P993" s="3" t="s">
        <v>140</v>
      </c>
      <c r="Q993" s="2" t="s">
        <v>9659</v>
      </c>
      <c r="R993" s="3" t="s">
        <v>71</v>
      </c>
      <c r="S993" s="4">
        <v>0</v>
      </c>
      <c r="T993" s="4">
        <v>0</v>
      </c>
      <c r="W993" s="5" t="s">
        <v>72</v>
      </c>
      <c r="X993" s="5" t="s">
        <v>72</v>
      </c>
      <c r="Y993" s="4">
        <v>29</v>
      </c>
      <c r="Z993" s="4">
        <v>4</v>
      </c>
      <c r="AA993" s="4">
        <v>4</v>
      </c>
      <c r="AB993" s="4">
        <v>1</v>
      </c>
      <c r="AC993" s="4">
        <v>1</v>
      </c>
      <c r="AD993" s="4">
        <v>20</v>
      </c>
      <c r="AE993" s="4">
        <v>20</v>
      </c>
      <c r="AF993" s="4">
        <v>0</v>
      </c>
      <c r="AG993" s="4">
        <v>0</v>
      </c>
      <c r="AH993" s="4">
        <v>20</v>
      </c>
      <c r="AI993" s="4">
        <v>20</v>
      </c>
      <c r="AJ993" s="4">
        <v>2</v>
      </c>
      <c r="AK993" s="4">
        <v>2</v>
      </c>
      <c r="AL993" s="4">
        <v>16</v>
      </c>
      <c r="AM993" s="4">
        <v>16</v>
      </c>
      <c r="AN993" s="4">
        <v>0</v>
      </c>
      <c r="AO993" s="4">
        <v>0</v>
      </c>
      <c r="AP993" s="4">
        <v>2</v>
      </c>
      <c r="AQ993" s="4">
        <v>2</v>
      </c>
      <c r="AR993" s="3" t="s">
        <v>65</v>
      </c>
      <c r="AS993" s="3" t="s">
        <v>65</v>
      </c>
      <c r="AT993" s="3" t="s">
        <v>65</v>
      </c>
      <c r="AV993" s="6" t="str">
        <f>HYPERLINK("http://mcgill.on.worldcat.org/oclc/830854729","Catalog Record")</f>
        <v>Catalog Record</v>
      </c>
      <c r="AW993" s="6" t="str">
        <f>HYPERLINK("http://www.worldcat.org/oclc/830854729","WorldCat Record")</f>
        <v>WorldCat Record</v>
      </c>
      <c r="AX993" s="3" t="s">
        <v>9660</v>
      </c>
      <c r="AY993" s="3" t="s">
        <v>9661</v>
      </c>
      <c r="AZ993" s="3" t="s">
        <v>9662</v>
      </c>
      <c r="BA993" s="3" t="s">
        <v>9662</v>
      </c>
      <c r="BB993" s="3" t="s">
        <v>9663</v>
      </c>
      <c r="BC993" s="3" t="s">
        <v>77</v>
      </c>
      <c r="BD993" s="3" t="s">
        <v>78</v>
      </c>
      <c r="BE993" s="3" t="s">
        <v>9664</v>
      </c>
      <c r="BF993" s="3" t="s">
        <v>9663</v>
      </c>
      <c r="BG993" s="3" t="s">
        <v>9665</v>
      </c>
    </row>
    <row r="994" spans="1:59" ht="58" x14ac:dyDescent="0.35">
      <c r="A994" s="2" t="s">
        <v>59</v>
      </c>
      <c r="B994" s="2" t="s">
        <v>60</v>
      </c>
      <c r="C994" s="2" t="s">
        <v>9666</v>
      </c>
      <c r="D994" s="2" t="s">
        <v>9667</v>
      </c>
      <c r="E994" s="2" t="s">
        <v>9668</v>
      </c>
      <c r="G994" s="3" t="s">
        <v>65</v>
      </c>
      <c r="I994" s="3" t="s">
        <v>209</v>
      </c>
      <c r="J994" s="3" t="s">
        <v>209</v>
      </c>
      <c r="K994" s="3" t="s">
        <v>66</v>
      </c>
      <c r="L994" s="2" t="s">
        <v>904</v>
      </c>
      <c r="M994" s="2" t="s">
        <v>9669</v>
      </c>
      <c r="N994" s="3" t="s">
        <v>9670</v>
      </c>
      <c r="P994" s="3" t="s">
        <v>8835</v>
      </c>
      <c r="R994" s="3" t="s">
        <v>71</v>
      </c>
      <c r="S994" s="4">
        <v>1</v>
      </c>
      <c r="T994" s="4">
        <v>1</v>
      </c>
      <c r="U994" s="5" t="s">
        <v>9671</v>
      </c>
      <c r="V994" s="5" t="s">
        <v>9671</v>
      </c>
      <c r="W994" s="5" t="s">
        <v>72</v>
      </c>
      <c r="X994" s="5" t="s">
        <v>72</v>
      </c>
      <c r="Y994" s="4">
        <v>30</v>
      </c>
      <c r="Z994" s="4">
        <v>3</v>
      </c>
      <c r="AA994" s="4">
        <v>19</v>
      </c>
      <c r="AB994" s="4">
        <v>1</v>
      </c>
      <c r="AC994" s="4">
        <v>1</v>
      </c>
      <c r="AD994" s="4">
        <v>17</v>
      </c>
      <c r="AE994" s="4">
        <v>49</v>
      </c>
      <c r="AF994" s="4">
        <v>0</v>
      </c>
      <c r="AG994" s="4">
        <v>0</v>
      </c>
      <c r="AH994" s="4">
        <v>14</v>
      </c>
      <c r="AI994" s="4">
        <v>41</v>
      </c>
      <c r="AJ994" s="4">
        <v>2</v>
      </c>
      <c r="AK994" s="4">
        <v>6</v>
      </c>
      <c r="AL994" s="4">
        <v>9</v>
      </c>
      <c r="AM994" s="4">
        <v>30</v>
      </c>
      <c r="AN994" s="4">
        <v>0</v>
      </c>
      <c r="AO994" s="4">
        <v>0</v>
      </c>
      <c r="AP994" s="4">
        <v>2</v>
      </c>
      <c r="AQ994" s="4">
        <v>9</v>
      </c>
      <c r="AR994" s="3" t="s">
        <v>65</v>
      </c>
      <c r="AS994" s="3" t="s">
        <v>65</v>
      </c>
      <c r="AT994" s="3" t="s">
        <v>65</v>
      </c>
      <c r="AV994" s="6" t="str">
        <f>HYPERLINK("http://mcgill.on.worldcat.org/oclc/12372155","Catalog Record")</f>
        <v>Catalog Record</v>
      </c>
      <c r="AW994" s="6" t="str">
        <f>HYPERLINK("http://www.worldcat.org/oclc/12372155","WorldCat Record")</f>
        <v>WorldCat Record</v>
      </c>
      <c r="AX994" s="3" t="s">
        <v>9672</v>
      </c>
      <c r="AY994" s="3" t="s">
        <v>9673</v>
      </c>
      <c r="AZ994" s="3" t="s">
        <v>9674</v>
      </c>
      <c r="BA994" s="3" t="s">
        <v>9674</v>
      </c>
      <c r="BB994" s="3" t="s">
        <v>9675</v>
      </c>
      <c r="BC994" s="3" t="s">
        <v>77</v>
      </c>
      <c r="BD994" s="3" t="s">
        <v>78</v>
      </c>
      <c r="BF994" s="3" t="s">
        <v>9675</v>
      </c>
      <c r="BG994" s="3" t="s">
        <v>9676</v>
      </c>
    </row>
    <row r="995" spans="1:59" ht="58" x14ac:dyDescent="0.35">
      <c r="A995" s="2" t="s">
        <v>59</v>
      </c>
      <c r="B995" s="2" t="s">
        <v>60</v>
      </c>
      <c r="C995" s="2" t="s">
        <v>9666</v>
      </c>
      <c r="D995" s="2" t="s">
        <v>9667</v>
      </c>
      <c r="E995" s="2" t="s">
        <v>9668</v>
      </c>
      <c r="G995" s="3" t="s">
        <v>65</v>
      </c>
      <c r="I995" s="3" t="s">
        <v>209</v>
      </c>
      <c r="J995" s="3" t="s">
        <v>209</v>
      </c>
      <c r="K995" s="3" t="s">
        <v>66</v>
      </c>
      <c r="L995" s="2" t="s">
        <v>904</v>
      </c>
      <c r="M995" s="2" t="s">
        <v>9669</v>
      </c>
      <c r="N995" s="3" t="s">
        <v>9670</v>
      </c>
      <c r="P995" s="3" t="s">
        <v>8835</v>
      </c>
      <c r="R995" s="3" t="s">
        <v>71</v>
      </c>
      <c r="S995" s="4">
        <v>0</v>
      </c>
      <c r="T995" s="4">
        <v>1</v>
      </c>
      <c r="V995" s="5" t="s">
        <v>9671</v>
      </c>
      <c r="W995" s="5" t="s">
        <v>72</v>
      </c>
      <c r="X995" s="5" t="s">
        <v>72</v>
      </c>
      <c r="Y995" s="4">
        <v>30</v>
      </c>
      <c r="Z995" s="4">
        <v>3</v>
      </c>
      <c r="AA995" s="4">
        <v>19</v>
      </c>
      <c r="AB995" s="4">
        <v>1</v>
      </c>
      <c r="AC995" s="4">
        <v>1</v>
      </c>
      <c r="AD995" s="4">
        <v>17</v>
      </c>
      <c r="AE995" s="4">
        <v>49</v>
      </c>
      <c r="AF995" s="4">
        <v>0</v>
      </c>
      <c r="AG995" s="4">
        <v>0</v>
      </c>
      <c r="AH995" s="4">
        <v>14</v>
      </c>
      <c r="AI995" s="4">
        <v>41</v>
      </c>
      <c r="AJ995" s="4">
        <v>2</v>
      </c>
      <c r="AK995" s="4">
        <v>6</v>
      </c>
      <c r="AL995" s="4">
        <v>9</v>
      </c>
      <c r="AM995" s="4">
        <v>30</v>
      </c>
      <c r="AN995" s="4">
        <v>0</v>
      </c>
      <c r="AO995" s="4">
        <v>0</v>
      </c>
      <c r="AP995" s="4">
        <v>2</v>
      </c>
      <c r="AQ995" s="4">
        <v>9</v>
      </c>
      <c r="AR995" s="3" t="s">
        <v>65</v>
      </c>
      <c r="AS995" s="3" t="s">
        <v>65</v>
      </c>
      <c r="AT995" s="3" t="s">
        <v>65</v>
      </c>
      <c r="AV995" s="6" t="str">
        <f>HYPERLINK("http://mcgill.on.worldcat.org/oclc/12372155","Catalog Record")</f>
        <v>Catalog Record</v>
      </c>
      <c r="AW995" s="6" t="str">
        <f>HYPERLINK("http://www.worldcat.org/oclc/12372155","WorldCat Record")</f>
        <v>WorldCat Record</v>
      </c>
      <c r="AX995" s="3" t="s">
        <v>9672</v>
      </c>
      <c r="AY995" s="3" t="s">
        <v>9673</v>
      </c>
      <c r="AZ995" s="3" t="s">
        <v>9674</v>
      </c>
      <c r="BA995" s="3" t="s">
        <v>9674</v>
      </c>
      <c r="BB995" s="3" t="s">
        <v>9677</v>
      </c>
      <c r="BC995" s="3" t="s">
        <v>77</v>
      </c>
      <c r="BD995" s="3" t="s">
        <v>78</v>
      </c>
      <c r="BF995" s="3" t="s">
        <v>9677</v>
      </c>
      <c r="BG995" s="3" t="s">
        <v>9678</v>
      </c>
    </row>
    <row r="996" spans="1:59" ht="58" x14ac:dyDescent="0.35">
      <c r="A996" s="2" t="s">
        <v>59</v>
      </c>
      <c r="B996" s="2" t="s">
        <v>60</v>
      </c>
      <c r="C996" s="2" t="s">
        <v>9679</v>
      </c>
      <c r="D996" s="2" t="s">
        <v>9680</v>
      </c>
      <c r="E996" s="2" t="s">
        <v>9681</v>
      </c>
      <c r="G996" s="3" t="s">
        <v>65</v>
      </c>
      <c r="I996" s="3" t="s">
        <v>65</v>
      </c>
      <c r="J996" s="3" t="s">
        <v>65</v>
      </c>
      <c r="K996" s="3" t="s">
        <v>66</v>
      </c>
      <c r="L996" s="2" t="s">
        <v>9682</v>
      </c>
      <c r="M996" s="2" t="s">
        <v>9683</v>
      </c>
      <c r="N996" s="3" t="s">
        <v>3994</v>
      </c>
      <c r="P996" s="3" t="s">
        <v>140</v>
      </c>
      <c r="Q996" s="2" t="s">
        <v>9684</v>
      </c>
      <c r="R996" s="3" t="s">
        <v>71</v>
      </c>
      <c r="S996" s="4">
        <v>1</v>
      </c>
      <c r="T996" s="4">
        <v>1</v>
      </c>
      <c r="U996" s="5" t="s">
        <v>9671</v>
      </c>
      <c r="V996" s="5" t="s">
        <v>9671</v>
      </c>
      <c r="W996" s="5" t="s">
        <v>72</v>
      </c>
      <c r="X996" s="5" t="s">
        <v>72</v>
      </c>
      <c r="Y996" s="4">
        <v>77</v>
      </c>
      <c r="Z996" s="4">
        <v>3</v>
      </c>
      <c r="AA996" s="4">
        <v>3</v>
      </c>
      <c r="AB996" s="4">
        <v>1</v>
      </c>
      <c r="AC996" s="4">
        <v>1</v>
      </c>
      <c r="AD996" s="4">
        <v>35</v>
      </c>
      <c r="AE996" s="4">
        <v>35</v>
      </c>
      <c r="AF996" s="4">
        <v>0</v>
      </c>
      <c r="AG996" s="4">
        <v>0</v>
      </c>
      <c r="AH996" s="4">
        <v>33</v>
      </c>
      <c r="AI996" s="4">
        <v>33</v>
      </c>
      <c r="AJ996" s="4">
        <v>2</v>
      </c>
      <c r="AK996" s="4">
        <v>2</v>
      </c>
      <c r="AL996" s="4">
        <v>24</v>
      </c>
      <c r="AM996" s="4">
        <v>24</v>
      </c>
      <c r="AN996" s="4">
        <v>0</v>
      </c>
      <c r="AO996" s="4">
        <v>0</v>
      </c>
      <c r="AP996" s="4">
        <v>2</v>
      </c>
      <c r="AQ996" s="4">
        <v>2</v>
      </c>
      <c r="AR996" s="3" t="s">
        <v>65</v>
      </c>
      <c r="AS996" s="3" t="s">
        <v>65</v>
      </c>
      <c r="AT996" s="3" t="s">
        <v>209</v>
      </c>
      <c r="AU996" s="6" t="str">
        <f>HYPERLINK("http://catalog.hathitrust.org/Record/007378361","HathiTrust Record")</f>
        <v>HathiTrust Record</v>
      </c>
      <c r="AV996" s="6" t="str">
        <f>HYPERLINK("http://mcgill.on.worldcat.org/oclc/3267140","Catalog Record")</f>
        <v>Catalog Record</v>
      </c>
      <c r="AW996" s="6" t="str">
        <f>HYPERLINK("http://www.worldcat.org/oclc/3267140","WorldCat Record")</f>
        <v>WorldCat Record</v>
      </c>
      <c r="AX996" s="3" t="s">
        <v>9685</v>
      </c>
      <c r="AY996" s="3" t="s">
        <v>9686</v>
      </c>
      <c r="AZ996" s="3" t="s">
        <v>9687</v>
      </c>
      <c r="BA996" s="3" t="s">
        <v>9687</v>
      </c>
      <c r="BB996" s="3" t="s">
        <v>9688</v>
      </c>
      <c r="BC996" s="3" t="s">
        <v>77</v>
      </c>
      <c r="BD996" s="3" t="s">
        <v>78</v>
      </c>
      <c r="BF996" s="3" t="s">
        <v>9688</v>
      </c>
      <c r="BG996" s="3" t="s">
        <v>9689</v>
      </c>
    </row>
    <row r="997" spans="1:59" ht="58" x14ac:dyDescent="0.35">
      <c r="A997" s="2" t="s">
        <v>59</v>
      </c>
      <c r="B997" s="2" t="s">
        <v>60</v>
      </c>
      <c r="C997" s="2" t="s">
        <v>9690</v>
      </c>
      <c r="D997" s="2" t="s">
        <v>9691</v>
      </c>
      <c r="E997" s="2" t="s">
        <v>9692</v>
      </c>
      <c r="G997" s="3" t="s">
        <v>65</v>
      </c>
      <c r="I997" s="3" t="s">
        <v>65</v>
      </c>
      <c r="J997" s="3" t="s">
        <v>65</v>
      </c>
      <c r="K997" s="3" t="s">
        <v>66</v>
      </c>
      <c r="L997" s="2" t="s">
        <v>9693</v>
      </c>
      <c r="M997" s="2" t="s">
        <v>9694</v>
      </c>
      <c r="N997" s="3" t="s">
        <v>139</v>
      </c>
      <c r="P997" s="3" t="s">
        <v>69</v>
      </c>
      <c r="Q997" s="2" t="s">
        <v>9695</v>
      </c>
      <c r="R997" s="3" t="s">
        <v>71</v>
      </c>
      <c r="S997" s="4">
        <v>0</v>
      </c>
      <c r="T997" s="4">
        <v>0</v>
      </c>
      <c r="W997" s="5" t="s">
        <v>72</v>
      </c>
      <c r="X997" s="5" t="s">
        <v>72</v>
      </c>
      <c r="Y997" s="4">
        <v>86</v>
      </c>
      <c r="Z997" s="4">
        <v>11</v>
      </c>
      <c r="AA997" s="4">
        <v>34</v>
      </c>
      <c r="AB997" s="4">
        <v>1</v>
      </c>
      <c r="AC997" s="4">
        <v>7</v>
      </c>
      <c r="AD997" s="4">
        <v>42</v>
      </c>
      <c r="AE997" s="4">
        <v>53</v>
      </c>
      <c r="AF997" s="4">
        <v>0</v>
      </c>
      <c r="AG997" s="4">
        <v>1</v>
      </c>
      <c r="AH997" s="4">
        <v>39</v>
      </c>
      <c r="AI997" s="4">
        <v>45</v>
      </c>
      <c r="AJ997" s="4">
        <v>8</v>
      </c>
      <c r="AK997" s="4">
        <v>11</v>
      </c>
      <c r="AL997" s="4">
        <v>21</v>
      </c>
      <c r="AM997" s="4">
        <v>25</v>
      </c>
      <c r="AN997" s="4">
        <v>0</v>
      </c>
      <c r="AO997" s="4">
        <v>0</v>
      </c>
      <c r="AP997" s="4">
        <v>8</v>
      </c>
      <c r="AQ997" s="4">
        <v>14</v>
      </c>
      <c r="AR997" s="3" t="s">
        <v>65</v>
      </c>
      <c r="AS997" s="3" t="s">
        <v>65</v>
      </c>
      <c r="AT997" s="3" t="s">
        <v>65</v>
      </c>
      <c r="AV997" s="6" t="str">
        <f>HYPERLINK("http://mcgill.on.worldcat.org/oclc/754105612","Catalog Record")</f>
        <v>Catalog Record</v>
      </c>
      <c r="AW997" s="6" t="str">
        <f>HYPERLINK("http://www.worldcat.org/oclc/754105612","WorldCat Record")</f>
        <v>WorldCat Record</v>
      </c>
      <c r="AX997" s="3" t="s">
        <v>9696</v>
      </c>
      <c r="AY997" s="3" t="s">
        <v>9697</v>
      </c>
      <c r="AZ997" s="3" t="s">
        <v>9698</v>
      </c>
      <c r="BA997" s="3" t="s">
        <v>9698</v>
      </c>
      <c r="BB997" s="3" t="s">
        <v>9699</v>
      </c>
      <c r="BC997" s="3" t="s">
        <v>77</v>
      </c>
      <c r="BD997" s="3" t="s">
        <v>78</v>
      </c>
      <c r="BE997" s="3" t="s">
        <v>9700</v>
      </c>
      <c r="BF997" s="3" t="s">
        <v>9699</v>
      </c>
      <c r="BG997" s="3" t="s">
        <v>9701</v>
      </c>
    </row>
    <row r="998" spans="1:59" ht="58" x14ac:dyDescent="0.35">
      <c r="A998" s="2" t="s">
        <v>59</v>
      </c>
      <c r="B998" s="2" t="s">
        <v>60</v>
      </c>
      <c r="C998" s="2" t="s">
        <v>9702</v>
      </c>
      <c r="D998" s="2" t="s">
        <v>9703</v>
      </c>
      <c r="E998" s="2" t="s">
        <v>9704</v>
      </c>
      <c r="G998" s="3" t="s">
        <v>65</v>
      </c>
      <c r="I998" s="3" t="s">
        <v>65</v>
      </c>
      <c r="J998" s="3" t="s">
        <v>65</v>
      </c>
      <c r="K998" s="3" t="s">
        <v>66</v>
      </c>
      <c r="L998" s="2" t="s">
        <v>9705</v>
      </c>
      <c r="M998" s="2" t="s">
        <v>9706</v>
      </c>
      <c r="N998" s="3" t="s">
        <v>113</v>
      </c>
      <c r="P998" s="3" t="s">
        <v>69</v>
      </c>
      <c r="Q998" s="2" t="s">
        <v>9707</v>
      </c>
      <c r="R998" s="3" t="s">
        <v>71</v>
      </c>
      <c r="S998" s="4">
        <v>0</v>
      </c>
      <c r="T998" s="4">
        <v>0</v>
      </c>
      <c r="W998" s="5" t="s">
        <v>72</v>
      </c>
      <c r="X998" s="5" t="s">
        <v>72</v>
      </c>
      <c r="Y998" s="4">
        <v>36</v>
      </c>
      <c r="Z998" s="4">
        <v>3</v>
      </c>
      <c r="AA998" s="4">
        <v>3</v>
      </c>
      <c r="AB998" s="4">
        <v>1</v>
      </c>
      <c r="AC998" s="4">
        <v>1</v>
      </c>
      <c r="AD998" s="4">
        <v>21</v>
      </c>
      <c r="AE998" s="4">
        <v>21</v>
      </c>
      <c r="AF998" s="4">
        <v>0</v>
      </c>
      <c r="AG998" s="4">
        <v>0</v>
      </c>
      <c r="AH998" s="4">
        <v>19</v>
      </c>
      <c r="AI998" s="4">
        <v>19</v>
      </c>
      <c r="AJ998" s="4">
        <v>2</v>
      </c>
      <c r="AK998" s="4">
        <v>2</v>
      </c>
      <c r="AL998" s="4">
        <v>16</v>
      </c>
      <c r="AM998" s="4">
        <v>16</v>
      </c>
      <c r="AN998" s="4">
        <v>0</v>
      </c>
      <c r="AO998" s="4">
        <v>0</v>
      </c>
      <c r="AP998" s="4">
        <v>2</v>
      </c>
      <c r="AQ998" s="4">
        <v>2</v>
      </c>
      <c r="AR998" s="3" t="s">
        <v>65</v>
      </c>
      <c r="AS998" s="3" t="s">
        <v>65</v>
      </c>
      <c r="AT998" s="3" t="s">
        <v>65</v>
      </c>
      <c r="AV998" s="6" t="str">
        <f>HYPERLINK("http://mcgill.on.worldcat.org/oclc/681916793","Catalog Record")</f>
        <v>Catalog Record</v>
      </c>
      <c r="AW998" s="6" t="str">
        <f>HYPERLINK("http://www.worldcat.org/oclc/681916793","WorldCat Record")</f>
        <v>WorldCat Record</v>
      </c>
      <c r="AX998" s="3" t="s">
        <v>9708</v>
      </c>
      <c r="AY998" s="3" t="s">
        <v>9709</v>
      </c>
      <c r="AZ998" s="3" t="s">
        <v>9710</v>
      </c>
      <c r="BA998" s="3" t="s">
        <v>9710</v>
      </c>
      <c r="BB998" s="3" t="s">
        <v>9711</v>
      </c>
      <c r="BC998" s="3" t="s">
        <v>77</v>
      </c>
      <c r="BD998" s="3" t="s">
        <v>78</v>
      </c>
      <c r="BE998" s="3" t="s">
        <v>9712</v>
      </c>
      <c r="BF998" s="3" t="s">
        <v>9711</v>
      </c>
      <c r="BG998" s="3" t="s">
        <v>9713</v>
      </c>
    </row>
    <row r="999" spans="1:59" ht="58" x14ac:dyDescent="0.35">
      <c r="A999" s="2" t="s">
        <v>59</v>
      </c>
      <c r="B999" s="2" t="s">
        <v>60</v>
      </c>
      <c r="C999" s="2" t="s">
        <v>9714</v>
      </c>
      <c r="D999" s="2" t="s">
        <v>9715</v>
      </c>
      <c r="E999" s="2" t="s">
        <v>9716</v>
      </c>
      <c r="G999" s="3" t="s">
        <v>65</v>
      </c>
      <c r="I999" s="3" t="s">
        <v>65</v>
      </c>
      <c r="J999" s="3" t="s">
        <v>65</v>
      </c>
      <c r="K999" s="3" t="s">
        <v>66</v>
      </c>
      <c r="L999" s="2" t="s">
        <v>9717</v>
      </c>
      <c r="M999" s="2" t="s">
        <v>9718</v>
      </c>
      <c r="N999" s="3" t="s">
        <v>126</v>
      </c>
      <c r="O999" s="2" t="s">
        <v>365</v>
      </c>
      <c r="P999" s="3" t="s">
        <v>140</v>
      </c>
      <c r="Q999" s="2" t="s">
        <v>9719</v>
      </c>
      <c r="R999" s="3" t="s">
        <v>71</v>
      </c>
      <c r="S999" s="4">
        <v>0</v>
      </c>
      <c r="T999" s="4">
        <v>0</v>
      </c>
      <c r="W999" s="5" t="s">
        <v>72</v>
      </c>
      <c r="X999" s="5" t="s">
        <v>72</v>
      </c>
      <c r="Y999" s="4">
        <v>34</v>
      </c>
      <c r="Z999" s="4">
        <v>3</v>
      </c>
      <c r="AA999" s="4">
        <v>3</v>
      </c>
      <c r="AB999" s="4">
        <v>1</v>
      </c>
      <c r="AC999" s="4">
        <v>1</v>
      </c>
      <c r="AD999" s="4">
        <v>24</v>
      </c>
      <c r="AE999" s="4">
        <v>24</v>
      </c>
      <c r="AF999" s="4">
        <v>0</v>
      </c>
      <c r="AG999" s="4">
        <v>0</v>
      </c>
      <c r="AH999" s="4">
        <v>23</v>
      </c>
      <c r="AI999" s="4">
        <v>23</v>
      </c>
      <c r="AJ999" s="4">
        <v>1</v>
      </c>
      <c r="AK999" s="4">
        <v>1</v>
      </c>
      <c r="AL999" s="4">
        <v>19</v>
      </c>
      <c r="AM999" s="4">
        <v>19</v>
      </c>
      <c r="AN999" s="4">
        <v>0</v>
      </c>
      <c r="AO999" s="4">
        <v>0</v>
      </c>
      <c r="AP999" s="4">
        <v>1</v>
      </c>
      <c r="AQ999" s="4">
        <v>1</v>
      </c>
      <c r="AR999" s="3" t="s">
        <v>65</v>
      </c>
      <c r="AS999" s="3" t="s">
        <v>65</v>
      </c>
      <c r="AT999" s="3" t="s">
        <v>65</v>
      </c>
      <c r="AV999" s="6" t="str">
        <f>HYPERLINK("http://mcgill.on.worldcat.org/oclc/788213356","Catalog Record")</f>
        <v>Catalog Record</v>
      </c>
      <c r="AW999" s="6" t="str">
        <f>HYPERLINK("http://www.worldcat.org/oclc/788213356","WorldCat Record")</f>
        <v>WorldCat Record</v>
      </c>
      <c r="AX999" s="3" t="s">
        <v>9720</v>
      </c>
      <c r="AY999" s="3" t="s">
        <v>9721</v>
      </c>
      <c r="AZ999" s="3" t="s">
        <v>9722</v>
      </c>
      <c r="BA999" s="3" t="s">
        <v>9722</v>
      </c>
      <c r="BB999" s="3" t="s">
        <v>9723</v>
      </c>
      <c r="BC999" s="3" t="s">
        <v>77</v>
      </c>
      <c r="BD999" s="3" t="s">
        <v>78</v>
      </c>
      <c r="BE999" s="3" t="s">
        <v>9724</v>
      </c>
      <c r="BF999" s="3" t="s">
        <v>9723</v>
      </c>
      <c r="BG999" s="3" t="s">
        <v>9725</v>
      </c>
    </row>
    <row r="1000" spans="1:59" ht="58" x14ac:dyDescent="0.35">
      <c r="A1000" s="2" t="s">
        <v>59</v>
      </c>
      <c r="B1000" s="2" t="s">
        <v>60</v>
      </c>
      <c r="C1000" s="2" t="s">
        <v>9726</v>
      </c>
      <c r="D1000" s="2" t="s">
        <v>9727</v>
      </c>
      <c r="E1000" s="2" t="s">
        <v>9728</v>
      </c>
      <c r="G1000" s="3" t="s">
        <v>65</v>
      </c>
      <c r="I1000" s="3" t="s">
        <v>65</v>
      </c>
      <c r="J1000" s="3" t="s">
        <v>65</v>
      </c>
      <c r="K1000" s="3" t="s">
        <v>66</v>
      </c>
      <c r="L1000" s="2" t="s">
        <v>9729</v>
      </c>
      <c r="M1000" s="2" t="s">
        <v>9730</v>
      </c>
      <c r="N1000" s="3" t="s">
        <v>188</v>
      </c>
      <c r="P1000" s="3" t="s">
        <v>7374</v>
      </c>
      <c r="Q1000" s="2" t="s">
        <v>9731</v>
      </c>
      <c r="R1000" s="3" t="s">
        <v>71</v>
      </c>
      <c r="S1000" s="4">
        <v>0</v>
      </c>
      <c r="T1000" s="4">
        <v>0</v>
      </c>
      <c r="W1000" s="5" t="s">
        <v>72</v>
      </c>
      <c r="X1000" s="5" t="s">
        <v>72</v>
      </c>
      <c r="Y1000" s="4">
        <v>42</v>
      </c>
      <c r="Z1000" s="4">
        <v>5</v>
      </c>
      <c r="AA1000" s="4">
        <v>5</v>
      </c>
      <c r="AB1000" s="4">
        <v>1</v>
      </c>
      <c r="AC1000" s="4">
        <v>1</v>
      </c>
      <c r="AD1000" s="4">
        <v>32</v>
      </c>
      <c r="AE1000" s="4">
        <v>34</v>
      </c>
      <c r="AF1000" s="4">
        <v>0</v>
      </c>
      <c r="AG1000" s="4">
        <v>0</v>
      </c>
      <c r="AH1000" s="4">
        <v>30</v>
      </c>
      <c r="AI1000" s="4">
        <v>32</v>
      </c>
      <c r="AJ1000" s="4">
        <v>4</v>
      </c>
      <c r="AK1000" s="4">
        <v>4</v>
      </c>
      <c r="AL1000" s="4">
        <v>20</v>
      </c>
      <c r="AM1000" s="4">
        <v>21</v>
      </c>
      <c r="AN1000" s="4">
        <v>0</v>
      </c>
      <c r="AO1000" s="4">
        <v>0</v>
      </c>
      <c r="AP1000" s="4">
        <v>4</v>
      </c>
      <c r="AQ1000" s="4">
        <v>4</v>
      </c>
      <c r="AR1000" s="3" t="s">
        <v>65</v>
      </c>
      <c r="AS1000" s="3" t="s">
        <v>65</v>
      </c>
      <c r="AT1000" s="3" t="s">
        <v>65</v>
      </c>
      <c r="AV1000" s="6" t="str">
        <f>HYPERLINK("http://mcgill.on.worldcat.org/oclc/987662231","Catalog Record")</f>
        <v>Catalog Record</v>
      </c>
      <c r="AW1000" s="6" t="str">
        <f>HYPERLINK("http://www.worldcat.org/oclc/987662231","WorldCat Record")</f>
        <v>WorldCat Record</v>
      </c>
      <c r="AX1000" s="3" t="s">
        <v>9732</v>
      </c>
      <c r="AY1000" s="3" t="s">
        <v>9733</v>
      </c>
      <c r="AZ1000" s="3" t="s">
        <v>9734</v>
      </c>
      <c r="BA1000" s="3" t="s">
        <v>9734</v>
      </c>
      <c r="BB1000" s="3" t="s">
        <v>9735</v>
      </c>
      <c r="BC1000" s="3" t="s">
        <v>77</v>
      </c>
      <c r="BD1000" s="3" t="s">
        <v>78</v>
      </c>
      <c r="BE1000" s="3" t="s">
        <v>9736</v>
      </c>
      <c r="BF1000" s="3" t="s">
        <v>9735</v>
      </c>
      <c r="BG1000" s="3" t="s">
        <v>9737</v>
      </c>
    </row>
    <row r="1001" spans="1:59" ht="58" x14ac:dyDescent="0.35">
      <c r="A1001" s="2" t="s">
        <v>59</v>
      </c>
      <c r="B1001" s="2" t="s">
        <v>60</v>
      </c>
      <c r="C1001" s="2" t="s">
        <v>9738</v>
      </c>
      <c r="D1001" s="2" t="s">
        <v>9739</v>
      </c>
      <c r="E1001" s="2" t="s">
        <v>9740</v>
      </c>
      <c r="G1001" s="3" t="s">
        <v>209</v>
      </c>
      <c r="I1001" s="3" t="s">
        <v>65</v>
      </c>
      <c r="J1001" s="3" t="s">
        <v>65</v>
      </c>
      <c r="K1001" s="3" t="s">
        <v>66</v>
      </c>
      <c r="M1001" s="2" t="s">
        <v>9741</v>
      </c>
      <c r="N1001" s="3" t="s">
        <v>188</v>
      </c>
      <c r="P1001" s="3" t="s">
        <v>140</v>
      </c>
      <c r="R1001" s="3" t="s">
        <v>71</v>
      </c>
      <c r="S1001" s="4">
        <v>1</v>
      </c>
      <c r="T1001" s="4">
        <v>1</v>
      </c>
      <c r="U1001" s="5" t="s">
        <v>785</v>
      </c>
      <c r="V1001" s="5" t="s">
        <v>785</v>
      </c>
      <c r="W1001" s="5" t="s">
        <v>72</v>
      </c>
      <c r="X1001" s="5" t="s">
        <v>72</v>
      </c>
      <c r="Y1001" s="4">
        <v>43</v>
      </c>
      <c r="Z1001" s="4">
        <v>1</v>
      </c>
      <c r="AA1001" s="4">
        <v>1</v>
      </c>
      <c r="AB1001" s="4">
        <v>1</v>
      </c>
      <c r="AC1001" s="4">
        <v>1</v>
      </c>
      <c r="AD1001" s="4">
        <v>30</v>
      </c>
      <c r="AE1001" s="4">
        <v>30</v>
      </c>
      <c r="AF1001" s="4">
        <v>0</v>
      </c>
      <c r="AG1001" s="4">
        <v>0</v>
      </c>
      <c r="AH1001" s="4">
        <v>29</v>
      </c>
      <c r="AI1001" s="4">
        <v>29</v>
      </c>
      <c r="AJ1001" s="4">
        <v>0</v>
      </c>
      <c r="AK1001" s="4">
        <v>0</v>
      </c>
      <c r="AL1001" s="4">
        <v>25</v>
      </c>
      <c r="AM1001" s="4">
        <v>25</v>
      </c>
      <c r="AN1001" s="4">
        <v>0</v>
      </c>
      <c r="AO1001" s="4">
        <v>0</v>
      </c>
      <c r="AP1001" s="4">
        <v>0</v>
      </c>
      <c r="AQ1001" s="4">
        <v>0</v>
      </c>
      <c r="AR1001" s="3" t="s">
        <v>65</v>
      </c>
      <c r="AS1001" s="3" t="s">
        <v>65</v>
      </c>
      <c r="AT1001" s="3" t="s">
        <v>65</v>
      </c>
      <c r="AV1001" s="6" t="str">
        <f>HYPERLINK("http://mcgill.on.worldcat.org/oclc/1009068618","Catalog Record")</f>
        <v>Catalog Record</v>
      </c>
      <c r="AW1001" s="6" t="str">
        <f>HYPERLINK("http://www.worldcat.org/oclc/1009068618","WorldCat Record")</f>
        <v>WorldCat Record</v>
      </c>
      <c r="AX1001" s="3" t="s">
        <v>9742</v>
      </c>
      <c r="AY1001" s="3" t="s">
        <v>9743</v>
      </c>
      <c r="AZ1001" s="3" t="s">
        <v>9744</v>
      </c>
      <c r="BA1001" s="3" t="s">
        <v>9744</v>
      </c>
      <c r="BB1001" s="3" t="s">
        <v>9745</v>
      </c>
      <c r="BC1001" s="3" t="s">
        <v>77</v>
      </c>
      <c r="BD1001" s="3" t="s">
        <v>78</v>
      </c>
      <c r="BE1001" s="3" t="s">
        <v>9746</v>
      </c>
      <c r="BF1001" s="3" t="s">
        <v>9745</v>
      </c>
      <c r="BG1001" s="3" t="s">
        <v>9747</v>
      </c>
    </row>
    <row r="1002" spans="1:59" ht="72.5" x14ac:dyDescent="0.35">
      <c r="A1002" s="2" t="s">
        <v>59</v>
      </c>
      <c r="B1002" s="2" t="s">
        <v>5411</v>
      </c>
      <c r="C1002" s="2" t="s">
        <v>9748</v>
      </c>
      <c r="D1002" s="2" t="s">
        <v>9749</v>
      </c>
      <c r="E1002" s="2" t="s">
        <v>9750</v>
      </c>
      <c r="G1002" s="3" t="s">
        <v>65</v>
      </c>
      <c r="I1002" s="3" t="s">
        <v>65</v>
      </c>
      <c r="J1002" s="3" t="s">
        <v>65</v>
      </c>
      <c r="K1002" s="3" t="s">
        <v>66</v>
      </c>
      <c r="L1002" s="2" t="s">
        <v>9751</v>
      </c>
      <c r="M1002" s="2" t="s">
        <v>9752</v>
      </c>
      <c r="N1002" s="3" t="s">
        <v>1151</v>
      </c>
      <c r="P1002" s="3" t="s">
        <v>69</v>
      </c>
      <c r="Q1002" s="2" t="s">
        <v>9753</v>
      </c>
      <c r="R1002" s="3" t="s">
        <v>71</v>
      </c>
      <c r="S1002" s="4">
        <v>2</v>
      </c>
      <c r="T1002" s="4">
        <v>2</v>
      </c>
      <c r="U1002" s="5" t="s">
        <v>9754</v>
      </c>
      <c r="V1002" s="5" t="s">
        <v>9754</v>
      </c>
      <c r="W1002" s="5" t="s">
        <v>72</v>
      </c>
      <c r="X1002" s="5" t="s">
        <v>72</v>
      </c>
      <c r="Y1002" s="4">
        <v>670</v>
      </c>
      <c r="Z1002" s="4">
        <v>31</v>
      </c>
      <c r="AA1002" s="4">
        <v>34</v>
      </c>
      <c r="AB1002" s="4">
        <v>3</v>
      </c>
      <c r="AC1002" s="4">
        <v>6</v>
      </c>
      <c r="AD1002" s="4">
        <v>75</v>
      </c>
      <c r="AE1002" s="4">
        <v>76</v>
      </c>
      <c r="AF1002" s="4">
        <v>1</v>
      </c>
      <c r="AG1002" s="4">
        <v>2</v>
      </c>
      <c r="AH1002" s="4">
        <v>65</v>
      </c>
      <c r="AI1002" s="4">
        <v>65</v>
      </c>
      <c r="AJ1002" s="4">
        <v>16</v>
      </c>
      <c r="AK1002" s="4">
        <v>17</v>
      </c>
      <c r="AL1002" s="4">
        <v>30</v>
      </c>
      <c r="AM1002" s="4">
        <v>30</v>
      </c>
      <c r="AN1002" s="4">
        <v>0</v>
      </c>
      <c r="AO1002" s="4">
        <v>0</v>
      </c>
      <c r="AP1002" s="4">
        <v>20</v>
      </c>
      <c r="AQ1002" s="4">
        <v>20</v>
      </c>
      <c r="AR1002" s="3" t="s">
        <v>65</v>
      </c>
      <c r="AS1002" s="3" t="s">
        <v>65</v>
      </c>
      <c r="AT1002" s="3" t="s">
        <v>209</v>
      </c>
      <c r="AU1002" s="6" t="str">
        <f>HYPERLINK("http://catalog.hathitrust.org/Record/000695331","HathiTrust Record")</f>
        <v>HathiTrust Record</v>
      </c>
      <c r="AV1002" s="6" t="str">
        <f>HYPERLINK("http://mcgill.on.worldcat.org/oclc/2216689","Catalog Record")</f>
        <v>Catalog Record</v>
      </c>
      <c r="AW1002" s="6" t="str">
        <f>HYPERLINK("http://www.worldcat.org/oclc/2216689","WorldCat Record")</f>
        <v>WorldCat Record</v>
      </c>
      <c r="AX1002" s="3" t="s">
        <v>9755</v>
      </c>
      <c r="AY1002" s="3" t="s">
        <v>9756</v>
      </c>
      <c r="AZ1002" s="3" t="s">
        <v>9757</v>
      </c>
      <c r="BA1002" s="3" t="s">
        <v>9757</v>
      </c>
      <c r="BB1002" s="3" t="s">
        <v>9758</v>
      </c>
      <c r="BC1002" s="3" t="s">
        <v>77</v>
      </c>
      <c r="BD1002" s="3" t="s">
        <v>78</v>
      </c>
      <c r="BE1002" s="3" t="s">
        <v>9759</v>
      </c>
      <c r="BF1002" s="3" t="s">
        <v>9758</v>
      </c>
      <c r="BG1002" s="3" t="s">
        <v>9760</v>
      </c>
    </row>
    <row r="1003" spans="1:59" ht="58" x14ac:dyDescent="0.35">
      <c r="A1003" s="2" t="s">
        <v>59</v>
      </c>
      <c r="B1003" s="2" t="s">
        <v>60</v>
      </c>
      <c r="C1003" s="2" t="s">
        <v>9761</v>
      </c>
      <c r="D1003" s="2" t="s">
        <v>9762</v>
      </c>
      <c r="E1003" s="2" t="s">
        <v>9763</v>
      </c>
      <c r="G1003" s="3" t="s">
        <v>65</v>
      </c>
      <c r="I1003" s="3" t="s">
        <v>65</v>
      </c>
      <c r="J1003" s="3" t="s">
        <v>65</v>
      </c>
      <c r="K1003" s="3" t="s">
        <v>66</v>
      </c>
      <c r="L1003" s="2" t="s">
        <v>9764</v>
      </c>
      <c r="M1003" s="2" t="s">
        <v>9765</v>
      </c>
      <c r="N1003" s="3" t="s">
        <v>1932</v>
      </c>
      <c r="P1003" s="3" t="s">
        <v>69</v>
      </c>
      <c r="R1003" s="3" t="s">
        <v>71</v>
      </c>
      <c r="S1003" s="4">
        <v>32</v>
      </c>
      <c r="T1003" s="4">
        <v>32</v>
      </c>
      <c r="U1003" s="5" t="s">
        <v>9766</v>
      </c>
      <c r="V1003" s="5" t="s">
        <v>9766</v>
      </c>
      <c r="W1003" s="5" t="s">
        <v>72</v>
      </c>
      <c r="X1003" s="5" t="s">
        <v>72</v>
      </c>
      <c r="Y1003" s="4">
        <v>245</v>
      </c>
      <c r="Z1003" s="4">
        <v>16</v>
      </c>
      <c r="AA1003" s="4">
        <v>16</v>
      </c>
      <c r="AB1003" s="4">
        <v>2</v>
      </c>
      <c r="AC1003" s="4">
        <v>2</v>
      </c>
      <c r="AD1003" s="4">
        <v>82</v>
      </c>
      <c r="AE1003" s="4">
        <v>82</v>
      </c>
      <c r="AF1003" s="4">
        <v>1</v>
      </c>
      <c r="AG1003" s="4">
        <v>1</v>
      </c>
      <c r="AH1003" s="4">
        <v>76</v>
      </c>
      <c r="AI1003" s="4">
        <v>76</v>
      </c>
      <c r="AJ1003" s="4">
        <v>8</v>
      </c>
      <c r="AK1003" s="4">
        <v>8</v>
      </c>
      <c r="AL1003" s="4">
        <v>44</v>
      </c>
      <c r="AM1003" s="4">
        <v>44</v>
      </c>
      <c r="AN1003" s="4">
        <v>0</v>
      </c>
      <c r="AO1003" s="4">
        <v>0</v>
      </c>
      <c r="AP1003" s="4">
        <v>11</v>
      </c>
      <c r="AQ1003" s="4">
        <v>11</v>
      </c>
      <c r="AR1003" s="3" t="s">
        <v>65</v>
      </c>
      <c r="AS1003" s="3" t="s">
        <v>65</v>
      </c>
      <c r="AT1003" s="3" t="s">
        <v>209</v>
      </c>
      <c r="AU1003" s="6" t="str">
        <f>HYPERLINK("http://catalog.hathitrust.org/Record/002895355","HathiTrust Record")</f>
        <v>HathiTrust Record</v>
      </c>
      <c r="AV1003" s="6" t="str">
        <f>HYPERLINK("http://mcgill.on.worldcat.org/oclc/24703015","Catalog Record")</f>
        <v>Catalog Record</v>
      </c>
      <c r="AW1003" s="6" t="str">
        <f>HYPERLINK("http://www.worldcat.org/oclc/24703015","WorldCat Record")</f>
        <v>WorldCat Record</v>
      </c>
      <c r="AX1003" s="3" t="s">
        <v>9767</v>
      </c>
      <c r="AY1003" s="3" t="s">
        <v>9768</v>
      </c>
      <c r="AZ1003" s="3" t="s">
        <v>9769</v>
      </c>
      <c r="BA1003" s="3" t="s">
        <v>9769</v>
      </c>
      <c r="BB1003" s="3" t="s">
        <v>9770</v>
      </c>
      <c r="BC1003" s="3" t="s">
        <v>77</v>
      </c>
      <c r="BD1003" s="3" t="s">
        <v>78</v>
      </c>
      <c r="BE1003" s="3" t="s">
        <v>9771</v>
      </c>
      <c r="BF1003" s="3" t="s">
        <v>9770</v>
      </c>
      <c r="BG1003" s="3" t="s">
        <v>9772</v>
      </c>
    </row>
    <row r="1004" spans="1:59" ht="72.5" x14ac:dyDescent="0.35">
      <c r="A1004" s="2" t="s">
        <v>59</v>
      </c>
      <c r="B1004" s="2" t="s">
        <v>60</v>
      </c>
      <c r="C1004" s="2" t="s">
        <v>9775</v>
      </c>
      <c r="D1004" s="2" t="s">
        <v>9776</v>
      </c>
      <c r="E1004" s="2" t="s">
        <v>9777</v>
      </c>
      <c r="G1004" s="3" t="s">
        <v>65</v>
      </c>
      <c r="I1004" s="3" t="s">
        <v>65</v>
      </c>
      <c r="J1004" s="3" t="s">
        <v>65</v>
      </c>
      <c r="K1004" s="3" t="s">
        <v>66</v>
      </c>
      <c r="L1004" s="2" t="s">
        <v>9778</v>
      </c>
      <c r="M1004" s="2" t="s">
        <v>9779</v>
      </c>
      <c r="N1004" s="3" t="s">
        <v>126</v>
      </c>
      <c r="O1004" s="2" t="s">
        <v>365</v>
      </c>
      <c r="P1004" s="3" t="s">
        <v>140</v>
      </c>
      <c r="R1004" s="3" t="s">
        <v>71</v>
      </c>
      <c r="S1004" s="4">
        <v>0</v>
      </c>
      <c r="T1004" s="4">
        <v>0</v>
      </c>
      <c r="W1004" s="5" t="s">
        <v>72</v>
      </c>
      <c r="X1004" s="5" t="s">
        <v>72</v>
      </c>
      <c r="Y1004" s="4">
        <v>36</v>
      </c>
      <c r="Z1004" s="4">
        <v>3</v>
      </c>
      <c r="AA1004" s="4">
        <v>3</v>
      </c>
      <c r="AB1004" s="4">
        <v>1</v>
      </c>
      <c r="AC1004" s="4">
        <v>1</v>
      </c>
      <c r="AD1004" s="4">
        <v>24</v>
      </c>
      <c r="AE1004" s="4">
        <v>24</v>
      </c>
      <c r="AF1004" s="4">
        <v>0</v>
      </c>
      <c r="AG1004" s="4">
        <v>0</v>
      </c>
      <c r="AH1004" s="4">
        <v>23</v>
      </c>
      <c r="AI1004" s="4">
        <v>23</v>
      </c>
      <c r="AJ1004" s="4">
        <v>1</v>
      </c>
      <c r="AK1004" s="4">
        <v>1</v>
      </c>
      <c r="AL1004" s="4">
        <v>19</v>
      </c>
      <c r="AM1004" s="4">
        <v>19</v>
      </c>
      <c r="AN1004" s="4">
        <v>0</v>
      </c>
      <c r="AO1004" s="4">
        <v>0</v>
      </c>
      <c r="AP1004" s="4">
        <v>1</v>
      </c>
      <c r="AQ1004" s="4">
        <v>1</v>
      </c>
      <c r="AR1004" s="3" t="s">
        <v>65</v>
      </c>
      <c r="AS1004" s="3" t="s">
        <v>65</v>
      </c>
      <c r="AT1004" s="3" t="s">
        <v>65</v>
      </c>
      <c r="AV1004" s="6" t="str">
        <f>HYPERLINK("http://mcgill.on.worldcat.org/oclc/726828044","Catalog Record")</f>
        <v>Catalog Record</v>
      </c>
      <c r="AW1004" s="6" t="str">
        <f>HYPERLINK("http://www.worldcat.org/oclc/726828044","WorldCat Record")</f>
        <v>WorldCat Record</v>
      </c>
      <c r="AX1004" s="3" t="s">
        <v>9780</v>
      </c>
      <c r="AY1004" s="3" t="s">
        <v>9781</v>
      </c>
      <c r="AZ1004" s="3" t="s">
        <v>9782</v>
      </c>
      <c r="BA1004" s="3" t="s">
        <v>9782</v>
      </c>
      <c r="BB1004" s="3" t="s">
        <v>9783</v>
      </c>
      <c r="BC1004" s="3" t="s">
        <v>77</v>
      </c>
      <c r="BD1004" s="3" t="s">
        <v>78</v>
      </c>
      <c r="BE1004" s="3" t="s">
        <v>9784</v>
      </c>
      <c r="BF1004" s="3" t="s">
        <v>9783</v>
      </c>
      <c r="BG1004" s="3" t="s">
        <v>9785</v>
      </c>
    </row>
    <row r="1005" spans="1:59" ht="58" x14ac:dyDescent="0.35">
      <c r="A1005" s="2" t="s">
        <v>59</v>
      </c>
      <c r="B1005" s="2" t="s">
        <v>60</v>
      </c>
      <c r="C1005" s="2" t="s">
        <v>9786</v>
      </c>
      <c r="D1005" s="2" t="s">
        <v>9787</v>
      </c>
      <c r="E1005" s="2" t="s">
        <v>9788</v>
      </c>
      <c r="G1005" s="3" t="s">
        <v>65</v>
      </c>
      <c r="I1005" s="3" t="s">
        <v>65</v>
      </c>
      <c r="J1005" s="3" t="s">
        <v>65</v>
      </c>
      <c r="K1005" s="3" t="s">
        <v>66</v>
      </c>
      <c r="M1005" s="2" t="s">
        <v>9789</v>
      </c>
      <c r="N1005" s="3" t="s">
        <v>139</v>
      </c>
      <c r="P1005" s="3" t="s">
        <v>140</v>
      </c>
      <c r="Q1005" s="2" t="s">
        <v>9790</v>
      </c>
      <c r="R1005" s="3" t="s">
        <v>71</v>
      </c>
      <c r="S1005" s="4">
        <v>0</v>
      </c>
      <c r="T1005" s="4">
        <v>0</v>
      </c>
      <c r="W1005" s="5" t="s">
        <v>72</v>
      </c>
      <c r="X1005" s="5" t="s">
        <v>72</v>
      </c>
      <c r="Y1005" s="4">
        <v>17</v>
      </c>
      <c r="Z1005" s="4">
        <v>1</v>
      </c>
      <c r="AA1005" s="4">
        <v>1</v>
      </c>
      <c r="AB1005" s="4">
        <v>1</v>
      </c>
      <c r="AC1005" s="4">
        <v>1</v>
      </c>
      <c r="AD1005" s="4">
        <v>3</v>
      </c>
      <c r="AE1005" s="4">
        <v>3</v>
      </c>
      <c r="AF1005" s="4">
        <v>0</v>
      </c>
      <c r="AG1005" s="4">
        <v>0</v>
      </c>
      <c r="AH1005" s="4">
        <v>2</v>
      </c>
      <c r="AI1005" s="4">
        <v>2</v>
      </c>
      <c r="AJ1005" s="4">
        <v>0</v>
      </c>
      <c r="AK1005" s="4">
        <v>0</v>
      </c>
      <c r="AL1005" s="4">
        <v>2</v>
      </c>
      <c r="AM1005" s="4">
        <v>2</v>
      </c>
      <c r="AN1005" s="4">
        <v>0</v>
      </c>
      <c r="AO1005" s="4">
        <v>0</v>
      </c>
      <c r="AP1005" s="4">
        <v>0</v>
      </c>
      <c r="AQ1005" s="4">
        <v>0</v>
      </c>
      <c r="AR1005" s="3" t="s">
        <v>65</v>
      </c>
      <c r="AS1005" s="3" t="s">
        <v>65</v>
      </c>
      <c r="AT1005" s="3" t="s">
        <v>65</v>
      </c>
      <c r="AV1005" s="6" t="str">
        <f>HYPERLINK("http://mcgill.on.worldcat.org/oclc/796042301","Catalog Record")</f>
        <v>Catalog Record</v>
      </c>
      <c r="AW1005" s="6" t="str">
        <f>HYPERLINK("http://www.worldcat.org/oclc/796042301","WorldCat Record")</f>
        <v>WorldCat Record</v>
      </c>
      <c r="AX1005" s="3" t="s">
        <v>9791</v>
      </c>
      <c r="AY1005" s="3" t="s">
        <v>9792</v>
      </c>
      <c r="AZ1005" s="3" t="s">
        <v>9793</v>
      </c>
      <c r="BA1005" s="3" t="s">
        <v>9793</v>
      </c>
      <c r="BB1005" s="3" t="s">
        <v>9794</v>
      </c>
      <c r="BC1005" s="3" t="s">
        <v>77</v>
      </c>
      <c r="BD1005" s="3" t="s">
        <v>78</v>
      </c>
      <c r="BE1005" s="3" t="s">
        <v>9795</v>
      </c>
      <c r="BF1005" s="3" t="s">
        <v>9794</v>
      </c>
      <c r="BG1005" s="3" t="s">
        <v>9796</v>
      </c>
    </row>
    <row r="1006" spans="1:59" ht="87" x14ac:dyDescent="0.35">
      <c r="A1006" s="2" t="s">
        <v>59</v>
      </c>
      <c r="B1006" s="2" t="s">
        <v>60</v>
      </c>
      <c r="C1006" s="2" t="s">
        <v>9797</v>
      </c>
      <c r="D1006" s="2" t="s">
        <v>9798</v>
      </c>
      <c r="E1006" s="2" t="s">
        <v>9799</v>
      </c>
      <c r="G1006" s="3" t="s">
        <v>65</v>
      </c>
      <c r="I1006" s="3" t="s">
        <v>65</v>
      </c>
      <c r="J1006" s="3" t="s">
        <v>65</v>
      </c>
      <c r="K1006" s="3" t="s">
        <v>66</v>
      </c>
      <c r="L1006" s="2" t="s">
        <v>9800</v>
      </c>
      <c r="M1006" s="2" t="s">
        <v>9801</v>
      </c>
      <c r="N1006" s="3" t="s">
        <v>525</v>
      </c>
      <c r="P1006" s="3" t="s">
        <v>140</v>
      </c>
      <c r="Q1006" s="2" t="s">
        <v>9802</v>
      </c>
      <c r="R1006" s="3" t="s">
        <v>71</v>
      </c>
      <c r="S1006" s="4">
        <v>1</v>
      </c>
      <c r="T1006" s="4">
        <v>1</v>
      </c>
      <c r="U1006" s="5" t="s">
        <v>8681</v>
      </c>
      <c r="V1006" s="5" t="s">
        <v>8681</v>
      </c>
      <c r="W1006" s="5" t="s">
        <v>72</v>
      </c>
      <c r="X1006" s="5" t="s">
        <v>72</v>
      </c>
      <c r="Y1006" s="4">
        <v>80</v>
      </c>
      <c r="Z1006" s="4">
        <v>5</v>
      </c>
      <c r="AA1006" s="4">
        <v>5</v>
      </c>
      <c r="AB1006" s="4">
        <v>1</v>
      </c>
      <c r="AC1006" s="4">
        <v>1</v>
      </c>
      <c r="AD1006" s="4">
        <v>44</v>
      </c>
      <c r="AE1006" s="4">
        <v>44</v>
      </c>
      <c r="AF1006" s="4">
        <v>0</v>
      </c>
      <c r="AG1006" s="4">
        <v>0</v>
      </c>
      <c r="AH1006" s="4">
        <v>41</v>
      </c>
      <c r="AI1006" s="4">
        <v>41</v>
      </c>
      <c r="AJ1006" s="4">
        <v>3</v>
      </c>
      <c r="AK1006" s="4">
        <v>3</v>
      </c>
      <c r="AL1006" s="4">
        <v>34</v>
      </c>
      <c r="AM1006" s="4">
        <v>34</v>
      </c>
      <c r="AN1006" s="4">
        <v>0</v>
      </c>
      <c r="AO1006" s="4">
        <v>0</v>
      </c>
      <c r="AP1006" s="4">
        <v>3</v>
      </c>
      <c r="AQ1006" s="4">
        <v>3</v>
      </c>
      <c r="AR1006" s="3" t="s">
        <v>65</v>
      </c>
      <c r="AS1006" s="3" t="s">
        <v>65</v>
      </c>
      <c r="AT1006" s="3" t="s">
        <v>209</v>
      </c>
      <c r="AU1006" s="6" t="str">
        <f>HYPERLINK("http://catalog.hathitrust.org/Record/004963747","HathiTrust Record")</f>
        <v>HathiTrust Record</v>
      </c>
      <c r="AV1006" s="6" t="str">
        <f>HYPERLINK("http://mcgill.on.worldcat.org/oclc/57754045","Catalog Record")</f>
        <v>Catalog Record</v>
      </c>
      <c r="AW1006" s="6" t="str">
        <f>HYPERLINK("http://www.worldcat.org/oclc/57754045","WorldCat Record")</f>
        <v>WorldCat Record</v>
      </c>
      <c r="AX1006" s="3" t="s">
        <v>9803</v>
      </c>
      <c r="AY1006" s="3" t="s">
        <v>9804</v>
      </c>
      <c r="AZ1006" s="3" t="s">
        <v>9805</v>
      </c>
      <c r="BA1006" s="3" t="s">
        <v>9805</v>
      </c>
      <c r="BB1006" s="3" t="s">
        <v>9806</v>
      </c>
      <c r="BC1006" s="3" t="s">
        <v>77</v>
      </c>
      <c r="BD1006" s="3" t="s">
        <v>78</v>
      </c>
      <c r="BE1006" s="3" t="s">
        <v>9807</v>
      </c>
      <c r="BF1006" s="3" t="s">
        <v>9806</v>
      </c>
      <c r="BG1006" s="3" t="s">
        <v>9808</v>
      </c>
    </row>
    <row r="1007" spans="1:59" ht="58" x14ac:dyDescent="0.35">
      <c r="A1007" s="2" t="s">
        <v>59</v>
      </c>
      <c r="B1007" s="2" t="s">
        <v>60</v>
      </c>
      <c r="C1007" s="2" t="s">
        <v>9809</v>
      </c>
      <c r="D1007" s="2" t="s">
        <v>9810</v>
      </c>
      <c r="E1007" s="2" t="s">
        <v>9811</v>
      </c>
      <c r="G1007" s="3" t="s">
        <v>65</v>
      </c>
      <c r="I1007" s="3" t="s">
        <v>65</v>
      </c>
      <c r="J1007" s="3" t="s">
        <v>65</v>
      </c>
      <c r="K1007" s="3" t="s">
        <v>66</v>
      </c>
      <c r="L1007" s="2" t="s">
        <v>9812</v>
      </c>
      <c r="M1007" s="2" t="s">
        <v>9813</v>
      </c>
      <c r="N1007" s="3" t="s">
        <v>113</v>
      </c>
      <c r="P1007" s="3" t="s">
        <v>69</v>
      </c>
      <c r="R1007" s="3" t="s">
        <v>71</v>
      </c>
      <c r="S1007" s="4">
        <v>1</v>
      </c>
      <c r="T1007" s="4">
        <v>1</v>
      </c>
      <c r="U1007" s="5" t="s">
        <v>9814</v>
      </c>
      <c r="V1007" s="5" t="s">
        <v>9814</v>
      </c>
      <c r="W1007" s="5" t="s">
        <v>72</v>
      </c>
      <c r="X1007" s="5" t="s">
        <v>72</v>
      </c>
      <c r="Y1007" s="4">
        <v>89</v>
      </c>
      <c r="Z1007" s="4">
        <v>8</v>
      </c>
      <c r="AA1007" s="4">
        <v>16</v>
      </c>
      <c r="AB1007" s="4">
        <v>1</v>
      </c>
      <c r="AC1007" s="4">
        <v>5</v>
      </c>
      <c r="AD1007" s="4">
        <v>49</v>
      </c>
      <c r="AE1007" s="4">
        <v>57</v>
      </c>
      <c r="AF1007" s="4">
        <v>0</v>
      </c>
      <c r="AG1007" s="4">
        <v>1</v>
      </c>
      <c r="AH1007" s="4">
        <v>43</v>
      </c>
      <c r="AI1007" s="4">
        <v>50</v>
      </c>
      <c r="AJ1007" s="4">
        <v>6</v>
      </c>
      <c r="AK1007" s="4">
        <v>9</v>
      </c>
      <c r="AL1007" s="4">
        <v>31</v>
      </c>
      <c r="AM1007" s="4">
        <v>34</v>
      </c>
      <c r="AN1007" s="4">
        <v>0</v>
      </c>
      <c r="AO1007" s="4">
        <v>0</v>
      </c>
      <c r="AP1007" s="4">
        <v>7</v>
      </c>
      <c r="AQ1007" s="4">
        <v>11</v>
      </c>
      <c r="AR1007" s="3" t="s">
        <v>65</v>
      </c>
      <c r="AS1007" s="3" t="s">
        <v>65</v>
      </c>
      <c r="AT1007" s="3" t="s">
        <v>65</v>
      </c>
      <c r="AV1007" s="6" t="str">
        <f>HYPERLINK("http://mcgill.on.worldcat.org/oclc/624400379","Catalog Record")</f>
        <v>Catalog Record</v>
      </c>
      <c r="AW1007" s="6" t="str">
        <f>HYPERLINK("http://www.worldcat.org/oclc/624400379","WorldCat Record")</f>
        <v>WorldCat Record</v>
      </c>
      <c r="AX1007" s="3" t="s">
        <v>9815</v>
      </c>
      <c r="AY1007" s="3" t="s">
        <v>9816</v>
      </c>
      <c r="AZ1007" s="3" t="s">
        <v>9817</v>
      </c>
      <c r="BA1007" s="3" t="s">
        <v>9817</v>
      </c>
      <c r="BB1007" s="3" t="s">
        <v>9818</v>
      </c>
      <c r="BC1007" s="3" t="s">
        <v>77</v>
      </c>
      <c r="BD1007" s="3" t="s">
        <v>78</v>
      </c>
      <c r="BE1007" s="3" t="s">
        <v>9819</v>
      </c>
      <c r="BF1007" s="3" t="s">
        <v>9818</v>
      </c>
      <c r="BG1007" s="3" t="s">
        <v>9820</v>
      </c>
    </row>
    <row r="1008" spans="1:59" ht="58" x14ac:dyDescent="0.35">
      <c r="A1008" s="2" t="s">
        <v>59</v>
      </c>
      <c r="B1008" s="2" t="s">
        <v>60</v>
      </c>
      <c r="C1008" s="2" t="s">
        <v>9821</v>
      </c>
      <c r="D1008" s="2" t="s">
        <v>9822</v>
      </c>
      <c r="E1008" s="2" t="s">
        <v>9823</v>
      </c>
      <c r="G1008" s="3" t="s">
        <v>65</v>
      </c>
      <c r="I1008" s="3" t="s">
        <v>209</v>
      </c>
      <c r="J1008" s="3" t="s">
        <v>65</v>
      </c>
      <c r="K1008" s="3" t="s">
        <v>66</v>
      </c>
      <c r="M1008" s="2" t="s">
        <v>9824</v>
      </c>
      <c r="N1008" s="3" t="s">
        <v>5060</v>
      </c>
      <c r="P1008" s="3" t="s">
        <v>69</v>
      </c>
      <c r="Q1008" s="2" t="s">
        <v>9825</v>
      </c>
      <c r="R1008" s="3" t="s">
        <v>71</v>
      </c>
      <c r="S1008" s="4">
        <v>25</v>
      </c>
      <c r="T1008" s="4">
        <v>39</v>
      </c>
      <c r="U1008" s="5" t="s">
        <v>9826</v>
      </c>
      <c r="V1008" s="5" t="s">
        <v>9827</v>
      </c>
      <c r="W1008" s="5" t="s">
        <v>72</v>
      </c>
      <c r="X1008" s="5" t="s">
        <v>72</v>
      </c>
      <c r="Y1008" s="4">
        <v>2059</v>
      </c>
      <c r="Z1008" s="4">
        <v>67</v>
      </c>
      <c r="AA1008" s="4">
        <v>67</v>
      </c>
      <c r="AB1008" s="4">
        <v>5</v>
      </c>
      <c r="AC1008" s="4">
        <v>5</v>
      </c>
      <c r="AD1008" s="4">
        <v>137</v>
      </c>
      <c r="AE1008" s="4">
        <v>138</v>
      </c>
      <c r="AF1008" s="4">
        <v>2</v>
      </c>
      <c r="AG1008" s="4">
        <v>2</v>
      </c>
      <c r="AH1008" s="4">
        <v>106</v>
      </c>
      <c r="AI1008" s="4">
        <v>107</v>
      </c>
      <c r="AJ1008" s="4">
        <v>22</v>
      </c>
      <c r="AK1008" s="4">
        <v>22</v>
      </c>
      <c r="AL1008" s="4">
        <v>58</v>
      </c>
      <c r="AM1008" s="4">
        <v>59</v>
      </c>
      <c r="AN1008" s="4">
        <v>0</v>
      </c>
      <c r="AO1008" s="4">
        <v>0</v>
      </c>
      <c r="AP1008" s="4">
        <v>38</v>
      </c>
      <c r="AQ1008" s="4">
        <v>38</v>
      </c>
      <c r="AR1008" s="3" t="s">
        <v>65</v>
      </c>
      <c r="AS1008" s="3" t="s">
        <v>65</v>
      </c>
      <c r="AT1008" s="3" t="s">
        <v>209</v>
      </c>
      <c r="AU1008" s="6" t="str">
        <f>HYPERLINK("http://catalog.hathitrust.org/Record/001015728","HathiTrust Record")</f>
        <v>HathiTrust Record</v>
      </c>
      <c r="AV1008" s="6" t="str">
        <f>HYPERLINK("http://mcgill.on.worldcat.org/oclc/711428","Catalog Record")</f>
        <v>Catalog Record</v>
      </c>
      <c r="AW1008" s="6" t="str">
        <f>HYPERLINK("http://www.worldcat.org/oclc/711428","WorldCat Record")</f>
        <v>WorldCat Record</v>
      </c>
      <c r="AX1008" s="3" t="s">
        <v>9828</v>
      </c>
      <c r="AY1008" s="3" t="s">
        <v>9829</v>
      </c>
      <c r="AZ1008" s="3" t="s">
        <v>9830</v>
      </c>
      <c r="BA1008" s="3" t="s">
        <v>9830</v>
      </c>
      <c r="BB1008" s="3" t="s">
        <v>9831</v>
      </c>
      <c r="BC1008" s="3" t="s">
        <v>77</v>
      </c>
      <c r="BD1008" s="3" t="s">
        <v>78</v>
      </c>
      <c r="BF1008" s="3" t="s">
        <v>9831</v>
      </c>
      <c r="BG1008" s="3" t="s">
        <v>9832</v>
      </c>
    </row>
    <row r="1009" spans="1:59" ht="58" x14ac:dyDescent="0.35">
      <c r="A1009" s="2" t="s">
        <v>59</v>
      </c>
      <c r="B1009" s="2" t="s">
        <v>60</v>
      </c>
      <c r="C1009" s="2" t="s">
        <v>9821</v>
      </c>
      <c r="D1009" s="2" t="s">
        <v>9822</v>
      </c>
      <c r="E1009" s="2" t="s">
        <v>9823</v>
      </c>
      <c r="G1009" s="3" t="s">
        <v>65</v>
      </c>
      <c r="I1009" s="3" t="s">
        <v>209</v>
      </c>
      <c r="J1009" s="3" t="s">
        <v>65</v>
      </c>
      <c r="K1009" s="3" t="s">
        <v>66</v>
      </c>
      <c r="M1009" s="2" t="s">
        <v>9824</v>
      </c>
      <c r="N1009" s="3" t="s">
        <v>5060</v>
      </c>
      <c r="P1009" s="3" t="s">
        <v>69</v>
      </c>
      <c r="Q1009" s="2" t="s">
        <v>9825</v>
      </c>
      <c r="R1009" s="3" t="s">
        <v>71</v>
      </c>
      <c r="S1009" s="4">
        <v>14</v>
      </c>
      <c r="T1009" s="4">
        <v>39</v>
      </c>
      <c r="U1009" s="5" t="s">
        <v>9827</v>
      </c>
      <c r="V1009" s="5" t="s">
        <v>9827</v>
      </c>
      <c r="W1009" s="5" t="s">
        <v>72</v>
      </c>
      <c r="X1009" s="5" t="s">
        <v>72</v>
      </c>
      <c r="Y1009" s="4">
        <v>2059</v>
      </c>
      <c r="Z1009" s="4">
        <v>67</v>
      </c>
      <c r="AA1009" s="4">
        <v>67</v>
      </c>
      <c r="AB1009" s="4">
        <v>5</v>
      </c>
      <c r="AC1009" s="4">
        <v>5</v>
      </c>
      <c r="AD1009" s="4">
        <v>137</v>
      </c>
      <c r="AE1009" s="4">
        <v>138</v>
      </c>
      <c r="AF1009" s="4">
        <v>2</v>
      </c>
      <c r="AG1009" s="4">
        <v>2</v>
      </c>
      <c r="AH1009" s="4">
        <v>106</v>
      </c>
      <c r="AI1009" s="4">
        <v>107</v>
      </c>
      <c r="AJ1009" s="4">
        <v>22</v>
      </c>
      <c r="AK1009" s="4">
        <v>22</v>
      </c>
      <c r="AL1009" s="4">
        <v>58</v>
      </c>
      <c r="AM1009" s="4">
        <v>59</v>
      </c>
      <c r="AN1009" s="4">
        <v>0</v>
      </c>
      <c r="AO1009" s="4">
        <v>0</v>
      </c>
      <c r="AP1009" s="4">
        <v>38</v>
      </c>
      <c r="AQ1009" s="4">
        <v>38</v>
      </c>
      <c r="AR1009" s="3" t="s">
        <v>65</v>
      </c>
      <c r="AS1009" s="3" t="s">
        <v>65</v>
      </c>
      <c r="AT1009" s="3" t="s">
        <v>209</v>
      </c>
      <c r="AU1009" s="6" t="str">
        <f>HYPERLINK("http://catalog.hathitrust.org/Record/001015728","HathiTrust Record")</f>
        <v>HathiTrust Record</v>
      </c>
      <c r="AV1009" s="6" t="str">
        <f>HYPERLINK("http://mcgill.on.worldcat.org/oclc/711428","Catalog Record")</f>
        <v>Catalog Record</v>
      </c>
      <c r="AW1009" s="6" t="str">
        <f>HYPERLINK("http://www.worldcat.org/oclc/711428","WorldCat Record")</f>
        <v>WorldCat Record</v>
      </c>
      <c r="AX1009" s="3" t="s">
        <v>9828</v>
      </c>
      <c r="AY1009" s="3" t="s">
        <v>9829</v>
      </c>
      <c r="AZ1009" s="3" t="s">
        <v>9830</v>
      </c>
      <c r="BA1009" s="3" t="s">
        <v>9830</v>
      </c>
      <c r="BB1009" s="3" t="s">
        <v>9833</v>
      </c>
      <c r="BC1009" s="3" t="s">
        <v>77</v>
      </c>
      <c r="BD1009" s="3" t="s">
        <v>78</v>
      </c>
      <c r="BF1009" s="3" t="s">
        <v>9833</v>
      </c>
      <c r="BG1009" s="3" t="s">
        <v>9834</v>
      </c>
    </row>
    <row r="1010" spans="1:59" ht="58" x14ac:dyDescent="0.35">
      <c r="A1010" s="2" t="s">
        <v>59</v>
      </c>
      <c r="B1010" s="2" t="s">
        <v>60</v>
      </c>
      <c r="C1010" s="2" t="s">
        <v>9835</v>
      </c>
      <c r="D1010" s="2" t="s">
        <v>9836</v>
      </c>
      <c r="E1010" s="2" t="s">
        <v>9837</v>
      </c>
      <c r="G1010" s="3" t="s">
        <v>65</v>
      </c>
      <c r="I1010" s="3" t="s">
        <v>209</v>
      </c>
      <c r="J1010" s="3" t="s">
        <v>65</v>
      </c>
      <c r="K1010" s="3" t="s">
        <v>66</v>
      </c>
      <c r="M1010" s="2" t="s">
        <v>9838</v>
      </c>
      <c r="N1010" s="3" t="s">
        <v>311</v>
      </c>
      <c r="P1010" s="3" t="s">
        <v>69</v>
      </c>
      <c r="R1010" s="3" t="s">
        <v>71</v>
      </c>
      <c r="S1010" s="4">
        <v>6</v>
      </c>
      <c r="T1010" s="4">
        <v>16</v>
      </c>
      <c r="U1010" s="5" t="s">
        <v>9839</v>
      </c>
      <c r="V1010" s="5" t="s">
        <v>9840</v>
      </c>
      <c r="W1010" s="5" t="s">
        <v>72</v>
      </c>
      <c r="X1010" s="5" t="s">
        <v>72</v>
      </c>
      <c r="Y1010" s="4">
        <v>796</v>
      </c>
      <c r="Z1010" s="4">
        <v>36</v>
      </c>
      <c r="AA1010" s="4">
        <v>38</v>
      </c>
      <c r="AB1010" s="4">
        <v>1</v>
      </c>
      <c r="AC1010" s="4">
        <v>3</v>
      </c>
      <c r="AD1010" s="4">
        <v>116</v>
      </c>
      <c r="AE1010" s="4">
        <v>119</v>
      </c>
      <c r="AF1010" s="4">
        <v>0</v>
      </c>
      <c r="AG1010" s="4">
        <v>2</v>
      </c>
      <c r="AH1010" s="4">
        <v>98</v>
      </c>
      <c r="AI1010" s="4">
        <v>99</v>
      </c>
      <c r="AJ1010" s="4">
        <v>19</v>
      </c>
      <c r="AK1010" s="4">
        <v>21</v>
      </c>
      <c r="AL1010" s="4">
        <v>52</v>
      </c>
      <c r="AM1010" s="4">
        <v>53</v>
      </c>
      <c r="AN1010" s="4">
        <v>0</v>
      </c>
      <c r="AO1010" s="4">
        <v>0</v>
      </c>
      <c r="AP1010" s="4">
        <v>24</v>
      </c>
      <c r="AQ1010" s="4">
        <v>25</v>
      </c>
      <c r="AR1010" s="3" t="s">
        <v>65</v>
      </c>
      <c r="AS1010" s="3" t="s">
        <v>65</v>
      </c>
      <c r="AT1010" s="3" t="s">
        <v>65</v>
      </c>
      <c r="AV1010" s="6" t="str">
        <f>HYPERLINK("http://mcgill.on.worldcat.org/oclc/343887","Catalog Record")</f>
        <v>Catalog Record</v>
      </c>
      <c r="AW1010" s="6" t="str">
        <f>HYPERLINK("http://www.worldcat.org/oclc/343887","WorldCat Record")</f>
        <v>WorldCat Record</v>
      </c>
      <c r="AX1010" s="3" t="s">
        <v>9841</v>
      </c>
      <c r="AY1010" s="3" t="s">
        <v>9842</v>
      </c>
      <c r="AZ1010" s="3" t="s">
        <v>9843</v>
      </c>
      <c r="BA1010" s="3" t="s">
        <v>9843</v>
      </c>
      <c r="BB1010" s="3" t="s">
        <v>9844</v>
      </c>
      <c r="BC1010" s="3" t="s">
        <v>77</v>
      </c>
      <c r="BD1010" s="3" t="s">
        <v>78</v>
      </c>
      <c r="BF1010" s="3" t="s">
        <v>9844</v>
      </c>
      <c r="BG1010" s="3" t="s">
        <v>9845</v>
      </c>
    </row>
    <row r="1011" spans="1:59" ht="58" x14ac:dyDescent="0.35">
      <c r="A1011" s="2" t="s">
        <v>59</v>
      </c>
      <c r="B1011" s="2" t="s">
        <v>60</v>
      </c>
      <c r="C1011" s="2" t="s">
        <v>9835</v>
      </c>
      <c r="D1011" s="2" t="s">
        <v>9836</v>
      </c>
      <c r="E1011" s="2" t="s">
        <v>9837</v>
      </c>
      <c r="G1011" s="3" t="s">
        <v>65</v>
      </c>
      <c r="I1011" s="3" t="s">
        <v>209</v>
      </c>
      <c r="J1011" s="3" t="s">
        <v>65</v>
      </c>
      <c r="K1011" s="3" t="s">
        <v>66</v>
      </c>
      <c r="M1011" s="2" t="s">
        <v>9838</v>
      </c>
      <c r="N1011" s="3" t="s">
        <v>311</v>
      </c>
      <c r="P1011" s="3" t="s">
        <v>69</v>
      </c>
      <c r="R1011" s="3" t="s">
        <v>71</v>
      </c>
      <c r="S1011" s="4">
        <v>5</v>
      </c>
      <c r="T1011" s="4">
        <v>16</v>
      </c>
      <c r="U1011" s="5" t="s">
        <v>9846</v>
      </c>
      <c r="V1011" s="5" t="s">
        <v>9840</v>
      </c>
      <c r="W1011" s="5" t="s">
        <v>72</v>
      </c>
      <c r="X1011" s="5" t="s">
        <v>72</v>
      </c>
      <c r="Y1011" s="4">
        <v>796</v>
      </c>
      <c r="Z1011" s="4">
        <v>36</v>
      </c>
      <c r="AA1011" s="4">
        <v>38</v>
      </c>
      <c r="AB1011" s="4">
        <v>1</v>
      </c>
      <c r="AC1011" s="4">
        <v>3</v>
      </c>
      <c r="AD1011" s="4">
        <v>116</v>
      </c>
      <c r="AE1011" s="4">
        <v>119</v>
      </c>
      <c r="AF1011" s="4">
        <v>0</v>
      </c>
      <c r="AG1011" s="4">
        <v>2</v>
      </c>
      <c r="AH1011" s="4">
        <v>98</v>
      </c>
      <c r="AI1011" s="4">
        <v>99</v>
      </c>
      <c r="AJ1011" s="4">
        <v>19</v>
      </c>
      <c r="AK1011" s="4">
        <v>21</v>
      </c>
      <c r="AL1011" s="4">
        <v>52</v>
      </c>
      <c r="AM1011" s="4">
        <v>53</v>
      </c>
      <c r="AN1011" s="4">
        <v>0</v>
      </c>
      <c r="AO1011" s="4">
        <v>0</v>
      </c>
      <c r="AP1011" s="4">
        <v>24</v>
      </c>
      <c r="AQ1011" s="4">
        <v>25</v>
      </c>
      <c r="AR1011" s="3" t="s">
        <v>65</v>
      </c>
      <c r="AS1011" s="3" t="s">
        <v>65</v>
      </c>
      <c r="AT1011" s="3" t="s">
        <v>65</v>
      </c>
      <c r="AV1011" s="6" t="str">
        <f>HYPERLINK("http://mcgill.on.worldcat.org/oclc/343887","Catalog Record")</f>
        <v>Catalog Record</v>
      </c>
      <c r="AW1011" s="6" t="str">
        <f>HYPERLINK("http://www.worldcat.org/oclc/343887","WorldCat Record")</f>
        <v>WorldCat Record</v>
      </c>
      <c r="AX1011" s="3" t="s">
        <v>9841</v>
      </c>
      <c r="AY1011" s="3" t="s">
        <v>9842</v>
      </c>
      <c r="AZ1011" s="3" t="s">
        <v>9843</v>
      </c>
      <c r="BA1011" s="3" t="s">
        <v>9843</v>
      </c>
      <c r="BB1011" s="3" t="s">
        <v>9847</v>
      </c>
      <c r="BC1011" s="3" t="s">
        <v>77</v>
      </c>
      <c r="BD1011" s="3" t="s">
        <v>78</v>
      </c>
      <c r="BF1011" s="3" t="s">
        <v>9847</v>
      </c>
      <c r="BG1011" s="3" t="s">
        <v>9848</v>
      </c>
    </row>
    <row r="1012" spans="1:59" ht="58" x14ac:dyDescent="0.35">
      <c r="A1012" s="2" t="s">
        <v>59</v>
      </c>
      <c r="B1012" s="2" t="s">
        <v>60</v>
      </c>
      <c r="C1012" s="2" t="s">
        <v>9835</v>
      </c>
      <c r="D1012" s="2" t="s">
        <v>9836</v>
      </c>
      <c r="E1012" s="2" t="s">
        <v>9837</v>
      </c>
      <c r="G1012" s="3" t="s">
        <v>65</v>
      </c>
      <c r="I1012" s="3" t="s">
        <v>209</v>
      </c>
      <c r="J1012" s="3" t="s">
        <v>65</v>
      </c>
      <c r="K1012" s="3" t="s">
        <v>66</v>
      </c>
      <c r="M1012" s="2" t="s">
        <v>9838</v>
      </c>
      <c r="N1012" s="3" t="s">
        <v>311</v>
      </c>
      <c r="P1012" s="3" t="s">
        <v>69</v>
      </c>
      <c r="R1012" s="3" t="s">
        <v>71</v>
      </c>
      <c r="S1012" s="4">
        <v>5</v>
      </c>
      <c r="T1012" s="4">
        <v>16</v>
      </c>
      <c r="U1012" s="5" t="s">
        <v>9840</v>
      </c>
      <c r="V1012" s="5" t="s">
        <v>9840</v>
      </c>
      <c r="W1012" s="5" t="s">
        <v>72</v>
      </c>
      <c r="X1012" s="5" t="s">
        <v>72</v>
      </c>
      <c r="Y1012" s="4">
        <v>796</v>
      </c>
      <c r="Z1012" s="4">
        <v>36</v>
      </c>
      <c r="AA1012" s="4">
        <v>38</v>
      </c>
      <c r="AB1012" s="4">
        <v>1</v>
      </c>
      <c r="AC1012" s="4">
        <v>3</v>
      </c>
      <c r="AD1012" s="4">
        <v>116</v>
      </c>
      <c r="AE1012" s="4">
        <v>119</v>
      </c>
      <c r="AF1012" s="4">
        <v>0</v>
      </c>
      <c r="AG1012" s="4">
        <v>2</v>
      </c>
      <c r="AH1012" s="4">
        <v>98</v>
      </c>
      <c r="AI1012" s="4">
        <v>99</v>
      </c>
      <c r="AJ1012" s="4">
        <v>19</v>
      </c>
      <c r="AK1012" s="4">
        <v>21</v>
      </c>
      <c r="AL1012" s="4">
        <v>52</v>
      </c>
      <c r="AM1012" s="4">
        <v>53</v>
      </c>
      <c r="AN1012" s="4">
        <v>0</v>
      </c>
      <c r="AO1012" s="4">
        <v>0</v>
      </c>
      <c r="AP1012" s="4">
        <v>24</v>
      </c>
      <c r="AQ1012" s="4">
        <v>25</v>
      </c>
      <c r="AR1012" s="3" t="s">
        <v>65</v>
      </c>
      <c r="AS1012" s="3" t="s">
        <v>65</v>
      </c>
      <c r="AT1012" s="3" t="s">
        <v>65</v>
      </c>
      <c r="AV1012" s="6" t="str">
        <f>HYPERLINK("http://mcgill.on.worldcat.org/oclc/343887","Catalog Record")</f>
        <v>Catalog Record</v>
      </c>
      <c r="AW1012" s="6" t="str">
        <f>HYPERLINK("http://www.worldcat.org/oclc/343887","WorldCat Record")</f>
        <v>WorldCat Record</v>
      </c>
      <c r="AX1012" s="3" t="s">
        <v>9841</v>
      </c>
      <c r="AY1012" s="3" t="s">
        <v>9842</v>
      </c>
      <c r="AZ1012" s="3" t="s">
        <v>9843</v>
      </c>
      <c r="BA1012" s="3" t="s">
        <v>9843</v>
      </c>
      <c r="BB1012" s="3" t="s">
        <v>9849</v>
      </c>
      <c r="BC1012" s="3" t="s">
        <v>77</v>
      </c>
      <c r="BD1012" s="3" t="s">
        <v>78</v>
      </c>
      <c r="BF1012" s="3" t="s">
        <v>9849</v>
      </c>
      <c r="BG1012" s="3" t="s">
        <v>9850</v>
      </c>
    </row>
    <row r="1013" spans="1:59" ht="58" x14ac:dyDescent="0.35">
      <c r="A1013" s="2" t="s">
        <v>59</v>
      </c>
      <c r="B1013" s="2" t="s">
        <v>60</v>
      </c>
      <c r="C1013" s="2" t="s">
        <v>9851</v>
      </c>
      <c r="D1013" s="2" t="s">
        <v>9852</v>
      </c>
      <c r="E1013" s="2" t="s">
        <v>9853</v>
      </c>
      <c r="F1013" s="3" t="s">
        <v>1071</v>
      </c>
      <c r="G1013" s="3" t="s">
        <v>209</v>
      </c>
      <c r="I1013" s="3" t="s">
        <v>65</v>
      </c>
      <c r="J1013" s="3" t="s">
        <v>65</v>
      </c>
      <c r="K1013" s="3" t="s">
        <v>66</v>
      </c>
      <c r="M1013" s="2" t="s">
        <v>9854</v>
      </c>
      <c r="N1013" s="3" t="s">
        <v>126</v>
      </c>
      <c r="O1013" s="2" t="s">
        <v>235</v>
      </c>
      <c r="P1013" s="3" t="s">
        <v>140</v>
      </c>
      <c r="Q1013" s="2" t="s">
        <v>9855</v>
      </c>
      <c r="R1013" s="3" t="s">
        <v>71</v>
      </c>
      <c r="S1013" s="4">
        <v>0</v>
      </c>
      <c r="T1013" s="4">
        <v>0</v>
      </c>
      <c r="W1013" s="5" t="s">
        <v>72</v>
      </c>
      <c r="X1013" s="5" t="s">
        <v>72</v>
      </c>
      <c r="Y1013" s="4">
        <v>60</v>
      </c>
      <c r="Z1013" s="4">
        <v>5</v>
      </c>
      <c r="AA1013" s="4">
        <v>5</v>
      </c>
      <c r="AB1013" s="4">
        <v>1</v>
      </c>
      <c r="AC1013" s="4">
        <v>1</v>
      </c>
      <c r="AD1013" s="4">
        <v>39</v>
      </c>
      <c r="AE1013" s="4">
        <v>39</v>
      </c>
      <c r="AF1013" s="4">
        <v>0</v>
      </c>
      <c r="AG1013" s="4">
        <v>0</v>
      </c>
      <c r="AH1013" s="4">
        <v>38</v>
      </c>
      <c r="AI1013" s="4">
        <v>38</v>
      </c>
      <c r="AJ1013" s="4">
        <v>2</v>
      </c>
      <c r="AK1013" s="4">
        <v>2</v>
      </c>
      <c r="AL1013" s="4">
        <v>28</v>
      </c>
      <c r="AM1013" s="4">
        <v>28</v>
      </c>
      <c r="AN1013" s="4">
        <v>0</v>
      </c>
      <c r="AO1013" s="4">
        <v>0</v>
      </c>
      <c r="AP1013" s="4">
        <v>2</v>
      </c>
      <c r="AQ1013" s="4">
        <v>2</v>
      </c>
      <c r="AR1013" s="3" t="s">
        <v>65</v>
      </c>
      <c r="AS1013" s="3" t="s">
        <v>65</v>
      </c>
      <c r="AT1013" s="3" t="s">
        <v>65</v>
      </c>
      <c r="AV1013" s="6" t="str">
        <f>HYPERLINK("http://mcgill.on.worldcat.org/oclc/756578512","Catalog Record")</f>
        <v>Catalog Record</v>
      </c>
      <c r="AW1013" s="6" t="str">
        <f>HYPERLINK("http://www.worldcat.org/oclc/756578512","WorldCat Record")</f>
        <v>WorldCat Record</v>
      </c>
      <c r="AX1013" s="3" t="s">
        <v>9856</v>
      </c>
      <c r="AY1013" s="3" t="s">
        <v>9857</v>
      </c>
      <c r="AZ1013" s="3" t="s">
        <v>9858</v>
      </c>
      <c r="BA1013" s="3" t="s">
        <v>9858</v>
      </c>
      <c r="BB1013" s="3" t="s">
        <v>9859</v>
      </c>
      <c r="BC1013" s="3" t="s">
        <v>77</v>
      </c>
      <c r="BD1013" s="3" t="s">
        <v>78</v>
      </c>
      <c r="BE1013" s="3" t="s">
        <v>9860</v>
      </c>
      <c r="BF1013" s="3" t="s">
        <v>9859</v>
      </c>
      <c r="BG1013" s="3" t="s">
        <v>9861</v>
      </c>
    </row>
    <row r="1014" spans="1:59" ht="58" x14ac:dyDescent="0.35">
      <c r="A1014" s="2" t="s">
        <v>59</v>
      </c>
      <c r="B1014" s="2" t="s">
        <v>60</v>
      </c>
      <c r="C1014" s="2" t="s">
        <v>9851</v>
      </c>
      <c r="D1014" s="2" t="s">
        <v>9852</v>
      </c>
      <c r="E1014" s="2" t="s">
        <v>9853</v>
      </c>
      <c r="F1014" s="3" t="s">
        <v>792</v>
      </c>
      <c r="G1014" s="3" t="s">
        <v>209</v>
      </c>
      <c r="I1014" s="3" t="s">
        <v>65</v>
      </c>
      <c r="J1014" s="3" t="s">
        <v>65</v>
      </c>
      <c r="K1014" s="3" t="s">
        <v>66</v>
      </c>
      <c r="M1014" s="2" t="s">
        <v>9854</v>
      </c>
      <c r="N1014" s="3" t="s">
        <v>126</v>
      </c>
      <c r="O1014" s="2" t="s">
        <v>235</v>
      </c>
      <c r="P1014" s="3" t="s">
        <v>140</v>
      </c>
      <c r="Q1014" s="2" t="s">
        <v>9855</v>
      </c>
      <c r="R1014" s="3" t="s">
        <v>71</v>
      </c>
      <c r="S1014" s="4">
        <v>0</v>
      </c>
      <c r="T1014" s="4">
        <v>0</v>
      </c>
      <c r="W1014" s="5" t="s">
        <v>72</v>
      </c>
      <c r="X1014" s="5" t="s">
        <v>72</v>
      </c>
      <c r="Y1014" s="4">
        <v>60</v>
      </c>
      <c r="Z1014" s="4">
        <v>5</v>
      </c>
      <c r="AA1014" s="4">
        <v>5</v>
      </c>
      <c r="AB1014" s="4">
        <v>1</v>
      </c>
      <c r="AC1014" s="4">
        <v>1</v>
      </c>
      <c r="AD1014" s="4">
        <v>39</v>
      </c>
      <c r="AE1014" s="4">
        <v>39</v>
      </c>
      <c r="AF1014" s="4">
        <v>0</v>
      </c>
      <c r="AG1014" s="4">
        <v>0</v>
      </c>
      <c r="AH1014" s="4">
        <v>38</v>
      </c>
      <c r="AI1014" s="4">
        <v>38</v>
      </c>
      <c r="AJ1014" s="4">
        <v>2</v>
      </c>
      <c r="AK1014" s="4">
        <v>2</v>
      </c>
      <c r="AL1014" s="4">
        <v>28</v>
      </c>
      <c r="AM1014" s="4">
        <v>28</v>
      </c>
      <c r="AN1014" s="4">
        <v>0</v>
      </c>
      <c r="AO1014" s="4">
        <v>0</v>
      </c>
      <c r="AP1014" s="4">
        <v>2</v>
      </c>
      <c r="AQ1014" s="4">
        <v>2</v>
      </c>
      <c r="AR1014" s="3" t="s">
        <v>65</v>
      </c>
      <c r="AS1014" s="3" t="s">
        <v>65</v>
      </c>
      <c r="AT1014" s="3" t="s">
        <v>65</v>
      </c>
      <c r="AV1014" s="6" t="str">
        <f>HYPERLINK("http://mcgill.on.worldcat.org/oclc/756578512","Catalog Record")</f>
        <v>Catalog Record</v>
      </c>
      <c r="AW1014" s="6" t="str">
        <f>HYPERLINK("http://www.worldcat.org/oclc/756578512","WorldCat Record")</f>
        <v>WorldCat Record</v>
      </c>
      <c r="AX1014" s="3" t="s">
        <v>9856</v>
      </c>
      <c r="AY1014" s="3" t="s">
        <v>9857</v>
      </c>
      <c r="AZ1014" s="3" t="s">
        <v>9858</v>
      </c>
      <c r="BA1014" s="3" t="s">
        <v>9858</v>
      </c>
      <c r="BB1014" s="3" t="s">
        <v>9862</v>
      </c>
      <c r="BC1014" s="3" t="s">
        <v>77</v>
      </c>
      <c r="BD1014" s="3" t="s">
        <v>78</v>
      </c>
      <c r="BE1014" s="3" t="s">
        <v>9860</v>
      </c>
      <c r="BF1014" s="3" t="s">
        <v>9862</v>
      </c>
      <c r="BG1014" s="3" t="s">
        <v>9863</v>
      </c>
    </row>
    <row r="1015" spans="1:59" ht="58" x14ac:dyDescent="0.35">
      <c r="A1015" s="2" t="s">
        <v>59</v>
      </c>
      <c r="B1015" s="2" t="s">
        <v>60</v>
      </c>
      <c r="C1015" s="2" t="s">
        <v>9851</v>
      </c>
      <c r="D1015" s="2" t="s">
        <v>9852</v>
      </c>
      <c r="E1015" s="2" t="s">
        <v>9853</v>
      </c>
      <c r="F1015" s="3" t="s">
        <v>8361</v>
      </c>
      <c r="G1015" s="3" t="s">
        <v>209</v>
      </c>
      <c r="I1015" s="3" t="s">
        <v>65</v>
      </c>
      <c r="J1015" s="3" t="s">
        <v>65</v>
      </c>
      <c r="K1015" s="3" t="s">
        <v>66</v>
      </c>
      <c r="M1015" s="2" t="s">
        <v>9854</v>
      </c>
      <c r="N1015" s="3" t="s">
        <v>126</v>
      </c>
      <c r="O1015" s="2" t="s">
        <v>235</v>
      </c>
      <c r="P1015" s="3" t="s">
        <v>140</v>
      </c>
      <c r="Q1015" s="2" t="s">
        <v>9855</v>
      </c>
      <c r="R1015" s="3" t="s">
        <v>71</v>
      </c>
      <c r="S1015" s="4">
        <v>0</v>
      </c>
      <c r="T1015" s="4">
        <v>0</v>
      </c>
      <c r="W1015" s="5" t="s">
        <v>72</v>
      </c>
      <c r="X1015" s="5" t="s">
        <v>72</v>
      </c>
      <c r="Y1015" s="4">
        <v>60</v>
      </c>
      <c r="Z1015" s="4">
        <v>5</v>
      </c>
      <c r="AA1015" s="4">
        <v>5</v>
      </c>
      <c r="AB1015" s="4">
        <v>1</v>
      </c>
      <c r="AC1015" s="4">
        <v>1</v>
      </c>
      <c r="AD1015" s="4">
        <v>39</v>
      </c>
      <c r="AE1015" s="4">
        <v>39</v>
      </c>
      <c r="AF1015" s="4">
        <v>0</v>
      </c>
      <c r="AG1015" s="4">
        <v>0</v>
      </c>
      <c r="AH1015" s="4">
        <v>38</v>
      </c>
      <c r="AI1015" s="4">
        <v>38</v>
      </c>
      <c r="AJ1015" s="4">
        <v>2</v>
      </c>
      <c r="AK1015" s="4">
        <v>2</v>
      </c>
      <c r="AL1015" s="4">
        <v>28</v>
      </c>
      <c r="AM1015" s="4">
        <v>28</v>
      </c>
      <c r="AN1015" s="4">
        <v>0</v>
      </c>
      <c r="AO1015" s="4">
        <v>0</v>
      </c>
      <c r="AP1015" s="4">
        <v>2</v>
      </c>
      <c r="AQ1015" s="4">
        <v>2</v>
      </c>
      <c r="AR1015" s="3" t="s">
        <v>65</v>
      </c>
      <c r="AS1015" s="3" t="s">
        <v>65</v>
      </c>
      <c r="AT1015" s="3" t="s">
        <v>65</v>
      </c>
      <c r="AV1015" s="6" t="str">
        <f>HYPERLINK("http://mcgill.on.worldcat.org/oclc/756578512","Catalog Record")</f>
        <v>Catalog Record</v>
      </c>
      <c r="AW1015" s="6" t="str">
        <f>HYPERLINK("http://www.worldcat.org/oclc/756578512","WorldCat Record")</f>
        <v>WorldCat Record</v>
      </c>
      <c r="AX1015" s="3" t="s">
        <v>9856</v>
      </c>
      <c r="AY1015" s="3" t="s">
        <v>9857</v>
      </c>
      <c r="AZ1015" s="3" t="s">
        <v>9858</v>
      </c>
      <c r="BA1015" s="3" t="s">
        <v>9858</v>
      </c>
      <c r="BB1015" s="3" t="s">
        <v>9864</v>
      </c>
      <c r="BC1015" s="3" t="s">
        <v>77</v>
      </c>
      <c r="BD1015" s="3" t="s">
        <v>78</v>
      </c>
      <c r="BE1015" s="3" t="s">
        <v>9860</v>
      </c>
      <c r="BF1015" s="3" t="s">
        <v>9864</v>
      </c>
      <c r="BG1015" s="3" t="s">
        <v>9865</v>
      </c>
    </row>
    <row r="1016" spans="1:59" ht="58" x14ac:dyDescent="0.35">
      <c r="A1016" s="2" t="s">
        <v>59</v>
      </c>
      <c r="B1016" s="2" t="s">
        <v>60</v>
      </c>
      <c r="C1016" s="2" t="s">
        <v>9851</v>
      </c>
      <c r="D1016" s="2" t="s">
        <v>9852</v>
      </c>
      <c r="E1016" s="2" t="s">
        <v>9853</v>
      </c>
      <c r="F1016" s="3" t="s">
        <v>245</v>
      </c>
      <c r="G1016" s="3" t="s">
        <v>209</v>
      </c>
      <c r="I1016" s="3" t="s">
        <v>65</v>
      </c>
      <c r="J1016" s="3" t="s">
        <v>65</v>
      </c>
      <c r="K1016" s="3" t="s">
        <v>66</v>
      </c>
      <c r="M1016" s="2" t="s">
        <v>9854</v>
      </c>
      <c r="N1016" s="3" t="s">
        <v>126</v>
      </c>
      <c r="O1016" s="2" t="s">
        <v>235</v>
      </c>
      <c r="P1016" s="3" t="s">
        <v>140</v>
      </c>
      <c r="Q1016" s="2" t="s">
        <v>9855</v>
      </c>
      <c r="R1016" s="3" t="s">
        <v>71</v>
      </c>
      <c r="S1016" s="4">
        <v>0</v>
      </c>
      <c r="T1016" s="4">
        <v>0</v>
      </c>
      <c r="W1016" s="5" t="s">
        <v>72</v>
      </c>
      <c r="X1016" s="5" t="s">
        <v>72</v>
      </c>
      <c r="Y1016" s="4">
        <v>60</v>
      </c>
      <c r="Z1016" s="4">
        <v>5</v>
      </c>
      <c r="AA1016" s="4">
        <v>5</v>
      </c>
      <c r="AB1016" s="4">
        <v>1</v>
      </c>
      <c r="AC1016" s="4">
        <v>1</v>
      </c>
      <c r="AD1016" s="4">
        <v>39</v>
      </c>
      <c r="AE1016" s="4">
        <v>39</v>
      </c>
      <c r="AF1016" s="4">
        <v>0</v>
      </c>
      <c r="AG1016" s="4">
        <v>0</v>
      </c>
      <c r="AH1016" s="4">
        <v>38</v>
      </c>
      <c r="AI1016" s="4">
        <v>38</v>
      </c>
      <c r="AJ1016" s="4">
        <v>2</v>
      </c>
      <c r="AK1016" s="4">
        <v>2</v>
      </c>
      <c r="AL1016" s="4">
        <v>28</v>
      </c>
      <c r="AM1016" s="4">
        <v>28</v>
      </c>
      <c r="AN1016" s="4">
        <v>0</v>
      </c>
      <c r="AO1016" s="4">
        <v>0</v>
      </c>
      <c r="AP1016" s="4">
        <v>2</v>
      </c>
      <c r="AQ1016" s="4">
        <v>2</v>
      </c>
      <c r="AR1016" s="3" t="s">
        <v>65</v>
      </c>
      <c r="AS1016" s="3" t="s">
        <v>65</v>
      </c>
      <c r="AT1016" s="3" t="s">
        <v>65</v>
      </c>
      <c r="AV1016" s="6" t="str">
        <f>HYPERLINK("http://mcgill.on.worldcat.org/oclc/756578512","Catalog Record")</f>
        <v>Catalog Record</v>
      </c>
      <c r="AW1016" s="6" t="str">
        <f>HYPERLINK("http://www.worldcat.org/oclc/756578512","WorldCat Record")</f>
        <v>WorldCat Record</v>
      </c>
      <c r="AX1016" s="3" t="s">
        <v>9856</v>
      </c>
      <c r="AY1016" s="3" t="s">
        <v>9857</v>
      </c>
      <c r="AZ1016" s="3" t="s">
        <v>9858</v>
      </c>
      <c r="BA1016" s="3" t="s">
        <v>9858</v>
      </c>
      <c r="BB1016" s="3" t="s">
        <v>9866</v>
      </c>
      <c r="BC1016" s="3" t="s">
        <v>77</v>
      </c>
      <c r="BD1016" s="3" t="s">
        <v>78</v>
      </c>
      <c r="BE1016" s="3" t="s">
        <v>9860</v>
      </c>
      <c r="BF1016" s="3" t="s">
        <v>9866</v>
      </c>
      <c r="BG1016" s="3" t="s">
        <v>9867</v>
      </c>
    </row>
    <row r="1017" spans="1:59" ht="58" x14ac:dyDescent="0.35">
      <c r="A1017" s="2" t="s">
        <v>59</v>
      </c>
      <c r="B1017" s="2" t="s">
        <v>60</v>
      </c>
      <c r="C1017" s="2" t="s">
        <v>9868</v>
      </c>
      <c r="D1017" s="2" t="s">
        <v>9869</v>
      </c>
      <c r="E1017" s="2" t="s">
        <v>9870</v>
      </c>
      <c r="G1017" s="3" t="s">
        <v>65</v>
      </c>
      <c r="I1017" s="3" t="s">
        <v>65</v>
      </c>
      <c r="J1017" s="3" t="s">
        <v>65</v>
      </c>
      <c r="K1017" s="3" t="s">
        <v>66</v>
      </c>
      <c r="M1017" s="2" t="s">
        <v>9871</v>
      </c>
      <c r="N1017" s="3" t="s">
        <v>152</v>
      </c>
      <c r="P1017" s="3" t="s">
        <v>69</v>
      </c>
      <c r="Q1017" s="2" t="s">
        <v>9872</v>
      </c>
      <c r="R1017" s="3" t="s">
        <v>71</v>
      </c>
      <c r="S1017" s="4">
        <v>0</v>
      </c>
      <c r="T1017" s="4">
        <v>0</v>
      </c>
      <c r="U1017" s="5" t="s">
        <v>2061</v>
      </c>
      <c r="V1017" s="5" t="s">
        <v>2061</v>
      </c>
      <c r="W1017" s="5" t="s">
        <v>72</v>
      </c>
      <c r="X1017" s="5" t="s">
        <v>72</v>
      </c>
      <c r="Y1017" s="4">
        <v>53</v>
      </c>
      <c r="Z1017" s="4">
        <v>3</v>
      </c>
      <c r="AA1017" s="4">
        <v>4</v>
      </c>
      <c r="AB1017" s="4">
        <v>1</v>
      </c>
      <c r="AC1017" s="4">
        <v>2</v>
      </c>
      <c r="AD1017" s="4">
        <v>29</v>
      </c>
      <c r="AE1017" s="4">
        <v>31</v>
      </c>
      <c r="AF1017" s="4">
        <v>0</v>
      </c>
      <c r="AG1017" s="4">
        <v>0</v>
      </c>
      <c r="AH1017" s="4">
        <v>28</v>
      </c>
      <c r="AI1017" s="4">
        <v>30</v>
      </c>
      <c r="AJ1017" s="4">
        <v>1</v>
      </c>
      <c r="AK1017" s="4">
        <v>1</v>
      </c>
      <c r="AL1017" s="4">
        <v>24</v>
      </c>
      <c r="AM1017" s="4">
        <v>25</v>
      </c>
      <c r="AN1017" s="4">
        <v>0</v>
      </c>
      <c r="AO1017" s="4">
        <v>0</v>
      </c>
      <c r="AP1017" s="4">
        <v>1</v>
      </c>
      <c r="AQ1017" s="4">
        <v>1</v>
      </c>
      <c r="AR1017" s="3" t="s">
        <v>65</v>
      </c>
      <c r="AS1017" s="3" t="s">
        <v>65</v>
      </c>
      <c r="AT1017" s="3" t="s">
        <v>65</v>
      </c>
      <c r="AV1017" s="6" t="str">
        <f>HYPERLINK("http://mcgill.on.worldcat.org/oclc/843328931","Catalog Record")</f>
        <v>Catalog Record</v>
      </c>
      <c r="AW1017" s="6" t="str">
        <f>HYPERLINK("http://www.worldcat.org/oclc/843328931","WorldCat Record")</f>
        <v>WorldCat Record</v>
      </c>
      <c r="AX1017" s="3" t="s">
        <v>9873</v>
      </c>
      <c r="AY1017" s="3" t="s">
        <v>9874</v>
      </c>
      <c r="AZ1017" s="3" t="s">
        <v>9875</v>
      </c>
      <c r="BA1017" s="3" t="s">
        <v>9875</v>
      </c>
      <c r="BB1017" s="3" t="s">
        <v>9876</v>
      </c>
      <c r="BC1017" s="3" t="s">
        <v>77</v>
      </c>
      <c r="BD1017" s="3" t="s">
        <v>78</v>
      </c>
      <c r="BE1017" s="3" t="s">
        <v>9877</v>
      </c>
      <c r="BF1017" s="3" t="s">
        <v>9876</v>
      </c>
      <c r="BG1017" s="3" t="s">
        <v>9878</v>
      </c>
    </row>
    <row r="1018" spans="1:59" ht="58" x14ac:dyDescent="0.35">
      <c r="A1018" s="2" t="s">
        <v>59</v>
      </c>
      <c r="B1018" s="2" t="s">
        <v>60</v>
      </c>
      <c r="C1018" s="2" t="s">
        <v>9894</v>
      </c>
      <c r="D1018" s="2" t="s">
        <v>9895</v>
      </c>
      <c r="E1018" s="2" t="s">
        <v>9896</v>
      </c>
      <c r="G1018" s="3" t="s">
        <v>65</v>
      </c>
      <c r="I1018" s="3" t="s">
        <v>65</v>
      </c>
      <c r="J1018" s="3" t="s">
        <v>65</v>
      </c>
      <c r="K1018" s="3" t="s">
        <v>66</v>
      </c>
      <c r="M1018" s="2" t="s">
        <v>9897</v>
      </c>
      <c r="N1018" s="3" t="s">
        <v>955</v>
      </c>
      <c r="P1018" s="3" t="s">
        <v>69</v>
      </c>
      <c r="R1018" s="3" t="s">
        <v>71</v>
      </c>
      <c r="S1018" s="4">
        <v>22</v>
      </c>
      <c r="T1018" s="4">
        <v>22</v>
      </c>
      <c r="U1018" s="5" t="s">
        <v>9898</v>
      </c>
      <c r="V1018" s="5" t="s">
        <v>9898</v>
      </c>
      <c r="W1018" s="5" t="s">
        <v>72</v>
      </c>
      <c r="X1018" s="5" t="s">
        <v>72</v>
      </c>
      <c r="Y1018" s="4">
        <v>616</v>
      </c>
      <c r="Z1018" s="4">
        <v>29</v>
      </c>
      <c r="AA1018" s="4">
        <v>31</v>
      </c>
      <c r="AB1018" s="4">
        <v>2</v>
      </c>
      <c r="AC1018" s="4">
        <v>3</v>
      </c>
      <c r="AD1018" s="4">
        <v>116</v>
      </c>
      <c r="AE1018" s="4">
        <v>120</v>
      </c>
      <c r="AF1018" s="4">
        <v>0</v>
      </c>
      <c r="AG1018" s="4">
        <v>1</v>
      </c>
      <c r="AH1018" s="4">
        <v>106</v>
      </c>
      <c r="AI1018" s="4">
        <v>107</v>
      </c>
      <c r="AJ1018" s="4">
        <v>18</v>
      </c>
      <c r="AK1018" s="4">
        <v>20</v>
      </c>
      <c r="AL1018" s="4">
        <v>53</v>
      </c>
      <c r="AM1018" s="4">
        <v>54</v>
      </c>
      <c r="AN1018" s="4">
        <v>0</v>
      </c>
      <c r="AO1018" s="4">
        <v>0</v>
      </c>
      <c r="AP1018" s="4">
        <v>20</v>
      </c>
      <c r="AQ1018" s="4">
        <v>21</v>
      </c>
      <c r="AR1018" s="3" t="s">
        <v>65</v>
      </c>
      <c r="AS1018" s="3" t="s">
        <v>65</v>
      </c>
      <c r="AT1018" s="3" t="s">
        <v>209</v>
      </c>
      <c r="AU1018" s="6" t="str">
        <f>HYPERLINK("http://catalog.hathitrust.org/Record/000035564","HathiTrust Record")</f>
        <v>HathiTrust Record</v>
      </c>
      <c r="AV1018" s="6" t="str">
        <f>HYPERLINK("http://mcgill.on.worldcat.org/oclc/5410501","Catalog Record")</f>
        <v>Catalog Record</v>
      </c>
      <c r="AW1018" s="6" t="str">
        <f>HYPERLINK("http://www.worldcat.org/oclc/5410501","WorldCat Record")</f>
        <v>WorldCat Record</v>
      </c>
      <c r="AX1018" s="3" t="s">
        <v>9899</v>
      </c>
      <c r="AY1018" s="3" t="s">
        <v>9900</v>
      </c>
      <c r="AZ1018" s="3" t="s">
        <v>9901</v>
      </c>
      <c r="BA1018" s="3" t="s">
        <v>9901</v>
      </c>
      <c r="BB1018" s="3" t="s">
        <v>9902</v>
      </c>
      <c r="BC1018" s="3" t="s">
        <v>77</v>
      </c>
      <c r="BD1018" s="3" t="s">
        <v>78</v>
      </c>
      <c r="BE1018" s="3" t="s">
        <v>9903</v>
      </c>
      <c r="BF1018" s="3" t="s">
        <v>9902</v>
      </c>
      <c r="BG1018" s="3" t="s">
        <v>9904</v>
      </c>
    </row>
    <row r="1019" spans="1:59" ht="58" x14ac:dyDescent="0.35">
      <c r="A1019" s="2" t="s">
        <v>59</v>
      </c>
      <c r="B1019" s="2" t="s">
        <v>60</v>
      </c>
      <c r="C1019" s="2" t="s">
        <v>9905</v>
      </c>
      <c r="D1019" s="2" t="s">
        <v>9906</v>
      </c>
      <c r="E1019" s="2" t="s">
        <v>9907</v>
      </c>
      <c r="G1019" s="3" t="s">
        <v>65</v>
      </c>
      <c r="I1019" s="3" t="s">
        <v>65</v>
      </c>
      <c r="J1019" s="3" t="s">
        <v>65</v>
      </c>
      <c r="K1019" s="3" t="s">
        <v>66</v>
      </c>
      <c r="M1019" s="2" t="s">
        <v>9908</v>
      </c>
      <c r="N1019" s="3" t="s">
        <v>1944</v>
      </c>
      <c r="P1019" s="3" t="s">
        <v>69</v>
      </c>
      <c r="Q1019" s="2" t="s">
        <v>9909</v>
      </c>
      <c r="R1019" s="3" t="s">
        <v>71</v>
      </c>
      <c r="S1019" s="4">
        <v>68</v>
      </c>
      <c r="T1019" s="4">
        <v>68</v>
      </c>
      <c r="U1019" s="5" t="s">
        <v>9910</v>
      </c>
      <c r="V1019" s="5" t="s">
        <v>9910</v>
      </c>
      <c r="W1019" s="5" t="s">
        <v>72</v>
      </c>
      <c r="X1019" s="5" t="s">
        <v>72</v>
      </c>
      <c r="Y1019" s="4">
        <v>728</v>
      </c>
      <c r="Z1019" s="4">
        <v>35</v>
      </c>
      <c r="AA1019" s="4">
        <v>41</v>
      </c>
      <c r="AB1019" s="4">
        <v>2</v>
      </c>
      <c r="AC1019" s="4">
        <v>7</v>
      </c>
      <c r="AD1019" s="4">
        <v>116</v>
      </c>
      <c r="AE1019" s="4">
        <v>124</v>
      </c>
      <c r="AF1019" s="4">
        <v>1</v>
      </c>
      <c r="AG1019" s="4">
        <v>3</v>
      </c>
      <c r="AH1019" s="4">
        <v>99</v>
      </c>
      <c r="AI1019" s="4">
        <v>106</v>
      </c>
      <c r="AJ1019" s="4">
        <v>17</v>
      </c>
      <c r="AK1019" s="4">
        <v>20</v>
      </c>
      <c r="AL1019" s="4">
        <v>53</v>
      </c>
      <c r="AM1019" s="4">
        <v>56</v>
      </c>
      <c r="AN1019" s="4">
        <v>0</v>
      </c>
      <c r="AO1019" s="4">
        <v>0</v>
      </c>
      <c r="AP1019" s="4">
        <v>26</v>
      </c>
      <c r="AQ1019" s="4">
        <v>28</v>
      </c>
      <c r="AR1019" s="3" t="s">
        <v>65</v>
      </c>
      <c r="AS1019" s="3" t="s">
        <v>65</v>
      </c>
      <c r="AT1019" s="3" t="s">
        <v>65</v>
      </c>
      <c r="AV1019" s="6" t="str">
        <f>HYPERLINK("http://mcgill.on.worldcat.org/oclc/43296616","Catalog Record")</f>
        <v>Catalog Record</v>
      </c>
      <c r="AW1019" s="6" t="str">
        <f>HYPERLINK("http://www.worldcat.org/oclc/43296616","WorldCat Record")</f>
        <v>WorldCat Record</v>
      </c>
      <c r="AX1019" s="3" t="s">
        <v>9911</v>
      </c>
      <c r="AY1019" s="3" t="s">
        <v>9912</v>
      </c>
      <c r="AZ1019" s="3" t="s">
        <v>9913</v>
      </c>
      <c r="BA1019" s="3" t="s">
        <v>9913</v>
      </c>
      <c r="BB1019" s="3" t="s">
        <v>9914</v>
      </c>
      <c r="BC1019" s="3" t="s">
        <v>77</v>
      </c>
      <c r="BD1019" s="3" t="s">
        <v>78</v>
      </c>
      <c r="BE1019" s="3" t="s">
        <v>9915</v>
      </c>
      <c r="BF1019" s="3" t="s">
        <v>9914</v>
      </c>
      <c r="BG1019" s="3" t="s">
        <v>9916</v>
      </c>
    </row>
    <row r="1020" spans="1:59" ht="58" x14ac:dyDescent="0.35">
      <c r="A1020" s="2" t="s">
        <v>59</v>
      </c>
      <c r="B1020" s="2" t="s">
        <v>60</v>
      </c>
      <c r="C1020" s="2" t="s">
        <v>9917</v>
      </c>
      <c r="D1020" s="2" t="s">
        <v>9918</v>
      </c>
      <c r="E1020" s="2" t="s">
        <v>9919</v>
      </c>
      <c r="G1020" s="3" t="s">
        <v>65</v>
      </c>
      <c r="I1020" s="3" t="s">
        <v>65</v>
      </c>
      <c r="J1020" s="3" t="s">
        <v>65</v>
      </c>
      <c r="K1020" s="3" t="s">
        <v>66</v>
      </c>
      <c r="L1020" s="2" t="s">
        <v>9920</v>
      </c>
      <c r="M1020" s="2" t="s">
        <v>9921</v>
      </c>
      <c r="N1020" s="3" t="s">
        <v>6646</v>
      </c>
      <c r="P1020" s="3" t="s">
        <v>69</v>
      </c>
      <c r="R1020" s="3" t="s">
        <v>71</v>
      </c>
      <c r="S1020" s="4">
        <v>3</v>
      </c>
      <c r="T1020" s="4">
        <v>3</v>
      </c>
      <c r="U1020" s="5" t="s">
        <v>9840</v>
      </c>
      <c r="V1020" s="5" t="s">
        <v>9840</v>
      </c>
      <c r="W1020" s="5" t="s">
        <v>72</v>
      </c>
      <c r="X1020" s="5" t="s">
        <v>72</v>
      </c>
      <c r="Y1020" s="4">
        <v>183</v>
      </c>
      <c r="Z1020" s="4">
        <v>10</v>
      </c>
      <c r="AA1020" s="4">
        <v>25</v>
      </c>
      <c r="AB1020" s="4">
        <v>1</v>
      </c>
      <c r="AC1020" s="4">
        <v>2</v>
      </c>
      <c r="AD1020" s="4">
        <v>44</v>
      </c>
      <c r="AE1020" s="4">
        <v>90</v>
      </c>
      <c r="AF1020" s="4">
        <v>0</v>
      </c>
      <c r="AG1020" s="4">
        <v>0</v>
      </c>
      <c r="AH1020" s="4">
        <v>41</v>
      </c>
      <c r="AI1020" s="4">
        <v>80</v>
      </c>
      <c r="AJ1020" s="4">
        <v>6</v>
      </c>
      <c r="AK1020" s="4">
        <v>10</v>
      </c>
      <c r="AL1020" s="4">
        <v>25</v>
      </c>
      <c r="AM1020" s="4">
        <v>46</v>
      </c>
      <c r="AN1020" s="4">
        <v>0</v>
      </c>
      <c r="AO1020" s="4">
        <v>0</v>
      </c>
      <c r="AP1020" s="4">
        <v>7</v>
      </c>
      <c r="AQ1020" s="4">
        <v>16</v>
      </c>
      <c r="AR1020" s="3" t="s">
        <v>65</v>
      </c>
      <c r="AS1020" s="3" t="s">
        <v>65</v>
      </c>
      <c r="AT1020" s="3" t="s">
        <v>65</v>
      </c>
      <c r="AU1020" s="6" t="str">
        <f>HYPERLINK("http://catalog.hathitrust.org/Record/001015732","HathiTrust Record")</f>
        <v>HathiTrust Record</v>
      </c>
      <c r="AV1020" s="6" t="str">
        <f>HYPERLINK("http://mcgill.on.worldcat.org/oclc/1249747","Catalog Record")</f>
        <v>Catalog Record</v>
      </c>
      <c r="AW1020" s="6" t="str">
        <f>HYPERLINK("http://www.worldcat.org/oclc/1249747","WorldCat Record")</f>
        <v>WorldCat Record</v>
      </c>
      <c r="AX1020" s="3" t="s">
        <v>9922</v>
      </c>
      <c r="AY1020" s="3" t="s">
        <v>9923</v>
      </c>
      <c r="AZ1020" s="3" t="s">
        <v>9924</v>
      </c>
      <c r="BA1020" s="3" t="s">
        <v>9924</v>
      </c>
      <c r="BB1020" s="3" t="s">
        <v>9925</v>
      </c>
      <c r="BC1020" s="3" t="s">
        <v>77</v>
      </c>
      <c r="BD1020" s="3" t="s">
        <v>78</v>
      </c>
      <c r="BF1020" s="3" t="s">
        <v>9925</v>
      </c>
      <c r="BG1020" s="3" t="s">
        <v>9926</v>
      </c>
    </row>
    <row r="1021" spans="1:59" ht="58" x14ac:dyDescent="0.35">
      <c r="A1021" s="2" t="s">
        <v>59</v>
      </c>
      <c r="B1021" s="2" t="s">
        <v>60</v>
      </c>
      <c r="C1021" s="2" t="s">
        <v>9927</v>
      </c>
      <c r="D1021" s="2" t="s">
        <v>9928</v>
      </c>
      <c r="E1021" s="2" t="s">
        <v>9929</v>
      </c>
      <c r="G1021" s="3" t="s">
        <v>65</v>
      </c>
      <c r="I1021" s="3" t="s">
        <v>209</v>
      </c>
      <c r="J1021" s="3" t="s">
        <v>65</v>
      </c>
      <c r="K1021" s="3" t="s">
        <v>66</v>
      </c>
      <c r="L1021" s="2" t="s">
        <v>9930</v>
      </c>
      <c r="M1021" s="2" t="s">
        <v>9931</v>
      </c>
      <c r="N1021" s="3" t="s">
        <v>9932</v>
      </c>
      <c r="P1021" s="3" t="s">
        <v>69</v>
      </c>
      <c r="R1021" s="3" t="s">
        <v>71</v>
      </c>
      <c r="S1021" s="4">
        <v>15</v>
      </c>
      <c r="T1021" s="4">
        <v>15</v>
      </c>
      <c r="U1021" s="5" t="s">
        <v>4044</v>
      </c>
      <c r="V1021" s="5" t="s">
        <v>4044</v>
      </c>
      <c r="W1021" s="5" t="s">
        <v>72</v>
      </c>
      <c r="X1021" s="5" t="s">
        <v>72</v>
      </c>
      <c r="Y1021" s="4">
        <v>420</v>
      </c>
      <c r="Z1021" s="4">
        <v>10</v>
      </c>
      <c r="AA1021" s="4">
        <v>24</v>
      </c>
      <c r="AB1021" s="4">
        <v>1</v>
      </c>
      <c r="AC1021" s="4">
        <v>1</v>
      </c>
      <c r="AD1021" s="4">
        <v>84</v>
      </c>
      <c r="AE1021" s="4">
        <v>97</v>
      </c>
      <c r="AF1021" s="4">
        <v>0</v>
      </c>
      <c r="AG1021" s="4">
        <v>0</v>
      </c>
      <c r="AH1021" s="4">
        <v>81</v>
      </c>
      <c r="AI1021" s="4">
        <v>89</v>
      </c>
      <c r="AJ1021" s="4">
        <v>5</v>
      </c>
      <c r="AK1021" s="4">
        <v>7</v>
      </c>
      <c r="AL1021" s="4">
        <v>50</v>
      </c>
      <c r="AM1021" s="4">
        <v>54</v>
      </c>
      <c r="AN1021" s="4">
        <v>0</v>
      </c>
      <c r="AO1021" s="4">
        <v>0</v>
      </c>
      <c r="AP1021" s="4">
        <v>5</v>
      </c>
      <c r="AQ1021" s="4">
        <v>11</v>
      </c>
      <c r="AR1021" s="3" t="s">
        <v>65</v>
      </c>
      <c r="AS1021" s="3" t="s">
        <v>209</v>
      </c>
      <c r="AT1021" s="3" t="s">
        <v>65</v>
      </c>
      <c r="AU1021" s="6" t="str">
        <f>HYPERLINK("http://catalog.hathitrust.org/Record/000875856","HathiTrust Record")</f>
        <v>HathiTrust Record</v>
      </c>
      <c r="AV1021" s="6" t="str">
        <f>HYPERLINK("http://mcgill.on.worldcat.org/oclc/878934","Catalog Record")</f>
        <v>Catalog Record</v>
      </c>
      <c r="AW1021" s="6" t="str">
        <f>HYPERLINK("http://www.worldcat.org/oclc/878934","WorldCat Record")</f>
        <v>WorldCat Record</v>
      </c>
      <c r="AX1021" s="3" t="s">
        <v>9933</v>
      </c>
      <c r="AY1021" s="3" t="s">
        <v>9934</v>
      </c>
      <c r="AZ1021" s="3" t="s">
        <v>9935</v>
      </c>
      <c r="BA1021" s="3" t="s">
        <v>9935</v>
      </c>
      <c r="BB1021" s="3" t="s">
        <v>9936</v>
      </c>
      <c r="BC1021" s="3" t="s">
        <v>77</v>
      </c>
      <c r="BD1021" s="3" t="s">
        <v>78</v>
      </c>
      <c r="BF1021" s="3" t="s">
        <v>9936</v>
      </c>
      <c r="BG1021" s="3" t="s">
        <v>9937</v>
      </c>
    </row>
    <row r="1022" spans="1:59" ht="58" x14ac:dyDescent="0.35">
      <c r="A1022" s="2" t="s">
        <v>59</v>
      </c>
      <c r="B1022" s="2" t="s">
        <v>60</v>
      </c>
      <c r="C1022" s="2" t="s">
        <v>9927</v>
      </c>
      <c r="D1022" s="2" t="s">
        <v>9928</v>
      </c>
      <c r="E1022" s="2" t="s">
        <v>9929</v>
      </c>
      <c r="G1022" s="3" t="s">
        <v>65</v>
      </c>
      <c r="I1022" s="3" t="s">
        <v>209</v>
      </c>
      <c r="J1022" s="3" t="s">
        <v>65</v>
      </c>
      <c r="K1022" s="3" t="s">
        <v>66</v>
      </c>
      <c r="L1022" s="2" t="s">
        <v>9930</v>
      </c>
      <c r="M1022" s="2" t="s">
        <v>9931</v>
      </c>
      <c r="N1022" s="3" t="s">
        <v>9932</v>
      </c>
      <c r="P1022" s="3" t="s">
        <v>69</v>
      </c>
      <c r="R1022" s="3" t="s">
        <v>71</v>
      </c>
      <c r="S1022" s="4">
        <v>0</v>
      </c>
      <c r="T1022" s="4">
        <v>15</v>
      </c>
      <c r="V1022" s="5" t="s">
        <v>4044</v>
      </c>
      <c r="W1022" s="5" t="s">
        <v>72</v>
      </c>
      <c r="X1022" s="5" t="s">
        <v>72</v>
      </c>
      <c r="Y1022" s="4">
        <v>420</v>
      </c>
      <c r="Z1022" s="4">
        <v>10</v>
      </c>
      <c r="AA1022" s="4">
        <v>24</v>
      </c>
      <c r="AB1022" s="4">
        <v>1</v>
      </c>
      <c r="AC1022" s="4">
        <v>1</v>
      </c>
      <c r="AD1022" s="4">
        <v>84</v>
      </c>
      <c r="AE1022" s="4">
        <v>97</v>
      </c>
      <c r="AF1022" s="4">
        <v>0</v>
      </c>
      <c r="AG1022" s="4">
        <v>0</v>
      </c>
      <c r="AH1022" s="4">
        <v>81</v>
      </c>
      <c r="AI1022" s="4">
        <v>89</v>
      </c>
      <c r="AJ1022" s="4">
        <v>5</v>
      </c>
      <c r="AK1022" s="4">
        <v>7</v>
      </c>
      <c r="AL1022" s="4">
        <v>50</v>
      </c>
      <c r="AM1022" s="4">
        <v>54</v>
      </c>
      <c r="AN1022" s="4">
        <v>0</v>
      </c>
      <c r="AO1022" s="4">
        <v>0</v>
      </c>
      <c r="AP1022" s="4">
        <v>5</v>
      </c>
      <c r="AQ1022" s="4">
        <v>11</v>
      </c>
      <c r="AR1022" s="3" t="s">
        <v>65</v>
      </c>
      <c r="AS1022" s="3" t="s">
        <v>209</v>
      </c>
      <c r="AT1022" s="3" t="s">
        <v>65</v>
      </c>
      <c r="AU1022" s="6" t="str">
        <f>HYPERLINK("http://catalog.hathitrust.org/Record/000875856","HathiTrust Record")</f>
        <v>HathiTrust Record</v>
      </c>
      <c r="AV1022" s="6" t="str">
        <f>HYPERLINK("http://mcgill.on.worldcat.org/oclc/878934","Catalog Record")</f>
        <v>Catalog Record</v>
      </c>
      <c r="AW1022" s="6" t="str">
        <f>HYPERLINK("http://www.worldcat.org/oclc/878934","WorldCat Record")</f>
        <v>WorldCat Record</v>
      </c>
      <c r="AX1022" s="3" t="s">
        <v>9933</v>
      </c>
      <c r="AY1022" s="3" t="s">
        <v>9934</v>
      </c>
      <c r="AZ1022" s="3" t="s">
        <v>9935</v>
      </c>
      <c r="BA1022" s="3" t="s">
        <v>9935</v>
      </c>
      <c r="BB1022" s="3" t="s">
        <v>9938</v>
      </c>
      <c r="BC1022" s="3" t="s">
        <v>77</v>
      </c>
      <c r="BD1022" s="3" t="s">
        <v>78</v>
      </c>
      <c r="BF1022" s="3" t="s">
        <v>9938</v>
      </c>
      <c r="BG1022" s="3" t="s">
        <v>9939</v>
      </c>
    </row>
    <row r="1023" spans="1:59" ht="58" x14ac:dyDescent="0.35">
      <c r="A1023" s="2" t="s">
        <v>59</v>
      </c>
      <c r="B1023" s="2" t="s">
        <v>60</v>
      </c>
      <c r="C1023" s="2" t="s">
        <v>9940</v>
      </c>
      <c r="D1023" s="2" t="s">
        <v>9941</v>
      </c>
      <c r="E1023" s="2" t="s">
        <v>9942</v>
      </c>
      <c r="G1023" s="3" t="s">
        <v>65</v>
      </c>
      <c r="I1023" s="3" t="s">
        <v>65</v>
      </c>
      <c r="J1023" s="3" t="s">
        <v>65</v>
      </c>
      <c r="K1023" s="3" t="s">
        <v>66</v>
      </c>
      <c r="L1023" s="2" t="s">
        <v>9943</v>
      </c>
      <c r="M1023" s="2" t="s">
        <v>9944</v>
      </c>
      <c r="N1023" s="3" t="s">
        <v>210</v>
      </c>
      <c r="P1023" s="3" t="s">
        <v>69</v>
      </c>
      <c r="R1023" s="3" t="s">
        <v>71</v>
      </c>
      <c r="S1023" s="4">
        <v>5</v>
      </c>
      <c r="T1023" s="4">
        <v>5</v>
      </c>
      <c r="U1023" s="5" t="s">
        <v>9840</v>
      </c>
      <c r="V1023" s="5" t="s">
        <v>9840</v>
      </c>
      <c r="W1023" s="5" t="s">
        <v>72</v>
      </c>
      <c r="X1023" s="5" t="s">
        <v>72</v>
      </c>
      <c r="Y1023" s="4">
        <v>215</v>
      </c>
      <c r="Z1023" s="4">
        <v>8</v>
      </c>
      <c r="AA1023" s="4">
        <v>11</v>
      </c>
      <c r="AB1023" s="4">
        <v>1</v>
      </c>
      <c r="AC1023" s="4">
        <v>2</v>
      </c>
      <c r="AD1023" s="4">
        <v>63</v>
      </c>
      <c r="AE1023" s="4">
        <v>67</v>
      </c>
      <c r="AF1023" s="4">
        <v>0</v>
      </c>
      <c r="AG1023" s="4">
        <v>0</v>
      </c>
      <c r="AH1023" s="4">
        <v>59</v>
      </c>
      <c r="AI1023" s="4">
        <v>61</v>
      </c>
      <c r="AJ1023" s="4">
        <v>6</v>
      </c>
      <c r="AK1023" s="4">
        <v>7</v>
      </c>
      <c r="AL1023" s="4">
        <v>40</v>
      </c>
      <c r="AM1023" s="4">
        <v>41</v>
      </c>
      <c r="AN1023" s="4">
        <v>0</v>
      </c>
      <c r="AO1023" s="4">
        <v>0</v>
      </c>
      <c r="AP1023" s="4">
        <v>6</v>
      </c>
      <c r="AQ1023" s="4">
        <v>7</v>
      </c>
      <c r="AR1023" s="3" t="s">
        <v>65</v>
      </c>
      <c r="AS1023" s="3" t="s">
        <v>65</v>
      </c>
      <c r="AT1023" s="3" t="s">
        <v>65</v>
      </c>
      <c r="AU1023" s="6" t="str">
        <f>HYPERLINK("http://catalog.hathitrust.org/Record/001219030","HathiTrust Record")</f>
        <v>HathiTrust Record</v>
      </c>
      <c r="AV1023" s="6" t="str">
        <f>HYPERLINK("http://mcgill.on.worldcat.org/oclc/2666895","Catalog Record")</f>
        <v>Catalog Record</v>
      </c>
      <c r="AW1023" s="6" t="str">
        <f>HYPERLINK("http://www.worldcat.org/oclc/2666895","WorldCat Record")</f>
        <v>WorldCat Record</v>
      </c>
      <c r="AX1023" s="3" t="s">
        <v>9945</v>
      </c>
      <c r="AY1023" s="3" t="s">
        <v>9946</v>
      </c>
      <c r="AZ1023" s="3" t="s">
        <v>9947</v>
      </c>
      <c r="BA1023" s="3" t="s">
        <v>9947</v>
      </c>
      <c r="BB1023" s="3" t="s">
        <v>9948</v>
      </c>
      <c r="BC1023" s="3" t="s">
        <v>77</v>
      </c>
      <c r="BD1023" s="3" t="s">
        <v>78</v>
      </c>
      <c r="BF1023" s="3" t="s">
        <v>9948</v>
      </c>
      <c r="BG1023" s="3" t="s">
        <v>9949</v>
      </c>
    </row>
    <row r="1024" spans="1:59" ht="58" x14ac:dyDescent="0.35">
      <c r="A1024" s="2" t="s">
        <v>59</v>
      </c>
      <c r="B1024" s="2" t="s">
        <v>60</v>
      </c>
      <c r="C1024" s="2" t="s">
        <v>9950</v>
      </c>
      <c r="D1024" s="2" t="s">
        <v>9951</v>
      </c>
      <c r="E1024" s="2" t="s">
        <v>9952</v>
      </c>
      <c r="G1024" s="3" t="s">
        <v>65</v>
      </c>
      <c r="I1024" s="3" t="s">
        <v>65</v>
      </c>
      <c r="J1024" s="3" t="s">
        <v>65</v>
      </c>
      <c r="K1024" s="3" t="s">
        <v>66</v>
      </c>
      <c r="L1024" s="2" t="s">
        <v>9953</v>
      </c>
      <c r="M1024" s="2" t="s">
        <v>9954</v>
      </c>
      <c r="N1024" s="3" t="s">
        <v>221</v>
      </c>
      <c r="P1024" s="3" t="s">
        <v>69</v>
      </c>
      <c r="Q1024" s="2" t="s">
        <v>9955</v>
      </c>
      <c r="R1024" s="3" t="s">
        <v>71</v>
      </c>
      <c r="S1024" s="4">
        <v>3</v>
      </c>
      <c r="T1024" s="4">
        <v>3</v>
      </c>
      <c r="U1024" s="5" t="s">
        <v>9956</v>
      </c>
      <c r="V1024" s="5" t="s">
        <v>9956</v>
      </c>
      <c r="W1024" s="5" t="s">
        <v>72</v>
      </c>
      <c r="X1024" s="5" t="s">
        <v>72</v>
      </c>
      <c r="Y1024" s="4">
        <v>205</v>
      </c>
      <c r="Z1024" s="4">
        <v>17</v>
      </c>
      <c r="AA1024" s="4">
        <v>94</v>
      </c>
      <c r="AB1024" s="4">
        <v>1</v>
      </c>
      <c r="AC1024" s="4">
        <v>17</v>
      </c>
      <c r="AD1024" s="4">
        <v>93</v>
      </c>
      <c r="AE1024" s="4">
        <v>141</v>
      </c>
      <c r="AF1024" s="4">
        <v>0</v>
      </c>
      <c r="AG1024" s="4">
        <v>8</v>
      </c>
      <c r="AH1024" s="4">
        <v>87</v>
      </c>
      <c r="AI1024" s="4">
        <v>105</v>
      </c>
      <c r="AJ1024" s="4">
        <v>10</v>
      </c>
      <c r="AK1024" s="4">
        <v>24</v>
      </c>
      <c r="AL1024" s="4">
        <v>50</v>
      </c>
      <c r="AM1024" s="4">
        <v>53</v>
      </c>
      <c r="AN1024" s="4">
        <v>0</v>
      </c>
      <c r="AO1024" s="4">
        <v>0</v>
      </c>
      <c r="AP1024" s="4">
        <v>11</v>
      </c>
      <c r="AQ1024" s="4">
        <v>45</v>
      </c>
      <c r="AR1024" s="3" t="s">
        <v>65</v>
      </c>
      <c r="AS1024" s="3" t="s">
        <v>65</v>
      </c>
      <c r="AT1024" s="3" t="s">
        <v>65</v>
      </c>
      <c r="AV1024" s="6" t="str">
        <f>HYPERLINK("http://mcgill.on.worldcat.org/oclc/68711945","Catalog Record")</f>
        <v>Catalog Record</v>
      </c>
      <c r="AW1024" s="6" t="str">
        <f>HYPERLINK("http://www.worldcat.org/oclc/68711945","WorldCat Record")</f>
        <v>WorldCat Record</v>
      </c>
      <c r="AX1024" s="3" t="s">
        <v>9957</v>
      </c>
      <c r="AY1024" s="3" t="s">
        <v>9958</v>
      </c>
      <c r="AZ1024" s="3" t="s">
        <v>9959</v>
      </c>
      <c r="BA1024" s="3" t="s">
        <v>9959</v>
      </c>
      <c r="BB1024" s="3" t="s">
        <v>9960</v>
      </c>
      <c r="BC1024" s="3" t="s">
        <v>77</v>
      </c>
      <c r="BD1024" s="3" t="s">
        <v>78</v>
      </c>
      <c r="BE1024" s="3" t="s">
        <v>9961</v>
      </c>
      <c r="BF1024" s="3" t="s">
        <v>9960</v>
      </c>
      <c r="BG1024" s="3" t="s">
        <v>9962</v>
      </c>
    </row>
    <row r="1025" spans="1:59" ht="58" x14ac:dyDescent="0.35">
      <c r="A1025" s="2" t="s">
        <v>59</v>
      </c>
      <c r="B1025" s="2" t="s">
        <v>60</v>
      </c>
      <c r="C1025" s="2" t="s">
        <v>9963</v>
      </c>
      <c r="D1025" s="2" t="s">
        <v>9964</v>
      </c>
      <c r="E1025" s="2" t="s">
        <v>9965</v>
      </c>
      <c r="G1025" s="3" t="s">
        <v>65</v>
      </c>
      <c r="I1025" s="3" t="s">
        <v>65</v>
      </c>
      <c r="J1025" s="3" t="s">
        <v>65</v>
      </c>
      <c r="K1025" s="3" t="s">
        <v>66</v>
      </c>
      <c r="L1025" s="2" t="s">
        <v>9966</v>
      </c>
      <c r="M1025" s="2" t="s">
        <v>9967</v>
      </c>
      <c r="N1025" s="3" t="s">
        <v>1944</v>
      </c>
      <c r="P1025" s="3" t="s">
        <v>69</v>
      </c>
      <c r="R1025" s="3" t="s">
        <v>71</v>
      </c>
      <c r="S1025" s="4">
        <v>19</v>
      </c>
      <c r="T1025" s="4">
        <v>19</v>
      </c>
      <c r="U1025" s="5" t="s">
        <v>9625</v>
      </c>
      <c r="V1025" s="5" t="s">
        <v>9625</v>
      </c>
      <c r="W1025" s="5" t="s">
        <v>72</v>
      </c>
      <c r="X1025" s="5" t="s">
        <v>72</v>
      </c>
      <c r="Y1025" s="4">
        <v>257</v>
      </c>
      <c r="Z1025" s="4">
        <v>16</v>
      </c>
      <c r="AA1025" s="4">
        <v>20</v>
      </c>
      <c r="AB1025" s="4">
        <v>1</v>
      </c>
      <c r="AC1025" s="4">
        <v>1</v>
      </c>
      <c r="AD1025" s="4">
        <v>97</v>
      </c>
      <c r="AE1025" s="4">
        <v>104</v>
      </c>
      <c r="AF1025" s="4">
        <v>0</v>
      </c>
      <c r="AG1025" s="4">
        <v>0</v>
      </c>
      <c r="AH1025" s="4">
        <v>88</v>
      </c>
      <c r="AI1025" s="4">
        <v>95</v>
      </c>
      <c r="AJ1025" s="4">
        <v>11</v>
      </c>
      <c r="AK1025" s="4">
        <v>12</v>
      </c>
      <c r="AL1025" s="4">
        <v>52</v>
      </c>
      <c r="AM1025" s="4">
        <v>56</v>
      </c>
      <c r="AN1025" s="4">
        <v>0</v>
      </c>
      <c r="AO1025" s="4">
        <v>0</v>
      </c>
      <c r="AP1025" s="4">
        <v>12</v>
      </c>
      <c r="AQ1025" s="4">
        <v>13</v>
      </c>
      <c r="AR1025" s="3" t="s">
        <v>65</v>
      </c>
      <c r="AS1025" s="3" t="s">
        <v>65</v>
      </c>
      <c r="AT1025" s="3" t="s">
        <v>209</v>
      </c>
      <c r="AU1025" s="6" t="str">
        <f>HYPERLINK("http://catalog.hathitrust.org/Record/004115354","HathiTrust Record")</f>
        <v>HathiTrust Record</v>
      </c>
      <c r="AV1025" s="6" t="str">
        <f>HYPERLINK("http://mcgill.on.worldcat.org/oclc/42790785","Catalog Record")</f>
        <v>Catalog Record</v>
      </c>
      <c r="AW1025" s="6" t="str">
        <f>HYPERLINK("http://www.worldcat.org/oclc/42790785","WorldCat Record")</f>
        <v>WorldCat Record</v>
      </c>
      <c r="AX1025" s="3" t="s">
        <v>9968</v>
      </c>
      <c r="AY1025" s="3" t="s">
        <v>9969</v>
      </c>
      <c r="AZ1025" s="3" t="s">
        <v>9970</v>
      </c>
      <c r="BA1025" s="3" t="s">
        <v>9970</v>
      </c>
      <c r="BB1025" s="3" t="s">
        <v>9971</v>
      </c>
      <c r="BC1025" s="3" t="s">
        <v>77</v>
      </c>
      <c r="BD1025" s="3" t="s">
        <v>78</v>
      </c>
      <c r="BE1025" s="3" t="s">
        <v>9972</v>
      </c>
      <c r="BF1025" s="3" t="s">
        <v>9971</v>
      </c>
      <c r="BG1025" s="3" t="s">
        <v>9973</v>
      </c>
    </row>
    <row r="1026" spans="1:59" ht="58" x14ac:dyDescent="0.35">
      <c r="A1026" s="2" t="s">
        <v>59</v>
      </c>
      <c r="B1026" s="2" t="s">
        <v>60</v>
      </c>
      <c r="C1026" s="2" t="s">
        <v>9974</v>
      </c>
      <c r="D1026" s="2" t="s">
        <v>9975</v>
      </c>
      <c r="E1026" s="2" t="s">
        <v>9976</v>
      </c>
      <c r="G1026" s="3" t="s">
        <v>65</v>
      </c>
      <c r="I1026" s="3" t="s">
        <v>65</v>
      </c>
      <c r="J1026" s="3" t="s">
        <v>65</v>
      </c>
      <c r="K1026" s="3" t="s">
        <v>66</v>
      </c>
      <c r="L1026" s="2" t="s">
        <v>9977</v>
      </c>
      <c r="M1026" s="2" t="s">
        <v>9978</v>
      </c>
      <c r="N1026" s="3" t="s">
        <v>5060</v>
      </c>
      <c r="P1026" s="3" t="s">
        <v>69</v>
      </c>
      <c r="R1026" s="3" t="s">
        <v>71</v>
      </c>
      <c r="S1026" s="4">
        <v>13</v>
      </c>
      <c r="T1026" s="4">
        <v>13</v>
      </c>
      <c r="U1026" s="5" t="s">
        <v>9979</v>
      </c>
      <c r="V1026" s="5" t="s">
        <v>9979</v>
      </c>
      <c r="W1026" s="5" t="s">
        <v>72</v>
      </c>
      <c r="X1026" s="5" t="s">
        <v>72</v>
      </c>
      <c r="Y1026" s="4">
        <v>217</v>
      </c>
      <c r="Z1026" s="4">
        <v>17</v>
      </c>
      <c r="AA1026" s="4">
        <v>17</v>
      </c>
      <c r="AB1026" s="4">
        <v>2</v>
      </c>
      <c r="AC1026" s="4">
        <v>2</v>
      </c>
      <c r="AD1026" s="4">
        <v>43</v>
      </c>
      <c r="AE1026" s="4">
        <v>43</v>
      </c>
      <c r="AF1026" s="4">
        <v>1</v>
      </c>
      <c r="AG1026" s="4">
        <v>1</v>
      </c>
      <c r="AH1026" s="4">
        <v>38</v>
      </c>
      <c r="AI1026" s="4">
        <v>38</v>
      </c>
      <c r="AJ1026" s="4">
        <v>10</v>
      </c>
      <c r="AK1026" s="4">
        <v>10</v>
      </c>
      <c r="AL1026" s="4">
        <v>24</v>
      </c>
      <c r="AM1026" s="4">
        <v>24</v>
      </c>
      <c r="AN1026" s="4">
        <v>0</v>
      </c>
      <c r="AO1026" s="4">
        <v>0</v>
      </c>
      <c r="AP1026" s="4">
        <v>9</v>
      </c>
      <c r="AQ1026" s="4">
        <v>9</v>
      </c>
      <c r="AR1026" s="3" t="s">
        <v>65</v>
      </c>
      <c r="AS1026" s="3" t="s">
        <v>65</v>
      </c>
      <c r="AT1026" s="3" t="s">
        <v>209</v>
      </c>
      <c r="AU1026" s="6" t="str">
        <f>HYPERLINK("http://catalog.hathitrust.org/Record/001805267","HathiTrust Record")</f>
        <v>HathiTrust Record</v>
      </c>
      <c r="AV1026" s="6" t="str">
        <f>HYPERLINK("http://mcgill.on.worldcat.org/oclc/3506555","Catalog Record")</f>
        <v>Catalog Record</v>
      </c>
      <c r="AW1026" s="6" t="str">
        <f>HYPERLINK("http://www.worldcat.org/oclc/3506555","WorldCat Record")</f>
        <v>WorldCat Record</v>
      </c>
      <c r="AX1026" s="3" t="s">
        <v>9980</v>
      </c>
      <c r="AY1026" s="3" t="s">
        <v>9981</v>
      </c>
      <c r="AZ1026" s="3" t="s">
        <v>9982</v>
      </c>
      <c r="BA1026" s="3" t="s">
        <v>9982</v>
      </c>
      <c r="BB1026" s="3" t="s">
        <v>9983</v>
      </c>
      <c r="BC1026" s="3" t="s">
        <v>77</v>
      </c>
      <c r="BD1026" s="3" t="s">
        <v>78</v>
      </c>
      <c r="BF1026" s="3" t="s">
        <v>9983</v>
      </c>
      <c r="BG1026" s="3" t="s">
        <v>9984</v>
      </c>
    </row>
    <row r="1027" spans="1:59" ht="58" x14ac:dyDescent="0.35">
      <c r="A1027" s="2" t="s">
        <v>59</v>
      </c>
      <c r="B1027" s="2" t="s">
        <v>60</v>
      </c>
      <c r="C1027" s="2" t="s">
        <v>9985</v>
      </c>
      <c r="D1027" s="2" t="s">
        <v>9986</v>
      </c>
      <c r="E1027" s="2" t="s">
        <v>9987</v>
      </c>
      <c r="G1027" s="3" t="s">
        <v>65</v>
      </c>
      <c r="I1027" s="3" t="s">
        <v>65</v>
      </c>
      <c r="J1027" s="3" t="s">
        <v>65</v>
      </c>
      <c r="K1027" s="3" t="s">
        <v>66</v>
      </c>
      <c r="L1027" s="2" t="s">
        <v>9988</v>
      </c>
      <c r="M1027" s="2" t="s">
        <v>9989</v>
      </c>
      <c r="N1027" s="3" t="s">
        <v>9990</v>
      </c>
      <c r="P1027" s="3" t="s">
        <v>69</v>
      </c>
      <c r="R1027" s="3" t="s">
        <v>71</v>
      </c>
      <c r="S1027" s="4">
        <v>5</v>
      </c>
      <c r="T1027" s="4">
        <v>5</v>
      </c>
      <c r="U1027" s="5" t="s">
        <v>4044</v>
      </c>
      <c r="V1027" s="5" t="s">
        <v>4044</v>
      </c>
      <c r="W1027" s="5" t="s">
        <v>72</v>
      </c>
      <c r="X1027" s="5" t="s">
        <v>72</v>
      </c>
      <c r="Y1027" s="4">
        <v>52</v>
      </c>
      <c r="Z1027" s="4">
        <v>3</v>
      </c>
      <c r="AA1027" s="4">
        <v>9</v>
      </c>
      <c r="AB1027" s="4">
        <v>1</v>
      </c>
      <c r="AC1027" s="4">
        <v>2</v>
      </c>
      <c r="AD1027" s="4">
        <v>18</v>
      </c>
      <c r="AE1027" s="4">
        <v>27</v>
      </c>
      <c r="AF1027" s="4">
        <v>0</v>
      </c>
      <c r="AG1027" s="4">
        <v>1</v>
      </c>
      <c r="AH1027" s="4">
        <v>18</v>
      </c>
      <c r="AI1027" s="4">
        <v>26</v>
      </c>
      <c r="AJ1027" s="4">
        <v>1</v>
      </c>
      <c r="AK1027" s="4">
        <v>3</v>
      </c>
      <c r="AL1027" s="4">
        <v>11</v>
      </c>
      <c r="AM1027" s="4">
        <v>16</v>
      </c>
      <c r="AN1027" s="4">
        <v>0</v>
      </c>
      <c r="AO1027" s="4">
        <v>2</v>
      </c>
      <c r="AP1027" s="4">
        <v>1</v>
      </c>
      <c r="AQ1027" s="4">
        <v>4</v>
      </c>
      <c r="AR1027" s="3" t="s">
        <v>65</v>
      </c>
      <c r="AS1027" s="3" t="s">
        <v>209</v>
      </c>
      <c r="AT1027" s="3" t="s">
        <v>65</v>
      </c>
      <c r="AU1027" s="6" t="str">
        <f>HYPERLINK("http://catalog.hathitrust.org/Record/100748858","HathiTrust Record")</f>
        <v>HathiTrust Record</v>
      </c>
      <c r="AV1027" s="6" t="str">
        <f>HYPERLINK("http://mcgill.on.worldcat.org/oclc/331311","Catalog Record")</f>
        <v>Catalog Record</v>
      </c>
      <c r="AW1027" s="6" t="str">
        <f>HYPERLINK("http://www.worldcat.org/oclc/331311","WorldCat Record")</f>
        <v>WorldCat Record</v>
      </c>
      <c r="AX1027" s="3" t="s">
        <v>9991</v>
      </c>
      <c r="AY1027" s="3" t="s">
        <v>9992</v>
      </c>
      <c r="AZ1027" s="3" t="s">
        <v>9993</v>
      </c>
      <c r="BA1027" s="3" t="s">
        <v>9993</v>
      </c>
      <c r="BB1027" s="3" t="s">
        <v>9994</v>
      </c>
      <c r="BC1027" s="3" t="s">
        <v>77</v>
      </c>
      <c r="BD1027" s="3" t="s">
        <v>78</v>
      </c>
      <c r="BF1027" s="3" t="s">
        <v>9994</v>
      </c>
      <c r="BG1027" s="3" t="s">
        <v>9995</v>
      </c>
    </row>
    <row r="1028" spans="1:59" ht="58" x14ac:dyDescent="0.35">
      <c r="A1028" s="2" t="s">
        <v>59</v>
      </c>
      <c r="B1028" s="2" t="s">
        <v>60</v>
      </c>
      <c r="C1028" s="2" t="s">
        <v>9996</v>
      </c>
      <c r="D1028" s="2" t="s">
        <v>9997</v>
      </c>
      <c r="E1028" s="2" t="s">
        <v>9998</v>
      </c>
      <c r="G1028" s="3" t="s">
        <v>65</v>
      </c>
      <c r="I1028" s="3" t="s">
        <v>65</v>
      </c>
      <c r="J1028" s="3" t="s">
        <v>209</v>
      </c>
      <c r="K1028" s="3" t="s">
        <v>66</v>
      </c>
      <c r="L1028" s="2" t="s">
        <v>9999</v>
      </c>
      <c r="M1028" s="2" t="s">
        <v>10000</v>
      </c>
      <c r="N1028" s="3" t="s">
        <v>221</v>
      </c>
      <c r="O1028" s="2" t="s">
        <v>8378</v>
      </c>
      <c r="P1028" s="3" t="s">
        <v>69</v>
      </c>
      <c r="Q1028" s="2" t="s">
        <v>10001</v>
      </c>
      <c r="R1028" s="3" t="s">
        <v>71</v>
      </c>
      <c r="S1028" s="4">
        <v>52</v>
      </c>
      <c r="T1028" s="4">
        <v>52</v>
      </c>
      <c r="U1028" s="5" t="s">
        <v>4391</v>
      </c>
      <c r="V1028" s="5" t="s">
        <v>4391</v>
      </c>
      <c r="W1028" s="5" t="s">
        <v>72</v>
      </c>
      <c r="X1028" s="5" t="s">
        <v>72</v>
      </c>
      <c r="Y1028" s="4">
        <v>722</v>
      </c>
      <c r="Z1028" s="4">
        <v>33</v>
      </c>
      <c r="AA1028" s="4">
        <v>61</v>
      </c>
      <c r="AB1028" s="4">
        <v>2</v>
      </c>
      <c r="AC1028" s="4">
        <v>7</v>
      </c>
      <c r="AD1028" s="4">
        <v>96</v>
      </c>
      <c r="AE1028" s="4">
        <v>135</v>
      </c>
      <c r="AF1028" s="4">
        <v>1</v>
      </c>
      <c r="AG1028" s="4">
        <v>4</v>
      </c>
      <c r="AH1028" s="4">
        <v>88</v>
      </c>
      <c r="AI1028" s="4">
        <v>111</v>
      </c>
      <c r="AJ1028" s="4">
        <v>11</v>
      </c>
      <c r="AK1028" s="4">
        <v>24</v>
      </c>
      <c r="AL1028" s="4">
        <v>51</v>
      </c>
      <c r="AM1028" s="4">
        <v>58</v>
      </c>
      <c r="AN1028" s="4">
        <v>0</v>
      </c>
      <c r="AO1028" s="4">
        <v>0</v>
      </c>
      <c r="AP1028" s="4">
        <v>15</v>
      </c>
      <c r="AQ1028" s="4">
        <v>34</v>
      </c>
      <c r="AR1028" s="3" t="s">
        <v>65</v>
      </c>
      <c r="AS1028" s="3" t="s">
        <v>65</v>
      </c>
      <c r="AT1028" s="3" t="s">
        <v>65</v>
      </c>
      <c r="AV1028" s="6" t="str">
        <f>HYPERLINK("http://mcgill.on.worldcat.org/oclc/71808130","Catalog Record")</f>
        <v>Catalog Record</v>
      </c>
      <c r="AW1028" s="6" t="str">
        <f>HYPERLINK("http://www.worldcat.org/oclc/71808130","WorldCat Record")</f>
        <v>WorldCat Record</v>
      </c>
      <c r="AX1028" s="3" t="s">
        <v>10002</v>
      </c>
      <c r="AY1028" s="3" t="s">
        <v>10003</v>
      </c>
      <c r="AZ1028" s="3" t="s">
        <v>10004</v>
      </c>
      <c r="BA1028" s="3" t="s">
        <v>10004</v>
      </c>
      <c r="BB1028" s="3" t="s">
        <v>10005</v>
      </c>
      <c r="BC1028" s="3" t="s">
        <v>77</v>
      </c>
      <c r="BD1028" s="3" t="s">
        <v>78</v>
      </c>
      <c r="BE1028" s="3" t="s">
        <v>10006</v>
      </c>
      <c r="BF1028" s="3" t="s">
        <v>10005</v>
      </c>
      <c r="BG1028" s="3" t="s">
        <v>10007</v>
      </c>
    </row>
    <row r="1029" spans="1:59" ht="58" x14ac:dyDescent="0.35">
      <c r="A1029" s="2" t="s">
        <v>59</v>
      </c>
      <c r="B1029" s="2" t="s">
        <v>60</v>
      </c>
      <c r="C1029" s="2" t="s">
        <v>10008</v>
      </c>
      <c r="D1029" s="2" t="s">
        <v>10009</v>
      </c>
      <c r="E1029" s="2" t="s">
        <v>10010</v>
      </c>
      <c r="G1029" s="3" t="s">
        <v>65</v>
      </c>
      <c r="I1029" s="3" t="s">
        <v>65</v>
      </c>
      <c r="J1029" s="3" t="s">
        <v>65</v>
      </c>
      <c r="K1029" s="3" t="s">
        <v>66</v>
      </c>
      <c r="M1029" s="2" t="s">
        <v>10011</v>
      </c>
      <c r="N1029" s="3" t="s">
        <v>126</v>
      </c>
      <c r="O1029" s="2" t="s">
        <v>9205</v>
      </c>
      <c r="P1029" s="3" t="s">
        <v>69</v>
      </c>
      <c r="Q1029" s="2" t="s">
        <v>10012</v>
      </c>
      <c r="R1029" s="3" t="s">
        <v>71</v>
      </c>
      <c r="S1029" s="4">
        <v>4</v>
      </c>
      <c r="T1029" s="4">
        <v>4</v>
      </c>
      <c r="U1029" s="5" t="s">
        <v>9898</v>
      </c>
      <c r="V1029" s="5" t="s">
        <v>9898</v>
      </c>
      <c r="W1029" s="5" t="s">
        <v>72</v>
      </c>
      <c r="X1029" s="5" t="s">
        <v>72</v>
      </c>
      <c r="Y1029" s="4">
        <v>149</v>
      </c>
      <c r="Z1029" s="4">
        <v>7</v>
      </c>
      <c r="AA1029" s="4">
        <v>34</v>
      </c>
      <c r="AB1029" s="4">
        <v>2</v>
      </c>
      <c r="AC1029" s="4">
        <v>6</v>
      </c>
      <c r="AD1029" s="4">
        <v>29</v>
      </c>
      <c r="AE1029" s="4">
        <v>75</v>
      </c>
      <c r="AF1029" s="4">
        <v>1</v>
      </c>
      <c r="AG1029" s="4">
        <v>1</v>
      </c>
      <c r="AH1029" s="4">
        <v>27</v>
      </c>
      <c r="AI1029" s="4">
        <v>65</v>
      </c>
      <c r="AJ1029" s="4">
        <v>3</v>
      </c>
      <c r="AK1029" s="4">
        <v>9</v>
      </c>
      <c r="AL1029" s="4">
        <v>17</v>
      </c>
      <c r="AM1029" s="4">
        <v>38</v>
      </c>
      <c r="AN1029" s="4">
        <v>0</v>
      </c>
      <c r="AO1029" s="4">
        <v>0</v>
      </c>
      <c r="AP1029" s="4">
        <v>4</v>
      </c>
      <c r="AQ1029" s="4">
        <v>13</v>
      </c>
      <c r="AR1029" s="3" t="s">
        <v>65</v>
      </c>
      <c r="AS1029" s="3" t="s">
        <v>65</v>
      </c>
      <c r="AT1029" s="3" t="s">
        <v>65</v>
      </c>
      <c r="AV1029" s="6" t="str">
        <f>HYPERLINK("http://mcgill.on.worldcat.org/oclc/460053382","Catalog Record")</f>
        <v>Catalog Record</v>
      </c>
      <c r="AW1029" s="6" t="str">
        <f>HYPERLINK("http://www.worldcat.org/oclc/460053382","WorldCat Record")</f>
        <v>WorldCat Record</v>
      </c>
      <c r="AX1029" s="3" t="s">
        <v>10013</v>
      </c>
      <c r="AY1029" s="3" t="s">
        <v>10014</v>
      </c>
      <c r="AZ1029" s="3" t="s">
        <v>10015</v>
      </c>
      <c r="BA1029" s="3" t="s">
        <v>10015</v>
      </c>
      <c r="BB1029" s="3" t="s">
        <v>10016</v>
      </c>
      <c r="BC1029" s="3" t="s">
        <v>77</v>
      </c>
      <c r="BD1029" s="3" t="s">
        <v>78</v>
      </c>
      <c r="BE1029" s="3" t="s">
        <v>10017</v>
      </c>
      <c r="BF1029" s="3" t="s">
        <v>10016</v>
      </c>
      <c r="BG1029" s="3" t="s">
        <v>10018</v>
      </c>
    </row>
    <row r="1030" spans="1:59" ht="58" x14ac:dyDescent="0.35">
      <c r="A1030" s="2" t="s">
        <v>59</v>
      </c>
      <c r="B1030" s="2" t="s">
        <v>60</v>
      </c>
      <c r="C1030" s="2" t="s">
        <v>10019</v>
      </c>
      <c r="D1030" s="2" t="s">
        <v>10020</v>
      </c>
      <c r="E1030" s="2" t="s">
        <v>10021</v>
      </c>
      <c r="G1030" s="3" t="s">
        <v>65</v>
      </c>
      <c r="I1030" s="3" t="s">
        <v>65</v>
      </c>
      <c r="J1030" s="3" t="s">
        <v>65</v>
      </c>
      <c r="K1030" s="3" t="s">
        <v>66</v>
      </c>
      <c r="M1030" s="2" t="s">
        <v>10022</v>
      </c>
      <c r="N1030" s="3" t="s">
        <v>3385</v>
      </c>
      <c r="P1030" s="3" t="s">
        <v>69</v>
      </c>
      <c r="Q1030" s="2" t="s">
        <v>10023</v>
      </c>
      <c r="R1030" s="3" t="s">
        <v>71</v>
      </c>
      <c r="S1030" s="4">
        <v>13</v>
      </c>
      <c r="T1030" s="4">
        <v>13</v>
      </c>
      <c r="U1030" s="5" t="s">
        <v>10024</v>
      </c>
      <c r="V1030" s="5" t="s">
        <v>10024</v>
      </c>
      <c r="W1030" s="5" t="s">
        <v>72</v>
      </c>
      <c r="X1030" s="5" t="s">
        <v>72</v>
      </c>
      <c r="Y1030" s="4">
        <v>213</v>
      </c>
      <c r="Z1030" s="4">
        <v>16</v>
      </c>
      <c r="AA1030" s="4">
        <v>16</v>
      </c>
      <c r="AB1030" s="4">
        <v>1</v>
      </c>
      <c r="AC1030" s="4">
        <v>1</v>
      </c>
      <c r="AD1030" s="4">
        <v>68</v>
      </c>
      <c r="AE1030" s="4">
        <v>68</v>
      </c>
      <c r="AF1030" s="4">
        <v>0</v>
      </c>
      <c r="AG1030" s="4">
        <v>0</v>
      </c>
      <c r="AH1030" s="4">
        <v>62</v>
      </c>
      <c r="AI1030" s="4">
        <v>62</v>
      </c>
      <c r="AJ1030" s="4">
        <v>9</v>
      </c>
      <c r="AK1030" s="4">
        <v>9</v>
      </c>
      <c r="AL1030" s="4">
        <v>40</v>
      </c>
      <c r="AM1030" s="4">
        <v>40</v>
      </c>
      <c r="AN1030" s="4">
        <v>0</v>
      </c>
      <c r="AO1030" s="4">
        <v>0</v>
      </c>
      <c r="AP1030" s="4">
        <v>10</v>
      </c>
      <c r="AQ1030" s="4">
        <v>10</v>
      </c>
      <c r="AR1030" s="3" t="s">
        <v>65</v>
      </c>
      <c r="AS1030" s="3" t="s">
        <v>65</v>
      </c>
      <c r="AT1030" s="3" t="s">
        <v>209</v>
      </c>
      <c r="AU1030" s="6" t="str">
        <f>HYPERLINK("http://catalog.hathitrust.org/Record/004031514","HathiTrust Record")</f>
        <v>HathiTrust Record</v>
      </c>
      <c r="AV1030" s="6" t="str">
        <f>HYPERLINK("http://mcgill.on.worldcat.org/oclc/40683882","Catalog Record")</f>
        <v>Catalog Record</v>
      </c>
      <c r="AW1030" s="6" t="str">
        <f>HYPERLINK("http://www.worldcat.org/oclc/40683882","WorldCat Record")</f>
        <v>WorldCat Record</v>
      </c>
      <c r="AX1030" s="3" t="s">
        <v>10025</v>
      </c>
      <c r="AY1030" s="3" t="s">
        <v>10026</v>
      </c>
      <c r="AZ1030" s="3" t="s">
        <v>10027</v>
      </c>
      <c r="BA1030" s="3" t="s">
        <v>10027</v>
      </c>
      <c r="BB1030" s="3" t="s">
        <v>10028</v>
      </c>
      <c r="BC1030" s="3" t="s">
        <v>77</v>
      </c>
      <c r="BD1030" s="3" t="s">
        <v>78</v>
      </c>
      <c r="BE1030" s="3" t="s">
        <v>10029</v>
      </c>
      <c r="BF1030" s="3" t="s">
        <v>10028</v>
      </c>
      <c r="BG1030" s="3" t="s">
        <v>10030</v>
      </c>
    </row>
    <row r="1031" spans="1:59" ht="58" x14ac:dyDescent="0.35">
      <c r="A1031" s="2" t="s">
        <v>59</v>
      </c>
      <c r="B1031" s="2" t="s">
        <v>60</v>
      </c>
      <c r="C1031" s="2" t="s">
        <v>10031</v>
      </c>
      <c r="D1031" s="2" t="s">
        <v>10032</v>
      </c>
      <c r="E1031" s="2" t="s">
        <v>10033</v>
      </c>
      <c r="G1031" s="3" t="s">
        <v>65</v>
      </c>
      <c r="I1031" s="3" t="s">
        <v>65</v>
      </c>
      <c r="J1031" s="3" t="s">
        <v>65</v>
      </c>
      <c r="K1031" s="3" t="s">
        <v>66</v>
      </c>
      <c r="M1031" s="2" t="s">
        <v>10034</v>
      </c>
      <c r="N1031" s="3" t="s">
        <v>126</v>
      </c>
      <c r="P1031" s="3" t="s">
        <v>69</v>
      </c>
      <c r="R1031" s="3" t="s">
        <v>71</v>
      </c>
      <c r="S1031" s="4">
        <v>0</v>
      </c>
      <c r="T1031" s="4">
        <v>0</v>
      </c>
      <c r="W1031" s="5" t="s">
        <v>72</v>
      </c>
      <c r="X1031" s="5" t="s">
        <v>72</v>
      </c>
      <c r="Y1031" s="4">
        <v>108</v>
      </c>
      <c r="Z1031" s="4">
        <v>10</v>
      </c>
      <c r="AA1031" s="4">
        <v>17</v>
      </c>
      <c r="AB1031" s="4">
        <v>1</v>
      </c>
      <c r="AC1031" s="4">
        <v>4</v>
      </c>
      <c r="AD1031" s="4">
        <v>53</v>
      </c>
      <c r="AE1031" s="4">
        <v>60</v>
      </c>
      <c r="AF1031" s="4">
        <v>0</v>
      </c>
      <c r="AG1031" s="4">
        <v>0</v>
      </c>
      <c r="AH1031" s="4">
        <v>52</v>
      </c>
      <c r="AI1031" s="4">
        <v>59</v>
      </c>
      <c r="AJ1031" s="4">
        <v>8</v>
      </c>
      <c r="AK1031" s="4">
        <v>11</v>
      </c>
      <c r="AL1031" s="4">
        <v>32</v>
      </c>
      <c r="AM1031" s="4">
        <v>35</v>
      </c>
      <c r="AN1031" s="4">
        <v>0</v>
      </c>
      <c r="AO1031" s="4">
        <v>0</v>
      </c>
      <c r="AP1031" s="4">
        <v>8</v>
      </c>
      <c r="AQ1031" s="4">
        <v>11</v>
      </c>
      <c r="AR1031" s="3" t="s">
        <v>65</v>
      </c>
      <c r="AS1031" s="3" t="s">
        <v>65</v>
      </c>
      <c r="AT1031" s="3" t="s">
        <v>65</v>
      </c>
      <c r="AV1031" s="6" t="str">
        <f>HYPERLINK("http://mcgill.on.worldcat.org/oclc/706789923","Catalog Record")</f>
        <v>Catalog Record</v>
      </c>
      <c r="AW1031" s="6" t="str">
        <f>HYPERLINK("http://www.worldcat.org/oclc/706789923","WorldCat Record")</f>
        <v>WorldCat Record</v>
      </c>
      <c r="AX1031" s="3" t="s">
        <v>10035</v>
      </c>
      <c r="AY1031" s="3" t="s">
        <v>10036</v>
      </c>
      <c r="AZ1031" s="3" t="s">
        <v>10037</v>
      </c>
      <c r="BA1031" s="3" t="s">
        <v>10037</v>
      </c>
      <c r="BB1031" s="3" t="s">
        <v>10038</v>
      </c>
      <c r="BC1031" s="3" t="s">
        <v>77</v>
      </c>
      <c r="BD1031" s="3" t="s">
        <v>78</v>
      </c>
      <c r="BE1031" s="3" t="s">
        <v>10039</v>
      </c>
      <c r="BF1031" s="3" t="s">
        <v>10038</v>
      </c>
      <c r="BG1031" s="3" t="s">
        <v>10040</v>
      </c>
    </row>
    <row r="1032" spans="1:59" ht="58" x14ac:dyDescent="0.35">
      <c r="A1032" s="2" t="s">
        <v>59</v>
      </c>
      <c r="B1032" s="2" t="s">
        <v>60</v>
      </c>
      <c r="C1032" s="2" t="s">
        <v>10041</v>
      </c>
      <c r="D1032" s="2" t="s">
        <v>10042</v>
      </c>
      <c r="E1032" s="2" t="s">
        <v>10043</v>
      </c>
      <c r="G1032" s="3" t="s">
        <v>65</v>
      </c>
      <c r="I1032" s="3" t="s">
        <v>65</v>
      </c>
      <c r="J1032" s="3" t="s">
        <v>65</v>
      </c>
      <c r="K1032" s="3" t="s">
        <v>66</v>
      </c>
      <c r="M1032" s="2" t="s">
        <v>10044</v>
      </c>
      <c r="N1032" s="3" t="s">
        <v>221</v>
      </c>
      <c r="P1032" s="3" t="s">
        <v>69</v>
      </c>
      <c r="R1032" s="3" t="s">
        <v>71</v>
      </c>
      <c r="S1032" s="4">
        <v>4</v>
      </c>
      <c r="T1032" s="4">
        <v>4</v>
      </c>
      <c r="U1032" s="5" t="s">
        <v>1495</v>
      </c>
      <c r="V1032" s="5" t="s">
        <v>1495</v>
      </c>
      <c r="W1032" s="5" t="s">
        <v>72</v>
      </c>
      <c r="X1032" s="5" t="s">
        <v>72</v>
      </c>
      <c r="Y1032" s="4">
        <v>201</v>
      </c>
      <c r="Z1032" s="4">
        <v>18</v>
      </c>
      <c r="AA1032" s="4">
        <v>21</v>
      </c>
      <c r="AB1032" s="4">
        <v>1</v>
      </c>
      <c r="AC1032" s="4">
        <v>4</v>
      </c>
      <c r="AD1032" s="4">
        <v>83</v>
      </c>
      <c r="AE1032" s="4">
        <v>83</v>
      </c>
      <c r="AF1032" s="4">
        <v>0</v>
      </c>
      <c r="AG1032" s="4">
        <v>0</v>
      </c>
      <c r="AH1032" s="4">
        <v>74</v>
      </c>
      <c r="AI1032" s="4">
        <v>74</v>
      </c>
      <c r="AJ1032" s="4">
        <v>13</v>
      </c>
      <c r="AK1032" s="4">
        <v>13</v>
      </c>
      <c r="AL1032" s="4">
        <v>46</v>
      </c>
      <c r="AM1032" s="4">
        <v>46</v>
      </c>
      <c r="AN1032" s="4">
        <v>0</v>
      </c>
      <c r="AO1032" s="4">
        <v>0</v>
      </c>
      <c r="AP1032" s="4">
        <v>15</v>
      </c>
      <c r="AQ1032" s="4">
        <v>15</v>
      </c>
      <c r="AR1032" s="3" t="s">
        <v>65</v>
      </c>
      <c r="AS1032" s="3" t="s">
        <v>65</v>
      </c>
      <c r="AT1032" s="3" t="s">
        <v>209</v>
      </c>
      <c r="AU1032" s="6" t="str">
        <f>HYPERLINK("http://catalog.hathitrust.org/Record/005635155","HathiTrust Record")</f>
        <v>HathiTrust Record</v>
      </c>
      <c r="AV1032" s="6" t="str">
        <f>HYPERLINK("http://mcgill.on.worldcat.org/oclc/83609616","Catalog Record")</f>
        <v>Catalog Record</v>
      </c>
      <c r="AW1032" s="6" t="str">
        <f>HYPERLINK("http://www.worldcat.org/oclc/83609616","WorldCat Record")</f>
        <v>WorldCat Record</v>
      </c>
      <c r="AX1032" s="3" t="s">
        <v>10045</v>
      </c>
      <c r="AY1032" s="3" t="s">
        <v>10046</v>
      </c>
      <c r="AZ1032" s="3" t="s">
        <v>10047</v>
      </c>
      <c r="BA1032" s="3" t="s">
        <v>10047</v>
      </c>
      <c r="BB1032" s="3" t="s">
        <v>10048</v>
      </c>
      <c r="BC1032" s="3" t="s">
        <v>77</v>
      </c>
      <c r="BD1032" s="3" t="s">
        <v>78</v>
      </c>
      <c r="BE1032" s="3" t="s">
        <v>10049</v>
      </c>
      <c r="BF1032" s="3" t="s">
        <v>10048</v>
      </c>
      <c r="BG1032" s="3" t="s">
        <v>10050</v>
      </c>
    </row>
    <row r="1033" spans="1:59" ht="58" x14ac:dyDescent="0.35">
      <c r="A1033" s="2" t="s">
        <v>59</v>
      </c>
      <c r="B1033" s="2" t="s">
        <v>60</v>
      </c>
      <c r="C1033" s="2" t="s">
        <v>10051</v>
      </c>
      <c r="D1033" s="2" t="s">
        <v>10052</v>
      </c>
      <c r="E1033" s="2" t="s">
        <v>10053</v>
      </c>
      <c r="G1033" s="3" t="s">
        <v>65</v>
      </c>
      <c r="I1033" s="3" t="s">
        <v>65</v>
      </c>
      <c r="J1033" s="3" t="s">
        <v>65</v>
      </c>
      <c r="K1033" s="3" t="s">
        <v>66</v>
      </c>
      <c r="L1033" s="2" t="s">
        <v>10054</v>
      </c>
      <c r="M1033" s="2" t="s">
        <v>10055</v>
      </c>
      <c r="N1033" s="3" t="s">
        <v>99</v>
      </c>
      <c r="P1033" s="3" t="s">
        <v>69</v>
      </c>
      <c r="Q1033" s="2" t="s">
        <v>10056</v>
      </c>
      <c r="R1033" s="3" t="s">
        <v>71</v>
      </c>
      <c r="S1033" s="4">
        <v>8</v>
      </c>
      <c r="T1033" s="4">
        <v>8</v>
      </c>
      <c r="U1033" s="5" t="s">
        <v>9898</v>
      </c>
      <c r="V1033" s="5" t="s">
        <v>9898</v>
      </c>
      <c r="W1033" s="5" t="s">
        <v>72</v>
      </c>
      <c r="X1033" s="5" t="s">
        <v>72</v>
      </c>
      <c r="Y1033" s="4">
        <v>371</v>
      </c>
      <c r="Z1033" s="4">
        <v>21</v>
      </c>
      <c r="AA1033" s="4">
        <v>21</v>
      </c>
      <c r="AB1033" s="4">
        <v>1</v>
      </c>
      <c r="AC1033" s="4">
        <v>1</v>
      </c>
      <c r="AD1033" s="4">
        <v>94</v>
      </c>
      <c r="AE1033" s="4">
        <v>94</v>
      </c>
      <c r="AF1033" s="4">
        <v>0</v>
      </c>
      <c r="AG1033" s="4">
        <v>0</v>
      </c>
      <c r="AH1033" s="4">
        <v>89</v>
      </c>
      <c r="AI1033" s="4">
        <v>89</v>
      </c>
      <c r="AJ1033" s="4">
        <v>11</v>
      </c>
      <c r="AK1033" s="4">
        <v>11</v>
      </c>
      <c r="AL1033" s="4">
        <v>50</v>
      </c>
      <c r="AM1033" s="4">
        <v>50</v>
      </c>
      <c r="AN1033" s="4">
        <v>0</v>
      </c>
      <c r="AO1033" s="4">
        <v>0</v>
      </c>
      <c r="AP1033" s="4">
        <v>11</v>
      </c>
      <c r="AQ1033" s="4">
        <v>11</v>
      </c>
      <c r="AR1033" s="3" t="s">
        <v>65</v>
      </c>
      <c r="AS1033" s="3" t="s">
        <v>65</v>
      </c>
      <c r="AT1033" s="3" t="s">
        <v>65</v>
      </c>
      <c r="AV1033" s="6" t="str">
        <f>HYPERLINK("http://mcgill.on.worldcat.org/oclc/62127941","Catalog Record")</f>
        <v>Catalog Record</v>
      </c>
      <c r="AW1033" s="6" t="str">
        <f>HYPERLINK("http://www.worldcat.org/oclc/62127941","WorldCat Record")</f>
        <v>WorldCat Record</v>
      </c>
      <c r="AX1033" s="3" t="s">
        <v>10057</v>
      </c>
      <c r="AY1033" s="3" t="s">
        <v>10058</v>
      </c>
      <c r="AZ1033" s="3" t="s">
        <v>10059</v>
      </c>
      <c r="BA1033" s="3" t="s">
        <v>10059</v>
      </c>
      <c r="BB1033" s="3" t="s">
        <v>10060</v>
      </c>
      <c r="BC1033" s="3" t="s">
        <v>77</v>
      </c>
      <c r="BD1033" s="3" t="s">
        <v>78</v>
      </c>
      <c r="BE1033" s="3" t="s">
        <v>10061</v>
      </c>
      <c r="BF1033" s="3" t="s">
        <v>10060</v>
      </c>
      <c r="BG1033" s="3" t="s">
        <v>10062</v>
      </c>
    </row>
    <row r="1034" spans="1:59" ht="58" x14ac:dyDescent="0.35">
      <c r="A1034" s="2" t="s">
        <v>59</v>
      </c>
      <c r="B1034" s="2" t="s">
        <v>60</v>
      </c>
      <c r="C1034" s="2" t="s">
        <v>10063</v>
      </c>
      <c r="D1034" s="2" t="s">
        <v>10064</v>
      </c>
      <c r="E1034" s="2" t="s">
        <v>10065</v>
      </c>
      <c r="G1034" s="3" t="s">
        <v>65</v>
      </c>
      <c r="I1034" s="3" t="s">
        <v>65</v>
      </c>
      <c r="J1034" s="3" t="s">
        <v>65</v>
      </c>
      <c r="K1034" s="3" t="s">
        <v>66</v>
      </c>
      <c r="L1034" s="2" t="s">
        <v>7803</v>
      </c>
      <c r="M1034" s="2" t="s">
        <v>10066</v>
      </c>
      <c r="N1034" s="3" t="s">
        <v>364</v>
      </c>
      <c r="P1034" s="3" t="s">
        <v>69</v>
      </c>
      <c r="R1034" s="3" t="s">
        <v>71</v>
      </c>
      <c r="S1034" s="4">
        <v>15</v>
      </c>
      <c r="T1034" s="4">
        <v>15</v>
      </c>
      <c r="U1034" s="5" t="s">
        <v>10024</v>
      </c>
      <c r="V1034" s="5" t="s">
        <v>10024</v>
      </c>
      <c r="W1034" s="5" t="s">
        <v>72</v>
      </c>
      <c r="X1034" s="5" t="s">
        <v>72</v>
      </c>
      <c r="Y1034" s="4">
        <v>1024</v>
      </c>
      <c r="Z1034" s="4">
        <v>38</v>
      </c>
      <c r="AA1034" s="4">
        <v>39</v>
      </c>
      <c r="AB1034" s="4">
        <v>4</v>
      </c>
      <c r="AC1034" s="4">
        <v>5</v>
      </c>
      <c r="AD1034" s="4">
        <v>122</v>
      </c>
      <c r="AE1034" s="4">
        <v>123</v>
      </c>
      <c r="AF1034" s="4">
        <v>1</v>
      </c>
      <c r="AG1034" s="4">
        <v>2</v>
      </c>
      <c r="AH1034" s="4">
        <v>104</v>
      </c>
      <c r="AI1034" s="4">
        <v>105</v>
      </c>
      <c r="AJ1034" s="4">
        <v>17</v>
      </c>
      <c r="AK1034" s="4">
        <v>18</v>
      </c>
      <c r="AL1034" s="4">
        <v>57</v>
      </c>
      <c r="AM1034" s="4">
        <v>57</v>
      </c>
      <c r="AN1034" s="4">
        <v>0</v>
      </c>
      <c r="AO1034" s="4">
        <v>0</v>
      </c>
      <c r="AP1034" s="4">
        <v>24</v>
      </c>
      <c r="AQ1034" s="4">
        <v>25</v>
      </c>
      <c r="AR1034" s="3" t="s">
        <v>65</v>
      </c>
      <c r="AS1034" s="3" t="s">
        <v>65</v>
      </c>
      <c r="AT1034" s="3" t="s">
        <v>65</v>
      </c>
      <c r="AV1034" s="6" t="str">
        <f>HYPERLINK("http://mcgill.on.worldcat.org/oclc/45087277","Catalog Record")</f>
        <v>Catalog Record</v>
      </c>
      <c r="AW1034" s="6" t="str">
        <f>HYPERLINK("http://www.worldcat.org/oclc/45087277","WorldCat Record")</f>
        <v>WorldCat Record</v>
      </c>
      <c r="AX1034" s="3" t="s">
        <v>10067</v>
      </c>
      <c r="AY1034" s="3" t="s">
        <v>10068</v>
      </c>
      <c r="AZ1034" s="3" t="s">
        <v>10069</v>
      </c>
      <c r="BA1034" s="3" t="s">
        <v>10069</v>
      </c>
      <c r="BB1034" s="3" t="s">
        <v>10070</v>
      </c>
      <c r="BC1034" s="3" t="s">
        <v>77</v>
      </c>
      <c r="BD1034" s="3" t="s">
        <v>78</v>
      </c>
      <c r="BE1034" s="3" t="s">
        <v>10071</v>
      </c>
      <c r="BF1034" s="3" t="s">
        <v>10070</v>
      </c>
      <c r="BG1034" s="3" t="s">
        <v>10072</v>
      </c>
    </row>
    <row r="1035" spans="1:59" ht="58" x14ac:dyDescent="0.35">
      <c r="A1035" s="2" t="s">
        <v>59</v>
      </c>
      <c r="B1035" s="2" t="s">
        <v>60</v>
      </c>
      <c r="C1035" s="2" t="s">
        <v>10073</v>
      </c>
      <c r="D1035" s="2" t="s">
        <v>10074</v>
      </c>
      <c r="E1035" s="2" t="s">
        <v>10075</v>
      </c>
      <c r="G1035" s="3" t="s">
        <v>65</v>
      </c>
      <c r="I1035" s="3" t="s">
        <v>65</v>
      </c>
      <c r="J1035" s="3" t="s">
        <v>65</v>
      </c>
      <c r="K1035" s="3" t="s">
        <v>66</v>
      </c>
      <c r="L1035" s="2" t="s">
        <v>10076</v>
      </c>
      <c r="M1035" s="2" t="s">
        <v>10077</v>
      </c>
      <c r="N1035" s="3" t="s">
        <v>126</v>
      </c>
      <c r="O1035" s="2" t="s">
        <v>526</v>
      </c>
      <c r="P1035" s="3" t="s">
        <v>69</v>
      </c>
      <c r="Q1035" s="2" t="s">
        <v>10078</v>
      </c>
      <c r="R1035" s="3" t="s">
        <v>71</v>
      </c>
      <c r="S1035" s="4">
        <v>0</v>
      </c>
      <c r="T1035" s="4">
        <v>0</v>
      </c>
      <c r="W1035" s="5" t="s">
        <v>72</v>
      </c>
      <c r="X1035" s="5" t="s">
        <v>72</v>
      </c>
      <c r="Y1035" s="4">
        <v>51</v>
      </c>
      <c r="Z1035" s="4">
        <v>3</v>
      </c>
      <c r="AA1035" s="4">
        <v>8</v>
      </c>
      <c r="AB1035" s="4">
        <v>1</v>
      </c>
      <c r="AC1035" s="4">
        <v>3</v>
      </c>
      <c r="AD1035" s="4">
        <v>3</v>
      </c>
      <c r="AE1035" s="4">
        <v>5</v>
      </c>
      <c r="AF1035" s="4">
        <v>0</v>
      </c>
      <c r="AG1035" s="4">
        <v>0</v>
      </c>
      <c r="AH1035" s="4">
        <v>3</v>
      </c>
      <c r="AI1035" s="4">
        <v>5</v>
      </c>
      <c r="AJ1035" s="4">
        <v>0</v>
      </c>
      <c r="AK1035" s="4">
        <v>0</v>
      </c>
      <c r="AL1035" s="4">
        <v>1</v>
      </c>
      <c r="AM1035" s="4">
        <v>2</v>
      </c>
      <c r="AN1035" s="4">
        <v>0</v>
      </c>
      <c r="AO1035" s="4">
        <v>0</v>
      </c>
      <c r="AP1035" s="4">
        <v>0</v>
      </c>
      <c r="AQ1035" s="4">
        <v>0</v>
      </c>
      <c r="AR1035" s="3" t="s">
        <v>65</v>
      </c>
      <c r="AS1035" s="3" t="s">
        <v>65</v>
      </c>
      <c r="AT1035" s="3" t="s">
        <v>65</v>
      </c>
      <c r="AV1035" s="6" t="str">
        <f>HYPERLINK("http://mcgill.on.worldcat.org/oclc/757148915","Catalog Record")</f>
        <v>Catalog Record</v>
      </c>
      <c r="AW1035" s="6" t="str">
        <f>HYPERLINK("http://www.worldcat.org/oclc/757148915","WorldCat Record")</f>
        <v>WorldCat Record</v>
      </c>
      <c r="AX1035" s="3" t="s">
        <v>10079</v>
      </c>
      <c r="AY1035" s="3" t="s">
        <v>10080</v>
      </c>
      <c r="AZ1035" s="3" t="s">
        <v>10081</v>
      </c>
      <c r="BA1035" s="3" t="s">
        <v>10081</v>
      </c>
      <c r="BB1035" s="3" t="s">
        <v>10082</v>
      </c>
      <c r="BC1035" s="3" t="s">
        <v>77</v>
      </c>
      <c r="BD1035" s="3" t="s">
        <v>78</v>
      </c>
      <c r="BE1035" s="3" t="s">
        <v>10083</v>
      </c>
      <c r="BF1035" s="3" t="s">
        <v>10082</v>
      </c>
      <c r="BG1035" s="3" t="s">
        <v>10084</v>
      </c>
    </row>
    <row r="1036" spans="1:59" ht="58" x14ac:dyDescent="0.35">
      <c r="A1036" s="2" t="s">
        <v>59</v>
      </c>
      <c r="B1036" s="2" t="s">
        <v>60</v>
      </c>
      <c r="C1036" s="2" t="s">
        <v>10085</v>
      </c>
      <c r="D1036" s="2" t="s">
        <v>10086</v>
      </c>
      <c r="E1036" s="2" t="s">
        <v>10087</v>
      </c>
      <c r="G1036" s="3" t="s">
        <v>65</v>
      </c>
      <c r="I1036" s="3" t="s">
        <v>65</v>
      </c>
      <c r="J1036" s="3" t="s">
        <v>65</v>
      </c>
      <c r="K1036" s="3" t="s">
        <v>66</v>
      </c>
      <c r="L1036" s="2" t="s">
        <v>10088</v>
      </c>
      <c r="M1036" s="2" t="s">
        <v>10089</v>
      </c>
      <c r="N1036" s="3" t="s">
        <v>364</v>
      </c>
      <c r="P1036" s="3" t="s">
        <v>69</v>
      </c>
      <c r="Q1036" s="2" t="s">
        <v>10090</v>
      </c>
      <c r="R1036" s="3" t="s">
        <v>71</v>
      </c>
      <c r="S1036" s="4">
        <v>9</v>
      </c>
      <c r="T1036" s="4">
        <v>9</v>
      </c>
      <c r="U1036" s="5" t="s">
        <v>4044</v>
      </c>
      <c r="V1036" s="5" t="s">
        <v>4044</v>
      </c>
      <c r="W1036" s="5" t="s">
        <v>72</v>
      </c>
      <c r="X1036" s="5" t="s">
        <v>72</v>
      </c>
      <c r="Y1036" s="4">
        <v>1442</v>
      </c>
      <c r="Z1036" s="4">
        <v>47</v>
      </c>
      <c r="AA1036" s="4">
        <v>61</v>
      </c>
      <c r="AB1036" s="4">
        <v>3</v>
      </c>
      <c r="AC1036" s="4">
        <v>5</v>
      </c>
      <c r="AD1036" s="4">
        <v>116</v>
      </c>
      <c r="AE1036" s="4">
        <v>118</v>
      </c>
      <c r="AF1036" s="4">
        <v>1</v>
      </c>
      <c r="AG1036" s="4">
        <v>1</v>
      </c>
      <c r="AH1036" s="4">
        <v>99</v>
      </c>
      <c r="AI1036" s="4">
        <v>100</v>
      </c>
      <c r="AJ1036" s="4">
        <v>12</v>
      </c>
      <c r="AK1036" s="4">
        <v>13</v>
      </c>
      <c r="AL1036" s="4">
        <v>53</v>
      </c>
      <c r="AM1036" s="4">
        <v>54</v>
      </c>
      <c r="AN1036" s="4">
        <v>0</v>
      </c>
      <c r="AO1036" s="4">
        <v>0</v>
      </c>
      <c r="AP1036" s="4">
        <v>22</v>
      </c>
      <c r="AQ1036" s="4">
        <v>24</v>
      </c>
      <c r="AR1036" s="3" t="s">
        <v>65</v>
      </c>
      <c r="AS1036" s="3" t="s">
        <v>65</v>
      </c>
      <c r="AT1036" s="3" t="s">
        <v>209</v>
      </c>
      <c r="AU1036" s="6" t="str">
        <f>HYPERLINK("http://catalog.hathitrust.org/Record/004181324","HathiTrust Record")</f>
        <v>HathiTrust Record</v>
      </c>
      <c r="AV1036" s="6" t="str">
        <f>HYPERLINK("http://mcgill.on.worldcat.org/oclc/44632921","Catalog Record")</f>
        <v>Catalog Record</v>
      </c>
      <c r="AW1036" s="6" t="str">
        <f>HYPERLINK("http://www.worldcat.org/oclc/44632921","WorldCat Record")</f>
        <v>WorldCat Record</v>
      </c>
      <c r="AX1036" s="3" t="s">
        <v>10091</v>
      </c>
      <c r="AY1036" s="3" t="s">
        <v>10092</v>
      </c>
      <c r="AZ1036" s="3" t="s">
        <v>10093</v>
      </c>
      <c r="BA1036" s="3" t="s">
        <v>10093</v>
      </c>
      <c r="BB1036" s="3" t="s">
        <v>10094</v>
      </c>
      <c r="BC1036" s="3" t="s">
        <v>77</v>
      </c>
      <c r="BD1036" s="3" t="s">
        <v>78</v>
      </c>
      <c r="BE1036" s="3" t="s">
        <v>10095</v>
      </c>
      <c r="BF1036" s="3" t="s">
        <v>10094</v>
      </c>
      <c r="BG1036" s="3" t="s">
        <v>10096</v>
      </c>
    </row>
    <row r="1037" spans="1:59" ht="58" x14ac:dyDescent="0.35">
      <c r="A1037" s="2" t="s">
        <v>59</v>
      </c>
      <c r="B1037" s="2" t="s">
        <v>60</v>
      </c>
      <c r="C1037" s="2" t="s">
        <v>10097</v>
      </c>
      <c r="D1037" s="2" t="s">
        <v>10098</v>
      </c>
      <c r="E1037" s="2" t="s">
        <v>10099</v>
      </c>
      <c r="G1037" s="3" t="s">
        <v>65</v>
      </c>
      <c r="I1037" s="3" t="s">
        <v>65</v>
      </c>
      <c r="J1037" s="3" t="s">
        <v>65</v>
      </c>
      <c r="K1037" s="3" t="s">
        <v>66</v>
      </c>
      <c r="L1037" s="2" t="s">
        <v>10100</v>
      </c>
      <c r="M1037" s="2" t="s">
        <v>10101</v>
      </c>
      <c r="N1037" s="3" t="s">
        <v>99</v>
      </c>
      <c r="O1037" s="2" t="s">
        <v>10102</v>
      </c>
      <c r="P1037" s="3" t="s">
        <v>69</v>
      </c>
      <c r="R1037" s="3" t="s">
        <v>71</v>
      </c>
      <c r="S1037" s="4">
        <v>8</v>
      </c>
      <c r="T1037" s="4">
        <v>8</v>
      </c>
      <c r="U1037" s="5" t="s">
        <v>9898</v>
      </c>
      <c r="V1037" s="5" t="s">
        <v>9898</v>
      </c>
      <c r="W1037" s="5" t="s">
        <v>72</v>
      </c>
      <c r="X1037" s="5" t="s">
        <v>72</v>
      </c>
      <c r="Y1037" s="4">
        <v>697</v>
      </c>
      <c r="Z1037" s="4">
        <v>27</v>
      </c>
      <c r="AA1037" s="4">
        <v>48</v>
      </c>
      <c r="AB1037" s="4">
        <v>2</v>
      </c>
      <c r="AC1037" s="4">
        <v>5</v>
      </c>
      <c r="AD1037" s="4">
        <v>69</v>
      </c>
      <c r="AE1037" s="4">
        <v>107</v>
      </c>
      <c r="AF1037" s="4">
        <v>0</v>
      </c>
      <c r="AG1037" s="4">
        <v>1</v>
      </c>
      <c r="AH1037" s="4">
        <v>62</v>
      </c>
      <c r="AI1037" s="4">
        <v>93</v>
      </c>
      <c r="AJ1037" s="4">
        <v>6</v>
      </c>
      <c r="AK1037" s="4">
        <v>16</v>
      </c>
      <c r="AL1037" s="4">
        <v>32</v>
      </c>
      <c r="AM1037" s="4">
        <v>52</v>
      </c>
      <c r="AN1037" s="4">
        <v>0</v>
      </c>
      <c r="AO1037" s="4">
        <v>0</v>
      </c>
      <c r="AP1037" s="4">
        <v>9</v>
      </c>
      <c r="AQ1037" s="4">
        <v>21</v>
      </c>
      <c r="AR1037" s="3" t="s">
        <v>65</v>
      </c>
      <c r="AS1037" s="3" t="s">
        <v>65</v>
      </c>
      <c r="AT1037" s="3" t="s">
        <v>65</v>
      </c>
      <c r="AV1037" s="6" t="str">
        <f>HYPERLINK("http://mcgill.on.worldcat.org/oclc/70673248","Catalog Record")</f>
        <v>Catalog Record</v>
      </c>
      <c r="AW1037" s="6" t="str">
        <f>HYPERLINK("http://www.worldcat.org/oclc/70673248","WorldCat Record")</f>
        <v>WorldCat Record</v>
      </c>
      <c r="AX1037" s="3" t="s">
        <v>10103</v>
      </c>
      <c r="AY1037" s="3" t="s">
        <v>10104</v>
      </c>
      <c r="AZ1037" s="3" t="s">
        <v>10105</v>
      </c>
      <c r="BA1037" s="3" t="s">
        <v>10105</v>
      </c>
      <c r="BB1037" s="3" t="s">
        <v>10106</v>
      </c>
      <c r="BC1037" s="3" t="s">
        <v>77</v>
      </c>
      <c r="BD1037" s="3" t="s">
        <v>78</v>
      </c>
      <c r="BE1037" s="3" t="s">
        <v>10107</v>
      </c>
      <c r="BF1037" s="3" t="s">
        <v>10106</v>
      </c>
      <c r="BG1037" s="3" t="s">
        <v>10108</v>
      </c>
    </row>
    <row r="1038" spans="1:59" ht="58" x14ac:dyDescent="0.35">
      <c r="A1038" s="2" t="s">
        <v>59</v>
      </c>
      <c r="B1038" s="2" t="s">
        <v>60</v>
      </c>
      <c r="C1038" s="2" t="s">
        <v>10109</v>
      </c>
      <c r="D1038" s="2" t="s">
        <v>10110</v>
      </c>
      <c r="E1038" s="2" t="s">
        <v>10111</v>
      </c>
      <c r="G1038" s="3" t="s">
        <v>65</v>
      </c>
      <c r="I1038" s="3" t="s">
        <v>65</v>
      </c>
      <c r="J1038" s="3" t="s">
        <v>65</v>
      </c>
      <c r="K1038" s="3" t="s">
        <v>66</v>
      </c>
      <c r="L1038" s="2" t="s">
        <v>10112</v>
      </c>
      <c r="M1038" s="2" t="s">
        <v>10113</v>
      </c>
      <c r="N1038" s="3" t="s">
        <v>164</v>
      </c>
      <c r="O1038" s="2" t="s">
        <v>2438</v>
      </c>
      <c r="P1038" s="3" t="s">
        <v>69</v>
      </c>
      <c r="R1038" s="3" t="s">
        <v>71</v>
      </c>
      <c r="S1038" s="4">
        <v>2</v>
      </c>
      <c r="T1038" s="4">
        <v>2</v>
      </c>
      <c r="U1038" s="5" t="s">
        <v>10114</v>
      </c>
      <c r="V1038" s="5" t="s">
        <v>10114</v>
      </c>
      <c r="W1038" s="5" t="s">
        <v>72</v>
      </c>
      <c r="X1038" s="5" t="s">
        <v>72</v>
      </c>
      <c r="Y1038" s="4">
        <v>705</v>
      </c>
      <c r="Z1038" s="4">
        <v>29</v>
      </c>
      <c r="AA1038" s="4">
        <v>31</v>
      </c>
      <c r="AB1038" s="4">
        <v>1</v>
      </c>
      <c r="AC1038" s="4">
        <v>1</v>
      </c>
      <c r="AD1038" s="4">
        <v>90</v>
      </c>
      <c r="AE1038" s="4">
        <v>93</v>
      </c>
      <c r="AF1038" s="4">
        <v>0</v>
      </c>
      <c r="AG1038" s="4">
        <v>0</v>
      </c>
      <c r="AH1038" s="4">
        <v>83</v>
      </c>
      <c r="AI1038" s="4">
        <v>85</v>
      </c>
      <c r="AJ1038" s="4">
        <v>12</v>
      </c>
      <c r="AK1038" s="4">
        <v>12</v>
      </c>
      <c r="AL1038" s="4">
        <v>53</v>
      </c>
      <c r="AM1038" s="4">
        <v>53</v>
      </c>
      <c r="AN1038" s="4">
        <v>0</v>
      </c>
      <c r="AO1038" s="4">
        <v>0</v>
      </c>
      <c r="AP1038" s="4">
        <v>14</v>
      </c>
      <c r="AQ1038" s="4">
        <v>15</v>
      </c>
      <c r="AR1038" s="3" t="s">
        <v>65</v>
      </c>
      <c r="AS1038" s="3" t="s">
        <v>65</v>
      </c>
      <c r="AT1038" s="3" t="s">
        <v>65</v>
      </c>
      <c r="AV1038" s="6" t="str">
        <f>HYPERLINK("http://mcgill.on.worldcat.org/oclc/864709576","Catalog Record")</f>
        <v>Catalog Record</v>
      </c>
      <c r="AW1038" s="6" t="str">
        <f>HYPERLINK("http://www.worldcat.org/oclc/864709576","WorldCat Record")</f>
        <v>WorldCat Record</v>
      </c>
      <c r="AX1038" s="3" t="s">
        <v>10115</v>
      </c>
      <c r="AY1038" s="3" t="s">
        <v>10116</v>
      </c>
      <c r="AZ1038" s="3" t="s">
        <v>10117</v>
      </c>
      <c r="BA1038" s="3" t="s">
        <v>10117</v>
      </c>
      <c r="BB1038" s="3" t="s">
        <v>10118</v>
      </c>
      <c r="BC1038" s="3" t="s">
        <v>77</v>
      </c>
      <c r="BD1038" s="3" t="s">
        <v>78</v>
      </c>
      <c r="BE1038" s="3" t="s">
        <v>10119</v>
      </c>
      <c r="BF1038" s="3" t="s">
        <v>10118</v>
      </c>
      <c r="BG1038" s="3" t="s">
        <v>10120</v>
      </c>
    </row>
    <row r="1039" spans="1:59" ht="58" x14ac:dyDescent="0.35">
      <c r="A1039" s="2" t="s">
        <v>59</v>
      </c>
      <c r="B1039" s="2" t="s">
        <v>60</v>
      </c>
      <c r="C1039" s="2" t="s">
        <v>10121</v>
      </c>
      <c r="D1039" s="2" t="s">
        <v>10122</v>
      </c>
      <c r="E1039" s="2" t="s">
        <v>10123</v>
      </c>
      <c r="G1039" s="3" t="s">
        <v>65</v>
      </c>
      <c r="I1039" s="3" t="s">
        <v>209</v>
      </c>
      <c r="J1039" s="3" t="s">
        <v>209</v>
      </c>
      <c r="K1039" s="3" t="s">
        <v>979</v>
      </c>
      <c r="L1039" s="2" t="s">
        <v>9920</v>
      </c>
      <c r="M1039" s="2" t="s">
        <v>10124</v>
      </c>
      <c r="N1039" s="3" t="s">
        <v>5060</v>
      </c>
      <c r="O1039" s="2" t="s">
        <v>10125</v>
      </c>
      <c r="P1039" s="3" t="s">
        <v>69</v>
      </c>
      <c r="Q1039" s="2" t="s">
        <v>10126</v>
      </c>
      <c r="R1039" s="3" t="s">
        <v>71</v>
      </c>
      <c r="S1039" s="4">
        <v>0</v>
      </c>
      <c r="T1039" s="4">
        <v>25</v>
      </c>
      <c r="V1039" s="5" t="s">
        <v>9898</v>
      </c>
      <c r="W1039" s="5" t="s">
        <v>72</v>
      </c>
      <c r="X1039" s="5" t="s">
        <v>72</v>
      </c>
      <c r="Y1039" s="4">
        <v>360</v>
      </c>
      <c r="Z1039" s="4">
        <v>12</v>
      </c>
      <c r="AA1039" s="4">
        <v>43</v>
      </c>
      <c r="AB1039" s="4">
        <v>2</v>
      </c>
      <c r="AC1039" s="4">
        <v>6</v>
      </c>
      <c r="AD1039" s="4">
        <v>57</v>
      </c>
      <c r="AE1039" s="4">
        <v>121</v>
      </c>
      <c r="AF1039" s="4">
        <v>1</v>
      </c>
      <c r="AG1039" s="4">
        <v>2</v>
      </c>
      <c r="AH1039" s="4">
        <v>50</v>
      </c>
      <c r="AI1039" s="4">
        <v>104</v>
      </c>
      <c r="AJ1039" s="4">
        <v>6</v>
      </c>
      <c r="AK1039" s="4">
        <v>16</v>
      </c>
      <c r="AL1039" s="4">
        <v>28</v>
      </c>
      <c r="AM1039" s="4">
        <v>59</v>
      </c>
      <c r="AN1039" s="4">
        <v>0</v>
      </c>
      <c r="AO1039" s="4">
        <v>7</v>
      </c>
      <c r="AP1039" s="4">
        <v>10</v>
      </c>
      <c r="AQ1039" s="4">
        <v>24</v>
      </c>
      <c r="AR1039" s="3" t="s">
        <v>65</v>
      </c>
      <c r="AS1039" s="3" t="s">
        <v>65</v>
      </c>
      <c r="AT1039" s="3" t="s">
        <v>209</v>
      </c>
      <c r="AU1039" s="6" t="str">
        <f>HYPERLINK("http://catalog.hathitrust.org/Record/001219043","HathiTrust Record")</f>
        <v>HathiTrust Record</v>
      </c>
      <c r="AV1039" s="6" t="str">
        <f>HYPERLINK("http://mcgill.on.worldcat.org/oclc/1021318","Catalog Record")</f>
        <v>Catalog Record</v>
      </c>
      <c r="AW1039" s="6" t="str">
        <f>HYPERLINK("http://www.worldcat.org/oclc/1021318","WorldCat Record")</f>
        <v>WorldCat Record</v>
      </c>
      <c r="AX1039" s="3" t="s">
        <v>10127</v>
      </c>
      <c r="AY1039" s="3" t="s">
        <v>10128</v>
      </c>
      <c r="AZ1039" s="3" t="s">
        <v>10129</v>
      </c>
      <c r="BA1039" s="3" t="s">
        <v>10129</v>
      </c>
      <c r="BB1039" s="3" t="s">
        <v>10130</v>
      </c>
      <c r="BC1039" s="3" t="s">
        <v>77</v>
      </c>
      <c r="BD1039" s="3" t="s">
        <v>78</v>
      </c>
      <c r="BF1039" s="3" t="s">
        <v>10130</v>
      </c>
      <c r="BG1039" s="3" t="s">
        <v>10131</v>
      </c>
    </row>
    <row r="1040" spans="1:59" ht="58" x14ac:dyDescent="0.35">
      <c r="A1040" s="2" t="s">
        <v>59</v>
      </c>
      <c r="B1040" s="2" t="s">
        <v>60</v>
      </c>
      <c r="C1040" s="2" t="s">
        <v>10121</v>
      </c>
      <c r="D1040" s="2" t="s">
        <v>10122</v>
      </c>
      <c r="E1040" s="2" t="s">
        <v>10123</v>
      </c>
      <c r="G1040" s="3" t="s">
        <v>65</v>
      </c>
      <c r="I1040" s="3" t="s">
        <v>209</v>
      </c>
      <c r="J1040" s="3" t="s">
        <v>209</v>
      </c>
      <c r="K1040" s="3" t="s">
        <v>979</v>
      </c>
      <c r="L1040" s="2" t="s">
        <v>9920</v>
      </c>
      <c r="M1040" s="2" t="s">
        <v>10124</v>
      </c>
      <c r="N1040" s="3" t="s">
        <v>5060</v>
      </c>
      <c r="O1040" s="2" t="s">
        <v>10125</v>
      </c>
      <c r="P1040" s="3" t="s">
        <v>69</v>
      </c>
      <c r="Q1040" s="2" t="s">
        <v>10126</v>
      </c>
      <c r="R1040" s="3" t="s">
        <v>71</v>
      </c>
      <c r="S1040" s="4">
        <v>5</v>
      </c>
      <c r="T1040" s="4">
        <v>25</v>
      </c>
      <c r="U1040" s="5" t="s">
        <v>10132</v>
      </c>
      <c r="V1040" s="5" t="s">
        <v>9898</v>
      </c>
      <c r="W1040" s="5" t="s">
        <v>72</v>
      </c>
      <c r="X1040" s="5" t="s">
        <v>72</v>
      </c>
      <c r="Y1040" s="4">
        <v>360</v>
      </c>
      <c r="Z1040" s="4">
        <v>12</v>
      </c>
      <c r="AA1040" s="4">
        <v>43</v>
      </c>
      <c r="AB1040" s="4">
        <v>2</v>
      </c>
      <c r="AC1040" s="4">
        <v>6</v>
      </c>
      <c r="AD1040" s="4">
        <v>57</v>
      </c>
      <c r="AE1040" s="4">
        <v>121</v>
      </c>
      <c r="AF1040" s="4">
        <v>1</v>
      </c>
      <c r="AG1040" s="4">
        <v>2</v>
      </c>
      <c r="AH1040" s="4">
        <v>50</v>
      </c>
      <c r="AI1040" s="4">
        <v>104</v>
      </c>
      <c r="AJ1040" s="4">
        <v>6</v>
      </c>
      <c r="AK1040" s="4">
        <v>16</v>
      </c>
      <c r="AL1040" s="4">
        <v>28</v>
      </c>
      <c r="AM1040" s="4">
        <v>59</v>
      </c>
      <c r="AN1040" s="4">
        <v>0</v>
      </c>
      <c r="AO1040" s="4">
        <v>7</v>
      </c>
      <c r="AP1040" s="4">
        <v>10</v>
      </c>
      <c r="AQ1040" s="4">
        <v>24</v>
      </c>
      <c r="AR1040" s="3" t="s">
        <v>65</v>
      </c>
      <c r="AS1040" s="3" t="s">
        <v>65</v>
      </c>
      <c r="AT1040" s="3" t="s">
        <v>209</v>
      </c>
      <c r="AU1040" s="6" t="str">
        <f>HYPERLINK("http://catalog.hathitrust.org/Record/001219043","HathiTrust Record")</f>
        <v>HathiTrust Record</v>
      </c>
      <c r="AV1040" s="6" t="str">
        <f>HYPERLINK("http://mcgill.on.worldcat.org/oclc/1021318","Catalog Record")</f>
        <v>Catalog Record</v>
      </c>
      <c r="AW1040" s="6" t="str">
        <f>HYPERLINK("http://www.worldcat.org/oclc/1021318","WorldCat Record")</f>
        <v>WorldCat Record</v>
      </c>
      <c r="AX1040" s="3" t="s">
        <v>10127</v>
      </c>
      <c r="AY1040" s="3" t="s">
        <v>10128</v>
      </c>
      <c r="AZ1040" s="3" t="s">
        <v>10129</v>
      </c>
      <c r="BA1040" s="3" t="s">
        <v>10129</v>
      </c>
      <c r="BB1040" s="3" t="s">
        <v>10133</v>
      </c>
      <c r="BC1040" s="3" t="s">
        <v>77</v>
      </c>
      <c r="BD1040" s="3" t="s">
        <v>78</v>
      </c>
      <c r="BF1040" s="3" t="s">
        <v>10133</v>
      </c>
      <c r="BG1040" s="3" t="s">
        <v>10134</v>
      </c>
    </row>
    <row r="1041" spans="1:59" ht="58" x14ac:dyDescent="0.35">
      <c r="A1041" s="2" t="s">
        <v>59</v>
      </c>
      <c r="B1041" s="2" t="s">
        <v>60</v>
      </c>
      <c r="C1041" s="2" t="s">
        <v>10121</v>
      </c>
      <c r="D1041" s="2" t="s">
        <v>10122</v>
      </c>
      <c r="E1041" s="2" t="s">
        <v>10123</v>
      </c>
      <c r="G1041" s="3" t="s">
        <v>65</v>
      </c>
      <c r="I1041" s="3" t="s">
        <v>209</v>
      </c>
      <c r="J1041" s="3" t="s">
        <v>209</v>
      </c>
      <c r="K1041" s="3" t="s">
        <v>979</v>
      </c>
      <c r="L1041" s="2" t="s">
        <v>9920</v>
      </c>
      <c r="M1041" s="2" t="s">
        <v>10124</v>
      </c>
      <c r="N1041" s="3" t="s">
        <v>5060</v>
      </c>
      <c r="O1041" s="2" t="s">
        <v>10125</v>
      </c>
      <c r="P1041" s="3" t="s">
        <v>69</v>
      </c>
      <c r="Q1041" s="2" t="s">
        <v>10126</v>
      </c>
      <c r="R1041" s="3" t="s">
        <v>71</v>
      </c>
      <c r="S1041" s="4">
        <v>20</v>
      </c>
      <c r="T1041" s="4">
        <v>25</v>
      </c>
      <c r="U1041" s="5" t="s">
        <v>9898</v>
      </c>
      <c r="V1041" s="5" t="s">
        <v>9898</v>
      </c>
      <c r="W1041" s="5" t="s">
        <v>72</v>
      </c>
      <c r="X1041" s="5" t="s">
        <v>72</v>
      </c>
      <c r="Y1041" s="4">
        <v>360</v>
      </c>
      <c r="Z1041" s="4">
        <v>12</v>
      </c>
      <c r="AA1041" s="4">
        <v>43</v>
      </c>
      <c r="AB1041" s="4">
        <v>2</v>
      </c>
      <c r="AC1041" s="4">
        <v>6</v>
      </c>
      <c r="AD1041" s="4">
        <v>57</v>
      </c>
      <c r="AE1041" s="4">
        <v>121</v>
      </c>
      <c r="AF1041" s="4">
        <v>1</v>
      </c>
      <c r="AG1041" s="4">
        <v>2</v>
      </c>
      <c r="AH1041" s="4">
        <v>50</v>
      </c>
      <c r="AI1041" s="4">
        <v>104</v>
      </c>
      <c r="AJ1041" s="4">
        <v>6</v>
      </c>
      <c r="AK1041" s="4">
        <v>16</v>
      </c>
      <c r="AL1041" s="4">
        <v>28</v>
      </c>
      <c r="AM1041" s="4">
        <v>59</v>
      </c>
      <c r="AN1041" s="4">
        <v>0</v>
      </c>
      <c r="AO1041" s="4">
        <v>7</v>
      </c>
      <c r="AP1041" s="4">
        <v>10</v>
      </c>
      <c r="AQ1041" s="4">
        <v>24</v>
      </c>
      <c r="AR1041" s="3" t="s">
        <v>65</v>
      </c>
      <c r="AS1041" s="3" t="s">
        <v>65</v>
      </c>
      <c r="AT1041" s="3" t="s">
        <v>209</v>
      </c>
      <c r="AU1041" s="6" t="str">
        <f>HYPERLINK("http://catalog.hathitrust.org/Record/001219043","HathiTrust Record")</f>
        <v>HathiTrust Record</v>
      </c>
      <c r="AV1041" s="6" t="str">
        <f>HYPERLINK("http://mcgill.on.worldcat.org/oclc/1021318","Catalog Record")</f>
        <v>Catalog Record</v>
      </c>
      <c r="AW1041" s="6" t="str">
        <f>HYPERLINK("http://www.worldcat.org/oclc/1021318","WorldCat Record")</f>
        <v>WorldCat Record</v>
      </c>
      <c r="AX1041" s="3" t="s">
        <v>10127</v>
      </c>
      <c r="AY1041" s="3" t="s">
        <v>10128</v>
      </c>
      <c r="AZ1041" s="3" t="s">
        <v>10129</v>
      </c>
      <c r="BA1041" s="3" t="s">
        <v>10129</v>
      </c>
      <c r="BB1041" s="3" t="s">
        <v>10135</v>
      </c>
      <c r="BC1041" s="3" t="s">
        <v>77</v>
      </c>
      <c r="BD1041" s="3" t="s">
        <v>78</v>
      </c>
      <c r="BF1041" s="3" t="s">
        <v>10135</v>
      </c>
      <c r="BG1041" s="3" t="s">
        <v>10136</v>
      </c>
    </row>
    <row r="1042" spans="1:59" ht="58" x14ac:dyDescent="0.35">
      <c r="A1042" s="2" t="s">
        <v>59</v>
      </c>
      <c r="B1042" s="2" t="s">
        <v>60</v>
      </c>
      <c r="C1042" s="2" t="s">
        <v>10137</v>
      </c>
      <c r="D1042" s="2" t="s">
        <v>10138</v>
      </c>
      <c r="E1042" s="2" t="s">
        <v>10139</v>
      </c>
      <c r="G1042" s="3" t="s">
        <v>65</v>
      </c>
      <c r="I1042" s="3" t="s">
        <v>65</v>
      </c>
      <c r="J1042" s="3" t="s">
        <v>65</v>
      </c>
      <c r="K1042" s="3" t="s">
        <v>66</v>
      </c>
      <c r="L1042" s="2" t="s">
        <v>7986</v>
      </c>
      <c r="M1042" s="2" t="s">
        <v>10140</v>
      </c>
      <c r="N1042" s="3" t="s">
        <v>126</v>
      </c>
      <c r="P1042" s="3" t="s">
        <v>140</v>
      </c>
      <c r="Q1042" s="2" t="s">
        <v>10141</v>
      </c>
      <c r="R1042" s="3" t="s">
        <v>71</v>
      </c>
      <c r="S1042" s="4">
        <v>1</v>
      </c>
      <c r="T1042" s="4">
        <v>1</v>
      </c>
      <c r="U1042" s="5" t="s">
        <v>10142</v>
      </c>
      <c r="V1042" s="5" t="s">
        <v>10142</v>
      </c>
      <c r="W1042" s="5" t="s">
        <v>72</v>
      </c>
      <c r="X1042" s="5" t="s">
        <v>72</v>
      </c>
      <c r="Y1042" s="4">
        <v>32</v>
      </c>
      <c r="Z1042" s="4">
        <v>1</v>
      </c>
      <c r="AA1042" s="4">
        <v>1</v>
      </c>
      <c r="AB1042" s="4">
        <v>1</v>
      </c>
      <c r="AC1042" s="4">
        <v>1</v>
      </c>
      <c r="AD1042" s="4">
        <v>5</v>
      </c>
      <c r="AE1042" s="4">
        <v>5</v>
      </c>
      <c r="AF1042" s="4">
        <v>0</v>
      </c>
      <c r="AG1042" s="4">
        <v>0</v>
      </c>
      <c r="AH1042" s="4">
        <v>5</v>
      </c>
      <c r="AI1042" s="4">
        <v>5</v>
      </c>
      <c r="AJ1042" s="4">
        <v>0</v>
      </c>
      <c r="AK1042" s="4">
        <v>0</v>
      </c>
      <c r="AL1042" s="4">
        <v>4</v>
      </c>
      <c r="AM1042" s="4">
        <v>4</v>
      </c>
      <c r="AN1042" s="4">
        <v>0</v>
      </c>
      <c r="AO1042" s="4">
        <v>0</v>
      </c>
      <c r="AP1042" s="4">
        <v>0</v>
      </c>
      <c r="AQ1042" s="4">
        <v>0</v>
      </c>
      <c r="AR1042" s="3" t="s">
        <v>65</v>
      </c>
      <c r="AS1042" s="3" t="s">
        <v>65</v>
      </c>
      <c r="AT1042" s="3" t="s">
        <v>65</v>
      </c>
      <c r="AV1042" s="6" t="str">
        <f>HYPERLINK("http://mcgill.on.worldcat.org/oclc/723548493","Catalog Record")</f>
        <v>Catalog Record</v>
      </c>
      <c r="AW1042" s="6" t="str">
        <f>HYPERLINK("http://www.worldcat.org/oclc/723548493","WorldCat Record")</f>
        <v>WorldCat Record</v>
      </c>
      <c r="AX1042" s="3" t="s">
        <v>10143</v>
      </c>
      <c r="AY1042" s="3" t="s">
        <v>10144</v>
      </c>
      <c r="AZ1042" s="3" t="s">
        <v>10145</v>
      </c>
      <c r="BA1042" s="3" t="s">
        <v>10145</v>
      </c>
      <c r="BB1042" s="3" t="s">
        <v>10146</v>
      </c>
      <c r="BC1042" s="3" t="s">
        <v>77</v>
      </c>
      <c r="BD1042" s="3" t="s">
        <v>78</v>
      </c>
      <c r="BE1042" s="3" t="s">
        <v>10147</v>
      </c>
      <c r="BF1042" s="3" t="s">
        <v>10146</v>
      </c>
      <c r="BG1042" s="3" t="s">
        <v>10148</v>
      </c>
    </row>
    <row r="1043" spans="1:59" ht="58" x14ac:dyDescent="0.35">
      <c r="A1043" s="2" t="s">
        <v>59</v>
      </c>
      <c r="B1043" s="2" t="s">
        <v>60</v>
      </c>
      <c r="C1043" s="2" t="s">
        <v>10149</v>
      </c>
      <c r="D1043" s="2" t="s">
        <v>10150</v>
      </c>
      <c r="E1043" s="2" t="s">
        <v>10151</v>
      </c>
      <c r="G1043" s="3" t="s">
        <v>65</v>
      </c>
      <c r="I1043" s="3" t="s">
        <v>65</v>
      </c>
      <c r="J1043" s="3" t="s">
        <v>209</v>
      </c>
      <c r="K1043" s="3" t="s">
        <v>66</v>
      </c>
      <c r="L1043" s="2" t="s">
        <v>10152</v>
      </c>
      <c r="M1043" s="2" t="s">
        <v>10153</v>
      </c>
      <c r="N1043" s="3" t="s">
        <v>928</v>
      </c>
      <c r="P1043" s="3" t="s">
        <v>69</v>
      </c>
      <c r="R1043" s="3" t="s">
        <v>71</v>
      </c>
      <c r="S1043" s="4">
        <v>7</v>
      </c>
      <c r="T1043" s="4">
        <v>7</v>
      </c>
      <c r="U1043" s="5" t="s">
        <v>10154</v>
      </c>
      <c r="V1043" s="5" t="s">
        <v>10154</v>
      </c>
      <c r="W1043" s="5" t="s">
        <v>72</v>
      </c>
      <c r="X1043" s="5" t="s">
        <v>72</v>
      </c>
      <c r="Y1043" s="4">
        <v>4</v>
      </c>
      <c r="Z1043" s="4">
        <v>1</v>
      </c>
      <c r="AA1043" s="4">
        <v>36</v>
      </c>
      <c r="AB1043" s="4">
        <v>1</v>
      </c>
      <c r="AC1043" s="4">
        <v>3</v>
      </c>
      <c r="AD1043" s="4">
        <v>0</v>
      </c>
      <c r="AE1043" s="4">
        <v>119</v>
      </c>
      <c r="AF1043" s="4">
        <v>0</v>
      </c>
      <c r="AG1043" s="4">
        <v>1</v>
      </c>
      <c r="AH1043" s="4">
        <v>0</v>
      </c>
      <c r="AI1043" s="4">
        <v>102</v>
      </c>
      <c r="AJ1043" s="4">
        <v>0</v>
      </c>
      <c r="AK1043" s="4">
        <v>17</v>
      </c>
      <c r="AL1043" s="4">
        <v>0</v>
      </c>
      <c r="AM1043" s="4">
        <v>57</v>
      </c>
      <c r="AN1043" s="4">
        <v>0</v>
      </c>
      <c r="AO1043" s="4">
        <v>0</v>
      </c>
      <c r="AP1043" s="4">
        <v>0</v>
      </c>
      <c r="AQ1043" s="4">
        <v>21</v>
      </c>
      <c r="AR1043" s="3" t="s">
        <v>65</v>
      </c>
      <c r="AS1043" s="3" t="s">
        <v>65</v>
      </c>
      <c r="AT1043" s="3" t="s">
        <v>65</v>
      </c>
      <c r="AV1043" s="6" t="str">
        <f>HYPERLINK("http://mcgill.on.worldcat.org/oclc/427156542","Catalog Record")</f>
        <v>Catalog Record</v>
      </c>
      <c r="AW1043" s="6" t="str">
        <f>HYPERLINK("http://www.worldcat.org/oclc/427156542","WorldCat Record")</f>
        <v>WorldCat Record</v>
      </c>
      <c r="AX1043" s="3" t="s">
        <v>10155</v>
      </c>
      <c r="AY1043" s="3" t="s">
        <v>10156</v>
      </c>
      <c r="AZ1043" s="3" t="s">
        <v>10157</v>
      </c>
      <c r="BA1043" s="3" t="s">
        <v>10157</v>
      </c>
      <c r="BB1043" s="3" t="s">
        <v>10158</v>
      </c>
      <c r="BC1043" s="3" t="s">
        <v>77</v>
      </c>
      <c r="BD1043" s="3" t="s">
        <v>78</v>
      </c>
      <c r="BF1043" s="3" t="s">
        <v>10158</v>
      </c>
      <c r="BG1043" s="3" t="s">
        <v>10159</v>
      </c>
    </row>
    <row r="1044" spans="1:59" ht="58" x14ac:dyDescent="0.35">
      <c r="A1044" s="2" t="s">
        <v>59</v>
      </c>
      <c r="B1044" s="2" t="s">
        <v>60</v>
      </c>
      <c r="C1044" s="2" t="s">
        <v>10160</v>
      </c>
      <c r="D1044" s="2" t="s">
        <v>10161</v>
      </c>
      <c r="E1044" s="2" t="s">
        <v>10162</v>
      </c>
      <c r="G1044" s="3" t="s">
        <v>65</v>
      </c>
      <c r="I1044" s="3" t="s">
        <v>65</v>
      </c>
      <c r="J1044" s="3" t="s">
        <v>65</v>
      </c>
      <c r="K1044" s="3" t="s">
        <v>66</v>
      </c>
      <c r="L1044" s="2" t="s">
        <v>10163</v>
      </c>
      <c r="M1044" s="2" t="s">
        <v>1409</v>
      </c>
      <c r="N1044" s="3" t="s">
        <v>176</v>
      </c>
      <c r="O1044" s="2" t="s">
        <v>4106</v>
      </c>
      <c r="P1044" s="3" t="s">
        <v>140</v>
      </c>
      <c r="Q1044" s="2" t="s">
        <v>10164</v>
      </c>
      <c r="R1044" s="3" t="s">
        <v>71</v>
      </c>
      <c r="S1044" s="4">
        <v>0</v>
      </c>
      <c r="T1044" s="4">
        <v>0</v>
      </c>
      <c r="W1044" s="5" t="s">
        <v>72</v>
      </c>
      <c r="X1044" s="5" t="s">
        <v>72</v>
      </c>
      <c r="Y1044" s="4">
        <v>56</v>
      </c>
      <c r="Z1044" s="4">
        <v>5</v>
      </c>
      <c r="AA1044" s="4">
        <v>6</v>
      </c>
      <c r="AB1044" s="4">
        <v>1</v>
      </c>
      <c r="AC1044" s="4">
        <v>1</v>
      </c>
      <c r="AD1044" s="4">
        <v>37</v>
      </c>
      <c r="AE1044" s="4">
        <v>38</v>
      </c>
      <c r="AF1044" s="4">
        <v>0</v>
      </c>
      <c r="AG1044" s="4">
        <v>0</v>
      </c>
      <c r="AH1044" s="4">
        <v>36</v>
      </c>
      <c r="AI1044" s="4">
        <v>36</v>
      </c>
      <c r="AJ1044" s="4">
        <v>2</v>
      </c>
      <c r="AK1044" s="4">
        <v>3</v>
      </c>
      <c r="AL1044" s="4">
        <v>28</v>
      </c>
      <c r="AM1044" s="4">
        <v>28</v>
      </c>
      <c r="AN1044" s="4">
        <v>0</v>
      </c>
      <c r="AO1044" s="4">
        <v>0</v>
      </c>
      <c r="AP1044" s="4">
        <v>2</v>
      </c>
      <c r="AQ1044" s="4">
        <v>3</v>
      </c>
      <c r="AR1044" s="3" t="s">
        <v>65</v>
      </c>
      <c r="AS1044" s="3" t="s">
        <v>65</v>
      </c>
      <c r="AT1044" s="3" t="s">
        <v>65</v>
      </c>
      <c r="AV1044" s="6" t="str">
        <f>HYPERLINK("http://mcgill.on.worldcat.org/oclc/905552860","Catalog Record")</f>
        <v>Catalog Record</v>
      </c>
      <c r="AW1044" s="6" t="str">
        <f>HYPERLINK("http://www.worldcat.org/oclc/905552860","WorldCat Record")</f>
        <v>WorldCat Record</v>
      </c>
      <c r="AX1044" s="3" t="s">
        <v>10165</v>
      </c>
      <c r="AY1044" s="3" t="s">
        <v>10166</v>
      </c>
      <c r="AZ1044" s="3" t="s">
        <v>10167</v>
      </c>
      <c r="BA1044" s="3" t="s">
        <v>10167</v>
      </c>
      <c r="BB1044" s="3" t="s">
        <v>10168</v>
      </c>
      <c r="BC1044" s="3" t="s">
        <v>77</v>
      </c>
      <c r="BD1044" s="3" t="s">
        <v>78</v>
      </c>
      <c r="BE1044" s="3" t="s">
        <v>10169</v>
      </c>
      <c r="BF1044" s="3" t="s">
        <v>10168</v>
      </c>
      <c r="BG1044" s="3" t="s">
        <v>10170</v>
      </c>
    </row>
    <row r="1045" spans="1:59" ht="58" x14ac:dyDescent="0.35">
      <c r="A1045" s="2" t="s">
        <v>59</v>
      </c>
      <c r="B1045" s="2" t="s">
        <v>60</v>
      </c>
      <c r="C1045" s="2" t="s">
        <v>10171</v>
      </c>
      <c r="D1045" s="2" t="s">
        <v>10172</v>
      </c>
      <c r="E1045" s="2" t="s">
        <v>10173</v>
      </c>
      <c r="G1045" s="3" t="s">
        <v>65</v>
      </c>
      <c r="I1045" s="3" t="s">
        <v>65</v>
      </c>
      <c r="J1045" s="3" t="s">
        <v>65</v>
      </c>
      <c r="K1045" s="3" t="s">
        <v>66</v>
      </c>
      <c r="L1045" s="2" t="s">
        <v>10174</v>
      </c>
      <c r="M1045" s="2" t="s">
        <v>641</v>
      </c>
      <c r="N1045" s="3" t="s">
        <v>188</v>
      </c>
      <c r="P1045" s="3" t="s">
        <v>140</v>
      </c>
      <c r="Q1045" s="2" t="s">
        <v>10175</v>
      </c>
      <c r="R1045" s="3" t="s">
        <v>71</v>
      </c>
      <c r="S1045" s="4">
        <v>0</v>
      </c>
      <c r="T1045" s="4">
        <v>0</v>
      </c>
      <c r="W1045" s="5" t="s">
        <v>72</v>
      </c>
      <c r="X1045" s="5" t="s">
        <v>72</v>
      </c>
      <c r="Y1045" s="4">
        <v>56</v>
      </c>
      <c r="Z1045" s="4">
        <v>2</v>
      </c>
      <c r="AA1045" s="4">
        <v>2</v>
      </c>
      <c r="AB1045" s="4">
        <v>1</v>
      </c>
      <c r="AC1045" s="4">
        <v>1</v>
      </c>
      <c r="AD1045" s="4">
        <v>37</v>
      </c>
      <c r="AE1045" s="4">
        <v>37</v>
      </c>
      <c r="AF1045" s="4">
        <v>0</v>
      </c>
      <c r="AG1045" s="4">
        <v>0</v>
      </c>
      <c r="AH1045" s="4">
        <v>36</v>
      </c>
      <c r="AI1045" s="4">
        <v>36</v>
      </c>
      <c r="AJ1045" s="4">
        <v>1</v>
      </c>
      <c r="AK1045" s="4">
        <v>1</v>
      </c>
      <c r="AL1045" s="4">
        <v>27</v>
      </c>
      <c r="AM1045" s="4">
        <v>27</v>
      </c>
      <c r="AN1045" s="4">
        <v>0</v>
      </c>
      <c r="AO1045" s="4">
        <v>0</v>
      </c>
      <c r="AP1045" s="4">
        <v>1</v>
      </c>
      <c r="AQ1045" s="4">
        <v>1</v>
      </c>
      <c r="AR1045" s="3" t="s">
        <v>65</v>
      </c>
      <c r="AS1045" s="3" t="s">
        <v>65</v>
      </c>
      <c r="AT1045" s="3" t="s">
        <v>65</v>
      </c>
      <c r="AV1045" s="6" t="str">
        <f>HYPERLINK("http://mcgill.on.worldcat.org/oclc/985306441","Catalog Record")</f>
        <v>Catalog Record</v>
      </c>
      <c r="AW1045" s="6" t="str">
        <f>HYPERLINK("http://www.worldcat.org/oclc/985306441","WorldCat Record")</f>
        <v>WorldCat Record</v>
      </c>
      <c r="AX1045" s="3" t="s">
        <v>10176</v>
      </c>
      <c r="AY1045" s="3" t="s">
        <v>10177</v>
      </c>
      <c r="AZ1045" s="3" t="s">
        <v>10178</v>
      </c>
      <c r="BA1045" s="3" t="s">
        <v>10178</v>
      </c>
      <c r="BB1045" s="3" t="s">
        <v>10179</v>
      </c>
      <c r="BC1045" s="3" t="s">
        <v>77</v>
      </c>
      <c r="BD1045" s="3" t="s">
        <v>78</v>
      </c>
      <c r="BE1045" s="3" t="s">
        <v>10180</v>
      </c>
      <c r="BF1045" s="3" t="s">
        <v>10179</v>
      </c>
      <c r="BG1045" s="3" t="s">
        <v>10181</v>
      </c>
    </row>
    <row r="1046" spans="1:59" ht="58" x14ac:dyDescent="0.35">
      <c r="A1046" s="2" t="s">
        <v>59</v>
      </c>
      <c r="B1046" s="2" t="s">
        <v>60</v>
      </c>
      <c r="C1046" s="2" t="s">
        <v>10182</v>
      </c>
      <c r="D1046" s="2" t="s">
        <v>10183</v>
      </c>
      <c r="E1046" s="2" t="s">
        <v>10184</v>
      </c>
      <c r="G1046" s="3" t="s">
        <v>65</v>
      </c>
      <c r="I1046" s="3" t="s">
        <v>65</v>
      </c>
      <c r="J1046" s="3" t="s">
        <v>65</v>
      </c>
      <c r="K1046" s="3" t="s">
        <v>66</v>
      </c>
      <c r="L1046" s="2" t="s">
        <v>4486</v>
      </c>
      <c r="M1046" s="2" t="s">
        <v>10185</v>
      </c>
      <c r="N1046" s="3" t="s">
        <v>139</v>
      </c>
      <c r="O1046" s="2" t="s">
        <v>365</v>
      </c>
      <c r="P1046" s="3" t="s">
        <v>140</v>
      </c>
      <c r="Q1046" s="2" t="s">
        <v>10186</v>
      </c>
      <c r="R1046" s="3" t="s">
        <v>71</v>
      </c>
      <c r="S1046" s="4">
        <v>1</v>
      </c>
      <c r="T1046" s="4">
        <v>1</v>
      </c>
      <c r="U1046" s="5" t="s">
        <v>10187</v>
      </c>
      <c r="V1046" s="5" t="s">
        <v>10187</v>
      </c>
      <c r="W1046" s="5" t="s">
        <v>72</v>
      </c>
      <c r="X1046" s="5" t="s">
        <v>72</v>
      </c>
      <c r="Y1046" s="4">
        <v>67</v>
      </c>
      <c r="Z1046" s="4">
        <v>6</v>
      </c>
      <c r="AA1046" s="4">
        <v>8</v>
      </c>
      <c r="AB1046" s="4">
        <v>1</v>
      </c>
      <c r="AC1046" s="4">
        <v>1</v>
      </c>
      <c r="AD1046" s="4">
        <v>38</v>
      </c>
      <c r="AE1046" s="4">
        <v>42</v>
      </c>
      <c r="AF1046" s="4">
        <v>0</v>
      </c>
      <c r="AG1046" s="4">
        <v>0</v>
      </c>
      <c r="AH1046" s="4">
        <v>37</v>
      </c>
      <c r="AI1046" s="4">
        <v>40</v>
      </c>
      <c r="AJ1046" s="4">
        <v>4</v>
      </c>
      <c r="AK1046" s="4">
        <v>6</v>
      </c>
      <c r="AL1046" s="4">
        <v>25</v>
      </c>
      <c r="AM1046" s="4">
        <v>26</v>
      </c>
      <c r="AN1046" s="4">
        <v>0</v>
      </c>
      <c r="AO1046" s="4">
        <v>0</v>
      </c>
      <c r="AP1046" s="4">
        <v>4</v>
      </c>
      <c r="AQ1046" s="4">
        <v>6</v>
      </c>
      <c r="AR1046" s="3" t="s">
        <v>65</v>
      </c>
      <c r="AS1046" s="3" t="s">
        <v>65</v>
      </c>
      <c r="AT1046" s="3" t="s">
        <v>65</v>
      </c>
      <c r="AV1046" s="6" t="str">
        <f>HYPERLINK("http://mcgill.on.worldcat.org/oclc/811124381","Catalog Record")</f>
        <v>Catalog Record</v>
      </c>
      <c r="AW1046" s="6" t="str">
        <f>HYPERLINK("http://www.worldcat.org/oclc/811124381","WorldCat Record")</f>
        <v>WorldCat Record</v>
      </c>
      <c r="AX1046" s="3" t="s">
        <v>10188</v>
      </c>
      <c r="AY1046" s="3" t="s">
        <v>10189</v>
      </c>
      <c r="AZ1046" s="3" t="s">
        <v>10190</v>
      </c>
      <c r="BA1046" s="3" t="s">
        <v>10190</v>
      </c>
      <c r="BB1046" s="3" t="s">
        <v>10191</v>
      </c>
      <c r="BC1046" s="3" t="s">
        <v>77</v>
      </c>
      <c r="BD1046" s="3" t="s">
        <v>78</v>
      </c>
      <c r="BE1046" s="3" t="s">
        <v>10192</v>
      </c>
      <c r="BF1046" s="3" t="s">
        <v>10191</v>
      </c>
      <c r="BG1046" s="3" t="s">
        <v>10193</v>
      </c>
    </row>
    <row r="1047" spans="1:59" ht="58" x14ac:dyDescent="0.35">
      <c r="A1047" s="2" t="s">
        <v>59</v>
      </c>
      <c r="B1047" s="2" t="s">
        <v>60</v>
      </c>
      <c r="C1047" s="2" t="s">
        <v>10194</v>
      </c>
      <c r="D1047" s="2" t="s">
        <v>10195</v>
      </c>
      <c r="E1047" s="2" t="s">
        <v>10196</v>
      </c>
      <c r="G1047" s="3" t="s">
        <v>65</v>
      </c>
      <c r="I1047" s="3" t="s">
        <v>65</v>
      </c>
      <c r="J1047" s="3" t="s">
        <v>65</v>
      </c>
      <c r="K1047" s="3" t="s">
        <v>66</v>
      </c>
      <c r="L1047" s="2" t="s">
        <v>10197</v>
      </c>
      <c r="M1047" s="2" t="s">
        <v>10198</v>
      </c>
      <c r="N1047" s="3" t="s">
        <v>68</v>
      </c>
      <c r="P1047" s="3" t="s">
        <v>69</v>
      </c>
      <c r="R1047" s="3" t="s">
        <v>71</v>
      </c>
      <c r="S1047" s="4">
        <v>3</v>
      </c>
      <c r="T1047" s="4">
        <v>3</v>
      </c>
      <c r="U1047" s="5" t="s">
        <v>10199</v>
      </c>
      <c r="V1047" s="5" t="s">
        <v>10199</v>
      </c>
      <c r="W1047" s="5" t="s">
        <v>72</v>
      </c>
      <c r="X1047" s="5" t="s">
        <v>72</v>
      </c>
      <c r="Y1047" s="4">
        <v>712</v>
      </c>
      <c r="Z1047" s="4">
        <v>25</v>
      </c>
      <c r="AA1047" s="4">
        <v>87</v>
      </c>
      <c r="AB1047" s="4">
        <v>3</v>
      </c>
      <c r="AC1047" s="4">
        <v>17</v>
      </c>
      <c r="AD1047" s="4">
        <v>78</v>
      </c>
      <c r="AE1047" s="4">
        <v>129</v>
      </c>
      <c r="AF1047" s="4">
        <v>1</v>
      </c>
      <c r="AG1047" s="4">
        <v>8</v>
      </c>
      <c r="AH1047" s="4">
        <v>68</v>
      </c>
      <c r="AI1047" s="4">
        <v>95</v>
      </c>
      <c r="AJ1047" s="4">
        <v>9</v>
      </c>
      <c r="AK1047" s="4">
        <v>21</v>
      </c>
      <c r="AL1047" s="4">
        <v>48</v>
      </c>
      <c r="AM1047" s="4">
        <v>53</v>
      </c>
      <c r="AN1047" s="4">
        <v>0</v>
      </c>
      <c r="AO1047" s="4">
        <v>0</v>
      </c>
      <c r="AP1047" s="4">
        <v>11</v>
      </c>
      <c r="AQ1047" s="4">
        <v>41</v>
      </c>
      <c r="AR1047" s="3" t="s">
        <v>65</v>
      </c>
      <c r="AS1047" s="3" t="s">
        <v>65</v>
      </c>
      <c r="AT1047" s="3" t="s">
        <v>65</v>
      </c>
      <c r="AV1047" s="6" t="str">
        <f>HYPERLINK("http://mcgill.on.worldcat.org/oclc/925784838","Catalog Record")</f>
        <v>Catalog Record</v>
      </c>
      <c r="AW1047" s="6" t="str">
        <f>HYPERLINK("http://www.worldcat.org/oclc/925784838","WorldCat Record")</f>
        <v>WorldCat Record</v>
      </c>
      <c r="AX1047" s="3" t="s">
        <v>10200</v>
      </c>
      <c r="AY1047" s="3" t="s">
        <v>10201</v>
      </c>
      <c r="AZ1047" s="3" t="s">
        <v>10202</v>
      </c>
      <c r="BA1047" s="3" t="s">
        <v>10202</v>
      </c>
      <c r="BB1047" s="3" t="s">
        <v>10203</v>
      </c>
      <c r="BC1047" s="3" t="s">
        <v>77</v>
      </c>
      <c r="BD1047" s="3" t="s">
        <v>78</v>
      </c>
      <c r="BE1047" s="3" t="s">
        <v>10204</v>
      </c>
      <c r="BF1047" s="3" t="s">
        <v>10203</v>
      </c>
      <c r="BG1047" s="3" t="s">
        <v>10205</v>
      </c>
    </row>
    <row r="1048" spans="1:59" ht="58" x14ac:dyDescent="0.35">
      <c r="A1048" s="2" t="s">
        <v>59</v>
      </c>
      <c r="B1048" s="2" t="s">
        <v>60</v>
      </c>
      <c r="C1048" s="2" t="s">
        <v>10206</v>
      </c>
      <c r="D1048" s="2" t="s">
        <v>10207</v>
      </c>
      <c r="E1048" s="2" t="s">
        <v>10208</v>
      </c>
      <c r="G1048" s="3" t="s">
        <v>65</v>
      </c>
      <c r="I1048" s="3" t="s">
        <v>65</v>
      </c>
      <c r="J1048" s="3" t="s">
        <v>65</v>
      </c>
      <c r="K1048" s="3" t="s">
        <v>66</v>
      </c>
      <c r="L1048" s="2" t="s">
        <v>10209</v>
      </c>
      <c r="M1048" s="2" t="s">
        <v>10210</v>
      </c>
      <c r="N1048" s="3" t="s">
        <v>1032</v>
      </c>
      <c r="P1048" s="3" t="s">
        <v>140</v>
      </c>
      <c r="Q1048" s="2" t="s">
        <v>10211</v>
      </c>
      <c r="R1048" s="3" t="s">
        <v>71</v>
      </c>
      <c r="S1048" s="4">
        <v>4</v>
      </c>
      <c r="T1048" s="4">
        <v>4</v>
      </c>
      <c r="U1048" s="5" t="s">
        <v>10212</v>
      </c>
      <c r="V1048" s="5" t="s">
        <v>10212</v>
      </c>
      <c r="W1048" s="5" t="s">
        <v>72</v>
      </c>
      <c r="X1048" s="5" t="s">
        <v>72</v>
      </c>
      <c r="Y1048" s="4">
        <v>64</v>
      </c>
      <c r="Z1048" s="4">
        <v>4</v>
      </c>
      <c r="AA1048" s="4">
        <v>4</v>
      </c>
      <c r="AB1048" s="4">
        <v>1</v>
      </c>
      <c r="AC1048" s="4">
        <v>1</v>
      </c>
      <c r="AD1048" s="4">
        <v>38</v>
      </c>
      <c r="AE1048" s="4">
        <v>38</v>
      </c>
      <c r="AF1048" s="4">
        <v>0</v>
      </c>
      <c r="AG1048" s="4">
        <v>0</v>
      </c>
      <c r="AH1048" s="4">
        <v>35</v>
      </c>
      <c r="AI1048" s="4">
        <v>35</v>
      </c>
      <c r="AJ1048" s="4">
        <v>2</v>
      </c>
      <c r="AK1048" s="4">
        <v>2</v>
      </c>
      <c r="AL1048" s="4">
        <v>30</v>
      </c>
      <c r="AM1048" s="4">
        <v>30</v>
      </c>
      <c r="AN1048" s="4">
        <v>0</v>
      </c>
      <c r="AO1048" s="4">
        <v>0</v>
      </c>
      <c r="AP1048" s="4">
        <v>2</v>
      </c>
      <c r="AQ1048" s="4">
        <v>2</v>
      </c>
      <c r="AR1048" s="3" t="s">
        <v>65</v>
      </c>
      <c r="AS1048" s="3" t="s">
        <v>65</v>
      </c>
      <c r="AT1048" s="3" t="s">
        <v>65</v>
      </c>
      <c r="AV1048" s="6" t="str">
        <f>HYPERLINK("http://mcgill.on.worldcat.org/oclc/37666311","Catalog Record")</f>
        <v>Catalog Record</v>
      </c>
      <c r="AW1048" s="6" t="str">
        <f>HYPERLINK("http://www.worldcat.org/oclc/37666311","WorldCat Record")</f>
        <v>WorldCat Record</v>
      </c>
      <c r="AX1048" s="3" t="s">
        <v>10213</v>
      </c>
      <c r="AY1048" s="3" t="s">
        <v>10214</v>
      </c>
      <c r="AZ1048" s="3" t="s">
        <v>10215</v>
      </c>
      <c r="BA1048" s="3" t="s">
        <v>10215</v>
      </c>
      <c r="BB1048" s="3" t="s">
        <v>10216</v>
      </c>
      <c r="BC1048" s="3" t="s">
        <v>77</v>
      </c>
      <c r="BD1048" s="3" t="s">
        <v>78</v>
      </c>
      <c r="BE1048" s="3" t="s">
        <v>10217</v>
      </c>
      <c r="BF1048" s="3" t="s">
        <v>10216</v>
      </c>
      <c r="BG1048" s="3" t="s">
        <v>10218</v>
      </c>
    </row>
    <row r="1049" spans="1:59" ht="58" x14ac:dyDescent="0.35">
      <c r="A1049" s="2" t="s">
        <v>59</v>
      </c>
      <c r="B1049" s="2" t="s">
        <v>60</v>
      </c>
      <c r="C1049" s="2" t="s">
        <v>10219</v>
      </c>
      <c r="D1049" s="2" t="s">
        <v>10220</v>
      </c>
      <c r="E1049" s="2" t="s">
        <v>10221</v>
      </c>
      <c r="G1049" s="3" t="s">
        <v>65</v>
      </c>
      <c r="I1049" s="3" t="s">
        <v>209</v>
      </c>
      <c r="J1049" s="3" t="s">
        <v>65</v>
      </c>
      <c r="K1049" s="3" t="s">
        <v>66</v>
      </c>
      <c r="L1049" s="2" t="s">
        <v>10222</v>
      </c>
      <c r="M1049" s="2" t="s">
        <v>10223</v>
      </c>
      <c r="N1049" s="3" t="s">
        <v>8812</v>
      </c>
      <c r="P1049" s="3" t="s">
        <v>69</v>
      </c>
      <c r="R1049" s="3" t="s">
        <v>71</v>
      </c>
      <c r="S1049" s="4">
        <v>12</v>
      </c>
      <c r="T1049" s="4">
        <v>27</v>
      </c>
      <c r="U1049" s="5" t="s">
        <v>10224</v>
      </c>
      <c r="V1049" s="5" t="s">
        <v>10224</v>
      </c>
      <c r="W1049" s="5" t="s">
        <v>72</v>
      </c>
      <c r="X1049" s="5" t="s">
        <v>72</v>
      </c>
      <c r="Y1049" s="4">
        <v>366</v>
      </c>
      <c r="Z1049" s="4">
        <v>21</v>
      </c>
      <c r="AA1049" s="4">
        <v>21</v>
      </c>
      <c r="AB1049" s="4">
        <v>2</v>
      </c>
      <c r="AC1049" s="4">
        <v>2</v>
      </c>
      <c r="AD1049" s="4">
        <v>86</v>
      </c>
      <c r="AE1049" s="4">
        <v>86</v>
      </c>
      <c r="AF1049" s="4">
        <v>1</v>
      </c>
      <c r="AG1049" s="4">
        <v>1</v>
      </c>
      <c r="AH1049" s="4">
        <v>77</v>
      </c>
      <c r="AI1049" s="4">
        <v>77</v>
      </c>
      <c r="AJ1049" s="4">
        <v>14</v>
      </c>
      <c r="AK1049" s="4">
        <v>14</v>
      </c>
      <c r="AL1049" s="4">
        <v>40</v>
      </c>
      <c r="AM1049" s="4">
        <v>40</v>
      </c>
      <c r="AN1049" s="4">
        <v>0</v>
      </c>
      <c r="AO1049" s="4">
        <v>0</v>
      </c>
      <c r="AP1049" s="4">
        <v>17</v>
      </c>
      <c r="AQ1049" s="4">
        <v>17</v>
      </c>
      <c r="AR1049" s="3" t="s">
        <v>65</v>
      </c>
      <c r="AS1049" s="3" t="s">
        <v>65</v>
      </c>
      <c r="AT1049" s="3" t="s">
        <v>209</v>
      </c>
      <c r="AU1049" s="6" t="str">
        <f>HYPERLINK("http://catalog.hathitrust.org/Record/000907987","HathiTrust Record")</f>
        <v>HathiTrust Record</v>
      </c>
      <c r="AV1049" s="6" t="str">
        <f>HYPERLINK("http://mcgill.on.worldcat.org/oclc/638793","Catalog Record")</f>
        <v>Catalog Record</v>
      </c>
      <c r="AW1049" s="6" t="str">
        <f>HYPERLINK("http://www.worldcat.org/oclc/638793","WorldCat Record")</f>
        <v>WorldCat Record</v>
      </c>
      <c r="AX1049" s="3" t="s">
        <v>10225</v>
      </c>
      <c r="AY1049" s="3" t="s">
        <v>10226</v>
      </c>
      <c r="AZ1049" s="3" t="s">
        <v>10227</v>
      </c>
      <c r="BA1049" s="3" t="s">
        <v>10227</v>
      </c>
      <c r="BB1049" s="3" t="s">
        <v>10228</v>
      </c>
      <c r="BC1049" s="3" t="s">
        <v>77</v>
      </c>
      <c r="BD1049" s="3" t="s">
        <v>78</v>
      </c>
      <c r="BF1049" s="3" t="s">
        <v>10228</v>
      </c>
      <c r="BG1049" s="3" t="s">
        <v>10229</v>
      </c>
    </row>
    <row r="1050" spans="1:59" ht="58" x14ac:dyDescent="0.35">
      <c r="A1050" s="2" t="s">
        <v>59</v>
      </c>
      <c r="B1050" s="2" t="s">
        <v>60</v>
      </c>
      <c r="C1050" s="2" t="s">
        <v>10219</v>
      </c>
      <c r="D1050" s="2" t="s">
        <v>10220</v>
      </c>
      <c r="E1050" s="2" t="s">
        <v>10221</v>
      </c>
      <c r="G1050" s="3" t="s">
        <v>65</v>
      </c>
      <c r="I1050" s="3" t="s">
        <v>209</v>
      </c>
      <c r="J1050" s="3" t="s">
        <v>65</v>
      </c>
      <c r="K1050" s="3" t="s">
        <v>66</v>
      </c>
      <c r="L1050" s="2" t="s">
        <v>10222</v>
      </c>
      <c r="M1050" s="2" t="s">
        <v>10223</v>
      </c>
      <c r="N1050" s="3" t="s">
        <v>8812</v>
      </c>
      <c r="P1050" s="3" t="s">
        <v>69</v>
      </c>
      <c r="R1050" s="3" t="s">
        <v>71</v>
      </c>
      <c r="S1050" s="4">
        <v>15</v>
      </c>
      <c r="T1050" s="4">
        <v>27</v>
      </c>
      <c r="U1050" s="5" t="s">
        <v>10230</v>
      </c>
      <c r="V1050" s="5" t="s">
        <v>10224</v>
      </c>
      <c r="W1050" s="5" t="s">
        <v>72</v>
      </c>
      <c r="X1050" s="5" t="s">
        <v>72</v>
      </c>
      <c r="Y1050" s="4">
        <v>366</v>
      </c>
      <c r="Z1050" s="4">
        <v>21</v>
      </c>
      <c r="AA1050" s="4">
        <v>21</v>
      </c>
      <c r="AB1050" s="4">
        <v>2</v>
      </c>
      <c r="AC1050" s="4">
        <v>2</v>
      </c>
      <c r="AD1050" s="4">
        <v>86</v>
      </c>
      <c r="AE1050" s="4">
        <v>86</v>
      </c>
      <c r="AF1050" s="4">
        <v>1</v>
      </c>
      <c r="AG1050" s="4">
        <v>1</v>
      </c>
      <c r="AH1050" s="4">
        <v>77</v>
      </c>
      <c r="AI1050" s="4">
        <v>77</v>
      </c>
      <c r="AJ1050" s="4">
        <v>14</v>
      </c>
      <c r="AK1050" s="4">
        <v>14</v>
      </c>
      <c r="AL1050" s="4">
        <v>40</v>
      </c>
      <c r="AM1050" s="4">
        <v>40</v>
      </c>
      <c r="AN1050" s="4">
        <v>0</v>
      </c>
      <c r="AO1050" s="4">
        <v>0</v>
      </c>
      <c r="AP1050" s="4">
        <v>17</v>
      </c>
      <c r="AQ1050" s="4">
        <v>17</v>
      </c>
      <c r="AR1050" s="3" t="s">
        <v>65</v>
      </c>
      <c r="AS1050" s="3" t="s">
        <v>65</v>
      </c>
      <c r="AT1050" s="3" t="s">
        <v>209</v>
      </c>
      <c r="AU1050" s="6" t="str">
        <f>HYPERLINK("http://catalog.hathitrust.org/Record/000907987","HathiTrust Record")</f>
        <v>HathiTrust Record</v>
      </c>
      <c r="AV1050" s="6" t="str">
        <f>HYPERLINK("http://mcgill.on.worldcat.org/oclc/638793","Catalog Record")</f>
        <v>Catalog Record</v>
      </c>
      <c r="AW1050" s="6" t="str">
        <f>HYPERLINK("http://www.worldcat.org/oclc/638793","WorldCat Record")</f>
        <v>WorldCat Record</v>
      </c>
      <c r="AX1050" s="3" t="s">
        <v>10225</v>
      </c>
      <c r="AY1050" s="3" t="s">
        <v>10226</v>
      </c>
      <c r="AZ1050" s="3" t="s">
        <v>10227</v>
      </c>
      <c r="BA1050" s="3" t="s">
        <v>10227</v>
      </c>
      <c r="BB1050" s="3" t="s">
        <v>10231</v>
      </c>
      <c r="BC1050" s="3" t="s">
        <v>77</v>
      </c>
      <c r="BD1050" s="3" t="s">
        <v>78</v>
      </c>
      <c r="BF1050" s="3" t="s">
        <v>10231</v>
      </c>
      <c r="BG1050" s="3" t="s">
        <v>10232</v>
      </c>
    </row>
    <row r="1051" spans="1:59" ht="58" x14ac:dyDescent="0.35">
      <c r="A1051" s="2" t="s">
        <v>59</v>
      </c>
      <c r="B1051" s="2" t="s">
        <v>60</v>
      </c>
      <c r="C1051" s="2" t="s">
        <v>10233</v>
      </c>
      <c r="D1051" s="2" t="s">
        <v>10234</v>
      </c>
      <c r="E1051" s="2" t="s">
        <v>10235</v>
      </c>
      <c r="G1051" s="3" t="s">
        <v>65</v>
      </c>
      <c r="I1051" s="3" t="s">
        <v>65</v>
      </c>
      <c r="J1051" s="3" t="s">
        <v>65</v>
      </c>
      <c r="K1051" s="3" t="s">
        <v>66</v>
      </c>
      <c r="M1051" s="2" t="s">
        <v>10236</v>
      </c>
      <c r="N1051" s="3" t="s">
        <v>126</v>
      </c>
      <c r="P1051" s="3" t="s">
        <v>140</v>
      </c>
      <c r="Q1051" s="2" t="s">
        <v>10237</v>
      </c>
      <c r="R1051" s="3" t="s">
        <v>71</v>
      </c>
      <c r="S1051" s="4">
        <v>0</v>
      </c>
      <c r="T1051" s="4">
        <v>0</v>
      </c>
      <c r="W1051" s="5" t="s">
        <v>72</v>
      </c>
      <c r="X1051" s="5" t="s">
        <v>72</v>
      </c>
      <c r="Y1051" s="4">
        <v>37</v>
      </c>
      <c r="Z1051" s="4">
        <v>5</v>
      </c>
      <c r="AA1051" s="4">
        <v>5</v>
      </c>
      <c r="AB1051" s="4">
        <v>1</v>
      </c>
      <c r="AC1051" s="4">
        <v>1</v>
      </c>
      <c r="AD1051" s="4">
        <v>25</v>
      </c>
      <c r="AE1051" s="4">
        <v>25</v>
      </c>
      <c r="AF1051" s="4">
        <v>0</v>
      </c>
      <c r="AG1051" s="4">
        <v>0</v>
      </c>
      <c r="AH1051" s="4">
        <v>24</v>
      </c>
      <c r="AI1051" s="4">
        <v>24</v>
      </c>
      <c r="AJ1051" s="4">
        <v>2</v>
      </c>
      <c r="AK1051" s="4">
        <v>2</v>
      </c>
      <c r="AL1051" s="4">
        <v>18</v>
      </c>
      <c r="AM1051" s="4">
        <v>18</v>
      </c>
      <c r="AN1051" s="4">
        <v>0</v>
      </c>
      <c r="AO1051" s="4">
        <v>0</v>
      </c>
      <c r="AP1051" s="4">
        <v>2</v>
      </c>
      <c r="AQ1051" s="4">
        <v>2</v>
      </c>
      <c r="AR1051" s="3" t="s">
        <v>65</v>
      </c>
      <c r="AS1051" s="3" t="s">
        <v>65</v>
      </c>
      <c r="AT1051" s="3" t="s">
        <v>65</v>
      </c>
      <c r="AV1051" s="6" t="str">
        <f>HYPERLINK("http://mcgill.on.worldcat.org/oclc/745970395","Catalog Record")</f>
        <v>Catalog Record</v>
      </c>
      <c r="AW1051" s="6" t="str">
        <f>HYPERLINK("http://www.worldcat.org/oclc/745970395","WorldCat Record")</f>
        <v>WorldCat Record</v>
      </c>
      <c r="AX1051" s="3" t="s">
        <v>10238</v>
      </c>
      <c r="AY1051" s="3" t="s">
        <v>10239</v>
      </c>
      <c r="AZ1051" s="3" t="s">
        <v>10240</v>
      </c>
      <c r="BA1051" s="3" t="s">
        <v>10240</v>
      </c>
      <c r="BB1051" s="3" t="s">
        <v>10241</v>
      </c>
      <c r="BC1051" s="3" t="s">
        <v>77</v>
      </c>
      <c r="BD1051" s="3" t="s">
        <v>78</v>
      </c>
      <c r="BE1051" s="3" t="s">
        <v>10242</v>
      </c>
      <c r="BF1051" s="3" t="s">
        <v>10241</v>
      </c>
      <c r="BG1051" s="3" t="s">
        <v>10243</v>
      </c>
    </row>
    <row r="1052" spans="1:59" ht="58" x14ac:dyDescent="0.35">
      <c r="A1052" s="2" t="s">
        <v>59</v>
      </c>
      <c r="B1052" s="2" t="s">
        <v>60</v>
      </c>
      <c r="C1052" s="2" t="s">
        <v>10244</v>
      </c>
      <c r="D1052" s="2" t="s">
        <v>10245</v>
      </c>
      <c r="E1052" s="2" t="s">
        <v>10246</v>
      </c>
      <c r="G1052" s="3" t="s">
        <v>65</v>
      </c>
      <c r="I1052" s="3" t="s">
        <v>65</v>
      </c>
      <c r="J1052" s="3" t="s">
        <v>65</v>
      </c>
      <c r="K1052" s="3" t="s">
        <v>66</v>
      </c>
      <c r="L1052" s="2" t="s">
        <v>10247</v>
      </c>
      <c r="M1052" s="2" t="s">
        <v>10248</v>
      </c>
      <c r="N1052" s="3" t="s">
        <v>164</v>
      </c>
      <c r="P1052" s="3" t="s">
        <v>140</v>
      </c>
      <c r="Q1052" s="2" t="s">
        <v>10249</v>
      </c>
      <c r="R1052" s="3" t="s">
        <v>71</v>
      </c>
      <c r="S1052" s="4">
        <v>0</v>
      </c>
      <c r="T1052" s="4">
        <v>0</v>
      </c>
      <c r="W1052" s="5" t="s">
        <v>72</v>
      </c>
      <c r="X1052" s="5" t="s">
        <v>72</v>
      </c>
      <c r="Y1052" s="4">
        <v>66</v>
      </c>
      <c r="Z1052" s="4">
        <v>5</v>
      </c>
      <c r="AA1052" s="4">
        <v>5</v>
      </c>
      <c r="AB1052" s="4">
        <v>1</v>
      </c>
      <c r="AC1052" s="4">
        <v>1</v>
      </c>
      <c r="AD1052" s="4">
        <v>35</v>
      </c>
      <c r="AE1052" s="4">
        <v>35</v>
      </c>
      <c r="AF1052" s="4">
        <v>0</v>
      </c>
      <c r="AG1052" s="4">
        <v>0</v>
      </c>
      <c r="AH1052" s="4">
        <v>34</v>
      </c>
      <c r="AI1052" s="4">
        <v>34</v>
      </c>
      <c r="AJ1052" s="4">
        <v>2</v>
      </c>
      <c r="AK1052" s="4">
        <v>2</v>
      </c>
      <c r="AL1052" s="4">
        <v>27</v>
      </c>
      <c r="AM1052" s="4">
        <v>27</v>
      </c>
      <c r="AN1052" s="4">
        <v>0</v>
      </c>
      <c r="AO1052" s="4">
        <v>0</v>
      </c>
      <c r="AP1052" s="4">
        <v>2</v>
      </c>
      <c r="AQ1052" s="4">
        <v>2</v>
      </c>
      <c r="AR1052" s="3" t="s">
        <v>65</v>
      </c>
      <c r="AS1052" s="3" t="s">
        <v>65</v>
      </c>
      <c r="AT1052" s="3" t="s">
        <v>65</v>
      </c>
      <c r="AV1052" s="6" t="str">
        <f>HYPERLINK("http://mcgill.on.worldcat.org/oclc/876145358","Catalog Record")</f>
        <v>Catalog Record</v>
      </c>
      <c r="AW1052" s="6" t="str">
        <f>HYPERLINK("http://www.worldcat.org/oclc/876145358","WorldCat Record")</f>
        <v>WorldCat Record</v>
      </c>
      <c r="AX1052" s="3" t="s">
        <v>10250</v>
      </c>
      <c r="AY1052" s="3" t="s">
        <v>10251</v>
      </c>
      <c r="AZ1052" s="3" t="s">
        <v>10252</v>
      </c>
      <c r="BA1052" s="3" t="s">
        <v>10252</v>
      </c>
      <c r="BB1052" s="3" t="s">
        <v>10253</v>
      </c>
      <c r="BC1052" s="3" t="s">
        <v>77</v>
      </c>
      <c r="BD1052" s="3" t="s">
        <v>78</v>
      </c>
      <c r="BE1052" s="3" t="s">
        <v>10254</v>
      </c>
      <c r="BF1052" s="3" t="s">
        <v>10253</v>
      </c>
      <c r="BG1052" s="3" t="s">
        <v>10255</v>
      </c>
    </row>
    <row r="1053" spans="1:59" ht="58" x14ac:dyDescent="0.35">
      <c r="A1053" s="2" t="s">
        <v>59</v>
      </c>
      <c r="B1053" s="2" t="s">
        <v>60</v>
      </c>
      <c r="C1053" s="2" t="s">
        <v>10256</v>
      </c>
      <c r="D1053" s="2" t="s">
        <v>10257</v>
      </c>
      <c r="E1053" s="2" t="s">
        <v>10258</v>
      </c>
      <c r="G1053" s="3" t="s">
        <v>65</v>
      </c>
      <c r="I1053" s="3" t="s">
        <v>65</v>
      </c>
      <c r="J1053" s="3" t="s">
        <v>65</v>
      </c>
      <c r="K1053" s="3" t="s">
        <v>66</v>
      </c>
      <c r="L1053" s="2" t="s">
        <v>10259</v>
      </c>
      <c r="M1053" s="2" t="s">
        <v>10260</v>
      </c>
      <c r="N1053" s="3" t="s">
        <v>1196</v>
      </c>
      <c r="P1053" s="3" t="s">
        <v>69</v>
      </c>
      <c r="Q1053" s="2" t="s">
        <v>10261</v>
      </c>
      <c r="R1053" s="3" t="s">
        <v>71</v>
      </c>
      <c r="S1053" s="4">
        <v>13</v>
      </c>
      <c r="T1053" s="4">
        <v>13</v>
      </c>
      <c r="U1053" s="5" t="s">
        <v>2532</v>
      </c>
      <c r="V1053" s="5" t="s">
        <v>2532</v>
      </c>
      <c r="W1053" s="5" t="s">
        <v>72</v>
      </c>
      <c r="X1053" s="5" t="s">
        <v>72</v>
      </c>
      <c r="Y1053" s="4">
        <v>413</v>
      </c>
      <c r="Z1053" s="4">
        <v>30</v>
      </c>
      <c r="AA1053" s="4">
        <v>33</v>
      </c>
      <c r="AB1053" s="4">
        <v>1</v>
      </c>
      <c r="AC1053" s="4">
        <v>2</v>
      </c>
      <c r="AD1053" s="4">
        <v>107</v>
      </c>
      <c r="AE1053" s="4">
        <v>110</v>
      </c>
      <c r="AF1053" s="4">
        <v>0</v>
      </c>
      <c r="AG1053" s="4">
        <v>1</v>
      </c>
      <c r="AH1053" s="4">
        <v>95</v>
      </c>
      <c r="AI1053" s="4">
        <v>96</v>
      </c>
      <c r="AJ1053" s="4">
        <v>18</v>
      </c>
      <c r="AK1053" s="4">
        <v>20</v>
      </c>
      <c r="AL1053" s="4">
        <v>53</v>
      </c>
      <c r="AM1053" s="4">
        <v>53</v>
      </c>
      <c r="AN1053" s="4">
        <v>0</v>
      </c>
      <c r="AO1053" s="4">
        <v>0</v>
      </c>
      <c r="AP1053" s="4">
        <v>20</v>
      </c>
      <c r="AQ1053" s="4">
        <v>23</v>
      </c>
      <c r="AR1053" s="3" t="s">
        <v>65</v>
      </c>
      <c r="AS1053" s="3" t="s">
        <v>65</v>
      </c>
      <c r="AT1053" s="3" t="s">
        <v>65</v>
      </c>
      <c r="AV1053" s="6" t="str">
        <f>HYPERLINK("http://mcgill.on.worldcat.org/oclc/56491049","Catalog Record")</f>
        <v>Catalog Record</v>
      </c>
      <c r="AW1053" s="6" t="str">
        <f>HYPERLINK("http://www.worldcat.org/oclc/56491049","WorldCat Record")</f>
        <v>WorldCat Record</v>
      </c>
      <c r="AX1053" s="3" t="s">
        <v>10262</v>
      </c>
      <c r="AY1053" s="3" t="s">
        <v>10263</v>
      </c>
      <c r="AZ1053" s="3" t="s">
        <v>10264</v>
      </c>
      <c r="BA1053" s="3" t="s">
        <v>10264</v>
      </c>
      <c r="BB1053" s="3" t="s">
        <v>10265</v>
      </c>
      <c r="BC1053" s="3" t="s">
        <v>77</v>
      </c>
      <c r="BD1053" s="3" t="s">
        <v>78</v>
      </c>
      <c r="BE1053" s="3" t="s">
        <v>10266</v>
      </c>
      <c r="BF1053" s="3" t="s">
        <v>10265</v>
      </c>
      <c r="BG1053" s="3" t="s">
        <v>10267</v>
      </c>
    </row>
    <row r="1054" spans="1:59" ht="58" x14ac:dyDescent="0.35">
      <c r="A1054" s="2" t="s">
        <v>59</v>
      </c>
      <c r="B1054" s="2" t="s">
        <v>60</v>
      </c>
      <c r="C1054" s="2" t="s">
        <v>10268</v>
      </c>
      <c r="D1054" s="2" t="s">
        <v>10269</v>
      </c>
      <c r="E1054" s="2" t="s">
        <v>10270</v>
      </c>
      <c r="G1054" s="3" t="s">
        <v>65</v>
      </c>
      <c r="I1054" s="3" t="s">
        <v>65</v>
      </c>
      <c r="J1054" s="3" t="s">
        <v>65</v>
      </c>
      <c r="K1054" s="3" t="s">
        <v>66</v>
      </c>
      <c r="M1054" s="2" t="s">
        <v>10271</v>
      </c>
      <c r="N1054" s="3" t="s">
        <v>176</v>
      </c>
      <c r="P1054" s="3" t="s">
        <v>69</v>
      </c>
      <c r="Q1054" s="2" t="s">
        <v>10272</v>
      </c>
      <c r="R1054" s="3" t="s">
        <v>71</v>
      </c>
      <c r="S1054" s="4">
        <v>2</v>
      </c>
      <c r="T1054" s="4">
        <v>2</v>
      </c>
      <c r="U1054" s="5" t="s">
        <v>3351</v>
      </c>
      <c r="V1054" s="5" t="s">
        <v>3351</v>
      </c>
      <c r="W1054" s="5" t="s">
        <v>72</v>
      </c>
      <c r="X1054" s="5" t="s">
        <v>72</v>
      </c>
      <c r="Y1054" s="4">
        <v>229</v>
      </c>
      <c r="Z1054" s="4">
        <v>12</v>
      </c>
      <c r="AA1054" s="4">
        <v>21</v>
      </c>
      <c r="AB1054" s="4">
        <v>1</v>
      </c>
      <c r="AC1054" s="4">
        <v>5</v>
      </c>
      <c r="AD1054" s="4">
        <v>61</v>
      </c>
      <c r="AE1054" s="4">
        <v>71</v>
      </c>
      <c r="AF1054" s="4">
        <v>0</v>
      </c>
      <c r="AG1054" s="4">
        <v>2</v>
      </c>
      <c r="AH1054" s="4">
        <v>57</v>
      </c>
      <c r="AI1054" s="4">
        <v>62</v>
      </c>
      <c r="AJ1054" s="4">
        <v>6</v>
      </c>
      <c r="AK1054" s="4">
        <v>11</v>
      </c>
      <c r="AL1054" s="4">
        <v>38</v>
      </c>
      <c r="AM1054" s="4">
        <v>41</v>
      </c>
      <c r="AN1054" s="4">
        <v>0</v>
      </c>
      <c r="AO1054" s="4">
        <v>0</v>
      </c>
      <c r="AP1054" s="4">
        <v>6</v>
      </c>
      <c r="AQ1054" s="4">
        <v>12</v>
      </c>
      <c r="AR1054" s="3" t="s">
        <v>65</v>
      </c>
      <c r="AS1054" s="3" t="s">
        <v>65</v>
      </c>
      <c r="AT1054" s="3" t="s">
        <v>65</v>
      </c>
      <c r="AV1054" s="6" t="str">
        <f>HYPERLINK("http://mcgill.on.worldcat.org/oclc/914296319","Catalog Record")</f>
        <v>Catalog Record</v>
      </c>
      <c r="AW1054" s="6" t="str">
        <f>HYPERLINK("http://www.worldcat.org/oclc/914296319","WorldCat Record")</f>
        <v>WorldCat Record</v>
      </c>
      <c r="AX1054" s="3" t="s">
        <v>10273</v>
      </c>
      <c r="AY1054" s="3" t="s">
        <v>10274</v>
      </c>
      <c r="AZ1054" s="3" t="s">
        <v>10275</v>
      </c>
      <c r="BA1054" s="3" t="s">
        <v>10275</v>
      </c>
      <c r="BB1054" s="3" t="s">
        <v>10276</v>
      </c>
      <c r="BC1054" s="3" t="s">
        <v>77</v>
      </c>
      <c r="BD1054" s="3" t="s">
        <v>78</v>
      </c>
      <c r="BE1054" s="3" t="s">
        <v>10277</v>
      </c>
      <c r="BF1054" s="3" t="s">
        <v>10276</v>
      </c>
      <c r="BG1054" s="3" t="s">
        <v>10278</v>
      </c>
    </row>
    <row r="1055" spans="1:59" ht="58" x14ac:dyDescent="0.35">
      <c r="A1055" s="2" t="s">
        <v>59</v>
      </c>
      <c r="B1055" s="2" t="s">
        <v>60</v>
      </c>
      <c r="C1055" s="2" t="s">
        <v>10279</v>
      </c>
      <c r="D1055" s="2" t="s">
        <v>10280</v>
      </c>
      <c r="E1055" s="2" t="s">
        <v>10281</v>
      </c>
      <c r="G1055" s="3" t="s">
        <v>65</v>
      </c>
      <c r="I1055" s="3" t="s">
        <v>65</v>
      </c>
      <c r="J1055" s="3" t="s">
        <v>65</v>
      </c>
      <c r="K1055" s="3" t="s">
        <v>66</v>
      </c>
      <c r="L1055" s="2" t="s">
        <v>10282</v>
      </c>
      <c r="M1055" s="2" t="s">
        <v>10283</v>
      </c>
      <c r="N1055" s="3" t="s">
        <v>139</v>
      </c>
      <c r="P1055" s="3" t="s">
        <v>140</v>
      </c>
      <c r="R1055" s="3" t="s">
        <v>71</v>
      </c>
      <c r="S1055" s="4">
        <v>0</v>
      </c>
      <c r="T1055" s="4">
        <v>0</v>
      </c>
      <c r="W1055" s="5" t="s">
        <v>72</v>
      </c>
      <c r="X1055" s="5" t="s">
        <v>72</v>
      </c>
      <c r="Y1055" s="4">
        <v>36</v>
      </c>
      <c r="Z1055" s="4">
        <v>5</v>
      </c>
      <c r="AA1055" s="4">
        <v>5</v>
      </c>
      <c r="AB1055" s="4">
        <v>1</v>
      </c>
      <c r="AC1055" s="4">
        <v>1</v>
      </c>
      <c r="AD1055" s="4">
        <v>24</v>
      </c>
      <c r="AE1055" s="4">
        <v>24</v>
      </c>
      <c r="AF1055" s="4">
        <v>0</v>
      </c>
      <c r="AG1055" s="4">
        <v>0</v>
      </c>
      <c r="AH1055" s="4">
        <v>23</v>
      </c>
      <c r="AI1055" s="4">
        <v>23</v>
      </c>
      <c r="AJ1055" s="4">
        <v>2</v>
      </c>
      <c r="AK1055" s="4">
        <v>2</v>
      </c>
      <c r="AL1055" s="4">
        <v>20</v>
      </c>
      <c r="AM1055" s="4">
        <v>20</v>
      </c>
      <c r="AN1055" s="4">
        <v>0</v>
      </c>
      <c r="AO1055" s="4">
        <v>0</v>
      </c>
      <c r="AP1055" s="4">
        <v>2</v>
      </c>
      <c r="AQ1055" s="4">
        <v>2</v>
      </c>
      <c r="AR1055" s="3" t="s">
        <v>65</v>
      </c>
      <c r="AS1055" s="3" t="s">
        <v>65</v>
      </c>
      <c r="AT1055" s="3" t="s">
        <v>65</v>
      </c>
      <c r="AV1055" s="6" t="str">
        <f>HYPERLINK("http://mcgill.on.worldcat.org/oclc/829690215","Catalog Record")</f>
        <v>Catalog Record</v>
      </c>
      <c r="AW1055" s="6" t="str">
        <f>HYPERLINK("http://www.worldcat.org/oclc/829690215","WorldCat Record")</f>
        <v>WorldCat Record</v>
      </c>
      <c r="AX1055" s="3" t="s">
        <v>10284</v>
      </c>
      <c r="AY1055" s="3" t="s">
        <v>10285</v>
      </c>
      <c r="AZ1055" s="3" t="s">
        <v>10286</v>
      </c>
      <c r="BA1055" s="3" t="s">
        <v>10286</v>
      </c>
      <c r="BB1055" s="3" t="s">
        <v>10287</v>
      </c>
      <c r="BC1055" s="3" t="s">
        <v>77</v>
      </c>
      <c r="BD1055" s="3" t="s">
        <v>78</v>
      </c>
      <c r="BE1055" s="3" t="s">
        <v>10288</v>
      </c>
      <c r="BF1055" s="3" t="s">
        <v>10287</v>
      </c>
      <c r="BG1055" s="3" t="s">
        <v>10289</v>
      </c>
    </row>
    <row r="1056" spans="1:59" ht="116" x14ac:dyDescent="0.35">
      <c r="A1056" s="2" t="s">
        <v>59</v>
      </c>
      <c r="B1056" s="2" t="s">
        <v>60</v>
      </c>
      <c r="C1056" s="2" t="s">
        <v>10290</v>
      </c>
      <c r="D1056" s="2" t="s">
        <v>10291</v>
      </c>
      <c r="E1056" s="2" t="s">
        <v>10292</v>
      </c>
      <c r="G1056" s="3" t="s">
        <v>65</v>
      </c>
      <c r="I1056" s="3" t="s">
        <v>65</v>
      </c>
      <c r="J1056" s="3" t="s">
        <v>65</v>
      </c>
      <c r="K1056" s="3" t="s">
        <v>66</v>
      </c>
      <c r="L1056" s="2" t="s">
        <v>10293</v>
      </c>
      <c r="M1056" s="2" t="s">
        <v>10294</v>
      </c>
      <c r="N1056" s="3" t="s">
        <v>5338</v>
      </c>
      <c r="P1056" s="3" t="s">
        <v>140</v>
      </c>
      <c r="R1056" s="3" t="s">
        <v>71</v>
      </c>
      <c r="S1056" s="4">
        <v>3</v>
      </c>
      <c r="T1056" s="4">
        <v>3</v>
      </c>
      <c r="U1056" s="5" t="s">
        <v>10187</v>
      </c>
      <c r="V1056" s="5" t="s">
        <v>10187</v>
      </c>
      <c r="W1056" s="5" t="s">
        <v>72</v>
      </c>
      <c r="X1056" s="5" t="s">
        <v>72</v>
      </c>
      <c r="Y1056" s="4">
        <v>90</v>
      </c>
      <c r="Z1056" s="4">
        <v>5</v>
      </c>
      <c r="AA1056" s="4">
        <v>5</v>
      </c>
      <c r="AB1056" s="4">
        <v>1</v>
      </c>
      <c r="AC1056" s="4">
        <v>1</v>
      </c>
      <c r="AD1056" s="4">
        <v>49</v>
      </c>
      <c r="AE1056" s="4">
        <v>49</v>
      </c>
      <c r="AF1056" s="4">
        <v>0</v>
      </c>
      <c r="AG1056" s="4">
        <v>0</v>
      </c>
      <c r="AH1056" s="4">
        <v>47</v>
      </c>
      <c r="AI1056" s="4">
        <v>47</v>
      </c>
      <c r="AJ1056" s="4">
        <v>4</v>
      </c>
      <c r="AK1056" s="4">
        <v>4</v>
      </c>
      <c r="AL1056" s="4">
        <v>33</v>
      </c>
      <c r="AM1056" s="4">
        <v>33</v>
      </c>
      <c r="AN1056" s="4">
        <v>0</v>
      </c>
      <c r="AO1056" s="4">
        <v>0</v>
      </c>
      <c r="AP1056" s="4">
        <v>4</v>
      </c>
      <c r="AQ1056" s="4">
        <v>4</v>
      </c>
      <c r="AR1056" s="3" t="s">
        <v>65</v>
      </c>
      <c r="AS1056" s="3" t="s">
        <v>65</v>
      </c>
      <c r="AT1056" s="3" t="s">
        <v>65</v>
      </c>
      <c r="AV1056" s="6" t="str">
        <f>HYPERLINK("http://mcgill.on.worldcat.org/oclc/2843844","Catalog Record")</f>
        <v>Catalog Record</v>
      </c>
      <c r="AW1056" s="6" t="str">
        <f>HYPERLINK("http://www.worldcat.org/oclc/2843844","WorldCat Record")</f>
        <v>WorldCat Record</v>
      </c>
      <c r="AX1056" s="3" t="s">
        <v>10295</v>
      </c>
      <c r="AY1056" s="3" t="s">
        <v>10296</v>
      </c>
      <c r="AZ1056" s="3" t="s">
        <v>10297</v>
      </c>
      <c r="BA1056" s="3" t="s">
        <v>10297</v>
      </c>
      <c r="BB1056" s="3" t="s">
        <v>10298</v>
      </c>
      <c r="BC1056" s="3" t="s">
        <v>77</v>
      </c>
      <c r="BD1056" s="3" t="s">
        <v>78</v>
      </c>
      <c r="BF1056" s="3" t="s">
        <v>10298</v>
      </c>
      <c r="BG1056" s="3" t="s">
        <v>10299</v>
      </c>
    </row>
    <row r="1057" spans="1:59" ht="58" x14ac:dyDescent="0.35">
      <c r="A1057" s="2" t="s">
        <v>59</v>
      </c>
      <c r="B1057" s="2" t="s">
        <v>60</v>
      </c>
      <c r="C1057" s="2" t="s">
        <v>10300</v>
      </c>
      <c r="D1057" s="2" t="s">
        <v>10301</v>
      </c>
      <c r="E1057" s="2" t="s">
        <v>10302</v>
      </c>
      <c r="G1057" s="3" t="s">
        <v>65</v>
      </c>
      <c r="I1057" s="3" t="s">
        <v>65</v>
      </c>
      <c r="J1057" s="3" t="s">
        <v>65</v>
      </c>
      <c r="K1057" s="3" t="s">
        <v>66</v>
      </c>
      <c r="L1057" s="2" t="s">
        <v>10303</v>
      </c>
      <c r="M1057" s="2" t="s">
        <v>10304</v>
      </c>
      <c r="N1057" s="3" t="s">
        <v>176</v>
      </c>
      <c r="P1057" s="3" t="s">
        <v>140</v>
      </c>
      <c r="Q1057" s="2" t="s">
        <v>10305</v>
      </c>
      <c r="R1057" s="3" t="s">
        <v>71</v>
      </c>
      <c r="S1057" s="4">
        <v>0</v>
      </c>
      <c r="T1057" s="4">
        <v>0</v>
      </c>
      <c r="W1057" s="5" t="s">
        <v>72</v>
      </c>
      <c r="X1057" s="5" t="s">
        <v>72</v>
      </c>
      <c r="Y1057" s="4">
        <v>64</v>
      </c>
      <c r="Z1057" s="4">
        <v>5</v>
      </c>
      <c r="AA1057" s="4">
        <v>5</v>
      </c>
      <c r="AB1057" s="4">
        <v>1</v>
      </c>
      <c r="AC1057" s="4">
        <v>1</v>
      </c>
      <c r="AD1057" s="4">
        <v>40</v>
      </c>
      <c r="AE1057" s="4">
        <v>40</v>
      </c>
      <c r="AF1057" s="4">
        <v>0</v>
      </c>
      <c r="AG1057" s="4">
        <v>0</v>
      </c>
      <c r="AH1057" s="4">
        <v>39</v>
      </c>
      <c r="AI1057" s="4">
        <v>39</v>
      </c>
      <c r="AJ1057" s="4">
        <v>2</v>
      </c>
      <c r="AK1057" s="4">
        <v>2</v>
      </c>
      <c r="AL1057" s="4">
        <v>29</v>
      </c>
      <c r="AM1057" s="4">
        <v>29</v>
      </c>
      <c r="AN1057" s="4">
        <v>0</v>
      </c>
      <c r="AO1057" s="4">
        <v>0</v>
      </c>
      <c r="AP1057" s="4">
        <v>2</v>
      </c>
      <c r="AQ1057" s="4">
        <v>2</v>
      </c>
      <c r="AR1057" s="3" t="s">
        <v>65</v>
      </c>
      <c r="AS1057" s="3" t="s">
        <v>65</v>
      </c>
      <c r="AT1057" s="3" t="s">
        <v>65</v>
      </c>
      <c r="AV1057" s="6" t="str">
        <f>HYPERLINK("http://mcgill.on.worldcat.org/oclc/926739169","Catalog Record")</f>
        <v>Catalog Record</v>
      </c>
      <c r="AW1057" s="6" t="str">
        <f>HYPERLINK("http://www.worldcat.org/oclc/926739169","WorldCat Record")</f>
        <v>WorldCat Record</v>
      </c>
      <c r="AX1057" s="3" t="s">
        <v>10306</v>
      </c>
      <c r="AY1057" s="3" t="s">
        <v>10307</v>
      </c>
      <c r="AZ1057" s="3" t="s">
        <v>10308</v>
      </c>
      <c r="BA1057" s="3" t="s">
        <v>10308</v>
      </c>
      <c r="BB1057" s="3" t="s">
        <v>10309</v>
      </c>
      <c r="BC1057" s="3" t="s">
        <v>77</v>
      </c>
      <c r="BD1057" s="3" t="s">
        <v>78</v>
      </c>
      <c r="BE1057" s="3" t="s">
        <v>10310</v>
      </c>
      <c r="BF1057" s="3" t="s">
        <v>10309</v>
      </c>
      <c r="BG1057" s="3" t="s">
        <v>10311</v>
      </c>
    </row>
    <row r="1058" spans="1:59" ht="58" x14ac:dyDescent="0.35">
      <c r="A1058" s="2" t="s">
        <v>59</v>
      </c>
      <c r="B1058" s="2" t="s">
        <v>60</v>
      </c>
      <c r="C1058" s="2" t="s">
        <v>10312</v>
      </c>
      <c r="D1058" s="2" t="s">
        <v>10313</v>
      </c>
      <c r="E1058" s="2" t="s">
        <v>10314</v>
      </c>
      <c r="G1058" s="3" t="s">
        <v>65</v>
      </c>
      <c r="I1058" s="3" t="s">
        <v>65</v>
      </c>
      <c r="J1058" s="3" t="s">
        <v>65</v>
      </c>
      <c r="K1058" s="3" t="s">
        <v>66</v>
      </c>
      <c r="M1058" s="2" t="s">
        <v>10315</v>
      </c>
      <c r="N1058" s="3" t="s">
        <v>831</v>
      </c>
      <c r="P1058" s="3" t="s">
        <v>69</v>
      </c>
      <c r="Q1058" s="2" t="s">
        <v>10316</v>
      </c>
      <c r="R1058" s="3" t="s">
        <v>71</v>
      </c>
      <c r="S1058" s="4">
        <v>15</v>
      </c>
      <c r="T1058" s="4">
        <v>15</v>
      </c>
      <c r="U1058" s="5" t="s">
        <v>10317</v>
      </c>
      <c r="V1058" s="5" t="s">
        <v>10317</v>
      </c>
      <c r="W1058" s="5" t="s">
        <v>72</v>
      </c>
      <c r="X1058" s="5" t="s">
        <v>72</v>
      </c>
      <c r="Y1058" s="4">
        <v>885</v>
      </c>
      <c r="Z1058" s="4">
        <v>34</v>
      </c>
      <c r="AA1058" s="4">
        <v>35</v>
      </c>
      <c r="AB1058" s="4">
        <v>2</v>
      </c>
      <c r="AC1058" s="4">
        <v>3</v>
      </c>
      <c r="AD1058" s="4">
        <v>125</v>
      </c>
      <c r="AE1058" s="4">
        <v>126</v>
      </c>
      <c r="AF1058" s="4">
        <v>1</v>
      </c>
      <c r="AG1058" s="4">
        <v>2</v>
      </c>
      <c r="AH1058" s="4">
        <v>106</v>
      </c>
      <c r="AI1058" s="4">
        <v>107</v>
      </c>
      <c r="AJ1058" s="4">
        <v>19</v>
      </c>
      <c r="AK1058" s="4">
        <v>20</v>
      </c>
      <c r="AL1058" s="4">
        <v>57</v>
      </c>
      <c r="AM1058" s="4">
        <v>57</v>
      </c>
      <c r="AN1058" s="4">
        <v>0</v>
      </c>
      <c r="AO1058" s="4">
        <v>0</v>
      </c>
      <c r="AP1058" s="4">
        <v>28</v>
      </c>
      <c r="AQ1058" s="4">
        <v>29</v>
      </c>
      <c r="AR1058" s="3" t="s">
        <v>65</v>
      </c>
      <c r="AS1058" s="3" t="s">
        <v>65</v>
      </c>
      <c r="AT1058" s="3" t="s">
        <v>65</v>
      </c>
      <c r="AV1058" s="6" t="str">
        <f>HYPERLINK("http://mcgill.on.worldcat.org/oclc/7671339","Catalog Record")</f>
        <v>Catalog Record</v>
      </c>
      <c r="AW1058" s="6" t="str">
        <f>HYPERLINK("http://www.worldcat.org/oclc/7671339","WorldCat Record")</f>
        <v>WorldCat Record</v>
      </c>
      <c r="AX1058" s="3" t="s">
        <v>10318</v>
      </c>
      <c r="AY1058" s="3" t="s">
        <v>10319</v>
      </c>
      <c r="AZ1058" s="3" t="s">
        <v>10320</v>
      </c>
      <c r="BA1058" s="3" t="s">
        <v>10320</v>
      </c>
      <c r="BB1058" s="3" t="s">
        <v>10321</v>
      </c>
      <c r="BC1058" s="3" t="s">
        <v>77</v>
      </c>
      <c r="BD1058" s="3" t="s">
        <v>78</v>
      </c>
      <c r="BE1058" s="3" t="s">
        <v>10322</v>
      </c>
      <c r="BF1058" s="3" t="s">
        <v>10321</v>
      </c>
      <c r="BG1058" s="3" t="s">
        <v>10323</v>
      </c>
    </row>
    <row r="1059" spans="1:59" ht="58" x14ac:dyDescent="0.35">
      <c r="A1059" s="2" t="s">
        <v>59</v>
      </c>
      <c r="B1059" s="2" t="s">
        <v>60</v>
      </c>
      <c r="C1059" s="2" t="s">
        <v>10324</v>
      </c>
      <c r="D1059" s="2" t="s">
        <v>10325</v>
      </c>
      <c r="E1059" s="2" t="s">
        <v>10326</v>
      </c>
      <c r="G1059" s="3" t="s">
        <v>65</v>
      </c>
      <c r="I1059" s="3" t="s">
        <v>65</v>
      </c>
      <c r="J1059" s="3" t="s">
        <v>65</v>
      </c>
      <c r="K1059" s="3" t="s">
        <v>66</v>
      </c>
      <c r="L1059" s="2" t="s">
        <v>10327</v>
      </c>
      <c r="M1059" s="2" t="s">
        <v>3475</v>
      </c>
      <c r="N1059" s="3" t="s">
        <v>152</v>
      </c>
      <c r="P1059" s="3" t="s">
        <v>140</v>
      </c>
      <c r="Q1059" s="2" t="s">
        <v>10328</v>
      </c>
      <c r="R1059" s="3" t="s">
        <v>71</v>
      </c>
      <c r="S1059" s="4">
        <v>1</v>
      </c>
      <c r="T1059" s="4">
        <v>1</v>
      </c>
      <c r="U1059" s="5" t="s">
        <v>10329</v>
      </c>
      <c r="V1059" s="5" t="s">
        <v>10329</v>
      </c>
      <c r="W1059" s="5" t="s">
        <v>72</v>
      </c>
      <c r="X1059" s="5" t="s">
        <v>72</v>
      </c>
      <c r="Y1059" s="4">
        <v>81</v>
      </c>
      <c r="Z1059" s="4">
        <v>6</v>
      </c>
      <c r="AA1059" s="4">
        <v>6</v>
      </c>
      <c r="AB1059" s="4">
        <v>1</v>
      </c>
      <c r="AC1059" s="4">
        <v>1</v>
      </c>
      <c r="AD1059" s="4">
        <v>44</v>
      </c>
      <c r="AE1059" s="4">
        <v>44</v>
      </c>
      <c r="AF1059" s="4">
        <v>0</v>
      </c>
      <c r="AG1059" s="4">
        <v>0</v>
      </c>
      <c r="AH1059" s="4">
        <v>43</v>
      </c>
      <c r="AI1059" s="4">
        <v>43</v>
      </c>
      <c r="AJ1059" s="4">
        <v>3</v>
      </c>
      <c r="AK1059" s="4">
        <v>3</v>
      </c>
      <c r="AL1059" s="4">
        <v>33</v>
      </c>
      <c r="AM1059" s="4">
        <v>33</v>
      </c>
      <c r="AN1059" s="4">
        <v>0</v>
      </c>
      <c r="AO1059" s="4">
        <v>0</v>
      </c>
      <c r="AP1059" s="4">
        <v>3</v>
      </c>
      <c r="AQ1059" s="4">
        <v>3</v>
      </c>
      <c r="AR1059" s="3" t="s">
        <v>65</v>
      </c>
      <c r="AS1059" s="3" t="s">
        <v>65</v>
      </c>
      <c r="AT1059" s="3" t="s">
        <v>65</v>
      </c>
      <c r="AV1059" s="6" t="str">
        <f>HYPERLINK("http://mcgill.on.worldcat.org/oclc/848752489","Catalog Record")</f>
        <v>Catalog Record</v>
      </c>
      <c r="AW1059" s="6" t="str">
        <f>HYPERLINK("http://www.worldcat.org/oclc/848752489","WorldCat Record")</f>
        <v>WorldCat Record</v>
      </c>
      <c r="AX1059" s="3" t="s">
        <v>10330</v>
      </c>
      <c r="AY1059" s="3" t="s">
        <v>10331</v>
      </c>
      <c r="AZ1059" s="3" t="s">
        <v>10332</v>
      </c>
      <c r="BA1059" s="3" t="s">
        <v>10332</v>
      </c>
      <c r="BB1059" s="3" t="s">
        <v>10333</v>
      </c>
      <c r="BC1059" s="3" t="s">
        <v>77</v>
      </c>
      <c r="BD1059" s="3" t="s">
        <v>78</v>
      </c>
      <c r="BE1059" s="3" t="s">
        <v>10334</v>
      </c>
      <c r="BF1059" s="3" t="s">
        <v>10333</v>
      </c>
      <c r="BG1059" s="3" t="s">
        <v>10335</v>
      </c>
    </row>
    <row r="1060" spans="1:59" ht="72.5" x14ac:dyDescent="0.35">
      <c r="A1060" s="2" t="s">
        <v>59</v>
      </c>
      <c r="B1060" s="2" t="s">
        <v>60</v>
      </c>
      <c r="C1060" s="2" t="s">
        <v>10336</v>
      </c>
      <c r="D1060" s="2" t="s">
        <v>10337</v>
      </c>
      <c r="E1060" s="2" t="s">
        <v>10338</v>
      </c>
      <c r="G1060" s="3" t="s">
        <v>65</v>
      </c>
      <c r="I1060" s="3" t="s">
        <v>65</v>
      </c>
      <c r="J1060" s="3" t="s">
        <v>65</v>
      </c>
      <c r="K1060" s="3" t="s">
        <v>66</v>
      </c>
      <c r="L1060" s="2" t="s">
        <v>10339</v>
      </c>
      <c r="N1060" s="3" t="s">
        <v>2979</v>
      </c>
      <c r="P1060" s="3" t="s">
        <v>69</v>
      </c>
      <c r="Q1060" s="2" t="s">
        <v>10340</v>
      </c>
      <c r="R1060" s="3" t="s">
        <v>71</v>
      </c>
      <c r="S1060" s="4">
        <v>6</v>
      </c>
      <c r="T1060" s="4">
        <v>6</v>
      </c>
      <c r="U1060" s="5" t="s">
        <v>944</v>
      </c>
      <c r="V1060" s="5" t="s">
        <v>944</v>
      </c>
      <c r="W1060" s="5" t="s">
        <v>72</v>
      </c>
      <c r="X1060" s="5" t="s">
        <v>72</v>
      </c>
      <c r="Y1060" s="4">
        <v>341</v>
      </c>
      <c r="Z1060" s="4">
        <v>22</v>
      </c>
      <c r="AA1060" s="4">
        <v>23</v>
      </c>
      <c r="AB1060" s="4">
        <v>2</v>
      </c>
      <c r="AC1060" s="4">
        <v>3</v>
      </c>
      <c r="AD1060" s="4">
        <v>98</v>
      </c>
      <c r="AE1060" s="4">
        <v>99</v>
      </c>
      <c r="AF1060" s="4">
        <v>1</v>
      </c>
      <c r="AG1060" s="4">
        <v>2</v>
      </c>
      <c r="AH1060" s="4">
        <v>88</v>
      </c>
      <c r="AI1060" s="4">
        <v>88</v>
      </c>
      <c r="AJ1060" s="4">
        <v>16</v>
      </c>
      <c r="AK1060" s="4">
        <v>17</v>
      </c>
      <c r="AL1060" s="4">
        <v>48</v>
      </c>
      <c r="AM1060" s="4">
        <v>48</v>
      </c>
      <c r="AN1060" s="4">
        <v>0</v>
      </c>
      <c r="AO1060" s="4">
        <v>0</v>
      </c>
      <c r="AP1060" s="4">
        <v>17</v>
      </c>
      <c r="AQ1060" s="4">
        <v>17</v>
      </c>
      <c r="AR1060" s="3" t="s">
        <v>65</v>
      </c>
      <c r="AS1060" s="3" t="s">
        <v>65</v>
      </c>
      <c r="AT1060" s="3" t="s">
        <v>209</v>
      </c>
      <c r="AU1060" s="6" t="str">
        <f>HYPERLINK("http://catalog.hathitrust.org/Record/006707380","HathiTrust Record")</f>
        <v>HathiTrust Record</v>
      </c>
      <c r="AV1060" s="6" t="str">
        <f>HYPERLINK("http://mcgill.on.worldcat.org/oclc/303172","Catalog Record")</f>
        <v>Catalog Record</v>
      </c>
      <c r="AW1060" s="6" t="str">
        <f>HYPERLINK("http://www.worldcat.org/oclc/303172","WorldCat Record")</f>
        <v>WorldCat Record</v>
      </c>
      <c r="AX1060" s="3" t="s">
        <v>10341</v>
      </c>
      <c r="AY1060" s="3" t="s">
        <v>10342</v>
      </c>
      <c r="AZ1060" s="3" t="s">
        <v>10343</v>
      </c>
      <c r="BA1060" s="3" t="s">
        <v>10343</v>
      </c>
      <c r="BB1060" s="3" t="s">
        <v>10344</v>
      </c>
      <c r="BC1060" s="3" t="s">
        <v>77</v>
      </c>
      <c r="BD1060" s="3" t="s">
        <v>78</v>
      </c>
      <c r="BE1060" s="3" t="s">
        <v>10345</v>
      </c>
      <c r="BF1060" s="3" t="s">
        <v>10344</v>
      </c>
      <c r="BG1060" s="3" t="s">
        <v>10346</v>
      </c>
    </row>
    <row r="1061" spans="1:59" ht="58" x14ac:dyDescent="0.35">
      <c r="A1061" s="2" t="s">
        <v>59</v>
      </c>
      <c r="B1061" s="2" t="s">
        <v>60</v>
      </c>
      <c r="C1061" s="2" t="s">
        <v>10347</v>
      </c>
      <c r="D1061" s="2" t="s">
        <v>10348</v>
      </c>
      <c r="E1061" s="2" t="s">
        <v>10349</v>
      </c>
      <c r="G1061" s="3" t="s">
        <v>65</v>
      </c>
      <c r="I1061" s="3" t="s">
        <v>65</v>
      </c>
      <c r="J1061" s="3" t="s">
        <v>65</v>
      </c>
      <c r="K1061" s="3" t="s">
        <v>66</v>
      </c>
      <c r="L1061" s="2" t="s">
        <v>10350</v>
      </c>
      <c r="M1061" s="2" t="s">
        <v>10351</v>
      </c>
      <c r="N1061" s="3" t="s">
        <v>99</v>
      </c>
      <c r="O1061" s="2" t="s">
        <v>526</v>
      </c>
      <c r="P1061" s="3" t="s">
        <v>69</v>
      </c>
      <c r="R1061" s="3" t="s">
        <v>71</v>
      </c>
      <c r="S1061" s="4">
        <v>12</v>
      </c>
      <c r="T1061" s="4">
        <v>12</v>
      </c>
      <c r="U1061" s="5" t="s">
        <v>10352</v>
      </c>
      <c r="V1061" s="5" t="s">
        <v>10352</v>
      </c>
      <c r="W1061" s="5" t="s">
        <v>72</v>
      </c>
      <c r="X1061" s="5" t="s">
        <v>72</v>
      </c>
      <c r="Y1061" s="4">
        <v>366</v>
      </c>
      <c r="Z1061" s="4">
        <v>23</v>
      </c>
      <c r="AA1061" s="4">
        <v>63</v>
      </c>
      <c r="AB1061" s="4">
        <v>2</v>
      </c>
      <c r="AC1061" s="4">
        <v>12</v>
      </c>
      <c r="AD1061" s="4">
        <v>101</v>
      </c>
      <c r="AE1061" s="4">
        <v>127</v>
      </c>
      <c r="AF1061" s="4">
        <v>1</v>
      </c>
      <c r="AG1061" s="4">
        <v>4</v>
      </c>
      <c r="AH1061" s="4">
        <v>91</v>
      </c>
      <c r="AI1061" s="4">
        <v>104</v>
      </c>
      <c r="AJ1061" s="4">
        <v>16</v>
      </c>
      <c r="AK1061" s="4">
        <v>21</v>
      </c>
      <c r="AL1061" s="4">
        <v>51</v>
      </c>
      <c r="AM1061" s="4">
        <v>55</v>
      </c>
      <c r="AN1061" s="4">
        <v>0</v>
      </c>
      <c r="AO1061" s="4">
        <v>0</v>
      </c>
      <c r="AP1061" s="4">
        <v>17</v>
      </c>
      <c r="AQ1061" s="4">
        <v>33</v>
      </c>
      <c r="AR1061" s="3" t="s">
        <v>65</v>
      </c>
      <c r="AS1061" s="3" t="s">
        <v>65</v>
      </c>
      <c r="AT1061" s="3" t="s">
        <v>65</v>
      </c>
      <c r="AV1061" s="6" t="str">
        <f>HYPERLINK("http://mcgill.on.worldcat.org/oclc/71275597","Catalog Record")</f>
        <v>Catalog Record</v>
      </c>
      <c r="AW1061" s="6" t="str">
        <f>HYPERLINK("http://www.worldcat.org/oclc/71275597","WorldCat Record")</f>
        <v>WorldCat Record</v>
      </c>
      <c r="AX1061" s="3" t="s">
        <v>10353</v>
      </c>
      <c r="AY1061" s="3" t="s">
        <v>10354</v>
      </c>
      <c r="AZ1061" s="3" t="s">
        <v>10355</v>
      </c>
      <c r="BA1061" s="3" t="s">
        <v>10355</v>
      </c>
      <c r="BB1061" s="3" t="s">
        <v>10356</v>
      </c>
      <c r="BC1061" s="3" t="s">
        <v>77</v>
      </c>
      <c r="BD1061" s="3" t="s">
        <v>78</v>
      </c>
      <c r="BE1061" s="3" t="s">
        <v>10357</v>
      </c>
      <c r="BF1061" s="3" t="s">
        <v>10356</v>
      </c>
      <c r="BG1061" s="3" t="s">
        <v>10358</v>
      </c>
    </row>
    <row r="1062" spans="1:59" ht="58" x14ac:dyDescent="0.35">
      <c r="A1062" s="2" t="s">
        <v>59</v>
      </c>
      <c r="B1062" s="2" t="s">
        <v>60</v>
      </c>
      <c r="C1062" s="2" t="s">
        <v>10359</v>
      </c>
      <c r="D1062" s="2" t="s">
        <v>10360</v>
      </c>
      <c r="E1062" s="2" t="s">
        <v>10361</v>
      </c>
      <c r="G1062" s="3" t="s">
        <v>65</v>
      </c>
      <c r="I1062" s="3" t="s">
        <v>65</v>
      </c>
      <c r="J1062" s="3" t="s">
        <v>65</v>
      </c>
      <c r="K1062" s="3" t="s">
        <v>66</v>
      </c>
      <c r="L1062" s="2" t="s">
        <v>10362</v>
      </c>
      <c r="M1062" s="2" t="s">
        <v>10363</v>
      </c>
      <c r="N1062" s="3" t="s">
        <v>221</v>
      </c>
      <c r="P1062" s="3" t="s">
        <v>69</v>
      </c>
      <c r="R1062" s="3" t="s">
        <v>71</v>
      </c>
      <c r="S1062" s="4">
        <v>4</v>
      </c>
      <c r="T1062" s="4">
        <v>4</v>
      </c>
      <c r="U1062" s="5" t="s">
        <v>10364</v>
      </c>
      <c r="V1062" s="5" t="s">
        <v>10364</v>
      </c>
      <c r="W1062" s="5" t="s">
        <v>72</v>
      </c>
      <c r="X1062" s="5" t="s">
        <v>72</v>
      </c>
      <c r="Y1062" s="4">
        <v>80</v>
      </c>
      <c r="Z1062" s="4">
        <v>13</v>
      </c>
      <c r="AA1062" s="4">
        <v>13</v>
      </c>
      <c r="AB1062" s="4">
        <v>1</v>
      </c>
      <c r="AC1062" s="4">
        <v>1</v>
      </c>
      <c r="AD1062" s="4">
        <v>35</v>
      </c>
      <c r="AE1062" s="4">
        <v>35</v>
      </c>
      <c r="AF1062" s="4">
        <v>0</v>
      </c>
      <c r="AG1062" s="4">
        <v>0</v>
      </c>
      <c r="AH1062" s="4">
        <v>31</v>
      </c>
      <c r="AI1062" s="4">
        <v>31</v>
      </c>
      <c r="AJ1062" s="4">
        <v>9</v>
      </c>
      <c r="AK1062" s="4">
        <v>9</v>
      </c>
      <c r="AL1062" s="4">
        <v>21</v>
      </c>
      <c r="AM1062" s="4">
        <v>21</v>
      </c>
      <c r="AN1062" s="4">
        <v>0</v>
      </c>
      <c r="AO1062" s="4">
        <v>0</v>
      </c>
      <c r="AP1062" s="4">
        <v>10</v>
      </c>
      <c r="AQ1062" s="4">
        <v>10</v>
      </c>
      <c r="AR1062" s="3" t="s">
        <v>65</v>
      </c>
      <c r="AS1062" s="3" t="s">
        <v>65</v>
      </c>
      <c r="AT1062" s="3" t="s">
        <v>65</v>
      </c>
      <c r="AV1062" s="6" t="str">
        <f>HYPERLINK("http://mcgill.on.worldcat.org/oclc/182527532","Catalog Record")</f>
        <v>Catalog Record</v>
      </c>
      <c r="AW1062" s="6" t="str">
        <f>HYPERLINK("http://www.worldcat.org/oclc/182527532","WorldCat Record")</f>
        <v>WorldCat Record</v>
      </c>
      <c r="AX1062" s="3" t="s">
        <v>10365</v>
      </c>
      <c r="AY1062" s="3" t="s">
        <v>10366</v>
      </c>
      <c r="AZ1062" s="3" t="s">
        <v>10367</v>
      </c>
      <c r="BA1062" s="3" t="s">
        <v>10367</v>
      </c>
      <c r="BB1062" s="3" t="s">
        <v>10368</v>
      </c>
      <c r="BC1062" s="3" t="s">
        <v>77</v>
      </c>
      <c r="BD1062" s="3" t="s">
        <v>78</v>
      </c>
      <c r="BE1062" s="3" t="s">
        <v>10369</v>
      </c>
      <c r="BF1062" s="3" t="s">
        <v>10368</v>
      </c>
      <c r="BG1062" s="3" t="s">
        <v>10370</v>
      </c>
    </row>
    <row r="1063" spans="1:59" ht="58" x14ac:dyDescent="0.35">
      <c r="A1063" s="2" t="s">
        <v>59</v>
      </c>
      <c r="B1063" s="2" t="s">
        <v>60</v>
      </c>
      <c r="C1063" s="2" t="s">
        <v>10371</v>
      </c>
      <c r="D1063" s="2" t="s">
        <v>10372</v>
      </c>
      <c r="E1063" s="2" t="s">
        <v>10373</v>
      </c>
      <c r="G1063" s="3" t="s">
        <v>65</v>
      </c>
      <c r="I1063" s="3" t="s">
        <v>65</v>
      </c>
      <c r="J1063" s="3" t="s">
        <v>65</v>
      </c>
      <c r="K1063" s="3" t="s">
        <v>66</v>
      </c>
      <c r="M1063" s="2" t="s">
        <v>10374</v>
      </c>
      <c r="N1063" s="3" t="s">
        <v>1967</v>
      </c>
      <c r="P1063" s="3" t="s">
        <v>69</v>
      </c>
      <c r="Q1063" s="2" t="s">
        <v>10375</v>
      </c>
      <c r="R1063" s="3" t="s">
        <v>71</v>
      </c>
      <c r="S1063" s="4">
        <v>4</v>
      </c>
      <c r="T1063" s="4">
        <v>4</v>
      </c>
      <c r="U1063" s="5" t="s">
        <v>7682</v>
      </c>
      <c r="V1063" s="5" t="s">
        <v>7682</v>
      </c>
      <c r="W1063" s="5" t="s">
        <v>72</v>
      </c>
      <c r="X1063" s="5" t="s">
        <v>72</v>
      </c>
      <c r="Y1063" s="4">
        <v>200</v>
      </c>
      <c r="Z1063" s="4">
        <v>16</v>
      </c>
      <c r="AA1063" s="4">
        <v>18</v>
      </c>
      <c r="AB1063" s="4">
        <v>1</v>
      </c>
      <c r="AC1063" s="4">
        <v>3</v>
      </c>
      <c r="AD1063" s="4">
        <v>85</v>
      </c>
      <c r="AE1063" s="4">
        <v>88</v>
      </c>
      <c r="AF1063" s="4">
        <v>0</v>
      </c>
      <c r="AG1063" s="4">
        <v>2</v>
      </c>
      <c r="AH1063" s="4">
        <v>80</v>
      </c>
      <c r="AI1063" s="4">
        <v>82</v>
      </c>
      <c r="AJ1063" s="4">
        <v>12</v>
      </c>
      <c r="AK1063" s="4">
        <v>14</v>
      </c>
      <c r="AL1063" s="4">
        <v>47</v>
      </c>
      <c r="AM1063" s="4">
        <v>47</v>
      </c>
      <c r="AN1063" s="4">
        <v>0</v>
      </c>
      <c r="AO1063" s="4">
        <v>0</v>
      </c>
      <c r="AP1063" s="4">
        <v>12</v>
      </c>
      <c r="AQ1063" s="4">
        <v>13</v>
      </c>
      <c r="AR1063" s="3" t="s">
        <v>65</v>
      </c>
      <c r="AS1063" s="3" t="s">
        <v>65</v>
      </c>
      <c r="AT1063" s="3" t="s">
        <v>209</v>
      </c>
      <c r="AU1063" s="6" t="str">
        <f>HYPERLINK("http://catalog.hathitrust.org/Record/004263277","HathiTrust Record")</f>
        <v>HathiTrust Record</v>
      </c>
      <c r="AV1063" s="6" t="str">
        <f>HYPERLINK("http://mcgill.on.worldcat.org/oclc/46908884","Catalog Record")</f>
        <v>Catalog Record</v>
      </c>
      <c r="AW1063" s="6" t="str">
        <f>HYPERLINK("http://www.worldcat.org/oclc/46908884","WorldCat Record")</f>
        <v>WorldCat Record</v>
      </c>
      <c r="AX1063" s="3" t="s">
        <v>10376</v>
      </c>
      <c r="AY1063" s="3" t="s">
        <v>10377</v>
      </c>
      <c r="AZ1063" s="3" t="s">
        <v>10378</v>
      </c>
      <c r="BA1063" s="3" t="s">
        <v>10378</v>
      </c>
      <c r="BB1063" s="3" t="s">
        <v>10379</v>
      </c>
      <c r="BC1063" s="3" t="s">
        <v>77</v>
      </c>
      <c r="BD1063" s="3" t="s">
        <v>78</v>
      </c>
      <c r="BE1063" s="3" t="s">
        <v>10380</v>
      </c>
      <c r="BF1063" s="3" t="s">
        <v>10379</v>
      </c>
      <c r="BG1063" s="3" t="s">
        <v>10381</v>
      </c>
    </row>
    <row r="1064" spans="1:59" ht="58" x14ac:dyDescent="0.35">
      <c r="A1064" s="2" t="s">
        <v>59</v>
      </c>
      <c r="B1064" s="2" t="s">
        <v>60</v>
      </c>
      <c r="C1064" s="2" t="s">
        <v>10382</v>
      </c>
      <c r="D1064" s="2" t="s">
        <v>10383</v>
      </c>
      <c r="E1064" s="2" t="s">
        <v>10384</v>
      </c>
      <c r="G1064" s="3" t="s">
        <v>65</v>
      </c>
      <c r="I1064" s="3" t="s">
        <v>65</v>
      </c>
      <c r="J1064" s="3" t="s">
        <v>65</v>
      </c>
      <c r="K1064" s="3" t="s">
        <v>66</v>
      </c>
      <c r="M1064" s="2" t="s">
        <v>10385</v>
      </c>
      <c r="N1064" s="3" t="s">
        <v>364</v>
      </c>
      <c r="O1064" s="2" t="s">
        <v>526</v>
      </c>
      <c r="P1064" s="3" t="s">
        <v>69</v>
      </c>
      <c r="R1064" s="3" t="s">
        <v>71</v>
      </c>
      <c r="S1064" s="4">
        <v>19</v>
      </c>
      <c r="T1064" s="4">
        <v>19</v>
      </c>
      <c r="U1064" s="5" t="s">
        <v>10386</v>
      </c>
      <c r="V1064" s="5" t="s">
        <v>10386</v>
      </c>
      <c r="W1064" s="5" t="s">
        <v>72</v>
      </c>
      <c r="X1064" s="5" t="s">
        <v>72</v>
      </c>
      <c r="Y1064" s="4">
        <v>648</v>
      </c>
      <c r="Z1064" s="4">
        <v>26</v>
      </c>
      <c r="AA1064" s="4">
        <v>27</v>
      </c>
      <c r="AB1064" s="4">
        <v>2</v>
      </c>
      <c r="AC1064" s="4">
        <v>3</v>
      </c>
      <c r="AD1064" s="4">
        <v>95</v>
      </c>
      <c r="AE1064" s="4">
        <v>96</v>
      </c>
      <c r="AF1064" s="4">
        <v>0</v>
      </c>
      <c r="AG1064" s="4">
        <v>1</v>
      </c>
      <c r="AH1064" s="4">
        <v>86</v>
      </c>
      <c r="AI1064" s="4">
        <v>86</v>
      </c>
      <c r="AJ1064" s="4">
        <v>10</v>
      </c>
      <c r="AK1064" s="4">
        <v>10</v>
      </c>
      <c r="AL1064" s="4">
        <v>51</v>
      </c>
      <c r="AM1064" s="4">
        <v>51</v>
      </c>
      <c r="AN1064" s="4">
        <v>0</v>
      </c>
      <c r="AO1064" s="4">
        <v>0</v>
      </c>
      <c r="AP1064" s="4">
        <v>13</v>
      </c>
      <c r="AQ1064" s="4">
        <v>14</v>
      </c>
      <c r="AR1064" s="3" t="s">
        <v>65</v>
      </c>
      <c r="AS1064" s="3" t="s">
        <v>65</v>
      </c>
      <c r="AT1064" s="3" t="s">
        <v>65</v>
      </c>
      <c r="AV1064" s="6" t="str">
        <f>HYPERLINK("http://mcgill.on.worldcat.org/oclc/43985462","Catalog Record")</f>
        <v>Catalog Record</v>
      </c>
      <c r="AW1064" s="6" t="str">
        <f>HYPERLINK("http://www.worldcat.org/oclc/43985462","WorldCat Record")</f>
        <v>WorldCat Record</v>
      </c>
      <c r="AX1064" s="3" t="s">
        <v>10387</v>
      </c>
      <c r="AY1064" s="3" t="s">
        <v>10388</v>
      </c>
      <c r="AZ1064" s="3" t="s">
        <v>10389</v>
      </c>
      <c r="BA1064" s="3" t="s">
        <v>10389</v>
      </c>
      <c r="BB1064" s="3" t="s">
        <v>10390</v>
      </c>
      <c r="BC1064" s="3" t="s">
        <v>77</v>
      </c>
      <c r="BD1064" s="3" t="s">
        <v>78</v>
      </c>
      <c r="BE1064" s="3" t="s">
        <v>10391</v>
      </c>
      <c r="BF1064" s="3" t="s">
        <v>10390</v>
      </c>
      <c r="BG1064" s="3" t="s">
        <v>10392</v>
      </c>
    </row>
    <row r="1065" spans="1:59" ht="72.5" x14ac:dyDescent="0.35">
      <c r="A1065" s="2" t="s">
        <v>59</v>
      </c>
      <c r="B1065" s="2" t="s">
        <v>60</v>
      </c>
      <c r="C1065" s="2" t="s">
        <v>10393</v>
      </c>
      <c r="D1065" s="2" t="s">
        <v>10394</v>
      </c>
      <c r="E1065" s="2" t="s">
        <v>10395</v>
      </c>
      <c r="G1065" s="3" t="s">
        <v>65</v>
      </c>
      <c r="I1065" s="3" t="s">
        <v>65</v>
      </c>
      <c r="J1065" s="3" t="s">
        <v>65</v>
      </c>
      <c r="K1065" s="3" t="s">
        <v>66</v>
      </c>
      <c r="L1065" s="2" t="s">
        <v>10396</v>
      </c>
      <c r="M1065" s="2" t="s">
        <v>10397</v>
      </c>
      <c r="N1065" s="3" t="s">
        <v>176</v>
      </c>
      <c r="P1065" s="3" t="s">
        <v>140</v>
      </c>
      <c r="Q1065" s="2" t="s">
        <v>10398</v>
      </c>
      <c r="R1065" s="3" t="s">
        <v>71</v>
      </c>
      <c r="S1065" s="4">
        <v>0</v>
      </c>
      <c r="T1065" s="4">
        <v>0</v>
      </c>
      <c r="W1065" s="5" t="s">
        <v>72</v>
      </c>
      <c r="X1065" s="5" t="s">
        <v>72</v>
      </c>
      <c r="Y1065" s="4">
        <v>32</v>
      </c>
      <c r="Z1065" s="4">
        <v>3</v>
      </c>
      <c r="AA1065" s="4">
        <v>3</v>
      </c>
      <c r="AB1065" s="4">
        <v>1</v>
      </c>
      <c r="AC1065" s="4">
        <v>1</v>
      </c>
      <c r="AD1065" s="4">
        <v>21</v>
      </c>
      <c r="AE1065" s="4">
        <v>21</v>
      </c>
      <c r="AF1065" s="4">
        <v>0</v>
      </c>
      <c r="AG1065" s="4">
        <v>0</v>
      </c>
      <c r="AH1065" s="4">
        <v>20</v>
      </c>
      <c r="AI1065" s="4">
        <v>20</v>
      </c>
      <c r="AJ1065" s="4">
        <v>1</v>
      </c>
      <c r="AK1065" s="4">
        <v>1</v>
      </c>
      <c r="AL1065" s="4">
        <v>18</v>
      </c>
      <c r="AM1065" s="4">
        <v>18</v>
      </c>
      <c r="AN1065" s="4">
        <v>0</v>
      </c>
      <c r="AO1065" s="4">
        <v>0</v>
      </c>
      <c r="AP1065" s="4">
        <v>1</v>
      </c>
      <c r="AQ1065" s="4">
        <v>1</v>
      </c>
      <c r="AR1065" s="3" t="s">
        <v>65</v>
      </c>
      <c r="AS1065" s="3" t="s">
        <v>65</v>
      </c>
      <c r="AT1065" s="3" t="s">
        <v>65</v>
      </c>
      <c r="AV1065" s="6" t="str">
        <f>HYPERLINK("http://mcgill.on.worldcat.org/oclc/934435418","Catalog Record")</f>
        <v>Catalog Record</v>
      </c>
      <c r="AW1065" s="6" t="str">
        <f>HYPERLINK("http://www.worldcat.org/oclc/934435418","WorldCat Record")</f>
        <v>WorldCat Record</v>
      </c>
      <c r="AX1065" s="3" t="s">
        <v>10399</v>
      </c>
      <c r="AY1065" s="3" t="s">
        <v>10400</v>
      </c>
      <c r="AZ1065" s="3" t="s">
        <v>10401</v>
      </c>
      <c r="BA1065" s="3" t="s">
        <v>10401</v>
      </c>
      <c r="BB1065" s="3" t="s">
        <v>10402</v>
      </c>
      <c r="BC1065" s="3" t="s">
        <v>77</v>
      </c>
      <c r="BD1065" s="3" t="s">
        <v>78</v>
      </c>
      <c r="BE1065" s="3" t="s">
        <v>10403</v>
      </c>
      <c r="BF1065" s="3" t="s">
        <v>10402</v>
      </c>
      <c r="BG1065" s="3" t="s">
        <v>10404</v>
      </c>
    </row>
    <row r="1066" spans="1:59" ht="58" x14ac:dyDescent="0.35">
      <c r="A1066" s="2" t="s">
        <v>59</v>
      </c>
      <c r="B1066" s="2" t="s">
        <v>60</v>
      </c>
      <c r="C1066" s="2" t="s">
        <v>10405</v>
      </c>
      <c r="D1066" s="2" t="s">
        <v>10406</v>
      </c>
      <c r="E1066" s="2" t="s">
        <v>10407</v>
      </c>
      <c r="G1066" s="3" t="s">
        <v>65</v>
      </c>
      <c r="I1066" s="3" t="s">
        <v>65</v>
      </c>
      <c r="J1066" s="3" t="s">
        <v>65</v>
      </c>
      <c r="K1066" s="3" t="s">
        <v>66</v>
      </c>
      <c r="L1066" s="2" t="s">
        <v>10408</v>
      </c>
      <c r="M1066" s="2" t="s">
        <v>10409</v>
      </c>
      <c r="N1066" s="3" t="s">
        <v>247</v>
      </c>
      <c r="P1066" s="3" t="s">
        <v>69</v>
      </c>
      <c r="R1066" s="3" t="s">
        <v>71</v>
      </c>
      <c r="S1066" s="4">
        <v>9</v>
      </c>
      <c r="T1066" s="4">
        <v>9</v>
      </c>
      <c r="U1066" s="5" t="s">
        <v>495</v>
      </c>
      <c r="V1066" s="5" t="s">
        <v>495</v>
      </c>
      <c r="W1066" s="5" t="s">
        <v>72</v>
      </c>
      <c r="X1066" s="5" t="s">
        <v>72</v>
      </c>
      <c r="Y1066" s="4">
        <v>388</v>
      </c>
      <c r="Z1066" s="4">
        <v>24</v>
      </c>
      <c r="AA1066" s="4">
        <v>24</v>
      </c>
      <c r="AB1066" s="4">
        <v>1</v>
      </c>
      <c r="AC1066" s="4">
        <v>1</v>
      </c>
      <c r="AD1066" s="4">
        <v>111</v>
      </c>
      <c r="AE1066" s="4">
        <v>111</v>
      </c>
      <c r="AF1066" s="4">
        <v>0</v>
      </c>
      <c r="AG1066" s="4">
        <v>0</v>
      </c>
      <c r="AH1066" s="4">
        <v>101</v>
      </c>
      <c r="AI1066" s="4">
        <v>101</v>
      </c>
      <c r="AJ1066" s="4">
        <v>15</v>
      </c>
      <c r="AK1066" s="4">
        <v>15</v>
      </c>
      <c r="AL1066" s="4">
        <v>58</v>
      </c>
      <c r="AM1066" s="4">
        <v>58</v>
      </c>
      <c r="AN1066" s="4">
        <v>0</v>
      </c>
      <c r="AO1066" s="4">
        <v>0</v>
      </c>
      <c r="AP1066" s="4">
        <v>16</v>
      </c>
      <c r="AQ1066" s="4">
        <v>16</v>
      </c>
      <c r="AR1066" s="3" t="s">
        <v>65</v>
      </c>
      <c r="AS1066" s="3" t="s">
        <v>209</v>
      </c>
      <c r="AT1066" s="3" t="s">
        <v>65</v>
      </c>
      <c r="AU1066" s="6" t="str">
        <f>HYPERLINK("http://catalog.hathitrust.org/Record/002610011","HathiTrust Record")</f>
        <v>HathiTrust Record</v>
      </c>
      <c r="AV1066" s="6" t="str">
        <f>HYPERLINK("http://mcgill.on.worldcat.org/oclc/25675570","Catalog Record")</f>
        <v>Catalog Record</v>
      </c>
      <c r="AW1066" s="6" t="str">
        <f>HYPERLINK("http://www.worldcat.org/oclc/25675570","WorldCat Record")</f>
        <v>WorldCat Record</v>
      </c>
      <c r="AX1066" s="3" t="s">
        <v>10410</v>
      </c>
      <c r="AY1066" s="3" t="s">
        <v>10411</v>
      </c>
      <c r="AZ1066" s="3" t="s">
        <v>10412</v>
      </c>
      <c r="BA1066" s="3" t="s">
        <v>10412</v>
      </c>
      <c r="BB1066" s="3" t="s">
        <v>10413</v>
      </c>
      <c r="BC1066" s="3" t="s">
        <v>77</v>
      </c>
      <c r="BD1066" s="3" t="s">
        <v>78</v>
      </c>
      <c r="BE1066" s="3" t="s">
        <v>10414</v>
      </c>
      <c r="BF1066" s="3" t="s">
        <v>10413</v>
      </c>
      <c r="BG1066" s="3" t="s">
        <v>10415</v>
      </c>
    </row>
    <row r="1067" spans="1:59" ht="58" x14ac:dyDescent="0.35">
      <c r="A1067" s="2" t="s">
        <v>59</v>
      </c>
      <c r="B1067" s="2" t="s">
        <v>60</v>
      </c>
      <c r="C1067" s="2" t="s">
        <v>10416</v>
      </c>
      <c r="D1067" s="2" t="s">
        <v>10417</v>
      </c>
      <c r="E1067" s="2" t="s">
        <v>10418</v>
      </c>
      <c r="G1067" s="3" t="s">
        <v>65</v>
      </c>
      <c r="I1067" s="3" t="s">
        <v>65</v>
      </c>
      <c r="J1067" s="3" t="s">
        <v>65</v>
      </c>
      <c r="K1067" s="3" t="s">
        <v>66</v>
      </c>
      <c r="L1067" s="2" t="s">
        <v>10419</v>
      </c>
      <c r="M1067" s="2" t="s">
        <v>10420</v>
      </c>
      <c r="N1067" s="3" t="s">
        <v>1932</v>
      </c>
      <c r="P1067" s="3" t="s">
        <v>140</v>
      </c>
      <c r="Q1067" s="2" t="s">
        <v>10421</v>
      </c>
      <c r="R1067" s="3" t="s">
        <v>71</v>
      </c>
      <c r="S1067" s="4">
        <v>4</v>
      </c>
      <c r="T1067" s="4">
        <v>4</v>
      </c>
      <c r="U1067" s="5" t="s">
        <v>10422</v>
      </c>
      <c r="V1067" s="5" t="s">
        <v>10422</v>
      </c>
      <c r="W1067" s="5" t="s">
        <v>72</v>
      </c>
      <c r="X1067" s="5" t="s">
        <v>72</v>
      </c>
      <c r="Y1067" s="4">
        <v>76</v>
      </c>
      <c r="Z1067" s="4">
        <v>4</v>
      </c>
      <c r="AA1067" s="4">
        <v>4</v>
      </c>
      <c r="AB1067" s="4">
        <v>1</v>
      </c>
      <c r="AC1067" s="4">
        <v>1</v>
      </c>
      <c r="AD1067" s="4">
        <v>28</v>
      </c>
      <c r="AE1067" s="4">
        <v>28</v>
      </c>
      <c r="AF1067" s="4">
        <v>0</v>
      </c>
      <c r="AG1067" s="4">
        <v>0</v>
      </c>
      <c r="AH1067" s="4">
        <v>26</v>
      </c>
      <c r="AI1067" s="4">
        <v>26</v>
      </c>
      <c r="AJ1067" s="4">
        <v>2</v>
      </c>
      <c r="AK1067" s="4">
        <v>2</v>
      </c>
      <c r="AL1067" s="4">
        <v>20</v>
      </c>
      <c r="AM1067" s="4">
        <v>20</v>
      </c>
      <c r="AN1067" s="4">
        <v>0</v>
      </c>
      <c r="AO1067" s="4">
        <v>0</v>
      </c>
      <c r="AP1067" s="4">
        <v>2</v>
      </c>
      <c r="AQ1067" s="4">
        <v>2</v>
      </c>
      <c r="AR1067" s="3" t="s">
        <v>65</v>
      </c>
      <c r="AS1067" s="3" t="s">
        <v>65</v>
      </c>
      <c r="AT1067" s="3" t="s">
        <v>65</v>
      </c>
      <c r="AV1067" s="6" t="str">
        <f>HYPERLINK("http://mcgill.on.worldcat.org/oclc/31950423","Catalog Record")</f>
        <v>Catalog Record</v>
      </c>
      <c r="AW1067" s="6" t="str">
        <f>HYPERLINK("http://www.worldcat.org/oclc/31950423","WorldCat Record")</f>
        <v>WorldCat Record</v>
      </c>
      <c r="AX1067" s="3" t="s">
        <v>10423</v>
      </c>
      <c r="AY1067" s="3" t="s">
        <v>10424</v>
      </c>
      <c r="AZ1067" s="3" t="s">
        <v>10425</v>
      </c>
      <c r="BA1067" s="3" t="s">
        <v>10425</v>
      </c>
      <c r="BB1067" s="3" t="s">
        <v>10426</v>
      </c>
      <c r="BC1067" s="3" t="s">
        <v>77</v>
      </c>
      <c r="BD1067" s="3" t="s">
        <v>78</v>
      </c>
      <c r="BE1067" s="3" t="s">
        <v>10427</v>
      </c>
      <c r="BF1067" s="3" t="s">
        <v>10426</v>
      </c>
      <c r="BG1067" s="3" t="s">
        <v>10428</v>
      </c>
    </row>
    <row r="1068" spans="1:59" ht="58" x14ac:dyDescent="0.35">
      <c r="A1068" s="2" t="s">
        <v>59</v>
      </c>
      <c r="B1068" s="2" t="s">
        <v>60</v>
      </c>
      <c r="C1068" s="2" t="s">
        <v>10429</v>
      </c>
      <c r="D1068" s="2" t="s">
        <v>10430</v>
      </c>
      <c r="E1068" s="2" t="s">
        <v>10431</v>
      </c>
      <c r="G1068" s="3" t="s">
        <v>65</v>
      </c>
      <c r="I1068" s="3" t="s">
        <v>65</v>
      </c>
      <c r="J1068" s="3" t="s">
        <v>65</v>
      </c>
      <c r="K1068" s="3" t="s">
        <v>66</v>
      </c>
      <c r="M1068" s="2" t="s">
        <v>1138</v>
      </c>
      <c r="N1068" s="3" t="s">
        <v>139</v>
      </c>
      <c r="P1068" s="3" t="s">
        <v>69</v>
      </c>
      <c r="R1068" s="3" t="s">
        <v>71</v>
      </c>
      <c r="S1068" s="4">
        <v>3</v>
      </c>
      <c r="T1068" s="4">
        <v>3</v>
      </c>
      <c r="U1068" s="5" t="s">
        <v>944</v>
      </c>
      <c r="V1068" s="5" t="s">
        <v>944</v>
      </c>
      <c r="W1068" s="5" t="s">
        <v>72</v>
      </c>
      <c r="X1068" s="5" t="s">
        <v>72</v>
      </c>
      <c r="Y1068" s="4">
        <v>200</v>
      </c>
      <c r="Z1068" s="4">
        <v>21</v>
      </c>
      <c r="AA1068" s="4">
        <v>31</v>
      </c>
      <c r="AB1068" s="4">
        <v>1</v>
      </c>
      <c r="AC1068" s="4">
        <v>5</v>
      </c>
      <c r="AD1068" s="4">
        <v>71</v>
      </c>
      <c r="AE1068" s="4">
        <v>82</v>
      </c>
      <c r="AF1068" s="4">
        <v>0</v>
      </c>
      <c r="AG1068" s="4">
        <v>1</v>
      </c>
      <c r="AH1068" s="4">
        <v>63</v>
      </c>
      <c r="AI1068" s="4">
        <v>69</v>
      </c>
      <c r="AJ1068" s="4">
        <v>14</v>
      </c>
      <c r="AK1068" s="4">
        <v>17</v>
      </c>
      <c r="AL1068" s="4">
        <v>37</v>
      </c>
      <c r="AM1068" s="4">
        <v>39</v>
      </c>
      <c r="AN1068" s="4">
        <v>0</v>
      </c>
      <c r="AO1068" s="4">
        <v>0</v>
      </c>
      <c r="AP1068" s="4">
        <v>16</v>
      </c>
      <c r="AQ1068" s="4">
        <v>23</v>
      </c>
      <c r="AR1068" s="3" t="s">
        <v>65</v>
      </c>
      <c r="AS1068" s="3" t="s">
        <v>65</v>
      </c>
      <c r="AT1068" s="3" t="s">
        <v>65</v>
      </c>
      <c r="AV1068" s="6" t="str">
        <f>HYPERLINK("http://mcgill.on.worldcat.org/oclc/758391863","Catalog Record")</f>
        <v>Catalog Record</v>
      </c>
      <c r="AW1068" s="6" t="str">
        <f>HYPERLINK("http://www.worldcat.org/oclc/758391863","WorldCat Record")</f>
        <v>WorldCat Record</v>
      </c>
      <c r="AX1068" s="3" t="s">
        <v>10432</v>
      </c>
      <c r="AY1068" s="3" t="s">
        <v>10433</v>
      </c>
      <c r="AZ1068" s="3" t="s">
        <v>10434</v>
      </c>
      <c r="BA1068" s="3" t="s">
        <v>10434</v>
      </c>
      <c r="BB1068" s="3" t="s">
        <v>10435</v>
      </c>
      <c r="BC1068" s="3" t="s">
        <v>77</v>
      </c>
      <c r="BD1068" s="3" t="s">
        <v>78</v>
      </c>
      <c r="BE1068" s="3" t="s">
        <v>10436</v>
      </c>
      <c r="BF1068" s="3" t="s">
        <v>10435</v>
      </c>
      <c r="BG1068" s="3" t="s">
        <v>10437</v>
      </c>
    </row>
    <row r="1069" spans="1:59" ht="58" x14ac:dyDescent="0.35">
      <c r="A1069" s="2" t="s">
        <v>59</v>
      </c>
      <c r="B1069" s="2" t="s">
        <v>60</v>
      </c>
      <c r="C1069" s="2" t="s">
        <v>10438</v>
      </c>
      <c r="D1069" s="2" t="s">
        <v>10439</v>
      </c>
      <c r="E1069" s="2" t="s">
        <v>10440</v>
      </c>
      <c r="G1069" s="3" t="s">
        <v>65</v>
      </c>
      <c r="I1069" s="3" t="s">
        <v>65</v>
      </c>
      <c r="J1069" s="3" t="s">
        <v>65</v>
      </c>
      <c r="K1069" s="3" t="s">
        <v>66</v>
      </c>
      <c r="M1069" s="2" t="s">
        <v>10441</v>
      </c>
      <c r="N1069" s="3" t="s">
        <v>126</v>
      </c>
      <c r="P1069" s="3" t="s">
        <v>69</v>
      </c>
      <c r="Q1069" s="2" t="s">
        <v>10442</v>
      </c>
      <c r="R1069" s="3" t="s">
        <v>71</v>
      </c>
      <c r="S1069" s="4">
        <v>3</v>
      </c>
      <c r="T1069" s="4">
        <v>3</v>
      </c>
      <c r="U1069" s="5" t="s">
        <v>944</v>
      </c>
      <c r="V1069" s="5" t="s">
        <v>944</v>
      </c>
      <c r="W1069" s="5" t="s">
        <v>72</v>
      </c>
      <c r="X1069" s="5" t="s">
        <v>72</v>
      </c>
      <c r="Y1069" s="4">
        <v>84</v>
      </c>
      <c r="Z1069" s="4">
        <v>11</v>
      </c>
      <c r="AA1069" s="4">
        <v>11</v>
      </c>
      <c r="AB1069" s="4">
        <v>1</v>
      </c>
      <c r="AC1069" s="4">
        <v>1</v>
      </c>
      <c r="AD1069" s="4">
        <v>36</v>
      </c>
      <c r="AE1069" s="4">
        <v>36</v>
      </c>
      <c r="AF1069" s="4">
        <v>0</v>
      </c>
      <c r="AG1069" s="4">
        <v>0</v>
      </c>
      <c r="AH1069" s="4">
        <v>31</v>
      </c>
      <c r="AI1069" s="4">
        <v>31</v>
      </c>
      <c r="AJ1069" s="4">
        <v>8</v>
      </c>
      <c r="AK1069" s="4">
        <v>8</v>
      </c>
      <c r="AL1069" s="4">
        <v>20</v>
      </c>
      <c r="AM1069" s="4">
        <v>20</v>
      </c>
      <c r="AN1069" s="4">
        <v>0</v>
      </c>
      <c r="AO1069" s="4">
        <v>0</v>
      </c>
      <c r="AP1069" s="4">
        <v>9</v>
      </c>
      <c r="AQ1069" s="4">
        <v>9</v>
      </c>
      <c r="AR1069" s="3" t="s">
        <v>65</v>
      </c>
      <c r="AS1069" s="3" t="s">
        <v>65</v>
      </c>
      <c r="AT1069" s="3" t="s">
        <v>65</v>
      </c>
      <c r="AV1069" s="6" t="str">
        <f>HYPERLINK("http://mcgill.on.worldcat.org/oclc/739646487","Catalog Record")</f>
        <v>Catalog Record</v>
      </c>
      <c r="AW1069" s="6" t="str">
        <f>HYPERLINK("http://www.worldcat.org/oclc/739646487","WorldCat Record")</f>
        <v>WorldCat Record</v>
      </c>
      <c r="AX1069" s="3" t="s">
        <v>10443</v>
      </c>
      <c r="AY1069" s="3" t="s">
        <v>10444</v>
      </c>
      <c r="AZ1069" s="3" t="s">
        <v>10445</v>
      </c>
      <c r="BA1069" s="3" t="s">
        <v>10445</v>
      </c>
      <c r="BB1069" s="3" t="s">
        <v>10446</v>
      </c>
      <c r="BC1069" s="3" t="s">
        <v>77</v>
      </c>
      <c r="BD1069" s="3" t="s">
        <v>78</v>
      </c>
      <c r="BE1069" s="3" t="s">
        <v>10447</v>
      </c>
      <c r="BF1069" s="3" t="s">
        <v>10446</v>
      </c>
      <c r="BG1069" s="3" t="s">
        <v>10448</v>
      </c>
    </row>
    <row r="1070" spans="1:59" ht="58" x14ac:dyDescent="0.35">
      <c r="A1070" s="2" t="s">
        <v>59</v>
      </c>
      <c r="B1070" s="2" t="s">
        <v>60</v>
      </c>
      <c r="C1070" s="2" t="s">
        <v>10449</v>
      </c>
      <c r="D1070" s="2" t="s">
        <v>10450</v>
      </c>
      <c r="E1070" s="2" t="s">
        <v>10451</v>
      </c>
      <c r="G1070" s="3" t="s">
        <v>65</v>
      </c>
      <c r="I1070" s="3" t="s">
        <v>65</v>
      </c>
      <c r="J1070" s="3" t="s">
        <v>65</v>
      </c>
      <c r="K1070" s="3" t="s">
        <v>66</v>
      </c>
      <c r="M1070" s="2" t="s">
        <v>10452</v>
      </c>
      <c r="N1070" s="3" t="s">
        <v>1032</v>
      </c>
      <c r="P1070" s="3" t="s">
        <v>69</v>
      </c>
      <c r="Q1070" s="2" t="s">
        <v>10453</v>
      </c>
      <c r="R1070" s="3" t="s">
        <v>71</v>
      </c>
      <c r="S1070" s="4">
        <v>13</v>
      </c>
      <c r="T1070" s="4">
        <v>13</v>
      </c>
      <c r="U1070" s="5" t="s">
        <v>10454</v>
      </c>
      <c r="V1070" s="5" t="s">
        <v>10454</v>
      </c>
      <c r="W1070" s="5" t="s">
        <v>72</v>
      </c>
      <c r="X1070" s="5" t="s">
        <v>72</v>
      </c>
      <c r="Y1070" s="4">
        <v>416</v>
      </c>
      <c r="Z1070" s="4">
        <v>18</v>
      </c>
      <c r="AA1070" s="4">
        <v>23</v>
      </c>
      <c r="AB1070" s="4">
        <v>1</v>
      </c>
      <c r="AC1070" s="4">
        <v>4</v>
      </c>
      <c r="AD1070" s="4">
        <v>107</v>
      </c>
      <c r="AE1070" s="4">
        <v>109</v>
      </c>
      <c r="AF1070" s="4">
        <v>0</v>
      </c>
      <c r="AG1070" s="4">
        <v>0</v>
      </c>
      <c r="AH1070" s="4">
        <v>101</v>
      </c>
      <c r="AI1070" s="4">
        <v>102</v>
      </c>
      <c r="AJ1070" s="4">
        <v>11</v>
      </c>
      <c r="AK1070" s="4">
        <v>11</v>
      </c>
      <c r="AL1070" s="4">
        <v>57</v>
      </c>
      <c r="AM1070" s="4">
        <v>57</v>
      </c>
      <c r="AN1070" s="4">
        <v>0</v>
      </c>
      <c r="AO1070" s="4">
        <v>0</v>
      </c>
      <c r="AP1070" s="4">
        <v>13</v>
      </c>
      <c r="AQ1070" s="4">
        <v>14</v>
      </c>
      <c r="AR1070" s="3" t="s">
        <v>65</v>
      </c>
      <c r="AS1070" s="3" t="s">
        <v>65</v>
      </c>
      <c r="AT1070" s="3" t="s">
        <v>209</v>
      </c>
      <c r="AU1070" s="6" t="str">
        <f>HYPERLINK("http://catalog.hathitrust.org/Record/003017892","HathiTrust Record")</f>
        <v>HathiTrust Record</v>
      </c>
      <c r="AV1070" s="6" t="str">
        <f>HYPERLINK("http://mcgill.on.worldcat.org/oclc/31654445","Catalog Record")</f>
        <v>Catalog Record</v>
      </c>
      <c r="AW1070" s="6" t="str">
        <f>HYPERLINK("http://www.worldcat.org/oclc/31654445","WorldCat Record")</f>
        <v>WorldCat Record</v>
      </c>
      <c r="AX1070" s="3" t="s">
        <v>10455</v>
      </c>
      <c r="AY1070" s="3" t="s">
        <v>10456</v>
      </c>
      <c r="AZ1070" s="3" t="s">
        <v>10457</v>
      </c>
      <c r="BA1070" s="3" t="s">
        <v>10457</v>
      </c>
      <c r="BB1070" s="3" t="s">
        <v>10458</v>
      </c>
      <c r="BC1070" s="3" t="s">
        <v>77</v>
      </c>
      <c r="BD1070" s="3" t="s">
        <v>78</v>
      </c>
      <c r="BE1070" s="3" t="s">
        <v>10459</v>
      </c>
      <c r="BF1070" s="3" t="s">
        <v>10458</v>
      </c>
      <c r="BG1070" s="3" t="s">
        <v>10460</v>
      </c>
    </row>
    <row r="1071" spans="1:59" ht="58" x14ac:dyDescent="0.35">
      <c r="A1071" s="2" t="s">
        <v>59</v>
      </c>
      <c r="B1071" s="2" t="s">
        <v>60</v>
      </c>
      <c r="C1071" s="2" t="s">
        <v>10461</v>
      </c>
      <c r="D1071" s="2" t="s">
        <v>10462</v>
      </c>
      <c r="E1071" s="2" t="s">
        <v>10463</v>
      </c>
      <c r="G1071" s="3" t="s">
        <v>65</v>
      </c>
      <c r="I1071" s="3" t="s">
        <v>65</v>
      </c>
      <c r="J1071" s="3" t="s">
        <v>65</v>
      </c>
      <c r="K1071" s="3" t="s">
        <v>66</v>
      </c>
      <c r="M1071" s="2" t="s">
        <v>10464</v>
      </c>
      <c r="N1071" s="3" t="s">
        <v>152</v>
      </c>
      <c r="P1071" s="3" t="s">
        <v>69</v>
      </c>
      <c r="Q1071" s="2" t="s">
        <v>1197</v>
      </c>
      <c r="R1071" s="3" t="s">
        <v>71</v>
      </c>
      <c r="S1071" s="4">
        <v>4</v>
      </c>
      <c r="T1071" s="4">
        <v>4</v>
      </c>
      <c r="U1071" s="5" t="s">
        <v>10465</v>
      </c>
      <c r="V1071" s="5" t="s">
        <v>10465</v>
      </c>
      <c r="W1071" s="5" t="s">
        <v>72</v>
      </c>
      <c r="X1071" s="5" t="s">
        <v>72</v>
      </c>
      <c r="Y1071" s="4">
        <v>103</v>
      </c>
      <c r="Z1071" s="4">
        <v>20</v>
      </c>
      <c r="AA1071" s="4">
        <v>113</v>
      </c>
      <c r="AB1071" s="4">
        <v>1</v>
      </c>
      <c r="AC1071" s="4">
        <v>19</v>
      </c>
      <c r="AD1071" s="4">
        <v>61</v>
      </c>
      <c r="AE1071" s="4">
        <v>123</v>
      </c>
      <c r="AF1071" s="4">
        <v>0</v>
      </c>
      <c r="AG1071" s="4">
        <v>8</v>
      </c>
      <c r="AH1071" s="4">
        <v>51</v>
      </c>
      <c r="AI1071" s="4">
        <v>81</v>
      </c>
      <c r="AJ1071" s="4">
        <v>14</v>
      </c>
      <c r="AK1071" s="4">
        <v>25</v>
      </c>
      <c r="AL1071" s="4">
        <v>37</v>
      </c>
      <c r="AM1071" s="4">
        <v>46</v>
      </c>
      <c r="AN1071" s="4">
        <v>0</v>
      </c>
      <c r="AO1071" s="4">
        <v>0</v>
      </c>
      <c r="AP1071" s="4">
        <v>14</v>
      </c>
      <c r="AQ1071" s="4">
        <v>50</v>
      </c>
      <c r="AR1071" s="3" t="s">
        <v>209</v>
      </c>
      <c r="AS1071" s="3" t="s">
        <v>65</v>
      </c>
      <c r="AT1071" s="3" t="s">
        <v>65</v>
      </c>
      <c r="AV1071" s="6" t="str">
        <f>HYPERLINK("http://mcgill.on.worldcat.org/oclc/830627998","Catalog Record")</f>
        <v>Catalog Record</v>
      </c>
      <c r="AW1071" s="6" t="str">
        <f>HYPERLINK("http://www.worldcat.org/oclc/830627998","WorldCat Record")</f>
        <v>WorldCat Record</v>
      </c>
      <c r="AX1071" s="3" t="s">
        <v>10466</v>
      </c>
      <c r="AY1071" s="3" t="s">
        <v>10467</v>
      </c>
      <c r="AZ1071" s="3" t="s">
        <v>10468</v>
      </c>
      <c r="BA1071" s="3" t="s">
        <v>10468</v>
      </c>
      <c r="BB1071" s="3" t="s">
        <v>10469</v>
      </c>
      <c r="BC1071" s="3" t="s">
        <v>77</v>
      </c>
      <c r="BD1071" s="3" t="s">
        <v>78</v>
      </c>
      <c r="BE1071" s="3" t="s">
        <v>10470</v>
      </c>
      <c r="BF1071" s="3" t="s">
        <v>10469</v>
      </c>
      <c r="BG1071" s="3" t="s">
        <v>10471</v>
      </c>
    </row>
    <row r="1072" spans="1:59" ht="58" x14ac:dyDescent="0.35">
      <c r="A1072" s="2" t="s">
        <v>59</v>
      </c>
      <c r="B1072" s="2" t="s">
        <v>60</v>
      </c>
      <c r="C1072" s="2" t="s">
        <v>10472</v>
      </c>
      <c r="D1072" s="2" t="s">
        <v>10473</v>
      </c>
      <c r="E1072" s="2" t="s">
        <v>10474</v>
      </c>
      <c r="G1072" s="3" t="s">
        <v>65</v>
      </c>
      <c r="I1072" s="3" t="s">
        <v>65</v>
      </c>
      <c r="J1072" s="3" t="s">
        <v>65</v>
      </c>
      <c r="K1072" s="3" t="s">
        <v>66</v>
      </c>
      <c r="M1072" s="2" t="s">
        <v>10475</v>
      </c>
      <c r="N1072" s="3" t="s">
        <v>126</v>
      </c>
      <c r="P1072" s="3" t="s">
        <v>140</v>
      </c>
      <c r="R1072" s="3" t="s">
        <v>71</v>
      </c>
      <c r="S1072" s="4">
        <v>0</v>
      </c>
      <c r="T1072" s="4">
        <v>0</v>
      </c>
      <c r="W1072" s="5" t="s">
        <v>72</v>
      </c>
      <c r="X1072" s="5" t="s">
        <v>72</v>
      </c>
      <c r="Y1072" s="4">
        <v>26</v>
      </c>
      <c r="Z1072" s="4">
        <v>1</v>
      </c>
      <c r="AA1072" s="4">
        <v>4</v>
      </c>
      <c r="AB1072" s="4">
        <v>1</v>
      </c>
      <c r="AC1072" s="4">
        <v>1</v>
      </c>
      <c r="AD1072" s="4">
        <v>13</v>
      </c>
      <c r="AE1072" s="4">
        <v>26</v>
      </c>
      <c r="AF1072" s="4">
        <v>0</v>
      </c>
      <c r="AG1072" s="4">
        <v>0</v>
      </c>
      <c r="AH1072" s="4">
        <v>13</v>
      </c>
      <c r="AI1072" s="4">
        <v>25</v>
      </c>
      <c r="AJ1072" s="4">
        <v>0</v>
      </c>
      <c r="AK1072" s="4">
        <v>2</v>
      </c>
      <c r="AL1072" s="4">
        <v>8</v>
      </c>
      <c r="AM1072" s="4">
        <v>20</v>
      </c>
      <c r="AN1072" s="4">
        <v>0</v>
      </c>
      <c r="AO1072" s="4">
        <v>0</v>
      </c>
      <c r="AP1072" s="4">
        <v>0</v>
      </c>
      <c r="AQ1072" s="4">
        <v>2</v>
      </c>
      <c r="AR1072" s="3" t="s">
        <v>65</v>
      </c>
      <c r="AS1072" s="3" t="s">
        <v>65</v>
      </c>
      <c r="AT1072" s="3" t="s">
        <v>65</v>
      </c>
      <c r="AV1072" s="6" t="str">
        <f>HYPERLINK("http://mcgill.on.worldcat.org/oclc/748280982","Catalog Record")</f>
        <v>Catalog Record</v>
      </c>
      <c r="AW1072" s="6" t="str">
        <f>HYPERLINK("http://www.worldcat.org/oclc/748280982","WorldCat Record")</f>
        <v>WorldCat Record</v>
      </c>
      <c r="AX1072" s="3" t="s">
        <v>10476</v>
      </c>
      <c r="AY1072" s="3" t="s">
        <v>10477</v>
      </c>
      <c r="AZ1072" s="3" t="s">
        <v>10478</v>
      </c>
      <c r="BA1072" s="3" t="s">
        <v>10478</v>
      </c>
      <c r="BB1072" s="3" t="s">
        <v>10479</v>
      </c>
      <c r="BC1072" s="3" t="s">
        <v>77</v>
      </c>
      <c r="BD1072" s="3" t="s">
        <v>78</v>
      </c>
      <c r="BE1072" s="3" t="s">
        <v>10480</v>
      </c>
      <c r="BF1072" s="3" t="s">
        <v>10479</v>
      </c>
      <c r="BG1072" s="3" t="s">
        <v>10481</v>
      </c>
    </row>
    <row r="1073" spans="1:59" ht="58" x14ac:dyDescent="0.35">
      <c r="A1073" s="2" t="s">
        <v>59</v>
      </c>
      <c r="B1073" s="2" t="s">
        <v>60</v>
      </c>
      <c r="C1073" s="2" t="s">
        <v>10482</v>
      </c>
      <c r="D1073" s="2" t="s">
        <v>10483</v>
      </c>
      <c r="E1073" s="2" t="s">
        <v>10484</v>
      </c>
      <c r="G1073" s="3" t="s">
        <v>65</v>
      </c>
      <c r="I1073" s="3" t="s">
        <v>65</v>
      </c>
      <c r="J1073" s="3" t="s">
        <v>65</v>
      </c>
      <c r="K1073" s="3" t="s">
        <v>66</v>
      </c>
      <c r="M1073" s="2" t="s">
        <v>4415</v>
      </c>
      <c r="N1073" s="3" t="s">
        <v>176</v>
      </c>
      <c r="P1073" s="3" t="s">
        <v>140</v>
      </c>
      <c r="Q1073" s="2" t="s">
        <v>10485</v>
      </c>
      <c r="R1073" s="3" t="s">
        <v>71</v>
      </c>
      <c r="S1073" s="4">
        <v>0</v>
      </c>
      <c r="T1073" s="4">
        <v>0</v>
      </c>
      <c r="W1073" s="5" t="s">
        <v>72</v>
      </c>
      <c r="X1073" s="5" t="s">
        <v>72</v>
      </c>
      <c r="Y1073" s="4">
        <v>47</v>
      </c>
      <c r="Z1073" s="4">
        <v>5</v>
      </c>
      <c r="AA1073" s="4">
        <v>5</v>
      </c>
      <c r="AB1073" s="4">
        <v>1</v>
      </c>
      <c r="AC1073" s="4">
        <v>1</v>
      </c>
      <c r="AD1073" s="4">
        <v>35</v>
      </c>
      <c r="AE1073" s="4">
        <v>35</v>
      </c>
      <c r="AF1073" s="4">
        <v>0</v>
      </c>
      <c r="AG1073" s="4">
        <v>0</v>
      </c>
      <c r="AH1073" s="4">
        <v>34</v>
      </c>
      <c r="AI1073" s="4">
        <v>34</v>
      </c>
      <c r="AJ1073" s="4">
        <v>2</v>
      </c>
      <c r="AK1073" s="4">
        <v>2</v>
      </c>
      <c r="AL1073" s="4">
        <v>26</v>
      </c>
      <c r="AM1073" s="4">
        <v>26</v>
      </c>
      <c r="AN1073" s="4">
        <v>0</v>
      </c>
      <c r="AO1073" s="4">
        <v>0</v>
      </c>
      <c r="AP1073" s="4">
        <v>2</v>
      </c>
      <c r="AQ1073" s="4">
        <v>2</v>
      </c>
      <c r="AR1073" s="3" t="s">
        <v>65</v>
      </c>
      <c r="AS1073" s="3" t="s">
        <v>65</v>
      </c>
      <c r="AT1073" s="3" t="s">
        <v>65</v>
      </c>
      <c r="AV1073" s="6" t="str">
        <f>HYPERLINK("http://mcgill.on.worldcat.org/oclc/925734413","Catalog Record")</f>
        <v>Catalog Record</v>
      </c>
      <c r="AW1073" s="6" t="str">
        <f>HYPERLINK("http://www.worldcat.org/oclc/925734413","WorldCat Record")</f>
        <v>WorldCat Record</v>
      </c>
      <c r="AX1073" s="3" t="s">
        <v>10486</v>
      </c>
      <c r="AY1073" s="3" t="s">
        <v>10487</v>
      </c>
      <c r="AZ1073" s="3" t="s">
        <v>10488</v>
      </c>
      <c r="BA1073" s="3" t="s">
        <v>10488</v>
      </c>
      <c r="BB1073" s="3" t="s">
        <v>10489</v>
      </c>
      <c r="BC1073" s="3" t="s">
        <v>77</v>
      </c>
      <c r="BD1073" s="3" t="s">
        <v>78</v>
      </c>
      <c r="BE1073" s="3" t="s">
        <v>10490</v>
      </c>
      <c r="BF1073" s="3" t="s">
        <v>10489</v>
      </c>
      <c r="BG1073" s="3" t="s">
        <v>10491</v>
      </c>
    </row>
    <row r="1074" spans="1:59" ht="58" x14ac:dyDescent="0.35">
      <c r="A1074" s="2" t="s">
        <v>59</v>
      </c>
      <c r="B1074" s="2" t="s">
        <v>60</v>
      </c>
      <c r="C1074" s="2" t="s">
        <v>10492</v>
      </c>
      <c r="D1074" s="2" t="s">
        <v>10493</v>
      </c>
      <c r="E1074" s="2" t="s">
        <v>10494</v>
      </c>
      <c r="G1074" s="3" t="s">
        <v>65</v>
      </c>
      <c r="I1074" s="3" t="s">
        <v>65</v>
      </c>
      <c r="J1074" s="3" t="s">
        <v>65</v>
      </c>
      <c r="K1074" s="3" t="s">
        <v>66</v>
      </c>
      <c r="M1074" s="2" t="s">
        <v>7543</v>
      </c>
      <c r="N1074" s="3" t="s">
        <v>176</v>
      </c>
      <c r="P1074" s="3" t="s">
        <v>140</v>
      </c>
      <c r="Q1074" s="2" t="s">
        <v>10495</v>
      </c>
      <c r="R1074" s="3" t="s">
        <v>71</v>
      </c>
      <c r="S1074" s="4">
        <v>0</v>
      </c>
      <c r="T1074" s="4">
        <v>0</v>
      </c>
      <c r="W1074" s="5" t="s">
        <v>72</v>
      </c>
      <c r="X1074" s="5" t="s">
        <v>72</v>
      </c>
      <c r="Y1074" s="4">
        <v>63</v>
      </c>
      <c r="Z1074" s="4">
        <v>5</v>
      </c>
      <c r="AA1074" s="4">
        <v>5</v>
      </c>
      <c r="AB1074" s="4">
        <v>1</v>
      </c>
      <c r="AC1074" s="4">
        <v>1</v>
      </c>
      <c r="AD1074" s="4">
        <v>40</v>
      </c>
      <c r="AE1074" s="4">
        <v>40</v>
      </c>
      <c r="AF1074" s="4">
        <v>0</v>
      </c>
      <c r="AG1074" s="4">
        <v>0</v>
      </c>
      <c r="AH1074" s="4">
        <v>39</v>
      </c>
      <c r="AI1074" s="4">
        <v>39</v>
      </c>
      <c r="AJ1074" s="4">
        <v>2</v>
      </c>
      <c r="AK1074" s="4">
        <v>2</v>
      </c>
      <c r="AL1074" s="4">
        <v>31</v>
      </c>
      <c r="AM1074" s="4">
        <v>31</v>
      </c>
      <c r="AN1074" s="4">
        <v>0</v>
      </c>
      <c r="AO1074" s="4">
        <v>0</v>
      </c>
      <c r="AP1074" s="4">
        <v>2</v>
      </c>
      <c r="AQ1074" s="4">
        <v>2</v>
      </c>
      <c r="AR1074" s="3" t="s">
        <v>65</v>
      </c>
      <c r="AS1074" s="3" t="s">
        <v>65</v>
      </c>
      <c r="AT1074" s="3" t="s">
        <v>65</v>
      </c>
      <c r="AV1074" s="6" t="str">
        <f>HYPERLINK("http://mcgill.on.worldcat.org/oclc/905852867","Catalog Record")</f>
        <v>Catalog Record</v>
      </c>
      <c r="AW1074" s="6" t="str">
        <f>HYPERLINK("http://www.worldcat.org/oclc/905852867","WorldCat Record")</f>
        <v>WorldCat Record</v>
      </c>
      <c r="AX1074" s="3" t="s">
        <v>10496</v>
      </c>
      <c r="AY1074" s="3" t="s">
        <v>10497</v>
      </c>
      <c r="AZ1074" s="3" t="s">
        <v>10498</v>
      </c>
      <c r="BA1074" s="3" t="s">
        <v>10498</v>
      </c>
      <c r="BB1074" s="3" t="s">
        <v>10499</v>
      </c>
      <c r="BC1074" s="3" t="s">
        <v>77</v>
      </c>
      <c r="BD1074" s="3" t="s">
        <v>78</v>
      </c>
      <c r="BE1074" s="3" t="s">
        <v>10500</v>
      </c>
      <c r="BF1074" s="3" t="s">
        <v>10499</v>
      </c>
      <c r="BG1074" s="3" t="s">
        <v>10501</v>
      </c>
    </row>
    <row r="1075" spans="1:59" ht="58" x14ac:dyDescent="0.35">
      <c r="A1075" s="2" t="s">
        <v>59</v>
      </c>
      <c r="B1075" s="2" t="s">
        <v>60</v>
      </c>
      <c r="C1075" s="2" t="s">
        <v>10502</v>
      </c>
      <c r="D1075" s="2" t="s">
        <v>10503</v>
      </c>
      <c r="E1075" s="2" t="s">
        <v>10504</v>
      </c>
      <c r="G1075" s="3" t="s">
        <v>65</v>
      </c>
      <c r="I1075" s="3" t="s">
        <v>65</v>
      </c>
      <c r="J1075" s="3" t="s">
        <v>65</v>
      </c>
      <c r="K1075" s="3" t="s">
        <v>66</v>
      </c>
      <c r="L1075" s="2" t="s">
        <v>10505</v>
      </c>
      <c r="M1075" s="2" t="s">
        <v>10506</v>
      </c>
      <c r="N1075" s="3" t="s">
        <v>525</v>
      </c>
      <c r="P1075" s="3" t="s">
        <v>140</v>
      </c>
      <c r="Q1075" s="2" t="s">
        <v>10507</v>
      </c>
      <c r="R1075" s="3" t="s">
        <v>71</v>
      </c>
      <c r="S1075" s="4">
        <v>1</v>
      </c>
      <c r="T1075" s="4">
        <v>1</v>
      </c>
      <c r="U1075" s="5" t="s">
        <v>7615</v>
      </c>
      <c r="V1075" s="5" t="s">
        <v>7615</v>
      </c>
      <c r="W1075" s="5" t="s">
        <v>72</v>
      </c>
      <c r="X1075" s="5" t="s">
        <v>72</v>
      </c>
      <c r="Y1075" s="4">
        <v>53</v>
      </c>
      <c r="Z1075" s="4">
        <v>5</v>
      </c>
      <c r="AA1075" s="4">
        <v>5</v>
      </c>
      <c r="AB1075" s="4">
        <v>2</v>
      </c>
      <c r="AC1075" s="4">
        <v>2</v>
      </c>
      <c r="AD1075" s="4">
        <v>35</v>
      </c>
      <c r="AE1075" s="4">
        <v>35</v>
      </c>
      <c r="AF1075" s="4">
        <v>0</v>
      </c>
      <c r="AG1075" s="4">
        <v>0</v>
      </c>
      <c r="AH1075" s="4">
        <v>34</v>
      </c>
      <c r="AI1075" s="4">
        <v>34</v>
      </c>
      <c r="AJ1075" s="4">
        <v>2</v>
      </c>
      <c r="AK1075" s="4">
        <v>2</v>
      </c>
      <c r="AL1075" s="4">
        <v>26</v>
      </c>
      <c r="AM1075" s="4">
        <v>26</v>
      </c>
      <c r="AN1075" s="4">
        <v>0</v>
      </c>
      <c r="AO1075" s="4">
        <v>0</v>
      </c>
      <c r="AP1075" s="4">
        <v>2</v>
      </c>
      <c r="AQ1075" s="4">
        <v>2</v>
      </c>
      <c r="AR1075" s="3" t="s">
        <v>65</v>
      </c>
      <c r="AS1075" s="3" t="s">
        <v>65</v>
      </c>
      <c r="AT1075" s="3" t="s">
        <v>209</v>
      </c>
      <c r="AU1075" s="6" t="str">
        <f>HYPERLINK("http://catalog.hathitrust.org/Record/004983186","HathiTrust Record")</f>
        <v>HathiTrust Record</v>
      </c>
      <c r="AV1075" s="6" t="str">
        <f>HYPERLINK("http://mcgill.on.worldcat.org/oclc/60516950","Catalog Record")</f>
        <v>Catalog Record</v>
      </c>
      <c r="AW1075" s="6" t="str">
        <f>HYPERLINK("http://www.worldcat.org/oclc/60516950","WorldCat Record")</f>
        <v>WorldCat Record</v>
      </c>
      <c r="AX1075" s="3" t="s">
        <v>10508</v>
      </c>
      <c r="AY1075" s="3" t="s">
        <v>10509</v>
      </c>
      <c r="AZ1075" s="3" t="s">
        <v>10510</v>
      </c>
      <c r="BA1075" s="3" t="s">
        <v>10510</v>
      </c>
      <c r="BB1075" s="3" t="s">
        <v>10511</v>
      </c>
      <c r="BC1075" s="3" t="s">
        <v>77</v>
      </c>
      <c r="BD1075" s="3" t="s">
        <v>78</v>
      </c>
      <c r="BE1075" s="3" t="s">
        <v>10512</v>
      </c>
      <c r="BF1075" s="3" t="s">
        <v>10511</v>
      </c>
      <c r="BG1075" s="3" t="s">
        <v>10513</v>
      </c>
    </row>
    <row r="1076" spans="1:59" ht="58" x14ac:dyDescent="0.35">
      <c r="A1076" s="2" t="s">
        <v>59</v>
      </c>
      <c r="B1076" s="2" t="s">
        <v>60</v>
      </c>
      <c r="C1076" s="2" t="s">
        <v>10514</v>
      </c>
      <c r="D1076" s="2" t="s">
        <v>10515</v>
      </c>
      <c r="E1076" s="2" t="s">
        <v>10516</v>
      </c>
      <c r="G1076" s="3" t="s">
        <v>65</v>
      </c>
      <c r="I1076" s="3" t="s">
        <v>65</v>
      </c>
      <c r="J1076" s="3" t="s">
        <v>65</v>
      </c>
      <c r="K1076" s="3" t="s">
        <v>66</v>
      </c>
      <c r="L1076" s="2" t="s">
        <v>10517</v>
      </c>
      <c r="M1076" s="2" t="s">
        <v>10518</v>
      </c>
      <c r="N1076" s="3" t="s">
        <v>4688</v>
      </c>
      <c r="P1076" s="3" t="s">
        <v>69</v>
      </c>
      <c r="Q1076" s="2" t="s">
        <v>10519</v>
      </c>
      <c r="R1076" s="3" t="s">
        <v>71</v>
      </c>
      <c r="S1076" s="4">
        <v>10</v>
      </c>
      <c r="T1076" s="4">
        <v>10</v>
      </c>
      <c r="U1076" s="5" t="s">
        <v>944</v>
      </c>
      <c r="V1076" s="5" t="s">
        <v>944</v>
      </c>
      <c r="W1076" s="5" t="s">
        <v>72</v>
      </c>
      <c r="X1076" s="5" t="s">
        <v>72</v>
      </c>
      <c r="Y1076" s="4">
        <v>149</v>
      </c>
      <c r="Z1076" s="4">
        <v>14</v>
      </c>
      <c r="AA1076" s="4">
        <v>17</v>
      </c>
      <c r="AB1076" s="4">
        <v>1</v>
      </c>
      <c r="AC1076" s="4">
        <v>2</v>
      </c>
      <c r="AD1076" s="4">
        <v>81</v>
      </c>
      <c r="AE1076" s="4">
        <v>84</v>
      </c>
      <c r="AF1076" s="4">
        <v>0</v>
      </c>
      <c r="AG1076" s="4">
        <v>1</v>
      </c>
      <c r="AH1076" s="4">
        <v>76</v>
      </c>
      <c r="AI1076" s="4">
        <v>77</v>
      </c>
      <c r="AJ1076" s="4">
        <v>11</v>
      </c>
      <c r="AK1076" s="4">
        <v>14</v>
      </c>
      <c r="AL1076" s="4">
        <v>45</v>
      </c>
      <c r="AM1076" s="4">
        <v>45</v>
      </c>
      <c r="AN1076" s="4">
        <v>0</v>
      </c>
      <c r="AO1076" s="4">
        <v>0</v>
      </c>
      <c r="AP1076" s="4">
        <v>12</v>
      </c>
      <c r="AQ1076" s="4">
        <v>14</v>
      </c>
      <c r="AR1076" s="3" t="s">
        <v>65</v>
      </c>
      <c r="AS1076" s="3" t="s">
        <v>65</v>
      </c>
      <c r="AT1076" s="3" t="s">
        <v>209</v>
      </c>
      <c r="AU1076" s="6" t="str">
        <f>HYPERLINK("http://catalog.hathitrust.org/Record/000658642","HathiTrust Record")</f>
        <v>HathiTrust Record</v>
      </c>
      <c r="AV1076" s="6" t="str">
        <f>HYPERLINK("http://mcgill.on.worldcat.org/oclc/13673137","Catalog Record")</f>
        <v>Catalog Record</v>
      </c>
      <c r="AW1076" s="6" t="str">
        <f>HYPERLINK("http://www.worldcat.org/oclc/13673137","WorldCat Record")</f>
        <v>WorldCat Record</v>
      </c>
      <c r="AX1076" s="3" t="s">
        <v>10520</v>
      </c>
      <c r="AY1076" s="3" t="s">
        <v>10521</v>
      </c>
      <c r="AZ1076" s="3" t="s">
        <v>10522</v>
      </c>
      <c r="BA1076" s="3" t="s">
        <v>10522</v>
      </c>
      <c r="BB1076" s="3" t="s">
        <v>10523</v>
      </c>
      <c r="BC1076" s="3" t="s">
        <v>77</v>
      </c>
      <c r="BD1076" s="3" t="s">
        <v>78</v>
      </c>
      <c r="BF1076" s="3" t="s">
        <v>10523</v>
      </c>
      <c r="BG1076" s="3" t="s">
        <v>10524</v>
      </c>
    </row>
    <row r="1077" spans="1:59" ht="58" x14ac:dyDescent="0.35">
      <c r="A1077" s="2" t="s">
        <v>59</v>
      </c>
      <c r="B1077" s="2" t="s">
        <v>60</v>
      </c>
      <c r="C1077" s="2" t="s">
        <v>10525</v>
      </c>
      <c r="D1077" s="2" t="s">
        <v>10526</v>
      </c>
      <c r="E1077" s="2" t="s">
        <v>10527</v>
      </c>
      <c r="G1077" s="3" t="s">
        <v>65</v>
      </c>
      <c r="I1077" s="3" t="s">
        <v>65</v>
      </c>
      <c r="J1077" s="3" t="s">
        <v>65</v>
      </c>
      <c r="K1077" s="3" t="s">
        <v>66</v>
      </c>
      <c r="L1077" s="2" t="s">
        <v>10528</v>
      </c>
      <c r="M1077" s="2" t="s">
        <v>10529</v>
      </c>
      <c r="N1077" s="3" t="s">
        <v>3385</v>
      </c>
      <c r="P1077" s="3" t="s">
        <v>69</v>
      </c>
      <c r="R1077" s="3" t="s">
        <v>71</v>
      </c>
      <c r="S1077" s="4">
        <v>4</v>
      </c>
      <c r="T1077" s="4">
        <v>4</v>
      </c>
      <c r="U1077" s="5" t="s">
        <v>10386</v>
      </c>
      <c r="V1077" s="5" t="s">
        <v>10386</v>
      </c>
      <c r="W1077" s="5" t="s">
        <v>72</v>
      </c>
      <c r="X1077" s="5" t="s">
        <v>72</v>
      </c>
      <c r="Y1077" s="4">
        <v>184</v>
      </c>
      <c r="Z1077" s="4">
        <v>15</v>
      </c>
      <c r="AA1077" s="4">
        <v>15</v>
      </c>
      <c r="AB1077" s="4">
        <v>1</v>
      </c>
      <c r="AC1077" s="4">
        <v>1</v>
      </c>
      <c r="AD1077" s="4">
        <v>97</v>
      </c>
      <c r="AE1077" s="4">
        <v>97</v>
      </c>
      <c r="AF1077" s="4">
        <v>0</v>
      </c>
      <c r="AG1077" s="4">
        <v>0</v>
      </c>
      <c r="AH1077" s="4">
        <v>90</v>
      </c>
      <c r="AI1077" s="4">
        <v>90</v>
      </c>
      <c r="AJ1077" s="4">
        <v>12</v>
      </c>
      <c r="AK1077" s="4">
        <v>12</v>
      </c>
      <c r="AL1077" s="4">
        <v>51</v>
      </c>
      <c r="AM1077" s="4">
        <v>51</v>
      </c>
      <c r="AN1077" s="4">
        <v>0</v>
      </c>
      <c r="AO1077" s="4">
        <v>0</v>
      </c>
      <c r="AP1077" s="4">
        <v>12</v>
      </c>
      <c r="AQ1077" s="4">
        <v>12</v>
      </c>
      <c r="AR1077" s="3" t="s">
        <v>65</v>
      </c>
      <c r="AS1077" s="3" t="s">
        <v>65</v>
      </c>
      <c r="AT1077" s="3" t="s">
        <v>209</v>
      </c>
      <c r="AU1077" s="6" t="str">
        <f>HYPERLINK("http://catalog.hathitrust.org/Record/004022667","HathiTrust Record")</f>
        <v>HathiTrust Record</v>
      </c>
      <c r="AV1077" s="6" t="str">
        <f>HYPERLINK("http://mcgill.on.worldcat.org/oclc/39007166","Catalog Record")</f>
        <v>Catalog Record</v>
      </c>
      <c r="AW1077" s="6" t="str">
        <f>HYPERLINK("http://www.worldcat.org/oclc/39007166","WorldCat Record")</f>
        <v>WorldCat Record</v>
      </c>
      <c r="AX1077" s="3" t="s">
        <v>10530</v>
      </c>
      <c r="AY1077" s="3" t="s">
        <v>10531</v>
      </c>
      <c r="AZ1077" s="3" t="s">
        <v>10532</v>
      </c>
      <c r="BA1077" s="3" t="s">
        <v>10532</v>
      </c>
      <c r="BB1077" s="3" t="s">
        <v>10533</v>
      </c>
      <c r="BC1077" s="3" t="s">
        <v>77</v>
      </c>
      <c r="BD1077" s="3" t="s">
        <v>78</v>
      </c>
      <c r="BE1077" s="3" t="s">
        <v>10534</v>
      </c>
      <c r="BF1077" s="3" t="s">
        <v>10533</v>
      </c>
      <c r="BG1077" s="3" t="s">
        <v>10535</v>
      </c>
    </row>
    <row r="1078" spans="1:59" ht="58" x14ac:dyDescent="0.35">
      <c r="A1078" s="2" t="s">
        <v>59</v>
      </c>
      <c r="B1078" s="2" t="s">
        <v>60</v>
      </c>
      <c r="C1078" s="2" t="s">
        <v>10536</v>
      </c>
      <c r="D1078" s="2" t="s">
        <v>10537</v>
      </c>
      <c r="E1078" s="2" t="s">
        <v>10538</v>
      </c>
      <c r="G1078" s="3" t="s">
        <v>65</v>
      </c>
      <c r="I1078" s="3" t="s">
        <v>65</v>
      </c>
      <c r="J1078" s="3" t="s">
        <v>65</v>
      </c>
      <c r="K1078" s="3" t="s">
        <v>66</v>
      </c>
      <c r="L1078" s="2" t="s">
        <v>10539</v>
      </c>
      <c r="M1078" s="2" t="s">
        <v>10540</v>
      </c>
      <c r="N1078" s="3" t="s">
        <v>10541</v>
      </c>
      <c r="P1078" s="3" t="s">
        <v>69</v>
      </c>
      <c r="R1078" s="3" t="s">
        <v>71</v>
      </c>
      <c r="S1078" s="4">
        <v>6</v>
      </c>
      <c r="T1078" s="4">
        <v>6</v>
      </c>
      <c r="U1078" s="5" t="s">
        <v>7615</v>
      </c>
      <c r="V1078" s="5" t="s">
        <v>7615</v>
      </c>
      <c r="W1078" s="5" t="s">
        <v>72</v>
      </c>
      <c r="X1078" s="5" t="s">
        <v>72</v>
      </c>
      <c r="Y1078" s="4">
        <v>112</v>
      </c>
      <c r="Z1078" s="4">
        <v>5</v>
      </c>
      <c r="AA1078" s="4">
        <v>19</v>
      </c>
      <c r="AB1078" s="4">
        <v>1</v>
      </c>
      <c r="AC1078" s="4">
        <v>1</v>
      </c>
      <c r="AD1078" s="4">
        <v>35</v>
      </c>
      <c r="AE1078" s="4">
        <v>43</v>
      </c>
      <c r="AF1078" s="4">
        <v>0</v>
      </c>
      <c r="AG1078" s="4">
        <v>0</v>
      </c>
      <c r="AH1078" s="4">
        <v>33</v>
      </c>
      <c r="AI1078" s="4">
        <v>36</v>
      </c>
      <c r="AJ1078" s="4">
        <v>1</v>
      </c>
      <c r="AK1078" s="4">
        <v>4</v>
      </c>
      <c r="AL1078" s="4">
        <v>25</v>
      </c>
      <c r="AM1078" s="4">
        <v>25</v>
      </c>
      <c r="AN1078" s="4">
        <v>0</v>
      </c>
      <c r="AO1078" s="4">
        <v>0</v>
      </c>
      <c r="AP1078" s="4">
        <v>1</v>
      </c>
      <c r="AQ1078" s="4">
        <v>8</v>
      </c>
      <c r="AR1078" s="3" t="s">
        <v>65</v>
      </c>
      <c r="AS1078" s="3" t="s">
        <v>209</v>
      </c>
      <c r="AT1078" s="3" t="s">
        <v>65</v>
      </c>
      <c r="AU1078" s="6" t="str">
        <f>HYPERLINK("http://catalog.hathitrust.org/Record/001371568","HathiTrust Record")</f>
        <v>HathiTrust Record</v>
      </c>
      <c r="AV1078" s="6" t="str">
        <f>HYPERLINK("http://mcgill.on.worldcat.org/oclc/4368787","Catalog Record")</f>
        <v>Catalog Record</v>
      </c>
      <c r="AW1078" s="6" t="str">
        <f>HYPERLINK("http://www.worldcat.org/oclc/4368787","WorldCat Record")</f>
        <v>WorldCat Record</v>
      </c>
      <c r="AX1078" s="3" t="s">
        <v>10542</v>
      </c>
      <c r="AY1078" s="3" t="s">
        <v>10543</v>
      </c>
      <c r="AZ1078" s="3" t="s">
        <v>10544</v>
      </c>
      <c r="BA1078" s="3" t="s">
        <v>10544</v>
      </c>
      <c r="BB1078" s="3" t="s">
        <v>10545</v>
      </c>
      <c r="BC1078" s="3" t="s">
        <v>77</v>
      </c>
      <c r="BD1078" s="3" t="s">
        <v>78</v>
      </c>
      <c r="BF1078" s="3" t="s">
        <v>10545</v>
      </c>
      <c r="BG1078" s="3" t="s">
        <v>10546</v>
      </c>
    </row>
    <row r="1079" spans="1:59" ht="58" x14ac:dyDescent="0.35">
      <c r="A1079" s="2" t="s">
        <v>59</v>
      </c>
      <c r="B1079" s="2" t="s">
        <v>60</v>
      </c>
      <c r="C1079" s="2" t="s">
        <v>10547</v>
      </c>
      <c r="D1079" s="2" t="s">
        <v>10548</v>
      </c>
      <c r="E1079" s="2" t="s">
        <v>10549</v>
      </c>
      <c r="F1079" s="3" t="s">
        <v>8361</v>
      </c>
      <c r="G1079" s="3" t="s">
        <v>209</v>
      </c>
      <c r="I1079" s="3" t="s">
        <v>65</v>
      </c>
      <c r="J1079" s="3" t="s">
        <v>65</v>
      </c>
      <c r="K1079" s="3" t="s">
        <v>66</v>
      </c>
      <c r="L1079" s="2" t="s">
        <v>9920</v>
      </c>
      <c r="M1079" s="2" t="s">
        <v>10550</v>
      </c>
      <c r="N1079" s="3" t="s">
        <v>10551</v>
      </c>
      <c r="P1079" s="3" t="s">
        <v>69</v>
      </c>
      <c r="R1079" s="3" t="s">
        <v>71</v>
      </c>
      <c r="S1079" s="4">
        <v>0</v>
      </c>
      <c r="T1079" s="4">
        <v>5</v>
      </c>
      <c r="V1079" s="5" t="s">
        <v>7615</v>
      </c>
      <c r="W1079" s="5" t="s">
        <v>72</v>
      </c>
      <c r="X1079" s="5" t="s">
        <v>72</v>
      </c>
      <c r="Y1079" s="4">
        <v>186</v>
      </c>
      <c r="Z1079" s="4">
        <v>4</v>
      </c>
      <c r="AA1079" s="4">
        <v>7</v>
      </c>
      <c r="AB1079" s="4">
        <v>1</v>
      </c>
      <c r="AC1079" s="4">
        <v>1</v>
      </c>
      <c r="AD1079" s="4">
        <v>61</v>
      </c>
      <c r="AE1079" s="4">
        <v>67</v>
      </c>
      <c r="AF1079" s="4">
        <v>0</v>
      </c>
      <c r="AG1079" s="4">
        <v>0</v>
      </c>
      <c r="AH1079" s="4">
        <v>56</v>
      </c>
      <c r="AI1079" s="4">
        <v>61</v>
      </c>
      <c r="AJ1079" s="4">
        <v>2</v>
      </c>
      <c r="AK1079" s="4">
        <v>4</v>
      </c>
      <c r="AL1079" s="4">
        <v>44</v>
      </c>
      <c r="AM1079" s="4">
        <v>44</v>
      </c>
      <c r="AN1079" s="4">
        <v>0</v>
      </c>
      <c r="AO1079" s="4">
        <v>0</v>
      </c>
      <c r="AP1079" s="4">
        <v>3</v>
      </c>
      <c r="AQ1079" s="4">
        <v>6</v>
      </c>
      <c r="AR1079" s="3" t="s">
        <v>65</v>
      </c>
      <c r="AS1079" s="3" t="s">
        <v>209</v>
      </c>
      <c r="AT1079" s="3" t="s">
        <v>65</v>
      </c>
      <c r="AU1079" s="6" t="str">
        <f>HYPERLINK("http://catalog.hathitrust.org/Record/001015739","HathiTrust Record")</f>
        <v>HathiTrust Record</v>
      </c>
      <c r="AV1079" s="6" t="str">
        <f>HYPERLINK("http://mcgill.on.worldcat.org/oclc/2834953","Catalog Record")</f>
        <v>Catalog Record</v>
      </c>
      <c r="AW1079" s="6" t="str">
        <f>HYPERLINK("http://www.worldcat.org/oclc/2834953","WorldCat Record")</f>
        <v>WorldCat Record</v>
      </c>
      <c r="AX1079" s="3" t="s">
        <v>10552</v>
      </c>
      <c r="AY1079" s="3" t="s">
        <v>10553</v>
      </c>
      <c r="AZ1079" s="3" t="s">
        <v>10554</v>
      </c>
      <c r="BA1079" s="3" t="s">
        <v>10554</v>
      </c>
      <c r="BB1079" s="3" t="s">
        <v>10555</v>
      </c>
      <c r="BC1079" s="3" t="s">
        <v>77</v>
      </c>
      <c r="BD1079" s="3" t="s">
        <v>78</v>
      </c>
      <c r="BF1079" s="3" t="s">
        <v>10555</v>
      </c>
      <c r="BG1079" s="3" t="s">
        <v>10556</v>
      </c>
    </row>
    <row r="1080" spans="1:59" ht="58" x14ac:dyDescent="0.35">
      <c r="A1080" s="2" t="s">
        <v>59</v>
      </c>
      <c r="B1080" s="2" t="s">
        <v>60</v>
      </c>
      <c r="C1080" s="2" t="s">
        <v>10547</v>
      </c>
      <c r="D1080" s="2" t="s">
        <v>10548</v>
      </c>
      <c r="E1080" s="2" t="s">
        <v>10549</v>
      </c>
      <c r="F1080" s="3" t="s">
        <v>1282</v>
      </c>
      <c r="G1080" s="3" t="s">
        <v>209</v>
      </c>
      <c r="I1080" s="3" t="s">
        <v>65</v>
      </c>
      <c r="J1080" s="3" t="s">
        <v>65</v>
      </c>
      <c r="K1080" s="3" t="s">
        <v>66</v>
      </c>
      <c r="L1080" s="2" t="s">
        <v>9920</v>
      </c>
      <c r="M1080" s="2" t="s">
        <v>10550</v>
      </c>
      <c r="N1080" s="3" t="s">
        <v>10551</v>
      </c>
      <c r="P1080" s="3" t="s">
        <v>69</v>
      </c>
      <c r="R1080" s="3" t="s">
        <v>71</v>
      </c>
      <c r="S1080" s="4">
        <v>5</v>
      </c>
      <c r="T1080" s="4">
        <v>5</v>
      </c>
      <c r="U1080" s="5" t="s">
        <v>7615</v>
      </c>
      <c r="V1080" s="5" t="s">
        <v>7615</v>
      </c>
      <c r="W1080" s="5" t="s">
        <v>72</v>
      </c>
      <c r="X1080" s="5" t="s">
        <v>72</v>
      </c>
      <c r="Y1080" s="4">
        <v>186</v>
      </c>
      <c r="Z1080" s="4">
        <v>4</v>
      </c>
      <c r="AA1080" s="4">
        <v>7</v>
      </c>
      <c r="AB1080" s="4">
        <v>1</v>
      </c>
      <c r="AC1080" s="4">
        <v>1</v>
      </c>
      <c r="AD1080" s="4">
        <v>61</v>
      </c>
      <c r="AE1080" s="4">
        <v>67</v>
      </c>
      <c r="AF1080" s="4">
        <v>0</v>
      </c>
      <c r="AG1080" s="4">
        <v>0</v>
      </c>
      <c r="AH1080" s="4">
        <v>56</v>
      </c>
      <c r="AI1080" s="4">
        <v>61</v>
      </c>
      <c r="AJ1080" s="4">
        <v>2</v>
      </c>
      <c r="AK1080" s="4">
        <v>4</v>
      </c>
      <c r="AL1080" s="4">
        <v>44</v>
      </c>
      <c r="AM1080" s="4">
        <v>44</v>
      </c>
      <c r="AN1080" s="4">
        <v>0</v>
      </c>
      <c r="AO1080" s="4">
        <v>0</v>
      </c>
      <c r="AP1080" s="4">
        <v>3</v>
      </c>
      <c r="AQ1080" s="4">
        <v>6</v>
      </c>
      <c r="AR1080" s="3" t="s">
        <v>65</v>
      </c>
      <c r="AS1080" s="3" t="s">
        <v>209</v>
      </c>
      <c r="AT1080" s="3" t="s">
        <v>65</v>
      </c>
      <c r="AU1080" s="6" t="str">
        <f>HYPERLINK("http://catalog.hathitrust.org/Record/001015739","HathiTrust Record")</f>
        <v>HathiTrust Record</v>
      </c>
      <c r="AV1080" s="6" t="str">
        <f>HYPERLINK("http://mcgill.on.worldcat.org/oclc/2834953","Catalog Record")</f>
        <v>Catalog Record</v>
      </c>
      <c r="AW1080" s="6" t="str">
        <f>HYPERLINK("http://www.worldcat.org/oclc/2834953","WorldCat Record")</f>
        <v>WorldCat Record</v>
      </c>
      <c r="AX1080" s="3" t="s">
        <v>10552</v>
      </c>
      <c r="AY1080" s="3" t="s">
        <v>10553</v>
      </c>
      <c r="AZ1080" s="3" t="s">
        <v>10554</v>
      </c>
      <c r="BA1080" s="3" t="s">
        <v>10554</v>
      </c>
      <c r="BB1080" s="3" t="s">
        <v>10557</v>
      </c>
      <c r="BC1080" s="3" t="s">
        <v>77</v>
      </c>
      <c r="BD1080" s="3" t="s">
        <v>106</v>
      </c>
      <c r="BF1080" s="3" t="s">
        <v>10557</v>
      </c>
      <c r="BG1080" s="3" t="s">
        <v>10558</v>
      </c>
    </row>
    <row r="1081" spans="1:59" ht="58" x14ac:dyDescent="0.35">
      <c r="A1081" s="2" t="s">
        <v>59</v>
      </c>
      <c r="B1081" s="2" t="s">
        <v>60</v>
      </c>
      <c r="C1081" s="2" t="s">
        <v>10559</v>
      </c>
      <c r="D1081" s="2" t="s">
        <v>10560</v>
      </c>
      <c r="E1081" s="2" t="s">
        <v>10561</v>
      </c>
      <c r="G1081" s="3" t="s">
        <v>65</v>
      </c>
      <c r="I1081" s="3" t="s">
        <v>209</v>
      </c>
      <c r="J1081" s="3" t="s">
        <v>65</v>
      </c>
      <c r="K1081" s="3" t="s">
        <v>66</v>
      </c>
      <c r="L1081" s="2" t="s">
        <v>10562</v>
      </c>
      <c r="M1081" s="2" t="s">
        <v>10563</v>
      </c>
      <c r="N1081" s="3" t="s">
        <v>311</v>
      </c>
      <c r="P1081" s="3" t="s">
        <v>69</v>
      </c>
      <c r="Q1081" s="2" t="s">
        <v>10564</v>
      </c>
      <c r="R1081" s="3" t="s">
        <v>71</v>
      </c>
      <c r="S1081" s="4">
        <v>16</v>
      </c>
      <c r="T1081" s="4">
        <v>35</v>
      </c>
      <c r="U1081" s="5" t="s">
        <v>10565</v>
      </c>
      <c r="V1081" s="5" t="s">
        <v>9827</v>
      </c>
      <c r="W1081" s="5" t="s">
        <v>72</v>
      </c>
      <c r="X1081" s="5" t="s">
        <v>72</v>
      </c>
      <c r="Y1081" s="4">
        <v>1193</v>
      </c>
      <c r="Z1081" s="4">
        <v>38</v>
      </c>
      <c r="AA1081" s="4">
        <v>40</v>
      </c>
      <c r="AB1081" s="4">
        <v>4</v>
      </c>
      <c r="AC1081" s="4">
        <v>6</v>
      </c>
      <c r="AD1081" s="4">
        <v>124</v>
      </c>
      <c r="AE1081" s="4">
        <v>125</v>
      </c>
      <c r="AF1081" s="4">
        <v>2</v>
      </c>
      <c r="AG1081" s="4">
        <v>3</v>
      </c>
      <c r="AH1081" s="4">
        <v>104</v>
      </c>
      <c r="AI1081" s="4">
        <v>105</v>
      </c>
      <c r="AJ1081" s="4">
        <v>18</v>
      </c>
      <c r="AK1081" s="4">
        <v>19</v>
      </c>
      <c r="AL1081" s="4">
        <v>58</v>
      </c>
      <c r="AM1081" s="4">
        <v>58</v>
      </c>
      <c r="AN1081" s="4">
        <v>0</v>
      </c>
      <c r="AO1081" s="4">
        <v>0</v>
      </c>
      <c r="AP1081" s="4">
        <v>26</v>
      </c>
      <c r="AQ1081" s="4">
        <v>27</v>
      </c>
      <c r="AR1081" s="3" t="s">
        <v>65</v>
      </c>
      <c r="AS1081" s="3" t="s">
        <v>65</v>
      </c>
      <c r="AT1081" s="3" t="s">
        <v>209</v>
      </c>
      <c r="AU1081" s="6" t="str">
        <f>HYPERLINK("http://catalog.hathitrust.org/Record/000869372","HathiTrust Record")</f>
        <v>HathiTrust Record</v>
      </c>
      <c r="AV1081" s="6" t="str">
        <f>HYPERLINK("http://mcgill.on.worldcat.org/oclc/344480","Catalog Record")</f>
        <v>Catalog Record</v>
      </c>
      <c r="AW1081" s="6" t="str">
        <f>HYPERLINK("http://www.worldcat.org/oclc/344480","WorldCat Record")</f>
        <v>WorldCat Record</v>
      </c>
      <c r="AX1081" s="3" t="s">
        <v>10566</v>
      </c>
      <c r="AY1081" s="3" t="s">
        <v>10567</v>
      </c>
      <c r="AZ1081" s="3" t="s">
        <v>10568</v>
      </c>
      <c r="BA1081" s="3" t="s">
        <v>10568</v>
      </c>
      <c r="BB1081" s="3" t="s">
        <v>10569</v>
      </c>
      <c r="BC1081" s="3" t="s">
        <v>77</v>
      </c>
      <c r="BD1081" s="3" t="s">
        <v>78</v>
      </c>
      <c r="BF1081" s="3" t="s">
        <v>10569</v>
      </c>
      <c r="BG1081" s="3" t="s">
        <v>10570</v>
      </c>
    </row>
    <row r="1082" spans="1:59" ht="58" x14ac:dyDescent="0.35">
      <c r="A1082" s="2" t="s">
        <v>59</v>
      </c>
      <c r="B1082" s="2" t="s">
        <v>60</v>
      </c>
      <c r="C1082" s="2" t="s">
        <v>10559</v>
      </c>
      <c r="D1082" s="2" t="s">
        <v>10560</v>
      </c>
      <c r="E1082" s="2" t="s">
        <v>10561</v>
      </c>
      <c r="G1082" s="3" t="s">
        <v>65</v>
      </c>
      <c r="I1082" s="3" t="s">
        <v>209</v>
      </c>
      <c r="J1082" s="3" t="s">
        <v>65</v>
      </c>
      <c r="K1082" s="3" t="s">
        <v>66</v>
      </c>
      <c r="L1082" s="2" t="s">
        <v>10562</v>
      </c>
      <c r="M1082" s="2" t="s">
        <v>10563</v>
      </c>
      <c r="N1082" s="3" t="s">
        <v>311</v>
      </c>
      <c r="P1082" s="3" t="s">
        <v>69</v>
      </c>
      <c r="Q1082" s="2" t="s">
        <v>10564</v>
      </c>
      <c r="R1082" s="3" t="s">
        <v>71</v>
      </c>
      <c r="S1082" s="4">
        <v>19</v>
      </c>
      <c r="T1082" s="4">
        <v>35</v>
      </c>
      <c r="U1082" s="5" t="s">
        <v>9827</v>
      </c>
      <c r="V1082" s="5" t="s">
        <v>9827</v>
      </c>
      <c r="W1082" s="5" t="s">
        <v>72</v>
      </c>
      <c r="X1082" s="5" t="s">
        <v>72</v>
      </c>
      <c r="Y1082" s="4">
        <v>1193</v>
      </c>
      <c r="Z1082" s="4">
        <v>38</v>
      </c>
      <c r="AA1082" s="4">
        <v>40</v>
      </c>
      <c r="AB1082" s="4">
        <v>4</v>
      </c>
      <c r="AC1082" s="4">
        <v>6</v>
      </c>
      <c r="AD1082" s="4">
        <v>124</v>
      </c>
      <c r="AE1082" s="4">
        <v>125</v>
      </c>
      <c r="AF1082" s="4">
        <v>2</v>
      </c>
      <c r="AG1082" s="4">
        <v>3</v>
      </c>
      <c r="AH1082" s="4">
        <v>104</v>
      </c>
      <c r="AI1082" s="4">
        <v>105</v>
      </c>
      <c r="AJ1082" s="4">
        <v>18</v>
      </c>
      <c r="AK1082" s="4">
        <v>19</v>
      </c>
      <c r="AL1082" s="4">
        <v>58</v>
      </c>
      <c r="AM1082" s="4">
        <v>58</v>
      </c>
      <c r="AN1082" s="4">
        <v>0</v>
      </c>
      <c r="AO1082" s="4">
        <v>0</v>
      </c>
      <c r="AP1082" s="4">
        <v>26</v>
      </c>
      <c r="AQ1082" s="4">
        <v>27</v>
      </c>
      <c r="AR1082" s="3" t="s">
        <v>65</v>
      </c>
      <c r="AS1082" s="3" t="s">
        <v>65</v>
      </c>
      <c r="AT1082" s="3" t="s">
        <v>209</v>
      </c>
      <c r="AU1082" s="6" t="str">
        <f>HYPERLINK("http://catalog.hathitrust.org/Record/000869372","HathiTrust Record")</f>
        <v>HathiTrust Record</v>
      </c>
      <c r="AV1082" s="6" t="str">
        <f>HYPERLINK("http://mcgill.on.worldcat.org/oclc/344480","Catalog Record")</f>
        <v>Catalog Record</v>
      </c>
      <c r="AW1082" s="6" t="str">
        <f>HYPERLINK("http://www.worldcat.org/oclc/344480","WorldCat Record")</f>
        <v>WorldCat Record</v>
      </c>
      <c r="AX1082" s="3" t="s">
        <v>10566</v>
      </c>
      <c r="AY1082" s="3" t="s">
        <v>10567</v>
      </c>
      <c r="AZ1082" s="3" t="s">
        <v>10568</v>
      </c>
      <c r="BA1082" s="3" t="s">
        <v>10568</v>
      </c>
      <c r="BB1082" s="3" t="s">
        <v>10571</v>
      </c>
      <c r="BC1082" s="3" t="s">
        <v>77</v>
      </c>
      <c r="BD1082" s="3" t="s">
        <v>78</v>
      </c>
      <c r="BF1082" s="3" t="s">
        <v>10571</v>
      </c>
      <c r="BG1082" s="3" t="s">
        <v>10572</v>
      </c>
    </row>
    <row r="1083" spans="1:59" ht="58" x14ac:dyDescent="0.35">
      <c r="A1083" s="2" t="s">
        <v>59</v>
      </c>
      <c r="B1083" s="2" t="s">
        <v>60</v>
      </c>
      <c r="C1083" s="2" t="s">
        <v>10573</v>
      </c>
      <c r="D1083" s="2" t="s">
        <v>10574</v>
      </c>
      <c r="E1083" s="2" t="s">
        <v>10575</v>
      </c>
      <c r="G1083" s="3" t="s">
        <v>65</v>
      </c>
      <c r="I1083" s="3" t="s">
        <v>65</v>
      </c>
      <c r="J1083" s="3" t="s">
        <v>65</v>
      </c>
      <c r="K1083" s="3" t="s">
        <v>66</v>
      </c>
      <c r="L1083" s="2" t="s">
        <v>10576</v>
      </c>
      <c r="M1083" s="2" t="s">
        <v>10577</v>
      </c>
      <c r="N1083" s="3" t="s">
        <v>126</v>
      </c>
      <c r="P1083" s="3" t="s">
        <v>69</v>
      </c>
      <c r="Q1083" s="2" t="s">
        <v>10578</v>
      </c>
      <c r="R1083" s="3" t="s">
        <v>71</v>
      </c>
      <c r="S1083" s="4">
        <v>1</v>
      </c>
      <c r="T1083" s="4">
        <v>1</v>
      </c>
      <c r="U1083" s="5" t="s">
        <v>10579</v>
      </c>
      <c r="V1083" s="5" t="s">
        <v>10579</v>
      </c>
      <c r="W1083" s="5" t="s">
        <v>72</v>
      </c>
      <c r="X1083" s="5" t="s">
        <v>72</v>
      </c>
      <c r="Y1083" s="4">
        <v>257</v>
      </c>
      <c r="Z1083" s="4">
        <v>16</v>
      </c>
      <c r="AA1083" s="4">
        <v>22</v>
      </c>
      <c r="AB1083" s="4">
        <v>1</v>
      </c>
      <c r="AC1083" s="4">
        <v>4</v>
      </c>
      <c r="AD1083" s="4">
        <v>92</v>
      </c>
      <c r="AE1083" s="4">
        <v>96</v>
      </c>
      <c r="AF1083" s="4">
        <v>0</v>
      </c>
      <c r="AG1083" s="4">
        <v>0</v>
      </c>
      <c r="AH1083" s="4">
        <v>85</v>
      </c>
      <c r="AI1083" s="4">
        <v>88</v>
      </c>
      <c r="AJ1083" s="4">
        <v>13</v>
      </c>
      <c r="AK1083" s="4">
        <v>14</v>
      </c>
      <c r="AL1083" s="4">
        <v>48</v>
      </c>
      <c r="AM1083" s="4">
        <v>50</v>
      </c>
      <c r="AN1083" s="4">
        <v>0</v>
      </c>
      <c r="AO1083" s="4">
        <v>0</v>
      </c>
      <c r="AP1083" s="4">
        <v>14</v>
      </c>
      <c r="AQ1083" s="4">
        <v>16</v>
      </c>
      <c r="AR1083" s="3" t="s">
        <v>65</v>
      </c>
      <c r="AS1083" s="3" t="s">
        <v>65</v>
      </c>
      <c r="AT1083" s="3" t="s">
        <v>65</v>
      </c>
      <c r="AV1083" s="6" t="str">
        <f>HYPERLINK("http://mcgill.on.worldcat.org/oclc/688559506","Catalog Record")</f>
        <v>Catalog Record</v>
      </c>
      <c r="AW1083" s="6" t="str">
        <f>HYPERLINK("http://www.worldcat.org/oclc/688559506","WorldCat Record")</f>
        <v>WorldCat Record</v>
      </c>
      <c r="AX1083" s="3" t="s">
        <v>10580</v>
      </c>
      <c r="AY1083" s="3" t="s">
        <v>10581</v>
      </c>
      <c r="AZ1083" s="3" t="s">
        <v>10582</v>
      </c>
      <c r="BA1083" s="3" t="s">
        <v>10582</v>
      </c>
      <c r="BB1083" s="3" t="s">
        <v>10583</v>
      </c>
      <c r="BC1083" s="3" t="s">
        <v>77</v>
      </c>
      <c r="BD1083" s="3" t="s">
        <v>78</v>
      </c>
      <c r="BE1083" s="3" t="s">
        <v>10584</v>
      </c>
      <c r="BF1083" s="3" t="s">
        <v>10583</v>
      </c>
      <c r="BG1083" s="3" t="s">
        <v>10585</v>
      </c>
    </row>
    <row r="1084" spans="1:59" ht="58" x14ac:dyDescent="0.35">
      <c r="A1084" s="2" t="s">
        <v>59</v>
      </c>
      <c r="B1084" s="2" t="s">
        <v>60</v>
      </c>
      <c r="C1084" s="2" t="s">
        <v>10586</v>
      </c>
      <c r="D1084" s="2" t="s">
        <v>10587</v>
      </c>
      <c r="E1084" s="2" t="s">
        <v>10588</v>
      </c>
      <c r="G1084" s="3" t="s">
        <v>65</v>
      </c>
      <c r="I1084" s="3" t="s">
        <v>65</v>
      </c>
      <c r="J1084" s="3" t="s">
        <v>65</v>
      </c>
      <c r="K1084" s="3" t="s">
        <v>66</v>
      </c>
      <c r="M1084" s="2" t="s">
        <v>10589</v>
      </c>
      <c r="N1084" s="3" t="s">
        <v>392</v>
      </c>
      <c r="P1084" s="3" t="s">
        <v>69</v>
      </c>
      <c r="Q1084" s="2" t="s">
        <v>10590</v>
      </c>
      <c r="R1084" s="3" t="s">
        <v>71</v>
      </c>
      <c r="S1084" s="4">
        <v>12</v>
      </c>
      <c r="T1084" s="4">
        <v>12</v>
      </c>
      <c r="U1084" s="5" t="s">
        <v>10591</v>
      </c>
      <c r="V1084" s="5" t="s">
        <v>10591</v>
      </c>
      <c r="W1084" s="5" t="s">
        <v>72</v>
      </c>
      <c r="X1084" s="5" t="s">
        <v>72</v>
      </c>
      <c r="Y1084" s="4">
        <v>385</v>
      </c>
      <c r="Z1084" s="4">
        <v>27</v>
      </c>
      <c r="AA1084" s="4">
        <v>30</v>
      </c>
      <c r="AB1084" s="4">
        <v>1</v>
      </c>
      <c r="AC1084" s="4">
        <v>2</v>
      </c>
      <c r="AD1084" s="4">
        <v>93</v>
      </c>
      <c r="AE1084" s="4">
        <v>96</v>
      </c>
      <c r="AF1084" s="4">
        <v>0</v>
      </c>
      <c r="AG1084" s="4">
        <v>0</v>
      </c>
      <c r="AH1084" s="4">
        <v>82</v>
      </c>
      <c r="AI1084" s="4">
        <v>84</v>
      </c>
      <c r="AJ1084" s="4">
        <v>11</v>
      </c>
      <c r="AK1084" s="4">
        <v>12</v>
      </c>
      <c r="AL1084" s="4">
        <v>46</v>
      </c>
      <c r="AM1084" s="4">
        <v>46</v>
      </c>
      <c r="AN1084" s="4">
        <v>0</v>
      </c>
      <c r="AO1084" s="4">
        <v>0</v>
      </c>
      <c r="AP1084" s="4">
        <v>17</v>
      </c>
      <c r="AQ1084" s="4">
        <v>19</v>
      </c>
      <c r="AR1084" s="3" t="s">
        <v>65</v>
      </c>
      <c r="AS1084" s="3" t="s">
        <v>65</v>
      </c>
      <c r="AT1084" s="3" t="s">
        <v>65</v>
      </c>
      <c r="AV1084" s="6" t="str">
        <f>HYPERLINK("http://mcgill.on.worldcat.org/oclc/17954247","Catalog Record")</f>
        <v>Catalog Record</v>
      </c>
      <c r="AW1084" s="6" t="str">
        <f>HYPERLINK("http://www.worldcat.org/oclc/17954247","WorldCat Record")</f>
        <v>WorldCat Record</v>
      </c>
      <c r="AX1084" s="3" t="s">
        <v>10592</v>
      </c>
      <c r="AY1084" s="3" t="s">
        <v>10593</v>
      </c>
      <c r="AZ1084" s="3" t="s">
        <v>10594</v>
      </c>
      <c r="BA1084" s="3" t="s">
        <v>10594</v>
      </c>
      <c r="BB1084" s="3" t="s">
        <v>10595</v>
      </c>
      <c r="BC1084" s="3" t="s">
        <v>77</v>
      </c>
      <c r="BD1084" s="3" t="s">
        <v>106</v>
      </c>
      <c r="BE1084" s="3" t="s">
        <v>10596</v>
      </c>
      <c r="BF1084" s="3" t="s">
        <v>10595</v>
      </c>
      <c r="BG1084" s="3" t="s">
        <v>10597</v>
      </c>
    </row>
    <row r="1085" spans="1:59" ht="58" x14ac:dyDescent="0.35">
      <c r="A1085" s="2" t="s">
        <v>59</v>
      </c>
      <c r="B1085" s="2" t="s">
        <v>60</v>
      </c>
      <c r="C1085" s="2" t="s">
        <v>10598</v>
      </c>
      <c r="D1085" s="2" t="s">
        <v>10599</v>
      </c>
      <c r="E1085" s="2" t="s">
        <v>10600</v>
      </c>
      <c r="F1085" s="3" t="s">
        <v>10601</v>
      </c>
      <c r="G1085" s="3" t="s">
        <v>209</v>
      </c>
      <c r="I1085" s="3" t="s">
        <v>65</v>
      </c>
      <c r="J1085" s="3" t="s">
        <v>65</v>
      </c>
      <c r="K1085" s="3" t="s">
        <v>66</v>
      </c>
      <c r="L1085" s="2" t="s">
        <v>10602</v>
      </c>
      <c r="M1085" s="2" t="s">
        <v>10603</v>
      </c>
      <c r="N1085" s="3" t="s">
        <v>364</v>
      </c>
      <c r="P1085" s="3" t="s">
        <v>140</v>
      </c>
      <c r="Q1085" s="2" t="s">
        <v>10604</v>
      </c>
      <c r="R1085" s="3" t="s">
        <v>71</v>
      </c>
      <c r="S1085" s="4">
        <v>2</v>
      </c>
      <c r="T1085" s="4">
        <v>2</v>
      </c>
      <c r="U1085" s="5" t="s">
        <v>944</v>
      </c>
      <c r="V1085" s="5" t="s">
        <v>944</v>
      </c>
      <c r="W1085" s="5" t="s">
        <v>72</v>
      </c>
      <c r="X1085" s="5" t="s">
        <v>72</v>
      </c>
      <c r="Y1085" s="4">
        <v>67</v>
      </c>
      <c r="Z1085" s="4">
        <v>5</v>
      </c>
      <c r="AA1085" s="4">
        <v>5</v>
      </c>
      <c r="AB1085" s="4">
        <v>2</v>
      </c>
      <c r="AC1085" s="4">
        <v>2</v>
      </c>
      <c r="AD1085" s="4">
        <v>39</v>
      </c>
      <c r="AE1085" s="4">
        <v>40</v>
      </c>
      <c r="AF1085" s="4">
        <v>0</v>
      </c>
      <c r="AG1085" s="4">
        <v>0</v>
      </c>
      <c r="AH1085" s="4">
        <v>37</v>
      </c>
      <c r="AI1085" s="4">
        <v>38</v>
      </c>
      <c r="AJ1085" s="4">
        <v>2</v>
      </c>
      <c r="AK1085" s="4">
        <v>2</v>
      </c>
      <c r="AL1085" s="4">
        <v>29</v>
      </c>
      <c r="AM1085" s="4">
        <v>30</v>
      </c>
      <c r="AN1085" s="4">
        <v>0</v>
      </c>
      <c r="AO1085" s="4">
        <v>0</v>
      </c>
      <c r="AP1085" s="4">
        <v>2</v>
      </c>
      <c r="AQ1085" s="4">
        <v>2</v>
      </c>
      <c r="AR1085" s="3" t="s">
        <v>65</v>
      </c>
      <c r="AS1085" s="3" t="s">
        <v>65</v>
      </c>
      <c r="AT1085" s="3" t="s">
        <v>209</v>
      </c>
      <c r="AU1085" s="6" t="str">
        <f>HYPERLINK("http://catalog.hathitrust.org/Record/004216298","HathiTrust Record")</f>
        <v>HathiTrust Record</v>
      </c>
      <c r="AV1085" s="6" t="str">
        <f>HYPERLINK("http://mcgill.on.worldcat.org/oclc/49874953","Catalog Record")</f>
        <v>Catalog Record</v>
      </c>
      <c r="AW1085" s="6" t="str">
        <f>HYPERLINK("http://www.worldcat.org/oclc/49874953","WorldCat Record")</f>
        <v>WorldCat Record</v>
      </c>
      <c r="AX1085" s="3" t="s">
        <v>10605</v>
      </c>
      <c r="AY1085" s="3" t="s">
        <v>10606</v>
      </c>
      <c r="AZ1085" s="3" t="s">
        <v>10607</v>
      </c>
      <c r="BA1085" s="3" t="s">
        <v>10607</v>
      </c>
      <c r="BB1085" s="3" t="s">
        <v>10608</v>
      </c>
      <c r="BC1085" s="3" t="s">
        <v>77</v>
      </c>
      <c r="BD1085" s="3" t="s">
        <v>78</v>
      </c>
      <c r="BE1085" s="3" t="s">
        <v>10609</v>
      </c>
      <c r="BF1085" s="3" t="s">
        <v>10608</v>
      </c>
      <c r="BG1085" s="3" t="s">
        <v>10610</v>
      </c>
    </row>
    <row r="1086" spans="1:59" ht="58" x14ac:dyDescent="0.35">
      <c r="A1086" s="2" t="s">
        <v>59</v>
      </c>
      <c r="B1086" s="2" t="s">
        <v>60</v>
      </c>
      <c r="C1086" s="2" t="s">
        <v>10598</v>
      </c>
      <c r="D1086" s="2" t="s">
        <v>10599</v>
      </c>
      <c r="E1086" s="2" t="s">
        <v>10600</v>
      </c>
      <c r="F1086" s="3" t="s">
        <v>10611</v>
      </c>
      <c r="G1086" s="3" t="s">
        <v>209</v>
      </c>
      <c r="I1086" s="3" t="s">
        <v>65</v>
      </c>
      <c r="J1086" s="3" t="s">
        <v>65</v>
      </c>
      <c r="K1086" s="3" t="s">
        <v>66</v>
      </c>
      <c r="L1086" s="2" t="s">
        <v>10602</v>
      </c>
      <c r="M1086" s="2" t="s">
        <v>10603</v>
      </c>
      <c r="N1086" s="3" t="s">
        <v>364</v>
      </c>
      <c r="P1086" s="3" t="s">
        <v>140</v>
      </c>
      <c r="Q1086" s="2" t="s">
        <v>10604</v>
      </c>
      <c r="R1086" s="3" t="s">
        <v>71</v>
      </c>
      <c r="S1086" s="4">
        <v>0</v>
      </c>
      <c r="T1086" s="4">
        <v>2</v>
      </c>
      <c r="V1086" s="5" t="s">
        <v>944</v>
      </c>
      <c r="W1086" s="5" t="s">
        <v>72</v>
      </c>
      <c r="X1086" s="5" t="s">
        <v>72</v>
      </c>
      <c r="Y1086" s="4">
        <v>67</v>
      </c>
      <c r="Z1086" s="4">
        <v>5</v>
      </c>
      <c r="AA1086" s="4">
        <v>5</v>
      </c>
      <c r="AB1086" s="4">
        <v>2</v>
      </c>
      <c r="AC1086" s="4">
        <v>2</v>
      </c>
      <c r="AD1086" s="4">
        <v>39</v>
      </c>
      <c r="AE1086" s="4">
        <v>40</v>
      </c>
      <c r="AF1086" s="4">
        <v>0</v>
      </c>
      <c r="AG1086" s="4">
        <v>0</v>
      </c>
      <c r="AH1086" s="4">
        <v>37</v>
      </c>
      <c r="AI1086" s="4">
        <v>38</v>
      </c>
      <c r="AJ1086" s="4">
        <v>2</v>
      </c>
      <c r="AK1086" s="4">
        <v>2</v>
      </c>
      <c r="AL1086" s="4">
        <v>29</v>
      </c>
      <c r="AM1086" s="4">
        <v>30</v>
      </c>
      <c r="AN1086" s="4">
        <v>0</v>
      </c>
      <c r="AO1086" s="4">
        <v>0</v>
      </c>
      <c r="AP1086" s="4">
        <v>2</v>
      </c>
      <c r="AQ1086" s="4">
        <v>2</v>
      </c>
      <c r="AR1086" s="3" t="s">
        <v>65</v>
      </c>
      <c r="AS1086" s="3" t="s">
        <v>65</v>
      </c>
      <c r="AT1086" s="3" t="s">
        <v>209</v>
      </c>
      <c r="AU1086" s="6" t="str">
        <f>HYPERLINK("http://catalog.hathitrust.org/Record/004216298","HathiTrust Record")</f>
        <v>HathiTrust Record</v>
      </c>
      <c r="AV1086" s="6" t="str">
        <f>HYPERLINK("http://mcgill.on.worldcat.org/oclc/49874953","Catalog Record")</f>
        <v>Catalog Record</v>
      </c>
      <c r="AW1086" s="6" t="str">
        <f>HYPERLINK("http://www.worldcat.org/oclc/49874953","WorldCat Record")</f>
        <v>WorldCat Record</v>
      </c>
      <c r="AX1086" s="3" t="s">
        <v>10605</v>
      </c>
      <c r="AY1086" s="3" t="s">
        <v>10606</v>
      </c>
      <c r="AZ1086" s="3" t="s">
        <v>10607</v>
      </c>
      <c r="BA1086" s="3" t="s">
        <v>10607</v>
      </c>
      <c r="BB1086" s="3" t="s">
        <v>10612</v>
      </c>
      <c r="BC1086" s="3" t="s">
        <v>77</v>
      </c>
      <c r="BD1086" s="3" t="s">
        <v>78</v>
      </c>
      <c r="BE1086" s="3" t="s">
        <v>10609</v>
      </c>
      <c r="BF1086" s="3" t="s">
        <v>10612</v>
      </c>
      <c r="BG1086" s="3" t="s">
        <v>10613</v>
      </c>
    </row>
    <row r="1087" spans="1:59" ht="58" x14ac:dyDescent="0.35">
      <c r="A1087" s="2" t="s">
        <v>59</v>
      </c>
      <c r="B1087" s="2" t="s">
        <v>60</v>
      </c>
      <c r="C1087" s="2" t="s">
        <v>10598</v>
      </c>
      <c r="D1087" s="2" t="s">
        <v>10599</v>
      </c>
      <c r="E1087" s="2" t="s">
        <v>10600</v>
      </c>
      <c r="F1087" s="3" t="s">
        <v>10614</v>
      </c>
      <c r="G1087" s="3" t="s">
        <v>209</v>
      </c>
      <c r="I1087" s="3" t="s">
        <v>65</v>
      </c>
      <c r="J1087" s="3" t="s">
        <v>65</v>
      </c>
      <c r="K1087" s="3" t="s">
        <v>66</v>
      </c>
      <c r="L1087" s="2" t="s">
        <v>10602</v>
      </c>
      <c r="M1087" s="2" t="s">
        <v>10603</v>
      </c>
      <c r="N1087" s="3" t="s">
        <v>364</v>
      </c>
      <c r="P1087" s="3" t="s">
        <v>140</v>
      </c>
      <c r="Q1087" s="2" t="s">
        <v>10604</v>
      </c>
      <c r="R1087" s="3" t="s">
        <v>71</v>
      </c>
      <c r="S1087" s="4">
        <v>0</v>
      </c>
      <c r="T1087" s="4">
        <v>2</v>
      </c>
      <c r="V1087" s="5" t="s">
        <v>944</v>
      </c>
      <c r="W1087" s="5" t="s">
        <v>72</v>
      </c>
      <c r="X1087" s="5" t="s">
        <v>72</v>
      </c>
      <c r="Y1087" s="4">
        <v>67</v>
      </c>
      <c r="Z1087" s="4">
        <v>5</v>
      </c>
      <c r="AA1087" s="4">
        <v>5</v>
      </c>
      <c r="AB1087" s="4">
        <v>2</v>
      </c>
      <c r="AC1087" s="4">
        <v>2</v>
      </c>
      <c r="AD1087" s="4">
        <v>39</v>
      </c>
      <c r="AE1087" s="4">
        <v>40</v>
      </c>
      <c r="AF1087" s="4">
        <v>0</v>
      </c>
      <c r="AG1087" s="4">
        <v>0</v>
      </c>
      <c r="AH1087" s="4">
        <v>37</v>
      </c>
      <c r="AI1087" s="4">
        <v>38</v>
      </c>
      <c r="AJ1087" s="4">
        <v>2</v>
      </c>
      <c r="AK1087" s="4">
        <v>2</v>
      </c>
      <c r="AL1087" s="4">
        <v>29</v>
      </c>
      <c r="AM1087" s="4">
        <v>30</v>
      </c>
      <c r="AN1087" s="4">
        <v>0</v>
      </c>
      <c r="AO1087" s="4">
        <v>0</v>
      </c>
      <c r="AP1087" s="4">
        <v>2</v>
      </c>
      <c r="AQ1087" s="4">
        <v>2</v>
      </c>
      <c r="AR1087" s="3" t="s">
        <v>65</v>
      </c>
      <c r="AS1087" s="3" t="s">
        <v>65</v>
      </c>
      <c r="AT1087" s="3" t="s">
        <v>209</v>
      </c>
      <c r="AU1087" s="6" t="str">
        <f>HYPERLINK("http://catalog.hathitrust.org/Record/004216298","HathiTrust Record")</f>
        <v>HathiTrust Record</v>
      </c>
      <c r="AV1087" s="6" t="str">
        <f>HYPERLINK("http://mcgill.on.worldcat.org/oclc/49874953","Catalog Record")</f>
        <v>Catalog Record</v>
      </c>
      <c r="AW1087" s="6" t="str">
        <f>HYPERLINK("http://www.worldcat.org/oclc/49874953","WorldCat Record")</f>
        <v>WorldCat Record</v>
      </c>
      <c r="AX1087" s="3" t="s">
        <v>10605</v>
      </c>
      <c r="AY1087" s="3" t="s">
        <v>10606</v>
      </c>
      <c r="AZ1087" s="3" t="s">
        <v>10607</v>
      </c>
      <c r="BA1087" s="3" t="s">
        <v>10607</v>
      </c>
      <c r="BB1087" s="3" t="s">
        <v>10615</v>
      </c>
      <c r="BC1087" s="3" t="s">
        <v>77</v>
      </c>
      <c r="BD1087" s="3" t="s">
        <v>78</v>
      </c>
      <c r="BE1087" s="3" t="s">
        <v>10609</v>
      </c>
      <c r="BF1087" s="3" t="s">
        <v>10615</v>
      </c>
      <c r="BG1087" s="3" t="s">
        <v>10616</v>
      </c>
    </row>
    <row r="1088" spans="1:59" ht="58" x14ac:dyDescent="0.35">
      <c r="A1088" s="2" t="s">
        <v>59</v>
      </c>
      <c r="B1088" s="2" t="s">
        <v>60</v>
      </c>
      <c r="C1088" s="2" t="s">
        <v>10598</v>
      </c>
      <c r="D1088" s="2" t="s">
        <v>10599</v>
      </c>
      <c r="E1088" s="2" t="s">
        <v>10600</v>
      </c>
      <c r="F1088" s="3" t="s">
        <v>10617</v>
      </c>
      <c r="G1088" s="3" t="s">
        <v>209</v>
      </c>
      <c r="I1088" s="3" t="s">
        <v>65</v>
      </c>
      <c r="J1088" s="3" t="s">
        <v>65</v>
      </c>
      <c r="K1088" s="3" t="s">
        <v>66</v>
      </c>
      <c r="L1088" s="2" t="s">
        <v>10602</v>
      </c>
      <c r="M1088" s="2" t="s">
        <v>10603</v>
      </c>
      <c r="N1088" s="3" t="s">
        <v>364</v>
      </c>
      <c r="P1088" s="3" t="s">
        <v>140</v>
      </c>
      <c r="Q1088" s="2" t="s">
        <v>10604</v>
      </c>
      <c r="R1088" s="3" t="s">
        <v>71</v>
      </c>
      <c r="S1088" s="4">
        <v>0</v>
      </c>
      <c r="T1088" s="4">
        <v>2</v>
      </c>
      <c r="V1088" s="5" t="s">
        <v>944</v>
      </c>
      <c r="W1088" s="5" t="s">
        <v>72</v>
      </c>
      <c r="X1088" s="5" t="s">
        <v>72</v>
      </c>
      <c r="Y1088" s="4">
        <v>67</v>
      </c>
      <c r="Z1088" s="4">
        <v>5</v>
      </c>
      <c r="AA1088" s="4">
        <v>5</v>
      </c>
      <c r="AB1088" s="4">
        <v>2</v>
      </c>
      <c r="AC1088" s="4">
        <v>2</v>
      </c>
      <c r="AD1088" s="4">
        <v>39</v>
      </c>
      <c r="AE1088" s="4">
        <v>40</v>
      </c>
      <c r="AF1088" s="4">
        <v>0</v>
      </c>
      <c r="AG1088" s="4">
        <v>0</v>
      </c>
      <c r="AH1088" s="4">
        <v>37</v>
      </c>
      <c r="AI1088" s="4">
        <v>38</v>
      </c>
      <c r="AJ1088" s="4">
        <v>2</v>
      </c>
      <c r="AK1088" s="4">
        <v>2</v>
      </c>
      <c r="AL1088" s="4">
        <v>29</v>
      </c>
      <c r="AM1088" s="4">
        <v>30</v>
      </c>
      <c r="AN1088" s="4">
        <v>0</v>
      </c>
      <c r="AO1088" s="4">
        <v>0</v>
      </c>
      <c r="AP1088" s="4">
        <v>2</v>
      </c>
      <c r="AQ1088" s="4">
        <v>2</v>
      </c>
      <c r="AR1088" s="3" t="s">
        <v>65</v>
      </c>
      <c r="AS1088" s="3" t="s">
        <v>65</v>
      </c>
      <c r="AT1088" s="3" t="s">
        <v>209</v>
      </c>
      <c r="AU1088" s="6" t="str">
        <f>HYPERLINK("http://catalog.hathitrust.org/Record/004216298","HathiTrust Record")</f>
        <v>HathiTrust Record</v>
      </c>
      <c r="AV1088" s="6" t="str">
        <f>HYPERLINK("http://mcgill.on.worldcat.org/oclc/49874953","Catalog Record")</f>
        <v>Catalog Record</v>
      </c>
      <c r="AW1088" s="6" t="str">
        <f>HYPERLINK("http://www.worldcat.org/oclc/49874953","WorldCat Record")</f>
        <v>WorldCat Record</v>
      </c>
      <c r="AX1088" s="3" t="s">
        <v>10605</v>
      </c>
      <c r="AY1088" s="3" t="s">
        <v>10606</v>
      </c>
      <c r="AZ1088" s="3" t="s">
        <v>10607</v>
      </c>
      <c r="BA1088" s="3" t="s">
        <v>10607</v>
      </c>
      <c r="BB1088" s="3" t="s">
        <v>10618</v>
      </c>
      <c r="BC1088" s="3" t="s">
        <v>77</v>
      </c>
      <c r="BD1088" s="3" t="s">
        <v>78</v>
      </c>
      <c r="BE1088" s="3" t="s">
        <v>10609</v>
      </c>
      <c r="BF1088" s="3" t="s">
        <v>10618</v>
      </c>
      <c r="BG1088" s="3" t="s">
        <v>10619</v>
      </c>
    </row>
    <row r="1089" spans="1:59" ht="58" x14ac:dyDescent="0.35">
      <c r="A1089" s="2" t="s">
        <v>59</v>
      </c>
      <c r="B1089" s="2" t="s">
        <v>60</v>
      </c>
      <c r="C1089" s="2" t="s">
        <v>10620</v>
      </c>
      <c r="D1089" s="2" t="s">
        <v>10621</v>
      </c>
      <c r="E1089" s="2" t="s">
        <v>10622</v>
      </c>
      <c r="G1089" s="3" t="s">
        <v>65</v>
      </c>
      <c r="I1089" s="3" t="s">
        <v>65</v>
      </c>
      <c r="J1089" s="3" t="s">
        <v>65</v>
      </c>
      <c r="K1089" s="3" t="s">
        <v>66</v>
      </c>
      <c r="L1089" s="2" t="s">
        <v>10623</v>
      </c>
      <c r="M1089" s="2" t="s">
        <v>10624</v>
      </c>
      <c r="N1089" s="3" t="s">
        <v>831</v>
      </c>
      <c r="P1089" s="3" t="s">
        <v>140</v>
      </c>
      <c r="Q1089" s="2" t="s">
        <v>10625</v>
      </c>
      <c r="R1089" s="3" t="s">
        <v>71</v>
      </c>
      <c r="S1089" s="4">
        <v>1</v>
      </c>
      <c r="T1089" s="4">
        <v>1</v>
      </c>
      <c r="U1089" s="5" t="s">
        <v>10626</v>
      </c>
      <c r="V1089" s="5" t="s">
        <v>10626</v>
      </c>
      <c r="W1089" s="5" t="s">
        <v>72</v>
      </c>
      <c r="X1089" s="5" t="s">
        <v>72</v>
      </c>
      <c r="Y1089" s="4">
        <v>82</v>
      </c>
      <c r="Z1089" s="4">
        <v>11</v>
      </c>
      <c r="AA1089" s="4">
        <v>11</v>
      </c>
      <c r="AB1089" s="4">
        <v>1</v>
      </c>
      <c r="AC1089" s="4">
        <v>1</v>
      </c>
      <c r="AD1089" s="4">
        <v>45</v>
      </c>
      <c r="AE1089" s="4">
        <v>45</v>
      </c>
      <c r="AF1089" s="4">
        <v>0</v>
      </c>
      <c r="AG1089" s="4">
        <v>0</v>
      </c>
      <c r="AH1089" s="4">
        <v>41</v>
      </c>
      <c r="AI1089" s="4">
        <v>41</v>
      </c>
      <c r="AJ1089" s="4">
        <v>8</v>
      </c>
      <c r="AK1089" s="4">
        <v>8</v>
      </c>
      <c r="AL1089" s="4">
        <v>26</v>
      </c>
      <c r="AM1089" s="4">
        <v>26</v>
      </c>
      <c r="AN1089" s="4">
        <v>0</v>
      </c>
      <c r="AO1089" s="4">
        <v>0</v>
      </c>
      <c r="AP1089" s="4">
        <v>8</v>
      </c>
      <c r="AQ1089" s="4">
        <v>8</v>
      </c>
      <c r="AR1089" s="3" t="s">
        <v>65</v>
      </c>
      <c r="AS1089" s="3" t="s">
        <v>65</v>
      </c>
      <c r="AT1089" s="3" t="s">
        <v>209</v>
      </c>
      <c r="AU1089" s="6" t="str">
        <f>HYPERLINK("http://catalog.hathitrust.org/Record/006708996","HathiTrust Record")</f>
        <v>HathiTrust Record</v>
      </c>
      <c r="AV1089" s="6" t="str">
        <f>HYPERLINK("http://mcgill.on.worldcat.org/oclc/9975882","Catalog Record")</f>
        <v>Catalog Record</v>
      </c>
      <c r="AW1089" s="6" t="str">
        <f>HYPERLINK("http://www.worldcat.org/oclc/9975882","WorldCat Record")</f>
        <v>WorldCat Record</v>
      </c>
      <c r="AX1089" s="3" t="s">
        <v>10627</v>
      </c>
      <c r="AY1089" s="3" t="s">
        <v>10628</v>
      </c>
      <c r="AZ1089" s="3" t="s">
        <v>10629</v>
      </c>
      <c r="BA1089" s="3" t="s">
        <v>10629</v>
      </c>
      <c r="BB1089" s="3" t="s">
        <v>10630</v>
      </c>
      <c r="BC1089" s="3" t="s">
        <v>77</v>
      </c>
      <c r="BD1089" s="3" t="s">
        <v>78</v>
      </c>
      <c r="BF1089" s="3" t="s">
        <v>10630</v>
      </c>
      <c r="BG1089" s="3" t="s">
        <v>10631</v>
      </c>
    </row>
    <row r="1090" spans="1:59" ht="58" x14ac:dyDescent="0.35">
      <c r="A1090" s="2" t="s">
        <v>59</v>
      </c>
      <c r="B1090" s="2" t="s">
        <v>60</v>
      </c>
      <c r="C1090" s="2" t="s">
        <v>10632</v>
      </c>
      <c r="D1090" s="2" t="s">
        <v>10633</v>
      </c>
      <c r="E1090" s="2" t="s">
        <v>10634</v>
      </c>
      <c r="G1090" s="3" t="s">
        <v>65</v>
      </c>
      <c r="I1090" s="3" t="s">
        <v>65</v>
      </c>
      <c r="J1090" s="3" t="s">
        <v>65</v>
      </c>
      <c r="K1090" s="3" t="s">
        <v>66</v>
      </c>
      <c r="L1090" s="2" t="s">
        <v>10635</v>
      </c>
      <c r="M1090" s="2" t="s">
        <v>10636</v>
      </c>
      <c r="N1090" s="3" t="s">
        <v>126</v>
      </c>
      <c r="P1090" s="3" t="s">
        <v>140</v>
      </c>
      <c r="R1090" s="3" t="s">
        <v>71</v>
      </c>
      <c r="S1090" s="4">
        <v>0</v>
      </c>
      <c r="T1090" s="4">
        <v>0</v>
      </c>
      <c r="W1090" s="5" t="s">
        <v>72</v>
      </c>
      <c r="X1090" s="5" t="s">
        <v>72</v>
      </c>
      <c r="Y1090" s="4">
        <v>37</v>
      </c>
      <c r="Z1090" s="4">
        <v>6</v>
      </c>
      <c r="AA1090" s="4">
        <v>6</v>
      </c>
      <c r="AB1090" s="4">
        <v>1</v>
      </c>
      <c r="AC1090" s="4">
        <v>1</v>
      </c>
      <c r="AD1090" s="4">
        <v>28</v>
      </c>
      <c r="AE1090" s="4">
        <v>28</v>
      </c>
      <c r="AF1090" s="4">
        <v>0</v>
      </c>
      <c r="AG1090" s="4">
        <v>0</v>
      </c>
      <c r="AH1090" s="4">
        <v>27</v>
      </c>
      <c r="AI1090" s="4">
        <v>27</v>
      </c>
      <c r="AJ1090" s="4">
        <v>3</v>
      </c>
      <c r="AK1090" s="4">
        <v>3</v>
      </c>
      <c r="AL1090" s="4">
        <v>22</v>
      </c>
      <c r="AM1090" s="4">
        <v>22</v>
      </c>
      <c r="AN1090" s="4">
        <v>0</v>
      </c>
      <c r="AO1090" s="4">
        <v>0</v>
      </c>
      <c r="AP1090" s="4">
        <v>3</v>
      </c>
      <c r="AQ1090" s="4">
        <v>3</v>
      </c>
      <c r="AR1090" s="3" t="s">
        <v>65</v>
      </c>
      <c r="AS1090" s="3" t="s">
        <v>65</v>
      </c>
      <c r="AT1090" s="3" t="s">
        <v>65</v>
      </c>
      <c r="AV1090" s="6" t="str">
        <f>HYPERLINK("http://mcgill.on.worldcat.org/oclc/796781907","Catalog Record")</f>
        <v>Catalog Record</v>
      </c>
      <c r="AW1090" s="6" t="str">
        <f>HYPERLINK("http://www.worldcat.org/oclc/796781907","WorldCat Record")</f>
        <v>WorldCat Record</v>
      </c>
      <c r="AX1090" s="3" t="s">
        <v>10637</v>
      </c>
      <c r="AY1090" s="3" t="s">
        <v>10638</v>
      </c>
      <c r="AZ1090" s="3" t="s">
        <v>10639</v>
      </c>
      <c r="BA1090" s="3" t="s">
        <v>10639</v>
      </c>
      <c r="BB1090" s="3" t="s">
        <v>10640</v>
      </c>
      <c r="BC1090" s="3" t="s">
        <v>77</v>
      </c>
      <c r="BD1090" s="3" t="s">
        <v>78</v>
      </c>
      <c r="BE1090" s="3" t="s">
        <v>10641</v>
      </c>
      <c r="BF1090" s="3" t="s">
        <v>10640</v>
      </c>
      <c r="BG1090" s="3" t="s">
        <v>10642</v>
      </c>
    </row>
    <row r="1091" spans="1:59" ht="58" x14ac:dyDescent="0.35">
      <c r="A1091" s="2" t="s">
        <v>59</v>
      </c>
      <c r="B1091" s="2" t="s">
        <v>60</v>
      </c>
      <c r="C1091" s="2" t="s">
        <v>10643</v>
      </c>
      <c r="D1091" s="2" t="s">
        <v>10644</v>
      </c>
      <c r="E1091" s="2" t="s">
        <v>10645</v>
      </c>
      <c r="G1091" s="3" t="s">
        <v>65</v>
      </c>
      <c r="I1091" s="3" t="s">
        <v>65</v>
      </c>
      <c r="J1091" s="3" t="s">
        <v>65</v>
      </c>
      <c r="K1091" s="3" t="s">
        <v>66</v>
      </c>
      <c r="L1091" s="2" t="s">
        <v>10646</v>
      </c>
      <c r="M1091" s="2" t="s">
        <v>10647</v>
      </c>
      <c r="N1091" s="3" t="s">
        <v>152</v>
      </c>
      <c r="P1091" s="3" t="s">
        <v>140</v>
      </c>
      <c r="Q1091" s="2" t="s">
        <v>10648</v>
      </c>
      <c r="R1091" s="3" t="s">
        <v>71</v>
      </c>
      <c r="S1091" s="4">
        <v>0</v>
      </c>
      <c r="T1091" s="4">
        <v>0</v>
      </c>
      <c r="U1091" s="5" t="s">
        <v>2061</v>
      </c>
      <c r="V1091" s="5" t="s">
        <v>2061</v>
      </c>
      <c r="W1091" s="5" t="s">
        <v>72</v>
      </c>
      <c r="X1091" s="5" t="s">
        <v>72</v>
      </c>
      <c r="Y1091" s="4">
        <v>55</v>
      </c>
      <c r="Z1091" s="4">
        <v>5</v>
      </c>
      <c r="AA1091" s="4">
        <v>5</v>
      </c>
      <c r="AB1091" s="4">
        <v>1</v>
      </c>
      <c r="AC1091" s="4">
        <v>1</v>
      </c>
      <c r="AD1091" s="4">
        <v>34</v>
      </c>
      <c r="AE1091" s="4">
        <v>34</v>
      </c>
      <c r="AF1091" s="4">
        <v>0</v>
      </c>
      <c r="AG1091" s="4">
        <v>0</v>
      </c>
      <c r="AH1091" s="4">
        <v>33</v>
      </c>
      <c r="AI1091" s="4">
        <v>33</v>
      </c>
      <c r="AJ1091" s="4">
        <v>2</v>
      </c>
      <c r="AK1091" s="4">
        <v>2</v>
      </c>
      <c r="AL1091" s="4">
        <v>27</v>
      </c>
      <c r="AM1091" s="4">
        <v>27</v>
      </c>
      <c r="AN1091" s="4">
        <v>0</v>
      </c>
      <c r="AO1091" s="4">
        <v>0</v>
      </c>
      <c r="AP1091" s="4">
        <v>2</v>
      </c>
      <c r="AQ1091" s="4">
        <v>2</v>
      </c>
      <c r="AR1091" s="3" t="s">
        <v>65</v>
      </c>
      <c r="AS1091" s="3" t="s">
        <v>65</v>
      </c>
      <c r="AT1091" s="3" t="s">
        <v>65</v>
      </c>
      <c r="AV1091" s="6" t="str">
        <f>HYPERLINK("http://mcgill.on.worldcat.org/oclc/850439565","Catalog Record")</f>
        <v>Catalog Record</v>
      </c>
      <c r="AW1091" s="6" t="str">
        <f>HYPERLINK("http://www.worldcat.org/oclc/850439565","WorldCat Record")</f>
        <v>WorldCat Record</v>
      </c>
      <c r="AX1091" s="3" t="s">
        <v>10649</v>
      </c>
      <c r="AY1091" s="3" t="s">
        <v>10650</v>
      </c>
      <c r="AZ1091" s="3" t="s">
        <v>10651</v>
      </c>
      <c r="BA1091" s="3" t="s">
        <v>10651</v>
      </c>
      <c r="BB1091" s="3" t="s">
        <v>10652</v>
      </c>
      <c r="BC1091" s="3" t="s">
        <v>77</v>
      </c>
      <c r="BD1091" s="3" t="s">
        <v>78</v>
      </c>
      <c r="BE1091" s="3" t="s">
        <v>10653</v>
      </c>
      <c r="BF1091" s="3" t="s">
        <v>10652</v>
      </c>
      <c r="BG1091" s="3" t="s">
        <v>10654</v>
      </c>
    </row>
    <row r="1092" spans="1:59" ht="58" x14ac:dyDescent="0.35">
      <c r="A1092" s="2" t="s">
        <v>59</v>
      </c>
      <c r="B1092" s="2" t="s">
        <v>60</v>
      </c>
      <c r="C1092" s="2" t="s">
        <v>10655</v>
      </c>
      <c r="D1092" s="2" t="s">
        <v>10656</v>
      </c>
      <c r="E1092" s="2" t="s">
        <v>10657</v>
      </c>
      <c r="G1092" s="3" t="s">
        <v>65</v>
      </c>
      <c r="I1092" s="3" t="s">
        <v>65</v>
      </c>
      <c r="J1092" s="3" t="s">
        <v>65</v>
      </c>
      <c r="K1092" s="3" t="s">
        <v>66</v>
      </c>
      <c r="L1092" s="2" t="s">
        <v>2794</v>
      </c>
      <c r="M1092" s="2" t="s">
        <v>10658</v>
      </c>
      <c r="N1092" s="3" t="s">
        <v>1122</v>
      </c>
      <c r="P1092" s="3" t="s">
        <v>140</v>
      </c>
      <c r="Q1092" s="2" t="s">
        <v>10659</v>
      </c>
      <c r="R1092" s="3" t="s">
        <v>71</v>
      </c>
      <c r="S1092" s="4">
        <v>2</v>
      </c>
      <c r="T1092" s="4">
        <v>2</v>
      </c>
      <c r="U1092" s="5" t="s">
        <v>10660</v>
      </c>
      <c r="V1092" s="5" t="s">
        <v>10660</v>
      </c>
      <c r="W1092" s="5" t="s">
        <v>72</v>
      </c>
      <c r="X1092" s="5" t="s">
        <v>72</v>
      </c>
      <c r="Y1092" s="4">
        <v>69</v>
      </c>
      <c r="Z1092" s="4">
        <v>8</v>
      </c>
      <c r="AA1092" s="4">
        <v>8</v>
      </c>
      <c r="AB1092" s="4">
        <v>2</v>
      </c>
      <c r="AC1092" s="4">
        <v>2</v>
      </c>
      <c r="AD1092" s="4">
        <v>36</v>
      </c>
      <c r="AE1092" s="4">
        <v>36</v>
      </c>
      <c r="AF1092" s="4">
        <v>0</v>
      </c>
      <c r="AG1092" s="4">
        <v>0</v>
      </c>
      <c r="AH1092" s="4">
        <v>33</v>
      </c>
      <c r="AI1092" s="4">
        <v>33</v>
      </c>
      <c r="AJ1092" s="4">
        <v>3</v>
      </c>
      <c r="AK1092" s="4">
        <v>3</v>
      </c>
      <c r="AL1092" s="4">
        <v>27</v>
      </c>
      <c r="AM1092" s="4">
        <v>27</v>
      </c>
      <c r="AN1092" s="4">
        <v>0</v>
      </c>
      <c r="AO1092" s="4">
        <v>0</v>
      </c>
      <c r="AP1092" s="4">
        <v>3</v>
      </c>
      <c r="AQ1092" s="4">
        <v>3</v>
      </c>
      <c r="AR1092" s="3" t="s">
        <v>65</v>
      </c>
      <c r="AS1092" s="3" t="s">
        <v>65</v>
      </c>
      <c r="AT1092" s="3" t="s">
        <v>65</v>
      </c>
      <c r="AV1092" s="6" t="str">
        <f>HYPERLINK("http://mcgill.on.worldcat.org/oclc/419643589","Catalog Record")</f>
        <v>Catalog Record</v>
      </c>
      <c r="AW1092" s="6" t="str">
        <f>HYPERLINK("http://www.worldcat.org/oclc/419643589","WorldCat Record")</f>
        <v>WorldCat Record</v>
      </c>
      <c r="AX1092" s="3" t="s">
        <v>10661</v>
      </c>
      <c r="AY1092" s="3" t="s">
        <v>10662</v>
      </c>
      <c r="AZ1092" s="3" t="s">
        <v>10663</v>
      </c>
      <c r="BA1092" s="3" t="s">
        <v>10663</v>
      </c>
      <c r="BB1092" s="3" t="s">
        <v>10664</v>
      </c>
      <c r="BC1092" s="3" t="s">
        <v>77</v>
      </c>
      <c r="BD1092" s="3" t="s">
        <v>78</v>
      </c>
      <c r="BE1092" s="3" t="s">
        <v>10665</v>
      </c>
      <c r="BF1092" s="3" t="s">
        <v>10664</v>
      </c>
      <c r="BG1092" s="3" t="s">
        <v>10666</v>
      </c>
    </row>
    <row r="1093" spans="1:59" ht="58" x14ac:dyDescent="0.35">
      <c r="A1093" s="2" t="s">
        <v>59</v>
      </c>
      <c r="B1093" s="2" t="s">
        <v>60</v>
      </c>
      <c r="C1093" s="2" t="s">
        <v>10667</v>
      </c>
      <c r="D1093" s="2" t="s">
        <v>10668</v>
      </c>
      <c r="E1093" s="2" t="s">
        <v>10669</v>
      </c>
      <c r="G1093" s="3" t="s">
        <v>65</v>
      </c>
      <c r="I1093" s="3" t="s">
        <v>65</v>
      </c>
      <c r="J1093" s="3" t="s">
        <v>65</v>
      </c>
      <c r="K1093" s="3" t="s">
        <v>66</v>
      </c>
      <c r="L1093" s="2" t="s">
        <v>1586</v>
      </c>
      <c r="M1093" s="2" t="s">
        <v>10670</v>
      </c>
      <c r="N1093" s="3" t="s">
        <v>479</v>
      </c>
      <c r="P1093" s="3" t="s">
        <v>69</v>
      </c>
      <c r="R1093" s="3" t="s">
        <v>71</v>
      </c>
      <c r="S1093" s="4">
        <v>12</v>
      </c>
      <c r="T1093" s="4">
        <v>12</v>
      </c>
      <c r="U1093" s="5" t="s">
        <v>969</v>
      </c>
      <c r="V1093" s="5" t="s">
        <v>969</v>
      </c>
      <c r="W1093" s="5" t="s">
        <v>72</v>
      </c>
      <c r="X1093" s="5" t="s">
        <v>72</v>
      </c>
      <c r="Y1093" s="4">
        <v>426</v>
      </c>
      <c r="Z1093" s="4">
        <v>26</v>
      </c>
      <c r="AA1093" s="4">
        <v>95</v>
      </c>
      <c r="AB1093" s="4">
        <v>3</v>
      </c>
      <c r="AC1093" s="4">
        <v>17</v>
      </c>
      <c r="AD1093" s="4">
        <v>105</v>
      </c>
      <c r="AE1093" s="4">
        <v>148</v>
      </c>
      <c r="AF1093" s="4">
        <v>2</v>
      </c>
      <c r="AG1093" s="4">
        <v>8</v>
      </c>
      <c r="AH1093" s="4">
        <v>90</v>
      </c>
      <c r="AI1093" s="4">
        <v>103</v>
      </c>
      <c r="AJ1093" s="4">
        <v>14</v>
      </c>
      <c r="AK1093" s="4">
        <v>24</v>
      </c>
      <c r="AL1093" s="4">
        <v>53</v>
      </c>
      <c r="AM1093" s="4">
        <v>58</v>
      </c>
      <c r="AN1093" s="4">
        <v>0</v>
      </c>
      <c r="AO1093" s="4">
        <v>0</v>
      </c>
      <c r="AP1093" s="4">
        <v>21</v>
      </c>
      <c r="AQ1093" s="4">
        <v>53</v>
      </c>
      <c r="AR1093" s="3" t="s">
        <v>65</v>
      </c>
      <c r="AS1093" s="3" t="s">
        <v>65</v>
      </c>
      <c r="AT1093" s="3" t="s">
        <v>65</v>
      </c>
      <c r="AV1093" s="6" t="str">
        <f>HYPERLINK("http://mcgill.on.worldcat.org/oclc/171110389","Catalog Record")</f>
        <v>Catalog Record</v>
      </c>
      <c r="AW1093" s="6" t="str">
        <f>HYPERLINK("http://www.worldcat.org/oclc/171110389","WorldCat Record")</f>
        <v>WorldCat Record</v>
      </c>
      <c r="AX1093" s="3" t="s">
        <v>10671</v>
      </c>
      <c r="AY1093" s="3" t="s">
        <v>10672</v>
      </c>
      <c r="AZ1093" s="3" t="s">
        <v>10673</v>
      </c>
      <c r="BA1093" s="3" t="s">
        <v>10673</v>
      </c>
      <c r="BB1093" s="3" t="s">
        <v>10674</v>
      </c>
      <c r="BC1093" s="3" t="s">
        <v>77</v>
      </c>
      <c r="BD1093" s="3" t="s">
        <v>78</v>
      </c>
      <c r="BE1093" s="3" t="s">
        <v>10675</v>
      </c>
      <c r="BF1093" s="3" t="s">
        <v>10674</v>
      </c>
      <c r="BG1093" s="3" t="s">
        <v>10676</v>
      </c>
    </row>
    <row r="1094" spans="1:59" ht="58" x14ac:dyDescent="0.35">
      <c r="A1094" s="2" t="s">
        <v>59</v>
      </c>
      <c r="B1094" s="2" t="s">
        <v>60</v>
      </c>
      <c r="C1094" s="2" t="s">
        <v>10677</v>
      </c>
      <c r="D1094" s="2" t="s">
        <v>10678</v>
      </c>
      <c r="E1094" s="2" t="s">
        <v>10679</v>
      </c>
      <c r="G1094" s="3" t="s">
        <v>65</v>
      </c>
      <c r="I1094" s="3" t="s">
        <v>209</v>
      </c>
      <c r="J1094" s="3" t="s">
        <v>65</v>
      </c>
      <c r="K1094" s="3" t="s">
        <v>66</v>
      </c>
      <c r="L1094" s="2" t="s">
        <v>10680</v>
      </c>
      <c r="M1094" s="2" t="s">
        <v>492</v>
      </c>
      <c r="N1094" s="3" t="s">
        <v>493</v>
      </c>
      <c r="P1094" s="3" t="s">
        <v>69</v>
      </c>
      <c r="Q1094" s="2" t="s">
        <v>10681</v>
      </c>
      <c r="R1094" s="3" t="s">
        <v>71</v>
      </c>
      <c r="S1094" s="4">
        <v>8</v>
      </c>
      <c r="T1094" s="4">
        <v>30</v>
      </c>
      <c r="U1094" s="5" t="s">
        <v>10114</v>
      </c>
      <c r="V1094" s="5" t="s">
        <v>10114</v>
      </c>
      <c r="W1094" s="5" t="s">
        <v>72</v>
      </c>
      <c r="X1094" s="5" t="s">
        <v>72</v>
      </c>
      <c r="Y1094" s="4">
        <v>1109</v>
      </c>
      <c r="Z1094" s="4">
        <v>37</v>
      </c>
      <c r="AA1094" s="4">
        <v>57</v>
      </c>
      <c r="AB1094" s="4">
        <v>2</v>
      </c>
      <c r="AC1094" s="4">
        <v>3</v>
      </c>
      <c r="AD1094" s="4">
        <v>131</v>
      </c>
      <c r="AE1094" s="4">
        <v>141</v>
      </c>
      <c r="AF1094" s="4">
        <v>1</v>
      </c>
      <c r="AG1094" s="4">
        <v>2</v>
      </c>
      <c r="AH1094" s="4">
        <v>106</v>
      </c>
      <c r="AI1094" s="4">
        <v>110</v>
      </c>
      <c r="AJ1094" s="4">
        <v>18</v>
      </c>
      <c r="AK1094" s="4">
        <v>23</v>
      </c>
      <c r="AL1094" s="4">
        <v>56</v>
      </c>
      <c r="AM1094" s="4">
        <v>59</v>
      </c>
      <c r="AN1094" s="4">
        <v>0</v>
      </c>
      <c r="AO1094" s="4">
        <v>0</v>
      </c>
      <c r="AP1094" s="4">
        <v>30</v>
      </c>
      <c r="AQ1094" s="4">
        <v>37</v>
      </c>
      <c r="AR1094" s="3" t="s">
        <v>65</v>
      </c>
      <c r="AS1094" s="3" t="s">
        <v>65</v>
      </c>
      <c r="AT1094" s="3" t="s">
        <v>209</v>
      </c>
      <c r="AU1094" s="6" t="str">
        <f>HYPERLINK("http://catalog.hathitrust.org/Record/001015740","HathiTrust Record")</f>
        <v>HathiTrust Record</v>
      </c>
      <c r="AV1094" s="6" t="str">
        <f>HYPERLINK("http://mcgill.on.worldcat.org/oclc/2016697","Catalog Record")</f>
        <v>Catalog Record</v>
      </c>
      <c r="AW1094" s="6" t="str">
        <f>HYPERLINK("http://www.worldcat.org/oclc/2016697","WorldCat Record")</f>
        <v>WorldCat Record</v>
      </c>
      <c r="AX1094" s="3" t="s">
        <v>10682</v>
      </c>
      <c r="AY1094" s="3" t="s">
        <v>10683</v>
      </c>
      <c r="AZ1094" s="3" t="s">
        <v>10684</v>
      </c>
      <c r="BA1094" s="3" t="s">
        <v>10684</v>
      </c>
      <c r="BB1094" s="3" t="s">
        <v>10685</v>
      </c>
      <c r="BC1094" s="3" t="s">
        <v>77</v>
      </c>
      <c r="BD1094" s="3" t="s">
        <v>78</v>
      </c>
      <c r="BE1094" s="3" t="s">
        <v>10686</v>
      </c>
      <c r="BF1094" s="3" t="s">
        <v>10685</v>
      </c>
      <c r="BG1094" s="3" t="s">
        <v>10687</v>
      </c>
    </row>
    <row r="1095" spans="1:59" ht="58" x14ac:dyDescent="0.35">
      <c r="A1095" s="2" t="s">
        <v>59</v>
      </c>
      <c r="B1095" s="2" t="s">
        <v>60</v>
      </c>
      <c r="C1095" s="2" t="s">
        <v>10677</v>
      </c>
      <c r="D1095" s="2" t="s">
        <v>10678</v>
      </c>
      <c r="E1095" s="2" t="s">
        <v>10679</v>
      </c>
      <c r="G1095" s="3" t="s">
        <v>65</v>
      </c>
      <c r="I1095" s="3" t="s">
        <v>209</v>
      </c>
      <c r="J1095" s="3" t="s">
        <v>65</v>
      </c>
      <c r="K1095" s="3" t="s">
        <v>66</v>
      </c>
      <c r="L1095" s="2" t="s">
        <v>10680</v>
      </c>
      <c r="M1095" s="2" t="s">
        <v>492</v>
      </c>
      <c r="N1095" s="3" t="s">
        <v>493</v>
      </c>
      <c r="P1095" s="3" t="s">
        <v>69</v>
      </c>
      <c r="Q1095" s="2" t="s">
        <v>10681</v>
      </c>
      <c r="R1095" s="3" t="s">
        <v>71</v>
      </c>
      <c r="S1095" s="4">
        <v>14</v>
      </c>
      <c r="T1095" s="4">
        <v>30</v>
      </c>
      <c r="U1095" s="5" t="s">
        <v>9814</v>
      </c>
      <c r="V1095" s="5" t="s">
        <v>10114</v>
      </c>
      <c r="W1095" s="5" t="s">
        <v>72</v>
      </c>
      <c r="X1095" s="5" t="s">
        <v>72</v>
      </c>
      <c r="Y1095" s="4">
        <v>1109</v>
      </c>
      <c r="Z1095" s="4">
        <v>37</v>
      </c>
      <c r="AA1095" s="4">
        <v>57</v>
      </c>
      <c r="AB1095" s="4">
        <v>2</v>
      </c>
      <c r="AC1095" s="4">
        <v>3</v>
      </c>
      <c r="AD1095" s="4">
        <v>131</v>
      </c>
      <c r="AE1095" s="4">
        <v>141</v>
      </c>
      <c r="AF1095" s="4">
        <v>1</v>
      </c>
      <c r="AG1095" s="4">
        <v>2</v>
      </c>
      <c r="AH1095" s="4">
        <v>106</v>
      </c>
      <c r="AI1095" s="4">
        <v>110</v>
      </c>
      <c r="AJ1095" s="4">
        <v>18</v>
      </c>
      <c r="AK1095" s="4">
        <v>23</v>
      </c>
      <c r="AL1095" s="4">
        <v>56</v>
      </c>
      <c r="AM1095" s="4">
        <v>59</v>
      </c>
      <c r="AN1095" s="4">
        <v>0</v>
      </c>
      <c r="AO1095" s="4">
        <v>0</v>
      </c>
      <c r="AP1095" s="4">
        <v>30</v>
      </c>
      <c r="AQ1095" s="4">
        <v>37</v>
      </c>
      <c r="AR1095" s="3" t="s">
        <v>65</v>
      </c>
      <c r="AS1095" s="3" t="s">
        <v>65</v>
      </c>
      <c r="AT1095" s="3" t="s">
        <v>209</v>
      </c>
      <c r="AU1095" s="6" t="str">
        <f>HYPERLINK("http://catalog.hathitrust.org/Record/001015740","HathiTrust Record")</f>
        <v>HathiTrust Record</v>
      </c>
      <c r="AV1095" s="6" t="str">
        <f>HYPERLINK("http://mcgill.on.worldcat.org/oclc/2016697","Catalog Record")</f>
        <v>Catalog Record</v>
      </c>
      <c r="AW1095" s="6" t="str">
        <f>HYPERLINK("http://www.worldcat.org/oclc/2016697","WorldCat Record")</f>
        <v>WorldCat Record</v>
      </c>
      <c r="AX1095" s="3" t="s">
        <v>10682</v>
      </c>
      <c r="AY1095" s="3" t="s">
        <v>10683</v>
      </c>
      <c r="AZ1095" s="3" t="s">
        <v>10684</v>
      </c>
      <c r="BA1095" s="3" t="s">
        <v>10684</v>
      </c>
      <c r="BB1095" s="3" t="s">
        <v>10688</v>
      </c>
      <c r="BC1095" s="3" t="s">
        <v>77</v>
      </c>
      <c r="BD1095" s="3" t="s">
        <v>78</v>
      </c>
      <c r="BE1095" s="3" t="s">
        <v>10686</v>
      </c>
      <c r="BF1095" s="3" t="s">
        <v>10688</v>
      </c>
      <c r="BG1095" s="3" t="s">
        <v>10689</v>
      </c>
    </row>
    <row r="1096" spans="1:59" ht="58" x14ac:dyDescent="0.35">
      <c r="A1096" s="2" t="s">
        <v>59</v>
      </c>
      <c r="B1096" s="2" t="s">
        <v>60</v>
      </c>
      <c r="C1096" s="2" t="s">
        <v>10677</v>
      </c>
      <c r="D1096" s="2" t="s">
        <v>10678</v>
      </c>
      <c r="E1096" s="2" t="s">
        <v>10679</v>
      </c>
      <c r="G1096" s="3" t="s">
        <v>65</v>
      </c>
      <c r="I1096" s="3" t="s">
        <v>209</v>
      </c>
      <c r="J1096" s="3" t="s">
        <v>65</v>
      </c>
      <c r="K1096" s="3" t="s">
        <v>66</v>
      </c>
      <c r="L1096" s="2" t="s">
        <v>10680</v>
      </c>
      <c r="M1096" s="2" t="s">
        <v>492</v>
      </c>
      <c r="N1096" s="3" t="s">
        <v>493</v>
      </c>
      <c r="P1096" s="3" t="s">
        <v>69</v>
      </c>
      <c r="Q1096" s="2" t="s">
        <v>10681</v>
      </c>
      <c r="R1096" s="3" t="s">
        <v>71</v>
      </c>
      <c r="S1096" s="4">
        <v>8</v>
      </c>
      <c r="T1096" s="4">
        <v>30</v>
      </c>
      <c r="U1096" s="5" t="s">
        <v>10690</v>
      </c>
      <c r="V1096" s="5" t="s">
        <v>10114</v>
      </c>
      <c r="W1096" s="5" t="s">
        <v>72</v>
      </c>
      <c r="X1096" s="5" t="s">
        <v>72</v>
      </c>
      <c r="Y1096" s="4">
        <v>1109</v>
      </c>
      <c r="Z1096" s="4">
        <v>37</v>
      </c>
      <c r="AA1096" s="4">
        <v>57</v>
      </c>
      <c r="AB1096" s="4">
        <v>2</v>
      </c>
      <c r="AC1096" s="4">
        <v>3</v>
      </c>
      <c r="AD1096" s="4">
        <v>131</v>
      </c>
      <c r="AE1096" s="4">
        <v>141</v>
      </c>
      <c r="AF1096" s="4">
        <v>1</v>
      </c>
      <c r="AG1096" s="4">
        <v>2</v>
      </c>
      <c r="AH1096" s="4">
        <v>106</v>
      </c>
      <c r="AI1096" s="4">
        <v>110</v>
      </c>
      <c r="AJ1096" s="4">
        <v>18</v>
      </c>
      <c r="AK1096" s="4">
        <v>23</v>
      </c>
      <c r="AL1096" s="4">
        <v>56</v>
      </c>
      <c r="AM1096" s="4">
        <v>59</v>
      </c>
      <c r="AN1096" s="4">
        <v>0</v>
      </c>
      <c r="AO1096" s="4">
        <v>0</v>
      </c>
      <c r="AP1096" s="4">
        <v>30</v>
      </c>
      <c r="AQ1096" s="4">
        <v>37</v>
      </c>
      <c r="AR1096" s="3" t="s">
        <v>65</v>
      </c>
      <c r="AS1096" s="3" t="s">
        <v>65</v>
      </c>
      <c r="AT1096" s="3" t="s">
        <v>209</v>
      </c>
      <c r="AU1096" s="6" t="str">
        <f>HYPERLINK("http://catalog.hathitrust.org/Record/001015740","HathiTrust Record")</f>
        <v>HathiTrust Record</v>
      </c>
      <c r="AV1096" s="6" t="str">
        <f>HYPERLINK("http://mcgill.on.worldcat.org/oclc/2016697","Catalog Record")</f>
        <v>Catalog Record</v>
      </c>
      <c r="AW1096" s="6" t="str">
        <f>HYPERLINK("http://www.worldcat.org/oclc/2016697","WorldCat Record")</f>
        <v>WorldCat Record</v>
      </c>
      <c r="AX1096" s="3" t="s">
        <v>10682</v>
      </c>
      <c r="AY1096" s="3" t="s">
        <v>10683</v>
      </c>
      <c r="AZ1096" s="3" t="s">
        <v>10684</v>
      </c>
      <c r="BA1096" s="3" t="s">
        <v>10684</v>
      </c>
      <c r="BB1096" s="3" t="s">
        <v>10691</v>
      </c>
      <c r="BC1096" s="3" t="s">
        <v>77</v>
      </c>
      <c r="BD1096" s="3" t="s">
        <v>78</v>
      </c>
      <c r="BE1096" s="3" t="s">
        <v>10686</v>
      </c>
      <c r="BF1096" s="3" t="s">
        <v>10691</v>
      </c>
      <c r="BG1096" s="3" t="s">
        <v>10692</v>
      </c>
    </row>
    <row r="1097" spans="1:59" ht="58" x14ac:dyDescent="0.35">
      <c r="A1097" s="2" t="s">
        <v>59</v>
      </c>
      <c r="B1097" s="2" t="s">
        <v>60</v>
      </c>
      <c r="C1097" s="2" t="s">
        <v>10693</v>
      </c>
      <c r="D1097" s="2" t="s">
        <v>10694</v>
      </c>
      <c r="E1097" s="2" t="s">
        <v>10695</v>
      </c>
      <c r="G1097" s="3" t="s">
        <v>65</v>
      </c>
      <c r="I1097" s="3" t="s">
        <v>65</v>
      </c>
      <c r="J1097" s="3" t="s">
        <v>65</v>
      </c>
      <c r="K1097" s="3" t="s">
        <v>66</v>
      </c>
      <c r="L1097" s="2" t="s">
        <v>10696</v>
      </c>
      <c r="M1097" s="2" t="s">
        <v>10697</v>
      </c>
      <c r="N1097" s="3" t="s">
        <v>221</v>
      </c>
      <c r="P1097" s="3" t="s">
        <v>69</v>
      </c>
      <c r="Q1097" s="2" t="s">
        <v>1197</v>
      </c>
      <c r="R1097" s="3" t="s">
        <v>71</v>
      </c>
      <c r="S1097" s="4">
        <v>5</v>
      </c>
      <c r="T1097" s="4">
        <v>5</v>
      </c>
      <c r="U1097" s="5" t="s">
        <v>10698</v>
      </c>
      <c r="V1097" s="5" t="s">
        <v>10698</v>
      </c>
      <c r="W1097" s="5" t="s">
        <v>72</v>
      </c>
      <c r="X1097" s="5" t="s">
        <v>72</v>
      </c>
      <c r="Y1097" s="4">
        <v>204</v>
      </c>
      <c r="Z1097" s="4">
        <v>30</v>
      </c>
      <c r="AA1097" s="4">
        <v>121</v>
      </c>
      <c r="AB1097" s="4">
        <v>2</v>
      </c>
      <c r="AC1097" s="4">
        <v>19</v>
      </c>
      <c r="AD1097" s="4">
        <v>105</v>
      </c>
      <c r="AE1097" s="4">
        <v>145</v>
      </c>
      <c r="AF1097" s="4">
        <v>1</v>
      </c>
      <c r="AG1097" s="4">
        <v>8</v>
      </c>
      <c r="AH1097" s="4">
        <v>88</v>
      </c>
      <c r="AI1097" s="4">
        <v>101</v>
      </c>
      <c r="AJ1097" s="4">
        <v>18</v>
      </c>
      <c r="AK1097" s="4">
        <v>27</v>
      </c>
      <c r="AL1097" s="4">
        <v>50</v>
      </c>
      <c r="AM1097" s="4">
        <v>54</v>
      </c>
      <c r="AN1097" s="4">
        <v>0</v>
      </c>
      <c r="AO1097" s="4">
        <v>0</v>
      </c>
      <c r="AP1097" s="4">
        <v>22</v>
      </c>
      <c r="AQ1097" s="4">
        <v>52</v>
      </c>
      <c r="AR1097" s="3" t="s">
        <v>209</v>
      </c>
      <c r="AS1097" s="3" t="s">
        <v>65</v>
      </c>
      <c r="AT1097" s="3" t="s">
        <v>209</v>
      </c>
      <c r="AU1097" s="6" t="str">
        <f>HYPERLINK("http://catalog.hathitrust.org/Record/005579839","HathiTrust Record")</f>
        <v>HathiTrust Record</v>
      </c>
      <c r="AV1097" s="6" t="str">
        <f>HYPERLINK("http://mcgill.on.worldcat.org/oclc/75087538","Catalog Record")</f>
        <v>Catalog Record</v>
      </c>
      <c r="AW1097" s="6" t="str">
        <f>HYPERLINK("http://www.worldcat.org/oclc/75087538","WorldCat Record")</f>
        <v>WorldCat Record</v>
      </c>
      <c r="AX1097" s="3" t="s">
        <v>10699</v>
      </c>
      <c r="AY1097" s="3" t="s">
        <v>10700</v>
      </c>
      <c r="AZ1097" s="3" t="s">
        <v>10701</v>
      </c>
      <c r="BA1097" s="3" t="s">
        <v>10701</v>
      </c>
      <c r="BB1097" s="3" t="s">
        <v>10702</v>
      </c>
      <c r="BC1097" s="3" t="s">
        <v>77</v>
      </c>
      <c r="BD1097" s="3" t="s">
        <v>78</v>
      </c>
      <c r="BE1097" s="3" t="s">
        <v>10703</v>
      </c>
      <c r="BF1097" s="3" t="s">
        <v>10702</v>
      </c>
      <c r="BG1097" s="3" t="s">
        <v>10704</v>
      </c>
    </row>
    <row r="1098" spans="1:59" ht="58" x14ac:dyDescent="0.35">
      <c r="A1098" s="2" t="s">
        <v>59</v>
      </c>
      <c r="B1098" s="2" t="s">
        <v>60</v>
      </c>
      <c r="C1098" s="2" t="s">
        <v>10705</v>
      </c>
      <c r="D1098" s="2" t="s">
        <v>10706</v>
      </c>
      <c r="E1098" s="2" t="s">
        <v>10707</v>
      </c>
      <c r="G1098" s="3" t="s">
        <v>65</v>
      </c>
      <c r="I1098" s="3" t="s">
        <v>65</v>
      </c>
      <c r="J1098" s="3" t="s">
        <v>65</v>
      </c>
      <c r="K1098" s="3" t="s">
        <v>66</v>
      </c>
      <c r="L1098" s="2" t="s">
        <v>9977</v>
      </c>
      <c r="M1098" s="2" t="s">
        <v>10708</v>
      </c>
      <c r="N1098" s="3" t="s">
        <v>1173</v>
      </c>
      <c r="P1098" s="3" t="s">
        <v>69</v>
      </c>
      <c r="Q1098" s="2" t="s">
        <v>10709</v>
      </c>
      <c r="R1098" s="3" t="s">
        <v>71</v>
      </c>
      <c r="S1098" s="4">
        <v>24</v>
      </c>
      <c r="T1098" s="4">
        <v>24</v>
      </c>
      <c r="U1098" s="5" t="s">
        <v>10710</v>
      </c>
      <c r="V1098" s="5" t="s">
        <v>10710</v>
      </c>
      <c r="W1098" s="5" t="s">
        <v>72</v>
      </c>
      <c r="X1098" s="5" t="s">
        <v>72</v>
      </c>
      <c r="Y1098" s="4">
        <v>413</v>
      </c>
      <c r="Z1098" s="4">
        <v>17</v>
      </c>
      <c r="AA1098" s="4">
        <v>18</v>
      </c>
      <c r="AB1098" s="4">
        <v>2</v>
      </c>
      <c r="AC1098" s="4">
        <v>3</v>
      </c>
      <c r="AD1098" s="4">
        <v>77</v>
      </c>
      <c r="AE1098" s="4">
        <v>78</v>
      </c>
      <c r="AF1098" s="4">
        <v>0</v>
      </c>
      <c r="AG1098" s="4">
        <v>1</v>
      </c>
      <c r="AH1098" s="4">
        <v>67</v>
      </c>
      <c r="AI1098" s="4">
        <v>67</v>
      </c>
      <c r="AJ1098" s="4">
        <v>9</v>
      </c>
      <c r="AK1098" s="4">
        <v>10</v>
      </c>
      <c r="AL1098" s="4">
        <v>34</v>
      </c>
      <c r="AM1098" s="4">
        <v>34</v>
      </c>
      <c r="AN1098" s="4">
        <v>0</v>
      </c>
      <c r="AO1098" s="4">
        <v>0</v>
      </c>
      <c r="AP1098" s="4">
        <v>13</v>
      </c>
      <c r="AQ1098" s="4">
        <v>13</v>
      </c>
      <c r="AR1098" s="3" t="s">
        <v>65</v>
      </c>
      <c r="AS1098" s="3" t="s">
        <v>65</v>
      </c>
      <c r="AT1098" s="3" t="s">
        <v>65</v>
      </c>
      <c r="AV1098" s="6" t="str">
        <f>HYPERLINK("http://mcgill.on.worldcat.org/oclc/136828","Catalog Record")</f>
        <v>Catalog Record</v>
      </c>
      <c r="AW1098" s="6" t="str">
        <f>HYPERLINK("http://www.worldcat.org/oclc/136828","WorldCat Record")</f>
        <v>WorldCat Record</v>
      </c>
      <c r="AX1098" s="3" t="s">
        <v>10711</v>
      </c>
      <c r="AY1098" s="3" t="s">
        <v>10712</v>
      </c>
      <c r="AZ1098" s="3" t="s">
        <v>10713</v>
      </c>
      <c r="BA1098" s="3" t="s">
        <v>10713</v>
      </c>
      <c r="BB1098" s="3" t="s">
        <v>10714</v>
      </c>
      <c r="BC1098" s="3" t="s">
        <v>77</v>
      </c>
      <c r="BD1098" s="3" t="s">
        <v>78</v>
      </c>
      <c r="BE1098" s="3" t="s">
        <v>10715</v>
      </c>
      <c r="BF1098" s="3" t="s">
        <v>10714</v>
      </c>
      <c r="BG1098" s="3" t="s">
        <v>10716</v>
      </c>
    </row>
    <row r="1099" spans="1:59" ht="58" x14ac:dyDescent="0.35">
      <c r="A1099" s="2" t="s">
        <v>59</v>
      </c>
      <c r="B1099" s="2" t="s">
        <v>60</v>
      </c>
      <c r="C1099" s="2" t="s">
        <v>10717</v>
      </c>
      <c r="D1099" s="2" t="s">
        <v>10718</v>
      </c>
      <c r="E1099" s="2" t="s">
        <v>10719</v>
      </c>
      <c r="G1099" s="3" t="s">
        <v>65</v>
      </c>
      <c r="I1099" s="3" t="s">
        <v>65</v>
      </c>
      <c r="J1099" s="3" t="s">
        <v>65</v>
      </c>
      <c r="K1099" s="3" t="s">
        <v>66</v>
      </c>
      <c r="L1099" s="2" t="s">
        <v>10720</v>
      </c>
      <c r="M1099" s="2" t="s">
        <v>10721</v>
      </c>
      <c r="N1099" s="3" t="s">
        <v>1196</v>
      </c>
      <c r="P1099" s="3" t="s">
        <v>69</v>
      </c>
      <c r="R1099" s="3" t="s">
        <v>71</v>
      </c>
      <c r="S1099" s="4">
        <v>11</v>
      </c>
      <c r="T1099" s="4">
        <v>11</v>
      </c>
      <c r="U1099" s="5" t="s">
        <v>10317</v>
      </c>
      <c r="V1099" s="5" t="s">
        <v>10317</v>
      </c>
      <c r="W1099" s="5" t="s">
        <v>72</v>
      </c>
      <c r="X1099" s="5" t="s">
        <v>72</v>
      </c>
      <c r="Y1099" s="4">
        <v>330</v>
      </c>
      <c r="Z1099" s="4">
        <v>21</v>
      </c>
      <c r="AA1099" s="4">
        <v>30</v>
      </c>
      <c r="AB1099" s="4">
        <v>2</v>
      </c>
      <c r="AC1099" s="4">
        <v>7</v>
      </c>
      <c r="AD1099" s="4">
        <v>90</v>
      </c>
      <c r="AE1099" s="4">
        <v>99</v>
      </c>
      <c r="AF1099" s="4">
        <v>1</v>
      </c>
      <c r="AG1099" s="4">
        <v>5</v>
      </c>
      <c r="AH1099" s="4">
        <v>79</v>
      </c>
      <c r="AI1099" s="4">
        <v>83</v>
      </c>
      <c r="AJ1099" s="4">
        <v>13</v>
      </c>
      <c r="AK1099" s="4">
        <v>19</v>
      </c>
      <c r="AL1099" s="4">
        <v>44</v>
      </c>
      <c r="AM1099" s="4">
        <v>45</v>
      </c>
      <c r="AN1099" s="4">
        <v>0</v>
      </c>
      <c r="AO1099" s="4">
        <v>0</v>
      </c>
      <c r="AP1099" s="4">
        <v>16</v>
      </c>
      <c r="AQ1099" s="4">
        <v>23</v>
      </c>
      <c r="AR1099" s="3" t="s">
        <v>65</v>
      </c>
      <c r="AS1099" s="3" t="s">
        <v>65</v>
      </c>
      <c r="AT1099" s="3" t="s">
        <v>209</v>
      </c>
      <c r="AU1099" s="6" t="str">
        <f>HYPERLINK("http://catalog.hathitrust.org/Record/005115016","HathiTrust Record")</f>
        <v>HathiTrust Record</v>
      </c>
      <c r="AV1099" s="6" t="str">
        <f>HYPERLINK("http://mcgill.on.worldcat.org/oclc/59879751","Catalog Record")</f>
        <v>Catalog Record</v>
      </c>
      <c r="AW1099" s="6" t="str">
        <f>HYPERLINK("http://www.worldcat.org/oclc/59879751","WorldCat Record")</f>
        <v>WorldCat Record</v>
      </c>
      <c r="AX1099" s="3" t="s">
        <v>10722</v>
      </c>
      <c r="AY1099" s="3" t="s">
        <v>10723</v>
      </c>
      <c r="AZ1099" s="3" t="s">
        <v>10724</v>
      </c>
      <c r="BA1099" s="3" t="s">
        <v>10724</v>
      </c>
      <c r="BB1099" s="3" t="s">
        <v>10725</v>
      </c>
      <c r="BC1099" s="3" t="s">
        <v>77</v>
      </c>
      <c r="BD1099" s="3" t="s">
        <v>78</v>
      </c>
      <c r="BE1099" s="3" t="s">
        <v>10726</v>
      </c>
      <c r="BF1099" s="3" t="s">
        <v>10725</v>
      </c>
      <c r="BG1099" s="3" t="s">
        <v>10727</v>
      </c>
    </row>
    <row r="1100" spans="1:59" ht="58" x14ac:dyDescent="0.35">
      <c r="A1100" s="2" t="s">
        <v>59</v>
      </c>
      <c r="B1100" s="2" t="s">
        <v>60</v>
      </c>
      <c r="C1100" s="2" t="s">
        <v>10728</v>
      </c>
      <c r="D1100" s="2" t="s">
        <v>10729</v>
      </c>
      <c r="E1100" s="2" t="s">
        <v>10730</v>
      </c>
      <c r="G1100" s="3" t="s">
        <v>65</v>
      </c>
      <c r="I1100" s="3" t="s">
        <v>65</v>
      </c>
      <c r="J1100" s="3" t="s">
        <v>65</v>
      </c>
      <c r="K1100" s="3" t="s">
        <v>66</v>
      </c>
      <c r="L1100" s="2" t="s">
        <v>10731</v>
      </c>
      <c r="M1100" s="2" t="s">
        <v>10732</v>
      </c>
      <c r="N1100" s="3" t="s">
        <v>176</v>
      </c>
      <c r="P1100" s="3" t="s">
        <v>140</v>
      </c>
      <c r="Q1100" s="2" t="s">
        <v>10733</v>
      </c>
      <c r="R1100" s="3" t="s">
        <v>71</v>
      </c>
      <c r="S1100" s="4">
        <v>0</v>
      </c>
      <c r="T1100" s="4">
        <v>0</v>
      </c>
      <c r="W1100" s="5" t="s">
        <v>72</v>
      </c>
      <c r="X1100" s="5" t="s">
        <v>72</v>
      </c>
      <c r="Y1100" s="4">
        <v>42</v>
      </c>
      <c r="Z1100" s="4">
        <v>4</v>
      </c>
      <c r="AA1100" s="4">
        <v>4</v>
      </c>
      <c r="AB1100" s="4">
        <v>1</v>
      </c>
      <c r="AC1100" s="4">
        <v>1</v>
      </c>
      <c r="AD1100" s="4">
        <v>27</v>
      </c>
      <c r="AE1100" s="4">
        <v>27</v>
      </c>
      <c r="AF1100" s="4">
        <v>0</v>
      </c>
      <c r="AG1100" s="4">
        <v>0</v>
      </c>
      <c r="AH1100" s="4">
        <v>27</v>
      </c>
      <c r="AI1100" s="4">
        <v>27</v>
      </c>
      <c r="AJ1100" s="4">
        <v>2</v>
      </c>
      <c r="AK1100" s="4">
        <v>2</v>
      </c>
      <c r="AL1100" s="4">
        <v>20</v>
      </c>
      <c r="AM1100" s="4">
        <v>20</v>
      </c>
      <c r="AN1100" s="4">
        <v>0</v>
      </c>
      <c r="AO1100" s="4">
        <v>0</v>
      </c>
      <c r="AP1100" s="4">
        <v>2</v>
      </c>
      <c r="AQ1100" s="4">
        <v>2</v>
      </c>
      <c r="AR1100" s="3" t="s">
        <v>65</v>
      </c>
      <c r="AS1100" s="3" t="s">
        <v>65</v>
      </c>
      <c r="AT1100" s="3" t="s">
        <v>65</v>
      </c>
      <c r="AV1100" s="6" t="str">
        <f>HYPERLINK("http://mcgill.on.worldcat.org/oclc/905087803","Catalog Record")</f>
        <v>Catalog Record</v>
      </c>
      <c r="AW1100" s="6" t="str">
        <f>HYPERLINK("http://www.worldcat.org/oclc/905087803","WorldCat Record")</f>
        <v>WorldCat Record</v>
      </c>
      <c r="AX1100" s="3" t="s">
        <v>10734</v>
      </c>
      <c r="AY1100" s="3" t="s">
        <v>10735</v>
      </c>
      <c r="AZ1100" s="3" t="s">
        <v>10736</v>
      </c>
      <c r="BA1100" s="3" t="s">
        <v>10736</v>
      </c>
      <c r="BB1100" s="3" t="s">
        <v>10737</v>
      </c>
      <c r="BC1100" s="3" t="s">
        <v>77</v>
      </c>
      <c r="BD1100" s="3" t="s">
        <v>78</v>
      </c>
      <c r="BE1100" s="3" t="s">
        <v>10738</v>
      </c>
      <c r="BF1100" s="3" t="s">
        <v>10737</v>
      </c>
      <c r="BG1100" s="3" t="s">
        <v>10739</v>
      </c>
    </row>
    <row r="1101" spans="1:59" ht="58" x14ac:dyDescent="0.35">
      <c r="A1101" s="2" t="s">
        <v>59</v>
      </c>
      <c r="B1101" s="2" t="s">
        <v>60</v>
      </c>
      <c r="C1101" s="2" t="s">
        <v>10740</v>
      </c>
      <c r="D1101" s="2" t="s">
        <v>10741</v>
      </c>
      <c r="E1101" s="2" t="s">
        <v>10742</v>
      </c>
      <c r="G1101" s="3" t="s">
        <v>65</v>
      </c>
      <c r="I1101" s="3" t="s">
        <v>65</v>
      </c>
      <c r="J1101" s="3" t="s">
        <v>65</v>
      </c>
      <c r="K1101" s="3" t="s">
        <v>66</v>
      </c>
      <c r="L1101" s="2" t="s">
        <v>10720</v>
      </c>
      <c r="M1101" s="2" t="s">
        <v>10743</v>
      </c>
      <c r="N1101" s="3" t="s">
        <v>99</v>
      </c>
      <c r="P1101" s="3" t="s">
        <v>69</v>
      </c>
      <c r="R1101" s="3" t="s">
        <v>71</v>
      </c>
      <c r="S1101" s="4">
        <v>9</v>
      </c>
      <c r="T1101" s="4">
        <v>9</v>
      </c>
      <c r="U1101" s="5" t="s">
        <v>10744</v>
      </c>
      <c r="V1101" s="5" t="s">
        <v>10744</v>
      </c>
      <c r="W1101" s="5" t="s">
        <v>72</v>
      </c>
      <c r="X1101" s="5" t="s">
        <v>72</v>
      </c>
      <c r="Y1101" s="4">
        <v>299</v>
      </c>
      <c r="Z1101" s="4">
        <v>25</v>
      </c>
      <c r="AA1101" s="4">
        <v>31</v>
      </c>
      <c r="AB1101" s="4">
        <v>2</v>
      </c>
      <c r="AC1101" s="4">
        <v>7</v>
      </c>
      <c r="AD1101" s="4">
        <v>90</v>
      </c>
      <c r="AE1101" s="4">
        <v>95</v>
      </c>
      <c r="AF1101" s="4">
        <v>1</v>
      </c>
      <c r="AG1101" s="4">
        <v>5</v>
      </c>
      <c r="AH1101" s="4">
        <v>76</v>
      </c>
      <c r="AI1101" s="4">
        <v>77</v>
      </c>
      <c r="AJ1101" s="4">
        <v>16</v>
      </c>
      <c r="AK1101" s="4">
        <v>20</v>
      </c>
      <c r="AL1101" s="4">
        <v>41</v>
      </c>
      <c r="AM1101" s="4">
        <v>41</v>
      </c>
      <c r="AN1101" s="4">
        <v>0</v>
      </c>
      <c r="AO1101" s="4">
        <v>0</v>
      </c>
      <c r="AP1101" s="4">
        <v>21</v>
      </c>
      <c r="AQ1101" s="4">
        <v>25</v>
      </c>
      <c r="AR1101" s="3" t="s">
        <v>65</v>
      </c>
      <c r="AS1101" s="3" t="s">
        <v>65</v>
      </c>
      <c r="AT1101" s="3" t="s">
        <v>209</v>
      </c>
      <c r="AU1101" s="6" t="str">
        <f>HYPERLINK("http://catalog.hathitrust.org/Record/005259905","HathiTrust Record")</f>
        <v>HathiTrust Record</v>
      </c>
      <c r="AV1101" s="6" t="str">
        <f>HYPERLINK("http://mcgill.on.worldcat.org/oclc/65407507","Catalog Record")</f>
        <v>Catalog Record</v>
      </c>
      <c r="AW1101" s="6" t="str">
        <f>HYPERLINK("http://www.worldcat.org/oclc/65407507","WorldCat Record")</f>
        <v>WorldCat Record</v>
      </c>
      <c r="AX1101" s="3" t="s">
        <v>10745</v>
      </c>
      <c r="AY1101" s="3" t="s">
        <v>10746</v>
      </c>
      <c r="AZ1101" s="3" t="s">
        <v>10747</v>
      </c>
      <c r="BA1101" s="3" t="s">
        <v>10747</v>
      </c>
      <c r="BB1101" s="3" t="s">
        <v>10748</v>
      </c>
      <c r="BC1101" s="3" t="s">
        <v>77</v>
      </c>
      <c r="BD1101" s="3" t="s">
        <v>78</v>
      </c>
      <c r="BE1101" s="3" t="s">
        <v>10749</v>
      </c>
      <c r="BF1101" s="3" t="s">
        <v>10748</v>
      </c>
      <c r="BG1101" s="3" t="s">
        <v>10750</v>
      </c>
    </row>
    <row r="1102" spans="1:59" ht="58" x14ac:dyDescent="0.35">
      <c r="A1102" s="2" t="s">
        <v>59</v>
      </c>
      <c r="B1102" s="2" t="s">
        <v>60</v>
      </c>
      <c r="C1102" s="2" t="s">
        <v>10751</v>
      </c>
      <c r="D1102" s="2" t="s">
        <v>10752</v>
      </c>
      <c r="E1102" s="2" t="s">
        <v>10753</v>
      </c>
      <c r="G1102" s="3" t="s">
        <v>65</v>
      </c>
      <c r="I1102" s="3" t="s">
        <v>65</v>
      </c>
      <c r="J1102" s="3" t="s">
        <v>65</v>
      </c>
      <c r="K1102" s="3" t="s">
        <v>66</v>
      </c>
      <c r="L1102" s="2" t="s">
        <v>10754</v>
      </c>
      <c r="M1102" s="2" t="s">
        <v>10755</v>
      </c>
      <c r="N1102" s="3" t="s">
        <v>126</v>
      </c>
      <c r="P1102" s="3" t="s">
        <v>140</v>
      </c>
      <c r="Q1102" s="2" t="s">
        <v>10756</v>
      </c>
      <c r="R1102" s="3" t="s">
        <v>71</v>
      </c>
      <c r="S1102" s="4">
        <v>0</v>
      </c>
      <c r="T1102" s="4">
        <v>0</v>
      </c>
      <c r="W1102" s="5" t="s">
        <v>72</v>
      </c>
      <c r="X1102" s="5" t="s">
        <v>72</v>
      </c>
      <c r="Y1102" s="4">
        <v>46</v>
      </c>
      <c r="Z1102" s="4">
        <v>5</v>
      </c>
      <c r="AA1102" s="4">
        <v>5</v>
      </c>
      <c r="AB1102" s="4">
        <v>1</v>
      </c>
      <c r="AC1102" s="4">
        <v>1</v>
      </c>
      <c r="AD1102" s="4">
        <v>35</v>
      </c>
      <c r="AE1102" s="4">
        <v>36</v>
      </c>
      <c r="AF1102" s="4">
        <v>0</v>
      </c>
      <c r="AG1102" s="4">
        <v>0</v>
      </c>
      <c r="AH1102" s="4">
        <v>34</v>
      </c>
      <c r="AI1102" s="4">
        <v>35</v>
      </c>
      <c r="AJ1102" s="4">
        <v>2</v>
      </c>
      <c r="AK1102" s="4">
        <v>2</v>
      </c>
      <c r="AL1102" s="4">
        <v>27</v>
      </c>
      <c r="AM1102" s="4">
        <v>27</v>
      </c>
      <c r="AN1102" s="4">
        <v>0</v>
      </c>
      <c r="AO1102" s="4">
        <v>0</v>
      </c>
      <c r="AP1102" s="4">
        <v>2</v>
      </c>
      <c r="AQ1102" s="4">
        <v>2</v>
      </c>
      <c r="AR1102" s="3" t="s">
        <v>65</v>
      </c>
      <c r="AS1102" s="3" t="s">
        <v>65</v>
      </c>
      <c r="AT1102" s="3" t="s">
        <v>65</v>
      </c>
      <c r="AV1102" s="6" t="str">
        <f>HYPERLINK("http://mcgill.on.worldcat.org/oclc/767577712","Catalog Record")</f>
        <v>Catalog Record</v>
      </c>
      <c r="AW1102" s="6" t="str">
        <f>HYPERLINK("http://www.worldcat.org/oclc/767577712","WorldCat Record")</f>
        <v>WorldCat Record</v>
      </c>
      <c r="AX1102" s="3" t="s">
        <v>10757</v>
      </c>
      <c r="AY1102" s="3" t="s">
        <v>10758</v>
      </c>
      <c r="AZ1102" s="3" t="s">
        <v>10759</v>
      </c>
      <c r="BA1102" s="3" t="s">
        <v>10759</v>
      </c>
      <c r="BB1102" s="3" t="s">
        <v>10760</v>
      </c>
      <c r="BC1102" s="3" t="s">
        <v>77</v>
      </c>
      <c r="BD1102" s="3" t="s">
        <v>78</v>
      </c>
      <c r="BE1102" s="3" t="s">
        <v>10761</v>
      </c>
      <c r="BF1102" s="3" t="s">
        <v>10760</v>
      </c>
      <c r="BG1102" s="3" t="s">
        <v>10762</v>
      </c>
    </row>
    <row r="1103" spans="1:59" ht="58" x14ac:dyDescent="0.35">
      <c r="A1103" s="2" t="s">
        <v>59</v>
      </c>
      <c r="B1103" s="2" t="s">
        <v>60</v>
      </c>
      <c r="C1103" s="2" t="s">
        <v>10763</v>
      </c>
      <c r="D1103" s="2" t="s">
        <v>10764</v>
      </c>
      <c r="E1103" s="2" t="s">
        <v>10765</v>
      </c>
      <c r="G1103" s="3" t="s">
        <v>65</v>
      </c>
      <c r="I1103" s="3" t="s">
        <v>65</v>
      </c>
      <c r="J1103" s="3" t="s">
        <v>65</v>
      </c>
      <c r="K1103" s="3" t="s">
        <v>66</v>
      </c>
      <c r="L1103" s="2" t="s">
        <v>10766</v>
      </c>
      <c r="M1103" s="2" t="s">
        <v>10767</v>
      </c>
      <c r="N1103" s="3" t="s">
        <v>831</v>
      </c>
      <c r="P1103" s="3" t="s">
        <v>7374</v>
      </c>
      <c r="Q1103" s="2" t="s">
        <v>10768</v>
      </c>
      <c r="R1103" s="3" t="s">
        <v>71</v>
      </c>
      <c r="S1103" s="4">
        <v>8</v>
      </c>
      <c r="T1103" s="4">
        <v>8</v>
      </c>
      <c r="U1103" s="5" t="s">
        <v>10769</v>
      </c>
      <c r="V1103" s="5" t="s">
        <v>10769</v>
      </c>
      <c r="W1103" s="5" t="s">
        <v>72</v>
      </c>
      <c r="X1103" s="5" t="s">
        <v>72</v>
      </c>
      <c r="Y1103" s="4">
        <v>215</v>
      </c>
      <c r="Z1103" s="4">
        <v>16</v>
      </c>
      <c r="AA1103" s="4">
        <v>19</v>
      </c>
      <c r="AB1103" s="4">
        <v>1</v>
      </c>
      <c r="AC1103" s="4">
        <v>2</v>
      </c>
      <c r="AD1103" s="4">
        <v>86</v>
      </c>
      <c r="AE1103" s="4">
        <v>96</v>
      </c>
      <c r="AF1103" s="4">
        <v>0</v>
      </c>
      <c r="AG1103" s="4">
        <v>1</v>
      </c>
      <c r="AH1103" s="4">
        <v>80</v>
      </c>
      <c r="AI1103" s="4">
        <v>88</v>
      </c>
      <c r="AJ1103" s="4">
        <v>12</v>
      </c>
      <c r="AK1103" s="4">
        <v>15</v>
      </c>
      <c r="AL1103" s="4">
        <v>50</v>
      </c>
      <c r="AM1103" s="4">
        <v>53</v>
      </c>
      <c r="AN1103" s="4">
        <v>0</v>
      </c>
      <c r="AO1103" s="4">
        <v>3</v>
      </c>
      <c r="AP1103" s="4">
        <v>13</v>
      </c>
      <c r="AQ1103" s="4">
        <v>16</v>
      </c>
      <c r="AR1103" s="3" t="s">
        <v>65</v>
      </c>
      <c r="AS1103" s="3" t="s">
        <v>65</v>
      </c>
      <c r="AT1103" s="3" t="s">
        <v>209</v>
      </c>
      <c r="AU1103" s="6" t="str">
        <f>HYPERLINK("http://catalog.hathitrust.org/Record/000102379","HathiTrust Record")</f>
        <v>HathiTrust Record</v>
      </c>
      <c r="AV1103" s="6" t="str">
        <f>HYPERLINK("http://mcgill.on.worldcat.org/oclc/8872837","Catalog Record")</f>
        <v>Catalog Record</v>
      </c>
      <c r="AW1103" s="6" t="str">
        <f>HYPERLINK("http://www.worldcat.org/oclc/8872837","WorldCat Record")</f>
        <v>WorldCat Record</v>
      </c>
      <c r="AX1103" s="3" t="s">
        <v>10770</v>
      </c>
      <c r="AY1103" s="3" t="s">
        <v>10771</v>
      </c>
      <c r="AZ1103" s="3" t="s">
        <v>10772</v>
      </c>
      <c r="BA1103" s="3" t="s">
        <v>10772</v>
      </c>
      <c r="BB1103" s="3" t="s">
        <v>10773</v>
      </c>
      <c r="BC1103" s="3" t="s">
        <v>77</v>
      </c>
      <c r="BD1103" s="3" t="s">
        <v>78</v>
      </c>
      <c r="BE1103" s="3" t="s">
        <v>10774</v>
      </c>
      <c r="BF1103" s="3" t="s">
        <v>10773</v>
      </c>
      <c r="BG1103" s="3" t="s">
        <v>10775</v>
      </c>
    </row>
    <row r="1104" spans="1:59" ht="58" x14ac:dyDescent="0.35">
      <c r="A1104" s="2" t="s">
        <v>59</v>
      </c>
      <c r="B1104" s="2" t="s">
        <v>60</v>
      </c>
      <c r="C1104" s="2" t="s">
        <v>10776</v>
      </c>
      <c r="D1104" s="2" t="s">
        <v>10777</v>
      </c>
      <c r="E1104" s="2" t="s">
        <v>10778</v>
      </c>
      <c r="G1104" s="3" t="s">
        <v>65</v>
      </c>
      <c r="I1104" s="3" t="s">
        <v>65</v>
      </c>
      <c r="J1104" s="3" t="s">
        <v>65</v>
      </c>
      <c r="K1104" s="3" t="s">
        <v>66</v>
      </c>
      <c r="L1104" s="2" t="s">
        <v>10779</v>
      </c>
      <c r="M1104" s="2" t="s">
        <v>10780</v>
      </c>
      <c r="N1104" s="3" t="s">
        <v>139</v>
      </c>
      <c r="P1104" s="3" t="s">
        <v>140</v>
      </c>
      <c r="Q1104" s="2" t="s">
        <v>340</v>
      </c>
      <c r="R1104" s="3" t="s">
        <v>71</v>
      </c>
      <c r="S1104" s="4">
        <v>0</v>
      </c>
      <c r="T1104" s="4">
        <v>0</v>
      </c>
      <c r="W1104" s="5" t="s">
        <v>72</v>
      </c>
      <c r="X1104" s="5" t="s">
        <v>72</v>
      </c>
      <c r="Y1104" s="4">
        <v>45</v>
      </c>
      <c r="Z1104" s="4">
        <v>4</v>
      </c>
      <c r="AA1104" s="4">
        <v>4</v>
      </c>
      <c r="AB1104" s="4">
        <v>1</v>
      </c>
      <c r="AC1104" s="4">
        <v>1</v>
      </c>
      <c r="AD1104" s="4">
        <v>28</v>
      </c>
      <c r="AE1104" s="4">
        <v>29</v>
      </c>
      <c r="AF1104" s="4">
        <v>0</v>
      </c>
      <c r="AG1104" s="4">
        <v>0</v>
      </c>
      <c r="AH1104" s="4">
        <v>27</v>
      </c>
      <c r="AI1104" s="4">
        <v>28</v>
      </c>
      <c r="AJ1104" s="4">
        <v>1</v>
      </c>
      <c r="AK1104" s="4">
        <v>1</v>
      </c>
      <c r="AL1104" s="4">
        <v>21</v>
      </c>
      <c r="AM1104" s="4">
        <v>22</v>
      </c>
      <c r="AN1104" s="4">
        <v>0</v>
      </c>
      <c r="AO1104" s="4">
        <v>0</v>
      </c>
      <c r="AP1104" s="4">
        <v>1</v>
      </c>
      <c r="AQ1104" s="4">
        <v>1</v>
      </c>
      <c r="AR1104" s="3" t="s">
        <v>65</v>
      </c>
      <c r="AS1104" s="3" t="s">
        <v>65</v>
      </c>
      <c r="AT1104" s="3" t="s">
        <v>65</v>
      </c>
      <c r="AV1104" s="6" t="str">
        <f>HYPERLINK("http://mcgill.on.worldcat.org/oclc/830634644","Catalog Record")</f>
        <v>Catalog Record</v>
      </c>
      <c r="AW1104" s="6" t="str">
        <f>HYPERLINK("http://www.worldcat.org/oclc/830634644","WorldCat Record")</f>
        <v>WorldCat Record</v>
      </c>
      <c r="AX1104" s="3" t="s">
        <v>10781</v>
      </c>
      <c r="AY1104" s="3" t="s">
        <v>10782</v>
      </c>
      <c r="AZ1104" s="3" t="s">
        <v>10783</v>
      </c>
      <c r="BA1104" s="3" t="s">
        <v>10783</v>
      </c>
      <c r="BB1104" s="3" t="s">
        <v>10784</v>
      </c>
      <c r="BC1104" s="3" t="s">
        <v>77</v>
      </c>
      <c r="BD1104" s="3" t="s">
        <v>78</v>
      </c>
      <c r="BE1104" s="3" t="s">
        <v>10785</v>
      </c>
      <c r="BF1104" s="3" t="s">
        <v>10784</v>
      </c>
      <c r="BG1104" s="3" t="s">
        <v>10786</v>
      </c>
    </row>
    <row r="1105" spans="1:59" ht="58" x14ac:dyDescent="0.35">
      <c r="A1105" s="2" t="s">
        <v>59</v>
      </c>
      <c r="B1105" s="2" t="s">
        <v>60</v>
      </c>
      <c r="C1105" s="2" t="s">
        <v>10787</v>
      </c>
      <c r="D1105" s="2" t="s">
        <v>10788</v>
      </c>
      <c r="E1105" s="2" t="s">
        <v>10789</v>
      </c>
      <c r="G1105" s="3" t="s">
        <v>65</v>
      </c>
      <c r="I1105" s="3" t="s">
        <v>65</v>
      </c>
      <c r="J1105" s="3" t="s">
        <v>65</v>
      </c>
      <c r="K1105" s="3" t="s">
        <v>66</v>
      </c>
      <c r="L1105" s="2" t="s">
        <v>10790</v>
      </c>
      <c r="M1105" s="2" t="s">
        <v>10791</v>
      </c>
      <c r="N1105" s="3" t="s">
        <v>139</v>
      </c>
      <c r="P1105" s="3" t="s">
        <v>140</v>
      </c>
      <c r="Q1105" s="2" t="s">
        <v>10792</v>
      </c>
      <c r="R1105" s="3" t="s">
        <v>71</v>
      </c>
      <c r="S1105" s="4">
        <v>0</v>
      </c>
      <c r="T1105" s="4">
        <v>0</v>
      </c>
      <c r="W1105" s="5" t="s">
        <v>72</v>
      </c>
      <c r="X1105" s="5" t="s">
        <v>72</v>
      </c>
      <c r="Y1105" s="4">
        <v>58</v>
      </c>
      <c r="Z1105" s="4">
        <v>5</v>
      </c>
      <c r="AA1105" s="4">
        <v>5</v>
      </c>
      <c r="AB1105" s="4">
        <v>1</v>
      </c>
      <c r="AC1105" s="4">
        <v>1</v>
      </c>
      <c r="AD1105" s="4">
        <v>34</v>
      </c>
      <c r="AE1105" s="4">
        <v>35</v>
      </c>
      <c r="AF1105" s="4">
        <v>0</v>
      </c>
      <c r="AG1105" s="4">
        <v>0</v>
      </c>
      <c r="AH1105" s="4">
        <v>33</v>
      </c>
      <c r="AI1105" s="4">
        <v>34</v>
      </c>
      <c r="AJ1105" s="4">
        <v>2</v>
      </c>
      <c r="AK1105" s="4">
        <v>2</v>
      </c>
      <c r="AL1105" s="4">
        <v>27</v>
      </c>
      <c r="AM1105" s="4">
        <v>28</v>
      </c>
      <c r="AN1105" s="4">
        <v>0</v>
      </c>
      <c r="AO1105" s="4">
        <v>0</v>
      </c>
      <c r="AP1105" s="4">
        <v>2</v>
      </c>
      <c r="AQ1105" s="4">
        <v>2</v>
      </c>
      <c r="AR1105" s="3" t="s">
        <v>65</v>
      </c>
      <c r="AS1105" s="3" t="s">
        <v>65</v>
      </c>
      <c r="AT1105" s="3" t="s">
        <v>65</v>
      </c>
      <c r="AV1105" s="6" t="str">
        <f>HYPERLINK("http://mcgill.on.worldcat.org/oclc/824351791","Catalog Record")</f>
        <v>Catalog Record</v>
      </c>
      <c r="AW1105" s="6" t="str">
        <f>HYPERLINK("http://www.worldcat.org/oclc/824351791","WorldCat Record")</f>
        <v>WorldCat Record</v>
      </c>
      <c r="AX1105" s="3" t="s">
        <v>10793</v>
      </c>
      <c r="AY1105" s="3" t="s">
        <v>10794</v>
      </c>
      <c r="AZ1105" s="3" t="s">
        <v>10795</v>
      </c>
      <c r="BA1105" s="3" t="s">
        <v>10795</v>
      </c>
      <c r="BB1105" s="3" t="s">
        <v>10796</v>
      </c>
      <c r="BC1105" s="3" t="s">
        <v>77</v>
      </c>
      <c r="BD1105" s="3" t="s">
        <v>78</v>
      </c>
      <c r="BE1105" s="3" t="s">
        <v>10797</v>
      </c>
      <c r="BF1105" s="3" t="s">
        <v>10796</v>
      </c>
      <c r="BG1105" s="3" t="s">
        <v>10798</v>
      </c>
    </row>
    <row r="1106" spans="1:59" ht="58" x14ac:dyDescent="0.35">
      <c r="A1106" s="2" t="s">
        <v>59</v>
      </c>
      <c r="B1106" s="2" t="s">
        <v>60</v>
      </c>
      <c r="C1106" s="2" t="s">
        <v>10799</v>
      </c>
      <c r="D1106" s="2" t="s">
        <v>10800</v>
      </c>
      <c r="E1106" s="2" t="s">
        <v>10801</v>
      </c>
      <c r="G1106" s="3" t="s">
        <v>65</v>
      </c>
      <c r="I1106" s="3" t="s">
        <v>65</v>
      </c>
      <c r="J1106" s="3" t="s">
        <v>65</v>
      </c>
      <c r="K1106" s="3" t="s">
        <v>66</v>
      </c>
      <c r="L1106" s="2" t="s">
        <v>3434</v>
      </c>
      <c r="M1106" s="2" t="s">
        <v>10802</v>
      </c>
      <c r="N1106" s="3" t="s">
        <v>152</v>
      </c>
      <c r="P1106" s="3" t="s">
        <v>140</v>
      </c>
      <c r="Q1106" s="2" t="s">
        <v>10803</v>
      </c>
      <c r="R1106" s="3" t="s">
        <v>71</v>
      </c>
      <c r="S1106" s="4">
        <v>0</v>
      </c>
      <c r="T1106" s="4">
        <v>0</v>
      </c>
      <c r="W1106" s="5" t="s">
        <v>72</v>
      </c>
      <c r="X1106" s="5" t="s">
        <v>72</v>
      </c>
      <c r="Y1106" s="4">
        <v>73</v>
      </c>
      <c r="Z1106" s="4">
        <v>7</v>
      </c>
      <c r="AA1106" s="4">
        <v>7</v>
      </c>
      <c r="AB1106" s="4">
        <v>1</v>
      </c>
      <c r="AC1106" s="4">
        <v>1</v>
      </c>
      <c r="AD1106" s="4">
        <v>44</v>
      </c>
      <c r="AE1106" s="4">
        <v>44</v>
      </c>
      <c r="AF1106" s="4">
        <v>0</v>
      </c>
      <c r="AG1106" s="4">
        <v>0</v>
      </c>
      <c r="AH1106" s="4">
        <v>43</v>
      </c>
      <c r="AI1106" s="4">
        <v>43</v>
      </c>
      <c r="AJ1106" s="4">
        <v>4</v>
      </c>
      <c r="AK1106" s="4">
        <v>4</v>
      </c>
      <c r="AL1106" s="4">
        <v>34</v>
      </c>
      <c r="AM1106" s="4">
        <v>34</v>
      </c>
      <c r="AN1106" s="4">
        <v>0</v>
      </c>
      <c r="AO1106" s="4">
        <v>0</v>
      </c>
      <c r="AP1106" s="4">
        <v>4</v>
      </c>
      <c r="AQ1106" s="4">
        <v>4</v>
      </c>
      <c r="AR1106" s="3" t="s">
        <v>65</v>
      </c>
      <c r="AS1106" s="3" t="s">
        <v>65</v>
      </c>
      <c r="AT1106" s="3" t="s">
        <v>65</v>
      </c>
      <c r="AV1106" s="6" t="str">
        <f>HYPERLINK("http://mcgill.on.worldcat.org/oclc/818724724","Catalog Record")</f>
        <v>Catalog Record</v>
      </c>
      <c r="AW1106" s="6" t="str">
        <f>HYPERLINK("http://www.worldcat.org/oclc/818724724","WorldCat Record")</f>
        <v>WorldCat Record</v>
      </c>
      <c r="AX1106" s="3" t="s">
        <v>10804</v>
      </c>
      <c r="AY1106" s="3" t="s">
        <v>10805</v>
      </c>
      <c r="AZ1106" s="3" t="s">
        <v>10806</v>
      </c>
      <c r="BA1106" s="3" t="s">
        <v>10806</v>
      </c>
      <c r="BB1106" s="3" t="s">
        <v>10807</v>
      </c>
      <c r="BC1106" s="3" t="s">
        <v>77</v>
      </c>
      <c r="BD1106" s="3" t="s">
        <v>78</v>
      </c>
      <c r="BE1106" s="3" t="s">
        <v>10808</v>
      </c>
      <c r="BF1106" s="3" t="s">
        <v>10807</v>
      </c>
      <c r="BG1106" s="3" t="s">
        <v>10809</v>
      </c>
    </row>
    <row r="1107" spans="1:59" ht="58" x14ac:dyDescent="0.35">
      <c r="A1107" s="2" t="s">
        <v>59</v>
      </c>
      <c r="B1107" s="2" t="s">
        <v>60</v>
      </c>
      <c r="C1107" s="2" t="s">
        <v>10810</v>
      </c>
      <c r="D1107" s="2" t="s">
        <v>10811</v>
      </c>
      <c r="E1107" s="2" t="s">
        <v>10812</v>
      </c>
      <c r="G1107" s="3" t="s">
        <v>65</v>
      </c>
      <c r="I1107" s="3" t="s">
        <v>65</v>
      </c>
      <c r="J1107" s="3" t="s">
        <v>65</v>
      </c>
      <c r="K1107" s="3" t="s">
        <v>66</v>
      </c>
      <c r="L1107" s="2" t="s">
        <v>10813</v>
      </c>
      <c r="M1107" s="2" t="s">
        <v>10814</v>
      </c>
      <c r="N1107" s="3" t="s">
        <v>152</v>
      </c>
      <c r="P1107" s="3" t="s">
        <v>140</v>
      </c>
      <c r="Q1107" s="2" t="s">
        <v>10815</v>
      </c>
      <c r="R1107" s="3" t="s">
        <v>71</v>
      </c>
      <c r="S1107" s="4">
        <v>1</v>
      </c>
      <c r="T1107" s="4">
        <v>1</v>
      </c>
      <c r="U1107" s="5" t="s">
        <v>2940</v>
      </c>
      <c r="V1107" s="5" t="s">
        <v>2940</v>
      </c>
      <c r="W1107" s="5" t="s">
        <v>72</v>
      </c>
      <c r="X1107" s="5" t="s">
        <v>72</v>
      </c>
      <c r="Y1107" s="4">
        <v>63</v>
      </c>
      <c r="Z1107" s="4">
        <v>4</v>
      </c>
      <c r="AA1107" s="4">
        <v>4</v>
      </c>
      <c r="AB1107" s="4">
        <v>1</v>
      </c>
      <c r="AC1107" s="4">
        <v>1</v>
      </c>
      <c r="AD1107" s="4">
        <v>36</v>
      </c>
      <c r="AE1107" s="4">
        <v>36</v>
      </c>
      <c r="AF1107" s="4">
        <v>0</v>
      </c>
      <c r="AG1107" s="4">
        <v>0</v>
      </c>
      <c r="AH1107" s="4">
        <v>35</v>
      </c>
      <c r="AI1107" s="4">
        <v>35</v>
      </c>
      <c r="AJ1107" s="4">
        <v>2</v>
      </c>
      <c r="AK1107" s="4">
        <v>2</v>
      </c>
      <c r="AL1107" s="4">
        <v>28</v>
      </c>
      <c r="AM1107" s="4">
        <v>28</v>
      </c>
      <c r="AN1107" s="4">
        <v>0</v>
      </c>
      <c r="AO1107" s="4">
        <v>0</v>
      </c>
      <c r="AP1107" s="4">
        <v>2</v>
      </c>
      <c r="AQ1107" s="4">
        <v>2</v>
      </c>
      <c r="AR1107" s="3" t="s">
        <v>65</v>
      </c>
      <c r="AS1107" s="3" t="s">
        <v>65</v>
      </c>
      <c r="AT1107" s="3" t="s">
        <v>65</v>
      </c>
      <c r="AV1107" s="6" t="str">
        <f>HYPERLINK("http://mcgill.on.worldcat.org/oclc/843753577","Catalog Record")</f>
        <v>Catalog Record</v>
      </c>
      <c r="AW1107" s="6" t="str">
        <f>HYPERLINK("http://www.worldcat.org/oclc/843753577","WorldCat Record")</f>
        <v>WorldCat Record</v>
      </c>
      <c r="AX1107" s="3" t="s">
        <v>10816</v>
      </c>
      <c r="AY1107" s="3" t="s">
        <v>10817</v>
      </c>
      <c r="AZ1107" s="3" t="s">
        <v>10818</v>
      </c>
      <c r="BA1107" s="3" t="s">
        <v>10818</v>
      </c>
      <c r="BB1107" s="3" t="s">
        <v>10819</v>
      </c>
      <c r="BC1107" s="3" t="s">
        <v>77</v>
      </c>
      <c r="BD1107" s="3" t="s">
        <v>78</v>
      </c>
      <c r="BE1107" s="3" t="s">
        <v>10820</v>
      </c>
      <c r="BF1107" s="3" t="s">
        <v>10819</v>
      </c>
      <c r="BG1107" s="3" t="s">
        <v>10821</v>
      </c>
    </row>
    <row r="1108" spans="1:59" ht="58" x14ac:dyDescent="0.35">
      <c r="A1108" s="2" t="s">
        <v>59</v>
      </c>
      <c r="B1108" s="2" t="s">
        <v>60</v>
      </c>
      <c r="C1108" s="2" t="s">
        <v>10822</v>
      </c>
      <c r="D1108" s="2" t="s">
        <v>10823</v>
      </c>
      <c r="E1108" s="2" t="s">
        <v>10824</v>
      </c>
      <c r="G1108" s="3" t="s">
        <v>65</v>
      </c>
      <c r="I1108" s="3" t="s">
        <v>65</v>
      </c>
      <c r="J1108" s="3" t="s">
        <v>65</v>
      </c>
      <c r="K1108" s="3" t="s">
        <v>66</v>
      </c>
      <c r="L1108" s="2" t="s">
        <v>10825</v>
      </c>
      <c r="M1108" s="2" t="s">
        <v>10826</v>
      </c>
      <c r="N1108" s="3" t="s">
        <v>188</v>
      </c>
      <c r="P1108" s="3" t="s">
        <v>140</v>
      </c>
      <c r="Q1108" s="2" t="s">
        <v>10827</v>
      </c>
      <c r="R1108" s="3" t="s">
        <v>71</v>
      </c>
      <c r="S1108" s="4">
        <v>0</v>
      </c>
      <c r="T1108" s="4">
        <v>0</v>
      </c>
      <c r="W1108" s="5" t="s">
        <v>72</v>
      </c>
      <c r="X1108" s="5" t="s">
        <v>72</v>
      </c>
      <c r="Y1108" s="4">
        <v>44</v>
      </c>
      <c r="Z1108" s="4">
        <v>1</v>
      </c>
      <c r="AA1108" s="4">
        <v>1</v>
      </c>
      <c r="AB1108" s="4">
        <v>1</v>
      </c>
      <c r="AC1108" s="4">
        <v>1</v>
      </c>
      <c r="AD1108" s="4">
        <v>25</v>
      </c>
      <c r="AE1108" s="4">
        <v>25</v>
      </c>
      <c r="AF1108" s="4">
        <v>0</v>
      </c>
      <c r="AG1108" s="4">
        <v>0</v>
      </c>
      <c r="AH1108" s="4">
        <v>24</v>
      </c>
      <c r="AI1108" s="4">
        <v>24</v>
      </c>
      <c r="AJ1108" s="4">
        <v>0</v>
      </c>
      <c r="AK1108" s="4">
        <v>0</v>
      </c>
      <c r="AL1108" s="4">
        <v>21</v>
      </c>
      <c r="AM1108" s="4">
        <v>21</v>
      </c>
      <c r="AN1108" s="4">
        <v>0</v>
      </c>
      <c r="AO1108" s="4">
        <v>0</v>
      </c>
      <c r="AP1108" s="4">
        <v>0</v>
      </c>
      <c r="AQ1108" s="4">
        <v>0</v>
      </c>
      <c r="AR1108" s="3" t="s">
        <v>65</v>
      </c>
      <c r="AS1108" s="3" t="s">
        <v>65</v>
      </c>
      <c r="AT1108" s="3" t="s">
        <v>65</v>
      </c>
      <c r="AV1108" s="6" t="str">
        <f>HYPERLINK("http://mcgill.on.worldcat.org/oclc/992801069","Catalog Record")</f>
        <v>Catalog Record</v>
      </c>
      <c r="AW1108" s="6" t="str">
        <f>HYPERLINK("http://www.worldcat.org/oclc/992801069","WorldCat Record")</f>
        <v>WorldCat Record</v>
      </c>
      <c r="AX1108" s="3" t="s">
        <v>10828</v>
      </c>
      <c r="AY1108" s="3" t="s">
        <v>10829</v>
      </c>
      <c r="AZ1108" s="3" t="s">
        <v>10830</v>
      </c>
      <c r="BA1108" s="3" t="s">
        <v>10830</v>
      </c>
      <c r="BB1108" s="3" t="s">
        <v>10831</v>
      </c>
      <c r="BC1108" s="3" t="s">
        <v>77</v>
      </c>
      <c r="BD1108" s="3" t="s">
        <v>78</v>
      </c>
      <c r="BE1108" s="3" t="s">
        <v>10832</v>
      </c>
      <c r="BF1108" s="3" t="s">
        <v>10831</v>
      </c>
      <c r="BG1108" s="3" t="s">
        <v>10833</v>
      </c>
    </row>
    <row r="1109" spans="1:59" ht="58" x14ac:dyDescent="0.35">
      <c r="A1109" s="2" t="s">
        <v>59</v>
      </c>
      <c r="B1109" s="2" t="s">
        <v>60</v>
      </c>
      <c r="C1109" s="2" t="s">
        <v>10834</v>
      </c>
      <c r="D1109" s="2" t="s">
        <v>10835</v>
      </c>
      <c r="E1109" s="2" t="s">
        <v>10836</v>
      </c>
      <c r="G1109" s="3" t="s">
        <v>65</v>
      </c>
      <c r="I1109" s="3" t="s">
        <v>65</v>
      </c>
      <c r="J1109" s="3" t="s">
        <v>65</v>
      </c>
      <c r="K1109" s="3" t="s">
        <v>66</v>
      </c>
      <c r="L1109" s="2" t="s">
        <v>10837</v>
      </c>
      <c r="M1109" s="2" t="s">
        <v>10838</v>
      </c>
      <c r="N1109" s="3" t="s">
        <v>3385</v>
      </c>
      <c r="P1109" s="3" t="s">
        <v>69</v>
      </c>
      <c r="Q1109" s="2" t="s">
        <v>10839</v>
      </c>
      <c r="R1109" s="3" t="s">
        <v>71</v>
      </c>
      <c r="S1109" s="4">
        <v>20</v>
      </c>
      <c r="T1109" s="4">
        <v>20</v>
      </c>
      <c r="U1109" s="5" t="s">
        <v>3618</v>
      </c>
      <c r="V1109" s="5" t="s">
        <v>3618</v>
      </c>
      <c r="W1109" s="5" t="s">
        <v>72</v>
      </c>
      <c r="X1109" s="5" t="s">
        <v>72</v>
      </c>
      <c r="Y1109" s="4">
        <v>512</v>
      </c>
      <c r="Z1109" s="4">
        <v>27</v>
      </c>
      <c r="AA1109" s="4">
        <v>62</v>
      </c>
      <c r="AB1109" s="4">
        <v>1</v>
      </c>
      <c r="AC1109" s="4">
        <v>5</v>
      </c>
      <c r="AD1109" s="4">
        <v>112</v>
      </c>
      <c r="AE1109" s="4">
        <v>124</v>
      </c>
      <c r="AF1109" s="4">
        <v>0</v>
      </c>
      <c r="AG1109" s="4">
        <v>1</v>
      </c>
      <c r="AH1109" s="4">
        <v>100</v>
      </c>
      <c r="AI1109" s="4">
        <v>104</v>
      </c>
      <c r="AJ1109" s="4">
        <v>15</v>
      </c>
      <c r="AK1109" s="4">
        <v>18</v>
      </c>
      <c r="AL1109" s="4">
        <v>52</v>
      </c>
      <c r="AM1109" s="4">
        <v>55</v>
      </c>
      <c r="AN1109" s="4">
        <v>0</v>
      </c>
      <c r="AO1109" s="4">
        <v>0</v>
      </c>
      <c r="AP1109" s="4">
        <v>19</v>
      </c>
      <c r="AQ1109" s="4">
        <v>28</v>
      </c>
      <c r="AR1109" s="3" t="s">
        <v>65</v>
      </c>
      <c r="AS1109" s="3" t="s">
        <v>65</v>
      </c>
      <c r="AT1109" s="3" t="s">
        <v>209</v>
      </c>
      <c r="AU1109" s="6" t="str">
        <f>HYPERLINK("http://catalog.hathitrust.org/Record/004024446","HathiTrust Record")</f>
        <v>HathiTrust Record</v>
      </c>
      <c r="AV1109" s="6" t="str">
        <f>HYPERLINK("http://mcgill.on.worldcat.org/oclc/40534911","Catalog Record")</f>
        <v>Catalog Record</v>
      </c>
      <c r="AW1109" s="6" t="str">
        <f>HYPERLINK("http://www.worldcat.org/oclc/40534911","WorldCat Record")</f>
        <v>WorldCat Record</v>
      </c>
      <c r="AX1109" s="3" t="s">
        <v>10840</v>
      </c>
      <c r="AY1109" s="3" t="s">
        <v>10841</v>
      </c>
      <c r="AZ1109" s="3" t="s">
        <v>10842</v>
      </c>
      <c r="BA1109" s="3" t="s">
        <v>10842</v>
      </c>
      <c r="BB1109" s="3" t="s">
        <v>10843</v>
      </c>
      <c r="BC1109" s="3" t="s">
        <v>77</v>
      </c>
      <c r="BD1109" s="3" t="s">
        <v>78</v>
      </c>
      <c r="BE1109" s="3" t="s">
        <v>10844</v>
      </c>
      <c r="BF1109" s="3" t="s">
        <v>10843</v>
      </c>
      <c r="BG1109" s="3" t="s">
        <v>10845</v>
      </c>
    </row>
    <row r="1110" spans="1:59" ht="58" x14ac:dyDescent="0.35">
      <c r="A1110" s="2" t="s">
        <v>59</v>
      </c>
      <c r="B1110" s="2" t="s">
        <v>60</v>
      </c>
      <c r="C1110" s="2" t="s">
        <v>10846</v>
      </c>
      <c r="D1110" s="2" t="s">
        <v>10847</v>
      </c>
      <c r="E1110" s="2" t="s">
        <v>10848</v>
      </c>
      <c r="G1110" s="3" t="s">
        <v>65</v>
      </c>
      <c r="I1110" s="3" t="s">
        <v>65</v>
      </c>
      <c r="J1110" s="3" t="s">
        <v>65</v>
      </c>
      <c r="K1110" s="3" t="s">
        <v>66</v>
      </c>
      <c r="L1110" s="2" t="s">
        <v>10849</v>
      </c>
      <c r="M1110" s="2" t="s">
        <v>10850</v>
      </c>
      <c r="N1110" s="3" t="s">
        <v>139</v>
      </c>
      <c r="P1110" s="3" t="s">
        <v>140</v>
      </c>
      <c r="Q1110" s="2" t="s">
        <v>10851</v>
      </c>
      <c r="R1110" s="3" t="s">
        <v>71</v>
      </c>
      <c r="S1110" s="4">
        <v>0</v>
      </c>
      <c r="T1110" s="4">
        <v>0</v>
      </c>
      <c r="W1110" s="5" t="s">
        <v>72</v>
      </c>
      <c r="X1110" s="5" t="s">
        <v>72</v>
      </c>
      <c r="Y1110" s="4">
        <v>38</v>
      </c>
      <c r="Z1110" s="4">
        <v>3</v>
      </c>
      <c r="AA1110" s="4">
        <v>3</v>
      </c>
      <c r="AB1110" s="4">
        <v>1</v>
      </c>
      <c r="AC1110" s="4">
        <v>1</v>
      </c>
      <c r="AD1110" s="4">
        <v>25</v>
      </c>
      <c r="AE1110" s="4">
        <v>25</v>
      </c>
      <c r="AF1110" s="4">
        <v>0</v>
      </c>
      <c r="AG1110" s="4">
        <v>0</v>
      </c>
      <c r="AH1110" s="4">
        <v>24</v>
      </c>
      <c r="AI1110" s="4">
        <v>24</v>
      </c>
      <c r="AJ1110" s="4">
        <v>1</v>
      </c>
      <c r="AK1110" s="4">
        <v>1</v>
      </c>
      <c r="AL1110" s="4">
        <v>21</v>
      </c>
      <c r="AM1110" s="4">
        <v>21</v>
      </c>
      <c r="AN1110" s="4">
        <v>0</v>
      </c>
      <c r="AO1110" s="4">
        <v>0</v>
      </c>
      <c r="AP1110" s="4">
        <v>1</v>
      </c>
      <c r="AQ1110" s="4">
        <v>1</v>
      </c>
      <c r="AR1110" s="3" t="s">
        <v>65</v>
      </c>
      <c r="AS1110" s="3" t="s">
        <v>65</v>
      </c>
      <c r="AT1110" s="3" t="s">
        <v>65</v>
      </c>
      <c r="AV1110" s="6" t="str">
        <f>HYPERLINK("http://mcgill.on.worldcat.org/oclc/823205865","Catalog Record")</f>
        <v>Catalog Record</v>
      </c>
      <c r="AW1110" s="6" t="str">
        <f>HYPERLINK("http://www.worldcat.org/oclc/823205865","WorldCat Record")</f>
        <v>WorldCat Record</v>
      </c>
      <c r="AX1110" s="3" t="s">
        <v>10852</v>
      </c>
      <c r="AY1110" s="3" t="s">
        <v>10853</v>
      </c>
      <c r="AZ1110" s="3" t="s">
        <v>10854</v>
      </c>
      <c r="BA1110" s="3" t="s">
        <v>10854</v>
      </c>
      <c r="BB1110" s="3" t="s">
        <v>10855</v>
      </c>
      <c r="BC1110" s="3" t="s">
        <v>77</v>
      </c>
      <c r="BD1110" s="3" t="s">
        <v>78</v>
      </c>
      <c r="BE1110" s="3" t="s">
        <v>10856</v>
      </c>
      <c r="BF1110" s="3" t="s">
        <v>10855</v>
      </c>
      <c r="BG1110" s="3" t="s">
        <v>10857</v>
      </c>
    </row>
    <row r="1111" spans="1:59" ht="58" x14ac:dyDescent="0.35">
      <c r="A1111" s="2" t="s">
        <v>59</v>
      </c>
      <c r="B1111" s="2" t="s">
        <v>60</v>
      </c>
      <c r="C1111" s="2" t="s">
        <v>10858</v>
      </c>
      <c r="D1111" s="2" t="s">
        <v>10859</v>
      </c>
      <c r="E1111" s="2" t="s">
        <v>10860</v>
      </c>
      <c r="G1111" s="3" t="s">
        <v>65</v>
      </c>
      <c r="I1111" s="3" t="s">
        <v>65</v>
      </c>
      <c r="J1111" s="3" t="s">
        <v>65</v>
      </c>
      <c r="K1111" s="3" t="s">
        <v>66</v>
      </c>
      <c r="L1111" s="2" t="s">
        <v>575</v>
      </c>
      <c r="M1111" s="2" t="s">
        <v>10861</v>
      </c>
      <c r="N1111" s="3" t="s">
        <v>1967</v>
      </c>
      <c r="P1111" s="3" t="s">
        <v>140</v>
      </c>
      <c r="Q1111" s="2" t="s">
        <v>10862</v>
      </c>
      <c r="R1111" s="3" t="s">
        <v>71</v>
      </c>
      <c r="S1111" s="4">
        <v>4</v>
      </c>
      <c r="T1111" s="4">
        <v>4</v>
      </c>
      <c r="U1111" s="5" t="s">
        <v>10863</v>
      </c>
      <c r="V1111" s="5" t="s">
        <v>10863</v>
      </c>
      <c r="W1111" s="5" t="s">
        <v>72</v>
      </c>
      <c r="X1111" s="5" t="s">
        <v>72</v>
      </c>
      <c r="Y1111" s="4">
        <v>63</v>
      </c>
      <c r="Z1111" s="4">
        <v>6</v>
      </c>
      <c r="AA1111" s="4">
        <v>6</v>
      </c>
      <c r="AB1111" s="4">
        <v>1</v>
      </c>
      <c r="AC1111" s="4">
        <v>1</v>
      </c>
      <c r="AD1111" s="4">
        <v>39</v>
      </c>
      <c r="AE1111" s="4">
        <v>39</v>
      </c>
      <c r="AF1111" s="4">
        <v>0</v>
      </c>
      <c r="AG1111" s="4">
        <v>0</v>
      </c>
      <c r="AH1111" s="4">
        <v>37</v>
      </c>
      <c r="AI1111" s="4">
        <v>37</v>
      </c>
      <c r="AJ1111" s="4">
        <v>4</v>
      </c>
      <c r="AK1111" s="4">
        <v>4</v>
      </c>
      <c r="AL1111" s="4">
        <v>27</v>
      </c>
      <c r="AM1111" s="4">
        <v>27</v>
      </c>
      <c r="AN1111" s="4">
        <v>0</v>
      </c>
      <c r="AO1111" s="4">
        <v>0</v>
      </c>
      <c r="AP1111" s="4">
        <v>4</v>
      </c>
      <c r="AQ1111" s="4">
        <v>4</v>
      </c>
      <c r="AR1111" s="3" t="s">
        <v>65</v>
      </c>
      <c r="AS1111" s="3" t="s">
        <v>65</v>
      </c>
      <c r="AT1111" s="3" t="s">
        <v>209</v>
      </c>
      <c r="AU1111" s="6" t="str">
        <f>HYPERLINK("http://catalog.hathitrust.org/Record/003854855","HathiTrust Record")</f>
        <v>HathiTrust Record</v>
      </c>
      <c r="AV1111" s="6" t="str">
        <f>HYPERLINK("http://mcgill.on.worldcat.org/oclc/52224568","Catalog Record")</f>
        <v>Catalog Record</v>
      </c>
      <c r="AW1111" s="6" t="str">
        <f>HYPERLINK("http://www.worldcat.org/oclc/52224568","WorldCat Record")</f>
        <v>WorldCat Record</v>
      </c>
      <c r="AX1111" s="3" t="s">
        <v>10864</v>
      </c>
      <c r="AY1111" s="3" t="s">
        <v>10865</v>
      </c>
      <c r="AZ1111" s="3" t="s">
        <v>10866</v>
      </c>
      <c r="BA1111" s="3" t="s">
        <v>10866</v>
      </c>
      <c r="BB1111" s="3" t="s">
        <v>10867</v>
      </c>
      <c r="BC1111" s="3" t="s">
        <v>77</v>
      </c>
      <c r="BD1111" s="3" t="s">
        <v>78</v>
      </c>
      <c r="BE1111" s="3" t="s">
        <v>10868</v>
      </c>
      <c r="BF1111" s="3" t="s">
        <v>10867</v>
      </c>
      <c r="BG1111" s="3" t="s">
        <v>10869</v>
      </c>
    </row>
    <row r="1112" spans="1:59" ht="58" x14ac:dyDescent="0.35">
      <c r="A1112" s="2" t="s">
        <v>59</v>
      </c>
      <c r="B1112" s="2" t="s">
        <v>60</v>
      </c>
      <c r="C1112" s="2" t="s">
        <v>10870</v>
      </c>
      <c r="D1112" s="2" t="s">
        <v>10871</v>
      </c>
      <c r="E1112" s="2" t="s">
        <v>10872</v>
      </c>
      <c r="G1112" s="3" t="s">
        <v>65</v>
      </c>
      <c r="I1112" s="3" t="s">
        <v>65</v>
      </c>
      <c r="J1112" s="3" t="s">
        <v>65</v>
      </c>
      <c r="K1112" s="3" t="s">
        <v>66</v>
      </c>
      <c r="M1112" s="2" t="s">
        <v>10873</v>
      </c>
      <c r="N1112" s="3" t="s">
        <v>770</v>
      </c>
      <c r="P1112" s="3" t="s">
        <v>69</v>
      </c>
      <c r="Q1112" s="2" t="s">
        <v>10874</v>
      </c>
      <c r="R1112" s="3" t="s">
        <v>71</v>
      </c>
      <c r="S1112" s="4">
        <v>24</v>
      </c>
      <c r="T1112" s="4">
        <v>24</v>
      </c>
      <c r="U1112" s="5" t="s">
        <v>944</v>
      </c>
      <c r="V1112" s="5" t="s">
        <v>944</v>
      </c>
      <c r="W1112" s="5" t="s">
        <v>72</v>
      </c>
      <c r="X1112" s="5" t="s">
        <v>72</v>
      </c>
      <c r="Y1112" s="4">
        <v>444</v>
      </c>
      <c r="Z1112" s="4">
        <v>27</v>
      </c>
      <c r="AA1112" s="4">
        <v>28</v>
      </c>
      <c r="AB1112" s="4">
        <v>2</v>
      </c>
      <c r="AC1112" s="4">
        <v>3</v>
      </c>
      <c r="AD1112" s="4">
        <v>95</v>
      </c>
      <c r="AE1112" s="4">
        <v>96</v>
      </c>
      <c r="AF1112" s="4">
        <v>0</v>
      </c>
      <c r="AG1112" s="4">
        <v>1</v>
      </c>
      <c r="AH1112" s="4">
        <v>84</v>
      </c>
      <c r="AI1112" s="4">
        <v>85</v>
      </c>
      <c r="AJ1112" s="4">
        <v>12</v>
      </c>
      <c r="AK1112" s="4">
        <v>13</v>
      </c>
      <c r="AL1112" s="4">
        <v>48</v>
      </c>
      <c r="AM1112" s="4">
        <v>48</v>
      </c>
      <c r="AN1112" s="4">
        <v>0</v>
      </c>
      <c r="AO1112" s="4">
        <v>0</v>
      </c>
      <c r="AP1112" s="4">
        <v>18</v>
      </c>
      <c r="AQ1112" s="4">
        <v>19</v>
      </c>
      <c r="AR1112" s="3" t="s">
        <v>65</v>
      </c>
      <c r="AS1112" s="3" t="s">
        <v>65</v>
      </c>
      <c r="AT1112" s="3" t="s">
        <v>209</v>
      </c>
      <c r="AU1112" s="6" t="str">
        <f>HYPERLINK("http://catalog.hathitrust.org/Record/002528327","HathiTrust Record")</f>
        <v>HathiTrust Record</v>
      </c>
      <c r="AV1112" s="6" t="str">
        <f>HYPERLINK("http://mcgill.on.worldcat.org/oclc/22597402","Catalog Record")</f>
        <v>Catalog Record</v>
      </c>
      <c r="AW1112" s="6" t="str">
        <f>HYPERLINK("http://www.worldcat.org/oclc/22597402","WorldCat Record")</f>
        <v>WorldCat Record</v>
      </c>
      <c r="AX1112" s="3" t="s">
        <v>10875</v>
      </c>
      <c r="AY1112" s="3" t="s">
        <v>10876</v>
      </c>
      <c r="AZ1112" s="3" t="s">
        <v>10877</v>
      </c>
      <c r="BA1112" s="3" t="s">
        <v>10877</v>
      </c>
      <c r="BB1112" s="3" t="s">
        <v>10878</v>
      </c>
      <c r="BC1112" s="3" t="s">
        <v>77</v>
      </c>
      <c r="BD1112" s="3" t="s">
        <v>78</v>
      </c>
      <c r="BE1112" s="3" t="s">
        <v>10879</v>
      </c>
      <c r="BF1112" s="3" t="s">
        <v>10878</v>
      </c>
      <c r="BG1112" s="3" t="s">
        <v>10880</v>
      </c>
    </row>
    <row r="1113" spans="1:59" ht="58" x14ac:dyDescent="0.35">
      <c r="A1113" s="2" t="s">
        <v>59</v>
      </c>
      <c r="B1113" s="2" t="s">
        <v>60</v>
      </c>
      <c r="C1113" s="2" t="s">
        <v>10881</v>
      </c>
      <c r="D1113" s="2" t="s">
        <v>10882</v>
      </c>
      <c r="E1113" s="2" t="s">
        <v>10883</v>
      </c>
      <c r="G1113" s="3" t="s">
        <v>65</v>
      </c>
      <c r="I1113" s="3" t="s">
        <v>209</v>
      </c>
      <c r="J1113" s="3" t="s">
        <v>65</v>
      </c>
      <c r="K1113" s="3" t="s">
        <v>66</v>
      </c>
      <c r="M1113" s="2" t="s">
        <v>10884</v>
      </c>
      <c r="N1113" s="3" t="s">
        <v>552</v>
      </c>
      <c r="P1113" s="3" t="s">
        <v>69</v>
      </c>
      <c r="Q1113" s="2" t="s">
        <v>10885</v>
      </c>
      <c r="R1113" s="3" t="s">
        <v>71</v>
      </c>
      <c r="S1113" s="4">
        <v>35</v>
      </c>
      <c r="T1113" s="4">
        <v>63</v>
      </c>
      <c r="U1113" s="5" t="s">
        <v>10886</v>
      </c>
      <c r="V1113" s="5" t="s">
        <v>10886</v>
      </c>
      <c r="W1113" s="5" t="s">
        <v>72</v>
      </c>
      <c r="X1113" s="5" t="s">
        <v>72</v>
      </c>
      <c r="Y1113" s="4">
        <v>622</v>
      </c>
      <c r="Z1113" s="4">
        <v>36</v>
      </c>
      <c r="AA1113" s="4">
        <v>130</v>
      </c>
      <c r="AB1113" s="4">
        <v>1</v>
      </c>
      <c r="AC1113" s="4">
        <v>23</v>
      </c>
      <c r="AD1113" s="4">
        <v>117</v>
      </c>
      <c r="AE1113" s="4">
        <v>160</v>
      </c>
      <c r="AF1113" s="4">
        <v>0</v>
      </c>
      <c r="AG1113" s="4">
        <v>8</v>
      </c>
      <c r="AH1113" s="4">
        <v>102</v>
      </c>
      <c r="AI1113" s="4">
        <v>111</v>
      </c>
      <c r="AJ1113" s="4">
        <v>14</v>
      </c>
      <c r="AK1113" s="4">
        <v>29</v>
      </c>
      <c r="AL1113" s="4">
        <v>56</v>
      </c>
      <c r="AM1113" s="4">
        <v>59</v>
      </c>
      <c r="AN1113" s="4">
        <v>0</v>
      </c>
      <c r="AO1113" s="4">
        <v>0</v>
      </c>
      <c r="AP1113" s="4">
        <v>20</v>
      </c>
      <c r="AQ1113" s="4">
        <v>57</v>
      </c>
      <c r="AR1113" s="3" t="s">
        <v>209</v>
      </c>
      <c r="AS1113" s="3" t="s">
        <v>65</v>
      </c>
      <c r="AT1113" s="3" t="s">
        <v>209</v>
      </c>
      <c r="AU1113" s="6" t="str">
        <f>HYPERLINK("http://catalog.hathitrust.org/Record/003154207","HathiTrust Record")</f>
        <v>HathiTrust Record</v>
      </c>
      <c r="AV1113" s="6" t="str">
        <f>HYPERLINK("http://mcgill.on.worldcat.org/oclc/36838870","Catalog Record")</f>
        <v>Catalog Record</v>
      </c>
      <c r="AW1113" s="6" t="str">
        <f>HYPERLINK("http://www.worldcat.org/oclc/36838870","WorldCat Record")</f>
        <v>WorldCat Record</v>
      </c>
      <c r="AX1113" s="3" t="s">
        <v>10887</v>
      </c>
      <c r="AY1113" s="3" t="s">
        <v>10888</v>
      </c>
      <c r="AZ1113" s="3" t="s">
        <v>10889</v>
      </c>
      <c r="BA1113" s="3" t="s">
        <v>10889</v>
      </c>
      <c r="BB1113" s="3" t="s">
        <v>10890</v>
      </c>
      <c r="BC1113" s="3" t="s">
        <v>77</v>
      </c>
      <c r="BD1113" s="3" t="s">
        <v>78</v>
      </c>
      <c r="BE1113" s="3" t="s">
        <v>10891</v>
      </c>
      <c r="BF1113" s="3" t="s">
        <v>10890</v>
      </c>
      <c r="BG1113" s="3" t="s">
        <v>10892</v>
      </c>
    </row>
    <row r="1114" spans="1:59" ht="58" x14ac:dyDescent="0.35">
      <c r="A1114" s="2" t="s">
        <v>59</v>
      </c>
      <c r="B1114" s="2" t="s">
        <v>60</v>
      </c>
      <c r="C1114" s="2" t="s">
        <v>10881</v>
      </c>
      <c r="D1114" s="2" t="s">
        <v>10882</v>
      </c>
      <c r="E1114" s="2" t="s">
        <v>10883</v>
      </c>
      <c r="G1114" s="3" t="s">
        <v>65</v>
      </c>
      <c r="I1114" s="3" t="s">
        <v>209</v>
      </c>
      <c r="J1114" s="3" t="s">
        <v>65</v>
      </c>
      <c r="K1114" s="3" t="s">
        <v>66</v>
      </c>
      <c r="M1114" s="2" t="s">
        <v>10884</v>
      </c>
      <c r="N1114" s="3" t="s">
        <v>552</v>
      </c>
      <c r="P1114" s="3" t="s">
        <v>69</v>
      </c>
      <c r="Q1114" s="2" t="s">
        <v>10885</v>
      </c>
      <c r="R1114" s="3" t="s">
        <v>71</v>
      </c>
      <c r="S1114" s="4">
        <v>28</v>
      </c>
      <c r="T1114" s="4">
        <v>63</v>
      </c>
      <c r="U1114" s="5" t="s">
        <v>10893</v>
      </c>
      <c r="V1114" s="5" t="s">
        <v>10886</v>
      </c>
      <c r="W1114" s="5" t="s">
        <v>72</v>
      </c>
      <c r="X1114" s="5" t="s">
        <v>72</v>
      </c>
      <c r="Y1114" s="4">
        <v>622</v>
      </c>
      <c r="Z1114" s="4">
        <v>36</v>
      </c>
      <c r="AA1114" s="4">
        <v>130</v>
      </c>
      <c r="AB1114" s="4">
        <v>1</v>
      </c>
      <c r="AC1114" s="4">
        <v>23</v>
      </c>
      <c r="AD1114" s="4">
        <v>117</v>
      </c>
      <c r="AE1114" s="4">
        <v>160</v>
      </c>
      <c r="AF1114" s="4">
        <v>0</v>
      </c>
      <c r="AG1114" s="4">
        <v>8</v>
      </c>
      <c r="AH1114" s="4">
        <v>102</v>
      </c>
      <c r="AI1114" s="4">
        <v>111</v>
      </c>
      <c r="AJ1114" s="4">
        <v>14</v>
      </c>
      <c r="AK1114" s="4">
        <v>29</v>
      </c>
      <c r="AL1114" s="4">
        <v>56</v>
      </c>
      <c r="AM1114" s="4">
        <v>59</v>
      </c>
      <c r="AN1114" s="4">
        <v>0</v>
      </c>
      <c r="AO1114" s="4">
        <v>0</v>
      </c>
      <c r="AP1114" s="4">
        <v>20</v>
      </c>
      <c r="AQ1114" s="4">
        <v>57</v>
      </c>
      <c r="AR1114" s="3" t="s">
        <v>209</v>
      </c>
      <c r="AS1114" s="3" t="s">
        <v>65</v>
      </c>
      <c r="AT1114" s="3" t="s">
        <v>209</v>
      </c>
      <c r="AU1114" s="6" t="str">
        <f>HYPERLINK("http://catalog.hathitrust.org/Record/003154207","HathiTrust Record")</f>
        <v>HathiTrust Record</v>
      </c>
      <c r="AV1114" s="6" t="str">
        <f>HYPERLINK("http://mcgill.on.worldcat.org/oclc/36838870","Catalog Record")</f>
        <v>Catalog Record</v>
      </c>
      <c r="AW1114" s="6" t="str">
        <f>HYPERLINK("http://www.worldcat.org/oclc/36838870","WorldCat Record")</f>
        <v>WorldCat Record</v>
      </c>
      <c r="AX1114" s="3" t="s">
        <v>10887</v>
      </c>
      <c r="AY1114" s="3" t="s">
        <v>10888</v>
      </c>
      <c r="AZ1114" s="3" t="s">
        <v>10889</v>
      </c>
      <c r="BA1114" s="3" t="s">
        <v>10889</v>
      </c>
      <c r="BB1114" s="3" t="s">
        <v>10894</v>
      </c>
      <c r="BC1114" s="3" t="s">
        <v>77</v>
      </c>
      <c r="BD1114" s="3" t="s">
        <v>78</v>
      </c>
      <c r="BE1114" s="3" t="s">
        <v>10891</v>
      </c>
      <c r="BF1114" s="3" t="s">
        <v>10894</v>
      </c>
      <c r="BG1114" s="3" t="s">
        <v>10895</v>
      </c>
    </row>
    <row r="1115" spans="1:59" ht="58" x14ac:dyDescent="0.35">
      <c r="A1115" s="2" t="s">
        <v>59</v>
      </c>
      <c r="B1115" s="2" t="s">
        <v>60</v>
      </c>
      <c r="C1115" s="2" t="s">
        <v>10896</v>
      </c>
      <c r="D1115" s="2" t="s">
        <v>10897</v>
      </c>
      <c r="E1115" s="2" t="s">
        <v>10898</v>
      </c>
      <c r="G1115" s="3" t="s">
        <v>65</v>
      </c>
      <c r="I1115" s="3" t="s">
        <v>65</v>
      </c>
      <c r="J1115" s="3" t="s">
        <v>65</v>
      </c>
      <c r="K1115" s="3" t="s">
        <v>66</v>
      </c>
      <c r="M1115" s="2" t="s">
        <v>10899</v>
      </c>
      <c r="N1115" s="3" t="s">
        <v>164</v>
      </c>
      <c r="P1115" s="3" t="s">
        <v>69</v>
      </c>
      <c r="Q1115" s="2" t="s">
        <v>10900</v>
      </c>
      <c r="R1115" s="3" t="s">
        <v>71</v>
      </c>
      <c r="S1115" s="4">
        <v>5</v>
      </c>
      <c r="T1115" s="4">
        <v>5</v>
      </c>
      <c r="U1115" s="5" t="s">
        <v>10901</v>
      </c>
      <c r="V1115" s="5" t="s">
        <v>10901</v>
      </c>
      <c r="W1115" s="5" t="s">
        <v>72</v>
      </c>
      <c r="X1115" s="5" t="s">
        <v>72</v>
      </c>
      <c r="Y1115" s="4">
        <v>183</v>
      </c>
      <c r="Z1115" s="4">
        <v>12</v>
      </c>
      <c r="AA1115" s="4">
        <v>12</v>
      </c>
      <c r="AB1115" s="4">
        <v>1</v>
      </c>
      <c r="AC1115" s="4">
        <v>1</v>
      </c>
      <c r="AD1115" s="4">
        <v>63</v>
      </c>
      <c r="AE1115" s="4">
        <v>63</v>
      </c>
      <c r="AF1115" s="4">
        <v>0</v>
      </c>
      <c r="AG1115" s="4">
        <v>0</v>
      </c>
      <c r="AH1115" s="4">
        <v>60</v>
      </c>
      <c r="AI1115" s="4">
        <v>60</v>
      </c>
      <c r="AJ1115" s="4">
        <v>7</v>
      </c>
      <c r="AK1115" s="4">
        <v>7</v>
      </c>
      <c r="AL1115" s="4">
        <v>39</v>
      </c>
      <c r="AM1115" s="4">
        <v>39</v>
      </c>
      <c r="AN1115" s="4">
        <v>0</v>
      </c>
      <c r="AO1115" s="4">
        <v>0</v>
      </c>
      <c r="AP1115" s="4">
        <v>7</v>
      </c>
      <c r="AQ1115" s="4">
        <v>7</v>
      </c>
      <c r="AR1115" s="3" t="s">
        <v>65</v>
      </c>
      <c r="AS1115" s="3" t="s">
        <v>65</v>
      </c>
      <c r="AT1115" s="3" t="s">
        <v>65</v>
      </c>
      <c r="AV1115" s="6" t="str">
        <f>HYPERLINK("http://mcgill.on.worldcat.org/oclc/876000086","Catalog Record")</f>
        <v>Catalog Record</v>
      </c>
      <c r="AW1115" s="6" t="str">
        <f>HYPERLINK("http://www.worldcat.org/oclc/876000086","WorldCat Record")</f>
        <v>WorldCat Record</v>
      </c>
      <c r="AX1115" s="3" t="s">
        <v>10902</v>
      </c>
      <c r="AY1115" s="3" t="s">
        <v>10903</v>
      </c>
      <c r="AZ1115" s="3" t="s">
        <v>10904</v>
      </c>
      <c r="BA1115" s="3" t="s">
        <v>10904</v>
      </c>
      <c r="BB1115" s="3" t="s">
        <v>10905</v>
      </c>
      <c r="BC1115" s="3" t="s">
        <v>77</v>
      </c>
      <c r="BD1115" s="3" t="s">
        <v>106</v>
      </c>
      <c r="BE1115" s="3" t="s">
        <v>10906</v>
      </c>
      <c r="BF1115" s="3" t="s">
        <v>10905</v>
      </c>
      <c r="BG1115" s="3" t="s">
        <v>10907</v>
      </c>
    </row>
    <row r="1116" spans="1:59" ht="58" x14ac:dyDescent="0.35">
      <c r="A1116" s="2" t="s">
        <v>59</v>
      </c>
      <c r="B1116" s="2" t="s">
        <v>60</v>
      </c>
      <c r="C1116" s="2" t="s">
        <v>10908</v>
      </c>
      <c r="D1116" s="2" t="s">
        <v>10909</v>
      </c>
      <c r="E1116" s="2" t="s">
        <v>10910</v>
      </c>
      <c r="G1116" s="3" t="s">
        <v>65</v>
      </c>
      <c r="I1116" s="3" t="s">
        <v>65</v>
      </c>
      <c r="J1116" s="3" t="s">
        <v>65</v>
      </c>
      <c r="K1116" s="3" t="s">
        <v>66</v>
      </c>
      <c r="M1116" s="2" t="s">
        <v>10911</v>
      </c>
      <c r="N1116" s="3" t="s">
        <v>1032</v>
      </c>
      <c r="P1116" s="3" t="s">
        <v>69</v>
      </c>
      <c r="Q1116" s="2" t="s">
        <v>10912</v>
      </c>
      <c r="R1116" s="3" t="s">
        <v>71</v>
      </c>
      <c r="S1116" s="4">
        <v>32</v>
      </c>
      <c r="T1116" s="4">
        <v>32</v>
      </c>
      <c r="U1116" s="5" t="s">
        <v>10901</v>
      </c>
      <c r="V1116" s="5" t="s">
        <v>10901</v>
      </c>
      <c r="W1116" s="5" t="s">
        <v>72</v>
      </c>
      <c r="X1116" s="5" t="s">
        <v>72</v>
      </c>
      <c r="Y1116" s="4">
        <v>217</v>
      </c>
      <c r="Z1116" s="4">
        <v>14</v>
      </c>
      <c r="AA1116" s="4">
        <v>14</v>
      </c>
      <c r="AB1116" s="4">
        <v>1</v>
      </c>
      <c r="AC1116" s="4">
        <v>1</v>
      </c>
      <c r="AD1116" s="4">
        <v>88</v>
      </c>
      <c r="AE1116" s="4">
        <v>88</v>
      </c>
      <c r="AF1116" s="4">
        <v>0</v>
      </c>
      <c r="AG1116" s="4">
        <v>0</v>
      </c>
      <c r="AH1116" s="4">
        <v>81</v>
      </c>
      <c r="AI1116" s="4">
        <v>81</v>
      </c>
      <c r="AJ1116" s="4">
        <v>11</v>
      </c>
      <c r="AK1116" s="4">
        <v>11</v>
      </c>
      <c r="AL1116" s="4">
        <v>47</v>
      </c>
      <c r="AM1116" s="4">
        <v>47</v>
      </c>
      <c r="AN1116" s="4">
        <v>0</v>
      </c>
      <c r="AO1116" s="4">
        <v>0</v>
      </c>
      <c r="AP1116" s="4">
        <v>11</v>
      </c>
      <c r="AQ1116" s="4">
        <v>11</v>
      </c>
      <c r="AR1116" s="3" t="s">
        <v>65</v>
      </c>
      <c r="AS1116" s="3" t="s">
        <v>65</v>
      </c>
      <c r="AT1116" s="3" t="s">
        <v>209</v>
      </c>
      <c r="AU1116" s="6" t="str">
        <f>HYPERLINK("http://catalog.hathitrust.org/Record/003043776","HathiTrust Record")</f>
        <v>HathiTrust Record</v>
      </c>
      <c r="AV1116" s="6" t="str">
        <f>HYPERLINK("http://mcgill.on.worldcat.org/oclc/34174882","Catalog Record")</f>
        <v>Catalog Record</v>
      </c>
      <c r="AW1116" s="6" t="str">
        <f>HYPERLINK("http://www.worldcat.org/oclc/34174882","WorldCat Record")</f>
        <v>WorldCat Record</v>
      </c>
      <c r="AX1116" s="3" t="s">
        <v>10913</v>
      </c>
      <c r="AY1116" s="3" t="s">
        <v>10914</v>
      </c>
      <c r="AZ1116" s="3" t="s">
        <v>10915</v>
      </c>
      <c r="BA1116" s="3" t="s">
        <v>10915</v>
      </c>
      <c r="BB1116" s="3" t="s">
        <v>10916</v>
      </c>
      <c r="BC1116" s="3" t="s">
        <v>77</v>
      </c>
      <c r="BD1116" s="3" t="s">
        <v>78</v>
      </c>
      <c r="BE1116" s="3" t="s">
        <v>10917</v>
      </c>
      <c r="BF1116" s="3" t="s">
        <v>10916</v>
      </c>
      <c r="BG1116" s="3" t="s">
        <v>10918</v>
      </c>
    </row>
    <row r="1117" spans="1:59" ht="58" x14ac:dyDescent="0.35">
      <c r="A1117" s="2" t="s">
        <v>59</v>
      </c>
      <c r="B1117" s="2" t="s">
        <v>60</v>
      </c>
      <c r="C1117" s="2" t="s">
        <v>10919</v>
      </c>
      <c r="D1117" s="2" t="s">
        <v>10920</v>
      </c>
      <c r="E1117" s="2" t="s">
        <v>10921</v>
      </c>
      <c r="G1117" s="3" t="s">
        <v>65</v>
      </c>
      <c r="I1117" s="3" t="s">
        <v>65</v>
      </c>
      <c r="J1117" s="3" t="s">
        <v>65</v>
      </c>
      <c r="K1117" s="3" t="s">
        <v>66</v>
      </c>
      <c r="M1117" s="2" t="s">
        <v>10922</v>
      </c>
      <c r="N1117" s="3" t="s">
        <v>1967</v>
      </c>
      <c r="O1117" s="2" t="s">
        <v>526</v>
      </c>
      <c r="P1117" s="3" t="s">
        <v>69</v>
      </c>
      <c r="Q1117" s="2" t="s">
        <v>10923</v>
      </c>
      <c r="R1117" s="3" t="s">
        <v>71</v>
      </c>
      <c r="S1117" s="4">
        <v>36</v>
      </c>
      <c r="T1117" s="4">
        <v>36</v>
      </c>
      <c r="U1117" s="5" t="s">
        <v>10924</v>
      </c>
      <c r="V1117" s="5" t="s">
        <v>10924</v>
      </c>
      <c r="W1117" s="5" t="s">
        <v>72</v>
      </c>
      <c r="X1117" s="5" t="s">
        <v>72</v>
      </c>
      <c r="Y1117" s="4">
        <v>336</v>
      </c>
      <c r="Z1117" s="4">
        <v>18</v>
      </c>
      <c r="AA1117" s="4">
        <v>37</v>
      </c>
      <c r="AB1117" s="4">
        <v>1</v>
      </c>
      <c r="AC1117" s="4">
        <v>9</v>
      </c>
      <c r="AD1117" s="4">
        <v>97</v>
      </c>
      <c r="AE1117" s="4">
        <v>110</v>
      </c>
      <c r="AF1117" s="4">
        <v>0</v>
      </c>
      <c r="AG1117" s="4">
        <v>4</v>
      </c>
      <c r="AH1117" s="4">
        <v>90</v>
      </c>
      <c r="AI1117" s="4">
        <v>97</v>
      </c>
      <c r="AJ1117" s="4">
        <v>9</v>
      </c>
      <c r="AK1117" s="4">
        <v>13</v>
      </c>
      <c r="AL1117" s="4">
        <v>52</v>
      </c>
      <c r="AM1117" s="4">
        <v>55</v>
      </c>
      <c r="AN1117" s="4">
        <v>0</v>
      </c>
      <c r="AO1117" s="4">
        <v>0</v>
      </c>
      <c r="AP1117" s="4">
        <v>11</v>
      </c>
      <c r="AQ1117" s="4">
        <v>18</v>
      </c>
      <c r="AR1117" s="3" t="s">
        <v>65</v>
      </c>
      <c r="AS1117" s="3" t="s">
        <v>65</v>
      </c>
      <c r="AT1117" s="3" t="s">
        <v>65</v>
      </c>
      <c r="AV1117" s="6" t="str">
        <f>HYPERLINK("http://mcgill.on.worldcat.org/oclc/52386376","Catalog Record")</f>
        <v>Catalog Record</v>
      </c>
      <c r="AW1117" s="6" t="str">
        <f>HYPERLINK("http://www.worldcat.org/oclc/52386376","WorldCat Record")</f>
        <v>WorldCat Record</v>
      </c>
      <c r="AX1117" s="3" t="s">
        <v>10925</v>
      </c>
      <c r="AY1117" s="3" t="s">
        <v>10926</v>
      </c>
      <c r="AZ1117" s="3" t="s">
        <v>10927</v>
      </c>
      <c r="BA1117" s="3" t="s">
        <v>10927</v>
      </c>
      <c r="BB1117" s="3" t="s">
        <v>10928</v>
      </c>
      <c r="BC1117" s="3" t="s">
        <v>77</v>
      </c>
      <c r="BD1117" s="3" t="s">
        <v>78</v>
      </c>
      <c r="BE1117" s="3" t="s">
        <v>10929</v>
      </c>
      <c r="BF1117" s="3" t="s">
        <v>10928</v>
      </c>
      <c r="BG1117" s="3" t="s">
        <v>10930</v>
      </c>
    </row>
    <row r="1118" spans="1:59" ht="58" x14ac:dyDescent="0.35">
      <c r="A1118" s="2" t="s">
        <v>59</v>
      </c>
      <c r="B1118" s="2" t="s">
        <v>60</v>
      </c>
      <c r="C1118" s="2" t="s">
        <v>10931</v>
      </c>
      <c r="D1118" s="2" t="s">
        <v>10932</v>
      </c>
      <c r="E1118" s="2" t="s">
        <v>10933</v>
      </c>
      <c r="F1118" s="3" t="s">
        <v>9132</v>
      </c>
      <c r="G1118" s="3" t="s">
        <v>209</v>
      </c>
      <c r="I1118" s="3" t="s">
        <v>65</v>
      </c>
      <c r="J1118" s="3" t="s">
        <v>65</v>
      </c>
      <c r="K1118" s="3" t="s">
        <v>66</v>
      </c>
      <c r="M1118" s="2" t="s">
        <v>10934</v>
      </c>
      <c r="N1118" s="3" t="s">
        <v>1967</v>
      </c>
      <c r="P1118" s="3" t="s">
        <v>69</v>
      </c>
      <c r="R1118" s="3" t="s">
        <v>71</v>
      </c>
      <c r="S1118" s="4">
        <v>18</v>
      </c>
      <c r="T1118" s="4">
        <v>67</v>
      </c>
      <c r="U1118" s="5" t="s">
        <v>10935</v>
      </c>
      <c r="V1118" s="5" t="s">
        <v>10935</v>
      </c>
      <c r="W1118" s="5" t="s">
        <v>72</v>
      </c>
      <c r="X1118" s="5" t="s">
        <v>72</v>
      </c>
      <c r="Y1118" s="4">
        <v>131</v>
      </c>
      <c r="Z1118" s="4">
        <v>9</v>
      </c>
      <c r="AA1118" s="4">
        <v>9</v>
      </c>
      <c r="AB1118" s="4">
        <v>1</v>
      </c>
      <c r="AC1118" s="4">
        <v>1</v>
      </c>
      <c r="AD1118" s="4">
        <v>54</v>
      </c>
      <c r="AE1118" s="4">
        <v>54</v>
      </c>
      <c r="AF1118" s="4">
        <v>0</v>
      </c>
      <c r="AG1118" s="4">
        <v>0</v>
      </c>
      <c r="AH1118" s="4">
        <v>49</v>
      </c>
      <c r="AI1118" s="4">
        <v>49</v>
      </c>
      <c r="AJ1118" s="4">
        <v>4</v>
      </c>
      <c r="AK1118" s="4">
        <v>4</v>
      </c>
      <c r="AL1118" s="4">
        <v>30</v>
      </c>
      <c r="AM1118" s="4">
        <v>30</v>
      </c>
      <c r="AN1118" s="4">
        <v>0</v>
      </c>
      <c r="AO1118" s="4">
        <v>0</v>
      </c>
      <c r="AP1118" s="4">
        <v>5</v>
      </c>
      <c r="AQ1118" s="4">
        <v>5</v>
      </c>
      <c r="AR1118" s="3" t="s">
        <v>65</v>
      </c>
      <c r="AS1118" s="3" t="s">
        <v>65</v>
      </c>
      <c r="AT1118" s="3" t="s">
        <v>65</v>
      </c>
      <c r="AV1118" s="6" t="str">
        <f t="shared" ref="AV1118:AV1125" si="19">HYPERLINK("http://mcgill.on.worldcat.org/oclc/50899107","Catalog Record")</f>
        <v>Catalog Record</v>
      </c>
      <c r="AW1118" s="6" t="str">
        <f t="shared" ref="AW1118:AW1125" si="20">HYPERLINK("http://www.worldcat.org/oclc/50899107","WorldCat Record")</f>
        <v>WorldCat Record</v>
      </c>
      <c r="AX1118" s="3" t="s">
        <v>10936</v>
      </c>
      <c r="AY1118" s="3" t="s">
        <v>10937</v>
      </c>
      <c r="AZ1118" s="3" t="s">
        <v>10938</v>
      </c>
      <c r="BA1118" s="3" t="s">
        <v>10938</v>
      </c>
      <c r="BB1118" s="3" t="s">
        <v>10939</v>
      </c>
      <c r="BC1118" s="3" t="s">
        <v>77</v>
      </c>
      <c r="BD1118" s="3" t="s">
        <v>78</v>
      </c>
      <c r="BE1118" s="3" t="s">
        <v>10940</v>
      </c>
      <c r="BF1118" s="3" t="s">
        <v>10939</v>
      </c>
      <c r="BG1118" s="3" t="s">
        <v>10941</v>
      </c>
    </row>
    <row r="1119" spans="1:59" ht="58" x14ac:dyDescent="0.35">
      <c r="A1119" s="2" t="s">
        <v>59</v>
      </c>
      <c r="B1119" s="2" t="s">
        <v>60</v>
      </c>
      <c r="C1119" s="2" t="s">
        <v>10931</v>
      </c>
      <c r="D1119" s="2" t="s">
        <v>10932</v>
      </c>
      <c r="E1119" s="2" t="s">
        <v>10933</v>
      </c>
      <c r="F1119" s="3" t="s">
        <v>8361</v>
      </c>
      <c r="G1119" s="3" t="s">
        <v>209</v>
      </c>
      <c r="I1119" s="3" t="s">
        <v>65</v>
      </c>
      <c r="J1119" s="3" t="s">
        <v>65</v>
      </c>
      <c r="K1119" s="3" t="s">
        <v>66</v>
      </c>
      <c r="M1119" s="2" t="s">
        <v>10934</v>
      </c>
      <c r="N1119" s="3" t="s">
        <v>1967</v>
      </c>
      <c r="P1119" s="3" t="s">
        <v>69</v>
      </c>
      <c r="R1119" s="3" t="s">
        <v>71</v>
      </c>
      <c r="S1119" s="4">
        <v>11</v>
      </c>
      <c r="T1119" s="4">
        <v>67</v>
      </c>
      <c r="U1119" s="5" t="s">
        <v>10942</v>
      </c>
      <c r="V1119" s="5" t="s">
        <v>10935</v>
      </c>
      <c r="W1119" s="5" t="s">
        <v>72</v>
      </c>
      <c r="X1119" s="5" t="s">
        <v>72</v>
      </c>
      <c r="Y1119" s="4">
        <v>131</v>
      </c>
      <c r="Z1119" s="4">
        <v>9</v>
      </c>
      <c r="AA1119" s="4">
        <v>9</v>
      </c>
      <c r="AB1119" s="4">
        <v>1</v>
      </c>
      <c r="AC1119" s="4">
        <v>1</v>
      </c>
      <c r="AD1119" s="4">
        <v>54</v>
      </c>
      <c r="AE1119" s="4">
        <v>54</v>
      </c>
      <c r="AF1119" s="4">
        <v>0</v>
      </c>
      <c r="AG1119" s="4">
        <v>0</v>
      </c>
      <c r="AH1119" s="4">
        <v>49</v>
      </c>
      <c r="AI1119" s="4">
        <v>49</v>
      </c>
      <c r="AJ1119" s="4">
        <v>4</v>
      </c>
      <c r="AK1119" s="4">
        <v>4</v>
      </c>
      <c r="AL1119" s="4">
        <v>30</v>
      </c>
      <c r="AM1119" s="4">
        <v>30</v>
      </c>
      <c r="AN1119" s="4">
        <v>0</v>
      </c>
      <c r="AO1119" s="4">
        <v>0</v>
      </c>
      <c r="AP1119" s="4">
        <v>5</v>
      </c>
      <c r="AQ1119" s="4">
        <v>5</v>
      </c>
      <c r="AR1119" s="3" t="s">
        <v>65</v>
      </c>
      <c r="AS1119" s="3" t="s">
        <v>65</v>
      </c>
      <c r="AT1119" s="3" t="s">
        <v>65</v>
      </c>
      <c r="AV1119" s="6" t="str">
        <f t="shared" si="19"/>
        <v>Catalog Record</v>
      </c>
      <c r="AW1119" s="6" t="str">
        <f t="shared" si="20"/>
        <v>WorldCat Record</v>
      </c>
      <c r="AX1119" s="3" t="s">
        <v>10936</v>
      </c>
      <c r="AY1119" s="3" t="s">
        <v>10937</v>
      </c>
      <c r="AZ1119" s="3" t="s">
        <v>10938</v>
      </c>
      <c r="BA1119" s="3" t="s">
        <v>10938</v>
      </c>
      <c r="BB1119" s="3" t="s">
        <v>10943</v>
      </c>
      <c r="BC1119" s="3" t="s">
        <v>77</v>
      </c>
      <c r="BD1119" s="3" t="s">
        <v>78</v>
      </c>
      <c r="BE1119" s="3" t="s">
        <v>10940</v>
      </c>
      <c r="BF1119" s="3" t="s">
        <v>10943</v>
      </c>
      <c r="BG1119" s="3" t="s">
        <v>10944</v>
      </c>
    </row>
    <row r="1120" spans="1:59" ht="58" x14ac:dyDescent="0.35">
      <c r="A1120" s="2" t="s">
        <v>59</v>
      </c>
      <c r="B1120" s="2" t="s">
        <v>60</v>
      </c>
      <c r="C1120" s="2" t="s">
        <v>10931</v>
      </c>
      <c r="D1120" s="2" t="s">
        <v>10932</v>
      </c>
      <c r="E1120" s="2" t="s">
        <v>10933</v>
      </c>
      <c r="F1120" s="3" t="s">
        <v>10945</v>
      </c>
      <c r="G1120" s="3" t="s">
        <v>209</v>
      </c>
      <c r="I1120" s="3" t="s">
        <v>65</v>
      </c>
      <c r="J1120" s="3" t="s">
        <v>65</v>
      </c>
      <c r="K1120" s="3" t="s">
        <v>66</v>
      </c>
      <c r="M1120" s="2" t="s">
        <v>10934</v>
      </c>
      <c r="N1120" s="3" t="s">
        <v>1967</v>
      </c>
      <c r="P1120" s="3" t="s">
        <v>69</v>
      </c>
      <c r="R1120" s="3" t="s">
        <v>71</v>
      </c>
      <c r="S1120" s="4">
        <v>4</v>
      </c>
      <c r="T1120" s="4">
        <v>67</v>
      </c>
      <c r="U1120" s="5" t="s">
        <v>10946</v>
      </c>
      <c r="V1120" s="5" t="s">
        <v>10935</v>
      </c>
      <c r="W1120" s="5" t="s">
        <v>72</v>
      </c>
      <c r="X1120" s="5" t="s">
        <v>72</v>
      </c>
      <c r="Y1120" s="4">
        <v>131</v>
      </c>
      <c r="Z1120" s="4">
        <v>9</v>
      </c>
      <c r="AA1120" s="4">
        <v>9</v>
      </c>
      <c r="AB1120" s="4">
        <v>1</v>
      </c>
      <c r="AC1120" s="4">
        <v>1</v>
      </c>
      <c r="AD1120" s="4">
        <v>54</v>
      </c>
      <c r="AE1120" s="4">
        <v>54</v>
      </c>
      <c r="AF1120" s="4">
        <v>0</v>
      </c>
      <c r="AG1120" s="4">
        <v>0</v>
      </c>
      <c r="AH1120" s="4">
        <v>49</v>
      </c>
      <c r="AI1120" s="4">
        <v>49</v>
      </c>
      <c r="AJ1120" s="4">
        <v>4</v>
      </c>
      <c r="AK1120" s="4">
        <v>4</v>
      </c>
      <c r="AL1120" s="4">
        <v>30</v>
      </c>
      <c r="AM1120" s="4">
        <v>30</v>
      </c>
      <c r="AN1120" s="4">
        <v>0</v>
      </c>
      <c r="AO1120" s="4">
        <v>0</v>
      </c>
      <c r="AP1120" s="4">
        <v>5</v>
      </c>
      <c r="AQ1120" s="4">
        <v>5</v>
      </c>
      <c r="AR1120" s="3" t="s">
        <v>65</v>
      </c>
      <c r="AS1120" s="3" t="s">
        <v>65</v>
      </c>
      <c r="AT1120" s="3" t="s">
        <v>65</v>
      </c>
      <c r="AV1120" s="6" t="str">
        <f t="shared" si="19"/>
        <v>Catalog Record</v>
      </c>
      <c r="AW1120" s="6" t="str">
        <f t="shared" si="20"/>
        <v>WorldCat Record</v>
      </c>
      <c r="AX1120" s="3" t="s">
        <v>10936</v>
      </c>
      <c r="AY1120" s="3" t="s">
        <v>10937</v>
      </c>
      <c r="AZ1120" s="3" t="s">
        <v>10938</v>
      </c>
      <c r="BA1120" s="3" t="s">
        <v>10938</v>
      </c>
      <c r="BB1120" s="3" t="s">
        <v>10947</v>
      </c>
      <c r="BC1120" s="3" t="s">
        <v>77</v>
      </c>
      <c r="BD1120" s="3" t="s">
        <v>78</v>
      </c>
      <c r="BE1120" s="3" t="s">
        <v>10940</v>
      </c>
      <c r="BF1120" s="3" t="s">
        <v>10947</v>
      </c>
      <c r="BG1120" s="3" t="s">
        <v>10948</v>
      </c>
    </row>
    <row r="1121" spans="1:59" ht="58" x14ac:dyDescent="0.35">
      <c r="A1121" s="2" t="s">
        <v>59</v>
      </c>
      <c r="B1121" s="2" t="s">
        <v>60</v>
      </c>
      <c r="C1121" s="2" t="s">
        <v>10931</v>
      </c>
      <c r="D1121" s="2" t="s">
        <v>10932</v>
      </c>
      <c r="E1121" s="2" t="s">
        <v>10933</v>
      </c>
      <c r="F1121" s="3" t="s">
        <v>10949</v>
      </c>
      <c r="G1121" s="3" t="s">
        <v>209</v>
      </c>
      <c r="I1121" s="3" t="s">
        <v>65</v>
      </c>
      <c r="J1121" s="3" t="s">
        <v>65</v>
      </c>
      <c r="K1121" s="3" t="s">
        <v>66</v>
      </c>
      <c r="M1121" s="2" t="s">
        <v>10934</v>
      </c>
      <c r="N1121" s="3" t="s">
        <v>1967</v>
      </c>
      <c r="P1121" s="3" t="s">
        <v>69</v>
      </c>
      <c r="R1121" s="3" t="s">
        <v>71</v>
      </c>
      <c r="S1121" s="4">
        <v>4</v>
      </c>
      <c r="T1121" s="4">
        <v>67</v>
      </c>
      <c r="U1121" s="5" t="s">
        <v>10950</v>
      </c>
      <c r="V1121" s="5" t="s">
        <v>10935</v>
      </c>
      <c r="W1121" s="5" t="s">
        <v>72</v>
      </c>
      <c r="X1121" s="5" t="s">
        <v>72</v>
      </c>
      <c r="Y1121" s="4">
        <v>131</v>
      </c>
      <c r="Z1121" s="4">
        <v>9</v>
      </c>
      <c r="AA1121" s="4">
        <v>9</v>
      </c>
      <c r="AB1121" s="4">
        <v>1</v>
      </c>
      <c r="AC1121" s="4">
        <v>1</v>
      </c>
      <c r="AD1121" s="4">
        <v>54</v>
      </c>
      <c r="AE1121" s="4">
        <v>54</v>
      </c>
      <c r="AF1121" s="4">
        <v>0</v>
      </c>
      <c r="AG1121" s="4">
        <v>0</v>
      </c>
      <c r="AH1121" s="4">
        <v>49</v>
      </c>
      <c r="AI1121" s="4">
        <v>49</v>
      </c>
      <c r="AJ1121" s="4">
        <v>4</v>
      </c>
      <c r="AK1121" s="4">
        <v>4</v>
      </c>
      <c r="AL1121" s="4">
        <v>30</v>
      </c>
      <c r="AM1121" s="4">
        <v>30</v>
      </c>
      <c r="AN1121" s="4">
        <v>0</v>
      </c>
      <c r="AO1121" s="4">
        <v>0</v>
      </c>
      <c r="AP1121" s="4">
        <v>5</v>
      </c>
      <c r="AQ1121" s="4">
        <v>5</v>
      </c>
      <c r="AR1121" s="3" t="s">
        <v>65</v>
      </c>
      <c r="AS1121" s="3" t="s">
        <v>65</v>
      </c>
      <c r="AT1121" s="3" t="s">
        <v>65</v>
      </c>
      <c r="AV1121" s="6" t="str">
        <f t="shared" si="19"/>
        <v>Catalog Record</v>
      </c>
      <c r="AW1121" s="6" t="str">
        <f t="shared" si="20"/>
        <v>WorldCat Record</v>
      </c>
      <c r="AX1121" s="3" t="s">
        <v>10936</v>
      </c>
      <c r="AY1121" s="3" t="s">
        <v>10937</v>
      </c>
      <c r="AZ1121" s="3" t="s">
        <v>10938</v>
      </c>
      <c r="BA1121" s="3" t="s">
        <v>10938</v>
      </c>
      <c r="BB1121" s="3" t="s">
        <v>10951</v>
      </c>
      <c r="BC1121" s="3" t="s">
        <v>77</v>
      </c>
      <c r="BD1121" s="3" t="s">
        <v>78</v>
      </c>
      <c r="BE1121" s="3" t="s">
        <v>10940</v>
      </c>
      <c r="BF1121" s="3" t="s">
        <v>10951</v>
      </c>
      <c r="BG1121" s="3" t="s">
        <v>10952</v>
      </c>
    </row>
    <row r="1122" spans="1:59" ht="58" x14ac:dyDescent="0.35">
      <c r="A1122" s="2" t="s">
        <v>59</v>
      </c>
      <c r="B1122" s="2" t="s">
        <v>60</v>
      </c>
      <c r="C1122" s="2" t="s">
        <v>10931</v>
      </c>
      <c r="D1122" s="2" t="s">
        <v>10932</v>
      </c>
      <c r="E1122" s="2" t="s">
        <v>10933</v>
      </c>
      <c r="F1122" s="3" t="s">
        <v>10953</v>
      </c>
      <c r="G1122" s="3" t="s">
        <v>209</v>
      </c>
      <c r="I1122" s="3" t="s">
        <v>65</v>
      </c>
      <c r="J1122" s="3" t="s">
        <v>65</v>
      </c>
      <c r="K1122" s="3" t="s">
        <v>66</v>
      </c>
      <c r="M1122" s="2" t="s">
        <v>10934</v>
      </c>
      <c r="N1122" s="3" t="s">
        <v>1967</v>
      </c>
      <c r="P1122" s="3" t="s">
        <v>69</v>
      </c>
      <c r="R1122" s="3" t="s">
        <v>71</v>
      </c>
      <c r="S1122" s="4">
        <v>6</v>
      </c>
      <c r="T1122" s="4">
        <v>67</v>
      </c>
      <c r="U1122" s="5" t="s">
        <v>10386</v>
      </c>
      <c r="V1122" s="5" t="s">
        <v>10935</v>
      </c>
      <c r="W1122" s="5" t="s">
        <v>72</v>
      </c>
      <c r="X1122" s="5" t="s">
        <v>72</v>
      </c>
      <c r="Y1122" s="4">
        <v>131</v>
      </c>
      <c r="Z1122" s="4">
        <v>9</v>
      </c>
      <c r="AA1122" s="4">
        <v>9</v>
      </c>
      <c r="AB1122" s="4">
        <v>1</v>
      </c>
      <c r="AC1122" s="4">
        <v>1</v>
      </c>
      <c r="AD1122" s="4">
        <v>54</v>
      </c>
      <c r="AE1122" s="4">
        <v>54</v>
      </c>
      <c r="AF1122" s="4">
        <v>0</v>
      </c>
      <c r="AG1122" s="4">
        <v>0</v>
      </c>
      <c r="AH1122" s="4">
        <v>49</v>
      </c>
      <c r="AI1122" s="4">
        <v>49</v>
      </c>
      <c r="AJ1122" s="4">
        <v>4</v>
      </c>
      <c r="AK1122" s="4">
        <v>4</v>
      </c>
      <c r="AL1122" s="4">
        <v>30</v>
      </c>
      <c r="AM1122" s="4">
        <v>30</v>
      </c>
      <c r="AN1122" s="4">
        <v>0</v>
      </c>
      <c r="AO1122" s="4">
        <v>0</v>
      </c>
      <c r="AP1122" s="4">
        <v>5</v>
      </c>
      <c r="AQ1122" s="4">
        <v>5</v>
      </c>
      <c r="AR1122" s="3" t="s">
        <v>65</v>
      </c>
      <c r="AS1122" s="3" t="s">
        <v>65</v>
      </c>
      <c r="AT1122" s="3" t="s">
        <v>65</v>
      </c>
      <c r="AV1122" s="6" t="str">
        <f t="shared" si="19"/>
        <v>Catalog Record</v>
      </c>
      <c r="AW1122" s="6" t="str">
        <f t="shared" si="20"/>
        <v>WorldCat Record</v>
      </c>
      <c r="AX1122" s="3" t="s">
        <v>10936</v>
      </c>
      <c r="AY1122" s="3" t="s">
        <v>10937</v>
      </c>
      <c r="AZ1122" s="3" t="s">
        <v>10938</v>
      </c>
      <c r="BA1122" s="3" t="s">
        <v>10938</v>
      </c>
      <c r="BB1122" s="3" t="s">
        <v>10954</v>
      </c>
      <c r="BC1122" s="3" t="s">
        <v>77</v>
      </c>
      <c r="BD1122" s="3" t="s">
        <v>78</v>
      </c>
      <c r="BE1122" s="3" t="s">
        <v>10940</v>
      </c>
      <c r="BF1122" s="3" t="s">
        <v>10954</v>
      </c>
      <c r="BG1122" s="3" t="s">
        <v>10955</v>
      </c>
    </row>
    <row r="1123" spans="1:59" ht="58" x14ac:dyDescent="0.35">
      <c r="A1123" s="2" t="s">
        <v>59</v>
      </c>
      <c r="B1123" s="2" t="s">
        <v>60</v>
      </c>
      <c r="C1123" s="2" t="s">
        <v>10931</v>
      </c>
      <c r="D1123" s="2" t="s">
        <v>10932</v>
      </c>
      <c r="E1123" s="2" t="s">
        <v>10933</v>
      </c>
      <c r="F1123" s="3" t="s">
        <v>10956</v>
      </c>
      <c r="G1123" s="3" t="s">
        <v>209</v>
      </c>
      <c r="I1123" s="3" t="s">
        <v>65</v>
      </c>
      <c r="J1123" s="3" t="s">
        <v>65</v>
      </c>
      <c r="K1123" s="3" t="s">
        <v>66</v>
      </c>
      <c r="M1123" s="2" t="s">
        <v>10934</v>
      </c>
      <c r="N1123" s="3" t="s">
        <v>1967</v>
      </c>
      <c r="P1123" s="3" t="s">
        <v>69</v>
      </c>
      <c r="R1123" s="3" t="s">
        <v>71</v>
      </c>
      <c r="S1123" s="4">
        <v>6</v>
      </c>
      <c r="T1123" s="4">
        <v>67</v>
      </c>
      <c r="U1123" s="5" t="s">
        <v>10957</v>
      </c>
      <c r="V1123" s="5" t="s">
        <v>10935</v>
      </c>
      <c r="W1123" s="5" t="s">
        <v>72</v>
      </c>
      <c r="X1123" s="5" t="s">
        <v>72</v>
      </c>
      <c r="Y1123" s="4">
        <v>131</v>
      </c>
      <c r="Z1123" s="4">
        <v>9</v>
      </c>
      <c r="AA1123" s="4">
        <v>9</v>
      </c>
      <c r="AB1123" s="4">
        <v>1</v>
      </c>
      <c r="AC1123" s="4">
        <v>1</v>
      </c>
      <c r="AD1123" s="4">
        <v>54</v>
      </c>
      <c r="AE1123" s="4">
        <v>54</v>
      </c>
      <c r="AF1123" s="4">
        <v>0</v>
      </c>
      <c r="AG1123" s="4">
        <v>0</v>
      </c>
      <c r="AH1123" s="4">
        <v>49</v>
      </c>
      <c r="AI1123" s="4">
        <v>49</v>
      </c>
      <c r="AJ1123" s="4">
        <v>4</v>
      </c>
      <c r="AK1123" s="4">
        <v>4</v>
      </c>
      <c r="AL1123" s="4">
        <v>30</v>
      </c>
      <c r="AM1123" s="4">
        <v>30</v>
      </c>
      <c r="AN1123" s="4">
        <v>0</v>
      </c>
      <c r="AO1123" s="4">
        <v>0</v>
      </c>
      <c r="AP1123" s="4">
        <v>5</v>
      </c>
      <c r="AQ1123" s="4">
        <v>5</v>
      </c>
      <c r="AR1123" s="3" t="s">
        <v>65</v>
      </c>
      <c r="AS1123" s="3" t="s">
        <v>65</v>
      </c>
      <c r="AT1123" s="3" t="s">
        <v>65</v>
      </c>
      <c r="AV1123" s="6" t="str">
        <f t="shared" si="19"/>
        <v>Catalog Record</v>
      </c>
      <c r="AW1123" s="6" t="str">
        <f t="shared" si="20"/>
        <v>WorldCat Record</v>
      </c>
      <c r="AX1123" s="3" t="s">
        <v>10936</v>
      </c>
      <c r="AY1123" s="3" t="s">
        <v>10937</v>
      </c>
      <c r="AZ1123" s="3" t="s">
        <v>10938</v>
      </c>
      <c r="BA1123" s="3" t="s">
        <v>10938</v>
      </c>
      <c r="BB1123" s="3" t="s">
        <v>10958</v>
      </c>
      <c r="BC1123" s="3" t="s">
        <v>77</v>
      </c>
      <c r="BD1123" s="3" t="s">
        <v>78</v>
      </c>
      <c r="BE1123" s="3" t="s">
        <v>10940</v>
      </c>
      <c r="BF1123" s="3" t="s">
        <v>10958</v>
      </c>
      <c r="BG1123" s="3" t="s">
        <v>10959</v>
      </c>
    </row>
    <row r="1124" spans="1:59" ht="58" x14ac:dyDescent="0.35">
      <c r="A1124" s="2" t="s">
        <v>59</v>
      </c>
      <c r="B1124" s="2" t="s">
        <v>60</v>
      </c>
      <c r="C1124" s="2" t="s">
        <v>10931</v>
      </c>
      <c r="D1124" s="2" t="s">
        <v>10932</v>
      </c>
      <c r="E1124" s="2" t="s">
        <v>10933</v>
      </c>
      <c r="F1124" s="3" t="s">
        <v>10960</v>
      </c>
      <c r="G1124" s="3" t="s">
        <v>209</v>
      </c>
      <c r="I1124" s="3" t="s">
        <v>65</v>
      </c>
      <c r="J1124" s="3" t="s">
        <v>65</v>
      </c>
      <c r="K1124" s="3" t="s">
        <v>66</v>
      </c>
      <c r="M1124" s="2" t="s">
        <v>10934</v>
      </c>
      <c r="N1124" s="3" t="s">
        <v>1967</v>
      </c>
      <c r="P1124" s="3" t="s">
        <v>69</v>
      </c>
      <c r="R1124" s="3" t="s">
        <v>71</v>
      </c>
      <c r="S1124" s="4">
        <v>5</v>
      </c>
      <c r="T1124" s="4">
        <v>67</v>
      </c>
      <c r="U1124" s="5" t="s">
        <v>10386</v>
      </c>
      <c r="V1124" s="5" t="s">
        <v>10935</v>
      </c>
      <c r="W1124" s="5" t="s">
        <v>72</v>
      </c>
      <c r="X1124" s="5" t="s">
        <v>72</v>
      </c>
      <c r="Y1124" s="4">
        <v>131</v>
      </c>
      <c r="Z1124" s="4">
        <v>9</v>
      </c>
      <c r="AA1124" s="4">
        <v>9</v>
      </c>
      <c r="AB1124" s="4">
        <v>1</v>
      </c>
      <c r="AC1124" s="4">
        <v>1</v>
      </c>
      <c r="AD1124" s="4">
        <v>54</v>
      </c>
      <c r="AE1124" s="4">
        <v>54</v>
      </c>
      <c r="AF1124" s="4">
        <v>0</v>
      </c>
      <c r="AG1124" s="4">
        <v>0</v>
      </c>
      <c r="AH1124" s="4">
        <v>49</v>
      </c>
      <c r="AI1124" s="4">
        <v>49</v>
      </c>
      <c r="AJ1124" s="4">
        <v>4</v>
      </c>
      <c r="AK1124" s="4">
        <v>4</v>
      </c>
      <c r="AL1124" s="4">
        <v>30</v>
      </c>
      <c r="AM1124" s="4">
        <v>30</v>
      </c>
      <c r="AN1124" s="4">
        <v>0</v>
      </c>
      <c r="AO1124" s="4">
        <v>0</v>
      </c>
      <c r="AP1124" s="4">
        <v>5</v>
      </c>
      <c r="AQ1124" s="4">
        <v>5</v>
      </c>
      <c r="AR1124" s="3" t="s">
        <v>65</v>
      </c>
      <c r="AS1124" s="3" t="s">
        <v>65</v>
      </c>
      <c r="AT1124" s="3" t="s">
        <v>65</v>
      </c>
      <c r="AV1124" s="6" t="str">
        <f t="shared" si="19"/>
        <v>Catalog Record</v>
      </c>
      <c r="AW1124" s="6" t="str">
        <f t="shared" si="20"/>
        <v>WorldCat Record</v>
      </c>
      <c r="AX1124" s="3" t="s">
        <v>10936</v>
      </c>
      <c r="AY1124" s="3" t="s">
        <v>10937</v>
      </c>
      <c r="AZ1124" s="3" t="s">
        <v>10938</v>
      </c>
      <c r="BA1124" s="3" t="s">
        <v>10938</v>
      </c>
      <c r="BB1124" s="3" t="s">
        <v>10961</v>
      </c>
      <c r="BC1124" s="3" t="s">
        <v>77</v>
      </c>
      <c r="BD1124" s="3" t="s">
        <v>78</v>
      </c>
      <c r="BE1124" s="3" t="s">
        <v>10940</v>
      </c>
      <c r="BF1124" s="3" t="s">
        <v>10961</v>
      </c>
      <c r="BG1124" s="3" t="s">
        <v>10962</v>
      </c>
    </row>
    <row r="1125" spans="1:59" ht="58" x14ac:dyDescent="0.35">
      <c r="A1125" s="2" t="s">
        <v>59</v>
      </c>
      <c r="B1125" s="2" t="s">
        <v>60</v>
      </c>
      <c r="C1125" s="2" t="s">
        <v>10931</v>
      </c>
      <c r="D1125" s="2" t="s">
        <v>10932</v>
      </c>
      <c r="E1125" s="2" t="s">
        <v>10933</v>
      </c>
      <c r="F1125" s="3" t="s">
        <v>1282</v>
      </c>
      <c r="G1125" s="3" t="s">
        <v>209</v>
      </c>
      <c r="I1125" s="3" t="s">
        <v>65</v>
      </c>
      <c r="J1125" s="3" t="s">
        <v>65</v>
      </c>
      <c r="K1125" s="3" t="s">
        <v>66</v>
      </c>
      <c r="M1125" s="2" t="s">
        <v>10934</v>
      </c>
      <c r="N1125" s="3" t="s">
        <v>1967</v>
      </c>
      <c r="P1125" s="3" t="s">
        <v>69</v>
      </c>
      <c r="R1125" s="3" t="s">
        <v>71</v>
      </c>
      <c r="S1125" s="4">
        <v>13</v>
      </c>
      <c r="T1125" s="4">
        <v>67</v>
      </c>
      <c r="U1125" s="5" t="s">
        <v>9453</v>
      </c>
      <c r="V1125" s="5" t="s">
        <v>10935</v>
      </c>
      <c r="W1125" s="5" t="s">
        <v>72</v>
      </c>
      <c r="X1125" s="5" t="s">
        <v>72</v>
      </c>
      <c r="Y1125" s="4">
        <v>131</v>
      </c>
      <c r="Z1125" s="4">
        <v>9</v>
      </c>
      <c r="AA1125" s="4">
        <v>9</v>
      </c>
      <c r="AB1125" s="4">
        <v>1</v>
      </c>
      <c r="AC1125" s="4">
        <v>1</v>
      </c>
      <c r="AD1125" s="4">
        <v>54</v>
      </c>
      <c r="AE1125" s="4">
        <v>54</v>
      </c>
      <c r="AF1125" s="4">
        <v>0</v>
      </c>
      <c r="AG1125" s="4">
        <v>0</v>
      </c>
      <c r="AH1125" s="4">
        <v>49</v>
      </c>
      <c r="AI1125" s="4">
        <v>49</v>
      </c>
      <c r="AJ1125" s="4">
        <v>4</v>
      </c>
      <c r="AK1125" s="4">
        <v>4</v>
      </c>
      <c r="AL1125" s="4">
        <v>30</v>
      </c>
      <c r="AM1125" s="4">
        <v>30</v>
      </c>
      <c r="AN1125" s="4">
        <v>0</v>
      </c>
      <c r="AO1125" s="4">
        <v>0</v>
      </c>
      <c r="AP1125" s="4">
        <v>5</v>
      </c>
      <c r="AQ1125" s="4">
        <v>5</v>
      </c>
      <c r="AR1125" s="3" t="s">
        <v>65</v>
      </c>
      <c r="AS1125" s="3" t="s">
        <v>65</v>
      </c>
      <c r="AT1125" s="3" t="s">
        <v>65</v>
      </c>
      <c r="AV1125" s="6" t="str">
        <f t="shared" si="19"/>
        <v>Catalog Record</v>
      </c>
      <c r="AW1125" s="6" t="str">
        <f t="shared" si="20"/>
        <v>WorldCat Record</v>
      </c>
      <c r="AX1125" s="3" t="s">
        <v>10936</v>
      </c>
      <c r="AY1125" s="3" t="s">
        <v>10937</v>
      </c>
      <c r="AZ1125" s="3" t="s">
        <v>10938</v>
      </c>
      <c r="BA1125" s="3" t="s">
        <v>10938</v>
      </c>
      <c r="BB1125" s="3" t="s">
        <v>10963</v>
      </c>
      <c r="BC1125" s="3" t="s">
        <v>77</v>
      </c>
      <c r="BD1125" s="3" t="s">
        <v>78</v>
      </c>
      <c r="BE1125" s="3" t="s">
        <v>10940</v>
      </c>
      <c r="BF1125" s="3" t="s">
        <v>10963</v>
      </c>
      <c r="BG1125" s="3" t="s">
        <v>10964</v>
      </c>
    </row>
    <row r="1126" spans="1:59" ht="58" x14ac:dyDescent="0.35">
      <c r="A1126" s="2" t="s">
        <v>59</v>
      </c>
      <c r="B1126" s="2" t="s">
        <v>60</v>
      </c>
      <c r="C1126" s="2" t="s">
        <v>10965</v>
      </c>
      <c r="D1126" s="2" t="s">
        <v>10966</v>
      </c>
      <c r="E1126" s="2" t="s">
        <v>10967</v>
      </c>
      <c r="G1126" s="3" t="s">
        <v>65</v>
      </c>
      <c r="I1126" s="3" t="s">
        <v>65</v>
      </c>
      <c r="J1126" s="3" t="s">
        <v>65</v>
      </c>
      <c r="K1126" s="3" t="s">
        <v>66</v>
      </c>
      <c r="L1126" s="2" t="s">
        <v>10968</v>
      </c>
      <c r="M1126" s="2" t="s">
        <v>10969</v>
      </c>
      <c r="N1126" s="3" t="s">
        <v>5961</v>
      </c>
      <c r="P1126" s="3" t="s">
        <v>69</v>
      </c>
      <c r="R1126" s="3" t="s">
        <v>71</v>
      </c>
      <c r="S1126" s="4">
        <v>26</v>
      </c>
      <c r="T1126" s="4">
        <v>26</v>
      </c>
      <c r="U1126" s="5" t="s">
        <v>8996</v>
      </c>
      <c r="V1126" s="5" t="s">
        <v>8996</v>
      </c>
      <c r="W1126" s="5" t="s">
        <v>72</v>
      </c>
      <c r="X1126" s="5" t="s">
        <v>72</v>
      </c>
      <c r="Y1126" s="4">
        <v>291</v>
      </c>
      <c r="Z1126" s="4">
        <v>10</v>
      </c>
      <c r="AA1126" s="4">
        <v>11</v>
      </c>
      <c r="AB1126" s="4">
        <v>1</v>
      </c>
      <c r="AC1126" s="4">
        <v>2</v>
      </c>
      <c r="AD1126" s="4">
        <v>76</v>
      </c>
      <c r="AE1126" s="4">
        <v>77</v>
      </c>
      <c r="AF1126" s="4">
        <v>0</v>
      </c>
      <c r="AG1126" s="4">
        <v>1</v>
      </c>
      <c r="AH1126" s="4">
        <v>70</v>
      </c>
      <c r="AI1126" s="4">
        <v>70</v>
      </c>
      <c r="AJ1126" s="4">
        <v>5</v>
      </c>
      <c r="AK1126" s="4">
        <v>6</v>
      </c>
      <c r="AL1126" s="4">
        <v>42</v>
      </c>
      <c r="AM1126" s="4">
        <v>42</v>
      </c>
      <c r="AN1126" s="4">
        <v>0</v>
      </c>
      <c r="AO1126" s="4">
        <v>0</v>
      </c>
      <c r="AP1126" s="4">
        <v>6</v>
      </c>
      <c r="AQ1126" s="4">
        <v>6</v>
      </c>
      <c r="AR1126" s="3" t="s">
        <v>65</v>
      </c>
      <c r="AS1126" s="3" t="s">
        <v>65</v>
      </c>
      <c r="AT1126" s="3" t="s">
        <v>65</v>
      </c>
      <c r="AV1126" s="6" t="str">
        <f>HYPERLINK("http://mcgill.on.worldcat.org/oclc/12558125","Catalog Record")</f>
        <v>Catalog Record</v>
      </c>
      <c r="AW1126" s="6" t="str">
        <f>HYPERLINK("http://www.worldcat.org/oclc/12558125","WorldCat Record")</f>
        <v>WorldCat Record</v>
      </c>
      <c r="AX1126" s="3" t="s">
        <v>10970</v>
      </c>
      <c r="AY1126" s="3" t="s">
        <v>10971</v>
      </c>
      <c r="AZ1126" s="3" t="s">
        <v>10972</v>
      </c>
      <c r="BA1126" s="3" t="s">
        <v>10972</v>
      </c>
      <c r="BB1126" s="3" t="s">
        <v>10973</v>
      </c>
      <c r="BC1126" s="3" t="s">
        <v>77</v>
      </c>
      <c r="BD1126" s="3" t="s">
        <v>78</v>
      </c>
      <c r="BE1126" s="3" t="s">
        <v>10974</v>
      </c>
      <c r="BF1126" s="3" t="s">
        <v>10973</v>
      </c>
      <c r="BG1126" s="3" t="s">
        <v>10975</v>
      </c>
    </row>
    <row r="1127" spans="1:59" ht="58" x14ac:dyDescent="0.35">
      <c r="A1127" s="2" t="s">
        <v>59</v>
      </c>
      <c r="B1127" s="2" t="s">
        <v>60</v>
      </c>
      <c r="C1127" s="2" t="s">
        <v>10976</v>
      </c>
      <c r="D1127" s="2" t="s">
        <v>10977</v>
      </c>
      <c r="E1127" s="2" t="s">
        <v>10978</v>
      </c>
      <c r="G1127" s="3" t="s">
        <v>65</v>
      </c>
      <c r="I1127" s="3" t="s">
        <v>65</v>
      </c>
      <c r="J1127" s="3" t="s">
        <v>65</v>
      </c>
      <c r="K1127" s="3" t="s">
        <v>213</v>
      </c>
      <c r="L1127" s="2" t="s">
        <v>10979</v>
      </c>
      <c r="M1127" s="2" t="s">
        <v>10980</v>
      </c>
      <c r="N1127" s="3" t="s">
        <v>9089</v>
      </c>
      <c r="P1127" s="3" t="s">
        <v>69</v>
      </c>
      <c r="R1127" s="3" t="s">
        <v>71</v>
      </c>
      <c r="S1127" s="4">
        <v>13</v>
      </c>
      <c r="T1127" s="4">
        <v>13</v>
      </c>
      <c r="U1127" s="5" t="s">
        <v>5353</v>
      </c>
      <c r="V1127" s="5" t="s">
        <v>5353</v>
      </c>
      <c r="W1127" s="5" t="s">
        <v>72</v>
      </c>
      <c r="X1127" s="5" t="s">
        <v>72</v>
      </c>
      <c r="Y1127" s="4">
        <v>4</v>
      </c>
      <c r="Z1127" s="4">
        <v>1</v>
      </c>
      <c r="AA1127" s="4">
        <v>33</v>
      </c>
      <c r="AB1127" s="4">
        <v>1</v>
      </c>
      <c r="AC1127" s="4">
        <v>1</v>
      </c>
      <c r="AD1127" s="4">
        <v>0</v>
      </c>
      <c r="AE1127" s="4">
        <v>101</v>
      </c>
      <c r="AF1127" s="4">
        <v>0</v>
      </c>
      <c r="AG1127" s="4">
        <v>0</v>
      </c>
      <c r="AH1127" s="4">
        <v>0</v>
      </c>
      <c r="AI1127" s="4">
        <v>89</v>
      </c>
      <c r="AJ1127" s="4">
        <v>0</v>
      </c>
      <c r="AK1127" s="4">
        <v>12</v>
      </c>
      <c r="AL1127" s="4">
        <v>0</v>
      </c>
      <c r="AM1127" s="4">
        <v>51</v>
      </c>
      <c r="AN1127" s="4">
        <v>0</v>
      </c>
      <c r="AO1127" s="4">
        <v>0</v>
      </c>
      <c r="AP1127" s="4">
        <v>0</v>
      </c>
      <c r="AQ1127" s="4">
        <v>19</v>
      </c>
      <c r="AR1127" s="3" t="s">
        <v>65</v>
      </c>
      <c r="AS1127" s="3" t="s">
        <v>65</v>
      </c>
      <c r="AT1127" s="3" t="s">
        <v>65</v>
      </c>
      <c r="AV1127" s="6" t="str">
        <f>HYPERLINK("http://mcgill.on.worldcat.org/oclc/427182066","Catalog Record")</f>
        <v>Catalog Record</v>
      </c>
      <c r="AW1127" s="6" t="str">
        <f>HYPERLINK("http://www.worldcat.org/oclc/427182066","WorldCat Record")</f>
        <v>WorldCat Record</v>
      </c>
      <c r="AX1127" s="3" t="s">
        <v>10981</v>
      </c>
      <c r="AY1127" s="3" t="s">
        <v>10982</v>
      </c>
      <c r="AZ1127" s="3" t="s">
        <v>10983</v>
      </c>
      <c r="BA1127" s="3" t="s">
        <v>10983</v>
      </c>
      <c r="BB1127" s="3" t="s">
        <v>10984</v>
      </c>
      <c r="BC1127" s="3" t="s">
        <v>77</v>
      </c>
      <c r="BD1127" s="3" t="s">
        <v>78</v>
      </c>
      <c r="BF1127" s="3" t="s">
        <v>10984</v>
      </c>
      <c r="BG1127" s="3" t="s">
        <v>10985</v>
      </c>
    </row>
    <row r="1128" spans="1:59" ht="58" x14ac:dyDescent="0.35">
      <c r="A1128" s="2" t="s">
        <v>59</v>
      </c>
      <c r="B1128" s="2" t="s">
        <v>60</v>
      </c>
      <c r="C1128" s="2" t="s">
        <v>10986</v>
      </c>
      <c r="D1128" s="2" t="s">
        <v>10987</v>
      </c>
      <c r="E1128" s="2" t="s">
        <v>10988</v>
      </c>
      <c r="G1128" s="3" t="s">
        <v>65</v>
      </c>
      <c r="I1128" s="3" t="s">
        <v>65</v>
      </c>
      <c r="J1128" s="3" t="s">
        <v>65</v>
      </c>
      <c r="K1128" s="3" t="s">
        <v>66</v>
      </c>
      <c r="M1128" s="2" t="s">
        <v>10989</v>
      </c>
      <c r="N1128" s="3" t="s">
        <v>99</v>
      </c>
      <c r="P1128" s="3" t="s">
        <v>140</v>
      </c>
      <c r="Q1128" s="2" t="s">
        <v>10990</v>
      </c>
      <c r="R1128" s="3" t="s">
        <v>71</v>
      </c>
      <c r="S1128" s="4">
        <v>2</v>
      </c>
      <c r="T1128" s="4">
        <v>2</v>
      </c>
      <c r="U1128" s="5" t="s">
        <v>10660</v>
      </c>
      <c r="V1128" s="5" t="s">
        <v>10660</v>
      </c>
      <c r="W1128" s="5" t="s">
        <v>72</v>
      </c>
      <c r="X1128" s="5" t="s">
        <v>72</v>
      </c>
      <c r="Y1128" s="4">
        <v>67</v>
      </c>
      <c r="Z1128" s="4">
        <v>6</v>
      </c>
      <c r="AA1128" s="4">
        <v>6</v>
      </c>
      <c r="AB1128" s="4">
        <v>1</v>
      </c>
      <c r="AC1128" s="4">
        <v>1</v>
      </c>
      <c r="AD1128" s="4">
        <v>45</v>
      </c>
      <c r="AE1128" s="4">
        <v>45</v>
      </c>
      <c r="AF1128" s="4">
        <v>0</v>
      </c>
      <c r="AG1128" s="4">
        <v>0</v>
      </c>
      <c r="AH1128" s="4">
        <v>43</v>
      </c>
      <c r="AI1128" s="4">
        <v>43</v>
      </c>
      <c r="AJ1128" s="4">
        <v>3</v>
      </c>
      <c r="AK1128" s="4">
        <v>3</v>
      </c>
      <c r="AL1128" s="4">
        <v>33</v>
      </c>
      <c r="AM1128" s="4">
        <v>33</v>
      </c>
      <c r="AN1128" s="4">
        <v>0</v>
      </c>
      <c r="AO1128" s="4">
        <v>0</v>
      </c>
      <c r="AP1128" s="4">
        <v>3</v>
      </c>
      <c r="AQ1128" s="4">
        <v>3</v>
      </c>
      <c r="AR1128" s="3" t="s">
        <v>65</v>
      </c>
      <c r="AS1128" s="3" t="s">
        <v>65</v>
      </c>
      <c r="AT1128" s="3" t="s">
        <v>209</v>
      </c>
      <c r="AU1128" s="6" t="str">
        <f>HYPERLINK("http://catalog.hathitrust.org/Record/005397536","HathiTrust Record")</f>
        <v>HathiTrust Record</v>
      </c>
      <c r="AV1128" s="6" t="str">
        <f>HYPERLINK("http://mcgill.on.worldcat.org/oclc/75714792","Catalog Record")</f>
        <v>Catalog Record</v>
      </c>
      <c r="AW1128" s="6" t="str">
        <f>HYPERLINK("http://www.worldcat.org/oclc/75714792","WorldCat Record")</f>
        <v>WorldCat Record</v>
      </c>
      <c r="AX1128" s="3" t="s">
        <v>10991</v>
      </c>
      <c r="AY1128" s="3" t="s">
        <v>10992</v>
      </c>
      <c r="AZ1128" s="3" t="s">
        <v>10993</v>
      </c>
      <c r="BA1128" s="3" t="s">
        <v>10993</v>
      </c>
      <c r="BB1128" s="3" t="s">
        <v>10994</v>
      </c>
      <c r="BC1128" s="3" t="s">
        <v>77</v>
      </c>
      <c r="BD1128" s="3" t="s">
        <v>78</v>
      </c>
      <c r="BE1128" s="3" t="s">
        <v>10995</v>
      </c>
      <c r="BF1128" s="3" t="s">
        <v>10994</v>
      </c>
      <c r="BG1128" s="3" t="s">
        <v>10996</v>
      </c>
    </row>
    <row r="1129" spans="1:59" ht="58" x14ac:dyDescent="0.35">
      <c r="A1129" s="2" t="s">
        <v>59</v>
      </c>
      <c r="B1129" s="2" t="s">
        <v>60</v>
      </c>
      <c r="C1129" s="2" t="s">
        <v>10997</v>
      </c>
      <c r="D1129" s="2" t="s">
        <v>10998</v>
      </c>
      <c r="E1129" s="2" t="s">
        <v>10999</v>
      </c>
      <c r="G1129" s="3" t="s">
        <v>65</v>
      </c>
      <c r="I1129" s="3" t="s">
        <v>65</v>
      </c>
      <c r="J1129" s="3" t="s">
        <v>65</v>
      </c>
      <c r="K1129" s="3" t="s">
        <v>66</v>
      </c>
      <c r="L1129" s="2" t="s">
        <v>11000</v>
      </c>
      <c r="M1129" s="2" t="s">
        <v>11001</v>
      </c>
      <c r="N1129" s="3" t="s">
        <v>176</v>
      </c>
      <c r="O1129" s="2" t="s">
        <v>235</v>
      </c>
      <c r="P1129" s="3" t="s">
        <v>140</v>
      </c>
      <c r="Q1129" s="2" t="s">
        <v>11002</v>
      </c>
      <c r="R1129" s="3" t="s">
        <v>71</v>
      </c>
      <c r="S1129" s="4">
        <v>0</v>
      </c>
      <c r="T1129" s="4">
        <v>0</v>
      </c>
      <c r="W1129" s="5" t="s">
        <v>72</v>
      </c>
      <c r="X1129" s="5" t="s">
        <v>72</v>
      </c>
      <c r="Y1129" s="4">
        <v>39</v>
      </c>
      <c r="Z1129" s="4">
        <v>3</v>
      </c>
      <c r="AA1129" s="4">
        <v>3</v>
      </c>
      <c r="AB1129" s="4">
        <v>1</v>
      </c>
      <c r="AC1129" s="4">
        <v>1</v>
      </c>
      <c r="AD1129" s="4">
        <v>29</v>
      </c>
      <c r="AE1129" s="4">
        <v>29</v>
      </c>
      <c r="AF1129" s="4">
        <v>0</v>
      </c>
      <c r="AG1129" s="4">
        <v>0</v>
      </c>
      <c r="AH1129" s="4">
        <v>28</v>
      </c>
      <c r="AI1129" s="4">
        <v>28</v>
      </c>
      <c r="AJ1129" s="4">
        <v>1</v>
      </c>
      <c r="AK1129" s="4">
        <v>1</v>
      </c>
      <c r="AL1129" s="4">
        <v>21</v>
      </c>
      <c r="AM1129" s="4">
        <v>21</v>
      </c>
      <c r="AN1129" s="4">
        <v>0</v>
      </c>
      <c r="AO1129" s="4">
        <v>0</v>
      </c>
      <c r="AP1129" s="4">
        <v>1</v>
      </c>
      <c r="AQ1129" s="4">
        <v>1</v>
      </c>
      <c r="AR1129" s="3" t="s">
        <v>65</v>
      </c>
      <c r="AS1129" s="3" t="s">
        <v>65</v>
      </c>
      <c r="AT1129" s="3" t="s">
        <v>65</v>
      </c>
      <c r="AV1129" s="6" t="str">
        <f>HYPERLINK("http://mcgill.on.worldcat.org/oclc/915336620","Catalog Record")</f>
        <v>Catalog Record</v>
      </c>
      <c r="AW1129" s="6" t="str">
        <f>HYPERLINK("http://www.worldcat.org/oclc/915336620","WorldCat Record")</f>
        <v>WorldCat Record</v>
      </c>
      <c r="AX1129" s="3" t="s">
        <v>11003</v>
      </c>
      <c r="AY1129" s="3" t="s">
        <v>11004</v>
      </c>
      <c r="AZ1129" s="3" t="s">
        <v>11005</v>
      </c>
      <c r="BA1129" s="3" t="s">
        <v>11005</v>
      </c>
      <c r="BB1129" s="3" t="s">
        <v>11006</v>
      </c>
      <c r="BC1129" s="3" t="s">
        <v>77</v>
      </c>
      <c r="BD1129" s="3" t="s">
        <v>78</v>
      </c>
      <c r="BE1129" s="3" t="s">
        <v>11007</v>
      </c>
      <c r="BF1129" s="3" t="s">
        <v>11006</v>
      </c>
      <c r="BG1129" s="3" t="s">
        <v>11008</v>
      </c>
    </row>
    <row r="1130" spans="1:59" ht="58" x14ac:dyDescent="0.35">
      <c r="A1130" s="2" t="s">
        <v>59</v>
      </c>
      <c r="B1130" s="2" t="s">
        <v>60</v>
      </c>
      <c r="C1130" s="2" t="s">
        <v>11009</v>
      </c>
      <c r="D1130" s="2" t="s">
        <v>11010</v>
      </c>
      <c r="E1130" s="2" t="s">
        <v>11011</v>
      </c>
      <c r="G1130" s="3" t="s">
        <v>65</v>
      </c>
      <c r="I1130" s="3" t="s">
        <v>65</v>
      </c>
      <c r="J1130" s="3" t="s">
        <v>65</v>
      </c>
      <c r="K1130" s="3" t="s">
        <v>66</v>
      </c>
      <c r="L1130" s="2" t="s">
        <v>11012</v>
      </c>
      <c r="M1130" s="2" t="s">
        <v>11013</v>
      </c>
      <c r="N1130" s="3" t="s">
        <v>188</v>
      </c>
      <c r="P1130" s="3" t="s">
        <v>140</v>
      </c>
      <c r="Q1130" s="2" t="s">
        <v>11014</v>
      </c>
      <c r="R1130" s="3" t="s">
        <v>71</v>
      </c>
      <c r="S1130" s="4">
        <v>1</v>
      </c>
      <c r="T1130" s="4">
        <v>1</v>
      </c>
      <c r="U1130" s="5" t="s">
        <v>11015</v>
      </c>
      <c r="V1130" s="5" t="s">
        <v>11015</v>
      </c>
      <c r="W1130" s="5" t="s">
        <v>72</v>
      </c>
      <c r="X1130" s="5" t="s">
        <v>72</v>
      </c>
      <c r="Y1130" s="4">
        <v>45</v>
      </c>
      <c r="Z1130" s="4">
        <v>2</v>
      </c>
      <c r="AA1130" s="4">
        <v>2</v>
      </c>
      <c r="AB1130" s="4">
        <v>1</v>
      </c>
      <c r="AC1130" s="4">
        <v>1</v>
      </c>
      <c r="AD1130" s="4">
        <v>32</v>
      </c>
      <c r="AE1130" s="4">
        <v>32</v>
      </c>
      <c r="AF1130" s="4">
        <v>0</v>
      </c>
      <c r="AG1130" s="4">
        <v>0</v>
      </c>
      <c r="AH1130" s="4">
        <v>31</v>
      </c>
      <c r="AI1130" s="4">
        <v>31</v>
      </c>
      <c r="AJ1130" s="4">
        <v>1</v>
      </c>
      <c r="AK1130" s="4">
        <v>1</v>
      </c>
      <c r="AL1130" s="4">
        <v>24</v>
      </c>
      <c r="AM1130" s="4">
        <v>24</v>
      </c>
      <c r="AN1130" s="4">
        <v>0</v>
      </c>
      <c r="AO1130" s="4">
        <v>0</v>
      </c>
      <c r="AP1130" s="4">
        <v>1</v>
      </c>
      <c r="AQ1130" s="4">
        <v>1</v>
      </c>
      <c r="AR1130" s="3" t="s">
        <v>65</v>
      </c>
      <c r="AS1130" s="3" t="s">
        <v>65</v>
      </c>
      <c r="AT1130" s="3" t="s">
        <v>65</v>
      </c>
      <c r="AV1130" s="6" t="str">
        <f>HYPERLINK("http://mcgill.on.worldcat.org/oclc/1030159628","Catalog Record")</f>
        <v>Catalog Record</v>
      </c>
      <c r="AW1130" s="6" t="str">
        <f>HYPERLINK("http://www.worldcat.org/oclc/1030159628","WorldCat Record")</f>
        <v>WorldCat Record</v>
      </c>
      <c r="AX1130" s="3" t="s">
        <v>11016</v>
      </c>
      <c r="AY1130" s="3" t="s">
        <v>11017</v>
      </c>
      <c r="AZ1130" s="3" t="s">
        <v>11018</v>
      </c>
      <c r="BA1130" s="3" t="s">
        <v>11018</v>
      </c>
      <c r="BB1130" s="3" t="s">
        <v>11019</v>
      </c>
      <c r="BC1130" s="3" t="s">
        <v>77</v>
      </c>
      <c r="BD1130" s="3" t="s">
        <v>78</v>
      </c>
      <c r="BE1130" s="3" t="s">
        <v>11020</v>
      </c>
      <c r="BF1130" s="3" t="s">
        <v>11019</v>
      </c>
      <c r="BG1130" s="3" t="s">
        <v>11021</v>
      </c>
    </row>
    <row r="1131" spans="1:59" ht="58" x14ac:dyDescent="0.35">
      <c r="A1131" s="2" t="s">
        <v>59</v>
      </c>
      <c r="B1131" s="2" t="s">
        <v>60</v>
      </c>
      <c r="C1131" s="2" t="s">
        <v>11022</v>
      </c>
      <c r="D1131" s="2" t="s">
        <v>11023</v>
      </c>
      <c r="E1131" s="2" t="s">
        <v>11024</v>
      </c>
      <c r="G1131" s="3" t="s">
        <v>65</v>
      </c>
      <c r="I1131" s="3" t="s">
        <v>65</v>
      </c>
      <c r="J1131" s="3" t="s">
        <v>65</v>
      </c>
      <c r="K1131" s="3" t="s">
        <v>66</v>
      </c>
      <c r="L1131" s="2" t="s">
        <v>11025</v>
      </c>
      <c r="M1131" s="2" t="s">
        <v>11026</v>
      </c>
      <c r="N1131" s="3" t="s">
        <v>139</v>
      </c>
      <c r="O1131" s="2" t="s">
        <v>379</v>
      </c>
      <c r="P1131" s="3" t="s">
        <v>140</v>
      </c>
      <c r="Q1131" s="2" t="s">
        <v>11027</v>
      </c>
      <c r="R1131" s="3" t="s">
        <v>71</v>
      </c>
      <c r="S1131" s="4">
        <v>0</v>
      </c>
      <c r="T1131" s="4">
        <v>0</v>
      </c>
      <c r="W1131" s="5" t="s">
        <v>72</v>
      </c>
      <c r="X1131" s="5" t="s">
        <v>72</v>
      </c>
      <c r="Y1131" s="4">
        <v>43</v>
      </c>
      <c r="Z1131" s="4">
        <v>5</v>
      </c>
      <c r="AA1131" s="4">
        <v>5</v>
      </c>
      <c r="AB1131" s="4">
        <v>1</v>
      </c>
      <c r="AC1131" s="4">
        <v>1</v>
      </c>
      <c r="AD1131" s="4">
        <v>33</v>
      </c>
      <c r="AE1131" s="4">
        <v>33</v>
      </c>
      <c r="AF1131" s="4">
        <v>0</v>
      </c>
      <c r="AG1131" s="4">
        <v>0</v>
      </c>
      <c r="AH1131" s="4">
        <v>32</v>
      </c>
      <c r="AI1131" s="4">
        <v>32</v>
      </c>
      <c r="AJ1131" s="4">
        <v>2</v>
      </c>
      <c r="AK1131" s="4">
        <v>2</v>
      </c>
      <c r="AL1131" s="4">
        <v>25</v>
      </c>
      <c r="AM1131" s="4">
        <v>25</v>
      </c>
      <c r="AN1131" s="4">
        <v>0</v>
      </c>
      <c r="AO1131" s="4">
        <v>0</v>
      </c>
      <c r="AP1131" s="4">
        <v>2</v>
      </c>
      <c r="AQ1131" s="4">
        <v>2</v>
      </c>
      <c r="AR1131" s="3" t="s">
        <v>65</v>
      </c>
      <c r="AS1131" s="3" t="s">
        <v>65</v>
      </c>
      <c r="AT1131" s="3" t="s">
        <v>65</v>
      </c>
      <c r="AV1131" s="6" t="str">
        <f>HYPERLINK("http://mcgill.on.worldcat.org/oclc/905553150","Catalog Record")</f>
        <v>Catalog Record</v>
      </c>
      <c r="AW1131" s="6" t="str">
        <f>HYPERLINK("http://www.worldcat.org/oclc/905553150","WorldCat Record")</f>
        <v>WorldCat Record</v>
      </c>
      <c r="AX1131" s="3" t="s">
        <v>11028</v>
      </c>
      <c r="AY1131" s="3" t="s">
        <v>11029</v>
      </c>
      <c r="AZ1131" s="3" t="s">
        <v>11030</v>
      </c>
      <c r="BA1131" s="3" t="s">
        <v>11030</v>
      </c>
      <c r="BB1131" s="3" t="s">
        <v>11031</v>
      </c>
      <c r="BC1131" s="3" t="s">
        <v>77</v>
      </c>
      <c r="BD1131" s="3" t="s">
        <v>78</v>
      </c>
      <c r="BE1131" s="3" t="s">
        <v>11032</v>
      </c>
      <c r="BF1131" s="3" t="s">
        <v>11031</v>
      </c>
      <c r="BG1131" s="3" t="s">
        <v>11033</v>
      </c>
    </row>
    <row r="1132" spans="1:59" ht="58" x14ac:dyDescent="0.35">
      <c r="A1132" s="2" t="s">
        <v>59</v>
      </c>
      <c r="B1132" s="2" t="s">
        <v>60</v>
      </c>
      <c r="C1132" s="2" t="s">
        <v>11034</v>
      </c>
      <c r="D1132" s="2" t="s">
        <v>11035</v>
      </c>
      <c r="E1132" s="2" t="s">
        <v>11036</v>
      </c>
      <c r="G1132" s="3" t="s">
        <v>65</v>
      </c>
      <c r="I1132" s="3" t="s">
        <v>65</v>
      </c>
      <c r="J1132" s="3" t="s">
        <v>65</v>
      </c>
      <c r="K1132" s="3" t="s">
        <v>66</v>
      </c>
      <c r="L1132" s="2" t="s">
        <v>11037</v>
      </c>
      <c r="M1132" s="2" t="s">
        <v>11038</v>
      </c>
      <c r="N1132" s="3" t="s">
        <v>7187</v>
      </c>
      <c r="P1132" s="3" t="s">
        <v>69</v>
      </c>
      <c r="R1132" s="3" t="s">
        <v>71</v>
      </c>
      <c r="S1132" s="4">
        <v>18</v>
      </c>
      <c r="T1132" s="4">
        <v>18</v>
      </c>
      <c r="U1132" s="5" t="s">
        <v>11039</v>
      </c>
      <c r="V1132" s="5" t="s">
        <v>11039</v>
      </c>
      <c r="W1132" s="5" t="s">
        <v>72</v>
      </c>
      <c r="X1132" s="5" t="s">
        <v>72</v>
      </c>
      <c r="Y1132" s="4">
        <v>498</v>
      </c>
      <c r="Z1132" s="4">
        <v>17</v>
      </c>
      <c r="AA1132" s="4">
        <v>31</v>
      </c>
      <c r="AB1132" s="4">
        <v>1</v>
      </c>
      <c r="AC1132" s="4">
        <v>3</v>
      </c>
      <c r="AD1132" s="4">
        <v>88</v>
      </c>
      <c r="AE1132" s="4">
        <v>116</v>
      </c>
      <c r="AF1132" s="4">
        <v>0</v>
      </c>
      <c r="AG1132" s="4">
        <v>2</v>
      </c>
      <c r="AH1132" s="4">
        <v>81</v>
      </c>
      <c r="AI1132" s="4">
        <v>103</v>
      </c>
      <c r="AJ1132" s="4">
        <v>4</v>
      </c>
      <c r="AK1132" s="4">
        <v>13</v>
      </c>
      <c r="AL1132" s="4">
        <v>45</v>
      </c>
      <c r="AM1132" s="4">
        <v>54</v>
      </c>
      <c r="AN1132" s="4">
        <v>0</v>
      </c>
      <c r="AO1132" s="4">
        <v>2</v>
      </c>
      <c r="AP1132" s="4">
        <v>9</v>
      </c>
      <c r="AQ1132" s="4">
        <v>18</v>
      </c>
      <c r="AR1132" s="3" t="s">
        <v>65</v>
      </c>
      <c r="AS1132" s="3" t="s">
        <v>65</v>
      </c>
      <c r="AT1132" s="3" t="s">
        <v>65</v>
      </c>
      <c r="AV1132" s="6" t="str">
        <f>HYPERLINK("http://mcgill.on.worldcat.org/oclc/3723887","Catalog Record")</f>
        <v>Catalog Record</v>
      </c>
      <c r="AW1132" s="6" t="str">
        <f>HYPERLINK("http://www.worldcat.org/oclc/3723887","WorldCat Record")</f>
        <v>WorldCat Record</v>
      </c>
      <c r="AX1132" s="3" t="s">
        <v>11040</v>
      </c>
      <c r="AY1132" s="3" t="s">
        <v>11041</v>
      </c>
      <c r="AZ1132" s="3" t="s">
        <v>11042</v>
      </c>
      <c r="BA1132" s="3" t="s">
        <v>11042</v>
      </c>
      <c r="BB1132" s="3" t="s">
        <v>11043</v>
      </c>
      <c r="BC1132" s="3" t="s">
        <v>77</v>
      </c>
      <c r="BD1132" s="3" t="s">
        <v>78</v>
      </c>
      <c r="BE1132" s="3" t="s">
        <v>11044</v>
      </c>
      <c r="BF1132" s="3" t="s">
        <v>11043</v>
      </c>
      <c r="BG1132" s="3" t="s">
        <v>11045</v>
      </c>
    </row>
    <row r="1133" spans="1:59" ht="58" x14ac:dyDescent="0.35">
      <c r="A1133" s="2" t="s">
        <v>59</v>
      </c>
      <c r="B1133" s="2" t="s">
        <v>60</v>
      </c>
      <c r="C1133" s="2" t="s">
        <v>11046</v>
      </c>
      <c r="D1133" s="2" t="s">
        <v>11047</v>
      </c>
      <c r="E1133" s="2" t="s">
        <v>11048</v>
      </c>
      <c r="G1133" s="3" t="s">
        <v>65</v>
      </c>
      <c r="I1133" s="3" t="s">
        <v>65</v>
      </c>
      <c r="J1133" s="3" t="s">
        <v>65</v>
      </c>
      <c r="K1133" s="3" t="s">
        <v>66</v>
      </c>
      <c r="L1133" s="2" t="s">
        <v>11049</v>
      </c>
      <c r="M1133" s="2" t="s">
        <v>11050</v>
      </c>
      <c r="N1133" s="3" t="s">
        <v>5961</v>
      </c>
      <c r="P1133" s="3" t="s">
        <v>69</v>
      </c>
      <c r="R1133" s="3" t="s">
        <v>71</v>
      </c>
      <c r="S1133" s="4">
        <v>149</v>
      </c>
      <c r="T1133" s="4">
        <v>149</v>
      </c>
      <c r="U1133" s="5" t="s">
        <v>11039</v>
      </c>
      <c r="V1133" s="5" t="s">
        <v>11039</v>
      </c>
      <c r="W1133" s="5" t="s">
        <v>72</v>
      </c>
      <c r="X1133" s="5" t="s">
        <v>72</v>
      </c>
      <c r="Y1133" s="4">
        <v>767</v>
      </c>
      <c r="Z1133" s="4">
        <v>39</v>
      </c>
      <c r="AA1133" s="4">
        <v>41</v>
      </c>
      <c r="AB1133" s="4">
        <v>1</v>
      </c>
      <c r="AC1133" s="4">
        <v>3</v>
      </c>
      <c r="AD1133" s="4">
        <v>122</v>
      </c>
      <c r="AE1133" s="4">
        <v>124</v>
      </c>
      <c r="AF1133" s="4">
        <v>0</v>
      </c>
      <c r="AG1133" s="4">
        <v>2</v>
      </c>
      <c r="AH1133" s="4">
        <v>103</v>
      </c>
      <c r="AI1133" s="4">
        <v>103</v>
      </c>
      <c r="AJ1133" s="4">
        <v>18</v>
      </c>
      <c r="AK1133" s="4">
        <v>20</v>
      </c>
      <c r="AL1133" s="4">
        <v>56</v>
      </c>
      <c r="AM1133" s="4">
        <v>56</v>
      </c>
      <c r="AN1133" s="4">
        <v>0</v>
      </c>
      <c r="AO1133" s="4">
        <v>0</v>
      </c>
      <c r="AP1133" s="4">
        <v>24</v>
      </c>
      <c r="AQ1133" s="4">
        <v>25</v>
      </c>
      <c r="AR1133" s="3" t="s">
        <v>65</v>
      </c>
      <c r="AS1133" s="3" t="s">
        <v>65</v>
      </c>
      <c r="AT1133" s="3" t="s">
        <v>209</v>
      </c>
      <c r="AU1133" s="6" t="str">
        <f>HYPERLINK("http://catalog.hathitrust.org/Record/000583374","HathiTrust Record")</f>
        <v>HathiTrust Record</v>
      </c>
      <c r="AV1133" s="6" t="str">
        <f>HYPERLINK("http://mcgill.on.worldcat.org/oclc/12371506","Catalog Record")</f>
        <v>Catalog Record</v>
      </c>
      <c r="AW1133" s="6" t="str">
        <f>HYPERLINK("http://www.worldcat.org/oclc/12371506","WorldCat Record")</f>
        <v>WorldCat Record</v>
      </c>
      <c r="AX1133" s="3" t="s">
        <v>11051</v>
      </c>
      <c r="AY1133" s="3" t="s">
        <v>11052</v>
      </c>
      <c r="AZ1133" s="3" t="s">
        <v>11053</v>
      </c>
      <c r="BA1133" s="3" t="s">
        <v>11053</v>
      </c>
      <c r="BB1133" s="3" t="s">
        <v>11054</v>
      </c>
      <c r="BC1133" s="3" t="s">
        <v>77</v>
      </c>
      <c r="BD1133" s="3" t="s">
        <v>106</v>
      </c>
      <c r="BE1133" s="3" t="s">
        <v>11055</v>
      </c>
      <c r="BF1133" s="3" t="s">
        <v>11054</v>
      </c>
      <c r="BG1133" s="3" t="s">
        <v>11056</v>
      </c>
    </row>
    <row r="1134" spans="1:59" ht="58" x14ac:dyDescent="0.35">
      <c r="A1134" s="2" t="s">
        <v>59</v>
      </c>
      <c r="B1134" s="2" t="s">
        <v>60</v>
      </c>
      <c r="C1134" s="2" t="s">
        <v>11057</v>
      </c>
      <c r="D1134" s="2" t="s">
        <v>11058</v>
      </c>
      <c r="E1134" s="2" t="s">
        <v>11059</v>
      </c>
      <c r="G1134" s="3" t="s">
        <v>65</v>
      </c>
      <c r="I1134" s="3" t="s">
        <v>65</v>
      </c>
      <c r="J1134" s="3" t="s">
        <v>65</v>
      </c>
      <c r="K1134" s="3" t="s">
        <v>66</v>
      </c>
      <c r="L1134" s="2" t="s">
        <v>11060</v>
      </c>
      <c r="M1134" s="2" t="s">
        <v>11061</v>
      </c>
      <c r="N1134" s="3" t="s">
        <v>68</v>
      </c>
      <c r="P1134" s="3" t="s">
        <v>140</v>
      </c>
      <c r="R1134" s="3" t="s">
        <v>71</v>
      </c>
      <c r="S1134" s="4">
        <v>0</v>
      </c>
      <c r="T1134" s="4">
        <v>0</v>
      </c>
      <c r="W1134" s="5" t="s">
        <v>72</v>
      </c>
      <c r="X1134" s="5" t="s">
        <v>72</v>
      </c>
      <c r="Y1134" s="4">
        <v>39</v>
      </c>
      <c r="Z1134" s="4">
        <v>5</v>
      </c>
      <c r="AA1134" s="4">
        <v>5</v>
      </c>
      <c r="AB1134" s="4">
        <v>1</v>
      </c>
      <c r="AC1134" s="4">
        <v>1</v>
      </c>
      <c r="AD1134" s="4">
        <v>30</v>
      </c>
      <c r="AE1134" s="4">
        <v>30</v>
      </c>
      <c r="AF1134" s="4">
        <v>0</v>
      </c>
      <c r="AG1134" s="4">
        <v>0</v>
      </c>
      <c r="AH1134" s="4">
        <v>29</v>
      </c>
      <c r="AI1134" s="4">
        <v>29</v>
      </c>
      <c r="AJ1134" s="4">
        <v>2</v>
      </c>
      <c r="AK1134" s="4">
        <v>2</v>
      </c>
      <c r="AL1134" s="4">
        <v>24</v>
      </c>
      <c r="AM1134" s="4">
        <v>24</v>
      </c>
      <c r="AN1134" s="4">
        <v>0</v>
      </c>
      <c r="AO1134" s="4">
        <v>0</v>
      </c>
      <c r="AP1134" s="4">
        <v>2</v>
      </c>
      <c r="AQ1134" s="4">
        <v>2</v>
      </c>
      <c r="AR1134" s="3" t="s">
        <v>65</v>
      </c>
      <c r="AS1134" s="3" t="s">
        <v>65</v>
      </c>
      <c r="AT1134" s="3" t="s">
        <v>65</v>
      </c>
      <c r="AV1134" s="6" t="str">
        <f>HYPERLINK("http://mcgill.on.worldcat.org/oclc/953450259","Catalog Record")</f>
        <v>Catalog Record</v>
      </c>
      <c r="AW1134" s="6" t="str">
        <f>HYPERLINK("http://www.worldcat.org/oclc/953450259","WorldCat Record")</f>
        <v>WorldCat Record</v>
      </c>
      <c r="AX1134" s="3" t="s">
        <v>11062</v>
      </c>
      <c r="AY1134" s="3" t="s">
        <v>11063</v>
      </c>
      <c r="AZ1134" s="3" t="s">
        <v>11064</v>
      </c>
      <c r="BA1134" s="3" t="s">
        <v>11064</v>
      </c>
      <c r="BB1134" s="3" t="s">
        <v>11065</v>
      </c>
      <c r="BC1134" s="3" t="s">
        <v>77</v>
      </c>
      <c r="BD1134" s="3" t="s">
        <v>78</v>
      </c>
      <c r="BE1134" s="3" t="s">
        <v>11066</v>
      </c>
      <c r="BF1134" s="3" t="s">
        <v>11065</v>
      </c>
      <c r="BG1134" s="3" t="s">
        <v>11067</v>
      </c>
    </row>
    <row r="1135" spans="1:59" ht="58" x14ac:dyDescent="0.35">
      <c r="A1135" s="2" t="s">
        <v>59</v>
      </c>
      <c r="B1135" s="2" t="s">
        <v>60</v>
      </c>
      <c r="C1135" s="2" t="s">
        <v>11068</v>
      </c>
      <c r="D1135" s="2" t="s">
        <v>11069</v>
      </c>
      <c r="E1135" s="2" t="s">
        <v>11070</v>
      </c>
      <c r="G1135" s="3" t="s">
        <v>65</v>
      </c>
      <c r="I1135" s="3" t="s">
        <v>65</v>
      </c>
      <c r="J1135" s="3" t="s">
        <v>65</v>
      </c>
      <c r="K1135" s="3" t="s">
        <v>66</v>
      </c>
      <c r="L1135" s="2" t="s">
        <v>11071</v>
      </c>
      <c r="M1135" s="2" t="s">
        <v>11072</v>
      </c>
      <c r="N1135" s="3" t="s">
        <v>3385</v>
      </c>
      <c r="P1135" s="3" t="s">
        <v>69</v>
      </c>
      <c r="R1135" s="3" t="s">
        <v>71</v>
      </c>
      <c r="S1135" s="4">
        <v>13</v>
      </c>
      <c r="T1135" s="4">
        <v>13</v>
      </c>
      <c r="U1135" s="5" t="s">
        <v>10660</v>
      </c>
      <c r="V1135" s="5" t="s">
        <v>10660</v>
      </c>
      <c r="W1135" s="5" t="s">
        <v>72</v>
      </c>
      <c r="X1135" s="5" t="s">
        <v>72</v>
      </c>
      <c r="Y1135" s="4">
        <v>310</v>
      </c>
      <c r="Z1135" s="4">
        <v>20</v>
      </c>
      <c r="AA1135" s="4">
        <v>20</v>
      </c>
      <c r="AB1135" s="4">
        <v>2</v>
      </c>
      <c r="AC1135" s="4">
        <v>2</v>
      </c>
      <c r="AD1135" s="4">
        <v>111</v>
      </c>
      <c r="AE1135" s="4">
        <v>112</v>
      </c>
      <c r="AF1135" s="4">
        <v>1</v>
      </c>
      <c r="AG1135" s="4">
        <v>1</v>
      </c>
      <c r="AH1135" s="4">
        <v>100</v>
      </c>
      <c r="AI1135" s="4">
        <v>101</v>
      </c>
      <c r="AJ1135" s="4">
        <v>14</v>
      </c>
      <c r="AK1135" s="4">
        <v>14</v>
      </c>
      <c r="AL1135" s="4">
        <v>56</v>
      </c>
      <c r="AM1135" s="4">
        <v>56</v>
      </c>
      <c r="AN1135" s="4">
        <v>0</v>
      </c>
      <c r="AO1135" s="4">
        <v>0</v>
      </c>
      <c r="AP1135" s="4">
        <v>16</v>
      </c>
      <c r="AQ1135" s="4">
        <v>16</v>
      </c>
      <c r="AR1135" s="3" t="s">
        <v>65</v>
      </c>
      <c r="AS1135" s="3" t="s">
        <v>209</v>
      </c>
      <c r="AT1135" s="3" t="s">
        <v>209</v>
      </c>
      <c r="AU1135" s="6" t="str">
        <f>HYPERLINK("http://catalog.hathitrust.org/Record/003331452","HathiTrust Record")</f>
        <v>HathiTrust Record</v>
      </c>
      <c r="AV1135" s="6" t="str">
        <f>HYPERLINK("http://mcgill.on.worldcat.org/oclc/39624759","Catalog Record")</f>
        <v>Catalog Record</v>
      </c>
      <c r="AW1135" s="6" t="str">
        <f>HYPERLINK("http://www.worldcat.org/oclc/39624759","WorldCat Record")</f>
        <v>WorldCat Record</v>
      </c>
      <c r="AX1135" s="3" t="s">
        <v>11073</v>
      </c>
      <c r="AY1135" s="3" t="s">
        <v>11074</v>
      </c>
      <c r="AZ1135" s="3" t="s">
        <v>11075</v>
      </c>
      <c r="BA1135" s="3" t="s">
        <v>11075</v>
      </c>
      <c r="BB1135" s="3" t="s">
        <v>11076</v>
      </c>
      <c r="BC1135" s="3" t="s">
        <v>77</v>
      </c>
      <c r="BD1135" s="3" t="s">
        <v>78</v>
      </c>
      <c r="BE1135" s="3" t="s">
        <v>11077</v>
      </c>
      <c r="BF1135" s="3" t="s">
        <v>11076</v>
      </c>
      <c r="BG1135" s="3" t="s">
        <v>11078</v>
      </c>
    </row>
    <row r="1136" spans="1:59" ht="58" x14ac:dyDescent="0.35">
      <c r="A1136" s="2" t="s">
        <v>59</v>
      </c>
      <c r="B1136" s="2" t="s">
        <v>60</v>
      </c>
      <c r="C1136" s="2" t="s">
        <v>11079</v>
      </c>
      <c r="D1136" s="2" t="s">
        <v>11080</v>
      </c>
      <c r="E1136" s="2" t="s">
        <v>11081</v>
      </c>
      <c r="G1136" s="3" t="s">
        <v>65</v>
      </c>
      <c r="I1136" s="3" t="s">
        <v>65</v>
      </c>
      <c r="J1136" s="3" t="s">
        <v>65</v>
      </c>
      <c r="K1136" s="3" t="s">
        <v>66</v>
      </c>
      <c r="L1136" s="2" t="s">
        <v>11082</v>
      </c>
      <c r="M1136" s="2" t="s">
        <v>11083</v>
      </c>
      <c r="N1136" s="3" t="s">
        <v>392</v>
      </c>
      <c r="P1136" s="3" t="s">
        <v>69</v>
      </c>
      <c r="Q1136" s="2" t="s">
        <v>11084</v>
      </c>
      <c r="R1136" s="3" t="s">
        <v>71</v>
      </c>
      <c r="S1136" s="4">
        <v>5</v>
      </c>
      <c r="T1136" s="4">
        <v>5</v>
      </c>
      <c r="U1136" s="5" t="s">
        <v>11085</v>
      </c>
      <c r="V1136" s="5" t="s">
        <v>11085</v>
      </c>
      <c r="W1136" s="5" t="s">
        <v>72</v>
      </c>
      <c r="X1136" s="5" t="s">
        <v>72</v>
      </c>
      <c r="Y1136" s="4">
        <v>140</v>
      </c>
      <c r="Z1136" s="4">
        <v>12</v>
      </c>
      <c r="AA1136" s="4">
        <v>22</v>
      </c>
      <c r="AB1136" s="4">
        <v>1</v>
      </c>
      <c r="AC1136" s="4">
        <v>4</v>
      </c>
      <c r="AD1136" s="4">
        <v>70</v>
      </c>
      <c r="AE1136" s="4">
        <v>78</v>
      </c>
      <c r="AF1136" s="4">
        <v>0</v>
      </c>
      <c r="AG1136" s="4">
        <v>2</v>
      </c>
      <c r="AH1136" s="4">
        <v>66</v>
      </c>
      <c r="AI1136" s="4">
        <v>70</v>
      </c>
      <c r="AJ1136" s="4">
        <v>8</v>
      </c>
      <c r="AK1136" s="4">
        <v>10</v>
      </c>
      <c r="AL1136" s="4">
        <v>37</v>
      </c>
      <c r="AM1136" s="4">
        <v>39</v>
      </c>
      <c r="AN1136" s="4">
        <v>0</v>
      </c>
      <c r="AO1136" s="4">
        <v>0</v>
      </c>
      <c r="AP1136" s="4">
        <v>8</v>
      </c>
      <c r="AQ1136" s="4">
        <v>12</v>
      </c>
      <c r="AR1136" s="3" t="s">
        <v>65</v>
      </c>
      <c r="AS1136" s="3" t="s">
        <v>65</v>
      </c>
      <c r="AT1136" s="3" t="s">
        <v>209</v>
      </c>
      <c r="AU1136" s="6" t="str">
        <f>HYPERLINK("http://catalog.hathitrust.org/Record/001822370","HathiTrust Record")</f>
        <v>HathiTrust Record</v>
      </c>
      <c r="AV1136" s="6" t="str">
        <f>HYPERLINK("http://mcgill.on.worldcat.org/oclc/19221999","Catalog Record")</f>
        <v>Catalog Record</v>
      </c>
      <c r="AW1136" s="6" t="str">
        <f>HYPERLINK("http://www.worldcat.org/oclc/19221999","WorldCat Record")</f>
        <v>WorldCat Record</v>
      </c>
      <c r="AX1136" s="3" t="s">
        <v>11086</v>
      </c>
      <c r="AY1136" s="3" t="s">
        <v>11087</v>
      </c>
      <c r="AZ1136" s="3" t="s">
        <v>11088</v>
      </c>
      <c r="BA1136" s="3" t="s">
        <v>11088</v>
      </c>
      <c r="BB1136" s="3" t="s">
        <v>11089</v>
      </c>
      <c r="BC1136" s="3" t="s">
        <v>77</v>
      </c>
      <c r="BD1136" s="3" t="s">
        <v>78</v>
      </c>
      <c r="BE1136" s="3" t="s">
        <v>11090</v>
      </c>
      <c r="BF1136" s="3" t="s">
        <v>11089</v>
      </c>
      <c r="BG1136" s="3" t="s">
        <v>11091</v>
      </c>
    </row>
    <row r="1137" spans="1:59" ht="58" x14ac:dyDescent="0.35">
      <c r="A1137" s="2" t="s">
        <v>59</v>
      </c>
      <c r="B1137" s="2" t="s">
        <v>60</v>
      </c>
      <c r="C1137" s="2" t="s">
        <v>11092</v>
      </c>
      <c r="D1137" s="2" t="s">
        <v>11093</v>
      </c>
      <c r="E1137" s="2" t="s">
        <v>11094</v>
      </c>
      <c r="G1137" s="3" t="s">
        <v>65</v>
      </c>
      <c r="I1137" s="3" t="s">
        <v>65</v>
      </c>
      <c r="J1137" s="3" t="s">
        <v>65</v>
      </c>
      <c r="K1137" s="3" t="s">
        <v>66</v>
      </c>
      <c r="L1137" s="2" t="s">
        <v>11095</v>
      </c>
      <c r="M1137" s="2" t="s">
        <v>11096</v>
      </c>
      <c r="N1137" s="3" t="s">
        <v>176</v>
      </c>
      <c r="O1137" s="2" t="s">
        <v>2438</v>
      </c>
      <c r="P1137" s="3" t="s">
        <v>69</v>
      </c>
      <c r="Q1137" s="2" t="s">
        <v>11097</v>
      </c>
      <c r="R1137" s="3" t="s">
        <v>71</v>
      </c>
      <c r="S1137" s="4">
        <v>0</v>
      </c>
      <c r="T1137" s="4">
        <v>0</v>
      </c>
      <c r="W1137" s="5" t="s">
        <v>72</v>
      </c>
      <c r="X1137" s="5" t="s">
        <v>72</v>
      </c>
      <c r="Y1137" s="4">
        <v>290</v>
      </c>
      <c r="Z1137" s="4">
        <v>14</v>
      </c>
      <c r="AA1137" s="4">
        <v>20</v>
      </c>
      <c r="AB1137" s="4">
        <v>1</v>
      </c>
      <c r="AC1137" s="4">
        <v>2</v>
      </c>
      <c r="AD1137" s="4">
        <v>59</v>
      </c>
      <c r="AE1137" s="4">
        <v>65</v>
      </c>
      <c r="AF1137" s="4">
        <v>0</v>
      </c>
      <c r="AG1137" s="4">
        <v>0</v>
      </c>
      <c r="AH1137" s="4">
        <v>57</v>
      </c>
      <c r="AI1137" s="4">
        <v>59</v>
      </c>
      <c r="AJ1137" s="4">
        <v>8</v>
      </c>
      <c r="AK1137" s="4">
        <v>11</v>
      </c>
      <c r="AL1137" s="4">
        <v>31</v>
      </c>
      <c r="AM1137" s="4">
        <v>32</v>
      </c>
      <c r="AN1137" s="4">
        <v>0</v>
      </c>
      <c r="AO1137" s="4">
        <v>0</v>
      </c>
      <c r="AP1137" s="4">
        <v>8</v>
      </c>
      <c r="AQ1137" s="4">
        <v>13</v>
      </c>
      <c r="AR1137" s="3" t="s">
        <v>65</v>
      </c>
      <c r="AS1137" s="3" t="s">
        <v>65</v>
      </c>
      <c r="AT1137" s="3" t="s">
        <v>65</v>
      </c>
      <c r="AV1137" s="6" t="str">
        <f>HYPERLINK("http://mcgill.on.worldcat.org/oclc/891125230","Catalog Record")</f>
        <v>Catalog Record</v>
      </c>
      <c r="AW1137" s="6" t="str">
        <f>HYPERLINK("http://www.worldcat.org/oclc/891125230","WorldCat Record")</f>
        <v>WorldCat Record</v>
      </c>
      <c r="AX1137" s="3" t="s">
        <v>11098</v>
      </c>
      <c r="AY1137" s="3" t="s">
        <v>11099</v>
      </c>
      <c r="AZ1137" s="3" t="s">
        <v>11100</v>
      </c>
      <c r="BA1137" s="3" t="s">
        <v>11100</v>
      </c>
      <c r="BB1137" s="3" t="s">
        <v>11101</v>
      </c>
      <c r="BC1137" s="3" t="s">
        <v>77</v>
      </c>
      <c r="BD1137" s="3" t="s">
        <v>78</v>
      </c>
      <c r="BE1137" s="3" t="s">
        <v>11102</v>
      </c>
      <c r="BF1137" s="3" t="s">
        <v>11101</v>
      </c>
      <c r="BG1137" s="3" t="s">
        <v>11103</v>
      </c>
    </row>
    <row r="1138" spans="1:59" ht="58" x14ac:dyDescent="0.35">
      <c r="A1138" s="2" t="s">
        <v>59</v>
      </c>
      <c r="B1138" s="2" t="s">
        <v>60</v>
      </c>
      <c r="C1138" s="2" t="s">
        <v>11104</v>
      </c>
      <c r="D1138" s="2" t="s">
        <v>11105</v>
      </c>
      <c r="E1138" s="2" t="s">
        <v>11106</v>
      </c>
      <c r="G1138" s="3" t="s">
        <v>65</v>
      </c>
      <c r="I1138" s="3" t="s">
        <v>65</v>
      </c>
      <c r="J1138" s="3" t="s">
        <v>65</v>
      </c>
      <c r="K1138" s="3" t="s">
        <v>66</v>
      </c>
      <c r="L1138" s="2" t="s">
        <v>11107</v>
      </c>
      <c r="M1138" s="2" t="s">
        <v>11108</v>
      </c>
      <c r="N1138" s="3" t="s">
        <v>11109</v>
      </c>
      <c r="P1138" s="3" t="s">
        <v>616</v>
      </c>
      <c r="Q1138" s="2" t="s">
        <v>11110</v>
      </c>
      <c r="R1138" s="3" t="s">
        <v>71</v>
      </c>
      <c r="S1138" s="4">
        <v>1</v>
      </c>
      <c r="T1138" s="4">
        <v>1</v>
      </c>
      <c r="U1138" s="5" t="s">
        <v>11085</v>
      </c>
      <c r="V1138" s="5" t="s">
        <v>11085</v>
      </c>
      <c r="W1138" s="5" t="s">
        <v>72</v>
      </c>
      <c r="X1138" s="5" t="s">
        <v>72</v>
      </c>
      <c r="Y1138" s="4">
        <v>134</v>
      </c>
      <c r="Z1138" s="4">
        <v>12</v>
      </c>
      <c r="AA1138" s="4">
        <v>24</v>
      </c>
      <c r="AB1138" s="4">
        <v>1</v>
      </c>
      <c r="AC1138" s="4">
        <v>2</v>
      </c>
      <c r="AD1138" s="4">
        <v>63</v>
      </c>
      <c r="AE1138" s="4">
        <v>69</v>
      </c>
      <c r="AF1138" s="4">
        <v>0</v>
      </c>
      <c r="AG1138" s="4">
        <v>1</v>
      </c>
      <c r="AH1138" s="4">
        <v>57</v>
      </c>
      <c r="AI1138" s="4">
        <v>60</v>
      </c>
      <c r="AJ1138" s="4">
        <v>8</v>
      </c>
      <c r="AK1138" s="4">
        <v>10</v>
      </c>
      <c r="AL1138" s="4">
        <v>41</v>
      </c>
      <c r="AM1138" s="4">
        <v>41</v>
      </c>
      <c r="AN1138" s="4">
        <v>0</v>
      </c>
      <c r="AO1138" s="4">
        <v>0</v>
      </c>
      <c r="AP1138" s="4">
        <v>10</v>
      </c>
      <c r="AQ1138" s="4">
        <v>15</v>
      </c>
      <c r="AR1138" s="3" t="s">
        <v>65</v>
      </c>
      <c r="AS1138" s="3" t="s">
        <v>65</v>
      </c>
      <c r="AT1138" s="3" t="s">
        <v>65</v>
      </c>
      <c r="AU1138" s="6" t="str">
        <f>HYPERLINK("http://catalog.hathitrust.org/Record/000907817","HathiTrust Record")</f>
        <v>HathiTrust Record</v>
      </c>
      <c r="AV1138" s="6" t="str">
        <f>HYPERLINK("http://mcgill.on.worldcat.org/oclc/1136861","Catalog Record")</f>
        <v>Catalog Record</v>
      </c>
      <c r="AW1138" s="6" t="str">
        <f>HYPERLINK("http://www.worldcat.org/oclc/1136861","WorldCat Record")</f>
        <v>WorldCat Record</v>
      </c>
      <c r="AX1138" s="3" t="s">
        <v>11111</v>
      </c>
      <c r="AY1138" s="3" t="s">
        <v>11112</v>
      </c>
      <c r="AZ1138" s="3" t="s">
        <v>11113</v>
      </c>
      <c r="BA1138" s="3" t="s">
        <v>11113</v>
      </c>
      <c r="BB1138" s="3" t="s">
        <v>11114</v>
      </c>
      <c r="BC1138" s="3" t="s">
        <v>77</v>
      </c>
      <c r="BD1138" s="3" t="s">
        <v>78</v>
      </c>
      <c r="BF1138" s="3" t="s">
        <v>11114</v>
      </c>
      <c r="BG1138" s="3" t="s">
        <v>11115</v>
      </c>
    </row>
    <row r="1139" spans="1:59" ht="58" x14ac:dyDescent="0.35">
      <c r="A1139" s="2" t="s">
        <v>59</v>
      </c>
      <c r="B1139" s="2" t="s">
        <v>60</v>
      </c>
      <c r="C1139" s="2" t="s">
        <v>11116</v>
      </c>
      <c r="D1139" s="2" t="s">
        <v>11117</v>
      </c>
      <c r="E1139" s="2" t="s">
        <v>11118</v>
      </c>
      <c r="G1139" s="3" t="s">
        <v>65</v>
      </c>
      <c r="I1139" s="3" t="s">
        <v>65</v>
      </c>
      <c r="J1139" s="3" t="s">
        <v>209</v>
      </c>
      <c r="K1139" s="3" t="s">
        <v>66</v>
      </c>
      <c r="L1139" s="2" t="s">
        <v>11119</v>
      </c>
      <c r="M1139" s="2" t="s">
        <v>11120</v>
      </c>
      <c r="N1139" s="3" t="s">
        <v>113</v>
      </c>
      <c r="P1139" s="3" t="s">
        <v>69</v>
      </c>
      <c r="R1139" s="3" t="s">
        <v>71</v>
      </c>
      <c r="S1139" s="4">
        <v>0</v>
      </c>
      <c r="T1139" s="4">
        <v>0</v>
      </c>
      <c r="W1139" s="5" t="s">
        <v>72</v>
      </c>
      <c r="X1139" s="5" t="s">
        <v>72</v>
      </c>
      <c r="Y1139" s="4">
        <v>13</v>
      </c>
      <c r="Z1139" s="4">
        <v>2</v>
      </c>
      <c r="AA1139" s="4">
        <v>18</v>
      </c>
      <c r="AB1139" s="4">
        <v>1</v>
      </c>
      <c r="AC1139" s="4">
        <v>3</v>
      </c>
      <c r="AD1139" s="4">
        <v>3</v>
      </c>
      <c r="AE1139" s="4">
        <v>87</v>
      </c>
      <c r="AF1139" s="4">
        <v>0</v>
      </c>
      <c r="AG1139" s="4">
        <v>0</v>
      </c>
      <c r="AH1139" s="4">
        <v>2</v>
      </c>
      <c r="AI1139" s="4">
        <v>81</v>
      </c>
      <c r="AJ1139" s="4">
        <v>1</v>
      </c>
      <c r="AK1139" s="4">
        <v>13</v>
      </c>
      <c r="AL1139" s="4">
        <v>1</v>
      </c>
      <c r="AM1139" s="4">
        <v>44</v>
      </c>
      <c r="AN1139" s="4">
        <v>0</v>
      </c>
      <c r="AO1139" s="4">
        <v>0</v>
      </c>
      <c r="AP1139" s="4">
        <v>1</v>
      </c>
      <c r="AQ1139" s="4">
        <v>13</v>
      </c>
      <c r="AR1139" s="3" t="s">
        <v>65</v>
      </c>
      <c r="AS1139" s="3" t="s">
        <v>65</v>
      </c>
      <c r="AT1139" s="3" t="s">
        <v>65</v>
      </c>
      <c r="AV1139" s="6" t="str">
        <f>HYPERLINK("http://mcgill.on.worldcat.org/oclc/717324320","Catalog Record")</f>
        <v>Catalog Record</v>
      </c>
      <c r="AW1139" s="6" t="str">
        <f>HYPERLINK("http://www.worldcat.org/oclc/717324320","WorldCat Record")</f>
        <v>WorldCat Record</v>
      </c>
      <c r="AX1139" s="3" t="s">
        <v>11121</v>
      </c>
      <c r="AY1139" s="3" t="s">
        <v>11122</v>
      </c>
      <c r="AZ1139" s="3" t="s">
        <v>11123</v>
      </c>
      <c r="BA1139" s="3" t="s">
        <v>11123</v>
      </c>
      <c r="BB1139" s="3" t="s">
        <v>11124</v>
      </c>
      <c r="BC1139" s="3" t="s">
        <v>77</v>
      </c>
      <c r="BD1139" s="3" t="s">
        <v>78</v>
      </c>
      <c r="BE1139" s="3" t="s">
        <v>11125</v>
      </c>
      <c r="BF1139" s="3" t="s">
        <v>11124</v>
      </c>
      <c r="BG1139" s="3" t="s">
        <v>11126</v>
      </c>
    </row>
    <row r="1140" spans="1:59" ht="58" x14ac:dyDescent="0.35">
      <c r="A1140" s="2" t="s">
        <v>59</v>
      </c>
      <c r="B1140" s="2" t="s">
        <v>60</v>
      </c>
      <c r="C1140" s="2" t="s">
        <v>11127</v>
      </c>
      <c r="D1140" s="2" t="s">
        <v>11128</v>
      </c>
      <c r="E1140" s="2" t="s">
        <v>11129</v>
      </c>
      <c r="G1140" s="3" t="s">
        <v>65</v>
      </c>
      <c r="I1140" s="3" t="s">
        <v>65</v>
      </c>
      <c r="J1140" s="3" t="s">
        <v>65</v>
      </c>
      <c r="K1140" s="3" t="s">
        <v>66</v>
      </c>
      <c r="L1140" s="2" t="s">
        <v>7803</v>
      </c>
      <c r="M1140" s="2" t="s">
        <v>11130</v>
      </c>
      <c r="N1140" s="3" t="s">
        <v>955</v>
      </c>
      <c r="P1140" s="3" t="s">
        <v>69</v>
      </c>
      <c r="Q1140" s="2" t="s">
        <v>11131</v>
      </c>
      <c r="R1140" s="3" t="s">
        <v>71</v>
      </c>
      <c r="S1140" s="4">
        <v>10</v>
      </c>
      <c r="T1140" s="4">
        <v>10</v>
      </c>
      <c r="U1140" s="5" t="s">
        <v>2415</v>
      </c>
      <c r="V1140" s="5" t="s">
        <v>2415</v>
      </c>
      <c r="W1140" s="5" t="s">
        <v>72</v>
      </c>
      <c r="X1140" s="5" t="s">
        <v>72</v>
      </c>
      <c r="Y1140" s="4">
        <v>176</v>
      </c>
      <c r="Z1140" s="4">
        <v>18</v>
      </c>
      <c r="AA1140" s="4">
        <v>18</v>
      </c>
      <c r="AB1140" s="4">
        <v>2</v>
      </c>
      <c r="AC1140" s="4">
        <v>2</v>
      </c>
      <c r="AD1140" s="4">
        <v>72</v>
      </c>
      <c r="AE1140" s="4">
        <v>72</v>
      </c>
      <c r="AF1140" s="4">
        <v>1</v>
      </c>
      <c r="AG1140" s="4">
        <v>1</v>
      </c>
      <c r="AH1140" s="4">
        <v>65</v>
      </c>
      <c r="AI1140" s="4">
        <v>65</v>
      </c>
      <c r="AJ1140" s="4">
        <v>13</v>
      </c>
      <c r="AK1140" s="4">
        <v>13</v>
      </c>
      <c r="AL1140" s="4">
        <v>43</v>
      </c>
      <c r="AM1140" s="4">
        <v>43</v>
      </c>
      <c r="AN1140" s="4">
        <v>0</v>
      </c>
      <c r="AO1140" s="4">
        <v>0</v>
      </c>
      <c r="AP1140" s="4">
        <v>13</v>
      </c>
      <c r="AQ1140" s="4">
        <v>13</v>
      </c>
      <c r="AR1140" s="3" t="s">
        <v>65</v>
      </c>
      <c r="AS1140" s="3" t="s">
        <v>65</v>
      </c>
      <c r="AT1140" s="3" t="s">
        <v>209</v>
      </c>
      <c r="AU1140" s="6" t="str">
        <f>HYPERLINK("http://catalog.hathitrust.org/Record/007116587","HathiTrust Record")</f>
        <v>HathiTrust Record</v>
      </c>
      <c r="AV1140" s="6" t="str">
        <f>HYPERLINK("http://mcgill.on.worldcat.org/oclc/6590246","Catalog Record")</f>
        <v>Catalog Record</v>
      </c>
      <c r="AW1140" s="6" t="str">
        <f>HYPERLINK("http://www.worldcat.org/oclc/6590246","WorldCat Record")</f>
        <v>WorldCat Record</v>
      </c>
      <c r="AX1140" s="3" t="s">
        <v>11132</v>
      </c>
      <c r="AY1140" s="3" t="s">
        <v>11133</v>
      </c>
      <c r="AZ1140" s="3" t="s">
        <v>11134</v>
      </c>
      <c r="BA1140" s="3" t="s">
        <v>11134</v>
      </c>
      <c r="BB1140" s="3" t="s">
        <v>11135</v>
      </c>
      <c r="BC1140" s="3" t="s">
        <v>77</v>
      </c>
      <c r="BD1140" s="3" t="s">
        <v>78</v>
      </c>
      <c r="BF1140" s="3" t="s">
        <v>11135</v>
      </c>
      <c r="BG1140" s="3" t="s">
        <v>11136</v>
      </c>
    </row>
    <row r="1141" spans="1:59" ht="58" x14ac:dyDescent="0.35">
      <c r="A1141" s="2" t="s">
        <v>59</v>
      </c>
      <c r="B1141" s="2" t="s">
        <v>60</v>
      </c>
      <c r="C1141" s="2" t="s">
        <v>11137</v>
      </c>
      <c r="D1141" s="2" t="s">
        <v>11138</v>
      </c>
      <c r="E1141" s="2" t="s">
        <v>11139</v>
      </c>
      <c r="G1141" s="3" t="s">
        <v>65</v>
      </c>
      <c r="I1141" s="3" t="s">
        <v>209</v>
      </c>
      <c r="J1141" s="3" t="s">
        <v>65</v>
      </c>
      <c r="K1141" s="3" t="s">
        <v>66</v>
      </c>
      <c r="L1141" s="2" t="s">
        <v>11140</v>
      </c>
      <c r="M1141" s="2" t="s">
        <v>11141</v>
      </c>
      <c r="N1141" s="3" t="s">
        <v>955</v>
      </c>
      <c r="P1141" s="3" t="s">
        <v>69</v>
      </c>
      <c r="Q1141" s="2" t="s">
        <v>11142</v>
      </c>
      <c r="R1141" s="3" t="s">
        <v>71</v>
      </c>
      <c r="S1141" s="4">
        <v>26</v>
      </c>
      <c r="T1141" s="4">
        <v>33</v>
      </c>
      <c r="U1141" s="5" t="s">
        <v>11143</v>
      </c>
      <c r="V1141" s="5" t="s">
        <v>11143</v>
      </c>
      <c r="W1141" s="5" t="s">
        <v>72</v>
      </c>
      <c r="X1141" s="5" t="s">
        <v>72</v>
      </c>
      <c r="Y1141" s="4">
        <v>287</v>
      </c>
      <c r="Z1141" s="4">
        <v>38</v>
      </c>
      <c r="AA1141" s="4">
        <v>51</v>
      </c>
      <c r="AB1141" s="4">
        <v>2</v>
      </c>
      <c r="AC1141" s="4">
        <v>3</v>
      </c>
      <c r="AD1141" s="4">
        <v>52</v>
      </c>
      <c r="AE1141" s="4">
        <v>117</v>
      </c>
      <c r="AF1141" s="4">
        <v>1</v>
      </c>
      <c r="AG1141" s="4">
        <v>2</v>
      </c>
      <c r="AH1141" s="4">
        <v>40</v>
      </c>
      <c r="AI1141" s="4">
        <v>95</v>
      </c>
      <c r="AJ1141" s="4">
        <v>13</v>
      </c>
      <c r="AK1141" s="4">
        <v>17</v>
      </c>
      <c r="AL1141" s="4">
        <v>25</v>
      </c>
      <c r="AM1141" s="4">
        <v>50</v>
      </c>
      <c r="AN1141" s="4">
        <v>0</v>
      </c>
      <c r="AO1141" s="4">
        <v>0</v>
      </c>
      <c r="AP1141" s="4">
        <v>19</v>
      </c>
      <c r="AQ1141" s="4">
        <v>26</v>
      </c>
      <c r="AR1141" s="3" t="s">
        <v>65</v>
      </c>
      <c r="AS1141" s="3" t="s">
        <v>65</v>
      </c>
      <c r="AT1141" s="3" t="s">
        <v>209</v>
      </c>
      <c r="AU1141" s="6" t="str">
        <f>HYPERLINK("http://catalog.hathitrust.org/Record/007116705","HathiTrust Record")</f>
        <v>HathiTrust Record</v>
      </c>
      <c r="AV1141" s="6" t="str">
        <f>HYPERLINK("http://mcgill.on.worldcat.org/oclc/5831938","Catalog Record")</f>
        <v>Catalog Record</v>
      </c>
      <c r="AW1141" s="6" t="str">
        <f>HYPERLINK("http://www.worldcat.org/oclc/5831938","WorldCat Record")</f>
        <v>WorldCat Record</v>
      </c>
      <c r="AX1141" s="3" t="s">
        <v>11144</v>
      </c>
      <c r="AY1141" s="3" t="s">
        <v>11145</v>
      </c>
      <c r="AZ1141" s="3" t="s">
        <v>11146</v>
      </c>
      <c r="BA1141" s="3" t="s">
        <v>11146</v>
      </c>
      <c r="BB1141" s="3" t="s">
        <v>11147</v>
      </c>
      <c r="BC1141" s="3" t="s">
        <v>77</v>
      </c>
      <c r="BD1141" s="3" t="s">
        <v>78</v>
      </c>
      <c r="BE1141" s="3" t="s">
        <v>11148</v>
      </c>
      <c r="BF1141" s="3" t="s">
        <v>11147</v>
      </c>
      <c r="BG1141" s="3" t="s">
        <v>11149</v>
      </c>
    </row>
    <row r="1142" spans="1:59" ht="58" x14ac:dyDescent="0.35">
      <c r="A1142" s="2" t="s">
        <v>59</v>
      </c>
      <c r="B1142" s="2" t="s">
        <v>60</v>
      </c>
      <c r="C1142" s="2" t="s">
        <v>11137</v>
      </c>
      <c r="D1142" s="2" t="s">
        <v>11138</v>
      </c>
      <c r="E1142" s="2" t="s">
        <v>11139</v>
      </c>
      <c r="G1142" s="3" t="s">
        <v>65</v>
      </c>
      <c r="I1142" s="3" t="s">
        <v>209</v>
      </c>
      <c r="J1142" s="3" t="s">
        <v>65</v>
      </c>
      <c r="K1142" s="3" t="s">
        <v>66</v>
      </c>
      <c r="L1142" s="2" t="s">
        <v>11140</v>
      </c>
      <c r="M1142" s="2" t="s">
        <v>11141</v>
      </c>
      <c r="N1142" s="3" t="s">
        <v>955</v>
      </c>
      <c r="P1142" s="3" t="s">
        <v>69</v>
      </c>
      <c r="Q1142" s="2" t="s">
        <v>11142</v>
      </c>
      <c r="R1142" s="3" t="s">
        <v>71</v>
      </c>
      <c r="S1142" s="4">
        <v>7</v>
      </c>
      <c r="T1142" s="4">
        <v>33</v>
      </c>
      <c r="U1142" s="5" t="s">
        <v>11150</v>
      </c>
      <c r="V1142" s="5" t="s">
        <v>11143</v>
      </c>
      <c r="W1142" s="5" t="s">
        <v>72</v>
      </c>
      <c r="X1142" s="5" t="s">
        <v>72</v>
      </c>
      <c r="Y1142" s="4">
        <v>287</v>
      </c>
      <c r="Z1142" s="4">
        <v>38</v>
      </c>
      <c r="AA1142" s="4">
        <v>51</v>
      </c>
      <c r="AB1142" s="4">
        <v>2</v>
      </c>
      <c r="AC1142" s="4">
        <v>3</v>
      </c>
      <c r="AD1142" s="4">
        <v>52</v>
      </c>
      <c r="AE1142" s="4">
        <v>117</v>
      </c>
      <c r="AF1142" s="4">
        <v>1</v>
      </c>
      <c r="AG1142" s="4">
        <v>2</v>
      </c>
      <c r="AH1142" s="4">
        <v>40</v>
      </c>
      <c r="AI1142" s="4">
        <v>95</v>
      </c>
      <c r="AJ1142" s="4">
        <v>13</v>
      </c>
      <c r="AK1142" s="4">
        <v>17</v>
      </c>
      <c r="AL1142" s="4">
        <v>25</v>
      </c>
      <c r="AM1142" s="4">
        <v>50</v>
      </c>
      <c r="AN1142" s="4">
        <v>0</v>
      </c>
      <c r="AO1142" s="4">
        <v>0</v>
      </c>
      <c r="AP1142" s="4">
        <v>19</v>
      </c>
      <c r="AQ1142" s="4">
        <v>26</v>
      </c>
      <c r="AR1142" s="3" t="s">
        <v>65</v>
      </c>
      <c r="AS1142" s="3" t="s">
        <v>65</v>
      </c>
      <c r="AT1142" s="3" t="s">
        <v>209</v>
      </c>
      <c r="AU1142" s="6" t="str">
        <f>HYPERLINK("http://catalog.hathitrust.org/Record/007116705","HathiTrust Record")</f>
        <v>HathiTrust Record</v>
      </c>
      <c r="AV1142" s="6" t="str">
        <f>HYPERLINK("http://mcgill.on.worldcat.org/oclc/5831938","Catalog Record")</f>
        <v>Catalog Record</v>
      </c>
      <c r="AW1142" s="6" t="str">
        <f>HYPERLINK("http://www.worldcat.org/oclc/5831938","WorldCat Record")</f>
        <v>WorldCat Record</v>
      </c>
      <c r="AX1142" s="3" t="s">
        <v>11144</v>
      </c>
      <c r="AY1142" s="3" t="s">
        <v>11145</v>
      </c>
      <c r="AZ1142" s="3" t="s">
        <v>11146</v>
      </c>
      <c r="BA1142" s="3" t="s">
        <v>11146</v>
      </c>
      <c r="BB1142" s="3" t="s">
        <v>11151</v>
      </c>
      <c r="BC1142" s="3" t="s">
        <v>77</v>
      </c>
      <c r="BD1142" s="3" t="s">
        <v>78</v>
      </c>
      <c r="BE1142" s="3" t="s">
        <v>11148</v>
      </c>
      <c r="BF1142" s="3" t="s">
        <v>11151</v>
      </c>
      <c r="BG1142" s="3" t="s">
        <v>11152</v>
      </c>
    </row>
    <row r="1143" spans="1:59" ht="72.5" x14ac:dyDescent="0.35">
      <c r="A1143" s="2" t="s">
        <v>59</v>
      </c>
      <c r="B1143" s="2" t="s">
        <v>60</v>
      </c>
      <c r="C1143" s="2" t="s">
        <v>11153</v>
      </c>
      <c r="D1143" s="2" t="s">
        <v>11154</v>
      </c>
      <c r="E1143" s="2" t="s">
        <v>11155</v>
      </c>
      <c r="G1143" s="3" t="s">
        <v>65</v>
      </c>
      <c r="I1143" s="3" t="s">
        <v>65</v>
      </c>
      <c r="J1143" s="3" t="s">
        <v>65</v>
      </c>
      <c r="K1143" s="3" t="s">
        <v>66</v>
      </c>
      <c r="L1143" s="2" t="s">
        <v>11156</v>
      </c>
      <c r="M1143" s="2" t="s">
        <v>11157</v>
      </c>
      <c r="N1143" s="3" t="s">
        <v>2460</v>
      </c>
      <c r="P1143" s="3" t="s">
        <v>69</v>
      </c>
      <c r="R1143" s="3" t="s">
        <v>71</v>
      </c>
      <c r="S1143" s="4">
        <v>15</v>
      </c>
      <c r="T1143" s="4">
        <v>15</v>
      </c>
      <c r="U1143" s="5" t="s">
        <v>11158</v>
      </c>
      <c r="V1143" s="5" t="s">
        <v>11158</v>
      </c>
      <c r="W1143" s="5" t="s">
        <v>72</v>
      </c>
      <c r="X1143" s="5" t="s">
        <v>72</v>
      </c>
      <c r="Y1143" s="4">
        <v>156</v>
      </c>
      <c r="Z1143" s="4">
        <v>10</v>
      </c>
      <c r="AA1143" s="4">
        <v>96</v>
      </c>
      <c r="AB1143" s="4">
        <v>2</v>
      </c>
      <c r="AC1143" s="4">
        <v>18</v>
      </c>
      <c r="AD1143" s="4">
        <v>73</v>
      </c>
      <c r="AE1143" s="4">
        <v>131</v>
      </c>
      <c r="AF1143" s="4">
        <v>0</v>
      </c>
      <c r="AG1143" s="4">
        <v>8</v>
      </c>
      <c r="AH1143" s="4">
        <v>70</v>
      </c>
      <c r="AI1143" s="4">
        <v>96</v>
      </c>
      <c r="AJ1143" s="4">
        <v>7</v>
      </c>
      <c r="AK1143" s="4">
        <v>22</v>
      </c>
      <c r="AL1143" s="4">
        <v>43</v>
      </c>
      <c r="AM1143" s="4">
        <v>52</v>
      </c>
      <c r="AN1143" s="4">
        <v>0</v>
      </c>
      <c r="AO1143" s="4">
        <v>0</v>
      </c>
      <c r="AP1143" s="4">
        <v>7</v>
      </c>
      <c r="AQ1143" s="4">
        <v>43</v>
      </c>
      <c r="AR1143" s="3" t="s">
        <v>65</v>
      </c>
      <c r="AS1143" s="3" t="s">
        <v>65</v>
      </c>
      <c r="AT1143" s="3" t="s">
        <v>209</v>
      </c>
      <c r="AU1143" s="6" t="str">
        <f>HYPERLINK("http://catalog.hathitrust.org/Record/000921169","HathiTrust Record")</f>
        <v>HathiTrust Record</v>
      </c>
      <c r="AV1143" s="6" t="str">
        <f>HYPERLINK("http://mcgill.on.worldcat.org/oclc/17876126","Catalog Record")</f>
        <v>Catalog Record</v>
      </c>
      <c r="AW1143" s="6" t="str">
        <f>HYPERLINK("http://www.worldcat.org/oclc/17876126","WorldCat Record")</f>
        <v>WorldCat Record</v>
      </c>
      <c r="AX1143" s="3" t="s">
        <v>11159</v>
      </c>
      <c r="AY1143" s="3" t="s">
        <v>11160</v>
      </c>
      <c r="AZ1143" s="3" t="s">
        <v>11161</v>
      </c>
      <c r="BA1143" s="3" t="s">
        <v>11161</v>
      </c>
      <c r="BB1143" s="3" t="s">
        <v>11162</v>
      </c>
      <c r="BC1143" s="3" t="s">
        <v>77</v>
      </c>
      <c r="BD1143" s="3" t="s">
        <v>78</v>
      </c>
      <c r="BE1143" s="3" t="s">
        <v>11163</v>
      </c>
      <c r="BF1143" s="3" t="s">
        <v>11162</v>
      </c>
      <c r="BG1143" s="3" t="s">
        <v>11164</v>
      </c>
    </row>
    <row r="1144" spans="1:59" ht="58" x14ac:dyDescent="0.35">
      <c r="A1144" s="2" t="s">
        <v>59</v>
      </c>
      <c r="B1144" s="2" t="s">
        <v>60</v>
      </c>
      <c r="C1144" s="2" t="s">
        <v>11165</v>
      </c>
      <c r="D1144" s="2" t="s">
        <v>11166</v>
      </c>
      <c r="E1144" s="2" t="s">
        <v>11167</v>
      </c>
      <c r="G1144" s="3" t="s">
        <v>65</v>
      </c>
      <c r="I1144" s="3" t="s">
        <v>65</v>
      </c>
      <c r="J1144" s="3" t="s">
        <v>65</v>
      </c>
      <c r="K1144" s="3" t="s">
        <v>66</v>
      </c>
      <c r="L1144" s="2" t="s">
        <v>11168</v>
      </c>
      <c r="M1144" s="2" t="s">
        <v>11169</v>
      </c>
      <c r="N1144" s="3" t="s">
        <v>164</v>
      </c>
      <c r="P1144" s="3" t="s">
        <v>140</v>
      </c>
      <c r="Q1144" s="2" t="s">
        <v>11170</v>
      </c>
      <c r="R1144" s="3" t="s">
        <v>71</v>
      </c>
      <c r="S1144" s="4">
        <v>0</v>
      </c>
      <c r="T1144" s="4">
        <v>0</v>
      </c>
      <c r="W1144" s="5" t="s">
        <v>72</v>
      </c>
      <c r="X1144" s="5" t="s">
        <v>72</v>
      </c>
      <c r="Y1144" s="4">
        <v>55</v>
      </c>
      <c r="Z1144" s="4">
        <v>5</v>
      </c>
      <c r="AA1144" s="4">
        <v>5</v>
      </c>
      <c r="AB1144" s="4">
        <v>1</v>
      </c>
      <c r="AC1144" s="4">
        <v>1</v>
      </c>
      <c r="AD1144" s="4">
        <v>42</v>
      </c>
      <c r="AE1144" s="4">
        <v>42</v>
      </c>
      <c r="AF1144" s="4">
        <v>0</v>
      </c>
      <c r="AG1144" s="4">
        <v>0</v>
      </c>
      <c r="AH1144" s="4">
        <v>40</v>
      </c>
      <c r="AI1144" s="4">
        <v>40</v>
      </c>
      <c r="AJ1144" s="4">
        <v>3</v>
      </c>
      <c r="AK1144" s="4">
        <v>3</v>
      </c>
      <c r="AL1144" s="4">
        <v>32</v>
      </c>
      <c r="AM1144" s="4">
        <v>32</v>
      </c>
      <c r="AN1144" s="4">
        <v>0</v>
      </c>
      <c r="AO1144" s="4">
        <v>0</v>
      </c>
      <c r="AP1144" s="4">
        <v>3</v>
      </c>
      <c r="AQ1144" s="4">
        <v>3</v>
      </c>
      <c r="AR1144" s="3" t="s">
        <v>65</v>
      </c>
      <c r="AS1144" s="3" t="s">
        <v>65</v>
      </c>
      <c r="AT1144" s="3" t="s">
        <v>65</v>
      </c>
      <c r="AV1144" s="6" t="str">
        <f>HYPERLINK("http://mcgill.on.worldcat.org/oclc/895661433","Catalog Record")</f>
        <v>Catalog Record</v>
      </c>
      <c r="AW1144" s="6" t="str">
        <f>HYPERLINK("http://www.worldcat.org/oclc/895661433","WorldCat Record")</f>
        <v>WorldCat Record</v>
      </c>
      <c r="AX1144" s="3" t="s">
        <v>11171</v>
      </c>
      <c r="AY1144" s="3" t="s">
        <v>11172</v>
      </c>
      <c r="AZ1144" s="3" t="s">
        <v>11173</v>
      </c>
      <c r="BA1144" s="3" t="s">
        <v>11173</v>
      </c>
      <c r="BB1144" s="3" t="s">
        <v>11174</v>
      </c>
      <c r="BC1144" s="3" t="s">
        <v>77</v>
      </c>
      <c r="BD1144" s="3" t="s">
        <v>78</v>
      </c>
      <c r="BE1144" s="3" t="s">
        <v>11175</v>
      </c>
      <c r="BF1144" s="3" t="s">
        <v>11174</v>
      </c>
      <c r="BG1144" s="3" t="s">
        <v>11176</v>
      </c>
    </row>
    <row r="1145" spans="1:59" ht="58" x14ac:dyDescent="0.35">
      <c r="A1145" s="2" t="s">
        <v>59</v>
      </c>
      <c r="B1145" s="2" t="s">
        <v>60</v>
      </c>
      <c r="C1145" s="2" t="s">
        <v>11177</v>
      </c>
      <c r="D1145" s="2" t="s">
        <v>11178</v>
      </c>
      <c r="E1145" s="2" t="s">
        <v>11179</v>
      </c>
      <c r="G1145" s="3" t="s">
        <v>65</v>
      </c>
      <c r="I1145" s="3" t="s">
        <v>65</v>
      </c>
      <c r="J1145" s="3" t="s">
        <v>65</v>
      </c>
      <c r="K1145" s="3" t="s">
        <v>66</v>
      </c>
      <c r="M1145" s="2" t="s">
        <v>11180</v>
      </c>
      <c r="N1145" s="3" t="s">
        <v>126</v>
      </c>
      <c r="O1145" s="2" t="s">
        <v>365</v>
      </c>
      <c r="P1145" s="3" t="s">
        <v>140</v>
      </c>
      <c r="Q1145" s="2" t="s">
        <v>11181</v>
      </c>
      <c r="R1145" s="3" t="s">
        <v>71</v>
      </c>
      <c r="S1145" s="4">
        <v>0</v>
      </c>
      <c r="T1145" s="4">
        <v>0</v>
      </c>
      <c r="W1145" s="5" t="s">
        <v>72</v>
      </c>
      <c r="X1145" s="5" t="s">
        <v>72</v>
      </c>
      <c r="Y1145" s="4">
        <v>33</v>
      </c>
      <c r="Z1145" s="4">
        <v>5</v>
      </c>
      <c r="AA1145" s="4">
        <v>5</v>
      </c>
      <c r="AB1145" s="4">
        <v>1</v>
      </c>
      <c r="AC1145" s="4">
        <v>1</v>
      </c>
      <c r="AD1145" s="4">
        <v>21</v>
      </c>
      <c r="AE1145" s="4">
        <v>21</v>
      </c>
      <c r="AF1145" s="4">
        <v>0</v>
      </c>
      <c r="AG1145" s="4">
        <v>0</v>
      </c>
      <c r="AH1145" s="4">
        <v>20</v>
      </c>
      <c r="AI1145" s="4">
        <v>20</v>
      </c>
      <c r="AJ1145" s="4">
        <v>2</v>
      </c>
      <c r="AK1145" s="4">
        <v>2</v>
      </c>
      <c r="AL1145" s="4">
        <v>17</v>
      </c>
      <c r="AM1145" s="4">
        <v>17</v>
      </c>
      <c r="AN1145" s="4">
        <v>0</v>
      </c>
      <c r="AO1145" s="4">
        <v>0</v>
      </c>
      <c r="AP1145" s="4">
        <v>2</v>
      </c>
      <c r="AQ1145" s="4">
        <v>2</v>
      </c>
      <c r="AR1145" s="3" t="s">
        <v>65</v>
      </c>
      <c r="AS1145" s="3" t="s">
        <v>65</v>
      </c>
      <c r="AT1145" s="3" t="s">
        <v>65</v>
      </c>
      <c r="AV1145" s="6" t="str">
        <f>HYPERLINK("http://mcgill.on.worldcat.org/oclc/726827803","Catalog Record")</f>
        <v>Catalog Record</v>
      </c>
      <c r="AW1145" s="6" t="str">
        <f>HYPERLINK("http://www.worldcat.org/oclc/726827803","WorldCat Record")</f>
        <v>WorldCat Record</v>
      </c>
      <c r="AX1145" s="3" t="s">
        <v>11182</v>
      </c>
      <c r="AY1145" s="3" t="s">
        <v>11183</v>
      </c>
      <c r="AZ1145" s="3" t="s">
        <v>11184</v>
      </c>
      <c r="BA1145" s="3" t="s">
        <v>11184</v>
      </c>
      <c r="BB1145" s="3" t="s">
        <v>11185</v>
      </c>
      <c r="BC1145" s="3" t="s">
        <v>77</v>
      </c>
      <c r="BD1145" s="3" t="s">
        <v>78</v>
      </c>
      <c r="BE1145" s="3" t="s">
        <v>11186</v>
      </c>
      <c r="BF1145" s="3" t="s">
        <v>11185</v>
      </c>
      <c r="BG1145" s="3" t="s">
        <v>11187</v>
      </c>
    </row>
    <row r="1146" spans="1:59" ht="58" x14ac:dyDescent="0.35">
      <c r="A1146" s="2" t="s">
        <v>59</v>
      </c>
      <c r="B1146" s="2" t="s">
        <v>60</v>
      </c>
      <c r="C1146" s="2" t="s">
        <v>11188</v>
      </c>
      <c r="D1146" s="2" t="s">
        <v>11189</v>
      </c>
      <c r="E1146" s="2" t="s">
        <v>11190</v>
      </c>
      <c r="G1146" s="3" t="s">
        <v>65</v>
      </c>
      <c r="I1146" s="3" t="s">
        <v>65</v>
      </c>
      <c r="J1146" s="3" t="s">
        <v>65</v>
      </c>
      <c r="K1146" s="3" t="s">
        <v>66</v>
      </c>
      <c r="L1146" s="2" t="s">
        <v>11191</v>
      </c>
      <c r="M1146" s="2" t="s">
        <v>11192</v>
      </c>
      <c r="N1146" s="3" t="s">
        <v>5060</v>
      </c>
      <c r="P1146" s="3" t="s">
        <v>69</v>
      </c>
      <c r="R1146" s="3" t="s">
        <v>71</v>
      </c>
      <c r="S1146" s="4">
        <v>28</v>
      </c>
      <c r="T1146" s="4">
        <v>28</v>
      </c>
      <c r="U1146" s="5" t="s">
        <v>7615</v>
      </c>
      <c r="V1146" s="5" t="s">
        <v>7615</v>
      </c>
      <c r="W1146" s="5" t="s">
        <v>72</v>
      </c>
      <c r="X1146" s="5" t="s">
        <v>72</v>
      </c>
      <c r="Y1146" s="4">
        <v>709</v>
      </c>
      <c r="Z1146" s="4">
        <v>34</v>
      </c>
      <c r="AA1146" s="4">
        <v>34</v>
      </c>
      <c r="AB1146" s="4">
        <v>2</v>
      </c>
      <c r="AC1146" s="4">
        <v>2</v>
      </c>
      <c r="AD1146" s="4">
        <v>121</v>
      </c>
      <c r="AE1146" s="4">
        <v>121</v>
      </c>
      <c r="AF1146" s="4">
        <v>1</v>
      </c>
      <c r="AG1146" s="4">
        <v>1</v>
      </c>
      <c r="AH1146" s="4">
        <v>105</v>
      </c>
      <c r="AI1146" s="4">
        <v>105</v>
      </c>
      <c r="AJ1146" s="4">
        <v>17</v>
      </c>
      <c r="AK1146" s="4">
        <v>17</v>
      </c>
      <c r="AL1146" s="4">
        <v>58</v>
      </c>
      <c r="AM1146" s="4">
        <v>58</v>
      </c>
      <c r="AN1146" s="4">
        <v>0</v>
      </c>
      <c r="AO1146" s="4">
        <v>0</v>
      </c>
      <c r="AP1146" s="4">
        <v>21</v>
      </c>
      <c r="AQ1146" s="4">
        <v>21</v>
      </c>
      <c r="AR1146" s="3" t="s">
        <v>65</v>
      </c>
      <c r="AS1146" s="3" t="s">
        <v>65</v>
      </c>
      <c r="AT1146" s="3" t="s">
        <v>65</v>
      </c>
      <c r="AV1146" s="6" t="str">
        <f>HYPERLINK("http://mcgill.on.worldcat.org/oclc/307560","Catalog Record")</f>
        <v>Catalog Record</v>
      </c>
      <c r="AW1146" s="6" t="str">
        <f>HYPERLINK("http://www.worldcat.org/oclc/307560","WorldCat Record")</f>
        <v>WorldCat Record</v>
      </c>
      <c r="AX1146" s="3" t="s">
        <v>11193</v>
      </c>
      <c r="AY1146" s="3" t="s">
        <v>11194</v>
      </c>
      <c r="AZ1146" s="3" t="s">
        <v>11195</v>
      </c>
      <c r="BA1146" s="3" t="s">
        <v>11195</v>
      </c>
      <c r="BB1146" s="3" t="s">
        <v>11196</v>
      </c>
      <c r="BC1146" s="3" t="s">
        <v>77</v>
      </c>
      <c r="BD1146" s="3" t="s">
        <v>78</v>
      </c>
      <c r="BF1146" s="3" t="s">
        <v>11196</v>
      </c>
      <c r="BG1146" s="3" t="s">
        <v>11197</v>
      </c>
    </row>
    <row r="1147" spans="1:59" ht="72.5" x14ac:dyDescent="0.35">
      <c r="A1147" s="2" t="s">
        <v>59</v>
      </c>
      <c r="B1147" s="2" t="s">
        <v>60</v>
      </c>
      <c r="C1147" s="2" t="s">
        <v>11198</v>
      </c>
      <c r="D1147" s="2" t="s">
        <v>11199</v>
      </c>
      <c r="E1147" s="2" t="s">
        <v>11200</v>
      </c>
      <c r="G1147" s="3" t="s">
        <v>65</v>
      </c>
      <c r="I1147" s="3" t="s">
        <v>65</v>
      </c>
      <c r="J1147" s="3" t="s">
        <v>65</v>
      </c>
      <c r="K1147" s="3" t="s">
        <v>66</v>
      </c>
      <c r="L1147" s="2" t="s">
        <v>11201</v>
      </c>
      <c r="M1147" s="2" t="s">
        <v>11202</v>
      </c>
      <c r="N1147" s="3" t="s">
        <v>188</v>
      </c>
      <c r="P1147" s="3" t="s">
        <v>4819</v>
      </c>
      <c r="Q1147" s="2" t="s">
        <v>11203</v>
      </c>
      <c r="R1147" s="3" t="s">
        <v>71</v>
      </c>
      <c r="S1147" s="4">
        <v>0</v>
      </c>
      <c r="T1147" s="4">
        <v>0</v>
      </c>
      <c r="W1147" s="5" t="s">
        <v>72</v>
      </c>
      <c r="X1147" s="5" t="s">
        <v>72</v>
      </c>
      <c r="Y1147" s="4">
        <v>8</v>
      </c>
      <c r="Z1147" s="4">
        <v>1</v>
      </c>
      <c r="AA1147" s="4">
        <v>3</v>
      </c>
      <c r="AB1147" s="4">
        <v>1</v>
      </c>
      <c r="AC1147" s="4">
        <v>3</v>
      </c>
      <c r="AD1147" s="4">
        <v>5</v>
      </c>
      <c r="AE1147" s="4">
        <v>5</v>
      </c>
      <c r="AF1147" s="4">
        <v>0</v>
      </c>
      <c r="AG1147" s="4">
        <v>0</v>
      </c>
      <c r="AH1147" s="4">
        <v>4</v>
      </c>
      <c r="AI1147" s="4">
        <v>4</v>
      </c>
      <c r="AJ1147" s="4">
        <v>0</v>
      </c>
      <c r="AK1147" s="4">
        <v>0</v>
      </c>
      <c r="AL1147" s="4">
        <v>4</v>
      </c>
      <c r="AM1147" s="4">
        <v>4</v>
      </c>
      <c r="AN1147" s="4">
        <v>0</v>
      </c>
      <c r="AO1147" s="4">
        <v>0</v>
      </c>
      <c r="AP1147" s="4">
        <v>0</v>
      </c>
      <c r="AQ1147" s="4">
        <v>0</v>
      </c>
      <c r="AR1147" s="3" t="s">
        <v>65</v>
      </c>
      <c r="AS1147" s="3" t="s">
        <v>65</v>
      </c>
      <c r="AT1147" s="3" t="s">
        <v>65</v>
      </c>
      <c r="AV1147" s="6" t="str">
        <f>HYPERLINK("http://mcgill.on.worldcat.org/oclc/972330303","Catalog Record")</f>
        <v>Catalog Record</v>
      </c>
      <c r="AW1147" s="6" t="str">
        <f>HYPERLINK("http://www.worldcat.org/oclc/972330303","WorldCat Record")</f>
        <v>WorldCat Record</v>
      </c>
      <c r="AX1147" s="3" t="s">
        <v>11204</v>
      </c>
      <c r="AY1147" s="3" t="s">
        <v>11205</v>
      </c>
      <c r="AZ1147" s="3" t="s">
        <v>11206</v>
      </c>
      <c r="BA1147" s="3" t="s">
        <v>11206</v>
      </c>
      <c r="BB1147" s="3" t="s">
        <v>11207</v>
      </c>
      <c r="BC1147" s="3" t="s">
        <v>77</v>
      </c>
      <c r="BD1147" s="3" t="s">
        <v>78</v>
      </c>
      <c r="BE1147" s="3" t="s">
        <v>11208</v>
      </c>
      <c r="BF1147" s="3" t="s">
        <v>11207</v>
      </c>
      <c r="BG1147" s="3" t="s">
        <v>11209</v>
      </c>
    </row>
    <row r="1148" spans="1:59" ht="58" x14ac:dyDescent="0.35">
      <c r="A1148" s="2" t="s">
        <v>59</v>
      </c>
      <c r="B1148" s="2" t="s">
        <v>60</v>
      </c>
      <c r="C1148" s="2" t="s">
        <v>11210</v>
      </c>
      <c r="D1148" s="2" t="s">
        <v>11211</v>
      </c>
      <c r="E1148" s="2" t="s">
        <v>11212</v>
      </c>
      <c r="G1148" s="3" t="s">
        <v>65</v>
      </c>
      <c r="I1148" s="3" t="s">
        <v>65</v>
      </c>
      <c r="J1148" s="3" t="s">
        <v>65</v>
      </c>
      <c r="K1148" s="3" t="s">
        <v>66</v>
      </c>
      <c r="L1148" s="2" t="s">
        <v>11213</v>
      </c>
      <c r="M1148" s="2" t="s">
        <v>11214</v>
      </c>
      <c r="N1148" s="3" t="s">
        <v>126</v>
      </c>
      <c r="P1148" s="3" t="s">
        <v>140</v>
      </c>
      <c r="Q1148" s="2" t="s">
        <v>11215</v>
      </c>
      <c r="R1148" s="3" t="s">
        <v>71</v>
      </c>
      <c r="S1148" s="4">
        <v>0</v>
      </c>
      <c r="T1148" s="4">
        <v>0</v>
      </c>
      <c r="W1148" s="5" t="s">
        <v>72</v>
      </c>
      <c r="X1148" s="5" t="s">
        <v>72</v>
      </c>
      <c r="Y1148" s="4">
        <v>45</v>
      </c>
      <c r="Z1148" s="4">
        <v>4</v>
      </c>
      <c r="AA1148" s="4">
        <v>4</v>
      </c>
      <c r="AB1148" s="4">
        <v>1</v>
      </c>
      <c r="AC1148" s="4">
        <v>1</v>
      </c>
      <c r="AD1148" s="4">
        <v>29</v>
      </c>
      <c r="AE1148" s="4">
        <v>29</v>
      </c>
      <c r="AF1148" s="4">
        <v>0</v>
      </c>
      <c r="AG1148" s="4">
        <v>0</v>
      </c>
      <c r="AH1148" s="4">
        <v>28</v>
      </c>
      <c r="AI1148" s="4">
        <v>28</v>
      </c>
      <c r="AJ1148" s="4">
        <v>2</v>
      </c>
      <c r="AK1148" s="4">
        <v>2</v>
      </c>
      <c r="AL1148" s="4">
        <v>20</v>
      </c>
      <c r="AM1148" s="4">
        <v>20</v>
      </c>
      <c r="AN1148" s="4">
        <v>0</v>
      </c>
      <c r="AO1148" s="4">
        <v>0</v>
      </c>
      <c r="AP1148" s="4">
        <v>2</v>
      </c>
      <c r="AQ1148" s="4">
        <v>2</v>
      </c>
      <c r="AR1148" s="3" t="s">
        <v>65</v>
      </c>
      <c r="AS1148" s="3" t="s">
        <v>65</v>
      </c>
      <c r="AT1148" s="3" t="s">
        <v>65</v>
      </c>
      <c r="AV1148" s="6" t="str">
        <f>HYPERLINK("http://mcgill.on.worldcat.org/oclc/783121086","Catalog Record")</f>
        <v>Catalog Record</v>
      </c>
      <c r="AW1148" s="6" t="str">
        <f>HYPERLINK("http://www.worldcat.org/oclc/783121086","WorldCat Record")</f>
        <v>WorldCat Record</v>
      </c>
      <c r="AX1148" s="3" t="s">
        <v>11216</v>
      </c>
      <c r="AY1148" s="3" t="s">
        <v>11217</v>
      </c>
      <c r="AZ1148" s="3" t="s">
        <v>11218</v>
      </c>
      <c r="BA1148" s="3" t="s">
        <v>11218</v>
      </c>
      <c r="BB1148" s="3" t="s">
        <v>11219</v>
      </c>
      <c r="BC1148" s="3" t="s">
        <v>77</v>
      </c>
      <c r="BD1148" s="3" t="s">
        <v>78</v>
      </c>
      <c r="BE1148" s="3" t="s">
        <v>11220</v>
      </c>
      <c r="BF1148" s="3" t="s">
        <v>11219</v>
      </c>
      <c r="BG1148" s="3" t="s">
        <v>11221</v>
      </c>
    </row>
    <row r="1149" spans="1:59" ht="58" x14ac:dyDescent="0.35">
      <c r="A1149" s="2" t="s">
        <v>59</v>
      </c>
      <c r="B1149" s="2" t="s">
        <v>60</v>
      </c>
      <c r="C1149" s="2" t="s">
        <v>11222</v>
      </c>
      <c r="D1149" s="2" t="s">
        <v>11223</v>
      </c>
      <c r="E1149" s="2" t="s">
        <v>11224</v>
      </c>
      <c r="G1149" s="3" t="s">
        <v>65</v>
      </c>
      <c r="I1149" s="3" t="s">
        <v>65</v>
      </c>
      <c r="J1149" s="3" t="s">
        <v>65</v>
      </c>
      <c r="K1149" s="3" t="s">
        <v>66</v>
      </c>
      <c r="L1149" s="2" t="s">
        <v>11225</v>
      </c>
      <c r="M1149" s="2" t="s">
        <v>11226</v>
      </c>
      <c r="N1149" s="3" t="s">
        <v>188</v>
      </c>
      <c r="P1149" s="3" t="s">
        <v>140</v>
      </c>
      <c r="Q1149" s="2" t="s">
        <v>11227</v>
      </c>
      <c r="R1149" s="3" t="s">
        <v>71</v>
      </c>
      <c r="S1149" s="4">
        <v>0</v>
      </c>
      <c r="T1149" s="4">
        <v>0</v>
      </c>
      <c r="W1149" s="5" t="s">
        <v>72</v>
      </c>
      <c r="X1149" s="5" t="s">
        <v>72</v>
      </c>
      <c r="Y1149" s="4">
        <v>18</v>
      </c>
      <c r="Z1149" s="4">
        <v>1</v>
      </c>
      <c r="AA1149" s="4">
        <v>1</v>
      </c>
      <c r="AB1149" s="4">
        <v>1</v>
      </c>
      <c r="AC1149" s="4">
        <v>1</v>
      </c>
      <c r="AD1149" s="4">
        <v>12</v>
      </c>
      <c r="AE1149" s="4">
        <v>12</v>
      </c>
      <c r="AF1149" s="4">
        <v>0</v>
      </c>
      <c r="AG1149" s="4">
        <v>0</v>
      </c>
      <c r="AH1149" s="4">
        <v>11</v>
      </c>
      <c r="AI1149" s="4">
        <v>11</v>
      </c>
      <c r="AJ1149" s="4">
        <v>0</v>
      </c>
      <c r="AK1149" s="4">
        <v>0</v>
      </c>
      <c r="AL1149" s="4">
        <v>10</v>
      </c>
      <c r="AM1149" s="4">
        <v>10</v>
      </c>
      <c r="AN1149" s="4">
        <v>0</v>
      </c>
      <c r="AO1149" s="4">
        <v>0</v>
      </c>
      <c r="AP1149" s="4">
        <v>0</v>
      </c>
      <c r="AQ1149" s="4">
        <v>0</v>
      </c>
      <c r="AR1149" s="3" t="s">
        <v>65</v>
      </c>
      <c r="AS1149" s="3" t="s">
        <v>65</v>
      </c>
      <c r="AT1149" s="3" t="s">
        <v>65</v>
      </c>
      <c r="AV1149" s="6" t="str">
        <f>HYPERLINK("http://mcgill.on.worldcat.org/oclc/987267677","Catalog Record")</f>
        <v>Catalog Record</v>
      </c>
      <c r="AW1149" s="6" t="str">
        <f>HYPERLINK("http://www.worldcat.org/oclc/987267677","WorldCat Record")</f>
        <v>WorldCat Record</v>
      </c>
      <c r="AX1149" s="3" t="s">
        <v>11228</v>
      </c>
      <c r="AY1149" s="3" t="s">
        <v>11229</v>
      </c>
      <c r="AZ1149" s="3" t="s">
        <v>11230</v>
      </c>
      <c r="BA1149" s="3" t="s">
        <v>11230</v>
      </c>
      <c r="BB1149" s="3" t="s">
        <v>11231</v>
      </c>
      <c r="BC1149" s="3" t="s">
        <v>77</v>
      </c>
      <c r="BD1149" s="3" t="s">
        <v>78</v>
      </c>
      <c r="BE1149" s="3" t="s">
        <v>11232</v>
      </c>
      <c r="BF1149" s="3" t="s">
        <v>11231</v>
      </c>
      <c r="BG1149" s="3" t="s">
        <v>11233</v>
      </c>
    </row>
    <row r="1150" spans="1:59" ht="72.5" x14ac:dyDescent="0.35">
      <c r="A1150" s="2" t="s">
        <v>59</v>
      </c>
      <c r="B1150" s="2" t="s">
        <v>60</v>
      </c>
      <c r="C1150" s="2" t="s">
        <v>11234</v>
      </c>
      <c r="D1150" s="2" t="s">
        <v>11235</v>
      </c>
      <c r="E1150" s="2" t="s">
        <v>11236</v>
      </c>
      <c r="G1150" s="3" t="s">
        <v>65</v>
      </c>
      <c r="I1150" s="3" t="s">
        <v>65</v>
      </c>
      <c r="J1150" s="3" t="s">
        <v>65</v>
      </c>
      <c r="K1150" s="3" t="s">
        <v>66</v>
      </c>
      <c r="L1150" s="2" t="s">
        <v>11237</v>
      </c>
      <c r="M1150" s="2" t="s">
        <v>11238</v>
      </c>
      <c r="N1150" s="3" t="s">
        <v>188</v>
      </c>
      <c r="P1150" s="3" t="s">
        <v>616</v>
      </c>
      <c r="R1150" s="3" t="s">
        <v>71</v>
      </c>
      <c r="S1150" s="4">
        <v>0</v>
      </c>
      <c r="T1150" s="4">
        <v>0</v>
      </c>
      <c r="W1150" s="5" t="s">
        <v>72</v>
      </c>
      <c r="X1150" s="5" t="s">
        <v>72</v>
      </c>
      <c r="Y1150" s="4">
        <v>4</v>
      </c>
      <c r="Z1150" s="4">
        <v>1</v>
      </c>
      <c r="AA1150" s="4">
        <v>4</v>
      </c>
      <c r="AB1150" s="4">
        <v>1</v>
      </c>
      <c r="AC1150" s="4">
        <v>3</v>
      </c>
      <c r="AD1150" s="4">
        <v>0</v>
      </c>
      <c r="AE1150" s="4">
        <v>2</v>
      </c>
      <c r="AF1150" s="4">
        <v>0</v>
      </c>
      <c r="AG1150" s="4">
        <v>1</v>
      </c>
      <c r="AH1150" s="4">
        <v>0</v>
      </c>
      <c r="AI1150" s="4">
        <v>1</v>
      </c>
      <c r="AJ1150" s="4">
        <v>0</v>
      </c>
      <c r="AK1150" s="4">
        <v>2</v>
      </c>
      <c r="AL1150" s="4">
        <v>0</v>
      </c>
      <c r="AM1150" s="4">
        <v>0</v>
      </c>
      <c r="AN1150" s="4">
        <v>0</v>
      </c>
      <c r="AO1150" s="4">
        <v>0</v>
      </c>
      <c r="AP1150" s="4">
        <v>0</v>
      </c>
      <c r="AQ1150" s="4">
        <v>1</v>
      </c>
      <c r="AR1150" s="3" t="s">
        <v>65</v>
      </c>
      <c r="AS1150" s="3" t="s">
        <v>65</v>
      </c>
      <c r="AT1150" s="3" t="s">
        <v>65</v>
      </c>
      <c r="AV1150" s="6" t="str">
        <f>HYPERLINK("http://mcgill.on.worldcat.org/oclc/978440712","Catalog Record")</f>
        <v>Catalog Record</v>
      </c>
      <c r="AW1150" s="6" t="str">
        <f>HYPERLINK("http://www.worldcat.org/oclc/978440712","WorldCat Record")</f>
        <v>WorldCat Record</v>
      </c>
      <c r="AX1150" s="3" t="s">
        <v>11239</v>
      </c>
      <c r="AY1150" s="3" t="s">
        <v>11240</v>
      </c>
      <c r="AZ1150" s="3" t="s">
        <v>11241</v>
      </c>
      <c r="BA1150" s="3" t="s">
        <v>11241</v>
      </c>
      <c r="BB1150" s="3" t="s">
        <v>11242</v>
      </c>
      <c r="BC1150" s="3" t="s">
        <v>77</v>
      </c>
      <c r="BD1150" s="3" t="s">
        <v>78</v>
      </c>
      <c r="BE1150" s="3" t="s">
        <v>11243</v>
      </c>
      <c r="BF1150" s="3" t="s">
        <v>11242</v>
      </c>
      <c r="BG1150" s="3" t="s">
        <v>11244</v>
      </c>
    </row>
    <row r="1151" spans="1:59" ht="58" x14ac:dyDescent="0.35">
      <c r="A1151" s="2" t="s">
        <v>59</v>
      </c>
      <c r="B1151" s="2" t="s">
        <v>60</v>
      </c>
      <c r="C1151" s="2" t="s">
        <v>11245</v>
      </c>
      <c r="D1151" s="2" t="s">
        <v>11246</v>
      </c>
      <c r="E1151" s="2" t="s">
        <v>11247</v>
      </c>
      <c r="G1151" s="3" t="s">
        <v>65</v>
      </c>
      <c r="I1151" s="3" t="s">
        <v>65</v>
      </c>
      <c r="J1151" s="3" t="s">
        <v>65</v>
      </c>
      <c r="K1151" s="3" t="s">
        <v>66</v>
      </c>
      <c r="L1151" s="2" t="s">
        <v>11248</v>
      </c>
      <c r="M1151" s="2" t="s">
        <v>11249</v>
      </c>
      <c r="N1151" s="3" t="s">
        <v>126</v>
      </c>
      <c r="P1151" s="3" t="s">
        <v>69</v>
      </c>
      <c r="Q1151" s="2" t="s">
        <v>1197</v>
      </c>
      <c r="R1151" s="3" t="s">
        <v>71</v>
      </c>
      <c r="S1151" s="4">
        <v>4</v>
      </c>
      <c r="T1151" s="4">
        <v>4</v>
      </c>
      <c r="U1151" s="5" t="s">
        <v>11250</v>
      </c>
      <c r="V1151" s="5" t="s">
        <v>11250</v>
      </c>
      <c r="W1151" s="5" t="s">
        <v>72</v>
      </c>
      <c r="X1151" s="5" t="s">
        <v>72</v>
      </c>
      <c r="Y1151" s="4">
        <v>181</v>
      </c>
      <c r="Z1151" s="4">
        <v>28</v>
      </c>
      <c r="AA1151" s="4">
        <v>99</v>
      </c>
      <c r="AB1151" s="4">
        <v>1</v>
      </c>
      <c r="AC1151" s="4">
        <v>17</v>
      </c>
      <c r="AD1151" s="4">
        <v>88</v>
      </c>
      <c r="AE1151" s="4">
        <v>137</v>
      </c>
      <c r="AF1151" s="4">
        <v>0</v>
      </c>
      <c r="AG1151" s="4">
        <v>8</v>
      </c>
      <c r="AH1151" s="4">
        <v>74</v>
      </c>
      <c r="AI1151" s="4">
        <v>96</v>
      </c>
      <c r="AJ1151" s="4">
        <v>19</v>
      </c>
      <c r="AK1151" s="4">
        <v>27</v>
      </c>
      <c r="AL1151" s="4">
        <v>45</v>
      </c>
      <c r="AM1151" s="4">
        <v>53</v>
      </c>
      <c r="AN1151" s="4">
        <v>0</v>
      </c>
      <c r="AO1151" s="4">
        <v>0</v>
      </c>
      <c r="AP1151" s="4">
        <v>22</v>
      </c>
      <c r="AQ1151" s="4">
        <v>50</v>
      </c>
      <c r="AR1151" s="3" t="s">
        <v>209</v>
      </c>
      <c r="AS1151" s="3" t="s">
        <v>65</v>
      </c>
      <c r="AT1151" s="3" t="s">
        <v>65</v>
      </c>
      <c r="AV1151" s="6" t="str">
        <f>HYPERLINK("http://mcgill.on.worldcat.org/oclc/705507886","Catalog Record")</f>
        <v>Catalog Record</v>
      </c>
      <c r="AW1151" s="6" t="str">
        <f>HYPERLINK("http://www.worldcat.org/oclc/705507886","WorldCat Record")</f>
        <v>WorldCat Record</v>
      </c>
      <c r="AX1151" s="3" t="s">
        <v>11251</v>
      </c>
      <c r="AY1151" s="3" t="s">
        <v>11252</v>
      </c>
      <c r="AZ1151" s="3" t="s">
        <v>11253</v>
      </c>
      <c r="BA1151" s="3" t="s">
        <v>11253</v>
      </c>
      <c r="BB1151" s="3" t="s">
        <v>11254</v>
      </c>
      <c r="BC1151" s="3" t="s">
        <v>77</v>
      </c>
      <c r="BD1151" s="3" t="s">
        <v>78</v>
      </c>
      <c r="BE1151" s="3" t="s">
        <v>11255</v>
      </c>
      <c r="BF1151" s="3" t="s">
        <v>11254</v>
      </c>
      <c r="BG1151" s="3" t="s">
        <v>11256</v>
      </c>
    </row>
    <row r="1152" spans="1:59" ht="58" x14ac:dyDescent="0.35">
      <c r="A1152" s="2" t="s">
        <v>59</v>
      </c>
      <c r="B1152" s="2" t="s">
        <v>60</v>
      </c>
      <c r="C1152" s="2" t="s">
        <v>11257</v>
      </c>
      <c r="D1152" s="2" t="s">
        <v>11258</v>
      </c>
      <c r="E1152" s="2" t="s">
        <v>11259</v>
      </c>
      <c r="G1152" s="3" t="s">
        <v>65</v>
      </c>
      <c r="I1152" s="3" t="s">
        <v>65</v>
      </c>
      <c r="J1152" s="3" t="s">
        <v>65</v>
      </c>
      <c r="K1152" s="3" t="s">
        <v>66</v>
      </c>
      <c r="L1152" s="2" t="s">
        <v>11260</v>
      </c>
      <c r="M1152" s="2" t="s">
        <v>11261</v>
      </c>
      <c r="N1152" s="3" t="s">
        <v>11262</v>
      </c>
      <c r="P1152" s="3" t="s">
        <v>69</v>
      </c>
      <c r="R1152" s="3" t="s">
        <v>71</v>
      </c>
      <c r="S1152" s="4">
        <v>10</v>
      </c>
      <c r="T1152" s="4">
        <v>10</v>
      </c>
      <c r="U1152" s="5" t="s">
        <v>2415</v>
      </c>
      <c r="V1152" s="5" t="s">
        <v>2415</v>
      </c>
      <c r="W1152" s="5" t="s">
        <v>72</v>
      </c>
      <c r="X1152" s="5" t="s">
        <v>72</v>
      </c>
      <c r="Y1152" s="4">
        <v>442</v>
      </c>
      <c r="Z1152" s="4">
        <v>15</v>
      </c>
      <c r="AA1152" s="4">
        <v>36</v>
      </c>
      <c r="AB1152" s="4">
        <v>2</v>
      </c>
      <c r="AC1152" s="4">
        <v>3</v>
      </c>
      <c r="AD1152" s="4">
        <v>93</v>
      </c>
      <c r="AE1152" s="4">
        <v>128</v>
      </c>
      <c r="AF1152" s="4">
        <v>1</v>
      </c>
      <c r="AG1152" s="4">
        <v>2</v>
      </c>
      <c r="AH1152" s="4">
        <v>84</v>
      </c>
      <c r="AI1152" s="4">
        <v>108</v>
      </c>
      <c r="AJ1152" s="4">
        <v>12</v>
      </c>
      <c r="AK1152" s="4">
        <v>23</v>
      </c>
      <c r="AL1152" s="4">
        <v>50</v>
      </c>
      <c r="AM1152" s="4">
        <v>60</v>
      </c>
      <c r="AN1152" s="4">
        <v>0</v>
      </c>
      <c r="AO1152" s="4">
        <v>0</v>
      </c>
      <c r="AP1152" s="4">
        <v>12</v>
      </c>
      <c r="AQ1152" s="4">
        <v>27</v>
      </c>
      <c r="AR1152" s="3" t="s">
        <v>65</v>
      </c>
      <c r="AS1152" s="3" t="s">
        <v>65</v>
      </c>
      <c r="AT1152" s="3" t="s">
        <v>209</v>
      </c>
      <c r="AU1152" s="6" t="str">
        <f>HYPERLINK("http://catalog.hathitrust.org/Record/000868919","HathiTrust Record")</f>
        <v>HathiTrust Record</v>
      </c>
      <c r="AV1152" s="6" t="str">
        <f>HYPERLINK("http://mcgill.on.worldcat.org/oclc/1345662","Catalog Record")</f>
        <v>Catalog Record</v>
      </c>
      <c r="AW1152" s="6" t="str">
        <f>HYPERLINK("http://www.worldcat.org/oclc/1345662","WorldCat Record")</f>
        <v>WorldCat Record</v>
      </c>
      <c r="AX1152" s="3" t="s">
        <v>11263</v>
      </c>
      <c r="AY1152" s="3" t="s">
        <v>11264</v>
      </c>
      <c r="AZ1152" s="3" t="s">
        <v>11265</v>
      </c>
      <c r="BA1152" s="3" t="s">
        <v>11265</v>
      </c>
      <c r="BB1152" s="3" t="s">
        <v>11266</v>
      </c>
      <c r="BC1152" s="3" t="s">
        <v>77</v>
      </c>
      <c r="BD1152" s="3" t="s">
        <v>78</v>
      </c>
      <c r="BF1152" s="3" t="s">
        <v>11266</v>
      </c>
      <c r="BG1152" s="3" t="s">
        <v>11267</v>
      </c>
    </row>
    <row r="1153" spans="1:59" ht="58" x14ac:dyDescent="0.35">
      <c r="A1153" s="2" t="s">
        <v>59</v>
      </c>
      <c r="B1153" s="2" t="s">
        <v>60</v>
      </c>
      <c r="C1153" s="2" t="s">
        <v>11268</v>
      </c>
      <c r="D1153" s="2" t="s">
        <v>11269</v>
      </c>
      <c r="E1153" s="2" t="s">
        <v>11270</v>
      </c>
      <c r="G1153" s="3" t="s">
        <v>65</v>
      </c>
      <c r="I1153" s="3" t="s">
        <v>65</v>
      </c>
      <c r="J1153" s="3" t="s">
        <v>65</v>
      </c>
      <c r="K1153" s="3" t="s">
        <v>66</v>
      </c>
      <c r="L1153" s="2" t="s">
        <v>11271</v>
      </c>
      <c r="M1153" s="2" t="s">
        <v>11272</v>
      </c>
      <c r="N1153" s="3" t="s">
        <v>906</v>
      </c>
      <c r="P1153" s="3" t="s">
        <v>69</v>
      </c>
      <c r="Q1153" s="2" t="s">
        <v>11273</v>
      </c>
      <c r="R1153" s="3" t="s">
        <v>71</v>
      </c>
      <c r="S1153" s="4">
        <v>79</v>
      </c>
      <c r="T1153" s="4">
        <v>79</v>
      </c>
      <c r="U1153" s="5" t="s">
        <v>11274</v>
      </c>
      <c r="V1153" s="5" t="s">
        <v>11274</v>
      </c>
      <c r="W1153" s="5" t="s">
        <v>72</v>
      </c>
      <c r="X1153" s="5" t="s">
        <v>72</v>
      </c>
      <c r="Y1153" s="4">
        <v>879</v>
      </c>
      <c r="Z1153" s="4">
        <v>40</v>
      </c>
      <c r="AA1153" s="4">
        <v>52</v>
      </c>
      <c r="AB1153" s="4">
        <v>2</v>
      </c>
      <c r="AC1153" s="4">
        <v>3</v>
      </c>
      <c r="AD1153" s="4">
        <v>120</v>
      </c>
      <c r="AE1153" s="4">
        <v>133</v>
      </c>
      <c r="AF1153" s="4">
        <v>1</v>
      </c>
      <c r="AG1153" s="4">
        <v>2</v>
      </c>
      <c r="AH1153" s="4">
        <v>106</v>
      </c>
      <c r="AI1153" s="4">
        <v>110</v>
      </c>
      <c r="AJ1153" s="4">
        <v>14</v>
      </c>
      <c r="AK1153" s="4">
        <v>23</v>
      </c>
      <c r="AL1153" s="4">
        <v>57</v>
      </c>
      <c r="AM1153" s="4">
        <v>57</v>
      </c>
      <c r="AN1153" s="4">
        <v>0</v>
      </c>
      <c r="AO1153" s="4">
        <v>0</v>
      </c>
      <c r="AP1153" s="4">
        <v>20</v>
      </c>
      <c r="AQ1153" s="4">
        <v>31</v>
      </c>
      <c r="AR1153" s="3" t="s">
        <v>65</v>
      </c>
      <c r="AS1153" s="3" t="s">
        <v>65</v>
      </c>
      <c r="AT1153" s="3" t="s">
        <v>65</v>
      </c>
      <c r="AV1153" s="6" t="str">
        <f>HYPERLINK("http://mcgill.on.worldcat.org/oclc/4515297","Catalog Record")</f>
        <v>Catalog Record</v>
      </c>
      <c r="AW1153" s="6" t="str">
        <f>HYPERLINK("http://www.worldcat.org/oclc/4515297","WorldCat Record")</f>
        <v>WorldCat Record</v>
      </c>
      <c r="AX1153" s="3" t="s">
        <v>11275</v>
      </c>
      <c r="AY1153" s="3" t="s">
        <v>11276</v>
      </c>
      <c r="AZ1153" s="3" t="s">
        <v>11277</v>
      </c>
      <c r="BA1153" s="3" t="s">
        <v>11277</v>
      </c>
      <c r="BB1153" s="3" t="s">
        <v>11278</v>
      </c>
      <c r="BC1153" s="3" t="s">
        <v>77</v>
      </c>
      <c r="BD1153" s="3" t="s">
        <v>78</v>
      </c>
      <c r="BE1153" s="3" t="s">
        <v>11279</v>
      </c>
      <c r="BF1153" s="3" t="s">
        <v>11278</v>
      </c>
      <c r="BG1153" s="3" t="s">
        <v>11280</v>
      </c>
    </row>
    <row r="1154" spans="1:59" ht="58" x14ac:dyDescent="0.35">
      <c r="A1154" s="2" t="s">
        <v>59</v>
      </c>
      <c r="B1154" s="2" t="s">
        <v>60</v>
      </c>
      <c r="C1154" s="2" t="s">
        <v>11281</v>
      </c>
      <c r="D1154" s="2" t="s">
        <v>11282</v>
      </c>
      <c r="E1154" s="2" t="s">
        <v>11283</v>
      </c>
      <c r="G1154" s="3" t="s">
        <v>65</v>
      </c>
      <c r="I1154" s="3" t="s">
        <v>65</v>
      </c>
      <c r="J1154" s="3" t="s">
        <v>65</v>
      </c>
      <c r="K1154" s="3" t="s">
        <v>66</v>
      </c>
      <c r="L1154" s="2" t="s">
        <v>11271</v>
      </c>
      <c r="M1154" s="2" t="s">
        <v>11284</v>
      </c>
      <c r="N1154" s="3" t="s">
        <v>164</v>
      </c>
      <c r="P1154" s="3" t="s">
        <v>69</v>
      </c>
      <c r="Q1154" s="2" t="s">
        <v>11285</v>
      </c>
      <c r="R1154" s="3" t="s">
        <v>71</v>
      </c>
      <c r="S1154" s="4">
        <v>2</v>
      </c>
      <c r="T1154" s="4">
        <v>2</v>
      </c>
      <c r="U1154" s="5" t="s">
        <v>10199</v>
      </c>
      <c r="V1154" s="5" t="s">
        <v>10199</v>
      </c>
      <c r="W1154" s="5" t="s">
        <v>72</v>
      </c>
      <c r="X1154" s="5" t="s">
        <v>72</v>
      </c>
      <c r="Y1154" s="4">
        <v>517</v>
      </c>
      <c r="Z1154" s="4">
        <v>27</v>
      </c>
      <c r="AA1154" s="4">
        <v>93</v>
      </c>
      <c r="AB1154" s="4">
        <v>2</v>
      </c>
      <c r="AC1154" s="4">
        <v>16</v>
      </c>
      <c r="AD1154" s="4">
        <v>99</v>
      </c>
      <c r="AE1154" s="4">
        <v>142</v>
      </c>
      <c r="AF1154" s="4">
        <v>1</v>
      </c>
      <c r="AG1154" s="4">
        <v>8</v>
      </c>
      <c r="AH1154" s="4">
        <v>86</v>
      </c>
      <c r="AI1154" s="4">
        <v>104</v>
      </c>
      <c r="AJ1154" s="4">
        <v>14</v>
      </c>
      <c r="AK1154" s="4">
        <v>26</v>
      </c>
      <c r="AL1154" s="4">
        <v>53</v>
      </c>
      <c r="AM1154" s="4">
        <v>56</v>
      </c>
      <c r="AN1154" s="4">
        <v>0</v>
      </c>
      <c r="AO1154" s="4">
        <v>0</v>
      </c>
      <c r="AP1154" s="4">
        <v>18</v>
      </c>
      <c r="AQ1154" s="4">
        <v>47</v>
      </c>
      <c r="AR1154" s="3" t="s">
        <v>65</v>
      </c>
      <c r="AS1154" s="3" t="s">
        <v>65</v>
      </c>
      <c r="AT1154" s="3" t="s">
        <v>65</v>
      </c>
      <c r="AV1154" s="6" t="str">
        <f>HYPERLINK("http://mcgill.on.worldcat.org/oclc/844731609","Catalog Record")</f>
        <v>Catalog Record</v>
      </c>
      <c r="AW1154" s="6" t="str">
        <f>HYPERLINK("http://www.worldcat.org/oclc/844731609","WorldCat Record")</f>
        <v>WorldCat Record</v>
      </c>
      <c r="AX1154" s="3" t="s">
        <v>11286</v>
      </c>
      <c r="AY1154" s="3" t="s">
        <v>11287</v>
      </c>
      <c r="AZ1154" s="3" t="s">
        <v>11288</v>
      </c>
      <c r="BA1154" s="3" t="s">
        <v>11288</v>
      </c>
      <c r="BB1154" s="3" t="s">
        <v>11289</v>
      </c>
      <c r="BC1154" s="3" t="s">
        <v>77</v>
      </c>
      <c r="BD1154" s="3" t="s">
        <v>78</v>
      </c>
      <c r="BE1154" s="3" t="s">
        <v>11290</v>
      </c>
      <c r="BF1154" s="3" t="s">
        <v>11289</v>
      </c>
      <c r="BG1154" s="3" t="s">
        <v>11291</v>
      </c>
    </row>
    <row r="1155" spans="1:59" ht="58" x14ac:dyDescent="0.35">
      <c r="A1155" s="2" t="s">
        <v>59</v>
      </c>
      <c r="B1155" s="2" t="s">
        <v>60</v>
      </c>
      <c r="C1155" s="2" t="s">
        <v>11292</v>
      </c>
      <c r="D1155" s="2" t="s">
        <v>11293</v>
      </c>
      <c r="E1155" s="2" t="s">
        <v>11294</v>
      </c>
      <c r="G1155" s="3" t="s">
        <v>65</v>
      </c>
      <c r="I1155" s="3" t="s">
        <v>65</v>
      </c>
      <c r="J1155" s="3" t="s">
        <v>65</v>
      </c>
      <c r="K1155" s="3" t="s">
        <v>66</v>
      </c>
      <c r="L1155" s="2" t="s">
        <v>11295</v>
      </c>
      <c r="M1155" s="2" t="s">
        <v>11296</v>
      </c>
      <c r="N1155" s="3" t="s">
        <v>68</v>
      </c>
      <c r="P1155" s="3" t="s">
        <v>69</v>
      </c>
      <c r="R1155" s="3" t="s">
        <v>71</v>
      </c>
      <c r="S1155" s="4">
        <v>0</v>
      </c>
      <c r="T1155" s="4">
        <v>0</v>
      </c>
      <c r="W1155" s="5" t="s">
        <v>72</v>
      </c>
      <c r="X1155" s="5" t="s">
        <v>72</v>
      </c>
      <c r="Y1155" s="4">
        <v>148</v>
      </c>
      <c r="Z1155" s="4">
        <v>12</v>
      </c>
      <c r="AA1155" s="4">
        <v>22</v>
      </c>
      <c r="AB1155" s="4">
        <v>1</v>
      </c>
      <c r="AC1155" s="4">
        <v>4</v>
      </c>
      <c r="AD1155" s="4">
        <v>63</v>
      </c>
      <c r="AE1155" s="4">
        <v>78</v>
      </c>
      <c r="AF1155" s="4">
        <v>0</v>
      </c>
      <c r="AG1155" s="4">
        <v>1</v>
      </c>
      <c r="AH1155" s="4">
        <v>58</v>
      </c>
      <c r="AI1155" s="4">
        <v>69</v>
      </c>
      <c r="AJ1155" s="4">
        <v>6</v>
      </c>
      <c r="AK1155" s="4">
        <v>12</v>
      </c>
      <c r="AL1155" s="4">
        <v>42</v>
      </c>
      <c r="AM1155" s="4">
        <v>45</v>
      </c>
      <c r="AN1155" s="4">
        <v>0</v>
      </c>
      <c r="AO1155" s="4">
        <v>0</v>
      </c>
      <c r="AP1155" s="4">
        <v>7</v>
      </c>
      <c r="AQ1155" s="4">
        <v>15</v>
      </c>
      <c r="AR1155" s="3" t="s">
        <v>65</v>
      </c>
      <c r="AS1155" s="3" t="s">
        <v>65</v>
      </c>
      <c r="AT1155" s="3" t="s">
        <v>65</v>
      </c>
      <c r="AV1155" s="6" t="str">
        <f>HYPERLINK("http://mcgill.on.worldcat.org/oclc/932618633","Catalog Record")</f>
        <v>Catalog Record</v>
      </c>
      <c r="AW1155" s="6" t="str">
        <f>HYPERLINK("http://www.worldcat.org/oclc/932618633","WorldCat Record")</f>
        <v>WorldCat Record</v>
      </c>
      <c r="AX1155" s="3" t="s">
        <v>11297</v>
      </c>
      <c r="AY1155" s="3" t="s">
        <v>11298</v>
      </c>
      <c r="AZ1155" s="3" t="s">
        <v>11299</v>
      </c>
      <c r="BA1155" s="3" t="s">
        <v>11299</v>
      </c>
      <c r="BB1155" s="3" t="s">
        <v>11300</v>
      </c>
      <c r="BC1155" s="3" t="s">
        <v>77</v>
      </c>
      <c r="BD1155" s="3" t="s">
        <v>78</v>
      </c>
      <c r="BE1155" s="3" t="s">
        <v>11301</v>
      </c>
      <c r="BF1155" s="3" t="s">
        <v>11300</v>
      </c>
      <c r="BG1155" s="3" t="s">
        <v>11302</v>
      </c>
    </row>
    <row r="1156" spans="1:59" ht="87" x14ac:dyDescent="0.35">
      <c r="A1156" s="2" t="s">
        <v>59</v>
      </c>
      <c r="B1156" s="2" t="s">
        <v>60</v>
      </c>
      <c r="C1156" s="2" t="s">
        <v>11303</v>
      </c>
      <c r="D1156" s="2" t="s">
        <v>11304</v>
      </c>
      <c r="E1156" s="2" t="s">
        <v>11305</v>
      </c>
      <c r="F1156" s="3" t="s">
        <v>490</v>
      </c>
      <c r="G1156" s="3" t="s">
        <v>209</v>
      </c>
      <c r="I1156" s="3" t="s">
        <v>65</v>
      </c>
      <c r="J1156" s="3" t="s">
        <v>65</v>
      </c>
      <c r="K1156" s="3" t="s">
        <v>66</v>
      </c>
      <c r="L1156" s="2" t="s">
        <v>11306</v>
      </c>
      <c r="M1156" s="2" t="s">
        <v>11307</v>
      </c>
      <c r="N1156" s="3" t="s">
        <v>9547</v>
      </c>
      <c r="P1156" s="3" t="s">
        <v>69</v>
      </c>
      <c r="R1156" s="3" t="s">
        <v>71</v>
      </c>
      <c r="S1156" s="4">
        <v>4</v>
      </c>
      <c r="T1156" s="4">
        <v>13</v>
      </c>
      <c r="U1156" s="5" t="s">
        <v>2691</v>
      </c>
      <c r="V1156" s="5" t="s">
        <v>11308</v>
      </c>
      <c r="W1156" s="5" t="s">
        <v>72</v>
      </c>
      <c r="X1156" s="5" t="s">
        <v>72</v>
      </c>
      <c r="Y1156" s="4">
        <v>1</v>
      </c>
      <c r="Z1156" s="4">
        <v>1</v>
      </c>
      <c r="AA1156" s="4">
        <v>1</v>
      </c>
      <c r="AB1156" s="4">
        <v>1</v>
      </c>
      <c r="AC1156" s="4">
        <v>1</v>
      </c>
      <c r="AD1156" s="4">
        <v>0</v>
      </c>
      <c r="AE1156" s="4">
        <v>0</v>
      </c>
      <c r="AF1156" s="4">
        <v>0</v>
      </c>
      <c r="AG1156" s="4">
        <v>0</v>
      </c>
      <c r="AH1156" s="4">
        <v>0</v>
      </c>
      <c r="AI1156" s="4">
        <v>0</v>
      </c>
      <c r="AJ1156" s="4">
        <v>0</v>
      </c>
      <c r="AK1156" s="4">
        <v>0</v>
      </c>
      <c r="AL1156" s="4">
        <v>0</v>
      </c>
      <c r="AM1156" s="4">
        <v>0</v>
      </c>
      <c r="AN1156" s="4">
        <v>0</v>
      </c>
      <c r="AO1156" s="4">
        <v>0</v>
      </c>
      <c r="AP1156" s="4">
        <v>0</v>
      </c>
      <c r="AQ1156" s="4">
        <v>0</v>
      </c>
      <c r="AR1156" s="3" t="s">
        <v>65</v>
      </c>
      <c r="AS1156" s="3" t="s">
        <v>65</v>
      </c>
      <c r="AT1156" s="3" t="s">
        <v>65</v>
      </c>
      <c r="AV1156" s="6" t="str">
        <f>HYPERLINK("http://mcgill.on.worldcat.org/oclc/427248028","Catalog Record")</f>
        <v>Catalog Record</v>
      </c>
      <c r="AW1156" s="6" t="str">
        <f>HYPERLINK("http://www.worldcat.org/oclc/427248028","WorldCat Record")</f>
        <v>WorldCat Record</v>
      </c>
      <c r="AX1156" s="3" t="s">
        <v>11309</v>
      </c>
      <c r="AY1156" s="3" t="s">
        <v>11310</v>
      </c>
      <c r="AZ1156" s="3" t="s">
        <v>11311</v>
      </c>
      <c r="BA1156" s="3" t="s">
        <v>11311</v>
      </c>
      <c r="BB1156" s="3" t="s">
        <v>11312</v>
      </c>
      <c r="BC1156" s="3" t="s">
        <v>77</v>
      </c>
      <c r="BD1156" s="3" t="s">
        <v>78</v>
      </c>
      <c r="BF1156" s="3" t="s">
        <v>11312</v>
      </c>
      <c r="BG1156" s="3" t="s">
        <v>11313</v>
      </c>
    </row>
    <row r="1157" spans="1:59" ht="87" x14ac:dyDescent="0.35">
      <c r="A1157" s="2" t="s">
        <v>59</v>
      </c>
      <c r="B1157" s="2" t="s">
        <v>60</v>
      </c>
      <c r="C1157" s="2" t="s">
        <v>11303</v>
      </c>
      <c r="D1157" s="2" t="s">
        <v>11304</v>
      </c>
      <c r="E1157" s="2" t="s">
        <v>11305</v>
      </c>
      <c r="F1157" s="3" t="s">
        <v>503</v>
      </c>
      <c r="G1157" s="3" t="s">
        <v>209</v>
      </c>
      <c r="I1157" s="3" t="s">
        <v>65</v>
      </c>
      <c r="J1157" s="3" t="s">
        <v>65</v>
      </c>
      <c r="K1157" s="3" t="s">
        <v>66</v>
      </c>
      <c r="L1157" s="2" t="s">
        <v>11306</v>
      </c>
      <c r="M1157" s="2" t="s">
        <v>11307</v>
      </c>
      <c r="N1157" s="3" t="s">
        <v>9547</v>
      </c>
      <c r="P1157" s="3" t="s">
        <v>69</v>
      </c>
      <c r="R1157" s="3" t="s">
        <v>71</v>
      </c>
      <c r="S1157" s="4">
        <v>6</v>
      </c>
      <c r="T1157" s="4">
        <v>13</v>
      </c>
      <c r="U1157" s="5" t="s">
        <v>11308</v>
      </c>
      <c r="V1157" s="5" t="s">
        <v>11308</v>
      </c>
      <c r="W1157" s="5" t="s">
        <v>72</v>
      </c>
      <c r="X1157" s="5" t="s">
        <v>72</v>
      </c>
      <c r="Y1157" s="4">
        <v>1</v>
      </c>
      <c r="Z1157" s="4">
        <v>1</v>
      </c>
      <c r="AA1157" s="4">
        <v>1</v>
      </c>
      <c r="AB1157" s="4">
        <v>1</v>
      </c>
      <c r="AC1157" s="4">
        <v>1</v>
      </c>
      <c r="AD1157" s="4">
        <v>0</v>
      </c>
      <c r="AE1157" s="4">
        <v>0</v>
      </c>
      <c r="AF1157" s="4">
        <v>0</v>
      </c>
      <c r="AG1157" s="4">
        <v>0</v>
      </c>
      <c r="AH1157" s="4">
        <v>0</v>
      </c>
      <c r="AI1157" s="4">
        <v>0</v>
      </c>
      <c r="AJ1157" s="4">
        <v>0</v>
      </c>
      <c r="AK1157" s="4">
        <v>0</v>
      </c>
      <c r="AL1157" s="4">
        <v>0</v>
      </c>
      <c r="AM1157" s="4">
        <v>0</v>
      </c>
      <c r="AN1157" s="4">
        <v>0</v>
      </c>
      <c r="AO1157" s="4">
        <v>0</v>
      </c>
      <c r="AP1157" s="4">
        <v>0</v>
      </c>
      <c r="AQ1157" s="4">
        <v>0</v>
      </c>
      <c r="AR1157" s="3" t="s">
        <v>65</v>
      </c>
      <c r="AS1157" s="3" t="s">
        <v>65</v>
      </c>
      <c r="AT1157" s="3" t="s">
        <v>65</v>
      </c>
      <c r="AV1157" s="6" t="str">
        <f>HYPERLINK("http://mcgill.on.worldcat.org/oclc/427248028","Catalog Record")</f>
        <v>Catalog Record</v>
      </c>
      <c r="AW1157" s="6" t="str">
        <f>HYPERLINK("http://www.worldcat.org/oclc/427248028","WorldCat Record")</f>
        <v>WorldCat Record</v>
      </c>
      <c r="AX1157" s="3" t="s">
        <v>11309</v>
      </c>
      <c r="AY1157" s="3" t="s">
        <v>11310</v>
      </c>
      <c r="AZ1157" s="3" t="s">
        <v>11311</v>
      </c>
      <c r="BA1157" s="3" t="s">
        <v>11311</v>
      </c>
      <c r="BB1157" s="3" t="s">
        <v>11314</v>
      </c>
      <c r="BC1157" s="3" t="s">
        <v>77</v>
      </c>
      <c r="BD1157" s="3" t="s">
        <v>78</v>
      </c>
      <c r="BF1157" s="3" t="s">
        <v>11314</v>
      </c>
      <c r="BG1157" s="3" t="s">
        <v>11315</v>
      </c>
    </row>
    <row r="1158" spans="1:59" ht="87" x14ac:dyDescent="0.35">
      <c r="A1158" s="2" t="s">
        <v>59</v>
      </c>
      <c r="B1158" s="2" t="s">
        <v>60</v>
      </c>
      <c r="C1158" s="2" t="s">
        <v>11303</v>
      </c>
      <c r="D1158" s="2" t="s">
        <v>11304</v>
      </c>
      <c r="E1158" s="2" t="s">
        <v>11305</v>
      </c>
      <c r="F1158" s="3" t="s">
        <v>10956</v>
      </c>
      <c r="G1158" s="3" t="s">
        <v>209</v>
      </c>
      <c r="I1158" s="3" t="s">
        <v>65</v>
      </c>
      <c r="J1158" s="3" t="s">
        <v>65</v>
      </c>
      <c r="K1158" s="3" t="s">
        <v>66</v>
      </c>
      <c r="L1158" s="2" t="s">
        <v>11306</v>
      </c>
      <c r="M1158" s="2" t="s">
        <v>11307</v>
      </c>
      <c r="N1158" s="3" t="s">
        <v>9547</v>
      </c>
      <c r="P1158" s="3" t="s">
        <v>69</v>
      </c>
      <c r="R1158" s="3" t="s">
        <v>71</v>
      </c>
      <c r="S1158" s="4">
        <v>3</v>
      </c>
      <c r="T1158" s="4">
        <v>13</v>
      </c>
      <c r="U1158" s="5" t="s">
        <v>9774</v>
      </c>
      <c r="V1158" s="5" t="s">
        <v>11308</v>
      </c>
      <c r="W1158" s="5" t="s">
        <v>72</v>
      </c>
      <c r="X1158" s="5" t="s">
        <v>72</v>
      </c>
      <c r="Y1158" s="4">
        <v>1</v>
      </c>
      <c r="Z1158" s="4">
        <v>1</v>
      </c>
      <c r="AA1158" s="4">
        <v>1</v>
      </c>
      <c r="AB1158" s="4">
        <v>1</v>
      </c>
      <c r="AC1158" s="4">
        <v>1</v>
      </c>
      <c r="AD1158" s="4">
        <v>0</v>
      </c>
      <c r="AE1158" s="4">
        <v>0</v>
      </c>
      <c r="AF1158" s="4">
        <v>0</v>
      </c>
      <c r="AG1158" s="4">
        <v>0</v>
      </c>
      <c r="AH1158" s="4">
        <v>0</v>
      </c>
      <c r="AI1158" s="4">
        <v>0</v>
      </c>
      <c r="AJ1158" s="4">
        <v>0</v>
      </c>
      <c r="AK1158" s="4">
        <v>0</v>
      </c>
      <c r="AL1158" s="4">
        <v>0</v>
      </c>
      <c r="AM1158" s="4">
        <v>0</v>
      </c>
      <c r="AN1158" s="4">
        <v>0</v>
      </c>
      <c r="AO1158" s="4">
        <v>0</v>
      </c>
      <c r="AP1158" s="4">
        <v>0</v>
      </c>
      <c r="AQ1158" s="4">
        <v>0</v>
      </c>
      <c r="AR1158" s="3" t="s">
        <v>65</v>
      </c>
      <c r="AS1158" s="3" t="s">
        <v>65</v>
      </c>
      <c r="AT1158" s="3" t="s">
        <v>65</v>
      </c>
      <c r="AV1158" s="6" t="str">
        <f>HYPERLINK("http://mcgill.on.worldcat.org/oclc/427248028","Catalog Record")</f>
        <v>Catalog Record</v>
      </c>
      <c r="AW1158" s="6" t="str">
        <f>HYPERLINK("http://www.worldcat.org/oclc/427248028","WorldCat Record")</f>
        <v>WorldCat Record</v>
      </c>
      <c r="AX1158" s="3" t="s">
        <v>11309</v>
      </c>
      <c r="AY1158" s="3" t="s">
        <v>11310</v>
      </c>
      <c r="AZ1158" s="3" t="s">
        <v>11311</v>
      </c>
      <c r="BA1158" s="3" t="s">
        <v>11311</v>
      </c>
      <c r="BB1158" s="3" t="s">
        <v>11316</v>
      </c>
      <c r="BC1158" s="3" t="s">
        <v>77</v>
      </c>
      <c r="BD1158" s="3" t="s">
        <v>78</v>
      </c>
      <c r="BF1158" s="3" t="s">
        <v>11316</v>
      </c>
      <c r="BG1158" s="3" t="s">
        <v>11317</v>
      </c>
    </row>
    <row r="1159" spans="1:59" ht="87" x14ac:dyDescent="0.35">
      <c r="A1159" s="2" t="s">
        <v>59</v>
      </c>
      <c r="B1159" s="2" t="s">
        <v>60</v>
      </c>
      <c r="C1159" s="2" t="s">
        <v>11303</v>
      </c>
      <c r="D1159" s="2" t="s">
        <v>11304</v>
      </c>
      <c r="E1159" s="2" t="s">
        <v>11305</v>
      </c>
      <c r="F1159" s="3" t="s">
        <v>3103</v>
      </c>
      <c r="G1159" s="3" t="s">
        <v>209</v>
      </c>
      <c r="I1159" s="3" t="s">
        <v>65</v>
      </c>
      <c r="J1159" s="3" t="s">
        <v>65</v>
      </c>
      <c r="K1159" s="3" t="s">
        <v>66</v>
      </c>
      <c r="L1159" s="2" t="s">
        <v>11306</v>
      </c>
      <c r="M1159" s="2" t="s">
        <v>11307</v>
      </c>
      <c r="N1159" s="3" t="s">
        <v>9547</v>
      </c>
      <c r="P1159" s="3" t="s">
        <v>69</v>
      </c>
      <c r="R1159" s="3" t="s">
        <v>71</v>
      </c>
      <c r="S1159" s="4">
        <v>0</v>
      </c>
      <c r="T1159" s="4">
        <v>13</v>
      </c>
      <c r="V1159" s="5" t="s">
        <v>11308</v>
      </c>
      <c r="W1159" s="5" t="s">
        <v>72</v>
      </c>
      <c r="X1159" s="5" t="s">
        <v>72</v>
      </c>
      <c r="Y1159" s="4">
        <v>1</v>
      </c>
      <c r="Z1159" s="4">
        <v>1</v>
      </c>
      <c r="AA1159" s="4">
        <v>1</v>
      </c>
      <c r="AB1159" s="4">
        <v>1</v>
      </c>
      <c r="AC1159" s="4">
        <v>1</v>
      </c>
      <c r="AD1159" s="4">
        <v>0</v>
      </c>
      <c r="AE1159" s="4">
        <v>0</v>
      </c>
      <c r="AF1159" s="4">
        <v>0</v>
      </c>
      <c r="AG1159" s="4">
        <v>0</v>
      </c>
      <c r="AH1159" s="4">
        <v>0</v>
      </c>
      <c r="AI1159" s="4">
        <v>0</v>
      </c>
      <c r="AJ1159" s="4">
        <v>0</v>
      </c>
      <c r="AK1159" s="4">
        <v>0</v>
      </c>
      <c r="AL1159" s="4">
        <v>0</v>
      </c>
      <c r="AM1159" s="4">
        <v>0</v>
      </c>
      <c r="AN1159" s="4">
        <v>0</v>
      </c>
      <c r="AO1159" s="4">
        <v>0</v>
      </c>
      <c r="AP1159" s="4">
        <v>0</v>
      </c>
      <c r="AQ1159" s="4">
        <v>0</v>
      </c>
      <c r="AR1159" s="3" t="s">
        <v>65</v>
      </c>
      <c r="AS1159" s="3" t="s">
        <v>65</v>
      </c>
      <c r="AT1159" s="3" t="s">
        <v>65</v>
      </c>
      <c r="AV1159" s="6" t="str">
        <f>HYPERLINK("http://mcgill.on.worldcat.org/oclc/427248028","Catalog Record")</f>
        <v>Catalog Record</v>
      </c>
      <c r="AW1159" s="6" t="str">
        <f>HYPERLINK("http://www.worldcat.org/oclc/427248028","WorldCat Record")</f>
        <v>WorldCat Record</v>
      </c>
      <c r="AX1159" s="3" t="s">
        <v>11309</v>
      </c>
      <c r="AY1159" s="3" t="s">
        <v>11310</v>
      </c>
      <c r="AZ1159" s="3" t="s">
        <v>11311</v>
      </c>
      <c r="BA1159" s="3" t="s">
        <v>11311</v>
      </c>
      <c r="BB1159" s="3" t="s">
        <v>11318</v>
      </c>
      <c r="BC1159" s="3" t="s">
        <v>77</v>
      </c>
      <c r="BD1159" s="3" t="s">
        <v>78</v>
      </c>
      <c r="BF1159" s="3" t="s">
        <v>11318</v>
      </c>
      <c r="BG1159" s="3" t="s">
        <v>11319</v>
      </c>
    </row>
    <row r="1160" spans="1:59" ht="58" x14ac:dyDescent="0.35">
      <c r="A1160" s="2" t="s">
        <v>59</v>
      </c>
      <c r="B1160" s="2" t="s">
        <v>60</v>
      </c>
      <c r="C1160" s="2" t="s">
        <v>11320</v>
      </c>
      <c r="D1160" s="2" t="s">
        <v>11321</v>
      </c>
      <c r="E1160" s="2" t="s">
        <v>11322</v>
      </c>
      <c r="G1160" s="3" t="s">
        <v>65</v>
      </c>
      <c r="I1160" s="3" t="s">
        <v>65</v>
      </c>
      <c r="J1160" s="3" t="s">
        <v>65</v>
      </c>
      <c r="K1160" s="3" t="s">
        <v>66</v>
      </c>
      <c r="L1160" s="2" t="s">
        <v>11323</v>
      </c>
      <c r="M1160" s="2" t="s">
        <v>11324</v>
      </c>
      <c r="N1160" s="3" t="s">
        <v>7039</v>
      </c>
      <c r="P1160" s="3" t="s">
        <v>69</v>
      </c>
      <c r="Q1160" s="2" t="s">
        <v>11325</v>
      </c>
      <c r="R1160" s="3" t="s">
        <v>71</v>
      </c>
      <c r="S1160" s="4">
        <v>8</v>
      </c>
      <c r="T1160" s="4">
        <v>8</v>
      </c>
      <c r="U1160" s="5" t="s">
        <v>11326</v>
      </c>
      <c r="V1160" s="5" t="s">
        <v>11326</v>
      </c>
      <c r="W1160" s="5" t="s">
        <v>72</v>
      </c>
      <c r="X1160" s="5" t="s">
        <v>72</v>
      </c>
      <c r="Y1160" s="4">
        <v>756</v>
      </c>
      <c r="Z1160" s="4">
        <v>29</v>
      </c>
      <c r="AA1160" s="4">
        <v>32</v>
      </c>
      <c r="AB1160" s="4">
        <v>1</v>
      </c>
      <c r="AC1160" s="4">
        <v>1</v>
      </c>
      <c r="AD1160" s="4">
        <v>110</v>
      </c>
      <c r="AE1160" s="4">
        <v>113</v>
      </c>
      <c r="AF1160" s="4">
        <v>0</v>
      </c>
      <c r="AG1160" s="4">
        <v>0</v>
      </c>
      <c r="AH1160" s="4">
        <v>97</v>
      </c>
      <c r="AI1160" s="4">
        <v>100</v>
      </c>
      <c r="AJ1160" s="4">
        <v>15</v>
      </c>
      <c r="AK1160" s="4">
        <v>17</v>
      </c>
      <c r="AL1160" s="4">
        <v>53</v>
      </c>
      <c r="AM1160" s="4">
        <v>54</v>
      </c>
      <c r="AN1160" s="4">
        <v>0</v>
      </c>
      <c r="AO1160" s="4">
        <v>0</v>
      </c>
      <c r="AP1160" s="4">
        <v>17</v>
      </c>
      <c r="AQ1160" s="4">
        <v>19</v>
      </c>
      <c r="AR1160" s="3" t="s">
        <v>65</v>
      </c>
      <c r="AS1160" s="3" t="s">
        <v>65</v>
      </c>
      <c r="AT1160" s="3" t="s">
        <v>209</v>
      </c>
      <c r="AU1160" s="6" t="str">
        <f>HYPERLINK("http://catalog.hathitrust.org/Record/000868923","HathiTrust Record")</f>
        <v>HathiTrust Record</v>
      </c>
      <c r="AV1160" s="6" t="str">
        <f>HYPERLINK("http://mcgill.on.worldcat.org/oclc/344890","Catalog Record")</f>
        <v>Catalog Record</v>
      </c>
      <c r="AW1160" s="6" t="str">
        <f>HYPERLINK("http://www.worldcat.org/oclc/344890","WorldCat Record")</f>
        <v>WorldCat Record</v>
      </c>
      <c r="AX1160" s="3" t="s">
        <v>11327</v>
      </c>
      <c r="AY1160" s="3" t="s">
        <v>11328</v>
      </c>
      <c r="AZ1160" s="3" t="s">
        <v>11329</v>
      </c>
      <c r="BA1160" s="3" t="s">
        <v>11329</v>
      </c>
      <c r="BB1160" s="3" t="s">
        <v>11330</v>
      </c>
      <c r="BC1160" s="3" t="s">
        <v>77</v>
      </c>
      <c r="BD1160" s="3" t="s">
        <v>78</v>
      </c>
      <c r="BF1160" s="3" t="s">
        <v>11330</v>
      </c>
      <c r="BG1160" s="3" t="s">
        <v>11331</v>
      </c>
    </row>
    <row r="1161" spans="1:59" ht="58" x14ac:dyDescent="0.35">
      <c r="A1161" s="2" t="s">
        <v>59</v>
      </c>
      <c r="B1161" s="2" t="s">
        <v>60</v>
      </c>
      <c r="C1161" s="2" t="s">
        <v>11332</v>
      </c>
      <c r="D1161" s="2" t="s">
        <v>11333</v>
      </c>
      <c r="E1161" s="2" t="s">
        <v>11334</v>
      </c>
      <c r="G1161" s="3" t="s">
        <v>65</v>
      </c>
      <c r="I1161" s="3" t="s">
        <v>65</v>
      </c>
      <c r="J1161" s="3" t="s">
        <v>65</v>
      </c>
      <c r="K1161" s="3" t="s">
        <v>66</v>
      </c>
      <c r="L1161" s="2" t="s">
        <v>11335</v>
      </c>
      <c r="M1161" s="2" t="s">
        <v>11336</v>
      </c>
      <c r="N1161" s="3" t="s">
        <v>11262</v>
      </c>
      <c r="P1161" s="3" t="s">
        <v>140</v>
      </c>
      <c r="Q1161" s="2" t="s">
        <v>11337</v>
      </c>
      <c r="R1161" s="3" t="s">
        <v>71</v>
      </c>
      <c r="S1161" s="4">
        <v>12</v>
      </c>
      <c r="T1161" s="4">
        <v>12</v>
      </c>
      <c r="U1161" s="5" t="s">
        <v>11338</v>
      </c>
      <c r="V1161" s="5" t="s">
        <v>11338</v>
      </c>
      <c r="W1161" s="5" t="s">
        <v>72</v>
      </c>
      <c r="X1161" s="5" t="s">
        <v>72</v>
      </c>
      <c r="Y1161" s="4">
        <v>90</v>
      </c>
      <c r="Z1161" s="4">
        <v>6</v>
      </c>
      <c r="AA1161" s="4">
        <v>11</v>
      </c>
      <c r="AB1161" s="4">
        <v>1</v>
      </c>
      <c r="AC1161" s="4">
        <v>2</v>
      </c>
      <c r="AD1161" s="4">
        <v>47</v>
      </c>
      <c r="AE1161" s="4">
        <v>61</v>
      </c>
      <c r="AF1161" s="4">
        <v>0</v>
      </c>
      <c r="AG1161" s="4">
        <v>1</v>
      </c>
      <c r="AH1161" s="4">
        <v>45</v>
      </c>
      <c r="AI1161" s="4">
        <v>57</v>
      </c>
      <c r="AJ1161" s="4">
        <v>3</v>
      </c>
      <c r="AK1161" s="4">
        <v>7</v>
      </c>
      <c r="AL1161" s="4">
        <v>35</v>
      </c>
      <c r="AM1161" s="4">
        <v>42</v>
      </c>
      <c r="AN1161" s="4">
        <v>0</v>
      </c>
      <c r="AO1161" s="4">
        <v>0</v>
      </c>
      <c r="AP1161" s="4">
        <v>4</v>
      </c>
      <c r="AQ1161" s="4">
        <v>7</v>
      </c>
      <c r="AR1161" s="3" t="s">
        <v>65</v>
      </c>
      <c r="AS1161" s="3" t="s">
        <v>65</v>
      </c>
      <c r="AT1161" s="3" t="s">
        <v>209</v>
      </c>
      <c r="AU1161" s="6" t="str">
        <f>HYPERLINK("http://catalog.hathitrust.org/Record/001673880","HathiTrust Record")</f>
        <v>HathiTrust Record</v>
      </c>
      <c r="AV1161" s="6" t="str">
        <f>HYPERLINK("http://mcgill.on.worldcat.org/oclc/4380660","Catalog Record")</f>
        <v>Catalog Record</v>
      </c>
      <c r="AW1161" s="6" t="str">
        <f>HYPERLINK("http://www.worldcat.org/oclc/4380660","WorldCat Record")</f>
        <v>WorldCat Record</v>
      </c>
      <c r="AX1161" s="3" t="s">
        <v>11339</v>
      </c>
      <c r="AY1161" s="3" t="s">
        <v>11340</v>
      </c>
      <c r="AZ1161" s="3" t="s">
        <v>11341</v>
      </c>
      <c r="BA1161" s="3" t="s">
        <v>11341</v>
      </c>
      <c r="BB1161" s="3" t="s">
        <v>11342</v>
      </c>
      <c r="BC1161" s="3" t="s">
        <v>77</v>
      </c>
      <c r="BD1161" s="3" t="s">
        <v>78</v>
      </c>
      <c r="BF1161" s="3" t="s">
        <v>11342</v>
      </c>
      <c r="BG1161" s="3" t="s">
        <v>11343</v>
      </c>
    </row>
    <row r="1162" spans="1:59" ht="58" x14ac:dyDescent="0.35">
      <c r="A1162" s="2" t="s">
        <v>59</v>
      </c>
      <c r="B1162" s="2" t="s">
        <v>60</v>
      </c>
      <c r="C1162" s="2" t="s">
        <v>11344</v>
      </c>
      <c r="D1162" s="2" t="s">
        <v>11345</v>
      </c>
      <c r="E1162" s="2" t="s">
        <v>11346</v>
      </c>
      <c r="G1162" s="3" t="s">
        <v>65</v>
      </c>
      <c r="I1162" s="3" t="s">
        <v>65</v>
      </c>
      <c r="J1162" s="3" t="s">
        <v>65</v>
      </c>
      <c r="K1162" s="3" t="s">
        <v>66</v>
      </c>
      <c r="L1162" s="2" t="s">
        <v>11335</v>
      </c>
      <c r="M1162" s="2" t="s">
        <v>11347</v>
      </c>
      <c r="N1162" s="3" t="s">
        <v>11348</v>
      </c>
      <c r="P1162" s="3" t="s">
        <v>140</v>
      </c>
      <c r="Q1162" s="2" t="s">
        <v>11349</v>
      </c>
      <c r="R1162" s="3" t="s">
        <v>71</v>
      </c>
      <c r="S1162" s="4">
        <v>1</v>
      </c>
      <c r="T1162" s="4">
        <v>1</v>
      </c>
      <c r="U1162" s="5" t="s">
        <v>495</v>
      </c>
      <c r="V1162" s="5" t="s">
        <v>495</v>
      </c>
      <c r="W1162" s="5" t="s">
        <v>72</v>
      </c>
      <c r="X1162" s="5" t="s">
        <v>72</v>
      </c>
      <c r="Y1162" s="4">
        <v>135</v>
      </c>
      <c r="Z1162" s="4">
        <v>11</v>
      </c>
      <c r="AA1162" s="4">
        <v>12</v>
      </c>
      <c r="AB1162" s="4">
        <v>1</v>
      </c>
      <c r="AC1162" s="4">
        <v>1</v>
      </c>
      <c r="AD1162" s="4">
        <v>47</v>
      </c>
      <c r="AE1162" s="4">
        <v>50</v>
      </c>
      <c r="AF1162" s="4">
        <v>0</v>
      </c>
      <c r="AG1162" s="4">
        <v>0</v>
      </c>
      <c r="AH1162" s="4">
        <v>44</v>
      </c>
      <c r="AI1162" s="4">
        <v>47</v>
      </c>
      <c r="AJ1162" s="4">
        <v>5</v>
      </c>
      <c r="AK1162" s="4">
        <v>5</v>
      </c>
      <c r="AL1162" s="4">
        <v>35</v>
      </c>
      <c r="AM1162" s="4">
        <v>36</v>
      </c>
      <c r="AN1162" s="4">
        <v>0</v>
      </c>
      <c r="AO1162" s="4">
        <v>0</v>
      </c>
      <c r="AP1162" s="4">
        <v>5</v>
      </c>
      <c r="AQ1162" s="4">
        <v>5</v>
      </c>
      <c r="AR1162" s="3" t="s">
        <v>65</v>
      </c>
      <c r="AS1162" s="3" t="s">
        <v>65</v>
      </c>
      <c r="AT1162" s="3" t="s">
        <v>209</v>
      </c>
      <c r="AU1162" s="6" t="str">
        <f>HYPERLINK("http://catalog.hathitrust.org/Record/001805369","HathiTrust Record")</f>
        <v>HathiTrust Record</v>
      </c>
      <c r="AV1162" s="6" t="str">
        <f>HYPERLINK("http://mcgill.on.worldcat.org/oclc/10818598","Catalog Record")</f>
        <v>Catalog Record</v>
      </c>
      <c r="AW1162" s="6" t="str">
        <f>HYPERLINK("http://www.worldcat.org/oclc/10818598","WorldCat Record")</f>
        <v>WorldCat Record</v>
      </c>
      <c r="AX1162" s="3" t="s">
        <v>11350</v>
      </c>
      <c r="AY1162" s="3" t="s">
        <v>11351</v>
      </c>
      <c r="AZ1162" s="3" t="s">
        <v>11352</v>
      </c>
      <c r="BA1162" s="3" t="s">
        <v>11352</v>
      </c>
      <c r="BB1162" s="3" t="s">
        <v>11353</v>
      </c>
      <c r="BC1162" s="3" t="s">
        <v>77</v>
      </c>
      <c r="BD1162" s="3" t="s">
        <v>78</v>
      </c>
      <c r="BF1162" s="3" t="s">
        <v>11353</v>
      </c>
      <c r="BG1162" s="3" t="s">
        <v>11354</v>
      </c>
    </row>
    <row r="1163" spans="1:59" ht="58" x14ac:dyDescent="0.35">
      <c r="A1163" s="2" t="s">
        <v>59</v>
      </c>
      <c r="B1163" s="2" t="s">
        <v>60</v>
      </c>
      <c r="C1163" s="2" t="s">
        <v>11355</v>
      </c>
      <c r="D1163" s="2" t="s">
        <v>11356</v>
      </c>
      <c r="E1163" s="2" t="s">
        <v>11357</v>
      </c>
      <c r="G1163" s="3" t="s">
        <v>65</v>
      </c>
      <c r="I1163" s="3" t="s">
        <v>65</v>
      </c>
      <c r="J1163" s="3" t="s">
        <v>65</v>
      </c>
      <c r="K1163" s="3" t="s">
        <v>66</v>
      </c>
      <c r="L1163" s="2" t="s">
        <v>11335</v>
      </c>
      <c r="M1163" s="2" t="s">
        <v>11358</v>
      </c>
      <c r="N1163" s="3" t="s">
        <v>2377</v>
      </c>
      <c r="P1163" s="3" t="s">
        <v>140</v>
      </c>
      <c r="Q1163" s="2" t="s">
        <v>11359</v>
      </c>
      <c r="R1163" s="3" t="s">
        <v>71</v>
      </c>
      <c r="S1163" s="4">
        <v>5</v>
      </c>
      <c r="T1163" s="4">
        <v>5</v>
      </c>
      <c r="U1163" s="5" t="s">
        <v>11338</v>
      </c>
      <c r="V1163" s="5" t="s">
        <v>11338</v>
      </c>
      <c r="W1163" s="5" t="s">
        <v>72</v>
      </c>
      <c r="X1163" s="5" t="s">
        <v>72</v>
      </c>
      <c r="Y1163" s="4">
        <v>62</v>
      </c>
      <c r="Z1163" s="4">
        <v>6</v>
      </c>
      <c r="AA1163" s="4">
        <v>6</v>
      </c>
      <c r="AB1163" s="4">
        <v>2</v>
      </c>
      <c r="AC1163" s="4">
        <v>2</v>
      </c>
      <c r="AD1163" s="4">
        <v>30</v>
      </c>
      <c r="AE1163" s="4">
        <v>30</v>
      </c>
      <c r="AF1163" s="4">
        <v>0</v>
      </c>
      <c r="AG1163" s="4">
        <v>0</v>
      </c>
      <c r="AH1163" s="4">
        <v>28</v>
      </c>
      <c r="AI1163" s="4">
        <v>28</v>
      </c>
      <c r="AJ1163" s="4">
        <v>3</v>
      </c>
      <c r="AK1163" s="4">
        <v>3</v>
      </c>
      <c r="AL1163" s="4">
        <v>20</v>
      </c>
      <c r="AM1163" s="4">
        <v>20</v>
      </c>
      <c r="AN1163" s="4">
        <v>0</v>
      </c>
      <c r="AO1163" s="4">
        <v>0</v>
      </c>
      <c r="AP1163" s="4">
        <v>3</v>
      </c>
      <c r="AQ1163" s="4">
        <v>3</v>
      </c>
      <c r="AR1163" s="3" t="s">
        <v>65</v>
      </c>
      <c r="AS1163" s="3" t="s">
        <v>65</v>
      </c>
      <c r="AT1163" s="3" t="s">
        <v>65</v>
      </c>
      <c r="AV1163" s="6" t="str">
        <f>HYPERLINK("http://mcgill.on.worldcat.org/oclc/24247793","Catalog Record")</f>
        <v>Catalog Record</v>
      </c>
      <c r="AW1163" s="6" t="str">
        <f>HYPERLINK("http://www.worldcat.org/oclc/24247793","WorldCat Record")</f>
        <v>WorldCat Record</v>
      </c>
      <c r="AX1163" s="3" t="s">
        <v>11360</v>
      </c>
      <c r="AY1163" s="3" t="s">
        <v>11361</v>
      </c>
      <c r="AZ1163" s="3" t="s">
        <v>11362</v>
      </c>
      <c r="BA1163" s="3" t="s">
        <v>11362</v>
      </c>
      <c r="BB1163" s="3" t="s">
        <v>11363</v>
      </c>
      <c r="BC1163" s="3" t="s">
        <v>77</v>
      </c>
      <c r="BD1163" s="3" t="s">
        <v>78</v>
      </c>
      <c r="BF1163" s="3" t="s">
        <v>11363</v>
      </c>
      <c r="BG1163" s="3" t="s">
        <v>11364</v>
      </c>
    </row>
    <row r="1164" spans="1:59" ht="58" x14ac:dyDescent="0.35">
      <c r="A1164" s="2" t="s">
        <v>59</v>
      </c>
      <c r="B1164" s="2" t="s">
        <v>60</v>
      </c>
      <c r="C1164" s="2" t="s">
        <v>11365</v>
      </c>
      <c r="D1164" s="2" t="s">
        <v>11366</v>
      </c>
      <c r="E1164" s="2" t="s">
        <v>11367</v>
      </c>
      <c r="F1164" s="3" t="s">
        <v>255</v>
      </c>
      <c r="G1164" s="3" t="s">
        <v>209</v>
      </c>
      <c r="I1164" s="3" t="s">
        <v>65</v>
      </c>
      <c r="J1164" s="3" t="s">
        <v>65</v>
      </c>
      <c r="K1164" s="3" t="s">
        <v>66</v>
      </c>
      <c r="L1164" s="2" t="s">
        <v>11368</v>
      </c>
      <c r="M1164" s="2" t="s">
        <v>11369</v>
      </c>
      <c r="N1164" s="3" t="s">
        <v>1967</v>
      </c>
      <c r="O1164" s="2" t="s">
        <v>365</v>
      </c>
      <c r="P1164" s="3" t="s">
        <v>140</v>
      </c>
      <c r="Q1164" s="2" t="s">
        <v>11370</v>
      </c>
      <c r="R1164" s="3" t="s">
        <v>71</v>
      </c>
      <c r="S1164" s="4">
        <v>1</v>
      </c>
      <c r="T1164" s="4">
        <v>5</v>
      </c>
      <c r="U1164" s="5" t="s">
        <v>10660</v>
      </c>
      <c r="V1164" s="5" t="s">
        <v>10660</v>
      </c>
      <c r="W1164" s="5" t="s">
        <v>72</v>
      </c>
      <c r="X1164" s="5" t="s">
        <v>72</v>
      </c>
      <c r="Y1164" s="4">
        <v>42</v>
      </c>
      <c r="Z1164" s="4">
        <v>2</v>
      </c>
      <c r="AA1164" s="4">
        <v>2</v>
      </c>
      <c r="AB1164" s="4">
        <v>1</v>
      </c>
      <c r="AC1164" s="4">
        <v>1</v>
      </c>
      <c r="AD1164" s="4">
        <v>30</v>
      </c>
      <c r="AE1164" s="4">
        <v>30</v>
      </c>
      <c r="AF1164" s="4">
        <v>0</v>
      </c>
      <c r="AG1164" s="4">
        <v>0</v>
      </c>
      <c r="AH1164" s="4">
        <v>29</v>
      </c>
      <c r="AI1164" s="4">
        <v>29</v>
      </c>
      <c r="AJ1164" s="4">
        <v>1</v>
      </c>
      <c r="AK1164" s="4">
        <v>1</v>
      </c>
      <c r="AL1164" s="4">
        <v>22</v>
      </c>
      <c r="AM1164" s="4">
        <v>22</v>
      </c>
      <c r="AN1164" s="4">
        <v>0</v>
      </c>
      <c r="AO1164" s="4">
        <v>0</v>
      </c>
      <c r="AP1164" s="4">
        <v>1</v>
      </c>
      <c r="AQ1164" s="4">
        <v>1</v>
      </c>
      <c r="AR1164" s="3" t="s">
        <v>65</v>
      </c>
      <c r="AS1164" s="3" t="s">
        <v>65</v>
      </c>
      <c r="AT1164" s="3" t="s">
        <v>209</v>
      </c>
      <c r="AU1164" s="6" t="str">
        <f>HYPERLINK("http://catalog.hathitrust.org/Record/004365932","HathiTrust Record")</f>
        <v>HathiTrust Record</v>
      </c>
      <c r="AV1164" s="6" t="str">
        <f>HYPERLINK("http://mcgill.on.worldcat.org/oclc/55055066","Catalog Record")</f>
        <v>Catalog Record</v>
      </c>
      <c r="AW1164" s="6" t="str">
        <f>HYPERLINK("http://www.worldcat.org/oclc/55055066","WorldCat Record")</f>
        <v>WorldCat Record</v>
      </c>
      <c r="AX1164" s="3" t="s">
        <v>11371</v>
      </c>
      <c r="AY1164" s="3" t="s">
        <v>11372</v>
      </c>
      <c r="AZ1164" s="3" t="s">
        <v>11373</v>
      </c>
      <c r="BA1164" s="3" t="s">
        <v>11373</v>
      </c>
      <c r="BB1164" s="3" t="s">
        <v>11374</v>
      </c>
      <c r="BC1164" s="3" t="s">
        <v>77</v>
      </c>
      <c r="BD1164" s="3" t="s">
        <v>78</v>
      </c>
      <c r="BE1164" s="3" t="s">
        <v>11375</v>
      </c>
      <c r="BF1164" s="3" t="s">
        <v>11374</v>
      </c>
      <c r="BG1164" s="3" t="s">
        <v>11376</v>
      </c>
    </row>
    <row r="1165" spans="1:59" ht="58" x14ac:dyDescent="0.35">
      <c r="A1165" s="2" t="s">
        <v>59</v>
      </c>
      <c r="B1165" s="2" t="s">
        <v>60</v>
      </c>
      <c r="C1165" s="2" t="s">
        <v>11365</v>
      </c>
      <c r="D1165" s="2" t="s">
        <v>11366</v>
      </c>
      <c r="E1165" s="2" t="s">
        <v>11367</v>
      </c>
      <c r="F1165" s="3" t="s">
        <v>245</v>
      </c>
      <c r="G1165" s="3" t="s">
        <v>209</v>
      </c>
      <c r="I1165" s="3" t="s">
        <v>65</v>
      </c>
      <c r="J1165" s="3" t="s">
        <v>65</v>
      </c>
      <c r="K1165" s="3" t="s">
        <v>66</v>
      </c>
      <c r="L1165" s="2" t="s">
        <v>11368</v>
      </c>
      <c r="M1165" s="2" t="s">
        <v>11369</v>
      </c>
      <c r="N1165" s="3" t="s">
        <v>1967</v>
      </c>
      <c r="O1165" s="2" t="s">
        <v>365</v>
      </c>
      <c r="P1165" s="3" t="s">
        <v>140</v>
      </c>
      <c r="Q1165" s="2" t="s">
        <v>11370</v>
      </c>
      <c r="R1165" s="3" t="s">
        <v>71</v>
      </c>
      <c r="S1165" s="4">
        <v>2</v>
      </c>
      <c r="T1165" s="4">
        <v>5</v>
      </c>
      <c r="U1165" s="5" t="s">
        <v>10660</v>
      </c>
      <c r="V1165" s="5" t="s">
        <v>10660</v>
      </c>
      <c r="W1165" s="5" t="s">
        <v>72</v>
      </c>
      <c r="X1165" s="5" t="s">
        <v>72</v>
      </c>
      <c r="Y1165" s="4">
        <v>42</v>
      </c>
      <c r="Z1165" s="4">
        <v>2</v>
      </c>
      <c r="AA1165" s="4">
        <v>2</v>
      </c>
      <c r="AB1165" s="4">
        <v>1</v>
      </c>
      <c r="AC1165" s="4">
        <v>1</v>
      </c>
      <c r="AD1165" s="4">
        <v>30</v>
      </c>
      <c r="AE1165" s="4">
        <v>30</v>
      </c>
      <c r="AF1165" s="4">
        <v>0</v>
      </c>
      <c r="AG1165" s="4">
        <v>0</v>
      </c>
      <c r="AH1165" s="4">
        <v>29</v>
      </c>
      <c r="AI1165" s="4">
        <v>29</v>
      </c>
      <c r="AJ1165" s="4">
        <v>1</v>
      </c>
      <c r="AK1165" s="4">
        <v>1</v>
      </c>
      <c r="AL1165" s="4">
        <v>22</v>
      </c>
      <c r="AM1165" s="4">
        <v>22</v>
      </c>
      <c r="AN1165" s="4">
        <v>0</v>
      </c>
      <c r="AO1165" s="4">
        <v>0</v>
      </c>
      <c r="AP1165" s="4">
        <v>1</v>
      </c>
      <c r="AQ1165" s="4">
        <v>1</v>
      </c>
      <c r="AR1165" s="3" t="s">
        <v>65</v>
      </c>
      <c r="AS1165" s="3" t="s">
        <v>65</v>
      </c>
      <c r="AT1165" s="3" t="s">
        <v>209</v>
      </c>
      <c r="AU1165" s="6" t="str">
        <f>HYPERLINK("http://catalog.hathitrust.org/Record/004365932","HathiTrust Record")</f>
        <v>HathiTrust Record</v>
      </c>
      <c r="AV1165" s="6" t="str">
        <f>HYPERLINK("http://mcgill.on.worldcat.org/oclc/55055066","Catalog Record")</f>
        <v>Catalog Record</v>
      </c>
      <c r="AW1165" s="6" t="str">
        <f>HYPERLINK("http://www.worldcat.org/oclc/55055066","WorldCat Record")</f>
        <v>WorldCat Record</v>
      </c>
      <c r="AX1165" s="3" t="s">
        <v>11371</v>
      </c>
      <c r="AY1165" s="3" t="s">
        <v>11372</v>
      </c>
      <c r="AZ1165" s="3" t="s">
        <v>11373</v>
      </c>
      <c r="BA1165" s="3" t="s">
        <v>11373</v>
      </c>
      <c r="BB1165" s="3" t="s">
        <v>11377</v>
      </c>
      <c r="BC1165" s="3" t="s">
        <v>77</v>
      </c>
      <c r="BD1165" s="3" t="s">
        <v>78</v>
      </c>
      <c r="BE1165" s="3" t="s">
        <v>11375</v>
      </c>
      <c r="BF1165" s="3" t="s">
        <v>11377</v>
      </c>
      <c r="BG1165" s="3" t="s">
        <v>11378</v>
      </c>
    </row>
    <row r="1166" spans="1:59" ht="58" x14ac:dyDescent="0.35">
      <c r="A1166" s="2" t="s">
        <v>59</v>
      </c>
      <c r="B1166" s="2" t="s">
        <v>60</v>
      </c>
      <c r="C1166" s="2" t="s">
        <v>11365</v>
      </c>
      <c r="D1166" s="2" t="s">
        <v>11366</v>
      </c>
      <c r="E1166" s="2" t="s">
        <v>11367</v>
      </c>
      <c r="F1166" s="3" t="s">
        <v>258</v>
      </c>
      <c r="G1166" s="3" t="s">
        <v>209</v>
      </c>
      <c r="I1166" s="3" t="s">
        <v>65</v>
      </c>
      <c r="J1166" s="3" t="s">
        <v>65</v>
      </c>
      <c r="K1166" s="3" t="s">
        <v>66</v>
      </c>
      <c r="L1166" s="2" t="s">
        <v>11368</v>
      </c>
      <c r="M1166" s="2" t="s">
        <v>11369</v>
      </c>
      <c r="N1166" s="3" t="s">
        <v>1967</v>
      </c>
      <c r="O1166" s="2" t="s">
        <v>365</v>
      </c>
      <c r="P1166" s="3" t="s">
        <v>140</v>
      </c>
      <c r="Q1166" s="2" t="s">
        <v>11370</v>
      </c>
      <c r="R1166" s="3" t="s">
        <v>71</v>
      </c>
      <c r="S1166" s="4">
        <v>2</v>
      </c>
      <c r="T1166" s="4">
        <v>5</v>
      </c>
      <c r="U1166" s="5" t="s">
        <v>10660</v>
      </c>
      <c r="V1166" s="5" t="s">
        <v>10660</v>
      </c>
      <c r="W1166" s="5" t="s">
        <v>72</v>
      </c>
      <c r="X1166" s="5" t="s">
        <v>72</v>
      </c>
      <c r="Y1166" s="4">
        <v>42</v>
      </c>
      <c r="Z1166" s="4">
        <v>2</v>
      </c>
      <c r="AA1166" s="4">
        <v>2</v>
      </c>
      <c r="AB1166" s="4">
        <v>1</v>
      </c>
      <c r="AC1166" s="4">
        <v>1</v>
      </c>
      <c r="AD1166" s="4">
        <v>30</v>
      </c>
      <c r="AE1166" s="4">
        <v>30</v>
      </c>
      <c r="AF1166" s="4">
        <v>0</v>
      </c>
      <c r="AG1166" s="4">
        <v>0</v>
      </c>
      <c r="AH1166" s="4">
        <v>29</v>
      </c>
      <c r="AI1166" s="4">
        <v>29</v>
      </c>
      <c r="AJ1166" s="4">
        <v>1</v>
      </c>
      <c r="AK1166" s="4">
        <v>1</v>
      </c>
      <c r="AL1166" s="4">
        <v>22</v>
      </c>
      <c r="AM1166" s="4">
        <v>22</v>
      </c>
      <c r="AN1166" s="4">
        <v>0</v>
      </c>
      <c r="AO1166" s="4">
        <v>0</v>
      </c>
      <c r="AP1166" s="4">
        <v>1</v>
      </c>
      <c r="AQ1166" s="4">
        <v>1</v>
      </c>
      <c r="AR1166" s="3" t="s">
        <v>65</v>
      </c>
      <c r="AS1166" s="3" t="s">
        <v>65</v>
      </c>
      <c r="AT1166" s="3" t="s">
        <v>209</v>
      </c>
      <c r="AU1166" s="6" t="str">
        <f>HYPERLINK("http://catalog.hathitrust.org/Record/004365932","HathiTrust Record")</f>
        <v>HathiTrust Record</v>
      </c>
      <c r="AV1166" s="6" t="str">
        <f>HYPERLINK("http://mcgill.on.worldcat.org/oclc/55055066","Catalog Record")</f>
        <v>Catalog Record</v>
      </c>
      <c r="AW1166" s="6" t="str">
        <f>HYPERLINK("http://www.worldcat.org/oclc/55055066","WorldCat Record")</f>
        <v>WorldCat Record</v>
      </c>
      <c r="AX1166" s="3" t="s">
        <v>11371</v>
      </c>
      <c r="AY1166" s="3" t="s">
        <v>11372</v>
      </c>
      <c r="AZ1166" s="3" t="s">
        <v>11373</v>
      </c>
      <c r="BA1166" s="3" t="s">
        <v>11373</v>
      </c>
      <c r="BB1166" s="3" t="s">
        <v>11379</v>
      </c>
      <c r="BC1166" s="3" t="s">
        <v>77</v>
      </c>
      <c r="BD1166" s="3" t="s">
        <v>78</v>
      </c>
      <c r="BE1166" s="3" t="s">
        <v>11375</v>
      </c>
      <c r="BF1166" s="3" t="s">
        <v>11379</v>
      </c>
      <c r="BG1166" s="3" t="s">
        <v>11380</v>
      </c>
    </row>
    <row r="1167" spans="1:59" ht="58" x14ac:dyDescent="0.35">
      <c r="A1167" s="2" t="s">
        <v>59</v>
      </c>
      <c r="B1167" s="2" t="s">
        <v>60</v>
      </c>
      <c r="C1167" s="2" t="s">
        <v>11381</v>
      </c>
      <c r="D1167" s="2" t="s">
        <v>11382</v>
      </c>
      <c r="E1167" s="2" t="s">
        <v>11383</v>
      </c>
      <c r="G1167" s="3" t="s">
        <v>65</v>
      </c>
      <c r="I1167" s="3" t="s">
        <v>65</v>
      </c>
      <c r="J1167" s="3" t="s">
        <v>65</v>
      </c>
      <c r="K1167" s="3" t="s">
        <v>66</v>
      </c>
      <c r="L1167" s="2" t="s">
        <v>11384</v>
      </c>
      <c r="M1167" s="2" t="s">
        <v>11385</v>
      </c>
      <c r="N1167" s="3" t="s">
        <v>188</v>
      </c>
      <c r="O1167" s="2" t="s">
        <v>235</v>
      </c>
      <c r="P1167" s="3" t="s">
        <v>140</v>
      </c>
      <c r="Q1167" s="2" t="s">
        <v>565</v>
      </c>
      <c r="R1167" s="3" t="s">
        <v>71</v>
      </c>
      <c r="S1167" s="4">
        <v>0</v>
      </c>
      <c r="T1167" s="4">
        <v>0</v>
      </c>
      <c r="W1167" s="5" t="s">
        <v>72</v>
      </c>
      <c r="X1167" s="5" t="s">
        <v>72</v>
      </c>
      <c r="Y1167" s="4">
        <v>44</v>
      </c>
      <c r="Z1167" s="4">
        <v>2</v>
      </c>
      <c r="AA1167" s="4">
        <v>2</v>
      </c>
      <c r="AB1167" s="4">
        <v>1</v>
      </c>
      <c r="AC1167" s="4">
        <v>1</v>
      </c>
      <c r="AD1167" s="4">
        <v>32</v>
      </c>
      <c r="AE1167" s="4">
        <v>32</v>
      </c>
      <c r="AF1167" s="4">
        <v>0</v>
      </c>
      <c r="AG1167" s="4">
        <v>0</v>
      </c>
      <c r="AH1167" s="4">
        <v>31</v>
      </c>
      <c r="AI1167" s="4">
        <v>31</v>
      </c>
      <c r="AJ1167" s="4">
        <v>1</v>
      </c>
      <c r="AK1167" s="4">
        <v>1</v>
      </c>
      <c r="AL1167" s="4">
        <v>25</v>
      </c>
      <c r="AM1167" s="4">
        <v>25</v>
      </c>
      <c r="AN1167" s="4">
        <v>0</v>
      </c>
      <c r="AO1167" s="4">
        <v>0</v>
      </c>
      <c r="AP1167" s="4">
        <v>1</v>
      </c>
      <c r="AQ1167" s="4">
        <v>1</v>
      </c>
      <c r="AR1167" s="3" t="s">
        <v>65</v>
      </c>
      <c r="AS1167" s="3" t="s">
        <v>65</v>
      </c>
      <c r="AT1167" s="3" t="s">
        <v>65</v>
      </c>
      <c r="AV1167" s="6" t="str">
        <f>HYPERLINK("http://mcgill.on.worldcat.org/oclc/982172113","Catalog Record")</f>
        <v>Catalog Record</v>
      </c>
      <c r="AW1167" s="6" t="str">
        <f>HYPERLINK("http://www.worldcat.org/oclc/982172113","WorldCat Record")</f>
        <v>WorldCat Record</v>
      </c>
      <c r="AX1167" s="3" t="s">
        <v>11386</v>
      </c>
      <c r="AY1167" s="3" t="s">
        <v>11387</v>
      </c>
      <c r="AZ1167" s="3" t="s">
        <v>11388</v>
      </c>
      <c r="BA1167" s="3" t="s">
        <v>11388</v>
      </c>
      <c r="BB1167" s="3" t="s">
        <v>11389</v>
      </c>
      <c r="BC1167" s="3" t="s">
        <v>77</v>
      </c>
      <c r="BD1167" s="3" t="s">
        <v>78</v>
      </c>
      <c r="BE1167" s="3" t="s">
        <v>11390</v>
      </c>
      <c r="BF1167" s="3" t="s">
        <v>11389</v>
      </c>
      <c r="BG1167" s="3" t="s">
        <v>11391</v>
      </c>
    </row>
    <row r="1168" spans="1:59" ht="58" x14ac:dyDescent="0.35">
      <c r="A1168" s="2" t="s">
        <v>59</v>
      </c>
      <c r="B1168" s="2" t="s">
        <v>60</v>
      </c>
      <c r="C1168" s="2" t="s">
        <v>11392</v>
      </c>
      <c r="D1168" s="2" t="s">
        <v>11393</v>
      </c>
      <c r="E1168" s="2" t="s">
        <v>11394</v>
      </c>
      <c r="G1168" s="3" t="s">
        <v>65</v>
      </c>
      <c r="I1168" s="3" t="s">
        <v>65</v>
      </c>
      <c r="J1168" s="3" t="s">
        <v>65</v>
      </c>
      <c r="K1168" s="3" t="s">
        <v>66</v>
      </c>
      <c r="L1168" s="2" t="s">
        <v>11395</v>
      </c>
      <c r="M1168" s="2" t="s">
        <v>5746</v>
      </c>
      <c r="N1168" s="3" t="s">
        <v>139</v>
      </c>
      <c r="P1168" s="3" t="s">
        <v>140</v>
      </c>
      <c r="Q1168" s="2" t="s">
        <v>11396</v>
      </c>
      <c r="R1168" s="3" t="s">
        <v>71</v>
      </c>
      <c r="S1168" s="4">
        <v>1</v>
      </c>
      <c r="T1168" s="4">
        <v>1</v>
      </c>
      <c r="U1168" s="5" t="s">
        <v>4391</v>
      </c>
      <c r="V1168" s="5" t="s">
        <v>4391</v>
      </c>
      <c r="W1168" s="5" t="s">
        <v>72</v>
      </c>
      <c r="X1168" s="5" t="s">
        <v>72</v>
      </c>
      <c r="Y1168" s="4">
        <v>13</v>
      </c>
      <c r="Z1168" s="4">
        <v>1</v>
      </c>
      <c r="AA1168" s="4">
        <v>6</v>
      </c>
      <c r="AB1168" s="4">
        <v>1</v>
      </c>
      <c r="AC1168" s="4">
        <v>1</v>
      </c>
      <c r="AD1168" s="4">
        <v>2</v>
      </c>
      <c r="AE1168" s="4">
        <v>31</v>
      </c>
      <c r="AF1168" s="4">
        <v>0</v>
      </c>
      <c r="AG1168" s="4">
        <v>0</v>
      </c>
      <c r="AH1168" s="4">
        <v>2</v>
      </c>
      <c r="AI1168" s="4">
        <v>30</v>
      </c>
      <c r="AJ1168" s="4">
        <v>0</v>
      </c>
      <c r="AK1168" s="4">
        <v>3</v>
      </c>
      <c r="AL1168" s="4">
        <v>2</v>
      </c>
      <c r="AM1168" s="4">
        <v>23</v>
      </c>
      <c r="AN1168" s="4">
        <v>0</v>
      </c>
      <c r="AO1168" s="4">
        <v>0</v>
      </c>
      <c r="AP1168" s="4">
        <v>0</v>
      </c>
      <c r="AQ1168" s="4">
        <v>3</v>
      </c>
      <c r="AR1168" s="3" t="s">
        <v>65</v>
      </c>
      <c r="AS1168" s="3" t="s">
        <v>65</v>
      </c>
      <c r="AT1168" s="3" t="s">
        <v>65</v>
      </c>
      <c r="AV1168" s="6" t="str">
        <f>HYPERLINK("http://mcgill.on.worldcat.org/oclc/793361583","Catalog Record")</f>
        <v>Catalog Record</v>
      </c>
      <c r="AW1168" s="6" t="str">
        <f>HYPERLINK("http://www.worldcat.org/oclc/793361583","WorldCat Record")</f>
        <v>WorldCat Record</v>
      </c>
      <c r="AX1168" s="3" t="s">
        <v>11397</v>
      </c>
      <c r="AY1168" s="3" t="s">
        <v>11398</v>
      </c>
      <c r="AZ1168" s="3" t="s">
        <v>11399</v>
      </c>
      <c r="BA1168" s="3" t="s">
        <v>11399</v>
      </c>
      <c r="BB1168" s="3" t="s">
        <v>11400</v>
      </c>
      <c r="BC1168" s="3" t="s">
        <v>77</v>
      </c>
      <c r="BD1168" s="3" t="s">
        <v>78</v>
      </c>
      <c r="BE1168" s="3" t="s">
        <v>11401</v>
      </c>
      <c r="BF1168" s="3" t="s">
        <v>11400</v>
      </c>
      <c r="BG1168" s="3" t="s">
        <v>11402</v>
      </c>
    </row>
    <row r="1169" spans="1:59" ht="58" x14ac:dyDescent="0.35">
      <c r="A1169" s="2" t="s">
        <v>59</v>
      </c>
      <c r="B1169" s="2" t="s">
        <v>60</v>
      </c>
      <c r="C1169" s="2" t="s">
        <v>11403</v>
      </c>
      <c r="D1169" s="2" t="s">
        <v>11404</v>
      </c>
      <c r="E1169" s="2" t="s">
        <v>11405</v>
      </c>
      <c r="G1169" s="3" t="s">
        <v>65</v>
      </c>
      <c r="I1169" s="3" t="s">
        <v>65</v>
      </c>
      <c r="J1169" s="3" t="s">
        <v>65</v>
      </c>
      <c r="K1169" s="3" t="s">
        <v>66</v>
      </c>
      <c r="L1169" s="2" t="s">
        <v>5248</v>
      </c>
      <c r="M1169" s="2" t="s">
        <v>11406</v>
      </c>
      <c r="N1169" s="3" t="s">
        <v>247</v>
      </c>
      <c r="P1169" s="3" t="s">
        <v>140</v>
      </c>
      <c r="Q1169" s="2" t="s">
        <v>11407</v>
      </c>
      <c r="R1169" s="3" t="s">
        <v>71</v>
      </c>
      <c r="S1169" s="4">
        <v>3</v>
      </c>
      <c r="T1169" s="4">
        <v>3</v>
      </c>
      <c r="U1169" s="5" t="s">
        <v>11408</v>
      </c>
      <c r="V1169" s="5" t="s">
        <v>11408</v>
      </c>
      <c r="W1169" s="5" t="s">
        <v>72</v>
      </c>
      <c r="X1169" s="5" t="s">
        <v>72</v>
      </c>
      <c r="Y1169" s="4">
        <v>126</v>
      </c>
      <c r="Z1169" s="4">
        <v>7</v>
      </c>
      <c r="AA1169" s="4">
        <v>7</v>
      </c>
      <c r="AB1169" s="4">
        <v>1</v>
      </c>
      <c r="AC1169" s="4">
        <v>1</v>
      </c>
      <c r="AD1169" s="4">
        <v>57</v>
      </c>
      <c r="AE1169" s="4">
        <v>57</v>
      </c>
      <c r="AF1169" s="4">
        <v>0</v>
      </c>
      <c r="AG1169" s="4">
        <v>0</v>
      </c>
      <c r="AH1169" s="4">
        <v>53</v>
      </c>
      <c r="AI1169" s="4">
        <v>53</v>
      </c>
      <c r="AJ1169" s="4">
        <v>5</v>
      </c>
      <c r="AK1169" s="4">
        <v>5</v>
      </c>
      <c r="AL1169" s="4">
        <v>38</v>
      </c>
      <c r="AM1169" s="4">
        <v>38</v>
      </c>
      <c r="AN1169" s="4">
        <v>0</v>
      </c>
      <c r="AO1169" s="4">
        <v>0</v>
      </c>
      <c r="AP1169" s="4">
        <v>5</v>
      </c>
      <c r="AQ1169" s="4">
        <v>5</v>
      </c>
      <c r="AR1169" s="3" t="s">
        <v>65</v>
      </c>
      <c r="AS1169" s="3" t="s">
        <v>65</v>
      </c>
      <c r="AT1169" s="3" t="s">
        <v>209</v>
      </c>
      <c r="AU1169" s="6" t="str">
        <f>HYPERLINK("http://catalog.hathitrust.org/Record/002625533","HathiTrust Record")</f>
        <v>HathiTrust Record</v>
      </c>
      <c r="AV1169" s="6" t="str">
        <f>HYPERLINK("http://mcgill.on.worldcat.org/oclc/27999797","Catalog Record")</f>
        <v>Catalog Record</v>
      </c>
      <c r="AW1169" s="6" t="str">
        <f>HYPERLINK("http://www.worldcat.org/oclc/27999797","WorldCat Record")</f>
        <v>WorldCat Record</v>
      </c>
      <c r="AX1169" s="3" t="s">
        <v>11409</v>
      </c>
      <c r="AY1169" s="3" t="s">
        <v>11410</v>
      </c>
      <c r="AZ1169" s="3" t="s">
        <v>11411</v>
      </c>
      <c r="BA1169" s="3" t="s">
        <v>11411</v>
      </c>
      <c r="BB1169" s="3" t="s">
        <v>11412</v>
      </c>
      <c r="BC1169" s="3" t="s">
        <v>77</v>
      </c>
      <c r="BD1169" s="3" t="s">
        <v>78</v>
      </c>
      <c r="BE1169" s="3" t="s">
        <v>11413</v>
      </c>
      <c r="BF1169" s="3" t="s">
        <v>11412</v>
      </c>
      <c r="BG1169" s="3" t="s">
        <v>11414</v>
      </c>
    </row>
    <row r="1170" spans="1:59" ht="58" x14ac:dyDescent="0.35">
      <c r="A1170" s="2" t="s">
        <v>59</v>
      </c>
      <c r="B1170" s="2" t="s">
        <v>60</v>
      </c>
      <c r="C1170" s="2" t="s">
        <v>11415</v>
      </c>
      <c r="D1170" s="2" t="s">
        <v>11416</v>
      </c>
      <c r="E1170" s="2" t="s">
        <v>11417</v>
      </c>
      <c r="G1170" s="3" t="s">
        <v>65</v>
      </c>
      <c r="I1170" s="3" t="s">
        <v>65</v>
      </c>
      <c r="J1170" s="3" t="s">
        <v>209</v>
      </c>
      <c r="K1170" s="3" t="s">
        <v>66</v>
      </c>
      <c r="L1170" s="2" t="s">
        <v>11418</v>
      </c>
      <c r="M1170" s="2" t="s">
        <v>11419</v>
      </c>
      <c r="N1170" s="3" t="s">
        <v>756</v>
      </c>
      <c r="P1170" s="3" t="s">
        <v>69</v>
      </c>
      <c r="R1170" s="3" t="s">
        <v>71</v>
      </c>
      <c r="S1170" s="4">
        <v>7</v>
      </c>
      <c r="T1170" s="4">
        <v>7</v>
      </c>
      <c r="U1170" s="5" t="s">
        <v>9558</v>
      </c>
      <c r="V1170" s="5" t="s">
        <v>9558</v>
      </c>
      <c r="W1170" s="5" t="s">
        <v>72</v>
      </c>
      <c r="X1170" s="5" t="s">
        <v>72</v>
      </c>
      <c r="Y1170" s="4">
        <v>251</v>
      </c>
      <c r="Z1170" s="4">
        <v>17</v>
      </c>
      <c r="AA1170" s="4">
        <v>26</v>
      </c>
      <c r="AB1170" s="4">
        <v>2</v>
      </c>
      <c r="AC1170" s="4">
        <v>2</v>
      </c>
      <c r="AD1170" s="4">
        <v>60</v>
      </c>
      <c r="AE1170" s="4">
        <v>115</v>
      </c>
      <c r="AF1170" s="4">
        <v>1</v>
      </c>
      <c r="AG1170" s="4">
        <v>1</v>
      </c>
      <c r="AH1170" s="4">
        <v>51</v>
      </c>
      <c r="AI1170" s="4">
        <v>99</v>
      </c>
      <c r="AJ1170" s="4">
        <v>12</v>
      </c>
      <c r="AK1170" s="4">
        <v>16</v>
      </c>
      <c r="AL1170" s="4">
        <v>25</v>
      </c>
      <c r="AM1170" s="4">
        <v>54</v>
      </c>
      <c r="AN1170" s="4">
        <v>0</v>
      </c>
      <c r="AO1170" s="4">
        <v>0</v>
      </c>
      <c r="AP1170" s="4">
        <v>14</v>
      </c>
      <c r="AQ1170" s="4">
        <v>20</v>
      </c>
      <c r="AR1170" s="3" t="s">
        <v>65</v>
      </c>
      <c r="AS1170" s="3" t="s">
        <v>65</v>
      </c>
      <c r="AT1170" s="3" t="s">
        <v>65</v>
      </c>
      <c r="AV1170" s="6" t="str">
        <f>HYPERLINK("http://mcgill.on.worldcat.org/oclc/548","Catalog Record")</f>
        <v>Catalog Record</v>
      </c>
      <c r="AW1170" s="6" t="str">
        <f>HYPERLINK("http://www.worldcat.org/oclc/548","WorldCat Record")</f>
        <v>WorldCat Record</v>
      </c>
      <c r="AX1170" s="3" t="s">
        <v>11420</v>
      </c>
      <c r="AY1170" s="3" t="s">
        <v>11421</v>
      </c>
      <c r="AZ1170" s="3" t="s">
        <v>11422</v>
      </c>
      <c r="BA1170" s="3" t="s">
        <v>11422</v>
      </c>
      <c r="BB1170" s="3" t="s">
        <v>11423</v>
      </c>
      <c r="BC1170" s="3" t="s">
        <v>77</v>
      </c>
      <c r="BD1170" s="3" t="s">
        <v>78</v>
      </c>
      <c r="BF1170" s="3" t="s">
        <v>11423</v>
      </c>
      <c r="BG1170" s="3" t="s">
        <v>11424</v>
      </c>
    </row>
    <row r="1171" spans="1:59" ht="58" x14ac:dyDescent="0.35">
      <c r="A1171" s="2" t="s">
        <v>59</v>
      </c>
      <c r="B1171" s="2" t="s">
        <v>60</v>
      </c>
      <c r="C1171" s="2" t="s">
        <v>11425</v>
      </c>
      <c r="D1171" s="2" t="s">
        <v>11426</v>
      </c>
      <c r="E1171" s="2" t="s">
        <v>11427</v>
      </c>
      <c r="G1171" s="3" t="s">
        <v>65</v>
      </c>
      <c r="I1171" s="3" t="s">
        <v>65</v>
      </c>
      <c r="J1171" s="3" t="s">
        <v>65</v>
      </c>
      <c r="K1171" s="3" t="s">
        <v>66</v>
      </c>
      <c r="M1171" s="2" t="s">
        <v>11428</v>
      </c>
      <c r="N1171" s="3" t="s">
        <v>1196</v>
      </c>
      <c r="P1171" s="3" t="s">
        <v>69</v>
      </c>
      <c r="Q1171" s="2" t="s">
        <v>10375</v>
      </c>
      <c r="R1171" s="3" t="s">
        <v>71</v>
      </c>
      <c r="S1171" s="4">
        <v>6</v>
      </c>
      <c r="T1171" s="4">
        <v>6</v>
      </c>
      <c r="U1171" s="5" t="s">
        <v>10352</v>
      </c>
      <c r="V1171" s="5" t="s">
        <v>10352</v>
      </c>
      <c r="W1171" s="5" t="s">
        <v>72</v>
      </c>
      <c r="X1171" s="5" t="s">
        <v>72</v>
      </c>
      <c r="Y1171" s="4">
        <v>164</v>
      </c>
      <c r="Z1171" s="4">
        <v>14</v>
      </c>
      <c r="AA1171" s="4">
        <v>14</v>
      </c>
      <c r="AB1171" s="4">
        <v>1</v>
      </c>
      <c r="AC1171" s="4">
        <v>1</v>
      </c>
      <c r="AD1171" s="4">
        <v>81</v>
      </c>
      <c r="AE1171" s="4">
        <v>81</v>
      </c>
      <c r="AF1171" s="4">
        <v>0</v>
      </c>
      <c r="AG1171" s="4">
        <v>0</v>
      </c>
      <c r="AH1171" s="4">
        <v>75</v>
      </c>
      <c r="AI1171" s="4">
        <v>75</v>
      </c>
      <c r="AJ1171" s="4">
        <v>10</v>
      </c>
      <c r="AK1171" s="4">
        <v>10</v>
      </c>
      <c r="AL1171" s="4">
        <v>46</v>
      </c>
      <c r="AM1171" s="4">
        <v>46</v>
      </c>
      <c r="AN1171" s="4">
        <v>0</v>
      </c>
      <c r="AO1171" s="4">
        <v>0</v>
      </c>
      <c r="AP1171" s="4">
        <v>10</v>
      </c>
      <c r="AQ1171" s="4">
        <v>10</v>
      </c>
      <c r="AR1171" s="3" t="s">
        <v>65</v>
      </c>
      <c r="AS1171" s="3" t="s">
        <v>65</v>
      </c>
      <c r="AT1171" s="3" t="s">
        <v>65</v>
      </c>
      <c r="AV1171" s="6" t="str">
        <f>HYPERLINK("http://mcgill.on.worldcat.org/oclc/58447509","Catalog Record")</f>
        <v>Catalog Record</v>
      </c>
      <c r="AW1171" s="6" t="str">
        <f>HYPERLINK("http://www.worldcat.org/oclc/58447509","WorldCat Record")</f>
        <v>WorldCat Record</v>
      </c>
      <c r="AX1171" s="3" t="s">
        <v>11429</v>
      </c>
      <c r="AY1171" s="3" t="s">
        <v>11430</v>
      </c>
      <c r="AZ1171" s="3" t="s">
        <v>11431</v>
      </c>
      <c r="BA1171" s="3" t="s">
        <v>11431</v>
      </c>
      <c r="BB1171" s="3" t="s">
        <v>11432</v>
      </c>
      <c r="BC1171" s="3" t="s">
        <v>77</v>
      </c>
      <c r="BD1171" s="3" t="s">
        <v>78</v>
      </c>
      <c r="BE1171" s="3" t="s">
        <v>11433</v>
      </c>
      <c r="BF1171" s="3" t="s">
        <v>11432</v>
      </c>
      <c r="BG1171" s="3" t="s">
        <v>11434</v>
      </c>
    </row>
    <row r="1172" spans="1:59" ht="58" x14ac:dyDescent="0.35">
      <c r="A1172" s="2" t="s">
        <v>59</v>
      </c>
      <c r="B1172" s="2" t="s">
        <v>60</v>
      </c>
      <c r="C1172" s="2" t="s">
        <v>11435</v>
      </c>
      <c r="D1172" s="2" t="s">
        <v>11436</v>
      </c>
      <c r="E1172" s="2" t="s">
        <v>11437</v>
      </c>
      <c r="G1172" s="3" t="s">
        <v>65</v>
      </c>
      <c r="I1172" s="3" t="s">
        <v>65</v>
      </c>
      <c r="J1172" s="3" t="s">
        <v>65</v>
      </c>
      <c r="K1172" s="3" t="s">
        <v>66</v>
      </c>
      <c r="L1172" s="2" t="s">
        <v>11438</v>
      </c>
      <c r="M1172" s="2" t="s">
        <v>11439</v>
      </c>
      <c r="N1172" s="3" t="s">
        <v>1122</v>
      </c>
      <c r="P1172" s="3" t="s">
        <v>69</v>
      </c>
      <c r="R1172" s="3" t="s">
        <v>71</v>
      </c>
      <c r="S1172" s="4">
        <v>17</v>
      </c>
      <c r="T1172" s="4">
        <v>17</v>
      </c>
      <c r="U1172" s="5" t="s">
        <v>11440</v>
      </c>
      <c r="V1172" s="5" t="s">
        <v>11440</v>
      </c>
      <c r="W1172" s="5" t="s">
        <v>72</v>
      </c>
      <c r="X1172" s="5" t="s">
        <v>72</v>
      </c>
      <c r="Y1172" s="4">
        <v>250</v>
      </c>
      <c r="Z1172" s="4">
        <v>21</v>
      </c>
      <c r="AA1172" s="4">
        <v>27</v>
      </c>
      <c r="AB1172" s="4">
        <v>3</v>
      </c>
      <c r="AC1172" s="4">
        <v>5</v>
      </c>
      <c r="AD1172" s="4">
        <v>58</v>
      </c>
      <c r="AE1172" s="4">
        <v>70</v>
      </c>
      <c r="AF1172" s="4">
        <v>1</v>
      </c>
      <c r="AG1172" s="4">
        <v>1</v>
      </c>
      <c r="AH1172" s="4">
        <v>48</v>
      </c>
      <c r="AI1172" s="4">
        <v>59</v>
      </c>
      <c r="AJ1172" s="4">
        <v>11</v>
      </c>
      <c r="AK1172" s="4">
        <v>11</v>
      </c>
      <c r="AL1172" s="4">
        <v>29</v>
      </c>
      <c r="AM1172" s="4">
        <v>34</v>
      </c>
      <c r="AN1172" s="4">
        <v>0</v>
      </c>
      <c r="AO1172" s="4">
        <v>0</v>
      </c>
      <c r="AP1172" s="4">
        <v>13</v>
      </c>
      <c r="AQ1172" s="4">
        <v>14</v>
      </c>
      <c r="AR1172" s="3" t="s">
        <v>65</v>
      </c>
      <c r="AS1172" s="3" t="s">
        <v>65</v>
      </c>
      <c r="AT1172" s="3" t="s">
        <v>65</v>
      </c>
      <c r="AV1172" s="6" t="str">
        <f>HYPERLINK("http://mcgill.on.worldcat.org/oclc/262429415","Catalog Record")</f>
        <v>Catalog Record</v>
      </c>
      <c r="AW1172" s="6" t="str">
        <f>HYPERLINK("http://www.worldcat.org/oclc/262429415","WorldCat Record")</f>
        <v>WorldCat Record</v>
      </c>
      <c r="AX1172" s="3" t="s">
        <v>11441</v>
      </c>
      <c r="AY1172" s="3" t="s">
        <v>11442</v>
      </c>
      <c r="AZ1172" s="3" t="s">
        <v>11443</v>
      </c>
      <c r="BA1172" s="3" t="s">
        <v>11443</v>
      </c>
      <c r="BB1172" s="3" t="s">
        <v>11444</v>
      </c>
      <c r="BC1172" s="3" t="s">
        <v>77</v>
      </c>
      <c r="BD1172" s="3" t="s">
        <v>106</v>
      </c>
      <c r="BE1172" s="3" t="s">
        <v>11445</v>
      </c>
      <c r="BF1172" s="3" t="s">
        <v>11444</v>
      </c>
      <c r="BG1172" s="3" t="s">
        <v>11446</v>
      </c>
    </row>
    <row r="1173" spans="1:59" ht="58" x14ac:dyDescent="0.35">
      <c r="A1173" s="2" t="s">
        <v>59</v>
      </c>
      <c r="B1173" s="2" t="s">
        <v>60</v>
      </c>
      <c r="C1173" s="2" t="s">
        <v>11447</v>
      </c>
      <c r="D1173" s="2" t="s">
        <v>11448</v>
      </c>
      <c r="E1173" s="2" t="s">
        <v>11449</v>
      </c>
      <c r="G1173" s="3" t="s">
        <v>65</v>
      </c>
      <c r="I1173" s="3" t="s">
        <v>65</v>
      </c>
      <c r="J1173" s="3" t="s">
        <v>65</v>
      </c>
      <c r="K1173" s="3" t="s">
        <v>66</v>
      </c>
      <c r="L1173" s="2" t="s">
        <v>11450</v>
      </c>
      <c r="M1173" s="2" t="s">
        <v>3922</v>
      </c>
      <c r="N1173" s="3" t="s">
        <v>152</v>
      </c>
      <c r="O1173" s="2" t="s">
        <v>365</v>
      </c>
      <c r="P1173" s="3" t="s">
        <v>140</v>
      </c>
      <c r="R1173" s="3" t="s">
        <v>71</v>
      </c>
      <c r="S1173" s="4">
        <v>1</v>
      </c>
      <c r="T1173" s="4">
        <v>1</v>
      </c>
      <c r="U1173" s="5" t="s">
        <v>2341</v>
      </c>
      <c r="V1173" s="5" t="s">
        <v>2341</v>
      </c>
      <c r="W1173" s="5" t="s">
        <v>72</v>
      </c>
      <c r="X1173" s="5" t="s">
        <v>72</v>
      </c>
      <c r="Y1173" s="4">
        <v>42</v>
      </c>
      <c r="Z1173" s="4">
        <v>5</v>
      </c>
      <c r="AA1173" s="4">
        <v>5</v>
      </c>
      <c r="AB1173" s="4">
        <v>1</v>
      </c>
      <c r="AC1173" s="4">
        <v>1</v>
      </c>
      <c r="AD1173" s="4">
        <v>24</v>
      </c>
      <c r="AE1173" s="4">
        <v>24</v>
      </c>
      <c r="AF1173" s="4">
        <v>0</v>
      </c>
      <c r="AG1173" s="4">
        <v>0</v>
      </c>
      <c r="AH1173" s="4">
        <v>23</v>
      </c>
      <c r="AI1173" s="4">
        <v>23</v>
      </c>
      <c r="AJ1173" s="4">
        <v>2</v>
      </c>
      <c r="AK1173" s="4">
        <v>2</v>
      </c>
      <c r="AL1173" s="4">
        <v>20</v>
      </c>
      <c r="AM1173" s="4">
        <v>20</v>
      </c>
      <c r="AN1173" s="4">
        <v>0</v>
      </c>
      <c r="AO1173" s="4">
        <v>0</v>
      </c>
      <c r="AP1173" s="4">
        <v>2</v>
      </c>
      <c r="AQ1173" s="4">
        <v>2</v>
      </c>
      <c r="AR1173" s="3" t="s">
        <v>65</v>
      </c>
      <c r="AS1173" s="3" t="s">
        <v>65</v>
      </c>
      <c r="AT1173" s="3" t="s">
        <v>65</v>
      </c>
      <c r="AV1173" s="6" t="str">
        <f>HYPERLINK("http://mcgill.on.worldcat.org/oclc/847588801","Catalog Record")</f>
        <v>Catalog Record</v>
      </c>
      <c r="AW1173" s="6" t="str">
        <f>HYPERLINK("http://www.worldcat.org/oclc/847588801","WorldCat Record")</f>
        <v>WorldCat Record</v>
      </c>
      <c r="AX1173" s="3" t="s">
        <v>11451</v>
      </c>
      <c r="AY1173" s="3" t="s">
        <v>11452</v>
      </c>
      <c r="AZ1173" s="3" t="s">
        <v>11453</v>
      </c>
      <c r="BA1173" s="3" t="s">
        <v>11453</v>
      </c>
      <c r="BB1173" s="3" t="s">
        <v>11454</v>
      </c>
      <c r="BC1173" s="3" t="s">
        <v>77</v>
      </c>
      <c r="BD1173" s="3" t="s">
        <v>78</v>
      </c>
      <c r="BE1173" s="3" t="s">
        <v>11455</v>
      </c>
      <c r="BF1173" s="3" t="s">
        <v>11454</v>
      </c>
      <c r="BG1173" s="3" t="s">
        <v>11456</v>
      </c>
    </row>
    <row r="1174" spans="1:59" ht="58" x14ac:dyDescent="0.35">
      <c r="A1174" s="2" t="s">
        <v>59</v>
      </c>
      <c r="B1174" s="2" t="s">
        <v>60</v>
      </c>
      <c r="C1174" s="2" t="s">
        <v>11457</v>
      </c>
      <c r="D1174" s="2" t="s">
        <v>11458</v>
      </c>
      <c r="E1174" s="2" t="s">
        <v>11459</v>
      </c>
      <c r="G1174" s="3" t="s">
        <v>65</v>
      </c>
      <c r="I1174" s="3" t="s">
        <v>65</v>
      </c>
      <c r="J1174" s="3" t="s">
        <v>65</v>
      </c>
      <c r="K1174" s="3" t="s">
        <v>66</v>
      </c>
      <c r="L1174" s="2" t="s">
        <v>11460</v>
      </c>
      <c r="M1174" s="2" t="s">
        <v>11461</v>
      </c>
      <c r="N1174" s="3" t="s">
        <v>68</v>
      </c>
      <c r="O1174" s="2" t="s">
        <v>235</v>
      </c>
      <c r="P1174" s="3" t="s">
        <v>140</v>
      </c>
      <c r="Q1174" s="2" t="s">
        <v>11462</v>
      </c>
      <c r="R1174" s="3" t="s">
        <v>71</v>
      </c>
      <c r="S1174" s="4">
        <v>0</v>
      </c>
      <c r="T1174" s="4">
        <v>0</v>
      </c>
      <c r="W1174" s="5" t="s">
        <v>72</v>
      </c>
      <c r="X1174" s="5" t="s">
        <v>72</v>
      </c>
      <c r="Y1174" s="4">
        <v>30</v>
      </c>
      <c r="Z1174" s="4">
        <v>1</v>
      </c>
      <c r="AA1174" s="4">
        <v>1</v>
      </c>
      <c r="AB1174" s="4">
        <v>1</v>
      </c>
      <c r="AC1174" s="4">
        <v>1</v>
      </c>
      <c r="AD1174" s="4">
        <v>23</v>
      </c>
      <c r="AE1174" s="4">
        <v>23</v>
      </c>
      <c r="AF1174" s="4">
        <v>0</v>
      </c>
      <c r="AG1174" s="4">
        <v>0</v>
      </c>
      <c r="AH1174" s="4">
        <v>22</v>
      </c>
      <c r="AI1174" s="4">
        <v>22</v>
      </c>
      <c r="AJ1174" s="4">
        <v>0</v>
      </c>
      <c r="AK1174" s="4">
        <v>0</v>
      </c>
      <c r="AL1174" s="4">
        <v>21</v>
      </c>
      <c r="AM1174" s="4">
        <v>21</v>
      </c>
      <c r="AN1174" s="4">
        <v>0</v>
      </c>
      <c r="AO1174" s="4">
        <v>0</v>
      </c>
      <c r="AP1174" s="4">
        <v>0</v>
      </c>
      <c r="AQ1174" s="4">
        <v>0</v>
      </c>
      <c r="AR1174" s="3" t="s">
        <v>65</v>
      </c>
      <c r="AS1174" s="3" t="s">
        <v>65</v>
      </c>
      <c r="AT1174" s="3" t="s">
        <v>65</v>
      </c>
      <c r="AV1174" s="6" t="str">
        <f>HYPERLINK("http://mcgill.on.worldcat.org/oclc/979488869","Catalog Record")</f>
        <v>Catalog Record</v>
      </c>
      <c r="AW1174" s="6" t="str">
        <f>HYPERLINK("http://www.worldcat.org/oclc/979488869","WorldCat Record")</f>
        <v>WorldCat Record</v>
      </c>
      <c r="AX1174" s="3" t="s">
        <v>11463</v>
      </c>
      <c r="AY1174" s="3" t="s">
        <v>11464</v>
      </c>
      <c r="AZ1174" s="3" t="s">
        <v>11465</v>
      </c>
      <c r="BA1174" s="3" t="s">
        <v>11465</v>
      </c>
      <c r="BB1174" s="3" t="s">
        <v>11466</v>
      </c>
      <c r="BC1174" s="3" t="s">
        <v>77</v>
      </c>
      <c r="BD1174" s="3" t="s">
        <v>78</v>
      </c>
      <c r="BE1174" s="3" t="s">
        <v>11467</v>
      </c>
      <c r="BF1174" s="3" t="s">
        <v>11466</v>
      </c>
      <c r="BG1174" s="3" t="s">
        <v>11468</v>
      </c>
    </row>
    <row r="1175" spans="1:59" ht="58" x14ac:dyDescent="0.35">
      <c r="A1175" s="2" t="s">
        <v>59</v>
      </c>
      <c r="B1175" s="2" t="s">
        <v>60</v>
      </c>
      <c r="C1175" s="2" t="s">
        <v>11469</v>
      </c>
      <c r="D1175" s="2" t="s">
        <v>11470</v>
      </c>
      <c r="E1175" s="2" t="s">
        <v>11471</v>
      </c>
      <c r="G1175" s="3" t="s">
        <v>65</v>
      </c>
      <c r="I1175" s="3" t="s">
        <v>65</v>
      </c>
      <c r="J1175" s="3" t="s">
        <v>65</v>
      </c>
      <c r="K1175" s="3" t="s">
        <v>66</v>
      </c>
      <c r="L1175" s="2" t="s">
        <v>11472</v>
      </c>
      <c r="M1175" s="2" t="s">
        <v>11473</v>
      </c>
      <c r="N1175" s="3" t="s">
        <v>525</v>
      </c>
      <c r="P1175" s="3" t="s">
        <v>69</v>
      </c>
      <c r="R1175" s="3" t="s">
        <v>71</v>
      </c>
      <c r="S1175" s="4">
        <v>9</v>
      </c>
      <c r="T1175" s="4">
        <v>9</v>
      </c>
      <c r="U1175" s="5" t="s">
        <v>11474</v>
      </c>
      <c r="V1175" s="5" t="s">
        <v>11474</v>
      </c>
      <c r="W1175" s="5" t="s">
        <v>72</v>
      </c>
      <c r="X1175" s="5" t="s">
        <v>72</v>
      </c>
      <c r="Y1175" s="4">
        <v>1111</v>
      </c>
      <c r="Z1175" s="4">
        <v>41</v>
      </c>
      <c r="AA1175" s="4">
        <v>45</v>
      </c>
      <c r="AB1175" s="4">
        <v>2</v>
      </c>
      <c r="AC1175" s="4">
        <v>5</v>
      </c>
      <c r="AD1175" s="4">
        <v>114</v>
      </c>
      <c r="AE1175" s="4">
        <v>116</v>
      </c>
      <c r="AF1175" s="4">
        <v>0</v>
      </c>
      <c r="AG1175" s="4">
        <v>1</v>
      </c>
      <c r="AH1175" s="4">
        <v>103</v>
      </c>
      <c r="AI1175" s="4">
        <v>104</v>
      </c>
      <c r="AJ1175" s="4">
        <v>13</v>
      </c>
      <c r="AK1175" s="4">
        <v>15</v>
      </c>
      <c r="AL1175" s="4">
        <v>57</v>
      </c>
      <c r="AM1175" s="4">
        <v>57</v>
      </c>
      <c r="AN1175" s="4">
        <v>0</v>
      </c>
      <c r="AO1175" s="4">
        <v>0</v>
      </c>
      <c r="AP1175" s="4">
        <v>18</v>
      </c>
      <c r="AQ1175" s="4">
        <v>19</v>
      </c>
      <c r="AR1175" s="3" t="s">
        <v>65</v>
      </c>
      <c r="AS1175" s="3" t="s">
        <v>65</v>
      </c>
      <c r="AT1175" s="3" t="s">
        <v>209</v>
      </c>
      <c r="AU1175" s="6" t="str">
        <f>HYPERLINK("http://catalog.hathitrust.org/Record/005036178","HathiTrust Record")</f>
        <v>HathiTrust Record</v>
      </c>
      <c r="AV1175" s="6" t="str">
        <f>HYPERLINK("http://mcgill.on.worldcat.org/oclc/54415450","Catalog Record")</f>
        <v>Catalog Record</v>
      </c>
      <c r="AW1175" s="6" t="str">
        <f>HYPERLINK("http://www.worldcat.org/oclc/54415450","WorldCat Record")</f>
        <v>WorldCat Record</v>
      </c>
      <c r="AX1175" s="3" t="s">
        <v>11475</v>
      </c>
      <c r="AY1175" s="3" t="s">
        <v>11476</v>
      </c>
      <c r="AZ1175" s="3" t="s">
        <v>11477</v>
      </c>
      <c r="BA1175" s="3" t="s">
        <v>11477</v>
      </c>
      <c r="BB1175" s="3" t="s">
        <v>11478</v>
      </c>
      <c r="BC1175" s="3" t="s">
        <v>77</v>
      </c>
      <c r="BD1175" s="3" t="s">
        <v>78</v>
      </c>
      <c r="BE1175" s="3" t="s">
        <v>11479</v>
      </c>
      <c r="BF1175" s="3" t="s">
        <v>11478</v>
      </c>
      <c r="BG1175" s="3" t="s">
        <v>11480</v>
      </c>
    </row>
    <row r="1176" spans="1:59" ht="58" x14ac:dyDescent="0.35">
      <c r="A1176" s="2" t="s">
        <v>59</v>
      </c>
      <c r="B1176" s="2" t="s">
        <v>60</v>
      </c>
      <c r="C1176" s="2" t="s">
        <v>11481</v>
      </c>
      <c r="D1176" s="2" t="s">
        <v>11482</v>
      </c>
      <c r="E1176" s="2" t="s">
        <v>11483</v>
      </c>
      <c r="G1176" s="3" t="s">
        <v>65</v>
      </c>
      <c r="I1176" s="3" t="s">
        <v>65</v>
      </c>
      <c r="J1176" s="3" t="s">
        <v>65</v>
      </c>
      <c r="K1176" s="3" t="s">
        <v>66</v>
      </c>
      <c r="L1176" s="2" t="s">
        <v>11484</v>
      </c>
      <c r="M1176" s="2" t="s">
        <v>11485</v>
      </c>
      <c r="N1176" s="3" t="s">
        <v>5338</v>
      </c>
      <c r="P1176" s="3" t="s">
        <v>69</v>
      </c>
      <c r="Q1176" s="2" t="s">
        <v>11486</v>
      </c>
      <c r="R1176" s="3" t="s">
        <v>71</v>
      </c>
      <c r="S1176" s="4">
        <v>1</v>
      </c>
      <c r="T1176" s="4">
        <v>1</v>
      </c>
      <c r="U1176" s="5" t="s">
        <v>9840</v>
      </c>
      <c r="V1176" s="5" t="s">
        <v>9840</v>
      </c>
      <c r="W1176" s="5" t="s">
        <v>72</v>
      </c>
      <c r="X1176" s="5" t="s">
        <v>72</v>
      </c>
      <c r="Y1176" s="4">
        <v>3</v>
      </c>
      <c r="Z1176" s="4">
        <v>1</v>
      </c>
      <c r="AA1176" s="4">
        <v>1</v>
      </c>
      <c r="AB1176" s="4">
        <v>1</v>
      </c>
      <c r="AC1176" s="4">
        <v>1</v>
      </c>
      <c r="AD1176" s="4">
        <v>0</v>
      </c>
      <c r="AE1176" s="4">
        <v>0</v>
      </c>
      <c r="AF1176" s="4">
        <v>0</v>
      </c>
      <c r="AG1176" s="4">
        <v>0</v>
      </c>
      <c r="AH1176" s="4">
        <v>0</v>
      </c>
      <c r="AI1176" s="4">
        <v>0</v>
      </c>
      <c r="AJ1176" s="4">
        <v>0</v>
      </c>
      <c r="AK1176" s="4">
        <v>0</v>
      </c>
      <c r="AL1176" s="4">
        <v>0</v>
      </c>
      <c r="AM1176" s="4">
        <v>0</v>
      </c>
      <c r="AN1176" s="4">
        <v>0</v>
      </c>
      <c r="AO1176" s="4">
        <v>0</v>
      </c>
      <c r="AP1176" s="4">
        <v>0</v>
      </c>
      <c r="AQ1176" s="4">
        <v>0</v>
      </c>
      <c r="AR1176" s="3" t="s">
        <v>65</v>
      </c>
      <c r="AS1176" s="3" t="s">
        <v>65</v>
      </c>
      <c r="AT1176" s="3" t="s">
        <v>65</v>
      </c>
      <c r="AV1176" s="6" t="str">
        <f>HYPERLINK("http://mcgill.on.worldcat.org/oclc/221308441","Catalog Record")</f>
        <v>Catalog Record</v>
      </c>
      <c r="AW1176" s="6" t="str">
        <f>HYPERLINK("http://www.worldcat.org/oclc/221308441","WorldCat Record")</f>
        <v>WorldCat Record</v>
      </c>
      <c r="AX1176" s="3" t="s">
        <v>11487</v>
      </c>
      <c r="AY1176" s="3" t="s">
        <v>11488</v>
      </c>
      <c r="AZ1176" s="3" t="s">
        <v>11489</v>
      </c>
      <c r="BA1176" s="3" t="s">
        <v>11489</v>
      </c>
      <c r="BB1176" s="3" t="s">
        <v>11490</v>
      </c>
      <c r="BC1176" s="3" t="s">
        <v>77</v>
      </c>
      <c r="BD1176" s="3" t="s">
        <v>78</v>
      </c>
      <c r="BF1176" s="3" t="s">
        <v>11490</v>
      </c>
      <c r="BG1176" s="3" t="s">
        <v>11491</v>
      </c>
    </row>
    <row r="1177" spans="1:59" ht="58" x14ac:dyDescent="0.35">
      <c r="A1177" s="2" t="s">
        <v>59</v>
      </c>
      <c r="B1177" s="2" t="s">
        <v>60</v>
      </c>
      <c r="C1177" s="2" t="s">
        <v>11492</v>
      </c>
      <c r="D1177" s="2" t="s">
        <v>11493</v>
      </c>
      <c r="E1177" s="2" t="s">
        <v>11494</v>
      </c>
      <c r="G1177" s="3" t="s">
        <v>65</v>
      </c>
      <c r="I1177" s="3" t="s">
        <v>65</v>
      </c>
      <c r="J1177" s="3" t="s">
        <v>65</v>
      </c>
      <c r="K1177" s="3" t="s">
        <v>66</v>
      </c>
      <c r="L1177" s="2" t="s">
        <v>10197</v>
      </c>
      <c r="M1177" s="2" t="s">
        <v>11495</v>
      </c>
      <c r="N1177" s="3" t="s">
        <v>188</v>
      </c>
      <c r="O1177" s="2" t="s">
        <v>11496</v>
      </c>
      <c r="P1177" s="3" t="s">
        <v>140</v>
      </c>
      <c r="Q1177" s="2" t="s">
        <v>11497</v>
      </c>
      <c r="R1177" s="3" t="s">
        <v>71</v>
      </c>
      <c r="S1177" s="4">
        <v>0</v>
      </c>
      <c r="T1177" s="4">
        <v>0</v>
      </c>
      <c r="W1177" s="5" t="s">
        <v>72</v>
      </c>
      <c r="X1177" s="5" t="s">
        <v>72</v>
      </c>
      <c r="Y1177" s="4">
        <v>42</v>
      </c>
      <c r="Z1177" s="4">
        <v>2</v>
      </c>
      <c r="AA1177" s="4">
        <v>2</v>
      </c>
      <c r="AB1177" s="4">
        <v>1</v>
      </c>
      <c r="AC1177" s="4">
        <v>1</v>
      </c>
      <c r="AD1177" s="4">
        <v>27</v>
      </c>
      <c r="AE1177" s="4">
        <v>27</v>
      </c>
      <c r="AF1177" s="4">
        <v>0</v>
      </c>
      <c r="AG1177" s="4">
        <v>0</v>
      </c>
      <c r="AH1177" s="4">
        <v>26</v>
      </c>
      <c r="AI1177" s="4">
        <v>26</v>
      </c>
      <c r="AJ1177" s="4">
        <v>1</v>
      </c>
      <c r="AK1177" s="4">
        <v>1</v>
      </c>
      <c r="AL1177" s="4">
        <v>21</v>
      </c>
      <c r="AM1177" s="4">
        <v>21</v>
      </c>
      <c r="AN1177" s="4">
        <v>0</v>
      </c>
      <c r="AO1177" s="4">
        <v>0</v>
      </c>
      <c r="AP1177" s="4">
        <v>1</v>
      </c>
      <c r="AQ1177" s="4">
        <v>1</v>
      </c>
      <c r="AR1177" s="3" t="s">
        <v>65</v>
      </c>
      <c r="AS1177" s="3" t="s">
        <v>65</v>
      </c>
      <c r="AT1177" s="3" t="s">
        <v>65</v>
      </c>
      <c r="AV1177" s="6" t="str">
        <f>HYPERLINK("http://mcgill.on.worldcat.org/oclc/981222149","Catalog Record")</f>
        <v>Catalog Record</v>
      </c>
      <c r="AW1177" s="6" t="str">
        <f>HYPERLINK("http://www.worldcat.org/oclc/981222149","WorldCat Record")</f>
        <v>WorldCat Record</v>
      </c>
      <c r="AX1177" s="3" t="s">
        <v>11498</v>
      </c>
      <c r="AY1177" s="3" t="s">
        <v>11499</v>
      </c>
      <c r="AZ1177" s="3" t="s">
        <v>11500</v>
      </c>
      <c r="BA1177" s="3" t="s">
        <v>11500</v>
      </c>
      <c r="BB1177" s="3" t="s">
        <v>11501</v>
      </c>
      <c r="BC1177" s="3" t="s">
        <v>77</v>
      </c>
      <c r="BD1177" s="3" t="s">
        <v>78</v>
      </c>
      <c r="BE1177" s="3" t="s">
        <v>11502</v>
      </c>
      <c r="BF1177" s="3" t="s">
        <v>11501</v>
      </c>
      <c r="BG1177" s="3" t="s">
        <v>11503</v>
      </c>
    </row>
    <row r="1178" spans="1:59" ht="58" x14ac:dyDescent="0.35">
      <c r="A1178" s="2" t="s">
        <v>59</v>
      </c>
      <c r="B1178" s="2" t="s">
        <v>60</v>
      </c>
      <c r="C1178" s="2" t="s">
        <v>11504</v>
      </c>
      <c r="D1178" s="2" t="s">
        <v>11505</v>
      </c>
      <c r="E1178" s="2" t="s">
        <v>11506</v>
      </c>
      <c r="G1178" s="3" t="s">
        <v>65</v>
      </c>
      <c r="I1178" s="3" t="s">
        <v>65</v>
      </c>
      <c r="J1178" s="3" t="s">
        <v>65</v>
      </c>
      <c r="K1178" s="3" t="s">
        <v>66</v>
      </c>
      <c r="L1178" s="2" t="s">
        <v>4486</v>
      </c>
      <c r="M1178" s="2" t="s">
        <v>11507</v>
      </c>
      <c r="N1178" s="3" t="s">
        <v>126</v>
      </c>
      <c r="P1178" s="3" t="s">
        <v>140</v>
      </c>
      <c r="Q1178" s="2" t="s">
        <v>11508</v>
      </c>
      <c r="R1178" s="3" t="s">
        <v>71</v>
      </c>
      <c r="S1178" s="4">
        <v>0</v>
      </c>
      <c r="T1178" s="4">
        <v>0</v>
      </c>
      <c r="W1178" s="5" t="s">
        <v>72</v>
      </c>
      <c r="X1178" s="5" t="s">
        <v>72</v>
      </c>
      <c r="Y1178" s="4">
        <v>83</v>
      </c>
      <c r="Z1178" s="4">
        <v>7</v>
      </c>
      <c r="AA1178" s="4">
        <v>8</v>
      </c>
      <c r="AB1178" s="4">
        <v>1</v>
      </c>
      <c r="AC1178" s="4">
        <v>2</v>
      </c>
      <c r="AD1178" s="4">
        <v>47</v>
      </c>
      <c r="AE1178" s="4">
        <v>47</v>
      </c>
      <c r="AF1178" s="4">
        <v>0</v>
      </c>
      <c r="AG1178" s="4">
        <v>0</v>
      </c>
      <c r="AH1178" s="4">
        <v>46</v>
      </c>
      <c r="AI1178" s="4">
        <v>46</v>
      </c>
      <c r="AJ1178" s="4">
        <v>4</v>
      </c>
      <c r="AK1178" s="4">
        <v>4</v>
      </c>
      <c r="AL1178" s="4">
        <v>34</v>
      </c>
      <c r="AM1178" s="4">
        <v>34</v>
      </c>
      <c r="AN1178" s="4">
        <v>0</v>
      </c>
      <c r="AO1178" s="4">
        <v>0</v>
      </c>
      <c r="AP1178" s="4">
        <v>4</v>
      </c>
      <c r="AQ1178" s="4">
        <v>4</v>
      </c>
      <c r="AR1178" s="3" t="s">
        <v>65</v>
      </c>
      <c r="AS1178" s="3" t="s">
        <v>65</v>
      </c>
      <c r="AT1178" s="3" t="s">
        <v>65</v>
      </c>
      <c r="AV1178" s="6" t="str">
        <f>HYPERLINK("http://mcgill.on.worldcat.org/oclc/744283412","Catalog Record")</f>
        <v>Catalog Record</v>
      </c>
      <c r="AW1178" s="6" t="str">
        <f>HYPERLINK("http://www.worldcat.org/oclc/744283412","WorldCat Record")</f>
        <v>WorldCat Record</v>
      </c>
      <c r="AX1178" s="3" t="s">
        <v>11509</v>
      </c>
      <c r="AY1178" s="3" t="s">
        <v>11510</v>
      </c>
      <c r="AZ1178" s="3" t="s">
        <v>11511</v>
      </c>
      <c r="BA1178" s="3" t="s">
        <v>11511</v>
      </c>
      <c r="BB1178" s="3" t="s">
        <v>11512</v>
      </c>
      <c r="BC1178" s="3" t="s">
        <v>77</v>
      </c>
      <c r="BD1178" s="3" t="s">
        <v>78</v>
      </c>
      <c r="BE1178" s="3" t="s">
        <v>11513</v>
      </c>
      <c r="BF1178" s="3" t="s">
        <v>11512</v>
      </c>
      <c r="BG1178" s="3" t="s">
        <v>11514</v>
      </c>
    </row>
    <row r="1179" spans="1:59" ht="58" x14ac:dyDescent="0.35">
      <c r="A1179" s="2" t="s">
        <v>59</v>
      </c>
      <c r="B1179" s="2" t="s">
        <v>60</v>
      </c>
      <c r="C1179" s="2" t="s">
        <v>11515</v>
      </c>
      <c r="D1179" s="2" t="s">
        <v>11516</v>
      </c>
      <c r="E1179" s="2" t="s">
        <v>11517</v>
      </c>
      <c r="G1179" s="3" t="s">
        <v>65</v>
      </c>
      <c r="I1179" s="3" t="s">
        <v>209</v>
      </c>
      <c r="J1179" s="3" t="s">
        <v>65</v>
      </c>
      <c r="K1179" s="3" t="s">
        <v>66</v>
      </c>
      <c r="L1179" s="2" t="s">
        <v>11518</v>
      </c>
      <c r="M1179" s="2" t="s">
        <v>11519</v>
      </c>
      <c r="N1179" s="3" t="s">
        <v>564</v>
      </c>
      <c r="P1179" s="3" t="s">
        <v>69</v>
      </c>
      <c r="R1179" s="3" t="s">
        <v>71</v>
      </c>
      <c r="S1179" s="4">
        <v>11</v>
      </c>
      <c r="T1179" s="4">
        <v>25</v>
      </c>
      <c r="U1179" s="5" t="s">
        <v>11520</v>
      </c>
      <c r="V1179" s="5" t="s">
        <v>11520</v>
      </c>
      <c r="W1179" s="5" t="s">
        <v>72</v>
      </c>
      <c r="X1179" s="5" t="s">
        <v>72</v>
      </c>
      <c r="Y1179" s="4">
        <v>284</v>
      </c>
      <c r="Z1179" s="4">
        <v>26</v>
      </c>
      <c r="AA1179" s="4">
        <v>47</v>
      </c>
      <c r="AB1179" s="4">
        <v>1</v>
      </c>
      <c r="AC1179" s="4">
        <v>5</v>
      </c>
      <c r="AD1179" s="4">
        <v>60</v>
      </c>
      <c r="AE1179" s="4">
        <v>126</v>
      </c>
      <c r="AF1179" s="4">
        <v>0</v>
      </c>
      <c r="AG1179" s="4">
        <v>2</v>
      </c>
      <c r="AH1179" s="4">
        <v>47</v>
      </c>
      <c r="AI1179" s="4">
        <v>102</v>
      </c>
      <c r="AJ1179" s="4">
        <v>12</v>
      </c>
      <c r="AK1179" s="4">
        <v>20</v>
      </c>
      <c r="AL1179" s="4">
        <v>31</v>
      </c>
      <c r="AM1179" s="4">
        <v>57</v>
      </c>
      <c r="AN1179" s="4">
        <v>0</v>
      </c>
      <c r="AO1179" s="4">
        <v>0</v>
      </c>
      <c r="AP1179" s="4">
        <v>19</v>
      </c>
      <c r="AQ1179" s="4">
        <v>31</v>
      </c>
      <c r="AR1179" s="3" t="s">
        <v>65</v>
      </c>
      <c r="AS1179" s="3" t="s">
        <v>65</v>
      </c>
      <c r="AT1179" s="3" t="s">
        <v>209</v>
      </c>
      <c r="AU1179" s="6" t="str">
        <f>HYPERLINK("http://catalog.hathitrust.org/Record/001015742","HathiTrust Record")</f>
        <v>HathiTrust Record</v>
      </c>
      <c r="AV1179" s="6" t="str">
        <f>HYPERLINK("http://mcgill.on.worldcat.org/oclc/2494839","Catalog Record")</f>
        <v>Catalog Record</v>
      </c>
      <c r="AW1179" s="6" t="str">
        <f>HYPERLINK("http://www.worldcat.org/oclc/2494839","WorldCat Record")</f>
        <v>WorldCat Record</v>
      </c>
      <c r="AX1179" s="3" t="s">
        <v>11521</v>
      </c>
      <c r="AY1179" s="3" t="s">
        <v>11522</v>
      </c>
      <c r="AZ1179" s="3" t="s">
        <v>11523</v>
      </c>
      <c r="BA1179" s="3" t="s">
        <v>11523</v>
      </c>
      <c r="BB1179" s="3" t="s">
        <v>11524</v>
      </c>
      <c r="BC1179" s="3" t="s">
        <v>77</v>
      </c>
      <c r="BD1179" s="3" t="s">
        <v>106</v>
      </c>
      <c r="BF1179" s="3" t="s">
        <v>11524</v>
      </c>
      <c r="BG1179" s="3" t="s">
        <v>11525</v>
      </c>
    </row>
    <row r="1180" spans="1:59" ht="58" x14ac:dyDescent="0.35">
      <c r="A1180" s="2" t="s">
        <v>59</v>
      </c>
      <c r="B1180" s="2" t="s">
        <v>60</v>
      </c>
      <c r="C1180" s="2" t="s">
        <v>11515</v>
      </c>
      <c r="D1180" s="2" t="s">
        <v>11516</v>
      </c>
      <c r="E1180" s="2" t="s">
        <v>11517</v>
      </c>
      <c r="G1180" s="3" t="s">
        <v>65</v>
      </c>
      <c r="I1180" s="3" t="s">
        <v>209</v>
      </c>
      <c r="J1180" s="3" t="s">
        <v>65</v>
      </c>
      <c r="K1180" s="3" t="s">
        <v>66</v>
      </c>
      <c r="L1180" s="2" t="s">
        <v>11518</v>
      </c>
      <c r="M1180" s="2" t="s">
        <v>11519</v>
      </c>
      <c r="N1180" s="3" t="s">
        <v>564</v>
      </c>
      <c r="P1180" s="3" t="s">
        <v>69</v>
      </c>
      <c r="R1180" s="3" t="s">
        <v>71</v>
      </c>
      <c r="S1180" s="4">
        <v>3</v>
      </c>
      <c r="T1180" s="4">
        <v>25</v>
      </c>
      <c r="U1180" s="5" t="s">
        <v>9840</v>
      </c>
      <c r="V1180" s="5" t="s">
        <v>11520</v>
      </c>
      <c r="W1180" s="5" t="s">
        <v>72</v>
      </c>
      <c r="X1180" s="5" t="s">
        <v>72</v>
      </c>
      <c r="Y1180" s="4">
        <v>284</v>
      </c>
      <c r="Z1180" s="4">
        <v>26</v>
      </c>
      <c r="AA1180" s="4">
        <v>47</v>
      </c>
      <c r="AB1180" s="4">
        <v>1</v>
      </c>
      <c r="AC1180" s="4">
        <v>5</v>
      </c>
      <c r="AD1180" s="4">
        <v>60</v>
      </c>
      <c r="AE1180" s="4">
        <v>126</v>
      </c>
      <c r="AF1180" s="4">
        <v>0</v>
      </c>
      <c r="AG1180" s="4">
        <v>2</v>
      </c>
      <c r="AH1180" s="4">
        <v>47</v>
      </c>
      <c r="AI1180" s="4">
        <v>102</v>
      </c>
      <c r="AJ1180" s="4">
        <v>12</v>
      </c>
      <c r="AK1180" s="4">
        <v>20</v>
      </c>
      <c r="AL1180" s="4">
        <v>31</v>
      </c>
      <c r="AM1180" s="4">
        <v>57</v>
      </c>
      <c r="AN1180" s="4">
        <v>0</v>
      </c>
      <c r="AO1180" s="4">
        <v>0</v>
      </c>
      <c r="AP1180" s="4">
        <v>19</v>
      </c>
      <c r="AQ1180" s="4">
        <v>31</v>
      </c>
      <c r="AR1180" s="3" t="s">
        <v>65</v>
      </c>
      <c r="AS1180" s="3" t="s">
        <v>65</v>
      </c>
      <c r="AT1180" s="3" t="s">
        <v>209</v>
      </c>
      <c r="AU1180" s="6" t="str">
        <f>HYPERLINK("http://catalog.hathitrust.org/Record/001015742","HathiTrust Record")</f>
        <v>HathiTrust Record</v>
      </c>
      <c r="AV1180" s="6" t="str">
        <f>HYPERLINK("http://mcgill.on.worldcat.org/oclc/2494839","Catalog Record")</f>
        <v>Catalog Record</v>
      </c>
      <c r="AW1180" s="6" t="str">
        <f>HYPERLINK("http://www.worldcat.org/oclc/2494839","WorldCat Record")</f>
        <v>WorldCat Record</v>
      </c>
      <c r="AX1180" s="3" t="s">
        <v>11521</v>
      </c>
      <c r="AY1180" s="3" t="s">
        <v>11522</v>
      </c>
      <c r="AZ1180" s="3" t="s">
        <v>11523</v>
      </c>
      <c r="BA1180" s="3" t="s">
        <v>11523</v>
      </c>
      <c r="BB1180" s="3" t="s">
        <v>11526</v>
      </c>
      <c r="BC1180" s="3" t="s">
        <v>77</v>
      </c>
      <c r="BD1180" s="3" t="s">
        <v>78</v>
      </c>
      <c r="BF1180" s="3" t="s">
        <v>11526</v>
      </c>
      <c r="BG1180" s="3" t="s">
        <v>11527</v>
      </c>
    </row>
    <row r="1181" spans="1:59" ht="58" x14ac:dyDescent="0.35">
      <c r="A1181" s="2" t="s">
        <v>59</v>
      </c>
      <c r="B1181" s="2" t="s">
        <v>60</v>
      </c>
      <c r="C1181" s="2" t="s">
        <v>11515</v>
      </c>
      <c r="D1181" s="2" t="s">
        <v>11516</v>
      </c>
      <c r="E1181" s="2" t="s">
        <v>11517</v>
      </c>
      <c r="F1181" s="3" t="s">
        <v>11528</v>
      </c>
      <c r="G1181" s="3" t="s">
        <v>65</v>
      </c>
      <c r="I1181" s="3" t="s">
        <v>209</v>
      </c>
      <c r="J1181" s="3" t="s">
        <v>65</v>
      </c>
      <c r="K1181" s="3" t="s">
        <v>66</v>
      </c>
      <c r="L1181" s="2" t="s">
        <v>11518</v>
      </c>
      <c r="M1181" s="2" t="s">
        <v>11519</v>
      </c>
      <c r="N1181" s="3" t="s">
        <v>564</v>
      </c>
      <c r="P1181" s="3" t="s">
        <v>69</v>
      </c>
      <c r="R1181" s="3" t="s">
        <v>71</v>
      </c>
      <c r="S1181" s="4">
        <v>11</v>
      </c>
      <c r="T1181" s="4">
        <v>25</v>
      </c>
      <c r="U1181" s="5" t="s">
        <v>6480</v>
      </c>
      <c r="V1181" s="5" t="s">
        <v>11520</v>
      </c>
      <c r="W1181" s="5" t="s">
        <v>72</v>
      </c>
      <c r="X1181" s="5" t="s">
        <v>72</v>
      </c>
      <c r="Y1181" s="4">
        <v>284</v>
      </c>
      <c r="Z1181" s="4">
        <v>26</v>
      </c>
      <c r="AA1181" s="4">
        <v>47</v>
      </c>
      <c r="AB1181" s="4">
        <v>1</v>
      </c>
      <c r="AC1181" s="4">
        <v>5</v>
      </c>
      <c r="AD1181" s="4">
        <v>60</v>
      </c>
      <c r="AE1181" s="4">
        <v>126</v>
      </c>
      <c r="AF1181" s="4">
        <v>0</v>
      </c>
      <c r="AG1181" s="4">
        <v>2</v>
      </c>
      <c r="AH1181" s="4">
        <v>47</v>
      </c>
      <c r="AI1181" s="4">
        <v>102</v>
      </c>
      <c r="AJ1181" s="4">
        <v>12</v>
      </c>
      <c r="AK1181" s="4">
        <v>20</v>
      </c>
      <c r="AL1181" s="4">
        <v>31</v>
      </c>
      <c r="AM1181" s="4">
        <v>57</v>
      </c>
      <c r="AN1181" s="4">
        <v>0</v>
      </c>
      <c r="AO1181" s="4">
        <v>0</v>
      </c>
      <c r="AP1181" s="4">
        <v>19</v>
      </c>
      <c r="AQ1181" s="4">
        <v>31</v>
      </c>
      <c r="AR1181" s="3" t="s">
        <v>65</v>
      </c>
      <c r="AS1181" s="3" t="s">
        <v>65</v>
      </c>
      <c r="AT1181" s="3" t="s">
        <v>209</v>
      </c>
      <c r="AU1181" s="6" t="str">
        <f>HYPERLINK("http://catalog.hathitrust.org/Record/001015742","HathiTrust Record")</f>
        <v>HathiTrust Record</v>
      </c>
      <c r="AV1181" s="6" t="str">
        <f>HYPERLINK("http://mcgill.on.worldcat.org/oclc/2494839","Catalog Record")</f>
        <v>Catalog Record</v>
      </c>
      <c r="AW1181" s="6" t="str">
        <f>HYPERLINK("http://www.worldcat.org/oclc/2494839","WorldCat Record")</f>
        <v>WorldCat Record</v>
      </c>
      <c r="AX1181" s="3" t="s">
        <v>11521</v>
      </c>
      <c r="AY1181" s="3" t="s">
        <v>11522</v>
      </c>
      <c r="AZ1181" s="3" t="s">
        <v>11523</v>
      </c>
      <c r="BA1181" s="3" t="s">
        <v>11523</v>
      </c>
      <c r="BB1181" s="3" t="s">
        <v>11529</v>
      </c>
      <c r="BC1181" s="3" t="s">
        <v>77</v>
      </c>
      <c r="BD1181" s="3" t="s">
        <v>78</v>
      </c>
      <c r="BF1181" s="3" t="s">
        <v>11529</v>
      </c>
      <c r="BG1181" s="3" t="s">
        <v>11530</v>
      </c>
    </row>
    <row r="1182" spans="1:59" ht="58" x14ac:dyDescent="0.35">
      <c r="A1182" s="2" t="s">
        <v>59</v>
      </c>
      <c r="B1182" s="2" t="s">
        <v>60</v>
      </c>
      <c r="C1182" s="2" t="s">
        <v>11531</v>
      </c>
      <c r="D1182" s="2" t="s">
        <v>11532</v>
      </c>
      <c r="E1182" s="2" t="s">
        <v>11533</v>
      </c>
      <c r="G1182" s="3" t="s">
        <v>65</v>
      </c>
      <c r="I1182" s="3" t="s">
        <v>65</v>
      </c>
      <c r="J1182" s="3" t="s">
        <v>209</v>
      </c>
      <c r="K1182" s="3" t="s">
        <v>66</v>
      </c>
      <c r="L1182" s="2" t="s">
        <v>11518</v>
      </c>
      <c r="M1182" s="2" t="s">
        <v>11534</v>
      </c>
      <c r="N1182" s="3" t="s">
        <v>928</v>
      </c>
      <c r="P1182" s="3" t="s">
        <v>69</v>
      </c>
      <c r="R1182" s="3" t="s">
        <v>71</v>
      </c>
      <c r="S1182" s="4">
        <v>16</v>
      </c>
      <c r="T1182" s="4">
        <v>16</v>
      </c>
      <c r="U1182" s="5" t="s">
        <v>11520</v>
      </c>
      <c r="V1182" s="5" t="s">
        <v>11520</v>
      </c>
      <c r="W1182" s="5" t="s">
        <v>72</v>
      </c>
      <c r="X1182" s="5" t="s">
        <v>72</v>
      </c>
      <c r="Y1182" s="4">
        <v>300</v>
      </c>
      <c r="Z1182" s="4">
        <v>28</v>
      </c>
      <c r="AA1182" s="4">
        <v>47</v>
      </c>
      <c r="AB1182" s="4">
        <v>1</v>
      </c>
      <c r="AC1182" s="4">
        <v>2</v>
      </c>
      <c r="AD1182" s="4">
        <v>69</v>
      </c>
      <c r="AE1182" s="4">
        <v>125</v>
      </c>
      <c r="AF1182" s="4">
        <v>0</v>
      </c>
      <c r="AG1182" s="4">
        <v>1</v>
      </c>
      <c r="AH1182" s="4">
        <v>58</v>
      </c>
      <c r="AI1182" s="4">
        <v>101</v>
      </c>
      <c r="AJ1182" s="4">
        <v>11</v>
      </c>
      <c r="AK1182" s="4">
        <v>20</v>
      </c>
      <c r="AL1182" s="4">
        <v>35</v>
      </c>
      <c r="AM1182" s="4">
        <v>55</v>
      </c>
      <c r="AN1182" s="4">
        <v>0</v>
      </c>
      <c r="AO1182" s="4">
        <v>0</v>
      </c>
      <c r="AP1182" s="4">
        <v>14</v>
      </c>
      <c r="AQ1182" s="4">
        <v>29</v>
      </c>
      <c r="AR1182" s="3" t="s">
        <v>65</v>
      </c>
      <c r="AS1182" s="3" t="s">
        <v>65</v>
      </c>
      <c r="AT1182" s="3" t="s">
        <v>65</v>
      </c>
      <c r="AV1182" s="6" t="str">
        <f>HYPERLINK("http://mcgill.on.worldcat.org/oclc/2059600","Catalog Record")</f>
        <v>Catalog Record</v>
      </c>
      <c r="AW1182" s="6" t="str">
        <f>HYPERLINK("http://www.worldcat.org/oclc/2059600","WorldCat Record")</f>
        <v>WorldCat Record</v>
      </c>
      <c r="AX1182" s="3" t="s">
        <v>11535</v>
      </c>
      <c r="AY1182" s="3" t="s">
        <v>11536</v>
      </c>
      <c r="AZ1182" s="3" t="s">
        <v>11537</v>
      </c>
      <c r="BA1182" s="3" t="s">
        <v>11537</v>
      </c>
      <c r="BB1182" s="3" t="s">
        <v>11538</v>
      </c>
      <c r="BC1182" s="3" t="s">
        <v>77</v>
      </c>
      <c r="BD1182" s="3" t="s">
        <v>78</v>
      </c>
      <c r="BF1182" s="3" t="s">
        <v>11538</v>
      </c>
      <c r="BG1182" s="3" t="s">
        <v>11539</v>
      </c>
    </row>
    <row r="1183" spans="1:59" ht="58" x14ac:dyDescent="0.35">
      <c r="A1183" s="2" t="s">
        <v>59</v>
      </c>
      <c r="B1183" s="2" t="s">
        <v>60</v>
      </c>
      <c r="C1183" s="2" t="s">
        <v>11540</v>
      </c>
      <c r="D1183" s="2" t="s">
        <v>11541</v>
      </c>
      <c r="E1183" s="2" t="s">
        <v>11542</v>
      </c>
      <c r="G1183" s="3" t="s">
        <v>65</v>
      </c>
      <c r="I1183" s="3" t="s">
        <v>65</v>
      </c>
      <c r="J1183" s="3" t="s">
        <v>65</v>
      </c>
      <c r="K1183" s="3" t="s">
        <v>66</v>
      </c>
      <c r="L1183" s="2" t="s">
        <v>11543</v>
      </c>
      <c r="M1183" s="2" t="s">
        <v>11544</v>
      </c>
      <c r="N1183" s="3" t="s">
        <v>4042</v>
      </c>
      <c r="P1183" s="3" t="s">
        <v>140</v>
      </c>
      <c r="R1183" s="3" t="s">
        <v>71</v>
      </c>
      <c r="S1183" s="4">
        <v>1</v>
      </c>
      <c r="T1183" s="4">
        <v>1</v>
      </c>
      <c r="U1183" s="5" t="s">
        <v>9840</v>
      </c>
      <c r="V1183" s="5" t="s">
        <v>9840</v>
      </c>
      <c r="W1183" s="5" t="s">
        <v>72</v>
      </c>
      <c r="X1183" s="5" t="s">
        <v>72</v>
      </c>
      <c r="Y1183" s="4">
        <v>14</v>
      </c>
      <c r="Z1183" s="4">
        <v>2</v>
      </c>
      <c r="AA1183" s="4">
        <v>2</v>
      </c>
      <c r="AB1183" s="4">
        <v>1</v>
      </c>
      <c r="AC1183" s="4">
        <v>1</v>
      </c>
      <c r="AD1183" s="4">
        <v>12</v>
      </c>
      <c r="AE1183" s="4">
        <v>23</v>
      </c>
      <c r="AF1183" s="4">
        <v>0</v>
      </c>
      <c r="AG1183" s="4">
        <v>0</v>
      </c>
      <c r="AH1183" s="4">
        <v>11</v>
      </c>
      <c r="AI1183" s="4">
        <v>21</v>
      </c>
      <c r="AJ1183" s="4">
        <v>1</v>
      </c>
      <c r="AK1183" s="4">
        <v>1</v>
      </c>
      <c r="AL1183" s="4">
        <v>8</v>
      </c>
      <c r="AM1183" s="4">
        <v>16</v>
      </c>
      <c r="AN1183" s="4">
        <v>0</v>
      </c>
      <c r="AO1183" s="4">
        <v>0</v>
      </c>
      <c r="AP1183" s="4">
        <v>1</v>
      </c>
      <c r="AQ1183" s="4">
        <v>1</v>
      </c>
      <c r="AR1183" s="3" t="s">
        <v>65</v>
      </c>
      <c r="AS1183" s="3" t="s">
        <v>65</v>
      </c>
      <c r="AT1183" s="3" t="s">
        <v>209</v>
      </c>
      <c r="AU1183" s="6" t="str">
        <f>HYPERLINK("http://catalog.hathitrust.org/Record/009381631","HathiTrust Record")</f>
        <v>HathiTrust Record</v>
      </c>
      <c r="AV1183" s="6" t="str">
        <f>HYPERLINK("http://mcgill.on.worldcat.org/oclc/14233392","Catalog Record")</f>
        <v>Catalog Record</v>
      </c>
      <c r="AW1183" s="6" t="str">
        <f>HYPERLINK("http://www.worldcat.org/oclc/14233392","WorldCat Record")</f>
        <v>WorldCat Record</v>
      </c>
      <c r="AX1183" s="3" t="s">
        <v>11545</v>
      </c>
      <c r="AY1183" s="3" t="s">
        <v>11546</v>
      </c>
      <c r="AZ1183" s="3" t="s">
        <v>11547</v>
      </c>
      <c r="BA1183" s="3" t="s">
        <v>11547</v>
      </c>
      <c r="BB1183" s="3" t="s">
        <v>11548</v>
      </c>
      <c r="BC1183" s="3" t="s">
        <v>77</v>
      </c>
      <c r="BD1183" s="3" t="s">
        <v>78</v>
      </c>
      <c r="BF1183" s="3" t="s">
        <v>11548</v>
      </c>
      <c r="BG1183" s="3" t="s">
        <v>11549</v>
      </c>
    </row>
    <row r="1184" spans="1:59" ht="58" x14ac:dyDescent="0.35">
      <c r="A1184" s="2" t="s">
        <v>59</v>
      </c>
      <c r="B1184" s="2" t="s">
        <v>60</v>
      </c>
      <c r="C1184" s="2" t="s">
        <v>11550</v>
      </c>
      <c r="D1184" s="2" t="s">
        <v>11551</v>
      </c>
      <c r="E1184" s="2" t="s">
        <v>11552</v>
      </c>
      <c r="G1184" s="3" t="s">
        <v>65</v>
      </c>
      <c r="I1184" s="3" t="s">
        <v>65</v>
      </c>
      <c r="J1184" s="3" t="s">
        <v>65</v>
      </c>
      <c r="K1184" s="3" t="s">
        <v>66</v>
      </c>
      <c r="L1184" s="2" t="s">
        <v>11553</v>
      </c>
      <c r="M1184" s="2" t="s">
        <v>11554</v>
      </c>
      <c r="N1184" s="3" t="s">
        <v>7187</v>
      </c>
      <c r="P1184" s="3" t="s">
        <v>140</v>
      </c>
      <c r="Q1184" s="2" t="s">
        <v>11555</v>
      </c>
      <c r="R1184" s="3" t="s">
        <v>71</v>
      </c>
      <c r="S1184" s="4">
        <v>3</v>
      </c>
      <c r="T1184" s="4">
        <v>3</v>
      </c>
      <c r="U1184" s="5" t="s">
        <v>10901</v>
      </c>
      <c r="V1184" s="5" t="s">
        <v>10901</v>
      </c>
      <c r="W1184" s="5" t="s">
        <v>72</v>
      </c>
      <c r="X1184" s="5" t="s">
        <v>72</v>
      </c>
      <c r="Y1184" s="4">
        <v>127</v>
      </c>
      <c r="Z1184" s="4">
        <v>9</v>
      </c>
      <c r="AA1184" s="4">
        <v>10</v>
      </c>
      <c r="AB1184" s="4">
        <v>2</v>
      </c>
      <c r="AC1184" s="4">
        <v>2</v>
      </c>
      <c r="AD1184" s="4">
        <v>56</v>
      </c>
      <c r="AE1184" s="4">
        <v>57</v>
      </c>
      <c r="AF1184" s="4">
        <v>1</v>
      </c>
      <c r="AG1184" s="4">
        <v>1</v>
      </c>
      <c r="AH1184" s="4">
        <v>51</v>
      </c>
      <c r="AI1184" s="4">
        <v>52</v>
      </c>
      <c r="AJ1184" s="4">
        <v>6</v>
      </c>
      <c r="AK1184" s="4">
        <v>7</v>
      </c>
      <c r="AL1184" s="4">
        <v>35</v>
      </c>
      <c r="AM1184" s="4">
        <v>35</v>
      </c>
      <c r="AN1184" s="4">
        <v>0</v>
      </c>
      <c r="AO1184" s="4">
        <v>0</v>
      </c>
      <c r="AP1184" s="4">
        <v>6</v>
      </c>
      <c r="AQ1184" s="4">
        <v>7</v>
      </c>
      <c r="AR1184" s="3" t="s">
        <v>65</v>
      </c>
      <c r="AS1184" s="3" t="s">
        <v>65</v>
      </c>
      <c r="AT1184" s="3" t="s">
        <v>209</v>
      </c>
      <c r="AU1184" s="6" t="str">
        <f>HYPERLINK("http://catalog.hathitrust.org/Record/000135834","HathiTrust Record")</f>
        <v>HathiTrust Record</v>
      </c>
      <c r="AV1184" s="6" t="str">
        <f>HYPERLINK("http://mcgill.on.worldcat.org/oclc/3846237","Catalog Record")</f>
        <v>Catalog Record</v>
      </c>
      <c r="AW1184" s="6" t="str">
        <f>HYPERLINK("http://www.worldcat.org/oclc/3846237","WorldCat Record")</f>
        <v>WorldCat Record</v>
      </c>
      <c r="AX1184" s="3" t="s">
        <v>11556</v>
      </c>
      <c r="AY1184" s="3" t="s">
        <v>11557</v>
      </c>
      <c r="AZ1184" s="3" t="s">
        <v>11558</v>
      </c>
      <c r="BA1184" s="3" t="s">
        <v>11558</v>
      </c>
      <c r="BB1184" s="3" t="s">
        <v>11559</v>
      </c>
      <c r="BC1184" s="3" t="s">
        <v>77</v>
      </c>
      <c r="BD1184" s="3" t="s">
        <v>78</v>
      </c>
      <c r="BF1184" s="3" t="s">
        <v>11559</v>
      </c>
      <c r="BG1184" s="3" t="s">
        <v>11560</v>
      </c>
    </row>
    <row r="1185" spans="1:59" ht="58" x14ac:dyDescent="0.35">
      <c r="A1185" s="2" t="s">
        <v>59</v>
      </c>
      <c r="B1185" s="2" t="s">
        <v>60</v>
      </c>
      <c r="C1185" s="2" t="s">
        <v>11561</v>
      </c>
      <c r="D1185" s="2" t="s">
        <v>11562</v>
      </c>
      <c r="E1185" s="2" t="s">
        <v>11563</v>
      </c>
      <c r="G1185" s="3" t="s">
        <v>65</v>
      </c>
      <c r="I1185" s="3" t="s">
        <v>65</v>
      </c>
      <c r="J1185" s="3" t="s">
        <v>65</v>
      </c>
      <c r="K1185" s="3" t="s">
        <v>66</v>
      </c>
      <c r="L1185" s="2" t="s">
        <v>11553</v>
      </c>
      <c r="M1185" s="2" t="s">
        <v>11564</v>
      </c>
      <c r="N1185" s="3" t="s">
        <v>525</v>
      </c>
      <c r="P1185" s="3" t="s">
        <v>69</v>
      </c>
      <c r="Q1185" s="2" t="s">
        <v>11565</v>
      </c>
      <c r="R1185" s="3" t="s">
        <v>71</v>
      </c>
      <c r="S1185" s="4">
        <v>18</v>
      </c>
      <c r="T1185" s="4">
        <v>18</v>
      </c>
      <c r="U1185" s="5" t="s">
        <v>10901</v>
      </c>
      <c r="V1185" s="5" t="s">
        <v>10901</v>
      </c>
      <c r="W1185" s="5" t="s">
        <v>72</v>
      </c>
      <c r="X1185" s="5" t="s">
        <v>72</v>
      </c>
      <c r="Y1185" s="4">
        <v>978</v>
      </c>
      <c r="Z1185" s="4">
        <v>44</v>
      </c>
      <c r="AA1185" s="4">
        <v>48</v>
      </c>
      <c r="AB1185" s="4">
        <v>2</v>
      </c>
      <c r="AC1185" s="4">
        <v>6</v>
      </c>
      <c r="AD1185" s="4">
        <v>120</v>
      </c>
      <c r="AE1185" s="4">
        <v>123</v>
      </c>
      <c r="AF1185" s="4">
        <v>1</v>
      </c>
      <c r="AG1185" s="4">
        <v>4</v>
      </c>
      <c r="AH1185" s="4">
        <v>100</v>
      </c>
      <c r="AI1185" s="4">
        <v>101</v>
      </c>
      <c r="AJ1185" s="4">
        <v>18</v>
      </c>
      <c r="AK1185" s="4">
        <v>21</v>
      </c>
      <c r="AL1185" s="4">
        <v>52</v>
      </c>
      <c r="AM1185" s="4">
        <v>52</v>
      </c>
      <c r="AN1185" s="4">
        <v>0</v>
      </c>
      <c r="AO1185" s="4">
        <v>0</v>
      </c>
      <c r="AP1185" s="4">
        <v>28</v>
      </c>
      <c r="AQ1185" s="4">
        <v>30</v>
      </c>
      <c r="AR1185" s="3" t="s">
        <v>65</v>
      </c>
      <c r="AS1185" s="3" t="s">
        <v>65</v>
      </c>
      <c r="AT1185" s="3" t="s">
        <v>209</v>
      </c>
      <c r="AU1185" s="6" t="str">
        <f>HYPERLINK("http://catalog.hathitrust.org/Record/004976804","HathiTrust Record")</f>
        <v>HathiTrust Record</v>
      </c>
      <c r="AV1185" s="6" t="str">
        <f>HYPERLINK("http://mcgill.on.worldcat.org/oclc/52239501","Catalog Record")</f>
        <v>Catalog Record</v>
      </c>
      <c r="AW1185" s="6" t="str">
        <f>HYPERLINK("http://www.worldcat.org/oclc/52239501","WorldCat Record")</f>
        <v>WorldCat Record</v>
      </c>
      <c r="AX1185" s="3" t="s">
        <v>11566</v>
      </c>
      <c r="AY1185" s="3" t="s">
        <v>11567</v>
      </c>
      <c r="AZ1185" s="3" t="s">
        <v>11568</v>
      </c>
      <c r="BA1185" s="3" t="s">
        <v>11568</v>
      </c>
      <c r="BB1185" s="3" t="s">
        <v>11569</v>
      </c>
      <c r="BC1185" s="3" t="s">
        <v>77</v>
      </c>
      <c r="BD1185" s="3" t="s">
        <v>78</v>
      </c>
      <c r="BE1185" s="3" t="s">
        <v>11570</v>
      </c>
      <c r="BF1185" s="3" t="s">
        <v>11569</v>
      </c>
      <c r="BG1185" s="3" t="s">
        <v>11571</v>
      </c>
    </row>
    <row r="1186" spans="1:59" ht="58" x14ac:dyDescent="0.35">
      <c r="A1186" s="2" t="s">
        <v>59</v>
      </c>
      <c r="B1186" s="2" t="s">
        <v>60</v>
      </c>
      <c r="C1186" s="2" t="s">
        <v>11572</v>
      </c>
      <c r="D1186" s="2" t="s">
        <v>11573</v>
      </c>
      <c r="E1186" s="2" t="s">
        <v>11574</v>
      </c>
      <c r="G1186" s="3" t="s">
        <v>65</v>
      </c>
      <c r="I1186" s="3" t="s">
        <v>65</v>
      </c>
      <c r="J1186" s="3" t="s">
        <v>65</v>
      </c>
      <c r="K1186" s="3" t="s">
        <v>66</v>
      </c>
      <c r="L1186" s="2" t="s">
        <v>11575</v>
      </c>
      <c r="M1186" s="2" t="s">
        <v>11576</v>
      </c>
      <c r="N1186" s="3" t="s">
        <v>152</v>
      </c>
      <c r="O1186" s="2" t="s">
        <v>235</v>
      </c>
      <c r="P1186" s="3" t="s">
        <v>140</v>
      </c>
      <c r="Q1186" s="2" t="s">
        <v>11577</v>
      </c>
      <c r="R1186" s="3" t="s">
        <v>71</v>
      </c>
      <c r="S1186" s="4">
        <v>0</v>
      </c>
      <c r="T1186" s="4">
        <v>0</v>
      </c>
      <c r="W1186" s="5" t="s">
        <v>72</v>
      </c>
      <c r="X1186" s="5" t="s">
        <v>72</v>
      </c>
      <c r="Y1186" s="4">
        <v>28</v>
      </c>
      <c r="Z1186" s="4">
        <v>5</v>
      </c>
      <c r="AA1186" s="4">
        <v>5</v>
      </c>
      <c r="AB1186" s="4">
        <v>1</v>
      </c>
      <c r="AC1186" s="4">
        <v>1</v>
      </c>
      <c r="AD1186" s="4">
        <v>19</v>
      </c>
      <c r="AE1186" s="4">
        <v>19</v>
      </c>
      <c r="AF1186" s="4">
        <v>0</v>
      </c>
      <c r="AG1186" s="4">
        <v>0</v>
      </c>
      <c r="AH1186" s="4">
        <v>18</v>
      </c>
      <c r="AI1186" s="4">
        <v>18</v>
      </c>
      <c r="AJ1186" s="4">
        <v>2</v>
      </c>
      <c r="AK1186" s="4">
        <v>2</v>
      </c>
      <c r="AL1186" s="4">
        <v>14</v>
      </c>
      <c r="AM1186" s="4">
        <v>14</v>
      </c>
      <c r="AN1186" s="4">
        <v>0</v>
      </c>
      <c r="AO1186" s="4">
        <v>0</v>
      </c>
      <c r="AP1186" s="4">
        <v>2</v>
      </c>
      <c r="AQ1186" s="4">
        <v>2</v>
      </c>
      <c r="AR1186" s="3" t="s">
        <v>65</v>
      </c>
      <c r="AS1186" s="3" t="s">
        <v>65</v>
      </c>
      <c r="AT1186" s="3" t="s">
        <v>65</v>
      </c>
      <c r="AV1186" s="6" t="str">
        <f>HYPERLINK("http://mcgill.on.worldcat.org/oclc/842837439","Catalog Record")</f>
        <v>Catalog Record</v>
      </c>
      <c r="AW1186" s="6" t="str">
        <f>HYPERLINK("http://www.worldcat.org/oclc/842837439","WorldCat Record")</f>
        <v>WorldCat Record</v>
      </c>
      <c r="AX1186" s="3" t="s">
        <v>11578</v>
      </c>
      <c r="AY1186" s="3" t="s">
        <v>11579</v>
      </c>
      <c r="AZ1186" s="3" t="s">
        <v>11580</v>
      </c>
      <c r="BA1186" s="3" t="s">
        <v>11580</v>
      </c>
      <c r="BB1186" s="3" t="s">
        <v>11581</v>
      </c>
      <c r="BC1186" s="3" t="s">
        <v>77</v>
      </c>
      <c r="BD1186" s="3" t="s">
        <v>78</v>
      </c>
      <c r="BE1186" s="3" t="s">
        <v>11582</v>
      </c>
      <c r="BF1186" s="3" t="s">
        <v>11581</v>
      </c>
      <c r="BG1186" s="3" t="s">
        <v>11583</v>
      </c>
    </row>
    <row r="1187" spans="1:59" ht="58" x14ac:dyDescent="0.35">
      <c r="A1187" s="2" t="s">
        <v>59</v>
      </c>
      <c r="B1187" s="2" t="s">
        <v>60</v>
      </c>
      <c r="C1187" s="2" t="s">
        <v>11584</v>
      </c>
      <c r="D1187" s="2" t="s">
        <v>11585</v>
      </c>
      <c r="E1187" s="2" t="s">
        <v>11586</v>
      </c>
      <c r="G1187" s="3" t="s">
        <v>65</v>
      </c>
      <c r="I1187" s="3" t="s">
        <v>65</v>
      </c>
      <c r="J1187" s="3" t="s">
        <v>65</v>
      </c>
      <c r="K1187" s="3" t="s">
        <v>66</v>
      </c>
      <c r="L1187" s="2" t="s">
        <v>11587</v>
      </c>
      <c r="M1187" s="2" t="s">
        <v>11588</v>
      </c>
      <c r="N1187" s="3" t="s">
        <v>1895</v>
      </c>
      <c r="O1187" s="2" t="s">
        <v>526</v>
      </c>
      <c r="P1187" s="3" t="s">
        <v>69</v>
      </c>
      <c r="R1187" s="3" t="s">
        <v>71</v>
      </c>
      <c r="S1187" s="4">
        <v>21</v>
      </c>
      <c r="T1187" s="4">
        <v>21</v>
      </c>
      <c r="U1187" s="5" t="s">
        <v>11589</v>
      </c>
      <c r="V1187" s="5" t="s">
        <v>11589</v>
      </c>
      <c r="W1187" s="5" t="s">
        <v>72</v>
      </c>
      <c r="X1187" s="5" t="s">
        <v>72</v>
      </c>
      <c r="Y1187" s="4">
        <v>233</v>
      </c>
      <c r="Z1187" s="4">
        <v>18</v>
      </c>
      <c r="AA1187" s="4">
        <v>18</v>
      </c>
      <c r="AB1187" s="4">
        <v>1</v>
      </c>
      <c r="AC1187" s="4">
        <v>1</v>
      </c>
      <c r="AD1187" s="4">
        <v>104</v>
      </c>
      <c r="AE1187" s="4">
        <v>104</v>
      </c>
      <c r="AF1187" s="4">
        <v>0</v>
      </c>
      <c r="AG1187" s="4">
        <v>0</v>
      </c>
      <c r="AH1187" s="4">
        <v>97</v>
      </c>
      <c r="AI1187" s="4">
        <v>97</v>
      </c>
      <c r="AJ1187" s="4">
        <v>11</v>
      </c>
      <c r="AK1187" s="4">
        <v>11</v>
      </c>
      <c r="AL1187" s="4">
        <v>52</v>
      </c>
      <c r="AM1187" s="4">
        <v>52</v>
      </c>
      <c r="AN1187" s="4">
        <v>0</v>
      </c>
      <c r="AO1187" s="4">
        <v>0</v>
      </c>
      <c r="AP1187" s="4">
        <v>13</v>
      </c>
      <c r="AQ1187" s="4">
        <v>13</v>
      </c>
      <c r="AR1187" s="3" t="s">
        <v>65</v>
      </c>
      <c r="AS1187" s="3" t="s">
        <v>65</v>
      </c>
      <c r="AT1187" s="3" t="s">
        <v>65</v>
      </c>
      <c r="AV1187" s="6" t="str">
        <f>HYPERLINK("http://mcgill.on.worldcat.org/oclc/39640030","Catalog Record")</f>
        <v>Catalog Record</v>
      </c>
      <c r="AW1187" s="6" t="str">
        <f>HYPERLINK("http://www.worldcat.org/oclc/39640030","WorldCat Record")</f>
        <v>WorldCat Record</v>
      </c>
      <c r="AX1187" s="3" t="s">
        <v>11590</v>
      </c>
      <c r="AY1187" s="3" t="s">
        <v>11591</v>
      </c>
      <c r="AZ1187" s="3" t="s">
        <v>11592</v>
      </c>
      <c r="BA1187" s="3" t="s">
        <v>11592</v>
      </c>
      <c r="BB1187" s="3" t="s">
        <v>11593</v>
      </c>
      <c r="BC1187" s="3" t="s">
        <v>77</v>
      </c>
      <c r="BD1187" s="3" t="s">
        <v>78</v>
      </c>
      <c r="BE1187" s="3" t="s">
        <v>11594</v>
      </c>
      <c r="BF1187" s="3" t="s">
        <v>11593</v>
      </c>
      <c r="BG1187" s="3" t="s">
        <v>11595</v>
      </c>
    </row>
    <row r="1188" spans="1:59" ht="58" x14ac:dyDescent="0.35">
      <c r="A1188" s="2" t="s">
        <v>59</v>
      </c>
      <c r="B1188" s="2" t="s">
        <v>60</v>
      </c>
      <c r="C1188" s="2" t="s">
        <v>11596</v>
      </c>
      <c r="D1188" s="2" t="s">
        <v>11597</v>
      </c>
      <c r="E1188" s="2" t="s">
        <v>11598</v>
      </c>
      <c r="F1188" s="3" t="s">
        <v>245</v>
      </c>
      <c r="G1188" s="3" t="s">
        <v>209</v>
      </c>
      <c r="I1188" s="3" t="s">
        <v>65</v>
      </c>
      <c r="J1188" s="3" t="s">
        <v>65</v>
      </c>
      <c r="K1188" s="3" t="s">
        <v>213</v>
      </c>
      <c r="L1188" s="2" t="s">
        <v>8810</v>
      </c>
      <c r="M1188" s="2" t="s">
        <v>11599</v>
      </c>
      <c r="N1188" s="3" t="s">
        <v>928</v>
      </c>
      <c r="P1188" s="3" t="s">
        <v>69</v>
      </c>
      <c r="R1188" s="3" t="s">
        <v>71</v>
      </c>
      <c r="S1188" s="4">
        <v>74</v>
      </c>
      <c r="T1188" s="4">
        <v>138</v>
      </c>
      <c r="U1188" s="5" t="s">
        <v>11600</v>
      </c>
      <c r="V1188" s="5" t="s">
        <v>11600</v>
      </c>
      <c r="W1188" s="5" t="s">
        <v>72</v>
      </c>
      <c r="X1188" s="5" t="s">
        <v>72</v>
      </c>
      <c r="Y1188" s="4">
        <v>496</v>
      </c>
      <c r="Z1188" s="4">
        <v>16</v>
      </c>
      <c r="AA1188" s="4">
        <v>23</v>
      </c>
      <c r="AB1188" s="4">
        <v>2</v>
      </c>
      <c r="AC1188" s="4">
        <v>2</v>
      </c>
      <c r="AD1188" s="4">
        <v>101</v>
      </c>
      <c r="AE1188" s="4">
        <v>109</v>
      </c>
      <c r="AF1188" s="4">
        <v>1</v>
      </c>
      <c r="AG1188" s="4">
        <v>1</v>
      </c>
      <c r="AH1188" s="4">
        <v>94</v>
      </c>
      <c r="AI1188" s="4">
        <v>100</v>
      </c>
      <c r="AJ1188" s="4">
        <v>10</v>
      </c>
      <c r="AK1188" s="4">
        <v>15</v>
      </c>
      <c r="AL1188" s="4">
        <v>54</v>
      </c>
      <c r="AM1188" s="4">
        <v>55</v>
      </c>
      <c r="AN1188" s="4">
        <v>0</v>
      </c>
      <c r="AO1188" s="4">
        <v>0</v>
      </c>
      <c r="AP1188" s="4">
        <v>12</v>
      </c>
      <c r="AQ1188" s="4">
        <v>17</v>
      </c>
      <c r="AR1188" s="3" t="s">
        <v>65</v>
      </c>
      <c r="AS1188" s="3" t="s">
        <v>209</v>
      </c>
      <c r="AT1188" s="3" t="s">
        <v>209</v>
      </c>
      <c r="AU1188" s="6" t="str">
        <f>HYPERLINK("http://catalog.hathitrust.org/Record/001015743","HathiTrust Record")</f>
        <v>HathiTrust Record</v>
      </c>
      <c r="AV1188" s="6" t="str">
        <f>HYPERLINK("http://mcgill.on.worldcat.org/oclc/752206","Catalog Record")</f>
        <v>Catalog Record</v>
      </c>
      <c r="AW1188" s="6" t="str">
        <f>HYPERLINK("http://www.worldcat.org/oclc/752206","WorldCat Record")</f>
        <v>WorldCat Record</v>
      </c>
      <c r="AX1188" s="3" t="s">
        <v>11601</v>
      </c>
      <c r="AY1188" s="3" t="s">
        <v>11602</v>
      </c>
      <c r="AZ1188" s="3" t="s">
        <v>11603</v>
      </c>
      <c r="BA1188" s="3" t="s">
        <v>11603</v>
      </c>
      <c r="BB1188" s="3" t="s">
        <v>11604</v>
      </c>
      <c r="BC1188" s="3" t="s">
        <v>77</v>
      </c>
      <c r="BD1188" s="3" t="s">
        <v>78</v>
      </c>
      <c r="BF1188" s="3" t="s">
        <v>11604</v>
      </c>
      <c r="BG1188" s="3" t="s">
        <v>11605</v>
      </c>
    </row>
    <row r="1189" spans="1:59" ht="58" x14ac:dyDescent="0.35">
      <c r="A1189" s="2" t="s">
        <v>59</v>
      </c>
      <c r="B1189" s="2" t="s">
        <v>60</v>
      </c>
      <c r="C1189" s="2" t="s">
        <v>11596</v>
      </c>
      <c r="D1189" s="2" t="s">
        <v>11597</v>
      </c>
      <c r="E1189" s="2" t="s">
        <v>11598</v>
      </c>
      <c r="F1189" s="3" t="s">
        <v>258</v>
      </c>
      <c r="G1189" s="3" t="s">
        <v>209</v>
      </c>
      <c r="I1189" s="3" t="s">
        <v>65</v>
      </c>
      <c r="J1189" s="3" t="s">
        <v>65</v>
      </c>
      <c r="K1189" s="3" t="s">
        <v>213</v>
      </c>
      <c r="L1189" s="2" t="s">
        <v>8810</v>
      </c>
      <c r="M1189" s="2" t="s">
        <v>11599</v>
      </c>
      <c r="N1189" s="3" t="s">
        <v>928</v>
      </c>
      <c r="P1189" s="3" t="s">
        <v>69</v>
      </c>
      <c r="R1189" s="3" t="s">
        <v>71</v>
      </c>
      <c r="S1189" s="4">
        <v>64</v>
      </c>
      <c r="T1189" s="4">
        <v>138</v>
      </c>
      <c r="U1189" s="5" t="s">
        <v>11606</v>
      </c>
      <c r="V1189" s="5" t="s">
        <v>11600</v>
      </c>
      <c r="W1189" s="5" t="s">
        <v>72</v>
      </c>
      <c r="X1189" s="5" t="s">
        <v>72</v>
      </c>
      <c r="Y1189" s="4">
        <v>496</v>
      </c>
      <c r="Z1189" s="4">
        <v>16</v>
      </c>
      <c r="AA1189" s="4">
        <v>23</v>
      </c>
      <c r="AB1189" s="4">
        <v>2</v>
      </c>
      <c r="AC1189" s="4">
        <v>2</v>
      </c>
      <c r="AD1189" s="4">
        <v>101</v>
      </c>
      <c r="AE1189" s="4">
        <v>109</v>
      </c>
      <c r="AF1189" s="4">
        <v>1</v>
      </c>
      <c r="AG1189" s="4">
        <v>1</v>
      </c>
      <c r="AH1189" s="4">
        <v>94</v>
      </c>
      <c r="AI1189" s="4">
        <v>100</v>
      </c>
      <c r="AJ1189" s="4">
        <v>10</v>
      </c>
      <c r="AK1189" s="4">
        <v>15</v>
      </c>
      <c r="AL1189" s="4">
        <v>54</v>
      </c>
      <c r="AM1189" s="4">
        <v>55</v>
      </c>
      <c r="AN1189" s="4">
        <v>0</v>
      </c>
      <c r="AO1189" s="4">
        <v>0</v>
      </c>
      <c r="AP1189" s="4">
        <v>12</v>
      </c>
      <c r="AQ1189" s="4">
        <v>17</v>
      </c>
      <c r="AR1189" s="3" t="s">
        <v>65</v>
      </c>
      <c r="AS1189" s="3" t="s">
        <v>209</v>
      </c>
      <c r="AT1189" s="3" t="s">
        <v>209</v>
      </c>
      <c r="AU1189" s="6" t="str">
        <f>HYPERLINK("http://catalog.hathitrust.org/Record/001015743","HathiTrust Record")</f>
        <v>HathiTrust Record</v>
      </c>
      <c r="AV1189" s="6" t="str">
        <f>HYPERLINK("http://mcgill.on.worldcat.org/oclc/752206","Catalog Record")</f>
        <v>Catalog Record</v>
      </c>
      <c r="AW1189" s="6" t="str">
        <f>HYPERLINK("http://www.worldcat.org/oclc/752206","WorldCat Record")</f>
        <v>WorldCat Record</v>
      </c>
      <c r="AX1189" s="3" t="s">
        <v>11601</v>
      </c>
      <c r="AY1189" s="3" t="s">
        <v>11602</v>
      </c>
      <c r="AZ1189" s="3" t="s">
        <v>11603</v>
      </c>
      <c r="BA1189" s="3" t="s">
        <v>11603</v>
      </c>
      <c r="BB1189" s="3" t="s">
        <v>11607</v>
      </c>
      <c r="BC1189" s="3" t="s">
        <v>77</v>
      </c>
      <c r="BD1189" s="3" t="s">
        <v>78</v>
      </c>
      <c r="BF1189" s="3" t="s">
        <v>11607</v>
      </c>
      <c r="BG1189" s="3" t="s">
        <v>11608</v>
      </c>
    </row>
    <row r="1190" spans="1:59" ht="58" x14ac:dyDescent="0.35">
      <c r="A1190" s="2" t="s">
        <v>59</v>
      </c>
      <c r="B1190" s="2" t="s">
        <v>60</v>
      </c>
      <c r="C1190" s="2" t="s">
        <v>11609</v>
      </c>
      <c r="D1190" s="2" t="s">
        <v>11610</v>
      </c>
      <c r="E1190" s="2" t="s">
        <v>11611</v>
      </c>
      <c r="G1190" s="3" t="s">
        <v>209</v>
      </c>
      <c r="I1190" s="3" t="s">
        <v>65</v>
      </c>
      <c r="J1190" s="3" t="s">
        <v>65</v>
      </c>
      <c r="K1190" s="3" t="s">
        <v>66</v>
      </c>
      <c r="L1190" s="2" t="s">
        <v>8810</v>
      </c>
      <c r="M1190" s="2" t="s">
        <v>11612</v>
      </c>
      <c r="N1190" s="3" t="s">
        <v>493</v>
      </c>
      <c r="O1190" s="2" t="s">
        <v>11613</v>
      </c>
      <c r="P1190" s="3" t="s">
        <v>140</v>
      </c>
      <c r="Q1190" s="2" t="s">
        <v>11614</v>
      </c>
      <c r="R1190" s="3" t="s">
        <v>71</v>
      </c>
      <c r="S1190" s="4">
        <v>8</v>
      </c>
      <c r="T1190" s="4">
        <v>8</v>
      </c>
      <c r="U1190" s="5" t="s">
        <v>8904</v>
      </c>
      <c r="V1190" s="5" t="s">
        <v>8904</v>
      </c>
      <c r="W1190" s="5" t="s">
        <v>72</v>
      </c>
      <c r="X1190" s="5" t="s">
        <v>72</v>
      </c>
      <c r="Y1190" s="4">
        <v>17</v>
      </c>
      <c r="Z1190" s="4">
        <v>1</v>
      </c>
      <c r="AA1190" s="4">
        <v>3</v>
      </c>
      <c r="AB1190" s="4">
        <v>1</v>
      </c>
      <c r="AC1190" s="4">
        <v>1</v>
      </c>
      <c r="AD1190" s="4">
        <v>13</v>
      </c>
      <c r="AE1190" s="4">
        <v>21</v>
      </c>
      <c r="AF1190" s="4">
        <v>0</v>
      </c>
      <c r="AG1190" s="4">
        <v>0</v>
      </c>
      <c r="AH1190" s="4">
        <v>13</v>
      </c>
      <c r="AI1190" s="4">
        <v>20</v>
      </c>
      <c r="AJ1190" s="4">
        <v>0</v>
      </c>
      <c r="AK1190" s="4">
        <v>2</v>
      </c>
      <c r="AL1190" s="4">
        <v>12</v>
      </c>
      <c r="AM1190" s="4">
        <v>16</v>
      </c>
      <c r="AN1190" s="4">
        <v>0</v>
      </c>
      <c r="AO1190" s="4">
        <v>0</v>
      </c>
      <c r="AP1190" s="4">
        <v>0</v>
      </c>
      <c r="AQ1190" s="4">
        <v>2</v>
      </c>
      <c r="AR1190" s="3" t="s">
        <v>65</v>
      </c>
      <c r="AS1190" s="3" t="s">
        <v>65</v>
      </c>
      <c r="AT1190" s="3" t="s">
        <v>65</v>
      </c>
      <c r="AV1190" s="6" t="str">
        <f>HYPERLINK("http://mcgill.on.worldcat.org/oclc/11893911","Catalog Record")</f>
        <v>Catalog Record</v>
      </c>
      <c r="AW1190" s="6" t="str">
        <f>HYPERLINK("http://www.worldcat.org/oclc/11893911","WorldCat Record")</f>
        <v>WorldCat Record</v>
      </c>
      <c r="AX1190" s="3" t="s">
        <v>11615</v>
      </c>
      <c r="AY1190" s="3" t="s">
        <v>11616</v>
      </c>
      <c r="AZ1190" s="3" t="s">
        <v>11617</v>
      </c>
      <c r="BA1190" s="3" t="s">
        <v>11617</v>
      </c>
      <c r="BB1190" s="3" t="s">
        <v>11618</v>
      </c>
      <c r="BC1190" s="3" t="s">
        <v>77</v>
      </c>
      <c r="BD1190" s="3" t="s">
        <v>78</v>
      </c>
      <c r="BF1190" s="3" t="s">
        <v>11618</v>
      </c>
      <c r="BG1190" s="3" t="s">
        <v>11619</v>
      </c>
    </row>
    <row r="1191" spans="1:59" ht="58" x14ac:dyDescent="0.35">
      <c r="A1191" s="2" t="s">
        <v>59</v>
      </c>
      <c r="B1191" s="2" t="s">
        <v>60</v>
      </c>
      <c r="C1191" s="2" t="s">
        <v>11620</v>
      </c>
      <c r="D1191" s="2" t="s">
        <v>11621</v>
      </c>
      <c r="E1191" s="2" t="s">
        <v>11622</v>
      </c>
      <c r="G1191" s="3" t="s">
        <v>65</v>
      </c>
      <c r="I1191" s="3" t="s">
        <v>65</v>
      </c>
      <c r="J1191" s="3" t="s">
        <v>65</v>
      </c>
      <c r="K1191" s="3" t="s">
        <v>66</v>
      </c>
      <c r="M1191" s="2" t="s">
        <v>11623</v>
      </c>
      <c r="N1191" s="3" t="s">
        <v>1944</v>
      </c>
      <c r="P1191" s="3" t="s">
        <v>69</v>
      </c>
      <c r="Q1191" s="2" t="s">
        <v>11624</v>
      </c>
      <c r="R1191" s="3" t="s">
        <v>71</v>
      </c>
      <c r="S1191" s="4">
        <v>20</v>
      </c>
      <c r="T1191" s="4">
        <v>20</v>
      </c>
      <c r="U1191" s="5" t="s">
        <v>11625</v>
      </c>
      <c r="V1191" s="5" t="s">
        <v>11625</v>
      </c>
      <c r="W1191" s="5" t="s">
        <v>72</v>
      </c>
      <c r="X1191" s="5" t="s">
        <v>72</v>
      </c>
      <c r="Y1191" s="4">
        <v>66</v>
      </c>
      <c r="Z1191" s="4">
        <v>5</v>
      </c>
      <c r="AA1191" s="4">
        <v>11</v>
      </c>
      <c r="AB1191" s="4">
        <v>1</v>
      </c>
      <c r="AC1191" s="4">
        <v>2</v>
      </c>
      <c r="AD1191" s="4">
        <v>28</v>
      </c>
      <c r="AE1191" s="4">
        <v>67</v>
      </c>
      <c r="AF1191" s="4">
        <v>0</v>
      </c>
      <c r="AG1191" s="4">
        <v>0</v>
      </c>
      <c r="AH1191" s="4">
        <v>27</v>
      </c>
      <c r="AI1191" s="4">
        <v>61</v>
      </c>
      <c r="AJ1191" s="4">
        <v>2</v>
      </c>
      <c r="AK1191" s="4">
        <v>7</v>
      </c>
      <c r="AL1191" s="4">
        <v>20</v>
      </c>
      <c r="AM1191" s="4">
        <v>44</v>
      </c>
      <c r="AN1191" s="4">
        <v>0</v>
      </c>
      <c r="AO1191" s="4">
        <v>0</v>
      </c>
      <c r="AP1191" s="4">
        <v>2</v>
      </c>
      <c r="AQ1191" s="4">
        <v>7</v>
      </c>
      <c r="AR1191" s="3" t="s">
        <v>65</v>
      </c>
      <c r="AS1191" s="3" t="s">
        <v>65</v>
      </c>
      <c r="AT1191" s="3" t="s">
        <v>209</v>
      </c>
      <c r="AU1191" s="6" t="str">
        <f>HYPERLINK("http://catalog.hathitrust.org/Record/004233760","HathiTrust Record")</f>
        <v>HathiTrust Record</v>
      </c>
      <c r="AV1191" s="6" t="str">
        <f>HYPERLINK("http://mcgill.on.worldcat.org/oclc/44539678","Catalog Record")</f>
        <v>Catalog Record</v>
      </c>
      <c r="AW1191" s="6" t="str">
        <f>HYPERLINK("http://www.worldcat.org/oclc/44539678","WorldCat Record")</f>
        <v>WorldCat Record</v>
      </c>
      <c r="AX1191" s="3" t="s">
        <v>11626</v>
      </c>
      <c r="AY1191" s="3" t="s">
        <v>11627</v>
      </c>
      <c r="AZ1191" s="3" t="s">
        <v>11628</v>
      </c>
      <c r="BA1191" s="3" t="s">
        <v>11628</v>
      </c>
      <c r="BB1191" s="3" t="s">
        <v>11629</v>
      </c>
      <c r="BC1191" s="3" t="s">
        <v>77</v>
      </c>
      <c r="BD1191" s="3" t="s">
        <v>78</v>
      </c>
      <c r="BE1191" s="3" t="s">
        <v>11630</v>
      </c>
      <c r="BF1191" s="3" t="s">
        <v>11629</v>
      </c>
      <c r="BG1191" s="3" t="s">
        <v>11631</v>
      </c>
    </row>
    <row r="1192" spans="1:59" ht="58" x14ac:dyDescent="0.35">
      <c r="A1192" s="2" t="s">
        <v>59</v>
      </c>
      <c r="B1192" s="2" t="s">
        <v>60</v>
      </c>
      <c r="C1192" s="2" t="s">
        <v>11632</v>
      </c>
      <c r="D1192" s="2" t="s">
        <v>11633</v>
      </c>
      <c r="E1192" s="2" t="s">
        <v>11634</v>
      </c>
      <c r="G1192" s="3" t="s">
        <v>65</v>
      </c>
      <c r="I1192" s="3" t="s">
        <v>65</v>
      </c>
      <c r="J1192" s="3" t="s">
        <v>65</v>
      </c>
      <c r="K1192" s="3" t="s">
        <v>66</v>
      </c>
      <c r="L1192" s="2" t="s">
        <v>11635</v>
      </c>
      <c r="M1192" s="2" t="s">
        <v>4714</v>
      </c>
      <c r="N1192" s="3" t="s">
        <v>113</v>
      </c>
      <c r="P1192" s="3" t="s">
        <v>140</v>
      </c>
      <c r="Q1192" s="2" t="s">
        <v>11636</v>
      </c>
      <c r="R1192" s="3" t="s">
        <v>71</v>
      </c>
      <c r="S1192" s="4">
        <v>0</v>
      </c>
      <c r="T1192" s="4">
        <v>0</v>
      </c>
      <c r="W1192" s="5" t="s">
        <v>72</v>
      </c>
      <c r="X1192" s="5" t="s">
        <v>72</v>
      </c>
      <c r="Y1192" s="4">
        <v>51</v>
      </c>
      <c r="Z1192" s="4">
        <v>5</v>
      </c>
      <c r="AA1192" s="4">
        <v>5</v>
      </c>
      <c r="AB1192" s="4">
        <v>1</v>
      </c>
      <c r="AC1192" s="4">
        <v>1</v>
      </c>
      <c r="AD1192" s="4">
        <v>33</v>
      </c>
      <c r="AE1192" s="4">
        <v>33</v>
      </c>
      <c r="AF1192" s="4">
        <v>0</v>
      </c>
      <c r="AG1192" s="4">
        <v>0</v>
      </c>
      <c r="AH1192" s="4">
        <v>32</v>
      </c>
      <c r="AI1192" s="4">
        <v>32</v>
      </c>
      <c r="AJ1192" s="4">
        <v>2</v>
      </c>
      <c r="AK1192" s="4">
        <v>2</v>
      </c>
      <c r="AL1192" s="4">
        <v>25</v>
      </c>
      <c r="AM1192" s="4">
        <v>25</v>
      </c>
      <c r="AN1192" s="4">
        <v>0</v>
      </c>
      <c r="AO1192" s="4">
        <v>0</v>
      </c>
      <c r="AP1192" s="4">
        <v>2</v>
      </c>
      <c r="AQ1192" s="4">
        <v>2</v>
      </c>
      <c r="AR1192" s="3" t="s">
        <v>65</v>
      </c>
      <c r="AS1192" s="3" t="s">
        <v>65</v>
      </c>
      <c r="AT1192" s="3" t="s">
        <v>65</v>
      </c>
      <c r="AV1192" s="6" t="str">
        <f>HYPERLINK("http://mcgill.on.worldcat.org/oclc/681707521","Catalog Record")</f>
        <v>Catalog Record</v>
      </c>
      <c r="AW1192" s="6" t="str">
        <f>HYPERLINK("http://www.worldcat.org/oclc/681707521","WorldCat Record")</f>
        <v>WorldCat Record</v>
      </c>
      <c r="AX1192" s="3" t="s">
        <v>11637</v>
      </c>
      <c r="AY1192" s="3" t="s">
        <v>11638</v>
      </c>
      <c r="AZ1192" s="3" t="s">
        <v>11639</v>
      </c>
      <c r="BA1192" s="3" t="s">
        <v>11639</v>
      </c>
      <c r="BB1192" s="3" t="s">
        <v>11640</v>
      </c>
      <c r="BC1192" s="3" t="s">
        <v>77</v>
      </c>
      <c r="BD1192" s="3" t="s">
        <v>78</v>
      </c>
      <c r="BE1192" s="3" t="s">
        <v>11641</v>
      </c>
      <c r="BF1192" s="3" t="s">
        <v>11640</v>
      </c>
      <c r="BG1192" s="3" t="s">
        <v>11642</v>
      </c>
    </row>
    <row r="1193" spans="1:59" ht="58" x14ac:dyDescent="0.35">
      <c r="A1193" s="2" t="s">
        <v>59</v>
      </c>
      <c r="B1193" s="2" t="s">
        <v>60</v>
      </c>
      <c r="C1193" s="2" t="s">
        <v>11643</v>
      </c>
      <c r="D1193" s="2" t="s">
        <v>11644</v>
      </c>
      <c r="E1193" s="2" t="s">
        <v>11645</v>
      </c>
      <c r="G1193" s="3" t="s">
        <v>65</v>
      </c>
      <c r="I1193" s="3" t="s">
        <v>65</v>
      </c>
      <c r="J1193" s="3" t="s">
        <v>65</v>
      </c>
      <c r="K1193" s="3" t="s">
        <v>66</v>
      </c>
      <c r="M1193" s="2" t="s">
        <v>11646</v>
      </c>
      <c r="N1193" s="3" t="s">
        <v>113</v>
      </c>
      <c r="P1193" s="3" t="s">
        <v>140</v>
      </c>
      <c r="Q1193" s="2" t="s">
        <v>10990</v>
      </c>
      <c r="R1193" s="3" t="s">
        <v>71</v>
      </c>
      <c r="S1193" s="4">
        <v>0</v>
      </c>
      <c r="T1193" s="4">
        <v>0</v>
      </c>
      <c r="W1193" s="5" t="s">
        <v>72</v>
      </c>
      <c r="X1193" s="5" t="s">
        <v>72</v>
      </c>
      <c r="Y1193" s="4">
        <v>52</v>
      </c>
      <c r="Z1193" s="4">
        <v>6</v>
      </c>
      <c r="AA1193" s="4">
        <v>6</v>
      </c>
      <c r="AB1193" s="4">
        <v>1</v>
      </c>
      <c r="AC1193" s="4">
        <v>1</v>
      </c>
      <c r="AD1193" s="4">
        <v>36</v>
      </c>
      <c r="AE1193" s="4">
        <v>36</v>
      </c>
      <c r="AF1193" s="4">
        <v>0</v>
      </c>
      <c r="AG1193" s="4">
        <v>0</v>
      </c>
      <c r="AH1193" s="4">
        <v>35</v>
      </c>
      <c r="AI1193" s="4">
        <v>35</v>
      </c>
      <c r="AJ1193" s="4">
        <v>3</v>
      </c>
      <c r="AK1193" s="4">
        <v>3</v>
      </c>
      <c r="AL1193" s="4">
        <v>27</v>
      </c>
      <c r="AM1193" s="4">
        <v>27</v>
      </c>
      <c r="AN1193" s="4">
        <v>0</v>
      </c>
      <c r="AO1193" s="4">
        <v>0</v>
      </c>
      <c r="AP1193" s="4">
        <v>3</v>
      </c>
      <c r="AQ1193" s="4">
        <v>3</v>
      </c>
      <c r="AR1193" s="3" t="s">
        <v>65</v>
      </c>
      <c r="AS1193" s="3" t="s">
        <v>65</v>
      </c>
      <c r="AT1193" s="3" t="s">
        <v>65</v>
      </c>
      <c r="AV1193" s="6" t="str">
        <f>HYPERLINK("http://mcgill.on.worldcat.org/oclc/668177861","Catalog Record")</f>
        <v>Catalog Record</v>
      </c>
      <c r="AW1193" s="6" t="str">
        <f>HYPERLINK("http://www.worldcat.org/oclc/668177861","WorldCat Record")</f>
        <v>WorldCat Record</v>
      </c>
      <c r="AX1193" s="3" t="s">
        <v>11647</v>
      </c>
      <c r="AY1193" s="3" t="s">
        <v>11648</v>
      </c>
      <c r="AZ1193" s="3" t="s">
        <v>11649</v>
      </c>
      <c r="BA1193" s="3" t="s">
        <v>11649</v>
      </c>
      <c r="BB1193" s="3" t="s">
        <v>11650</v>
      </c>
      <c r="BC1193" s="3" t="s">
        <v>77</v>
      </c>
      <c r="BD1193" s="3" t="s">
        <v>78</v>
      </c>
      <c r="BE1193" s="3" t="s">
        <v>11651</v>
      </c>
      <c r="BF1193" s="3" t="s">
        <v>11650</v>
      </c>
      <c r="BG1193" s="3" t="s">
        <v>11652</v>
      </c>
    </row>
    <row r="1194" spans="1:59" ht="58" x14ac:dyDescent="0.35">
      <c r="A1194" s="2" t="s">
        <v>59</v>
      </c>
      <c r="B1194" s="2" t="s">
        <v>60</v>
      </c>
      <c r="C1194" s="2" t="s">
        <v>11653</v>
      </c>
      <c r="D1194" s="2" t="s">
        <v>11654</v>
      </c>
      <c r="E1194" s="2" t="s">
        <v>11655</v>
      </c>
      <c r="G1194" s="3" t="s">
        <v>65</v>
      </c>
      <c r="I1194" s="3" t="s">
        <v>65</v>
      </c>
      <c r="J1194" s="3" t="s">
        <v>65</v>
      </c>
      <c r="K1194" s="3" t="s">
        <v>66</v>
      </c>
      <c r="L1194" s="2" t="s">
        <v>11656</v>
      </c>
      <c r="M1194" s="2" t="s">
        <v>11657</v>
      </c>
      <c r="N1194" s="3" t="s">
        <v>139</v>
      </c>
      <c r="P1194" s="3" t="s">
        <v>140</v>
      </c>
      <c r="Q1194" s="2" t="s">
        <v>11658</v>
      </c>
      <c r="R1194" s="3" t="s">
        <v>71</v>
      </c>
      <c r="S1194" s="4">
        <v>0</v>
      </c>
      <c r="T1194" s="4">
        <v>0</v>
      </c>
      <c r="W1194" s="5" t="s">
        <v>72</v>
      </c>
      <c r="X1194" s="5" t="s">
        <v>72</v>
      </c>
      <c r="Y1194" s="4">
        <v>47</v>
      </c>
      <c r="Z1194" s="4">
        <v>5</v>
      </c>
      <c r="AA1194" s="4">
        <v>5</v>
      </c>
      <c r="AB1194" s="4">
        <v>1</v>
      </c>
      <c r="AC1194" s="4">
        <v>1</v>
      </c>
      <c r="AD1194" s="4">
        <v>36</v>
      </c>
      <c r="AE1194" s="4">
        <v>37</v>
      </c>
      <c r="AF1194" s="4">
        <v>0</v>
      </c>
      <c r="AG1194" s="4">
        <v>0</v>
      </c>
      <c r="AH1194" s="4">
        <v>35</v>
      </c>
      <c r="AI1194" s="4">
        <v>36</v>
      </c>
      <c r="AJ1194" s="4">
        <v>2</v>
      </c>
      <c r="AK1194" s="4">
        <v>2</v>
      </c>
      <c r="AL1194" s="4">
        <v>27</v>
      </c>
      <c r="AM1194" s="4">
        <v>28</v>
      </c>
      <c r="AN1194" s="4">
        <v>0</v>
      </c>
      <c r="AO1194" s="4">
        <v>0</v>
      </c>
      <c r="AP1194" s="4">
        <v>2</v>
      </c>
      <c r="AQ1194" s="4">
        <v>2</v>
      </c>
      <c r="AR1194" s="3" t="s">
        <v>65</v>
      </c>
      <c r="AS1194" s="3" t="s">
        <v>65</v>
      </c>
      <c r="AT1194" s="3" t="s">
        <v>65</v>
      </c>
      <c r="AV1194" s="6" t="str">
        <f>HYPERLINK("http://mcgill.on.worldcat.org/oclc/819378269","Catalog Record")</f>
        <v>Catalog Record</v>
      </c>
      <c r="AW1194" s="6" t="str">
        <f>HYPERLINK("http://www.worldcat.org/oclc/819378269","WorldCat Record")</f>
        <v>WorldCat Record</v>
      </c>
      <c r="AX1194" s="3" t="s">
        <v>11659</v>
      </c>
      <c r="AY1194" s="3" t="s">
        <v>11660</v>
      </c>
      <c r="AZ1194" s="3" t="s">
        <v>11661</v>
      </c>
      <c r="BA1194" s="3" t="s">
        <v>11661</v>
      </c>
      <c r="BB1194" s="3" t="s">
        <v>11662</v>
      </c>
      <c r="BC1194" s="3" t="s">
        <v>77</v>
      </c>
      <c r="BD1194" s="3" t="s">
        <v>78</v>
      </c>
      <c r="BE1194" s="3" t="s">
        <v>11663</v>
      </c>
      <c r="BF1194" s="3" t="s">
        <v>11662</v>
      </c>
      <c r="BG1194" s="3" t="s">
        <v>11664</v>
      </c>
    </row>
    <row r="1195" spans="1:59" ht="58" x14ac:dyDescent="0.35">
      <c r="A1195" s="2" t="s">
        <v>59</v>
      </c>
      <c r="B1195" s="2" t="s">
        <v>60</v>
      </c>
      <c r="C1195" s="2" t="s">
        <v>11665</v>
      </c>
      <c r="D1195" s="2" t="s">
        <v>11666</v>
      </c>
      <c r="E1195" s="2" t="s">
        <v>11667</v>
      </c>
      <c r="G1195" s="3" t="s">
        <v>65</v>
      </c>
      <c r="I1195" s="3" t="s">
        <v>209</v>
      </c>
      <c r="J1195" s="3" t="s">
        <v>65</v>
      </c>
      <c r="K1195" s="3" t="s">
        <v>66</v>
      </c>
      <c r="L1195" s="2" t="s">
        <v>9920</v>
      </c>
      <c r="M1195" s="2" t="s">
        <v>11668</v>
      </c>
      <c r="N1195" s="3" t="s">
        <v>9089</v>
      </c>
      <c r="P1195" s="3" t="s">
        <v>69</v>
      </c>
      <c r="R1195" s="3" t="s">
        <v>71</v>
      </c>
      <c r="S1195" s="4">
        <v>2</v>
      </c>
      <c r="T1195" s="4">
        <v>2</v>
      </c>
      <c r="U1195" s="5" t="s">
        <v>2691</v>
      </c>
      <c r="V1195" s="5" t="s">
        <v>2691</v>
      </c>
      <c r="W1195" s="5" t="s">
        <v>72</v>
      </c>
      <c r="X1195" s="5" t="s">
        <v>72</v>
      </c>
      <c r="Y1195" s="4">
        <v>20</v>
      </c>
      <c r="Z1195" s="4">
        <v>7</v>
      </c>
      <c r="AA1195" s="4">
        <v>34</v>
      </c>
      <c r="AB1195" s="4">
        <v>1</v>
      </c>
      <c r="AC1195" s="4">
        <v>4</v>
      </c>
      <c r="AD1195" s="4">
        <v>3</v>
      </c>
      <c r="AE1195" s="4">
        <v>62</v>
      </c>
      <c r="AF1195" s="4">
        <v>0</v>
      </c>
      <c r="AG1195" s="4">
        <v>3</v>
      </c>
      <c r="AH1195" s="4">
        <v>3</v>
      </c>
      <c r="AI1195" s="4">
        <v>52</v>
      </c>
      <c r="AJ1195" s="4">
        <v>3</v>
      </c>
      <c r="AK1195" s="4">
        <v>16</v>
      </c>
      <c r="AL1195" s="4">
        <v>1</v>
      </c>
      <c r="AM1195" s="4">
        <v>24</v>
      </c>
      <c r="AN1195" s="4">
        <v>0</v>
      </c>
      <c r="AO1195" s="4">
        <v>1</v>
      </c>
      <c r="AP1195" s="4">
        <v>3</v>
      </c>
      <c r="AQ1195" s="4">
        <v>19</v>
      </c>
      <c r="AR1195" s="3" t="s">
        <v>65</v>
      </c>
      <c r="AS1195" s="3" t="s">
        <v>65</v>
      </c>
      <c r="AT1195" s="3" t="s">
        <v>65</v>
      </c>
      <c r="AV1195" s="6" t="str">
        <f>HYPERLINK("http://mcgill.on.worldcat.org/oclc/427131385","Catalog Record")</f>
        <v>Catalog Record</v>
      </c>
      <c r="AW1195" s="6" t="str">
        <f>HYPERLINK("http://www.worldcat.org/oclc/427131385","WorldCat Record")</f>
        <v>WorldCat Record</v>
      </c>
      <c r="AX1195" s="3" t="s">
        <v>11669</v>
      </c>
      <c r="AY1195" s="3" t="s">
        <v>11670</v>
      </c>
      <c r="AZ1195" s="3" t="s">
        <v>11671</v>
      </c>
      <c r="BA1195" s="3" t="s">
        <v>11671</v>
      </c>
      <c r="BB1195" s="3" t="s">
        <v>11672</v>
      </c>
      <c r="BC1195" s="3" t="s">
        <v>77</v>
      </c>
      <c r="BD1195" s="3" t="s">
        <v>78</v>
      </c>
      <c r="BF1195" s="3" t="s">
        <v>11672</v>
      </c>
      <c r="BG1195" s="3" t="s">
        <v>11673</v>
      </c>
    </row>
    <row r="1196" spans="1:59" ht="58" x14ac:dyDescent="0.35">
      <c r="A1196" s="2" t="s">
        <v>59</v>
      </c>
      <c r="B1196" s="2" t="s">
        <v>60</v>
      </c>
      <c r="C1196" s="2" t="s">
        <v>11665</v>
      </c>
      <c r="D1196" s="2" t="s">
        <v>11666</v>
      </c>
      <c r="E1196" s="2" t="s">
        <v>11667</v>
      </c>
      <c r="G1196" s="3" t="s">
        <v>65</v>
      </c>
      <c r="I1196" s="3" t="s">
        <v>209</v>
      </c>
      <c r="J1196" s="3" t="s">
        <v>65</v>
      </c>
      <c r="K1196" s="3" t="s">
        <v>66</v>
      </c>
      <c r="L1196" s="2" t="s">
        <v>9920</v>
      </c>
      <c r="M1196" s="2" t="s">
        <v>11668</v>
      </c>
      <c r="N1196" s="3" t="s">
        <v>9089</v>
      </c>
      <c r="P1196" s="3" t="s">
        <v>69</v>
      </c>
      <c r="R1196" s="3" t="s">
        <v>71</v>
      </c>
      <c r="S1196" s="4">
        <v>0</v>
      </c>
      <c r="T1196" s="4">
        <v>2</v>
      </c>
      <c r="V1196" s="5" t="s">
        <v>2691</v>
      </c>
      <c r="W1196" s="5" t="s">
        <v>72</v>
      </c>
      <c r="X1196" s="5" t="s">
        <v>72</v>
      </c>
      <c r="Y1196" s="4">
        <v>20</v>
      </c>
      <c r="Z1196" s="4">
        <v>7</v>
      </c>
      <c r="AA1196" s="4">
        <v>34</v>
      </c>
      <c r="AB1196" s="4">
        <v>1</v>
      </c>
      <c r="AC1196" s="4">
        <v>4</v>
      </c>
      <c r="AD1196" s="4">
        <v>3</v>
      </c>
      <c r="AE1196" s="4">
        <v>62</v>
      </c>
      <c r="AF1196" s="4">
        <v>0</v>
      </c>
      <c r="AG1196" s="4">
        <v>3</v>
      </c>
      <c r="AH1196" s="4">
        <v>3</v>
      </c>
      <c r="AI1196" s="4">
        <v>52</v>
      </c>
      <c r="AJ1196" s="4">
        <v>3</v>
      </c>
      <c r="AK1196" s="4">
        <v>16</v>
      </c>
      <c r="AL1196" s="4">
        <v>1</v>
      </c>
      <c r="AM1196" s="4">
        <v>24</v>
      </c>
      <c r="AN1196" s="4">
        <v>0</v>
      </c>
      <c r="AO1196" s="4">
        <v>1</v>
      </c>
      <c r="AP1196" s="4">
        <v>3</v>
      </c>
      <c r="AQ1196" s="4">
        <v>19</v>
      </c>
      <c r="AR1196" s="3" t="s">
        <v>65</v>
      </c>
      <c r="AS1196" s="3" t="s">
        <v>65</v>
      </c>
      <c r="AT1196" s="3" t="s">
        <v>65</v>
      </c>
      <c r="AV1196" s="6" t="str">
        <f>HYPERLINK("http://mcgill.on.worldcat.org/oclc/427131385","Catalog Record")</f>
        <v>Catalog Record</v>
      </c>
      <c r="AW1196" s="6" t="str">
        <f>HYPERLINK("http://www.worldcat.org/oclc/427131385","WorldCat Record")</f>
        <v>WorldCat Record</v>
      </c>
      <c r="AX1196" s="3" t="s">
        <v>11669</v>
      </c>
      <c r="AY1196" s="3" t="s">
        <v>11670</v>
      </c>
      <c r="AZ1196" s="3" t="s">
        <v>11671</v>
      </c>
      <c r="BA1196" s="3" t="s">
        <v>11671</v>
      </c>
      <c r="BB1196" s="3" t="s">
        <v>11674</v>
      </c>
      <c r="BC1196" s="3" t="s">
        <v>77</v>
      </c>
      <c r="BD1196" s="3" t="s">
        <v>78</v>
      </c>
      <c r="BF1196" s="3" t="s">
        <v>11674</v>
      </c>
      <c r="BG1196" s="3" t="s">
        <v>11675</v>
      </c>
    </row>
    <row r="1197" spans="1:59" ht="58" x14ac:dyDescent="0.35">
      <c r="A1197" s="2" t="s">
        <v>59</v>
      </c>
      <c r="B1197" s="2" t="s">
        <v>60</v>
      </c>
      <c r="C1197" s="2" t="s">
        <v>11676</v>
      </c>
      <c r="D1197" s="2" t="s">
        <v>11677</v>
      </c>
      <c r="E1197" s="2" t="s">
        <v>11678</v>
      </c>
      <c r="G1197" s="3" t="s">
        <v>65</v>
      </c>
      <c r="I1197" s="3" t="s">
        <v>65</v>
      </c>
      <c r="J1197" s="3" t="s">
        <v>65</v>
      </c>
      <c r="K1197" s="3" t="s">
        <v>66</v>
      </c>
      <c r="L1197" s="2" t="s">
        <v>9920</v>
      </c>
      <c r="M1197" s="2" t="s">
        <v>11679</v>
      </c>
      <c r="N1197" s="3" t="s">
        <v>3088</v>
      </c>
      <c r="P1197" s="3" t="s">
        <v>69</v>
      </c>
      <c r="R1197" s="3" t="s">
        <v>71</v>
      </c>
      <c r="S1197" s="4">
        <v>3</v>
      </c>
      <c r="T1197" s="4">
        <v>3</v>
      </c>
      <c r="U1197" s="5" t="s">
        <v>7615</v>
      </c>
      <c r="V1197" s="5" t="s">
        <v>7615</v>
      </c>
      <c r="W1197" s="5" t="s">
        <v>72</v>
      </c>
      <c r="X1197" s="5" t="s">
        <v>72</v>
      </c>
      <c r="Y1197" s="4">
        <v>140</v>
      </c>
      <c r="Z1197" s="4">
        <v>13</v>
      </c>
      <c r="AA1197" s="4">
        <v>28</v>
      </c>
      <c r="AB1197" s="4">
        <v>1</v>
      </c>
      <c r="AC1197" s="4">
        <v>1</v>
      </c>
      <c r="AD1197" s="4">
        <v>37</v>
      </c>
      <c r="AE1197" s="4">
        <v>45</v>
      </c>
      <c r="AF1197" s="4">
        <v>0</v>
      </c>
      <c r="AG1197" s="4">
        <v>0</v>
      </c>
      <c r="AH1197" s="4">
        <v>33</v>
      </c>
      <c r="AI1197" s="4">
        <v>36</v>
      </c>
      <c r="AJ1197" s="4">
        <v>5</v>
      </c>
      <c r="AK1197" s="4">
        <v>8</v>
      </c>
      <c r="AL1197" s="4">
        <v>24</v>
      </c>
      <c r="AM1197" s="4">
        <v>24</v>
      </c>
      <c r="AN1197" s="4">
        <v>0</v>
      </c>
      <c r="AO1197" s="4">
        <v>0</v>
      </c>
      <c r="AP1197" s="4">
        <v>6</v>
      </c>
      <c r="AQ1197" s="4">
        <v>13</v>
      </c>
      <c r="AR1197" s="3" t="s">
        <v>65</v>
      </c>
      <c r="AS1197" s="3" t="s">
        <v>65</v>
      </c>
      <c r="AT1197" s="3" t="s">
        <v>65</v>
      </c>
      <c r="AU1197" s="6" t="str">
        <f>HYPERLINK("http://catalog.hathitrust.org/Record/007692747","HathiTrust Record")</f>
        <v>HathiTrust Record</v>
      </c>
      <c r="AV1197" s="6" t="str">
        <f>HYPERLINK("http://mcgill.on.worldcat.org/oclc/1989748","Catalog Record")</f>
        <v>Catalog Record</v>
      </c>
      <c r="AW1197" s="6" t="str">
        <f>HYPERLINK("http://www.worldcat.org/oclc/1989748","WorldCat Record")</f>
        <v>WorldCat Record</v>
      </c>
      <c r="AX1197" s="3" t="s">
        <v>11680</v>
      </c>
      <c r="AY1197" s="3" t="s">
        <v>11681</v>
      </c>
      <c r="AZ1197" s="3" t="s">
        <v>11682</v>
      </c>
      <c r="BA1197" s="3" t="s">
        <v>11682</v>
      </c>
      <c r="BB1197" s="3" t="s">
        <v>11683</v>
      </c>
      <c r="BC1197" s="3" t="s">
        <v>77</v>
      </c>
      <c r="BD1197" s="3" t="s">
        <v>78</v>
      </c>
      <c r="BF1197" s="3" t="s">
        <v>11683</v>
      </c>
      <c r="BG1197" s="3" t="s">
        <v>11684</v>
      </c>
    </row>
    <row r="1198" spans="1:59" ht="58" x14ac:dyDescent="0.35">
      <c r="A1198" s="2" t="s">
        <v>59</v>
      </c>
      <c r="B1198" s="2" t="s">
        <v>60</v>
      </c>
      <c r="C1198" s="2" t="s">
        <v>11685</v>
      </c>
      <c r="D1198" s="2" t="s">
        <v>11686</v>
      </c>
      <c r="E1198" s="2" t="s">
        <v>11687</v>
      </c>
      <c r="G1198" s="3" t="s">
        <v>65</v>
      </c>
      <c r="I1198" s="3" t="s">
        <v>65</v>
      </c>
      <c r="J1198" s="3" t="s">
        <v>65</v>
      </c>
      <c r="K1198" s="3" t="s">
        <v>66</v>
      </c>
      <c r="L1198" s="2" t="s">
        <v>11688</v>
      </c>
      <c r="M1198" s="2" t="s">
        <v>641</v>
      </c>
      <c r="N1198" s="3" t="s">
        <v>188</v>
      </c>
      <c r="P1198" s="3" t="s">
        <v>140</v>
      </c>
      <c r="Q1198" s="2" t="s">
        <v>11689</v>
      </c>
      <c r="R1198" s="3" t="s">
        <v>71</v>
      </c>
      <c r="S1198" s="4">
        <v>0</v>
      </c>
      <c r="T1198" s="4">
        <v>0</v>
      </c>
      <c r="W1198" s="5" t="s">
        <v>72</v>
      </c>
      <c r="X1198" s="5" t="s">
        <v>72</v>
      </c>
      <c r="Y1198" s="4">
        <v>53</v>
      </c>
      <c r="Z1198" s="4">
        <v>3</v>
      </c>
      <c r="AA1198" s="4">
        <v>3</v>
      </c>
      <c r="AB1198" s="4">
        <v>1</v>
      </c>
      <c r="AC1198" s="4">
        <v>1</v>
      </c>
      <c r="AD1198" s="4">
        <v>40</v>
      </c>
      <c r="AE1198" s="4">
        <v>40</v>
      </c>
      <c r="AF1198" s="4">
        <v>0</v>
      </c>
      <c r="AG1198" s="4">
        <v>0</v>
      </c>
      <c r="AH1198" s="4">
        <v>38</v>
      </c>
      <c r="AI1198" s="4">
        <v>38</v>
      </c>
      <c r="AJ1198" s="4">
        <v>2</v>
      </c>
      <c r="AK1198" s="4">
        <v>2</v>
      </c>
      <c r="AL1198" s="4">
        <v>31</v>
      </c>
      <c r="AM1198" s="4">
        <v>31</v>
      </c>
      <c r="AN1198" s="4">
        <v>0</v>
      </c>
      <c r="AO1198" s="4">
        <v>0</v>
      </c>
      <c r="AP1198" s="4">
        <v>2</v>
      </c>
      <c r="AQ1198" s="4">
        <v>2</v>
      </c>
      <c r="AR1198" s="3" t="s">
        <v>65</v>
      </c>
      <c r="AS1198" s="3" t="s">
        <v>65</v>
      </c>
      <c r="AT1198" s="3" t="s">
        <v>65</v>
      </c>
      <c r="AV1198" s="6" t="str">
        <f>HYPERLINK("http://mcgill.on.worldcat.org/oclc/981220317","Catalog Record")</f>
        <v>Catalog Record</v>
      </c>
      <c r="AW1198" s="6" t="str">
        <f>HYPERLINK("http://www.worldcat.org/oclc/981220317","WorldCat Record")</f>
        <v>WorldCat Record</v>
      </c>
      <c r="AX1198" s="3" t="s">
        <v>11690</v>
      </c>
      <c r="AY1198" s="3" t="s">
        <v>11691</v>
      </c>
      <c r="AZ1198" s="3" t="s">
        <v>11692</v>
      </c>
      <c r="BA1198" s="3" t="s">
        <v>11692</v>
      </c>
      <c r="BB1198" s="3" t="s">
        <v>11693</v>
      </c>
      <c r="BC1198" s="3" t="s">
        <v>77</v>
      </c>
      <c r="BD1198" s="3" t="s">
        <v>78</v>
      </c>
      <c r="BE1198" s="3" t="s">
        <v>11694</v>
      </c>
      <c r="BF1198" s="3" t="s">
        <v>11693</v>
      </c>
      <c r="BG1198" s="3" t="s">
        <v>11695</v>
      </c>
    </row>
    <row r="1199" spans="1:59" ht="58" x14ac:dyDescent="0.35">
      <c r="A1199" s="2" t="s">
        <v>59</v>
      </c>
      <c r="B1199" s="2" t="s">
        <v>60</v>
      </c>
      <c r="C1199" s="2" t="s">
        <v>11696</v>
      </c>
      <c r="D1199" s="2" t="s">
        <v>11697</v>
      </c>
      <c r="E1199" s="2" t="s">
        <v>11698</v>
      </c>
      <c r="G1199" s="3" t="s">
        <v>65</v>
      </c>
      <c r="I1199" s="3" t="s">
        <v>65</v>
      </c>
      <c r="J1199" s="3" t="s">
        <v>65</v>
      </c>
      <c r="K1199" s="3" t="s">
        <v>66</v>
      </c>
      <c r="L1199" s="2" t="s">
        <v>11699</v>
      </c>
      <c r="M1199" s="2" t="s">
        <v>11700</v>
      </c>
      <c r="N1199" s="3" t="s">
        <v>139</v>
      </c>
      <c r="P1199" s="3" t="s">
        <v>140</v>
      </c>
      <c r="Q1199" s="2" t="s">
        <v>11701</v>
      </c>
      <c r="R1199" s="3" t="s">
        <v>71</v>
      </c>
      <c r="S1199" s="4">
        <v>1</v>
      </c>
      <c r="T1199" s="4">
        <v>1</v>
      </c>
      <c r="U1199" s="5" t="s">
        <v>11702</v>
      </c>
      <c r="V1199" s="5" t="s">
        <v>11702</v>
      </c>
      <c r="W1199" s="5" t="s">
        <v>72</v>
      </c>
      <c r="X1199" s="5" t="s">
        <v>72</v>
      </c>
      <c r="Y1199" s="4">
        <v>53</v>
      </c>
      <c r="Z1199" s="4">
        <v>4</v>
      </c>
      <c r="AA1199" s="4">
        <v>4</v>
      </c>
      <c r="AB1199" s="4">
        <v>1</v>
      </c>
      <c r="AC1199" s="4">
        <v>1</v>
      </c>
      <c r="AD1199" s="4">
        <v>36</v>
      </c>
      <c r="AE1199" s="4">
        <v>36</v>
      </c>
      <c r="AF1199" s="4">
        <v>0</v>
      </c>
      <c r="AG1199" s="4">
        <v>0</v>
      </c>
      <c r="AH1199" s="4">
        <v>35</v>
      </c>
      <c r="AI1199" s="4">
        <v>35</v>
      </c>
      <c r="AJ1199" s="4">
        <v>2</v>
      </c>
      <c r="AK1199" s="4">
        <v>2</v>
      </c>
      <c r="AL1199" s="4">
        <v>30</v>
      </c>
      <c r="AM1199" s="4">
        <v>30</v>
      </c>
      <c r="AN1199" s="4">
        <v>0</v>
      </c>
      <c r="AO1199" s="4">
        <v>0</v>
      </c>
      <c r="AP1199" s="4">
        <v>2</v>
      </c>
      <c r="AQ1199" s="4">
        <v>2</v>
      </c>
      <c r="AR1199" s="3" t="s">
        <v>65</v>
      </c>
      <c r="AS1199" s="3" t="s">
        <v>65</v>
      </c>
      <c r="AT1199" s="3" t="s">
        <v>65</v>
      </c>
      <c r="AV1199" s="6" t="str">
        <f>HYPERLINK("http://mcgill.on.worldcat.org/oclc/813004880","Catalog Record")</f>
        <v>Catalog Record</v>
      </c>
      <c r="AW1199" s="6" t="str">
        <f>HYPERLINK("http://www.worldcat.org/oclc/813004880","WorldCat Record")</f>
        <v>WorldCat Record</v>
      </c>
      <c r="AX1199" s="3" t="s">
        <v>11703</v>
      </c>
      <c r="AY1199" s="3" t="s">
        <v>11704</v>
      </c>
      <c r="AZ1199" s="3" t="s">
        <v>11705</v>
      </c>
      <c r="BA1199" s="3" t="s">
        <v>11705</v>
      </c>
      <c r="BB1199" s="3" t="s">
        <v>11706</v>
      </c>
      <c r="BC1199" s="3" t="s">
        <v>77</v>
      </c>
      <c r="BD1199" s="3" t="s">
        <v>78</v>
      </c>
      <c r="BE1199" s="3" t="s">
        <v>11707</v>
      </c>
      <c r="BF1199" s="3" t="s">
        <v>11706</v>
      </c>
      <c r="BG1199" s="3" t="s">
        <v>11708</v>
      </c>
    </row>
    <row r="1200" spans="1:59" ht="58" x14ac:dyDescent="0.35">
      <c r="A1200" s="2" t="s">
        <v>59</v>
      </c>
      <c r="B1200" s="2" t="s">
        <v>60</v>
      </c>
      <c r="C1200" s="2" t="s">
        <v>11709</v>
      </c>
      <c r="D1200" s="2" t="s">
        <v>11710</v>
      </c>
      <c r="E1200" s="2" t="s">
        <v>11711</v>
      </c>
      <c r="G1200" s="3" t="s">
        <v>65</v>
      </c>
      <c r="I1200" s="3" t="s">
        <v>65</v>
      </c>
      <c r="J1200" s="3" t="s">
        <v>65</v>
      </c>
      <c r="K1200" s="3" t="s">
        <v>66</v>
      </c>
      <c r="L1200" s="2" t="s">
        <v>11712</v>
      </c>
      <c r="M1200" s="2" t="s">
        <v>11713</v>
      </c>
      <c r="N1200" s="3" t="s">
        <v>164</v>
      </c>
      <c r="P1200" s="3" t="s">
        <v>140</v>
      </c>
      <c r="Q1200" s="2" t="s">
        <v>11714</v>
      </c>
      <c r="R1200" s="3" t="s">
        <v>71</v>
      </c>
      <c r="S1200" s="4">
        <v>0</v>
      </c>
      <c r="T1200" s="4">
        <v>0</v>
      </c>
      <c r="W1200" s="5" t="s">
        <v>72</v>
      </c>
      <c r="X1200" s="5" t="s">
        <v>72</v>
      </c>
      <c r="Y1200" s="4">
        <v>47</v>
      </c>
      <c r="Z1200" s="4">
        <v>5</v>
      </c>
      <c r="AA1200" s="4">
        <v>5</v>
      </c>
      <c r="AB1200" s="4">
        <v>1</v>
      </c>
      <c r="AC1200" s="4">
        <v>1</v>
      </c>
      <c r="AD1200" s="4">
        <v>36</v>
      </c>
      <c r="AE1200" s="4">
        <v>36</v>
      </c>
      <c r="AF1200" s="4">
        <v>0</v>
      </c>
      <c r="AG1200" s="4">
        <v>0</v>
      </c>
      <c r="AH1200" s="4">
        <v>35</v>
      </c>
      <c r="AI1200" s="4">
        <v>35</v>
      </c>
      <c r="AJ1200" s="4">
        <v>2</v>
      </c>
      <c r="AK1200" s="4">
        <v>2</v>
      </c>
      <c r="AL1200" s="4">
        <v>28</v>
      </c>
      <c r="AM1200" s="4">
        <v>28</v>
      </c>
      <c r="AN1200" s="4">
        <v>0</v>
      </c>
      <c r="AO1200" s="4">
        <v>0</v>
      </c>
      <c r="AP1200" s="4">
        <v>2</v>
      </c>
      <c r="AQ1200" s="4">
        <v>2</v>
      </c>
      <c r="AR1200" s="3" t="s">
        <v>65</v>
      </c>
      <c r="AS1200" s="3" t="s">
        <v>65</v>
      </c>
      <c r="AT1200" s="3" t="s">
        <v>65</v>
      </c>
      <c r="AV1200" s="6" t="str">
        <f>HYPERLINK("http://mcgill.on.worldcat.org/oclc/906793214","Catalog Record")</f>
        <v>Catalog Record</v>
      </c>
      <c r="AW1200" s="6" t="str">
        <f>HYPERLINK("http://www.worldcat.org/oclc/906793214","WorldCat Record")</f>
        <v>WorldCat Record</v>
      </c>
      <c r="AX1200" s="3" t="s">
        <v>11715</v>
      </c>
      <c r="AY1200" s="3" t="s">
        <v>11716</v>
      </c>
      <c r="AZ1200" s="3" t="s">
        <v>11717</v>
      </c>
      <c r="BA1200" s="3" t="s">
        <v>11717</v>
      </c>
      <c r="BB1200" s="3" t="s">
        <v>11718</v>
      </c>
      <c r="BC1200" s="3" t="s">
        <v>77</v>
      </c>
      <c r="BD1200" s="3" t="s">
        <v>78</v>
      </c>
      <c r="BE1200" s="3" t="s">
        <v>11719</v>
      </c>
      <c r="BF1200" s="3" t="s">
        <v>11718</v>
      </c>
      <c r="BG1200" s="3" t="s">
        <v>11720</v>
      </c>
    </row>
    <row r="1201" spans="1:59" ht="58" x14ac:dyDescent="0.35">
      <c r="A1201" s="2" t="s">
        <v>59</v>
      </c>
      <c r="B1201" s="2" t="s">
        <v>60</v>
      </c>
      <c r="C1201" s="2" t="s">
        <v>11721</v>
      </c>
      <c r="D1201" s="2" t="s">
        <v>11722</v>
      </c>
      <c r="E1201" s="2" t="s">
        <v>11723</v>
      </c>
      <c r="G1201" s="3" t="s">
        <v>65</v>
      </c>
      <c r="I1201" s="3" t="s">
        <v>65</v>
      </c>
      <c r="J1201" s="3" t="s">
        <v>65</v>
      </c>
      <c r="K1201" s="3" t="s">
        <v>66</v>
      </c>
      <c r="L1201" s="2" t="s">
        <v>11724</v>
      </c>
      <c r="M1201" s="2" t="s">
        <v>4932</v>
      </c>
      <c r="N1201" s="3" t="s">
        <v>188</v>
      </c>
      <c r="O1201" s="2" t="s">
        <v>1410</v>
      </c>
      <c r="P1201" s="3" t="s">
        <v>140</v>
      </c>
      <c r="Q1201" s="2" t="s">
        <v>11725</v>
      </c>
      <c r="R1201" s="3" t="s">
        <v>71</v>
      </c>
      <c r="S1201" s="4">
        <v>0</v>
      </c>
      <c r="T1201" s="4">
        <v>0</v>
      </c>
      <c r="W1201" s="5" t="s">
        <v>72</v>
      </c>
      <c r="X1201" s="5" t="s">
        <v>72</v>
      </c>
      <c r="Y1201" s="4">
        <v>45</v>
      </c>
      <c r="Z1201" s="4">
        <v>3</v>
      </c>
      <c r="AA1201" s="4">
        <v>3</v>
      </c>
      <c r="AB1201" s="4">
        <v>1</v>
      </c>
      <c r="AC1201" s="4">
        <v>1</v>
      </c>
      <c r="AD1201" s="4">
        <v>36</v>
      </c>
      <c r="AE1201" s="4">
        <v>36</v>
      </c>
      <c r="AF1201" s="4">
        <v>0</v>
      </c>
      <c r="AG1201" s="4">
        <v>0</v>
      </c>
      <c r="AH1201" s="4">
        <v>34</v>
      </c>
      <c r="AI1201" s="4">
        <v>34</v>
      </c>
      <c r="AJ1201" s="4">
        <v>2</v>
      </c>
      <c r="AK1201" s="4">
        <v>2</v>
      </c>
      <c r="AL1201" s="4">
        <v>26</v>
      </c>
      <c r="AM1201" s="4">
        <v>26</v>
      </c>
      <c r="AN1201" s="4">
        <v>0</v>
      </c>
      <c r="AO1201" s="4">
        <v>0</v>
      </c>
      <c r="AP1201" s="4">
        <v>2</v>
      </c>
      <c r="AQ1201" s="4">
        <v>2</v>
      </c>
      <c r="AR1201" s="3" t="s">
        <v>65</v>
      </c>
      <c r="AS1201" s="3" t="s">
        <v>65</v>
      </c>
      <c r="AT1201" s="3" t="s">
        <v>65</v>
      </c>
      <c r="AV1201" s="6" t="str">
        <f>HYPERLINK("http://mcgill.on.worldcat.org/oclc/993984587","Catalog Record")</f>
        <v>Catalog Record</v>
      </c>
      <c r="AW1201" s="6" t="str">
        <f>HYPERLINK("http://www.worldcat.org/oclc/993984587","WorldCat Record")</f>
        <v>WorldCat Record</v>
      </c>
      <c r="AX1201" s="3" t="s">
        <v>11726</v>
      </c>
      <c r="AY1201" s="3" t="s">
        <v>11727</v>
      </c>
      <c r="AZ1201" s="3" t="s">
        <v>11728</v>
      </c>
      <c r="BA1201" s="3" t="s">
        <v>11728</v>
      </c>
      <c r="BB1201" s="3" t="s">
        <v>11729</v>
      </c>
      <c r="BC1201" s="3" t="s">
        <v>77</v>
      </c>
      <c r="BD1201" s="3" t="s">
        <v>78</v>
      </c>
      <c r="BE1201" s="3" t="s">
        <v>11730</v>
      </c>
      <c r="BF1201" s="3" t="s">
        <v>11729</v>
      </c>
      <c r="BG1201" s="3" t="s">
        <v>11731</v>
      </c>
    </row>
    <row r="1202" spans="1:59" ht="58" x14ac:dyDescent="0.35">
      <c r="A1202" s="2" t="s">
        <v>59</v>
      </c>
      <c r="B1202" s="2" t="s">
        <v>60</v>
      </c>
      <c r="C1202" s="2" t="s">
        <v>11732</v>
      </c>
      <c r="D1202" s="2" t="s">
        <v>11733</v>
      </c>
      <c r="E1202" s="2" t="s">
        <v>11734</v>
      </c>
      <c r="G1202" s="3" t="s">
        <v>65</v>
      </c>
      <c r="I1202" s="3" t="s">
        <v>65</v>
      </c>
      <c r="J1202" s="3" t="s">
        <v>65</v>
      </c>
      <c r="K1202" s="3" t="s">
        <v>66</v>
      </c>
      <c r="L1202" s="2" t="s">
        <v>11735</v>
      </c>
      <c r="M1202" s="2" t="s">
        <v>11736</v>
      </c>
      <c r="N1202" s="3" t="s">
        <v>68</v>
      </c>
      <c r="O1202" s="2" t="s">
        <v>235</v>
      </c>
      <c r="P1202" s="3" t="s">
        <v>140</v>
      </c>
      <c r="R1202" s="3" t="s">
        <v>71</v>
      </c>
      <c r="S1202" s="4">
        <v>0</v>
      </c>
      <c r="T1202" s="4">
        <v>0</v>
      </c>
      <c r="W1202" s="5" t="s">
        <v>72</v>
      </c>
      <c r="X1202" s="5" t="s">
        <v>72</v>
      </c>
      <c r="Y1202" s="4">
        <v>7</v>
      </c>
      <c r="Z1202" s="4">
        <v>1</v>
      </c>
      <c r="AA1202" s="4">
        <v>1</v>
      </c>
      <c r="AB1202" s="4">
        <v>1</v>
      </c>
      <c r="AC1202" s="4">
        <v>1</v>
      </c>
      <c r="AD1202" s="4">
        <v>5</v>
      </c>
      <c r="AE1202" s="4">
        <v>5</v>
      </c>
      <c r="AF1202" s="4">
        <v>0</v>
      </c>
      <c r="AG1202" s="4">
        <v>0</v>
      </c>
      <c r="AH1202" s="4">
        <v>5</v>
      </c>
      <c r="AI1202" s="4">
        <v>5</v>
      </c>
      <c r="AJ1202" s="4">
        <v>0</v>
      </c>
      <c r="AK1202" s="4">
        <v>0</v>
      </c>
      <c r="AL1202" s="4">
        <v>3</v>
      </c>
      <c r="AM1202" s="4">
        <v>3</v>
      </c>
      <c r="AN1202" s="4">
        <v>0</v>
      </c>
      <c r="AO1202" s="4">
        <v>0</v>
      </c>
      <c r="AP1202" s="4">
        <v>0</v>
      </c>
      <c r="AQ1202" s="4">
        <v>0</v>
      </c>
      <c r="AR1202" s="3" t="s">
        <v>65</v>
      </c>
      <c r="AS1202" s="3" t="s">
        <v>65</v>
      </c>
      <c r="AT1202" s="3" t="s">
        <v>65</v>
      </c>
      <c r="AV1202" s="6" t="str">
        <f>HYPERLINK("http://mcgill.on.worldcat.org/oclc/1002097205","Catalog Record")</f>
        <v>Catalog Record</v>
      </c>
      <c r="AW1202" s="6" t="str">
        <f>HYPERLINK("http://www.worldcat.org/oclc/1002097205","WorldCat Record")</f>
        <v>WorldCat Record</v>
      </c>
      <c r="AX1202" s="3" t="s">
        <v>11737</v>
      </c>
      <c r="AY1202" s="3" t="s">
        <v>11738</v>
      </c>
      <c r="AZ1202" s="3" t="s">
        <v>11739</v>
      </c>
      <c r="BA1202" s="3" t="s">
        <v>11739</v>
      </c>
      <c r="BB1202" s="3" t="s">
        <v>11740</v>
      </c>
      <c r="BC1202" s="3" t="s">
        <v>77</v>
      </c>
      <c r="BD1202" s="3" t="s">
        <v>78</v>
      </c>
      <c r="BE1202" s="3" t="s">
        <v>11741</v>
      </c>
      <c r="BF1202" s="3" t="s">
        <v>11740</v>
      </c>
      <c r="BG1202" s="3" t="s">
        <v>11742</v>
      </c>
    </row>
    <row r="1203" spans="1:59" ht="58" x14ac:dyDescent="0.35">
      <c r="A1203" s="2" t="s">
        <v>59</v>
      </c>
      <c r="B1203" s="2" t="s">
        <v>60</v>
      </c>
      <c r="C1203" s="2" t="s">
        <v>11743</v>
      </c>
      <c r="D1203" s="2" t="s">
        <v>11744</v>
      </c>
      <c r="E1203" s="2" t="s">
        <v>11745</v>
      </c>
      <c r="G1203" s="3" t="s">
        <v>65</v>
      </c>
      <c r="I1203" s="3" t="s">
        <v>65</v>
      </c>
      <c r="J1203" s="3" t="s">
        <v>65</v>
      </c>
      <c r="K1203" s="3" t="s">
        <v>66</v>
      </c>
      <c r="M1203" s="2" t="s">
        <v>11746</v>
      </c>
      <c r="N1203" s="3" t="s">
        <v>770</v>
      </c>
      <c r="P1203" s="3" t="s">
        <v>69</v>
      </c>
      <c r="Q1203" s="2" t="s">
        <v>11747</v>
      </c>
      <c r="R1203" s="3" t="s">
        <v>71</v>
      </c>
      <c r="S1203" s="4">
        <v>12</v>
      </c>
      <c r="T1203" s="4">
        <v>12</v>
      </c>
      <c r="U1203" s="5" t="s">
        <v>11748</v>
      </c>
      <c r="V1203" s="5" t="s">
        <v>11748</v>
      </c>
      <c r="W1203" s="5" t="s">
        <v>72</v>
      </c>
      <c r="X1203" s="5" t="s">
        <v>72</v>
      </c>
      <c r="Y1203" s="4">
        <v>225</v>
      </c>
      <c r="Z1203" s="4">
        <v>18</v>
      </c>
      <c r="AA1203" s="4">
        <v>18</v>
      </c>
      <c r="AB1203" s="4">
        <v>1</v>
      </c>
      <c r="AC1203" s="4">
        <v>1</v>
      </c>
      <c r="AD1203" s="4">
        <v>95</v>
      </c>
      <c r="AE1203" s="4">
        <v>95</v>
      </c>
      <c r="AF1203" s="4">
        <v>0</v>
      </c>
      <c r="AG1203" s="4">
        <v>0</v>
      </c>
      <c r="AH1203" s="4">
        <v>88</v>
      </c>
      <c r="AI1203" s="4">
        <v>88</v>
      </c>
      <c r="AJ1203" s="4">
        <v>12</v>
      </c>
      <c r="AK1203" s="4">
        <v>12</v>
      </c>
      <c r="AL1203" s="4">
        <v>51</v>
      </c>
      <c r="AM1203" s="4">
        <v>51</v>
      </c>
      <c r="AN1203" s="4">
        <v>0</v>
      </c>
      <c r="AO1203" s="4">
        <v>0</v>
      </c>
      <c r="AP1203" s="4">
        <v>15</v>
      </c>
      <c r="AQ1203" s="4">
        <v>15</v>
      </c>
      <c r="AR1203" s="3" t="s">
        <v>65</v>
      </c>
      <c r="AS1203" s="3" t="s">
        <v>65</v>
      </c>
      <c r="AT1203" s="3" t="s">
        <v>209</v>
      </c>
      <c r="AU1203" s="6" t="str">
        <f>HYPERLINK("http://catalog.hathitrust.org/Record/002494878","HathiTrust Record")</f>
        <v>HathiTrust Record</v>
      </c>
      <c r="AV1203" s="6" t="str">
        <f>HYPERLINK("http://mcgill.on.worldcat.org/oclc/22507992","Catalog Record")</f>
        <v>Catalog Record</v>
      </c>
      <c r="AW1203" s="6" t="str">
        <f>HYPERLINK("http://www.worldcat.org/oclc/22507992","WorldCat Record")</f>
        <v>WorldCat Record</v>
      </c>
      <c r="AX1203" s="3" t="s">
        <v>11749</v>
      </c>
      <c r="AY1203" s="3" t="s">
        <v>11750</v>
      </c>
      <c r="AZ1203" s="3" t="s">
        <v>11751</v>
      </c>
      <c r="BA1203" s="3" t="s">
        <v>11751</v>
      </c>
      <c r="BB1203" s="3" t="s">
        <v>11752</v>
      </c>
      <c r="BC1203" s="3" t="s">
        <v>77</v>
      </c>
      <c r="BD1203" s="3" t="s">
        <v>106</v>
      </c>
      <c r="BE1203" s="3" t="s">
        <v>11753</v>
      </c>
      <c r="BF1203" s="3" t="s">
        <v>11752</v>
      </c>
      <c r="BG1203" s="3" t="s">
        <v>11754</v>
      </c>
    </row>
    <row r="1204" spans="1:59" ht="58" x14ac:dyDescent="0.35">
      <c r="A1204" s="2" t="s">
        <v>59</v>
      </c>
      <c r="B1204" s="2" t="s">
        <v>60</v>
      </c>
      <c r="C1204" s="2" t="s">
        <v>11755</v>
      </c>
      <c r="D1204" s="2" t="s">
        <v>11756</v>
      </c>
      <c r="E1204" s="2" t="s">
        <v>11757</v>
      </c>
      <c r="G1204" s="3" t="s">
        <v>65</v>
      </c>
      <c r="I1204" s="3" t="s">
        <v>65</v>
      </c>
      <c r="J1204" s="3" t="s">
        <v>65</v>
      </c>
      <c r="K1204" s="3" t="s">
        <v>66</v>
      </c>
      <c r="L1204" s="2" t="s">
        <v>11758</v>
      </c>
      <c r="M1204" s="2" t="s">
        <v>11759</v>
      </c>
      <c r="N1204" s="3" t="s">
        <v>139</v>
      </c>
      <c r="P1204" s="3" t="s">
        <v>140</v>
      </c>
      <c r="Q1204" s="2" t="s">
        <v>11760</v>
      </c>
      <c r="R1204" s="3" t="s">
        <v>71</v>
      </c>
      <c r="S1204" s="4">
        <v>1</v>
      </c>
      <c r="T1204" s="4">
        <v>1</v>
      </c>
      <c r="U1204" s="5" t="s">
        <v>11761</v>
      </c>
      <c r="V1204" s="5" t="s">
        <v>11761</v>
      </c>
      <c r="W1204" s="5" t="s">
        <v>72</v>
      </c>
      <c r="X1204" s="5" t="s">
        <v>72</v>
      </c>
      <c r="Y1204" s="4">
        <v>56</v>
      </c>
      <c r="Z1204" s="4">
        <v>7</v>
      </c>
      <c r="AA1204" s="4">
        <v>7</v>
      </c>
      <c r="AB1204" s="4">
        <v>1</v>
      </c>
      <c r="AC1204" s="4">
        <v>1</v>
      </c>
      <c r="AD1204" s="4">
        <v>36</v>
      </c>
      <c r="AE1204" s="4">
        <v>36</v>
      </c>
      <c r="AF1204" s="4">
        <v>0</v>
      </c>
      <c r="AG1204" s="4">
        <v>0</v>
      </c>
      <c r="AH1204" s="4">
        <v>35</v>
      </c>
      <c r="AI1204" s="4">
        <v>35</v>
      </c>
      <c r="AJ1204" s="4">
        <v>3</v>
      </c>
      <c r="AK1204" s="4">
        <v>3</v>
      </c>
      <c r="AL1204" s="4">
        <v>28</v>
      </c>
      <c r="AM1204" s="4">
        <v>28</v>
      </c>
      <c r="AN1204" s="4">
        <v>0</v>
      </c>
      <c r="AO1204" s="4">
        <v>0</v>
      </c>
      <c r="AP1204" s="4">
        <v>3</v>
      </c>
      <c r="AQ1204" s="4">
        <v>3</v>
      </c>
      <c r="AR1204" s="3" t="s">
        <v>65</v>
      </c>
      <c r="AS1204" s="3" t="s">
        <v>65</v>
      </c>
      <c r="AT1204" s="3" t="s">
        <v>65</v>
      </c>
      <c r="AV1204" s="6" t="str">
        <f>HYPERLINK("http://mcgill.on.worldcat.org/oclc/825556304","Catalog Record")</f>
        <v>Catalog Record</v>
      </c>
      <c r="AW1204" s="6" t="str">
        <f>HYPERLINK("http://www.worldcat.org/oclc/825556304","WorldCat Record")</f>
        <v>WorldCat Record</v>
      </c>
      <c r="AX1204" s="3" t="s">
        <v>11762</v>
      </c>
      <c r="AY1204" s="3" t="s">
        <v>11763</v>
      </c>
      <c r="AZ1204" s="3" t="s">
        <v>11764</v>
      </c>
      <c r="BA1204" s="3" t="s">
        <v>11764</v>
      </c>
      <c r="BB1204" s="3" t="s">
        <v>11765</v>
      </c>
      <c r="BC1204" s="3" t="s">
        <v>77</v>
      </c>
      <c r="BD1204" s="3" t="s">
        <v>78</v>
      </c>
      <c r="BE1204" s="3" t="s">
        <v>11766</v>
      </c>
      <c r="BF1204" s="3" t="s">
        <v>11765</v>
      </c>
      <c r="BG1204" s="3" t="s">
        <v>11767</v>
      </c>
    </row>
    <row r="1205" spans="1:59" ht="58" x14ac:dyDescent="0.35">
      <c r="A1205" s="2" t="s">
        <v>59</v>
      </c>
      <c r="B1205" s="2" t="s">
        <v>60</v>
      </c>
      <c r="C1205" s="2" t="s">
        <v>11768</v>
      </c>
      <c r="D1205" s="2" t="s">
        <v>11769</v>
      </c>
      <c r="E1205" s="2" t="s">
        <v>11770</v>
      </c>
      <c r="G1205" s="3" t="s">
        <v>65</v>
      </c>
      <c r="I1205" s="3" t="s">
        <v>65</v>
      </c>
      <c r="J1205" s="3" t="s">
        <v>209</v>
      </c>
      <c r="K1205" s="3" t="s">
        <v>66</v>
      </c>
      <c r="L1205" s="2" t="s">
        <v>11771</v>
      </c>
      <c r="M1205" s="2" t="s">
        <v>11772</v>
      </c>
      <c r="N1205" s="3" t="s">
        <v>863</v>
      </c>
      <c r="P1205" s="3" t="s">
        <v>69</v>
      </c>
      <c r="R1205" s="3" t="s">
        <v>71</v>
      </c>
      <c r="S1205" s="4">
        <v>19</v>
      </c>
      <c r="T1205" s="4">
        <v>19</v>
      </c>
      <c r="U1205" s="5" t="s">
        <v>11773</v>
      </c>
      <c r="V1205" s="5" t="s">
        <v>11773</v>
      </c>
      <c r="W1205" s="5" t="s">
        <v>72</v>
      </c>
      <c r="X1205" s="5" t="s">
        <v>72</v>
      </c>
      <c r="Y1205" s="4">
        <v>27</v>
      </c>
      <c r="Z1205" s="4">
        <v>10</v>
      </c>
      <c r="AA1205" s="4">
        <v>90</v>
      </c>
      <c r="AB1205" s="4">
        <v>1</v>
      </c>
      <c r="AC1205" s="4">
        <v>16</v>
      </c>
      <c r="AD1205" s="4">
        <v>10</v>
      </c>
      <c r="AE1205" s="4">
        <v>147</v>
      </c>
      <c r="AF1205" s="4">
        <v>0</v>
      </c>
      <c r="AG1205" s="4">
        <v>8</v>
      </c>
      <c r="AH1205" s="4">
        <v>10</v>
      </c>
      <c r="AI1205" s="4">
        <v>111</v>
      </c>
      <c r="AJ1205" s="4">
        <v>4</v>
      </c>
      <c r="AK1205" s="4">
        <v>24</v>
      </c>
      <c r="AL1205" s="4">
        <v>6</v>
      </c>
      <c r="AM1205" s="4">
        <v>60</v>
      </c>
      <c r="AN1205" s="4">
        <v>0</v>
      </c>
      <c r="AO1205" s="4">
        <v>0</v>
      </c>
      <c r="AP1205" s="4">
        <v>4</v>
      </c>
      <c r="AQ1205" s="4">
        <v>44</v>
      </c>
      <c r="AR1205" s="3" t="s">
        <v>65</v>
      </c>
      <c r="AS1205" s="3" t="s">
        <v>65</v>
      </c>
      <c r="AT1205" s="3" t="s">
        <v>65</v>
      </c>
      <c r="AV1205" s="6" t="str">
        <f>HYPERLINK("http://mcgill.on.worldcat.org/oclc/60029273","Catalog Record")</f>
        <v>Catalog Record</v>
      </c>
      <c r="AW1205" s="6" t="str">
        <f>HYPERLINK("http://www.worldcat.org/oclc/60029273","WorldCat Record")</f>
        <v>WorldCat Record</v>
      </c>
      <c r="AX1205" s="3" t="s">
        <v>11774</v>
      </c>
      <c r="AY1205" s="3" t="s">
        <v>11775</v>
      </c>
      <c r="AZ1205" s="3" t="s">
        <v>11776</v>
      </c>
      <c r="BA1205" s="3" t="s">
        <v>11776</v>
      </c>
      <c r="BB1205" s="3" t="s">
        <v>11777</v>
      </c>
      <c r="BC1205" s="3" t="s">
        <v>77</v>
      </c>
      <c r="BD1205" s="3" t="s">
        <v>78</v>
      </c>
      <c r="BE1205" s="3" t="s">
        <v>11778</v>
      </c>
      <c r="BF1205" s="3" t="s">
        <v>11777</v>
      </c>
      <c r="BG1205" s="3" t="s">
        <v>11779</v>
      </c>
    </row>
    <row r="1206" spans="1:59" ht="58" x14ac:dyDescent="0.35">
      <c r="A1206" s="2" t="s">
        <v>59</v>
      </c>
      <c r="B1206" s="2" t="s">
        <v>60</v>
      </c>
      <c r="C1206" s="2" t="s">
        <v>11780</v>
      </c>
      <c r="D1206" s="2" t="s">
        <v>11781</v>
      </c>
      <c r="E1206" s="2" t="s">
        <v>11770</v>
      </c>
      <c r="G1206" s="3" t="s">
        <v>65</v>
      </c>
      <c r="I1206" s="3" t="s">
        <v>65</v>
      </c>
      <c r="J1206" s="3" t="s">
        <v>209</v>
      </c>
      <c r="K1206" s="3" t="s">
        <v>66</v>
      </c>
      <c r="L1206" s="2" t="s">
        <v>11782</v>
      </c>
      <c r="M1206" s="2" t="s">
        <v>11783</v>
      </c>
      <c r="N1206" s="3" t="s">
        <v>164</v>
      </c>
      <c r="P1206" s="3" t="s">
        <v>69</v>
      </c>
      <c r="Q1206" s="2" t="s">
        <v>11784</v>
      </c>
      <c r="R1206" s="3" t="s">
        <v>71</v>
      </c>
      <c r="S1206" s="4">
        <v>1</v>
      </c>
      <c r="T1206" s="4">
        <v>1</v>
      </c>
      <c r="U1206" s="5" t="s">
        <v>11785</v>
      </c>
      <c r="V1206" s="5" t="s">
        <v>11785</v>
      </c>
      <c r="W1206" s="5" t="s">
        <v>72</v>
      </c>
      <c r="X1206" s="5" t="s">
        <v>72</v>
      </c>
      <c r="Y1206" s="4">
        <v>11</v>
      </c>
      <c r="Z1206" s="4">
        <v>1</v>
      </c>
      <c r="AA1206" s="4">
        <v>90</v>
      </c>
      <c r="AB1206" s="4">
        <v>1</v>
      </c>
      <c r="AC1206" s="4">
        <v>16</v>
      </c>
      <c r="AD1206" s="4">
        <v>1</v>
      </c>
      <c r="AE1206" s="4">
        <v>147</v>
      </c>
      <c r="AF1206" s="4">
        <v>0</v>
      </c>
      <c r="AG1206" s="4">
        <v>8</v>
      </c>
      <c r="AH1206" s="4">
        <v>1</v>
      </c>
      <c r="AI1206" s="4">
        <v>111</v>
      </c>
      <c r="AJ1206" s="4">
        <v>0</v>
      </c>
      <c r="AK1206" s="4">
        <v>24</v>
      </c>
      <c r="AL1206" s="4">
        <v>1</v>
      </c>
      <c r="AM1206" s="4">
        <v>60</v>
      </c>
      <c r="AN1206" s="4">
        <v>0</v>
      </c>
      <c r="AO1206" s="4">
        <v>0</v>
      </c>
      <c r="AP1206" s="4">
        <v>0</v>
      </c>
      <c r="AQ1206" s="4">
        <v>44</v>
      </c>
      <c r="AR1206" s="3" t="s">
        <v>65</v>
      </c>
      <c r="AS1206" s="3" t="s">
        <v>65</v>
      </c>
      <c r="AT1206" s="3" t="s">
        <v>65</v>
      </c>
      <c r="AV1206" s="6" t="str">
        <f>HYPERLINK("http://mcgill.on.worldcat.org/oclc/890439793","Catalog Record")</f>
        <v>Catalog Record</v>
      </c>
      <c r="AW1206" s="6" t="str">
        <f>HYPERLINK("http://www.worldcat.org/oclc/890439793","WorldCat Record")</f>
        <v>WorldCat Record</v>
      </c>
      <c r="AX1206" s="3" t="s">
        <v>11774</v>
      </c>
      <c r="AY1206" s="3" t="s">
        <v>11786</v>
      </c>
      <c r="AZ1206" s="3" t="s">
        <v>11787</v>
      </c>
      <c r="BA1206" s="3" t="s">
        <v>11787</v>
      </c>
      <c r="BB1206" s="3" t="s">
        <v>11788</v>
      </c>
      <c r="BC1206" s="3" t="s">
        <v>77</v>
      </c>
      <c r="BD1206" s="3" t="s">
        <v>78</v>
      </c>
      <c r="BE1206" s="3" t="s">
        <v>11789</v>
      </c>
      <c r="BF1206" s="3" t="s">
        <v>11788</v>
      </c>
      <c r="BG1206" s="3" t="s">
        <v>11790</v>
      </c>
    </row>
    <row r="1207" spans="1:59" ht="58" x14ac:dyDescent="0.35">
      <c r="A1207" s="2" t="s">
        <v>59</v>
      </c>
      <c r="B1207" s="2" t="s">
        <v>60</v>
      </c>
      <c r="C1207" s="2" t="s">
        <v>11791</v>
      </c>
      <c r="D1207" s="2" t="s">
        <v>11792</v>
      </c>
      <c r="E1207" s="2" t="s">
        <v>11793</v>
      </c>
      <c r="G1207" s="3" t="s">
        <v>65</v>
      </c>
      <c r="I1207" s="3" t="s">
        <v>209</v>
      </c>
      <c r="J1207" s="3" t="s">
        <v>209</v>
      </c>
      <c r="K1207" s="3" t="s">
        <v>66</v>
      </c>
      <c r="L1207" s="2" t="s">
        <v>11794</v>
      </c>
      <c r="M1207" s="2" t="s">
        <v>11795</v>
      </c>
      <c r="N1207" s="3" t="s">
        <v>3994</v>
      </c>
      <c r="O1207" s="2" t="s">
        <v>11796</v>
      </c>
      <c r="P1207" s="3" t="s">
        <v>69</v>
      </c>
      <c r="Q1207" s="2" t="s">
        <v>11797</v>
      </c>
      <c r="R1207" s="3" t="s">
        <v>71</v>
      </c>
      <c r="S1207" s="4">
        <v>28</v>
      </c>
      <c r="T1207" s="4">
        <v>35</v>
      </c>
      <c r="U1207" s="5" t="s">
        <v>11798</v>
      </c>
      <c r="V1207" s="5" t="s">
        <v>11798</v>
      </c>
      <c r="W1207" s="5" t="s">
        <v>72</v>
      </c>
      <c r="X1207" s="5" t="s">
        <v>72</v>
      </c>
      <c r="Y1207" s="4">
        <v>210</v>
      </c>
      <c r="Z1207" s="4">
        <v>9</v>
      </c>
      <c r="AA1207" s="4">
        <v>22</v>
      </c>
      <c r="AB1207" s="4">
        <v>1</v>
      </c>
      <c r="AC1207" s="4">
        <v>4</v>
      </c>
      <c r="AD1207" s="4">
        <v>56</v>
      </c>
      <c r="AE1207" s="4">
        <v>105</v>
      </c>
      <c r="AF1207" s="4">
        <v>0</v>
      </c>
      <c r="AG1207" s="4">
        <v>0</v>
      </c>
      <c r="AH1207" s="4">
        <v>54</v>
      </c>
      <c r="AI1207" s="4">
        <v>97</v>
      </c>
      <c r="AJ1207" s="4">
        <v>8</v>
      </c>
      <c r="AK1207" s="4">
        <v>14</v>
      </c>
      <c r="AL1207" s="4">
        <v>26</v>
      </c>
      <c r="AM1207" s="4">
        <v>52</v>
      </c>
      <c r="AN1207" s="4">
        <v>5</v>
      </c>
      <c r="AO1207" s="4">
        <v>5</v>
      </c>
      <c r="AP1207" s="4">
        <v>8</v>
      </c>
      <c r="AQ1207" s="4">
        <v>14</v>
      </c>
      <c r="AR1207" s="3" t="s">
        <v>65</v>
      </c>
      <c r="AS1207" s="3" t="s">
        <v>65</v>
      </c>
      <c r="AT1207" s="3" t="s">
        <v>209</v>
      </c>
      <c r="AU1207" s="6" t="str">
        <f>HYPERLINK("http://catalog.hathitrust.org/Record/000907544","HathiTrust Record")</f>
        <v>HathiTrust Record</v>
      </c>
      <c r="AV1207" s="6" t="str">
        <f>HYPERLINK("http://mcgill.on.worldcat.org/oclc/259020","Catalog Record")</f>
        <v>Catalog Record</v>
      </c>
      <c r="AW1207" s="6" t="str">
        <f>HYPERLINK("http://www.worldcat.org/oclc/259020","WorldCat Record")</f>
        <v>WorldCat Record</v>
      </c>
      <c r="AX1207" s="3" t="s">
        <v>11799</v>
      </c>
      <c r="AY1207" s="3" t="s">
        <v>11800</v>
      </c>
      <c r="AZ1207" s="3" t="s">
        <v>11801</v>
      </c>
      <c r="BA1207" s="3" t="s">
        <v>11801</v>
      </c>
      <c r="BB1207" s="3" t="s">
        <v>11802</v>
      </c>
      <c r="BC1207" s="3" t="s">
        <v>77</v>
      </c>
      <c r="BD1207" s="3" t="s">
        <v>78</v>
      </c>
      <c r="BF1207" s="3" t="s">
        <v>11802</v>
      </c>
      <c r="BG1207" s="3" t="s">
        <v>11803</v>
      </c>
    </row>
    <row r="1208" spans="1:59" ht="58" x14ac:dyDescent="0.35">
      <c r="A1208" s="2" t="s">
        <v>59</v>
      </c>
      <c r="B1208" s="2" t="s">
        <v>60</v>
      </c>
      <c r="C1208" s="2" t="s">
        <v>11804</v>
      </c>
      <c r="D1208" s="2" t="s">
        <v>11805</v>
      </c>
      <c r="E1208" s="2" t="s">
        <v>11806</v>
      </c>
      <c r="G1208" s="3" t="s">
        <v>65</v>
      </c>
      <c r="I1208" s="3" t="s">
        <v>209</v>
      </c>
      <c r="J1208" s="3" t="s">
        <v>65</v>
      </c>
      <c r="K1208" s="3" t="s">
        <v>66</v>
      </c>
      <c r="L1208" s="2" t="s">
        <v>11807</v>
      </c>
      <c r="M1208" s="2" t="s">
        <v>11808</v>
      </c>
      <c r="N1208" s="3" t="s">
        <v>11809</v>
      </c>
      <c r="P1208" s="3" t="s">
        <v>616</v>
      </c>
      <c r="Q1208" s="2" t="s">
        <v>11810</v>
      </c>
      <c r="R1208" s="3" t="s">
        <v>71</v>
      </c>
      <c r="S1208" s="4">
        <v>0</v>
      </c>
      <c r="T1208" s="4">
        <v>1</v>
      </c>
      <c r="V1208" s="5" t="s">
        <v>8178</v>
      </c>
      <c r="W1208" s="5" t="s">
        <v>72</v>
      </c>
      <c r="X1208" s="5" t="s">
        <v>72</v>
      </c>
      <c r="Y1208" s="4">
        <v>63</v>
      </c>
      <c r="Z1208" s="4">
        <v>7</v>
      </c>
      <c r="AA1208" s="4">
        <v>18</v>
      </c>
      <c r="AB1208" s="4">
        <v>1</v>
      </c>
      <c r="AC1208" s="4">
        <v>4</v>
      </c>
      <c r="AD1208" s="4">
        <v>27</v>
      </c>
      <c r="AE1208" s="4">
        <v>55</v>
      </c>
      <c r="AF1208" s="4">
        <v>0</v>
      </c>
      <c r="AG1208" s="4">
        <v>1</v>
      </c>
      <c r="AH1208" s="4">
        <v>23</v>
      </c>
      <c r="AI1208" s="4">
        <v>46</v>
      </c>
      <c r="AJ1208" s="4">
        <v>4</v>
      </c>
      <c r="AK1208" s="4">
        <v>11</v>
      </c>
      <c r="AL1208" s="4">
        <v>19</v>
      </c>
      <c r="AM1208" s="4">
        <v>32</v>
      </c>
      <c r="AN1208" s="4">
        <v>0</v>
      </c>
      <c r="AO1208" s="4">
        <v>0</v>
      </c>
      <c r="AP1208" s="4">
        <v>5</v>
      </c>
      <c r="AQ1208" s="4">
        <v>11</v>
      </c>
      <c r="AR1208" s="3" t="s">
        <v>65</v>
      </c>
      <c r="AS1208" s="3" t="s">
        <v>65</v>
      </c>
      <c r="AT1208" s="3" t="s">
        <v>65</v>
      </c>
      <c r="AU1208" s="6" t="str">
        <f>HYPERLINK("http://catalog.hathitrust.org/Record/001660344","HathiTrust Record")</f>
        <v>HathiTrust Record</v>
      </c>
      <c r="AV1208" s="6" t="str">
        <f>HYPERLINK("http://mcgill.on.worldcat.org/oclc/11156371","Catalog Record")</f>
        <v>Catalog Record</v>
      </c>
      <c r="AW1208" s="6" t="str">
        <f>HYPERLINK("http://www.worldcat.org/oclc/11156371","WorldCat Record")</f>
        <v>WorldCat Record</v>
      </c>
      <c r="AX1208" s="3" t="s">
        <v>11811</v>
      </c>
      <c r="AY1208" s="3" t="s">
        <v>11812</v>
      </c>
      <c r="AZ1208" s="3" t="s">
        <v>11813</v>
      </c>
      <c r="BA1208" s="3" t="s">
        <v>11813</v>
      </c>
      <c r="BB1208" s="3" t="s">
        <v>11814</v>
      </c>
      <c r="BC1208" s="3" t="s">
        <v>77</v>
      </c>
      <c r="BD1208" s="3" t="s">
        <v>78</v>
      </c>
      <c r="BF1208" s="3" t="s">
        <v>11814</v>
      </c>
      <c r="BG1208" s="3" t="s">
        <v>11815</v>
      </c>
    </row>
    <row r="1209" spans="1:59" ht="58" x14ac:dyDescent="0.35">
      <c r="A1209" s="2" t="s">
        <v>59</v>
      </c>
      <c r="B1209" s="2" t="s">
        <v>60</v>
      </c>
      <c r="C1209" s="2" t="s">
        <v>11816</v>
      </c>
      <c r="D1209" s="2" t="s">
        <v>11817</v>
      </c>
      <c r="E1209" s="2" t="s">
        <v>11818</v>
      </c>
      <c r="G1209" s="3" t="s">
        <v>65</v>
      </c>
      <c r="I1209" s="3" t="s">
        <v>65</v>
      </c>
      <c r="J1209" s="3" t="s">
        <v>65</v>
      </c>
      <c r="K1209" s="3" t="s">
        <v>66</v>
      </c>
      <c r="L1209" s="2" t="s">
        <v>11819</v>
      </c>
      <c r="M1209" s="2" t="s">
        <v>4921</v>
      </c>
      <c r="N1209" s="3" t="s">
        <v>139</v>
      </c>
      <c r="P1209" s="3" t="s">
        <v>140</v>
      </c>
      <c r="Q1209" s="2" t="s">
        <v>11820</v>
      </c>
      <c r="R1209" s="3" t="s">
        <v>71</v>
      </c>
      <c r="S1209" s="4">
        <v>0</v>
      </c>
      <c r="T1209" s="4">
        <v>0</v>
      </c>
      <c r="W1209" s="5" t="s">
        <v>72</v>
      </c>
      <c r="X1209" s="5" t="s">
        <v>72</v>
      </c>
      <c r="Y1209" s="4">
        <v>8</v>
      </c>
      <c r="Z1209" s="4">
        <v>1</v>
      </c>
      <c r="AA1209" s="4">
        <v>1</v>
      </c>
      <c r="AB1209" s="4">
        <v>1</v>
      </c>
      <c r="AC1209" s="4">
        <v>1</v>
      </c>
      <c r="AD1209" s="4">
        <v>2</v>
      </c>
      <c r="AE1209" s="4">
        <v>2</v>
      </c>
      <c r="AF1209" s="4">
        <v>0</v>
      </c>
      <c r="AG1209" s="4">
        <v>0</v>
      </c>
      <c r="AH1209" s="4">
        <v>2</v>
      </c>
      <c r="AI1209" s="4">
        <v>2</v>
      </c>
      <c r="AJ1209" s="4">
        <v>0</v>
      </c>
      <c r="AK1209" s="4">
        <v>0</v>
      </c>
      <c r="AL1209" s="4">
        <v>1</v>
      </c>
      <c r="AM1209" s="4">
        <v>1</v>
      </c>
      <c r="AN1209" s="4">
        <v>0</v>
      </c>
      <c r="AO1209" s="4">
        <v>0</v>
      </c>
      <c r="AP1209" s="4">
        <v>0</v>
      </c>
      <c r="AQ1209" s="4">
        <v>0</v>
      </c>
      <c r="AR1209" s="3" t="s">
        <v>65</v>
      </c>
      <c r="AS1209" s="3" t="s">
        <v>65</v>
      </c>
      <c r="AT1209" s="3" t="s">
        <v>65</v>
      </c>
      <c r="AV1209" s="6" t="str">
        <f>HYPERLINK("http://mcgill.on.worldcat.org/oclc/798610407","Catalog Record")</f>
        <v>Catalog Record</v>
      </c>
      <c r="AW1209" s="6" t="str">
        <f>HYPERLINK("http://www.worldcat.org/oclc/798610407","WorldCat Record")</f>
        <v>WorldCat Record</v>
      </c>
      <c r="AX1209" s="3" t="s">
        <v>11821</v>
      </c>
      <c r="AY1209" s="3" t="s">
        <v>11822</v>
      </c>
      <c r="AZ1209" s="3" t="s">
        <v>11823</v>
      </c>
      <c r="BA1209" s="3" t="s">
        <v>11823</v>
      </c>
      <c r="BB1209" s="3" t="s">
        <v>11824</v>
      </c>
      <c r="BC1209" s="3" t="s">
        <v>77</v>
      </c>
      <c r="BD1209" s="3" t="s">
        <v>78</v>
      </c>
      <c r="BE1209" s="3" t="s">
        <v>11825</v>
      </c>
      <c r="BF1209" s="3" t="s">
        <v>11824</v>
      </c>
      <c r="BG1209" s="3" t="s">
        <v>11826</v>
      </c>
    </row>
    <row r="1210" spans="1:59" ht="58" x14ac:dyDescent="0.35">
      <c r="A1210" s="2" t="s">
        <v>59</v>
      </c>
      <c r="B1210" s="2" t="s">
        <v>60</v>
      </c>
      <c r="C1210" s="2" t="s">
        <v>11827</v>
      </c>
      <c r="D1210" s="2" t="s">
        <v>11828</v>
      </c>
      <c r="E1210" s="2" t="s">
        <v>11829</v>
      </c>
      <c r="G1210" s="3" t="s">
        <v>65</v>
      </c>
      <c r="I1210" s="3" t="s">
        <v>65</v>
      </c>
      <c r="J1210" s="3" t="s">
        <v>65</v>
      </c>
      <c r="K1210" s="3" t="s">
        <v>66</v>
      </c>
      <c r="L1210" s="2" t="s">
        <v>8654</v>
      </c>
      <c r="M1210" s="2" t="s">
        <v>11830</v>
      </c>
      <c r="N1210" s="3" t="s">
        <v>5961</v>
      </c>
      <c r="P1210" s="3" t="s">
        <v>69</v>
      </c>
      <c r="R1210" s="3" t="s">
        <v>71</v>
      </c>
      <c r="S1210" s="4">
        <v>16</v>
      </c>
      <c r="T1210" s="4">
        <v>16</v>
      </c>
      <c r="U1210" s="5" t="s">
        <v>11831</v>
      </c>
      <c r="V1210" s="5" t="s">
        <v>11831</v>
      </c>
      <c r="W1210" s="5" t="s">
        <v>72</v>
      </c>
      <c r="X1210" s="5" t="s">
        <v>72</v>
      </c>
      <c r="Y1210" s="4">
        <v>536</v>
      </c>
      <c r="Z1210" s="4">
        <v>34</v>
      </c>
      <c r="AA1210" s="4">
        <v>36</v>
      </c>
      <c r="AB1210" s="4">
        <v>3</v>
      </c>
      <c r="AC1210" s="4">
        <v>4</v>
      </c>
      <c r="AD1210" s="4">
        <v>122</v>
      </c>
      <c r="AE1210" s="4">
        <v>125</v>
      </c>
      <c r="AF1210" s="4">
        <v>1</v>
      </c>
      <c r="AG1210" s="4">
        <v>2</v>
      </c>
      <c r="AH1210" s="4">
        <v>108</v>
      </c>
      <c r="AI1210" s="4">
        <v>110</v>
      </c>
      <c r="AJ1210" s="4">
        <v>18</v>
      </c>
      <c r="AK1210" s="4">
        <v>20</v>
      </c>
      <c r="AL1210" s="4">
        <v>57</v>
      </c>
      <c r="AM1210" s="4">
        <v>58</v>
      </c>
      <c r="AN1210" s="4">
        <v>0</v>
      </c>
      <c r="AO1210" s="4">
        <v>0</v>
      </c>
      <c r="AP1210" s="4">
        <v>20</v>
      </c>
      <c r="AQ1210" s="4">
        <v>21</v>
      </c>
      <c r="AR1210" s="3" t="s">
        <v>65</v>
      </c>
      <c r="AS1210" s="3" t="s">
        <v>65</v>
      </c>
      <c r="AT1210" s="3" t="s">
        <v>65</v>
      </c>
      <c r="AV1210" s="6" t="str">
        <f>HYPERLINK("http://mcgill.on.worldcat.org/oclc/12555561","Catalog Record")</f>
        <v>Catalog Record</v>
      </c>
      <c r="AW1210" s="6" t="str">
        <f>HYPERLINK("http://www.worldcat.org/oclc/12555561","WorldCat Record")</f>
        <v>WorldCat Record</v>
      </c>
      <c r="AX1210" s="3" t="s">
        <v>11832</v>
      </c>
      <c r="AY1210" s="3" t="s">
        <v>11833</v>
      </c>
      <c r="AZ1210" s="3" t="s">
        <v>11834</v>
      </c>
      <c r="BA1210" s="3" t="s">
        <v>11834</v>
      </c>
      <c r="BB1210" s="3" t="s">
        <v>11835</v>
      </c>
      <c r="BC1210" s="3" t="s">
        <v>77</v>
      </c>
      <c r="BD1210" s="3" t="s">
        <v>78</v>
      </c>
      <c r="BE1210" s="3" t="s">
        <v>11836</v>
      </c>
      <c r="BF1210" s="3" t="s">
        <v>11835</v>
      </c>
      <c r="BG1210" s="3" t="s">
        <v>11837</v>
      </c>
    </row>
    <row r="1211" spans="1:59" ht="58" x14ac:dyDescent="0.35">
      <c r="A1211" s="2" t="s">
        <v>59</v>
      </c>
      <c r="B1211" s="2" t="s">
        <v>60</v>
      </c>
      <c r="C1211" s="2" t="s">
        <v>11838</v>
      </c>
      <c r="D1211" s="2" t="s">
        <v>11839</v>
      </c>
      <c r="E1211" s="2" t="s">
        <v>11840</v>
      </c>
      <c r="G1211" s="3" t="s">
        <v>65</v>
      </c>
      <c r="I1211" s="3" t="s">
        <v>65</v>
      </c>
      <c r="J1211" s="3" t="s">
        <v>65</v>
      </c>
      <c r="K1211" s="3" t="s">
        <v>66</v>
      </c>
      <c r="L1211" s="2" t="s">
        <v>11841</v>
      </c>
      <c r="M1211" s="2" t="s">
        <v>11842</v>
      </c>
      <c r="N1211" s="3" t="s">
        <v>99</v>
      </c>
      <c r="P1211" s="3" t="s">
        <v>69</v>
      </c>
      <c r="Q1211" s="2" t="s">
        <v>11843</v>
      </c>
      <c r="R1211" s="3" t="s">
        <v>71</v>
      </c>
      <c r="S1211" s="4">
        <v>5</v>
      </c>
      <c r="T1211" s="4">
        <v>5</v>
      </c>
      <c r="U1211" s="5" t="s">
        <v>10698</v>
      </c>
      <c r="V1211" s="5" t="s">
        <v>10698</v>
      </c>
      <c r="W1211" s="5" t="s">
        <v>72</v>
      </c>
      <c r="X1211" s="5" t="s">
        <v>72</v>
      </c>
      <c r="Y1211" s="4">
        <v>385</v>
      </c>
      <c r="Z1211" s="4">
        <v>20</v>
      </c>
      <c r="AA1211" s="4">
        <v>38</v>
      </c>
      <c r="AB1211" s="4">
        <v>2</v>
      </c>
      <c r="AC1211" s="4">
        <v>5</v>
      </c>
      <c r="AD1211" s="4">
        <v>104</v>
      </c>
      <c r="AE1211" s="4">
        <v>122</v>
      </c>
      <c r="AF1211" s="4">
        <v>1</v>
      </c>
      <c r="AG1211" s="4">
        <v>2</v>
      </c>
      <c r="AH1211" s="4">
        <v>93</v>
      </c>
      <c r="AI1211" s="4">
        <v>102</v>
      </c>
      <c r="AJ1211" s="4">
        <v>12</v>
      </c>
      <c r="AK1211" s="4">
        <v>15</v>
      </c>
      <c r="AL1211" s="4">
        <v>55</v>
      </c>
      <c r="AM1211" s="4">
        <v>58</v>
      </c>
      <c r="AN1211" s="4">
        <v>0</v>
      </c>
      <c r="AO1211" s="4">
        <v>0</v>
      </c>
      <c r="AP1211" s="4">
        <v>16</v>
      </c>
      <c r="AQ1211" s="4">
        <v>26</v>
      </c>
      <c r="AR1211" s="3" t="s">
        <v>65</v>
      </c>
      <c r="AS1211" s="3" t="s">
        <v>65</v>
      </c>
      <c r="AT1211" s="3" t="s">
        <v>65</v>
      </c>
      <c r="AV1211" s="6" t="str">
        <f>HYPERLINK("http://mcgill.on.worldcat.org/oclc/61881191","Catalog Record")</f>
        <v>Catalog Record</v>
      </c>
      <c r="AW1211" s="6" t="str">
        <f>HYPERLINK("http://www.worldcat.org/oclc/61881191","WorldCat Record")</f>
        <v>WorldCat Record</v>
      </c>
      <c r="AX1211" s="3" t="s">
        <v>11844</v>
      </c>
      <c r="AY1211" s="3" t="s">
        <v>11845</v>
      </c>
      <c r="AZ1211" s="3" t="s">
        <v>11846</v>
      </c>
      <c r="BA1211" s="3" t="s">
        <v>11846</v>
      </c>
      <c r="BB1211" s="3" t="s">
        <v>11847</v>
      </c>
      <c r="BC1211" s="3" t="s">
        <v>77</v>
      </c>
      <c r="BD1211" s="3" t="s">
        <v>78</v>
      </c>
      <c r="BE1211" s="3" t="s">
        <v>11848</v>
      </c>
      <c r="BF1211" s="3" t="s">
        <v>11847</v>
      </c>
      <c r="BG1211" s="3" t="s">
        <v>11849</v>
      </c>
    </row>
    <row r="1212" spans="1:59" ht="58" x14ac:dyDescent="0.35">
      <c r="A1212" s="2" t="s">
        <v>59</v>
      </c>
      <c r="B1212" s="2" t="s">
        <v>60</v>
      </c>
      <c r="C1212" s="2" t="s">
        <v>11850</v>
      </c>
      <c r="D1212" s="2" t="s">
        <v>11851</v>
      </c>
      <c r="E1212" s="2" t="s">
        <v>11852</v>
      </c>
      <c r="G1212" s="3" t="s">
        <v>65</v>
      </c>
      <c r="I1212" s="3" t="s">
        <v>65</v>
      </c>
      <c r="J1212" s="3" t="s">
        <v>65</v>
      </c>
      <c r="K1212" s="3" t="s">
        <v>66</v>
      </c>
      <c r="L1212" s="2" t="s">
        <v>8810</v>
      </c>
      <c r="M1212" s="2" t="s">
        <v>11853</v>
      </c>
      <c r="N1212" s="3" t="s">
        <v>7187</v>
      </c>
      <c r="P1212" s="3" t="s">
        <v>69</v>
      </c>
      <c r="R1212" s="3" t="s">
        <v>71</v>
      </c>
      <c r="S1212" s="4">
        <v>30</v>
      </c>
      <c r="T1212" s="4">
        <v>30</v>
      </c>
      <c r="U1212" s="5" t="s">
        <v>4391</v>
      </c>
      <c r="V1212" s="5" t="s">
        <v>4391</v>
      </c>
      <c r="W1212" s="5" t="s">
        <v>72</v>
      </c>
      <c r="X1212" s="5" t="s">
        <v>72</v>
      </c>
      <c r="Y1212" s="4">
        <v>281</v>
      </c>
      <c r="Z1212" s="4">
        <v>18</v>
      </c>
      <c r="AA1212" s="4">
        <v>22</v>
      </c>
      <c r="AB1212" s="4">
        <v>2</v>
      </c>
      <c r="AC1212" s="4">
        <v>3</v>
      </c>
      <c r="AD1212" s="4">
        <v>64</v>
      </c>
      <c r="AE1212" s="4">
        <v>72</v>
      </c>
      <c r="AF1212" s="4">
        <v>1</v>
      </c>
      <c r="AG1212" s="4">
        <v>2</v>
      </c>
      <c r="AH1212" s="4">
        <v>57</v>
      </c>
      <c r="AI1212" s="4">
        <v>65</v>
      </c>
      <c r="AJ1212" s="4">
        <v>7</v>
      </c>
      <c r="AK1212" s="4">
        <v>10</v>
      </c>
      <c r="AL1212" s="4">
        <v>30</v>
      </c>
      <c r="AM1212" s="4">
        <v>33</v>
      </c>
      <c r="AN1212" s="4">
        <v>0</v>
      </c>
      <c r="AO1212" s="4">
        <v>0</v>
      </c>
      <c r="AP1212" s="4">
        <v>12</v>
      </c>
      <c r="AQ1212" s="4">
        <v>15</v>
      </c>
      <c r="AR1212" s="3" t="s">
        <v>65</v>
      </c>
      <c r="AS1212" s="3" t="s">
        <v>65</v>
      </c>
      <c r="AT1212" s="3" t="s">
        <v>209</v>
      </c>
      <c r="AU1212" s="6" t="str">
        <f>HYPERLINK("http://catalog.hathitrust.org/Record/000707645","HathiTrust Record")</f>
        <v>HathiTrust Record</v>
      </c>
      <c r="AV1212" s="6" t="str">
        <f>HYPERLINK("http://mcgill.on.worldcat.org/oclc/2984489","Catalog Record")</f>
        <v>Catalog Record</v>
      </c>
      <c r="AW1212" s="6" t="str">
        <f>HYPERLINK("http://www.worldcat.org/oclc/2984489","WorldCat Record")</f>
        <v>WorldCat Record</v>
      </c>
      <c r="AX1212" s="3" t="s">
        <v>11854</v>
      </c>
      <c r="AY1212" s="3" t="s">
        <v>11855</v>
      </c>
      <c r="AZ1212" s="3" t="s">
        <v>11856</v>
      </c>
      <c r="BA1212" s="3" t="s">
        <v>11856</v>
      </c>
      <c r="BB1212" s="3" t="s">
        <v>11857</v>
      </c>
      <c r="BC1212" s="3" t="s">
        <v>77</v>
      </c>
      <c r="BD1212" s="3" t="s">
        <v>78</v>
      </c>
      <c r="BE1212" s="3" t="s">
        <v>11858</v>
      </c>
      <c r="BF1212" s="3" t="s">
        <v>11857</v>
      </c>
      <c r="BG1212" s="3" t="s">
        <v>11859</v>
      </c>
    </row>
    <row r="1213" spans="1:59" ht="58" x14ac:dyDescent="0.35">
      <c r="A1213" s="2" t="s">
        <v>59</v>
      </c>
      <c r="B1213" s="2" t="s">
        <v>60</v>
      </c>
      <c r="C1213" s="2" t="s">
        <v>11860</v>
      </c>
      <c r="D1213" s="2" t="s">
        <v>11861</v>
      </c>
      <c r="E1213" s="2" t="s">
        <v>11862</v>
      </c>
      <c r="G1213" s="3" t="s">
        <v>65</v>
      </c>
      <c r="I1213" s="3" t="s">
        <v>65</v>
      </c>
      <c r="J1213" s="3" t="s">
        <v>65</v>
      </c>
      <c r="K1213" s="3" t="s">
        <v>66</v>
      </c>
      <c r="L1213" s="2" t="s">
        <v>11863</v>
      </c>
      <c r="M1213" s="2" t="s">
        <v>11864</v>
      </c>
      <c r="N1213" s="3" t="s">
        <v>2460</v>
      </c>
      <c r="P1213" s="3" t="s">
        <v>69</v>
      </c>
      <c r="Q1213" s="2" t="s">
        <v>11865</v>
      </c>
      <c r="R1213" s="3" t="s">
        <v>71</v>
      </c>
      <c r="S1213" s="4">
        <v>12</v>
      </c>
      <c r="T1213" s="4">
        <v>12</v>
      </c>
      <c r="U1213" s="5" t="s">
        <v>10893</v>
      </c>
      <c r="V1213" s="5" t="s">
        <v>10893</v>
      </c>
      <c r="W1213" s="5" t="s">
        <v>72</v>
      </c>
      <c r="X1213" s="5" t="s">
        <v>72</v>
      </c>
      <c r="Y1213" s="4">
        <v>368</v>
      </c>
      <c r="Z1213" s="4">
        <v>22</v>
      </c>
      <c r="AA1213" s="4">
        <v>23</v>
      </c>
      <c r="AB1213" s="4">
        <v>3</v>
      </c>
      <c r="AC1213" s="4">
        <v>3</v>
      </c>
      <c r="AD1213" s="4">
        <v>105</v>
      </c>
      <c r="AE1213" s="4">
        <v>106</v>
      </c>
      <c r="AF1213" s="4">
        <v>1</v>
      </c>
      <c r="AG1213" s="4">
        <v>1</v>
      </c>
      <c r="AH1213" s="4">
        <v>94</v>
      </c>
      <c r="AI1213" s="4">
        <v>94</v>
      </c>
      <c r="AJ1213" s="4">
        <v>13</v>
      </c>
      <c r="AK1213" s="4">
        <v>14</v>
      </c>
      <c r="AL1213" s="4">
        <v>56</v>
      </c>
      <c r="AM1213" s="4">
        <v>56</v>
      </c>
      <c r="AN1213" s="4">
        <v>0</v>
      </c>
      <c r="AO1213" s="4">
        <v>0</v>
      </c>
      <c r="AP1213" s="4">
        <v>15</v>
      </c>
      <c r="AQ1213" s="4">
        <v>16</v>
      </c>
      <c r="AR1213" s="3" t="s">
        <v>65</v>
      </c>
      <c r="AS1213" s="3" t="s">
        <v>65</v>
      </c>
      <c r="AT1213" s="3" t="s">
        <v>65</v>
      </c>
      <c r="AV1213" s="6" t="str">
        <f>HYPERLINK("http://mcgill.on.worldcat.org/oclc/16085011","Catalog Record")</f>
        <v>Catalog Record</v>
      </c>
      <c r="AW1213" s="6" t="str">
        <f>HYPERLINK("http://www.worldcat.org/oclc/16085011","WorldCat Record")</f>
        <v>WorldCat Record</v>
      </c>
      <c r="AX1213" s="3" t="s">
        <v>11866</v>
      </c>
      <c r="AY1213" s="3" t="s">
        <v>11867</v>
      </c>
      <c r="AZ1213" s="3" t="s">
        <v>11868</v>
      </c>
      <c r="BA1213" s="3" t="s">
        <v>11868</v>
      </c>
      <c r="BB1213" s="3" t="s">
        <v>11869</v>
      </c>
      <c r="BC1213" s="3" t="s">
        <v>77</v>
      </c>
      <c r="BD1213" s="3" t="s">
        <v>78</v>
      </c>
      <c r="BE1213" s="3" t="s">
        <v>11870</v>
      </c>
      <c r="BF1213" s="3" t="s">
        <v>11869</v>
      </c>
      <c r="BG1213" s="3" t="s">
        <v>11871</v>
      </c>
    </row>
    <row r="1214" spans="1:59" ht="58" x14ac:dyDescent="0.35">
      <c r="A1214" s="2" t="s">
        <v>59</v>
      </c>
      <c r="B1214" s="2" t="s">
        <v>60</v>
      </c>
      <c r="C1214" s="2" t="s">
        <v>11872</v>
      </c>
      <c r="D1214" s="2" t="s">
        <v>11873</v>
      </c>
      <c r="E1214" s="2" t="s">
        <v>11874</v>
      </c>
      <c r="G1214" s="3" t="s">
        <v>65</v>
      </c>
      <c r="I1214" s="3" t="s">
        <v>65</v>
      </c>
      <c r="J1214" s="3" t="s">
        <v>65</v>
      </c>
      <c r="K1214" s="3" t="s">
        <v>66</v>
      </c>
      <c r="L1214" s="2" t="s">
        <v>11875</v>
      </c>
      <c r="M1214" s="2" t="s">
        <v>11876</v>
      </c>
      <c r="N1214" s="3" t="s">
        <v>2377</v>
      </c>
      <c r="P1214" s="3" t="s">
        <v>140</v>
      </c>
      <c r="Q1214" s="2" t="s">
        <v>11877</v>
      </c>
      <c r="R1214" s="3" t="s">
        <v>71</v>
      </c>
      <c r="S1214" s="4">
        <v>4</v>
      </c>
      <c r="T1214" s="4">
        <v>4</v>
      </c>
      <c r="U1214" s="5" t="s">
        <v>4391</v>
      </c>
      <c r="V1214" s="5" t="s">
        <v>4391</v>
      </c>
      <c r="W1214" s="5" t="s">
        <v>72</v>
      </c>
      <c r="X1214" s="5" t="s">
        <v>72</v>
      </c>
      <c r="Y1214" s="4">
        <v>113</v>
      </c>
      <c r="Z1214" s="4">
        <v>7</v>
      </c>
      <c r="AA1214" s="4">
        <v>7</v>
      </c>
      <c r="AB1214" s="4">
        <v>1</v>
      </c>
      <c r="AC1214" s="4">
        <v>1</v>
      </c>
      <c r="AD1214" s="4">
        <v>53</v>
      </c>
      <c r="AE1214" s="4">
        <v>53</v>
      </c>
      <c r="AF1214" s="4">
        <v>0</v>
      </c>
      <c r="AG1214" s="4">
        <v>0</v>
      </c>
      <c r="AH1214" s="4">
        <v>50</v>
      </c>
      <c r="AI1214" s="4">
        <v>50</v>
      </c>
      <c r="AJ1214" s="4">
        <v>5</v>
      </c>
      <c r="AK1214" s="4">
        <v>5</v>
      </c>
      <c r="AL1214" s="4">
        <v>37</v>
      </c>
      <c r="AM1214" s="4">
        <v>37</v>
      </c>
      <c r="AN1214" s="4">
        <v>0</v>
      </c>
      <c r="AO1214" s="4">
        <v>0</v>
      </c>
      <c r="AP1214" s="4">
        <v>5</v>
      </c>
      <c r="AQ1214" s="4">
        <v>5</v>
      </c>
      <c r="AR1214" s="3" t="s">
        <v>65</v>
      </c>
      <c r="AS1214" s="3" t="s">
        <v>65</v>
      </c>
      <c r="AT1214" s="3" t="s">
        <v>65</v>
      </c>
      <c r="AV1214" s="6" t="str">
        <f>HYPERLINK("http://mcgill.on.worldcat.org/oclc/22343764","Catalog Record")</f>
        <v>Catalog Record</v>
      </c>
      <c r="AW1214" s="6" t="str">
        <f>HYPERLINK("http://www.worldcat.org/oclc/22343764","WorldCat Record")</f>
        <v>WorldCat Record</v>
      </c>
      <c r="AX1214" s="3" t="s">
        <v>11878</v>
      </c>
      <c r="AY1214" s="3" t="s">
        <v>11879</v>
      </c>
      <c r="AZ1214" s="3" t="s">
        <v>11880</v>
      </c>
      <c r="BA1214" s="3" t="s">
        <v>11880</v>
      </c>
      <c r="BB1214" s="3" t="s">
        <v>11881</v>
      </c>
      <c r="BC1214" s="3" t="s">
        <v>77</v>
      </c>
      <c r="BD1214" s="3" t="s">
        <v>78</v>
      </c>
      <c r="BE1214" s="3" t="s">
        <v>11882</v>
      </c>
      <c r="BF1214" s="3" t="s">
        <v>11881</v>
      </c>
      <c r="BG1214" s="3" t="s">
        <v>11883</v>
      </c>
    </row>
    <row r="1215" spans="1:59" ht="58" x14ac:dyDescent="0.35">
      <c r="A1215" s="2" t="s">
        <v>59</v>
      </c>
      <c r="B1215" s="2" t="s">
        <v>60</v>
      </c>
      <c r="C1215" s="2" t="s">
        <v>11884</v>
      </c>
      <c r="D1215" s="2" t="s">
        <v>11885</v>
      </c>
      <c r="E1215" s="2" t="s">
        <v>11886</v>
      </c>
      <c r="G1215" s="3" t="s">
        <v>65</v>
      </c>
      <c r="I1215" s="3" t="s">
        <v>65</v>
      </c>
      <c r="J1215" s="3" t="s">
        <v>65</v>
      </c>
      <c r="K1215" s="3" t="s">
        <v>66</v>
      </c>
      <c r="L1215" s="2" t="s">
        <v>11887</v>
      </c>
      <c r="M1215" s="2" t="s">
        <v>11888</v>
      </c>
      <c r="N1215" s="3" t="s">
        <v>1944</v>
      </c>
      <c r="P1215" s="3" t="s">
        <v>69</v>
      </c>
      <c r="R1215" s="3" t="s">
        <v>71</v>
      </c>
      <c r="S1215" s="4">
        <v>11</v>
      </c>
      <c r="T1215" s="4">
        <v>11</v>
      </c>
      <c r="U1215" s="5" t="s">
        <v>10187</v>
      </c>
      <c r="V1215" s="5" t="s">
        <v>10187</v>
      </c>
      <c r="W1215" s="5" t="s">
        <v>72</v>
      </c>
      <c r="X1215" s="5" t="s">
        <v>72</v>
      </c>
      <c r="Y1215" s="4">
        <v>473</v>
      </c>
      <c r="Z1215" s="4">
        <v>27</v>
      </c>
      <c r="AA1215" s="4">
        <v>27</v>
      </c>
      <c r="AB1215" s="4">
        <v>1</v>
      </c>
      <c r="AC1215" s="4">
        <v>1</v>
      </c>
      <c r="AD1215" s="4">
        <v>117</v>
      </c>
      <c r="AE1215" s="4">
        <v>117</v>
      </c>
      <c r="AF1215" s="4">
        <v>0</v>
      </c>
      <c r="AG1215" s="4">
        <v>0</v>
      </c>
      <c r="AH1215" s="4">
        <v>103</v>
      </c>
      <c r="AI1215" s="4">
        <v>103</v>
      </c>
      <c r="AJ1215" s="4">
        <v>15</v>
      </c>
      <c r="AK1215" s="4">
        <v>15</v>
      </c>
      <c r="AL1215" s="4">
        <v>55</v>
      </c>
      <c r="AM1215" s="4">
        <v>55</v>
      </c>
      <c r="AN1215" s="4">
        <v>0</v>
      </c>
      <c r="AO1215" s="4">
        <v>0</v>
      </c>
      <c r="AP1215" s="4">
        <v>19</v>
      </c>
      <c r="AQ1215" s="4">
        <v>19</v>
      </c>
      <c r="AR1215" s="3" t="s">
        <v>65</v>
      </c>
      <c r="AS1215" s="3" t="s">
        <v>65</v>
      </c>
      <c r="AT1215" s="3" t="s">
        <v>65</v>
      </c>
      <c r="AV1215" s="6" t="str">
        <f>HYPERLINK("http://mcgill.on.worldcat.org/oclc/41932542","Catalog Record")</f>
        <v>Catalog Record</v>
      </c>
      <c r="AW1215" s="6" t="str">
        <f>HYPERLINK("http://www.worldcat.org/oclc/41932542","WorldCat Record")</f>
        <v>WorldCat Record</v>
      </c>
      <c r="AX1215" s="3" t="s">
        <v>11889</v>
      </c>
      <c r="AY1215" s="3" t="s">
        <v>11890</v>
      </c>
      <c r="AZ1215" s="3" t="s">
        <v>11891</v>
      </c>
      <c r="BA1215" s="3" t="s">
        <v>11891</v>
      </c>
      <c r="BB1215" s="3" t="s">
        <v>11892</v>
      </c>
      <c r="BC1215" s="3" t="s">
        <v>77</v>
      </c>
      <c r="BD1215" s="3" t="s">
        <v>106</v>
      </c>
      <c r="BE1215" s="3" t="s">
        <v>11893</v>
      </c>
      <c r="BF1215" s="3" t="s">
        <v>11892</v>
      </c>
      <c r="BG1215" s="3" t="s">
        <v>11894</v>
      </c>
    </row>
    <row r="1216" spans="1:59" ht="58" x14ac:dyDescent="0.35">
      <c r="A1216" s="2" t="s">
        <v>59</v>
      </c>
      <c r="B1216" s="2" t="s">
        <v>60</v>
      </c>
      <c r="C1216" s="2" t="s">
        <v>11895</v>
      </c>
      <c r="D1216" s="2" t="s">
        <v>11896</v>
      </c>
      <c r="E1216" s="2" t="s">
        <v>11897</v>
      </c>
      <c r="G1216" s="3" t="s">
        <v>65</v>
      </c>
      <c r="I1216" s="3" t="s">
        <v>65</v>
      </c>
      <c r="J1216" s="3" t="s">
        <v>65</v>
      </c>
      <c r="K1216" s="3" t="s">
        <v>66</v>
      </c>
      <c r="L1216" s="2" t="s">
        <v>11898</v>
      </c>
      <c r="M1216" s="2" t="s">
        <v>11899</v>
      </c>
      <c r="N1216" s="3" t="s">
        <v>2210</v>
      </c>
      <c r="P1216" s="3" t="s">
        <v>140</v>
      </c>
      <c r="R1216" s="3" t="s">
        <v>71</v>
      </c>
      <c r="S1216" s="4">
        <v>3</v>
      </c>
      <c r="T1216" s="4">
        <v>3</v>
      </c>
      <c r="U1216" s="5" t="s">
        <v>10660</v>
      </c>
      <c r="V1216" s="5" t="s">
        <v>10660</v>
      </c>
      <c r="W1216" s="5" t="s">
        <v>72</v>
      </c>
      <c r="X1216" s="5" t="s">
        <v>72</v>
      </c>
      <c r="Y1216" s="4">
        <v>59</v>
      </c>
      <c r="Z1216" s="4">
        <v>5</v>
      </c>
      <c r="AA1216" s="4">
        <v>5</v>
      </c>
      <c r="AB1216" s="4">
        <v>1</v>
      </c>
      <c r="AC1216" s="4">
        <v>1</v>
      </c>
      <c r="AD1216" s="4">
        <v>41</v>
      </c>
      <c r="AE1216" s="4">
        <v>41</v>
      </c>
      <c r="AF1216" s="4">
        <v>0</v>
      </c>
      <c r="AG1216" s="4">
        <v>0</v>
      </c>
      <c r="AH1216" s="4">
        <v>39</v>
      </c>
      <c r="AI1216" s="4">
        <v>39</v>
      </c>
      <c r="AJ1216" s="4">
        <v>3</v>
      </c>
      <c r="AK1216" s="4">
        <v>3</v>
      </c>
      <c r="AL1216" s="4">
        <v>30</v>
      </c>
      <c r="AM1216" s="4">
        <v>30</v>
      </c>
      <c r="AN1216" s="4">
        <v>0</v>
      </c>
      <c r="AO1216" s="4">
        <v>0</v>
      </c>
      <c r="AP1216" s="4">
        <v>3</v>
      </c>
      <c r="AQ1216" s="4">
        <v>3</v>
      </c>
      <c r="AR1216" s="3" t="s">
        <v>65</v>
      </c>
      <c r="AS1216" s="3" t="s">
        <v>65</v>
      </c>
      <c r="AT1216" s="3" t="s">
        <v>209</v>
      </c>
      <c r="AU1216" s="6" t="str">
        <f>HYPERLINK("http://catalog.hathitrust.org/Record/004292904","HathiTrust Record")</f>
        <v>HathiTrust Record</v>
      </c>
      <c r="AV1216" s="6" t="str">
        <f>HYPERLINK("http://mcgill.on.worldcat.org/oclc/51215997","Catalog Record")</f>
        <v>Catalog Record</v>
      </c>
      <c r="AW1216" s="6" t="str">
        <f>HYPERLINK("http://www.worldcat.org/oclc/51215997","WorldCat Record")</f>
        <v>WorldCat Record</v>
      </c>
      <c r="AX1216" s="3" t="s">
        <v>11900</v>
      </c>
      <c r="AY1216" s="3" t="s">
        <v>11901</v>
      </c>
      <c r="AZ1216" s="3" t="s">
        <v>11902</v>
      </c>
      <c r="BA1216" s="3" t="s">
        <v>11902</v>
      </c>
      <c r="BB1216" s="3" t="s">
        <v>11903</v>
      </c>
      <c r="BC1216" s="3" t="s">
        <v>77</v>
      </c>
      <c r="BD1216" s="3" t="s">
        <v>78</v>
      </c>
      <c r="BE1216" s="3" t="s">
        <v>11904</v>
      </c>
      <c r="BF1216" s="3" t="s">
        <v>11903</v>
      </c>
      <c r="BG1216" s="3" t="s">
        <v>11905</v>
      </c>
    </row>
    <row r="1217" spans="1:59" ht="58" x14ac:dyDescent="0.35">
      <c r="A1217" s="2" t="s">
        <v>59</v>
      </c>
      <c r="B1217" s="2" t="s">
        <v>60</v>
      </c>
      <c r="C1217" s="2" t="s">
        <v>11906</v>
      </c>
      <c r="D1217" s="2" t="s">
        <v>11907</v>
      </c>
      <c r="E1217" s="2" t="s">
        <v>11908</v>
      </c>
      <c r="G1217" s="3" t="s">
        <v>65</v>
      </c>
      <c r="I1217" s="3" t="s">
        <v>65</v>
      </c>
      <c r="J1217" s="3" t="s">
        <v>65</v>
      </c>
      <c r="K1217" s="3" t="s">
        <v>66</v>
      </c>
      <c r="L1217" s="2" t="s">
        <v>11909</v>
      </c>
      <c r="M1217" s="2" t="s">
        <v>11910</v>
      </c>
      <c r="N1217" s="3" t="s">
        <v>770</v>
      </c>
      <c r="P1217" s="3" t="s">
        <v>616</v>
      </c>
      <c r="Q1217" s="2" t="s">
        <v>11911</v>
      </c>
      <c r="R1217" s="3" t="s">
        <v>71</v>
      </c>
      <c r="S1217" s="4">
        <v>13</v>
      </c>
      <c r="T1217" s="4">
        <v>13</v>
      </c>
      <c r="U1217" s="5" t="s">
        <v>11912</v>
      </c>
      <c r="V1217" s="5" t="s">
        <v>11912</v>
      </c>
      <c r="W1217" s="5" t="s">
        <v>72</v>
      </c>
      <c r="X1217" s="5" t="s">
        <v>72</v>
      </c>
      <c r="Y1217" s="4">
        <v>95</v>
      </c>
      <c r="Z1217" s="4">
        <v>6</v>
      </c>
      <c r="AA1217" s="4">
        <v>6</v>
      </c>
      <c r="AB1217" s="4">
        <v>1</v>
      </c>
      <c r="AC1217" s="4">
        <v>1</v>
      </c>
      <c r="AD1217" s="4">
        <v>48</v>
      </c>
      <c r="AE1217" s="4">
        <v>48</v>
      </c>
      <c r="AF1217" s="4">
        <v>0</v>
      </c>
      <c r="AG1217" s="4">
        <v>0</v>
      </c>
      <c r="AH1217" s="4">
        <v>46</v>
      </c>
      <c r="AI1217" s="4">
        <v>46</v>
      </c>
      <c r="AJ1217" s="4">
        <v>4</v>
      </c>
      <c r="AK1217" s="4">
        <v>4</v>
      </c>
      <c r="AL1217" s="4">
        <v>33</v>
      </c>
      <c r="AM1217" s="4">
        <v>33</v>
      </c>
      <c r="AN1217" s="4">
        <v>0</v>
      </c>
      <c r="AO1217" s="4">
        <v>0</v>
      </c>
      <c r="AP1217" s="4">
        <v>4</v>
      </c>
      <c r="AQ1217" s="4">
        <v>4</v>
      </c>
      <c r="AR1217" s="3" t="s">
        <v>65</v>
      </c>
      <c r="AS1217" s="3" t="s">
        <v>65</v>
      </c>
      <c r="AT1217" s="3" t="s">
        <v>209</v>
      </c>
      <c r="AU1217" s="6" t="str">
        <f>HYPERLINK("http://catalog.hathitrust.org/Record/002458601","HathiTrust Record")</f>
        <v>HathiTrust Record</v>
      </c>
      <c r="AV1217" s="6" t="str">
        <f>HYPERLINK("http://mcgill.on.worldcat.org/oclc/23747075","Catalog Record")</f>
        <v>Catalog Record</v>
      </c>
      <c r="AW1217" s="6" t="str">
        <f>HYPERLINK("http://www.worldcat.org/oclc/23747075","WorldCat Record")</f>
        <v>WorldCat Record</v>
      </c>
      <c r="AX1217" s="3" t="s">
        <v>11913</v>
      </c>
      <c r="AY1217" s="3" t="s">
        <v>11914</v>
      </c>
      <c r="AZ1217" s="3" t="s">
        <v>11915</v>
      </c>
      <c r="BA1217" s="3" t="s">
        <v>11915</v>
      </c>
      <c r="BB1217" s="3" t="s">
        <v>11916</v>
      </c>
      <c r="BC1217" s="3" t="s">
        <v>77</v>
      </c>
      <c r="BD1217" s="3" t="s">
        <v>78</v>
      </c>
      <c r="BE1217" s="3" t="s">
        <v>11917</v>
      </c>
      <c r="BF1217" s="3" t="s">
        <v>11916</v>
      </c>
      <c r="BG1217" s="3" t="s">
        <v>11918</v>
      </c>
    </row>
    <row r="1218" spans="1:59" ht="58" x14ac:dyDescent="0.35">
      <c r="A1218" s="2" t="s">
        <v>59</v>
      </c>
      <c r="B1218" s="2" t="s">
        <v>60</v>
      </c>
      <c r="C1218" s="2" t="s">
        <v>11919</v>
      </c>
      <c r="D1218" s="2" t="s">
        <v>11920</v>
      </c>
      <c r="E1218" s="2" t="s">
        <v>11921</v>
      </c>
      <c r="G1218" s="3" t="s">
        <v>65</v>
      </c>
      <c r="I1218" s="3" t="s">
        <v>209</v>
      </c>
      <c r="J1218" s="3" t="s">
        <v>65</v>
      </c>
      <c r="K1218" s="3" t="s">
        <v>66</v>
      </c>
      <c r="L1218" s="2" t="s">
        <v>7803</v>
      </c>
      <c r="M1218" s="2" t="s">
        <v>11922</v>
      </c>
      <c r="N1218" s="3" t="s">
        <v>756</v>
      </c>
      <c r="P1218" s="3" t="s">
        <v>69</v>
      </c>
      <c r="R1218" s="3" t="s">
        <v>71</v>
      </c>
      <c r="S1218" s="4">
        <v>25</v>
      </c>
      <c r="T1218" s="4">
        <v>56</v>
      </c>
      <c r="U1218" s="5" t="s">
        <v>10901</v>
      </c>
      <c r="V1218" s="5" t="s">
        <v>10901</v>
      </c>
      <c r="W1218" s="5" t="s">
        <v>72</v>
      </c>
      <c r="X1218" s="5" t="s">
        <v>72</v>
      </c>
      <c r="Y1218" s="4">
        <v>900</v>
      </c>
      <c r="Z1218" s="4">
        <v>42</v>
      </c>
      <c r="AA1218" s="4">
        <v>44</v>
      </c>
      <c r="AB1218" s="4">
        <v>4</v>
      </c>
      <c r="AC1218" s="4">
        <v>5</v>
      </c>
      <c r="AD1218" s="4">
        <v>128</v>
      </c>
      <c r="AE1218" s="4">
        <v>131</v>
      </c>
      <c r="AF1218" s="4">
        <v>2</v>
      </c>
      <c r="AG1218" s="4">
        <v>3</v>
      </c>
      <c r="AH1218" s="4">
        <v>105</v>
      </c>
      <c r="AI1218" s="4">
        <v>105</v>
      </c>
      <c r="AJ1218" s="4">
        <v>22</v>
      </c>
      <c r="AK1218" s="4">
        <v>23</v>
      </c>
      <c r="AL1218" s="4">
        <v>57</v>
      </c>
      <c r="AM1218" s="4">
        <v>58</v>
      </c>
      <c r="AN1218" s="4">
        <v>0</v>
      </c>
      <c r="AO1218" s="4">
        <v>0</v>
      </c>
      <c r="AP1218" s="4">
        <v>31</v>
      </c>
      <c r="AQ1218" s="4">
        <v>32</v>
      </c>
      <c r="AR1218" s="3" t="s">
        <v>65</v>
      </c>
      <c r="AS1218" s="3" t="s">
        <v>65</v>
      </c>
      <c r="AT1218" s="3" t="s">
        <v>65</v>
      </c>
      <c r="AV1218" s="6" t="str">
        <f>HYPERLINK("http://mcgill.on.worldcat.org/oclc/21898","Catalog Record")</f>
        <v>Catalog Record</v>
      </c>
      <c r="AW1218" s="6" t="str">
        <f>HYPERLINK("http://www.worldcat.org/oclc/21898","WorldCat Record")</f>
        <v>WorldCat Record</v>
      </c>
      <c r="AX1218" s="3" t="s">
        <v>11923</v>
      </c>
      <c r="AY1218" s="3" t="s">
        <v>11924</v>
      </c>
      <c r="AZ1218" s="3" t="s">
        <v>11925</v>
      </c>
      <c r="BA1218" s="3" t="s">
        <v>11925</v>
      </c>
      <c r="BB1218" s="3" t="s">
        <v>11926</v>
      </c>
      <c r="BC1218" s="3" t="s">
        <v>77</v>
      </c>
      <c r="BD1218" s="3" t="s">
        <v>78</v>
      </c>
      <c r="BE1218" s="3" t="s">
        <v>11927</v>
      </c>
      <c r="BF1218" s="3" t="s">
        <v>11926</v>
      </c>
      <c r="BG1218" s="3" t="s">
        <v>11928</v>
      </c>
    </row>
    <row r="1219" spans="1:59" ht="58" x14ac:dyDescent="0.35">
      <c r="A1219" s="2" t="s">
        <v>59</v>
      </c>
      <c r="B1219" s="2" t="s">
        <v>60</v>
      </c>
      <c r="C1219" s="2" t="s">
        <v>11919</v>
      </c>
      <c r="D1219" s="2" t="s">
        <v>11920</v>
      </c>
      <c r="E1219" s="2" t="s">
        <v>11921</v>
      </c>
      <c r="G1219" s="3" t="s">
        <v>65</v>
      </c>
      <c r="I1219" s="3" t="s">
        <v>209</v>
      </c>
      <c r="J1219" s="3" t="s">
        <v>65</v>
      </c>
      <c r="K1219" s="3" t="s">
        <v>66</v>
      </c>
      <c r="L1219" s="2" t="s">
        <v>7803</v>
      </c>
      <c r="M1219" s="2" t="s">
        <v>11922</v>
      </c>
      <c r="N1219" s="3" t="s">
        <v>756</v>
      </c>
      <c r="P1219" s="3" t="s">
        <v>69</v>
      </c>
      <c r="R1219" s="3" t="s">
        <v>71</v>
      </c>
      <c r="S1219" s="4">
        <v>31</v>
      </c>
      <c r="T1219" s="4">
        <v>56</v>
      </c>
      <c r="U1219" s="5" t="s">
        <v>11929</v>
      </c>
      <c r="V1219" s="5" t="s">
        <v>10901</v>
      </c>
      <c r="W1219" s="5" t="s">
        <v>72</v>
      </c>
      <c r="X1219" s="5" t="s">
        <v>72</v>
      </c>
      <c r="Y1219" s="4">
        <v>900</v>
      </c>
      <c r="Z1219" s="4">
        <v>42</v>
      </c>
      <c r="AA1219" s="4">
        <v>44</v>
      </c>
      <c r="AB1219" s="4">
        <v>4</v>
      </c>
      <c r="AC1219" s="4">
        <v>5</v>
      </c>
      <c r="AD1219" s="4">
        <v>128</v>
      </c>
      <c r="AE1219" s="4">
        <v>131</v>
      </c>
      <c r="AF1219" s="4">
        <v>2</v>
      </c>
      <c r="AG1219" s="4">
        <v>3</v>
      </c>
      <c r="AH1219" s="4">
        <v>105</v>
      </c>
      <c r="AI1219" s="4">
        <v>105</v>
      </c>
      <c r="AJ1219" s="4">
        <v>22</v>
      </c>
      <c r="AK1219" s="4">
        <v>23</v>
      </c>
      <c r="AL1219" s="4">
        <v>57</v>
      </c>
      <c r="AM1219" s="4">
        <v>58</v>
      </c>
      <c r="AN1219" s="4">
        <v>0</v>
      </c>
      <c r="AO1219" s="4">
        <v>0</v>
      </c>
      <c r="AP1219" s="4">
        <v>31</v>
      </c>
      <c r="AQ1219" s="4">
        <v>32</v>
      </c>
      <c r="AR1219" s="3" t="s">
        <v>65</v>
      </c>
      <c r="AS1219" s="3" t="s">
        <v>65</v>
      </c>
      <c r="AT1219" s="3" t="s">
        <v>65</v>
      </c>
      <c r="AV1219" s="6" t="str">
        <f>HYPERLINK("http://mcgill.on.worldcat.org/oclc/21898","Catalog Record")</f>
        <v>Catalog Record</v>
      </c>
      <c r="AW1219" s="6" t="str">
        <f>HYPERLINK("http://www.worldcat.org/oclc/21898","WorldCat Record")</f>
        <v>WorldCat Record</v>
      </c>
      <c r="AX1219" s="3" t="s">
        <v>11923</v>
      </c>
      <c r="AY1219" s="3" t="s">
        <v>11924</v>
      </c>
      <c r="AZ1219" s="3" t="s">
        <v>11925</v>
      </c>
      <c r="BA1219" s="3" t="s">
        <v>11925</v>
      </c>
      <c r="BB1219" s="3" t="s">
        <v>11930</v>
      </c>
      <c r="BC1219" s="3" t="s">
        <v>77</v>
      </c>
      <c r="BD1219" s="3" t="s">
        <v>78</v>
      </c>
      <c r="BE1219" s="3" t="s">
        <v>11927</v>
      </c>
      <c r="BF1219" s="3" t="s">
        <v>11930</v>
      </c>
      <c r="BG1219" s="3" t="s">
        <v>11931</v>
      </c>
    </row>
    <row r="1220" spans="1:59" ht="58" x14ac:dyDescent="0.35">
      <c r="A1220" s="2" t="s">
        <v>59</v>
      </c>
      <c r="B1220" s="2" t="s">
        <v>60</v>
      </c>
      <c r="C1220" s="2" t="s">
        <v>11932</v>
      </c>
      <c r="D1220" s="2" t="s">
        <v>11933</v>
      </c>
      <c r="E1220" s="2" t="s">
        <v>11934</v>
      </c>
      <c r="G1220" s="3" t="s">
        <v>65</v>
      </c>
      <c r="I1220" s="3" t="s">
        <v>65</v>
      </c>
      <c r="J1220" s="3" t="s">
        <v>65</v>
      </c>
      <c r="K1220" s="3" t="s">
        <v>66</v>
      </c>
      <c r="L1220" s="2" t="s">
        <v>8810</v>
      </c>
      <c r="M1220" s="2" t="s">
        <v>11935</v>
      </c>
      <c r="N1220" s="3" t="s">
        <v>352</v>
      </c>
      <c r="P1220" s="3" t="s">
        <v>69</v>
      </c>
      <c r="Q1220" s="2" t="s">
        <v>11936</v>
      </c>
      <c r="R1220" s="3" t="s">
        <v>71</v>
      </c>
      <c r="S1220" s="4">
        <v>20</v>
      </c>
      <c r="T1220" s="4">
        <v>20</v>
      </c>
      <c r="U1220" s="5" t="s">
        <v>4391</v>
      </c>
      <c r="V1220" s="5" t="s">
        <v>4391</v>
      </c>
      <c r="W1220" s="5" t="s">
        <v>72</v>
      </c>
      <c r="X1220" s="5" t="s">
        <v>72</v>
      </c>
      <c r="Y1220" s="4">
        <v>80</v>
      </c>
      <c r="Z1220" s="4">
        <v>3</v>
      </c>
      <c r="AA1220" s="4">
        <v>35</v>
      </c>
      <c r="AB1220" s="4">
        <v>1</v>
      </c>
      <c r="AC1220" s="4">
        <v>6</v>
      </c>
      <c r="AD1220" s="4">
        <v>5</v>
      </c>
      <c r="AE1220" s="4">
        <v>85</v>
      </c>
      <c r="AF1220" s="4">
        <v>0</v>
      </c>
      <c r="AG1220" s="4">
        <v>4</v>
      </c>
      <c r="AH1220" s="4">
        <v>5</v>
      </c>
      <c r="AI1220" s="4">
        <v>69</v>
      </c>
      <c r="AJ1220" s="4">
        <v>0</v>
      </c>
      <c r="AK1220" s="4">
        <v>14</v>
      </c>
      <c r="AL1220" s="4">
        <v>2</v>
      </c>
      <c r="AM1220" s="4">
        <v>36</v>
      </c>
      <c r="AN1220" s="4">
        <v>0</v>
      </c>
      <c r="AO1220" s="4">
        <v>0</v>
      </c>
      <c r="AP1220" s="4">
        <v>0</v>
      </c>
      <c r="AQ1220" s="4">
        <v>25</v>
      </c>
      <c r="AR1220" s="3" t="s">
        <v>65</v>
      </c>
      <c r="AS1220" s="3" t="s">
        <v>65</v>
      </c>
      <c r="AT1220" s="3" t="s">
        <v>65</v>
      </c>
      <c r="AV1220" s="6" t="str">
        <f>HYPERLINK("http://mcgill.on.worldcat.org/oclc/4432682","Catalog Record")</f>
        <v>Catalog Record</v>
      </c>
      <c r="AW1220" s="6" t="str">
        <f>HYPERLINK("http://www.worldcat.org/oclc/4432682","WorldCat Record")</f>
        <v>WorldCat Record</v>
      </c>
      <c r="AX1220" s="3" t="s">
        <v>11937</v>
      </c>
      <c r="AY1220" s="3" t="s">
        <v>11938</v>
      </c>
      <c r="AZ1220" s="3" t="s">
        <v>11939</v>
      </c>
      <c r="BA1220" s="3" t="s">
        <v>11939</v>
      </c>
      <c r="BB1220" s="3" t="s">
        <v>11940</v>
      </c>
      <c r="BC1220" s="3" t="s">
        <v>77</v>
      </c>
      <c r="BD1220" s="3" t="s">
        <v>78</v>
      </c>
      <c r="BF1220" s="3" t="s">
        <v>11940</v>
      </c>
      <c r="BG1220" s="3" t="s">
        <v>11941</v>
      </c>
    </row>
    <row r="1221" spans="1:59" ht="58" x14ac:dyDescent="0.35">
      <c r="A1221" s="2" t="s">
        <v>59</v>
      </c>
      <c r="B1221" s="2" t="s">
        <v>60</v>
      </c>
      <c r="C1221" s="2" t="s">
        <v>11942</v>
      </c>
      <c r="D1221" s="2" t="s">
        <v>11943</v>
      </c>
      <c r="E1221" s="2" t="s">
        <v>11944</v>
      </c>
      <c r="G1221" s="3" t="s">
        <v>65</v>
      </c>
      <c r="I1221" s="3" t="s">
        <v>65</v>
      </c>
      <c r="J1221" s="3" t="s">
        <v>65</v>
      </c>
      <c r="K1221" s="3" t="s">
        <v>66</v>
      </c>
      <c r="L1221" s="2" t="s">
        <v>11945</v>
      </c>
      <c r="M1221" s="2" t="s">
        <v>11946</v>
      </c>
      <c r="N1221" s="3" t="s">
        <v>1109</v>
      </c>
      <c r="P1221" s="3" t="s">
        <v>69</v>
      </c>
      <c r="R1221" s="3" t="s">
        <v>71</v>
      </c>
      <c r="S1221" s="4">
        <v>14</v>
      </c>
      <c r="T1221" s="4">
        <v>14</v>
      </c>
      <c r="U1221" s="5" t="s">
        <v>4391</v>
      </c>
      <c r="V1221" s="5" t="s">
        <v>4391</v>
      </c>
      <c r="W1221" s="5" t="s">
        <v>72</v>
      </c>
      <c r="X1221" s="5" t="s">
        <v>72</v>
      </c>
      <c r="Y1221" s="4">
        <v>636</v>
      </c>
      <c r="Z1221" s="4">
        <v>34</v>
      </c>
      <c r="AA1221" s="4">
        <v>44</v>
      </c>
      <c r="AB1221" s="4">
        <v>3</v>
      </c>
      <c r="AC1221" s="4">
        <v>6</v>
      </c>
      <c r="AD1221" s="4">
        <v>115</v>
      </c>
      <c r="AE1221" s="4">
        <v>124</v>
      </c>
      <c r="AF1221" s="4">
        <v>2</v>
      </c>
      <c r="AG1221" s="4">
        <v>4</v>
      </c>
      <c r="AH1221" s="4">
        <v>99</v>
      </c>
      <c r="AI1221" s="4">
        <v>103</v>
      </c>
      <c r="AJ1221" s="4">
        <v>19</v>
      </c>
      <c r="AK1221" s="4">
        <v>21</v>
      </c>
      <c r="AL1221" s="4">
        <v>55</v>
      </c>
      <c r="AM1221" s="4">
        <v>56</v>
      </c>
      <c r="AN1221" s="4">
        <v>0</v>
      </c>
      <c r="AO1221" s="4">
        <v>0</v>
      </c>
      <c r="AP1221" s="4">
        <v>24</v>
      </c>
      <c r="AQ1221" s="4">
        <v>30</v>
      </c>
      <c r="AR1221" s="3" t="s">
        <v>65</v>
      </c>
      <c r="AS1221" s="3" t="s">
        <v>65</v>
      </c>
      <c r="AT1221" s="3" t="s">
        <v>209</v>
      </c>
      <c r="AU1221" s="6" t="str">
        <f>HYPERLINK("http://catalog.hathitrust.org/Record/001219037","HathiTrust Record")</f>
        <v>HathiTrust Record</v>
      </c>
      <c r="AV1221" s="6" t="str">
        <f>HYPERLINK("http://mcgill.on.worldcat.org/oclc/730706","Catalog Record")</f>
        <v>Catalog Record</v>
      </c>
      <c r="AW1221" s="6" t="str">
        <f>HYPERLINK("http://www.worldcat.org/oclc/730706","WorldCat Record")</f>
        <v>WorldCat Record</v>
      </c>
      <c r="AX1221" s="3" t="s">
        <v>11947</v>
      </c>
      <c r="AY1221" s="3" t="s">
        <v>11948</v>
      </c>
      <c r="AZ1221" s="3" t="s">
        <v>11949</v>
      </c>
      <c r="BA1221" s="3" t="s">
        <v>11949</v>
      </c>
      <c r="BB1221" s="3" t="s">
        <v>11950</v>
      </c>
      <c r="BC1221" s="3" t="s">
        <v>77</v>
      </c>
      <c r="BD1221" s="3" t="s">
        <v>78</v>
      </c>
      <c r="BE1221" s="3" t="s">
        <v>11951</v>
      </c>
      <c r="BF1221" s="3" t="s">
        <v>11950</v>
      </c>
      <c r="BG1221" s="3" t="s">
        <v>11952</v>
      </c>
    </row>
    <row r="1222" spans="1:59" ht="58" x14ac:dyDescent="0.35">
      <c r="A1222" s="2" t="s">
        <v>59</v>
      </c>
      <c r="B1222" s="2" t="s">
        <v>60</v>
      </c>
      <c r="C1222" s="2" t="s">
        <v>11953</v>
      </c>
      <c r="D1222" s="2" t="s">
        <v>11954</v>
      </c>
      <c r="E1222" s="2" t="s">
        <v>11955</v>
      </c>
      <c r="G1222" s="3" t="s">
        <v>65</v>
      </c>
      <c r="I1222" s="3" t="s">
        <v>65</v>
      </c>
      <c r="J1222" s="3" t="s">
        <v>65</v>
      </c>
      <c r="K1222" s="3" t="s">
        <v>66</v>
      </c>
      <c r="L1222" s="2" t="s">
        <v>11956</v>
      </c>
      <c r="M1222" s="2" t="s">
        <v>7139</v>
      </c>
      <c r="N1222" s="3" t="s">
        <v>126</v>
      </c>
      <c r="O1222" s="2" t="s">
        <v>3829</v>
      </c>
      <c r="P1222" s="3" t="s">
        <v>140</v>
      </c>
      <c r="Q1222" s="2" t="s">
        <v>11957</v>
      </c>
      <c r="R1222" s="3" t="s">
        <v>71</v>
      </c>
      <c r="S1222" s="4">
        <v>0</v>
      </c>
      <c r="T1222" s="4">
        <v>0</v>
      </c>
      <c r="W1222" s="5" t="s">
        <v>72</v>
      </c>
      <c r="X1222" s="5" t="s">
        <v>72</v>
      </c>
      <c r="Y1222" s="4">
        <v>42</v>
      </c>
      <c r="Z1222" s="4">
        <v>5</v>
      </c>
      <c r="AA1222" s="4">
        <v>5</v>
      </c>
      <c r="AB1222" s="4">
        <v>1</v>
      </c>
      <c r="AC1222" s="4">
        <v>1</v>
      </c>
      <c r="AD1222" s="4">
        <v>33</v>
      </c>
      <c r="AE1222" s="4">
        <v>33</v>
      </c>
      <c r="AF1222" s="4">
        <v>0</v>
      </c>
      <c r="AG1222" s="4">
        <v>0</v>
      </c>
      <c r="AH1222" s="4">
        <v>32</v>
      </c>
      <c r="AI1222" s="4">
        <v>32</v>
      </c>
      <c r="AJ1222" s="4">
        <v>2</v>
      </c>
      <c r="AK1222" s="4">
        <v>2</v>
      </c>
      <c r="AL1222" s="4">
        <v>27</v>
      </c>
      <c r="AM1222" s="4">
        <v>27</v>
      </c>
      <c r="AN1222" s="4">
        <v>0</v>
      </c>
      <c r="AO1222" s="4">
        <v>0</v>
      </c>
      <c r="AP1222" s="4">
        <v>2</v>
      </c>
      <c r="AQ1222" s="4">
        <v>2</v>
      </c>
      <c r="AR1222" s="3" t="s">
        <v>65</v>
      </c>
      <c r="AS1222" s="3" t="s">
        <v>65</v>
      </c>
      <c r="AT1222" s="3" t="s">
        <v>65</v>
      </c>
      <c r="AV1222" s="6" t="str">
        <f>HYPERLINK("http://mcgill.on.worldcat.org/oclc/730397511","Catalog Record")</f>
        <v>Catalog Record</v>
      </c>
      <c r="AW1222" s="6" t="str">
        <f>HYPERLINK("http://www.worldcat.org/oclc/730397511","WorldCat Record")</f>
        <v>WorldCat Record</v>
      </c>
      <c r="AX1222" s="3" t="s">
        <v>11958</v>
      </c>
      <c r="AY1222" s="3" t="s">
        <v>11959</v>
      </c>
      <c r="AZ1222" s="3" t="s">
        <v>11960</v>
      </c>
      <c r="BA1222" s="3" t="s">
        <v>11960</v>
      </c>
      <c r="BB1222" s="3" t="s">
        <v>11961</v>
      </c>
      <c r="BC1222" s="3" t="s">
        <v>77</v>
      </c>
      <c r="BD1222" s="3" t="s">
        <v>78</v>
      </c>
      <c r="BE1222" s="3" t="s">
        <v>11962</v>
      </c>
      <c r="BF1222" s="3" t="s">
        <v>11961</v>
      </c>
      <c r="BG1222" s="3" t="s">
        <v>11963</v>
      </c>
    </row>
    <row r="1223" spans="1:59" ht="58" x14ac:dyDescent="0.35">
      <c r="A1223" s="2" t="s">
        <v>59</v>
      </c>
      <c r="B1223" s="2" t="s">
        <v>60</v>
      </c>
      <c r="C1223" s="2" t="s">
        <v>11964</v>
      </c>
      <c r="D1223" s="2" t="s">
        <v>11965</v>
      </c>
      <c r="E1223" s="2" t="s">
        <v>11966</v>
      </c>
      <c r="G1223" s="3" t="s">
        <v>65</v>
      </c>
      <c r="I1223" s="3" t="s">
        <v>65</v>
      </c>
      <c r="J1223" s="3" t="s">
        <v>65</v>
      </c>
      <c r="K1223" s="3" t="s">
        <v>66</v>
      </c>
      <c r="L1223" s="2" t="s">
        <v>11967</v>
      </c>
      <c r="M1223" s="2" t="s">
        <v>11968</v>
      </c>
      <c r="N1223" s="3" t="s">
        <v>113</v>
      </c>
      <c r="P1223" s="3" t="s">
        <v>69</v>
      </c>
      <c r="Q1223" s="2" t="s">
        <v>11969</v>
      </c>
      <c r="R1223" s="3" t="s">
        <v>71</v>
      </c>
      <c r="S1223" s="4">
        <v>1</v>
      </c>
      <c r="T1223" s="4">
        <v>1</v>
      </c>
      <c r="U1223" s="5" t="s">
        <v>11970</v>
      </c>
      <c r="V1223" s="5" t="s">
        <v>11970</v>
      </c>
      <c r="W1223" s="5" t="s">
        <v>72</v>
      </c>
      <c r="X1223" s="5" t="s">
        <v>72</v>
      </c>
      <c r="Y1223" s="4">
        <v>88</v>
      </c>
      <c r="Z1223" s="4">
        <v>6</v>
      </c>
      <c r="AA1223" s="4">
        <v>6</v>
      </c>
      <c r="AB1223" s="4">
        <v>1</v>
      </c>
      <c r="AC1223" s="4">
        <v>1</v>
      </c>
      <c r="AD1223" s="4">
        <v>51</v>
      </c>
      <c r="AE1223" s="4">
        <v>51</v>
      </c>
      <c r="AF1223" s="4">
        <v>0</v>
      </c>
      <c r="AG1223" s="4">
        <v>0</v>
      </c>
      <c r="AH1223" s="4">
        <v>50</v>
      </c>
      <c r="AI1223" s="4">
        <v>50</v>
      </c>
      <c r="AJ1223" s="4">
        <v>3</v>
      </c>
      <c r="AK1223" s="4">
        <v>3</v>
      </c>
      <c r="AL1223" s="4">
        <v>36</v>
      </c>
      <c r="AM1223" s="4">
        <v>36</v>
      </c>
      <c r="AN1223" s="4">
        <v>0</v>
      </c>
      <c r="AO1223" s="4">
        <v>0</v>
      </c>
      <c r="AP1223" s="4">
        <v>3</v>
      </c>
      <c r="AQ1223" s="4">
        <v>3</v>
      </c>
      <c r="AR1223" s="3" t="s">
        <v>65</v>
      </c>
      <c r="AS1223" s="3" t="s">
        <v>65</v>
      </c>
      <c r="AT1223" s="3" t="s">
        <v>65</v>
      </c>
      <c r="AV1223" s="6" t="str">
        <f>HYPERLINK("http://mcgill.on.worldcat.org/oclc/668179949","Catalog Record")</f>
        <v>Catalog Record</v>
      </c>
      <c r="AW1223" s="6" t="str">
        <f>HYPERLINK("http://www.worldcat.org/oclc/668179949","WorldCat Record")</f>
        <v>WorldCat Record</v>
      </c>
      <c r="AX1223" s="3" t="s">
        <v>11971</v>
      </c>
      <c r="AY1223" s="3" t="s">
        <v>11972</v>
      </c>
      <c r="AZ1223" s="3" t="s">
        <v>11973</v>
      </c>
      <c r="BA1223" s="3" t="s">
        <v>11973</v>
      </c>
      <c r="BB1223" s="3" t="s">
        <v>11974</v>
      </c>
      <c r="BC1223" s="3" t="s">
        <v>77</v>
      </c>
      <c r="BD1223" s="3" t="s">
        <v>78</v>
      </c>
      <c r="BE1223" s="3" t="s">
        <v>11975</v>
      </c>
      <c r="BF1223" s="3" t="s">
        <v>11974</v>
      </c>
      <c r="BG1223" s="3" t="s">
        <v>11976</v>
      </c>
    </row>
    <row r="1224" spans="1:59" ht="58" x14ac:dyDescent="0.35">
      <c r="A1224" s="2" t="s">
        <v>59</v>
      </c>
      <c r="B1224" s="2" t="s">
        <v>60</v>
      </c>
      <c r="C1224" s="2" t="s">
        <v>11977</v>
      </c>
      <c r="D1224" s="2" t="s">
        <v>11978</v>
      </c>
      <c r="E1224" s="2" t="s">
        <v>11979</v>
      </c>
      <c r="G1224" s="3" t="s">
        <v>65</v>
      </c>
      <c r="I1224" s="3" t="s">
        <v>65</v>
      </c>
      <c r="J1224" s="3" t="s">
        <v>65</v>
      </c>
      <c r="K1224" s="3" t="s">
        <v>66</v>
      </c>
      <c r="L1224" s="2" t="s">
        <v>10350</v>
      </c>
      <c r="M1224" s="2" t="s">
        <v>11980</v>
      </c>
      <c r="N1224" s="3" t="s">
        <v>615</v>
      </c>
      <c r="P1224" s="3" t="s">
        <v>69</v>
      </c>
      <c r="R1224" s="3" t="s">
        <v>71</v>
      </c>
      <c r="S1224" s="4">
        <v>71</v>
      </c>
      <c r="T1224" s="4">
        <v>71</v>
      </c>
      <c r="U1224" s="5" t="s">
        <v>4391</v>
      </c>
      <c r="V1224" s="5" t="s">
        <v>4391</v>
      </c>
      <c r="W1224" s="5" t="s">
        <v>72</v>
      </c>
      <c r="X1224" s="5" t="s">
        <v>72</v>
      </c>
      <c r="Y1224" s="4">
        <v>485</v>
      </c>
      <c r="Z1224" s="4">
        <v>27</v>
      </c>
      <c r="AA1224" s="4">
        <v>44</v>
      </c>
      <c r="AB1224" s="4">
        <v>1</v>
      </c>
      <c r="AC1224" s="4">
        <v>8</v>
      </c>
      <c r="AD1224" s="4">
        <v>113</v>
      </c>
      <c r="AE1224" s="4">
        <v>123</v>
      </c>
      <c r="AF1224" s="4">
        <v>0</v>
      </c>
      <c r="AG1224" s="4">
        <v>2</v>
      </c>
      <c r="AH1224" s="4">
        <v>105</v>
      </c>
      <c r="AI1224" s="4">
        <v>107</v>
      </c>
      <c r="AJ1224" s="4">
        <v>15</v>
      </c>
      <c r="AK1224" s="4">
        <v>20</v>
      </c>
      <c r="AL1224" s="4">
        <v>55</v>
      </c>
      <c r="AM1224" s="4">
        <v>56</v>
      </c>
      <c r="AN1224" s="4">
        <v>0</v>
      </c>
      <c r="AO1224" s="4">
        <v>0</v>
      </c>
      <c r="AP1224" s="4">
        <v>17</v>
      </c>
      <c r="AQ1224" s="4">
        <v>25</v>
      </c>
      <c r="AR1224" s="3" t="s">
        <v>65</v>
      </c>
      <c r="AS1224" s="3" t="s">
        <v>65</v>
      </c>
      <c r="AT1224" s="3" t="s">
        <v>65</v>
      </c>
      <c r="AV1224" s="6" t="str">
        <f>HYPERLINK("http://mcgill.on.worldcat.org/oclc/11355264","Catalog Record")</f>
        <v>Catalog Record</v>
      </c>
      <c r="AW1224" s="6" t="str">
        <f>HYPERLINK("http://www.worldcat.org/oclc/11355264","WorldCat Record")</f>
        <v>WorldCat Record</v>
      </c>
      <c r="AX1224" s="3" t="s">
        <v>11981</v>
      </c>
      <c r="AY1224" s="3" t="s">
        <v>11982</v>
      </c>
      <c r="AZ1224" s="3" t="s">
        <v>11983</v>
      </c>
      <c r="BA1224" s="3" t="s">
        <v>11983</v>
      </c>
      <c r="BB1224" s="3" t="s">
        <v>11984</v>
      </c>
      <c r="BC1224" s="3" t="s">
        <v>77</v>
      </c>
      <c r="BD1224" s="3" t="s">
        <v>78</v>
      </c>
      <c r="BE1224" s="3" t="s">
        <v>11985</v>
      </c>
      <c r="BF1224" s="3" t="s">
        <v>11984</v>
      </c>
      <c r="BG1224" s="3" t="s">
        <v>11986</v>
      </c>
    </row>
    <row r="1225" spans="1:59" ht="58" x14ac:dyDescent="0.35">
      <c r="A1225" s="2" t="s">
        <v>59</v>
      </c>
      <c r="B1225" s="2" t="s">
        <v>60</v>
      </c>
      <c r="C1225" s="2" t="s">
        <v>11987</v>
      </c>
      <c r="D1225" s="2" t="s">
        <v>11988</v>
      </c>
      <c r="E1225" s="2" t="s">
        <v>11989</v>
      </c>
      <c r="F1225" s="3" t="s">
        <v>11990</v>
      </c>
      <c r="G1225" s="3" t="s">
        <v>65</v>
      </c>
      <c r="I1225" s="3" t="s">
        <v>65</v>
      </c>
      <c r="J1225" s="3" t="s">
        <v>65</v>
      </c>
      <c r="K1225" s="3" t="s">
        <v>66</v>
      </c>
      <c r="L1225" s="2" t="s">
        <v>11991</v>
      </c>
      <c r="M1225" s="2" t="s">
        <v>11992</v>
      </c>
      <c r="N1225" s="3" t="s">
        <v>139</v>
      </c>
      <c r="P1225" s="3" t="s">
        <v>140</v>
      </c>
      <c r="Q1225" s="2" t="s">
        <v>11993</v>
      </c>
      <c r="R1225" s="3" t="s">
        <v>71</v>
      </c>
      <c r="S1225" s="4">
        <v>0</v>
      </c>
      <c r="T1225" s="4">
        <v>0</v>
      </c>
      <c r="W1225" s="5" t="s">
        <v>72</v>
      </c>
      <c r="X1225" s="5" t="s">
        <v>72</v>
      </c>
      <c r="Y1225" s="4">
        <v>36</v>
      </c>
      <c r="Z1225" s="4">
        <v>5</v>
      </c>
      <c r="AA1225" s="4">
        <v>5</v>
      </c>
      <c r="AB1225" s="4">
        <v>1</v>
      </c>
      <c r="AC1225" s="4">
        <v>1</v>
      </c>
      <c r="AD1225" s="4">
        <v>25</v>
      </c>
      <c r="AE1225" s="4">
        <v>26</v>
      </c>
      <c r="AF1225" s="4">
        <v>0</v>
      </c>
      <c r="AG1225" s="4">
        <v>0</v>
      </c>
      <c r="AH1225" s="4">
        <v>24</v>
      </c>
      <c r="AI1225" s="4">
        <v>25</v>
      </c>
      <c r="AJ1225" s="4">
        <v>2</v>
      </c>
      <c r="AK1225" s="4">
        <v>2</v>
      </c>
      <c r="AL1225" s="4">
        <v>18</v>
      </c>
      <c r="AM1225" s="4">
        <v>19</v>
      </c>
      <c r="AN1225" s="4">
        <v>0</v>
      </c>
      <c r="AO1225" s="4">
        <v>0</v>
      </c>
      <c r="AP1225" s="4">
        <v>2</v>
      </c>
      <c r="AQ1225" s="4">
        <v>2</v>
      </c>
      <c r="AR1225" s="3" t="s">
        <v>65</v>
      </c>
      <c r="AS1225" s="3" t="s">
        <v>65</v>
      </c>
      <c r="AT1225" s="3" t="s">
        <v>65</v>
      </c>
      <c r="AV1225" s="6" t="str">
        <f>HYPERLINK("http://mcgill.on.worldcat.org/oclc/820785319","Catalog Record")</f>
        <v>Catalog Record</v>
      </c>
      <c r="AW1225" s="6" t="str">
        <f>HYPERLINK("http://www.worldcat.org/oclc/820785319","WorldCat Record")</f>
        <v>WorldCat Record</v>
      </c>
      <c r="AX1225" s="3" t="s">
        <v>11994</v>
      </c>
      <c r="AY1225" s="3" t="s">
        <v>11995</v>
      </c>
      <c r="AZ1225" s="3" t="s">
        <v>11996</v>
      </c>
      <c r="BA1225" s="3" t="s">
        <v>11996</v>
      </c>
      <c r="BB1225" s="3" t="s">
        <v>11997</v>
      </c>
      <c r="BC1225" s="3" t="s">
        <v>77</v>
      </c>
      <c r="BD1225" s="3" t="s">
        <v>78</v>
      </c>
      <c r="BE1225" s="3" t="s">
        <v>11998</v>
      </c>
      <c r="BF1225" s="3" t="s">
        <v>11997</v>
      </c>
      <c r="BG1225" s="3" t="s">
        <v>11999</v>
      </c>
    </row>
    <row r="1226" spans="1:59" ht="72.5" x14ac:dyDescent="0.35">
      <c r="A1226" s="2" t="s">
        <v>59</v>
      </c>
      <c r="B1226" s="2" t="s">
        <v>60</v>
      </c>
      <c r="C1226" s="2" t="s">
        <v>12000</v>
      </c>
      <c r="D1226" s="2" t="s">
        <v>12001</v>
      </c>
      <c r="E1226" s="2" t="s">
        <v>12002</v>
      </c>
      <c r="G1226" s="3" t="s">
        <v>65</v>
      </c>
      <c r="I1226" s="3" t="s">
        <v>65</v>
      </c>
      <c r="J1226" s="3" t="s">
        <v>65</v>
      </c>
      <c r="K1226" s="3" t="s">
        <v>66</v>
      </c>
      <c r="L1226" s="2" t="s">
        <v>12003</v>
      </c>
      <c r="M1226" s="2" t="s">
        <v>12004</v>
      </c>
      <c r="N1226" s="3" t="s">
        <v>479</v>
      </c>
      <c r="P1226" s="3" t="s">
        <v>69</v>
      </c>
      <c r="Q1226" s="2" t="s">
        <v>2245</v>
      </c>
      <c r="R1226" s="3" t="s">
        <v>71</v>
      </c>
      <c r="S1226" s="4">
        <v>4</v>
      </c>
      <c r="T1226" s="4">
        <v>4</v>
      </c>
      <c r="U1226" s="5" t="s">
        <v>12005</v>
      </c>
      <c r="V1226" s="5" t="s">
        <v>12005</v>
      </c>
      <c r="W1226" s="5" t="s">
        <v>72</v>
      </c>
      <c r="X1226" s="5" t="s">
        <v>72</v>
      </c>
      <c r="Y1226" s="4">
        <v>98</v>
      </c>
      <c r="Z1226" s="4">
        <v>10</v>
      </c>
      <c r="AA1226" s="4">
        <v>10</v>
      </c>
      <c r="AB1226" s="4">
        <v>1</v>
      </c>
      <c r="AC1226" s="4">
        <v>1</v>
      </c>
      <c r="AD1226" s="4">
        <v>44</v>
      </c>
      <c r="AE1226" s="4">
        <v>44</v>
      </c>
      <c r="AF1226" s="4">
        <v>0</v>
      </c>
      <c r="AG1226" s="4">
        <v>0</v>
      </c>
      <c r="AH1226" s="4">
        <v>41</v>
      </c>
      <c r="AI1226" s="4">
        <v>41</v>
      </c>
      <c r="AJ1226" s="4">
        <v>6</v>
      </c>
      <c r="AK1226" s="4">
        <v>6</v>
      </c>
      <c r="AL1226" s="4">
        <v>29</v>
      </c>
      <c r="AM1226" s="4">
        <v>29</v>
      </c>
      <c r="AN1226" s="4">
        <v>0</v>
      </c>
      <c r="AO1226" s="4">
        <v>0</v>
      </c>
      <c r="AP1226" s="4">
        <v>7</v>
      </c>
      <c r="AQ1226" s="4">
        <v>7</v>
      </c>
      <c r="AR1226" s="3" t="s">
        <v>65</v>
      </c>
      <c r="AS1226" s="3" t="s">
        <v>65</v>
      </c>
      <c r="AT1226" s="3" t="s">
        <v>65</v>
      </c>
      <c r="AV1226" s="6" t="str">
        <f>HYPERLINK("http://mcgill.on.worldcat.org/oclc/244651968","Catalog Record")</f>
        <v>Catalog Record</v>
      </c>
      <c r="AW1226" s="6" t="str">
        <f>HYPERLINK("http://www.worldcat.org/oclc/244651968","WorldCat Record")</f>
        <v>WorldCat Record</v>
      </c>
      <c r="AX1226" s="3" t="s">
        <v>12006</v>
      </c>
      <c r="AY1226" s="3" t="s">
        <v>12007</v>
      </c>
      <c r="AZ1226" s="3" t="s">
        <v>12008</v>
      </c>
      <c r="BA1226" s="3" t="s">
        <v>12008</v>
      </c>
      <c r="BB1226" s="3" t="s">
        <v>12009</v>
      </c>
      <c r="BC1226" s="3" t="s">
        <v>77</v>
      </c>
      <c r="BD1226" s="3" t="s">
        <v>78</v>
      </c>
      <c r="BE1226" s="3" t="s">
        <v>12010</v>
      </c>
      <c r="BF1226" s="3" t="s">
        <v>12009</v>
      </c>
      <c r="BG1226" s="3" t="s">
        <v>12011</v>
      </c>
    </row>
    <row r="1227" spans="1:59" ht="72.5" x14ac:dyDescent="0.35">
      <c r="A1227" s="2" t="s">
        <v>59</v>
      </c>
      <c r="B1227" s="2" t="s">
        <v>60</v>
      </c>
      <c r="C1227" s="2" t="s">
        <v>12012</v>
      </c>
      <c r="D1227" s="2" t="s">
        <v>12013</v>
      </c>
      <c r="E1227" s="2" t="s">
        <v>12014</v>
      </c>
      <c r="G1227" s="3" t="s">
        <v>65</v>
      </c>
      <c r="I1227" s="3" t="s">
        <v>65</v>
      </c>
      <c r="J1227" s="3" t="s">
        <v>65</v>
      </c>
      <c r="K1227" s="3" t="s">
        <v>66</v>
      </c>
      <c r="L1227" s="2" t="s">
        <v>12015</v>
      </c>
      <c r="M1227" s="2" t="s">
        <v>12016</v>
      </c>
      <c r="N1227" s="3" t="s">
        <v>1196</v>
      </c>
      <c r="P1227" s="3" t="s">
        <v>69</v>
      </c>
      <c r="R1227" s="3" t="s">
        <v>71</v>
      </c>
      <c r="S1227" s="4">
        <v>13</v>
      </c>
      <c r="T1227" s="4">
        <v>13</v>
      </c>
      <c r="U1227" s="5" t="s">
        <v>12017</v>
      </c>
      <c r="V1227" s="5" t="s">
        <v>12017</v>
      </c>
      <c r="W1227" s="5" t="s">
        <v>72</v>
      </c>
      <c r="X1227" s="5" t="s">
        <v>72</v>
      </c>
      <c r="Y1227" s="4">
        <v>316</v>
      </c>
      <c r="Z1227" s="4">
        <v>22</v>
      </c>
      <c r="AA1227" s="4">
        <v>26</v>
      </c>
      <c r="AB1227" s="4">
        <v>2</v>
      </c>
      <c r="AC1227" s="4">
        <v>6</v>
      </c>
      <c r="AD1227" s="4">
        <v>88</v>
      </c>
      <c r="AE1227" s="4">
        <v>92</v>
      </c>
      <c r="AF1227" s="4">
        <v>1</v>
      </c>
      <c r="AG1227" s="4">
        <v>4</v>
      </c>
      <c r="AH1227" s="4">
        <v>75</v>
      </c>
      <c r="AI1227" s="4">
        <v>76</v>
      </c>
      <c r="AJ1227" s="4">
        <v>13</v>
      </c>
      <c r="AK1227" s="4">
        <v>16</v>
      </c>
      <c r="AL1227" s="4">
        <v>38</v>
      </c>
      <c r="AM1227" s="4">
        <v>39</v>
      </c>
      <c r="AN1227" s="4">
        <v>0</v>
      </c>
      <c r="AO1227" s="4">
        <v>0</v>
      </c>
      <c r="AP1227" s="4">
        <v>18</v>
      </c>
      <c r="AQ1227" s="4">
        <v>20</v>
      </c>
      <c r="AR1227" s="3" t="s">
        <v>65</v>
      </c>
      <c r="AS1227" s="3" t="s">
        <v>65</v>
      </c>
      <c r="AT1227" s="3" t="s">
        <v>209</v>
      </c>
      <c r="AU1227" s="6" t="str">
        <f>HYPERLINK("http://catalog.hathitrust.org/Record/005109558","HathiTrust Record")</f>
        <v>HathiTrust Record</v>
      </c>
      <c r="AV1227" s="6" t="str">
        <f>HYPERLINK("http://mcgill.on.worldcat.org/oclc/61200837","Catalog Record")</f>
        <v>Catalog Record</v>
      </c>
      <c r="AW1227" s="6" t="str">
        <f>HYPERLINK("http://www.worldcat.org/oclc/61200837","WorldCat Record")</f>
        <v>WorldCat Record</v>
      </c>
      <c r="AX1227" s="3" t="s">
        <v>12018</v>
      </c>
      <c r="AY1227" s="3" t="s">
        <v>12019</v>
      </c>
      <c r="AZ1227" s="3" t="s">
        <v>12020</v>
      </c>
      <c r="BA1227" s="3" t="s">
        <v>12020</v>
      </c>
      <c r="BB1227" s="3" t="s">
        <v>12021</v>
      </c>
      <c r="BC1227" s="3" t="s">
        <v>77</v>
      </c>
      <c r="BD1227" s="3" t="s">
        <v>78</v>
      </c>
      <c r="BE1227" s="3" t="s">
        <v>12022</v>
      </c>
      <c r="BF1227" s="3" t="s">
        <v>12021</v>
      </c>
      <c r="BG1227" s="3" t="s">
        <v>12023</v>
      </c>
    </row>
    <row r="1228" spans="1:59" ht="58" x14ac:dyDescent="0.35">
      <c r="A1228" s="2" t="s">
        <v>59</v>
      </c>
      <c r="B1228" s="2" t="s">
        <v>60</v>
      </c>
      <c r="C1228" s="2" t="s">
        <v>12024</v>
      </c>
      <c r="D1228" s="2" t="s">
        <v>12025</v>
      </c>
      <c r="E1228" s="2" t="s">
        <v>12026</v>
      </c>
      <c r="G1228" s="3" t="s">
        <v>65</v>
      </c>
      <c r="I1228" s="3" t="s">
        <v>65</v>
      </c>
      <c r="J1228" s="3" t="s">
        <v>65</v>
      </c>
      <c r="K1228" s="3" t="s">
        <v>66</v>
      </c>
      <c r="L1228" s="2" t="s">
        <v>12027</v>
      </c>
      <c r="M1228" s="2" t="s">
        <v>12028</v>
      </c>
      <c r="N1228" s="3" t="s">
        <v>68</v>
      </c>
      <c r="P1228" s="3" t="s">
        <v>140</v>
      </c>
      <c r="R1228" s="3" t="s">
        <v>71</v>
      </c>
      <c r="S1228" s="4">
        <v>0</v>
      </c>
      <c r="T1228" s="4">
        <v>0</v>
      </c>
      <c r="W1228" s="5" t="s">
        <v>72</v>
      </c>
      <c r="X1228" s="5" t="s">
        <v>72</v>
      </c>
      <c r="Y1228" s="4">
        <v>5</v>
      </c>
      <c r="Z1228" s="4">
        <v>1</v>
      </c>
      <c r="AA1228" s="4">
        <v>1</v>
      </c>
      <c r="AB1228" s="4">
        <v>1</v>
      </c>
      <c r="AC1228" s="4">
        <v>1</v>
      </c>
      <c r="AD1228" s="4">
        <v>2</v>
      </c>
      <c r="AE1228" s="4">
        <v>2</v>
      </c>
      <c r="AF1228" s="4">
        <v>0</v>
      </c>
      <c r="AG1228" s="4">
        <v>0</v>
      </c>
      <c r="AH1228" s="4">
        <v>2</v>
      </c>
      <c r="AI1228" s="4">
        <v>2</v>
      </c>
      <c r="AJ1228" s="4">
        <v>0</v>
      </c>
      <c r="AK1228" s="4">
        <v>0</v>
      </c>
      <c r="AL1228" s="4">
        <v>1</v>
      </c>
      <c r="AM1228" s="4">
        <v>1</v>
      </c>
      <c r="AN1228" s="4">
        <v>0</v>
      </c>
      <c r="AO1228" s="4">
        <v>0</v>
      </c>
      <c r="AP1228" s="4">
        <v>0</v>
      </c>
      <c r="AQ1228" s="4">
        <v>0</v>
      </c>
      <c r="AR1228" s="3" t="s">
        <v>65</v>
      </c>
      <c r="AS1228" s="3" t="s">
        <v>65</v>
      </c>
      <c r="AT1228" s="3" t="s">
        <v>65</v>
      </c>
      <c r="AV1228" s="6" t="str">
        <f>HYPERLINK("http://mcgill.on.worldcat.org/oclc/1001478716","Catalog Record")</f>
        <v>Catalog Record</v>
      </c>
      <c r="AW1228" s="6" t="str">
        <f>HYPERLINK("http://www.worldcat.org/oclc/1001478716","WorldCat Record")</f>
        <v>WorldCat Record</v>
      </c>
      <c r="AX1228" s="3" t="s">
        <v>12029</v>
      </c>
      <c r="AY1228" s="3" t="s">
        <v>12030</v>
      </c>
      <c r="AZ1228" s="3" t="s">
        <v>12031</v>
      </c>
      <c r="BA1228" s="3" t="s">
        <v>12031</v>
      </c>
      <c r="BB1228" s="3" t="s">
        <v>12032</v>
      </c>
      <c r="BC1228" s="3" t="s">
        <v>77</v>
      </c>
      <c r="BD1228" s="3" t="s">
        <v>78</v>
      </c>
      <c r="BE1228" s="3" t="s">
        <v>12033</v>
      </c>
      <c r="BF1228" s="3" t="s">
        <v>12032</v>
      </c>
      <c r="BG1228" s="3" t="s">
        <v>12034</v>
      </c>
    </row>
    <row r="1229" spans="1:59" ht="58" x14ac:dyDescent="0.35">
      <c r="A1229" s="2" t="s">
        <v>59</v>
      </c>
      <c r="B1229" s="2" t="s">
        <v>60</v>
      </c>
      <c r="C1229" s="2" t="s">
        <v>12035</v>
      </c>
      <c r="D1229" s="2" t="s">
        <v>12036</v>
      </c>
      <c r="E1229" s="2" t="s">
        <v>12037</v>
      </c>
      <c r="G1229" s="3" t="s">
        <v>65</v>
      </c>
      <c r="I1229" s="3" t="s">
        <v>65</v>
      </c>
      <c r="J1229" s="3" t="s">
        <v>65</v>
      </c>
      <c r="K1229" s="3" t="s">
        <v>66</v>
      </c>
      <c r="L1229" s="2" t="s">
        <v>12038</v>
      </c>
      <c r="M1229" s="2" t="s">
        <v>12039</v>
      </c>
      <c r="N1229" s="3" t="s">
        <v>863</v>
      </c>
      <c r="P1229" s="3" t="s">
        <v>69</v>
      </c>
      <c r="Q1229" s="2" t="s">
        <v>12040</v>
      </c>
      <c r="R1229" s="3" t="s">
        <v>71</v>
      </c>
      <c r="S1229" s="4">
        <v>8</v>
      </c>
      <c r="T1229" s="4">
        <v>8</v>
      </c>
      <c r="U1229" s="5" t="s">
        <v>12041</v>
      </c>
      <c r="V1229" s="5" t="s">
        <v>12041</v>
      </c>
      <c r="W1229" s="5" t="s">
        <v>72</v>
      </c>
      <c r="X1229" s="5" t="s">
        <v>72</v>
      </c>
      <c r="Y1229" s="4">
        <v>146</v>
      </c>
      <c r="Z1229" s="4">
        <v>10</v>
      </c>
      <c r="AA1229" s="4">
        <v>10</v>
      </c>
      <c r="AB1229" s="4">
        <v>1</v>
      </c>
      <c r="AC1229" s="4">
        <v>1</v>
      </c>
      <c r="AD1229" s="4">
        <v>51</v>
      </c>
      <c r="AE1229" s="4">
        <v>51</v>
      </c>
      <c r="AF1229" s="4">
        <v>0</v>
      </c>
      <c r="AG1229" s="4">
        <v>0</v>
      </c>
      <c r="AH1229" s="4">
        <v>46</v>
      </c>
      <c r="AI1229" s="4">
        <v>46</v>
      </c>
      <c r="AJ1229" s="4">
        <v>7</v>
      </c>
      <c r="AK1229" s="4">
        <v>7</v>
      </c>
      <c r="AL1229" s="4">
        <v>27</v>
      </c>
      <c r="AM1229" s="4">
        <v>27</v>
      </c>
      <c r="AN1229" s="4">
        <v>0</v>
      </c>
      <c r="AO1229" s="4">
        <v>0</v>
      </c>
      <c r="AP1229" s="4">
        <v>7</v>
      </c>
      <c r="AQ1229" s="4">
        <v>7</v>
      </c>
      <c r="AR1229" s="3" t="s">
        <v>65</v>
      </c>
      <c r="AS1229" s="3" t="s">
        <v>65</v>
      </c>
      <c r="AT1229" s="3" t="s">
        <v>65</v>
      </c>
      <c r="AV1229" s="6" t="str">
        <f>HYPERLINK("http://mcgill.on.worldcat.org/oclc/25874195","Catalog Record")</f>
        <v>Catalog Record</v>
      </c>
      <c r="AW1229" s="6" t="str">
        <f>HYPERLINK("http://www.worldcat.org/oclc/25874195","WorldCat Record")</f>
        <v>WorldCat Record</v>
      </c>
      <c r="AX1229" s="3" t="s">
        <v>12042</v>
      </c>
      <c r="AY1229" s="3" t="s">
        <v>12043</v>
      </c>
      <c r="AZ1229" s="3" t="s">
        <v>12044</v>
      </c>
      <c r="BA1229" s="3" t="s">
        <v>12044</v>
      </c>
      <c r="BB1229" s="3" t="s">
        <v>12045</v>
      </c>
      <c r="BC1229" s="3" t="s">
        <v>77</v>
      </c>
      <c r="BD1229" s="3" t="s">
        <v>78</v>
      </c>
      <c r="BE1229" s="3" t="s">
        <v>12046</v>
      </c>
      <c r="BF1229" s="3" t="s">
        <v>12045</v>
      </c>
      <c r="BG1229" s="3" t="s">
        <v>12047</v>
      </c>
    </row>
    <row r="1230" spans="1:59" ht="58" x14ac:dyDescent="0.35">
      <c r="A1230" s="2" t="s">
        <v>59</v>
      </c>
      <c r="B1230" s="2" t="s">
        <v>60</v>
      </c>
      <c r="C1230" s="2" t="s">
        <v>12048</v>
      </c>
      <c r="D1230" s="2" t="s">
        <v>12049</v>
      </c>
      <c r="E1230" s="2" t="s">
        <v>12050</v>
      </c>
      <c r="G1230" s="3" t="s">
        <v>65</v>
      </c>
      <c r="I1230" s="3" t="s">
        <v>65</v>
      </c>
      <c r="J1230" s="3" t="s">
        <v>65</v>
      </c>
      <c r="K1230" s="3" t="s">
        <v>66</v>
      </c>
      <c r="L1230" s="2" t="s">
        <v>12051</v>
      </c>
      <c r="M1230" s="2" t="s">
        <v>12052</v>
      </c>
      <c r="N1230" s="3" t="s">
        <v>113</v>
      </c>
      <c r="P1230" s="3" t="s">
        <v>140</v>
      </c>
      <c r="Q1230" s="2" t="s">
        <v>12053</v>
      </c>
      <c r="R1230" s="3" t="s">
        <v>71</v>
      </c>
      <c r="S1230" s="4">
        <v>0</v>
      </c>
      <c r="T1230" s="4">
        <v>0</v>
      </c>
      <c r="W1230" s="5" t="s">
        <v>72</v>
      </c>
      <c r="X1230" s="5" t="s">
        <v>72</v>
      </c>
      <c r="Y1230" s="4">
        <v>50</v>
      </c>
      <c r="Z1230" s="4">
        <v>5</v>
      </c>
      <c r="AA1230" s="4">
        <v>5</v>
      </c>
      <c r="AB1230" s="4">
        <v>1</v>
      </c>
      <c r="AC1230" s="4">
        <v>1</v>
      </c>
      <c r="AD1230" s="4">
        <v>37</v>
      </c>
      <c r="AE1230" s="4">
        <v>37</v>
      </c>
      <c r="AF1230" s="4">
        <v>0</v>
      </c>
      <c r="AG1230" s="4">
        <v>0</v>
      </c>
      <c r="AH1230" s="4">
        <v>36</v>
      </c>
      <c r="AI1230" s="4">
        <v>36</v>
      </c>
      <c r="AJ1230" s="4">
        <v>2</v>
      </c>
      <c r="AK1230" s="4">
        <v>2</v>
      </c>
      <c r="AL1230" s="4">
        <v>27</v>
      </c>
      <c r="AM1230" s="4">
        <v>27</v>
      </c>
      <c r="AN1230" s="4">
        <v>0</v>
      </c>
      <c r="AO1230" s="4">
        <v>0</v>
      </c>
      <c r="AP1230" s="4">
        <v>2</v>
      </c>
      <c r="AQ1230" s="4">
        <v>2</v>
      </c>
      <c r="AR1230" s="3" t="s">
        <v>65</v>
      </c>
      <c r="AS1230" s="3" t="s">
        <v>65</v>
      </c>
      <c r="AT1230" s="3" t="s">
        <v>65</v>
      </c>
      <c r="AV1230" s="6" t="str">
        <f>HYPERLINK("http://mcgill.on.worldcat.org/oclc/701207076","Catalog Record")</f>
        <v>Catalog Record</v>
      </c>
      <c r="AW1230" s="6" t="str">
        <f>HYPERLINK("http://www.worldcat.org/oclc/701207076","WorldCat Record")</f>
        <v>WorldCat Record</v>
      </c>
      <c r="AX1230" s="3" t="s">
        <v>12054</v>
      </c>
      <c r="AY1230" s="3" t="s">
        <v>12055</v>
      </c>
      <c r="AZ1230" s="3" t="s">
        <v>12056</v>
      </c>
      <c r="BA1230" s="3" t="s">
        <v>12056</v>
      </c>
      <c r="BB1230" s="3" t="s">
        <v>12057</v>
      </c>
      <c r="BC1230" s="3" t="s">
        <v>77</v>
      </c>
      <c r="BD1230" s="3" t="s">
        <v>78</v>
      </c>
      <c r="BE1230" s="3" t="s">
        <v>12058</v>
      </c>
      <c r="BF1230" s="3" t="s">
        <v>12057</v>
      </c>
      <c r="BG1230" s="3" t="s">
        <v>12059</v>
      </c>
    </row>
    <row r="1231" spans="1:59" ht="58" x14ac:dyDescent="0.35">
      <c r="A1231" s="2" t="s">
        <v>59</v>
      </c>
      <c r="B1231" s="2" t="s">
        <v>60</v>
      </c>
      <c r="C1231" s="2" t="s">
        <v>12060</v>
      </c>
      <c r="D1231" s="2" t="s">
        <v>12061</v>
      </c>
      <c r="E1231" s="2" t="s">
        <v>12062</v>
      </c>
      <c r="G1231" s="3" t="s">
        <v>65</v>
      </c>
      <c r="I1231" s="3" t="s">
        <v>65</v>
      </c>
      <c r="J1231" s="3" t="s">
        <v>209</v>
      </c>
      <c r="K1231" s="3" t="s">
        <v>66</v>
      </c>
      <c r="L1231" s="2" t="s">
        <v>12063</v>
      </c>
      <c r="M1231" s="2" t="s">
        <v>12064</v>
      </c>
      <c r="N1231" s="3" t="s">
        <v>1932</v>
      </c>
      <c r="P1231" s="3" t="s">
        <v>69</v>
      </c>
      <c r="R1231" s="3" t="s">
        <v>71</v>
      </c>
      <c r="S1231" s="4">
        <v>28</v>
      </c>
      <c r="T1231" s="4">
        <v>28</v>
      </c>
      <c r="U1231" s="5" t="s">
        <v>12065</v>
      </c>
      <c r="V1231" s="5" t="s">
        <v>12065</v>
      </c>
      <c r="W1231" s="5" t="s">
        <v>72</v>
      </c>
      <c r="X1231" s="5" t="s">
        <v>72</v>
      </c>
      <c r="Y1231" s="4">
        <v>108</v>
      </c>
      <c r="Z1231" s="4">
        <v>4</v>
      </c>
      <c r="AA1231" s="4">
        <v>57</v>
      </c>
      <c r="AB1231" s="4">
        <v>1</v>
      </c>
      <c r="AC1231" s="4">
        <v>4</v>
      </c>
      <c r="AD1231" s="4">
        <v>25</v>
      </c>
      <c r="AE1231" s="4">
        <v>136</v>
      </c>
      <c r="AF1231" s="4">
        <v>0</v>
      </c>
      <c r="AG1231" s="4">
        <v>3</v>
      </c>
      <c r="AH1231" s="4">
        <v>24</v>
      </c>
      <c r="AI1231" s="4">
        <v>107</v>
      </c>
      <c r="AJ1231" s="4">
        <v>1</v>
      </c>
      <c r="AK1231" s="4">
        <v>24</v>
      </c>
      <c r="AL1231" s="4">
        <v>12</v>
      </c>
      <c r="AM1231" s="4">
        <v>58</v>
      </c>
      <c r="AN1231" s="4">
        <v>0</v>
      </c>
      <c r="AO1231" s="4">
        <v>0</v>
      </c>
      <c r="AP1231" s="4">
        <v>1</v>
      </c>
      <c r="AQ1231" s="4">
        <v>35</v>
      </c>
      <c r="AR1231" s="3" t="s">
        <v>65</v>
      </c>
      <c r="AS1231" s="3" t="s">
        <v>65</v>
      </c>
      <c r="AT1231" s="3" t="s">
        <v>65</v>
      </c>
      <c r="AV1231" s="6" t="str">
        <f>HYPERLINK("http://mcgill.on.worldcat.org/oclc/30625447","Catalog Record")</f>
        <v>Catalog Record</v>
      </c>
      <c r="AW1231" s="6" t="str">
        <f>HYPERLINK("http://www.worldcat.org/oclc/30625447","WorldCat Record")</f>
        <v>WorldCat Record</v>
      </c>
      <c r="AX1231" s="3" t="s">
        <v>12066</v>
      </c>
      <c r="AY1231" s="3" t="s">
        <v>12067</v>
      </c>
      <c r="AZ1231" s="3" t="s">
        <v>12068</v>
      </c>
      <c r="BA1231" s="3" t="s">
        <v>12068</v>
      </c>
      <c r="BB1231" s="3" t="s">
        <v>12069</v>
      </c>
      <c r="BC1231" s="3" t="s">
        <v>77</v>
      </c>
      <c r="BD1231" s="3" t="s">
        <v>78</v>
      </c>
      <c r="BE1231" s="3" t="s">
        <v>12070</v>
      </c>
      <c r="BF1231" s="3" t="s">
        <v>12069</v>
      </c>
      <c r="BG1231" s="3" t="s">
        <v>12071</v>
      </c>
    </row>
    <row r="1232" spans="1:59" ht="58" x14ac:dyDescent="0.35">
      <c r="A1232" s="2" t="s">
        <v>59</v>
      </c>
      <c r="B1232" s="2" t="s">
        <v>60</v>
      </c>
      <c r="C1232" s="2" t="s">
        <v>12072</v>
      </c>
      <c r="D1232" s="2" t="s">
        <v>12073</v>
      </c>
      <c r="E1232" s="2" t="s">
        <v>12074</v>
      </c>
      <c r="G1232" s="3" t="s">
        <v>65</v>
      </c>
      <c r="I1232" s="3" t="s">
        <v>65</v>
      </c>
      <c r="J1232" s="3" t="s">
        <v>65</v>
      </c>
      <c r="K1232" s="3" t="s">
        <v>66</v>
      </c>
      <c r="L1232" s="2" t="s">
        <v>12075</v>
      </c>
      <c r="M1232" s="2" t="s">
        <v>12076</v>
      </c>
      <c r="N1232" s="3" t="s">
        <v>1932</v>
      </c>
      <c r="P1232" s="3" t="s">
        <v>69</v>
      </c>
      <c r="Q1232" s="2" t="s">
        <v>12077</v>
      </c>
      <c r="R1232" s="3" t="s">
        <v>71</v>
      </c>
      <c r="S1232" s="4">
        <v>8</v>
      </c>
      <c r="T1232" s="4">
        <v>8</v>
      </c>
      <c r="U1232" s="5" t="s">
        <v>772</v>
      </c>
      <c r="V1232" s="5" t="s">
        <v>772</v>
      </c>
      <c r="W1232" s="5" t="s">
        <v>72</v>
      </c>
      <c r="X1232" s="5" t="s">
        <v>72</v>
      </c>
      <c r="Y1232" s="4">
        <v>374</v>
      </c>
      <c r="Z1232" s="4">
        <v>25</v>
      </c>
      <c r="AA1232" s="4">
        <v>28</v>
      </c>
      <c r="AB1232" s="4">
        <v>1</v>
      </c>
      <c r="AC1232" s="4">
        <v>2</v>
      </c>
      <c r="AD1232" s="4">
        <v>111</v>
      </c>
      <c r="AE1232" s="4">
        <v>113</v>
      </c>
      <c r="AF1232" s="4">
        <v>0</v>
      </c>
      <c r="AG1232" s="4">
        <v>1</v>
      </c>
      <c r="AH1232" s="4">
        <v>101</v>
      </c>
      <c r="AI1232" s="4">
        <v>101</v>
      </c>
      <c r="AJ1232" s="4">
        <v>14</v>
      </c>
      <c r="AK1232" s="4">
        <v>16</v>
      </c>
      <c r="AL1232" s="4">
        <v>57</v>
      </c>
      <c r="AM1232" s="4">
        <v>57</v>
      </c>
      <c r="AN1232" s="4">
        <v>0</v>
      </c>
      <c r="AO1232" s="4">
        <v>0</v>
      </c>
      <c r="AP1232" s="4">
        <v>17</v>
      </c>
      <c r="AQ1232" s="4">
        <v>18</v>
      </c>
      <c r="AR1232" s="3" t="s">
        <v>65</v>
      </c>
      <c r="AS1232" s="3" t="s">
        <v>65</v>
      </c>
      <c r="AT1232" s="3" t="s">
        <v>65</v>
      </c>
      <c r="AV1232" s="6" t="str">
        <f>HYPERLINK("http://mcgill.on.worldcat.org/oclc/28377043","Catalog Record")</f>
        <v>Catalog Record</v>
      </c>
      <c r="AW1232" s="6" t="str">
        <f>HYPERLINK("http://www.worldcat.org/oclc/28377043","WorldCat Record")</f>
        <v>WorldCat Record</v>
      </c>
      <c r="AX1232" s="3" t="s">
        <v>12078</v>
      </c>
      <c r="AY1232" s="3" t="s">
        <v>12079</v>
      </c>
      <c r="AZ1232" s="3" t="s">
        <v>12080</v>
      </c>
      <c r="BA1232" s="3" t="s">
        <v>12080</v>
      </c>
      <c r="BB1232" s="3" t="s">
        <v>12081</v>
      </c>
      <c r="BC1232" s="3" t="s">
        <v>77</v>
      </c>
      <c r="BD1232" s="3" t="s">
        <v>78</v>
      </c>
      <c r="BE1232" s="3" t="s">
        <v>12082</v>
      </c>
      <c r="BF1232" s="3" t="s">
        <v>12081</v>
      </c>
      <c r="BG1232" s="3" t="s">
        <v>12083</v>
      </c>
    </row>
    <row r="1233" spans="1:59" ht="58" x14ac:dyDescent="0.35">
      <c r="A1233" s="2" t="s">
        <v>59</v>
      </c>
      <c r="B1233" s="2" t="s">
        <v>60</v>
      </c>
      <c r="C1233" s="2" t="s">
        <v>12084</v>
      </c>
      <c r="D1233" s="2" t="s">
        <v>12085</v>
      </c>
      <c r="E1233" s="2" t="s">
        <v>12086</v>
      </c>
      <c r="G1233" s="3" t="s">
        <v>65</v>
      </c>
      <c r="I1233" s="3" t="s">
        <v>65</v>
      </c>
      <c r="J1233" s="3" t="s">
        <v>65</v>
      </c>
      <c r="K1233" s="3" t="s">
        <v>66</v>
      </c>
      <c r="L1233" s="2" t="s">
        <v>12087</v>
      </c>
      <c r="M1233" s="2" t="s">
        <v>12088</v>
      </c>
      <c r="N1233" s="3" t="s">
        <v>176</v>
      </c>
      <c r="P1233" s="3" t="s">
        <v>140</v>
      </c>
      <c r="Q1233" s="2" t="s">
        <v>12089</v>
      </c>
      <c r="R1233" s="3" t="s">
        <v>71</v>
      </c>
      <c r="S1233" s="4">
        <v>0</v>
      </c>
      <c r="T1233" s="4">
        <v>0</v>
      </c>
      <c r="W1233" s="5" t="s">
        <v>72</v>
      </c>
      <c r="X1233" s="5" t="s">
        <v>72</v>
      </c>
      <c r="Y1233" s="4">
        <v>43</v>
      </c>
      <c r="Z1233" s="4">
        <v>5</v>
      </c>
      <c r="AA1233" s="4">
        <v>5</v>
      </c>
      <c r="AB1233" s="4">
        <v>1</v>
      </c>
      <c r="AC1233" s="4">
        <v>1</v>
      </c>
      <c r="AD1233" s="4">
        <v>32</v>
      </c>
      <c r="AE1233" s="4">
        <v>32</v>
      </c>
      <c r="AF1233" s="4">
        <v>0</v>
      </c>
      <c r="AG1233" s="4">
        <v>0</v>
      </c>
      <c r="AH1233" s="4">
        <v>31</v>
      </c>
      <c r="AI1233" s="4">
        <v>31</v>
      </c>
      <c r="AJ1233" s="4">
        <v>2</v>
      </c>
      <c r="AK1233" s="4">
        <v>2</v>
      </c>
      <c r="AL1233" s="4">
        <v>26</v>
      </c>
      <c r="AM1233" s="4">
        <v>26</v>
      </c>
      <c r="AN1233" s="4">
        <v>0</v>
      </c>
      <c r="AO1233" s="4">
        <v>0</v>
      </c>
      <c r="AP1233" s="4">
        <v>2</v>
      </c>
      <c r="AQ1233" s="4">
        <v>2</v>
      </c>
      <c r="AR1233" s="3" t="s">
        <v>65</v>
      </c>
      <c r="AS1233" s="3" t="s">
        <v>65</v>
      </c>
      <c r="AT1233" s="3" t="s">
        <v>65</v>
      </c>
      <c r="AV1233" s="6" t="str">
        <f>HYPERLINK("http://mcgill.on.worldcat.org/oclc/925734410","Catalog Record")</f>
        <v>Catalog Record</v>
      </c>
      <c r="AW1233" s="6" t="str">
        <f>HYPERLINK("http://www.worldcat.org/oclc/925734410","WorldCat Record")</f>
        <v>WorldCat Record</v>
      </c>
      <c r="AX1233" s="3" t="s">
        <v>12090</v>
      </c>
      <c r="AY1233" s="3" t="s">
        <v>12091</v>
      </c>
      <c r="AZ1233" s="3" t="s">
        <v>12092</v>
      </c>
      <c r="BA1233" s="3" t="s">
        <v>12092</v>
      </c>
      <c r="BB1233" s="3" t="s">
        <v>12093</v>
      </c>
      <c r="BC1233" s="3" t="s">
        <v>77</v>
      </c>
      <c r="BD1233" s="3" t="s">
        <v>78</v>
      </c>
      <c r="BE1233" s="3" t="s">
        <v>12094</v>
      </c>
      <c r="BF1233" s="3" t="s">
        <v>12093</v>
      </c>
      <c r="BG1233" s="3" t="s">
        <v>12095</v>
      </c>
    </row>
    <row r="1234" spans="1:59" ht="58" x14ac:dyDescent="0.35">
      <c r="A1234" s="2" t="s">
        <v>59</v>
      </c>
      <c r="B1234" s="2" t="s">
        <v>60</v>
      </c>
      <c r="C1234" s="2" t="s">
        <v>12096</v>
      </c>
      <c r="D1234" s="2" t="s">
        <v>12097</v>
      </c>
      <c r="E1234" s="2" t="s">
        <v>12098</v>
      </c>
      <c r="G1234" s="3" t="s">
        <v>65</v>
      </c>
      <c r="I1234" s="3" t="s">
        <v>65</v>
      </c>
      <c r="J1234" s="3" t="s">
        <v>65</v>
      </c>
      <c r="K1234" s="3" t="s">
        <v>66</v>
      </c>
      <c r="L1234" s="2" t="s">
        <v>12099</v>
      </c>
      <c r="M1234" s="2" t="s">
        <v>12100</v>
      </c>
      <c r="N1234" s="3" t="s">
        <v>68</v>
      </c>
      <c r="O1234" s="2" t="s">
        <v>12101</v>
      </c>
      <c r="P1234" s="3" t="s">
        <v>140</v>
      </c>
      <c r="Q1234" s="2" t="s">
        <v>340</v>
      </c>
      <c r="R1234" s="3" t="s">
        <v>71</v>
      </c>
      <c r="S1234" s="4">
        <v>1</v>
      </c>
      <c r="T1234" s="4">
        <v>1</v>
      </c>
      <c r="U1234" s="5" t="s">
        <v>12017</v>
      </c>
      <c r="V1234" s="5" t="s">
        <v>12017</v>
      </c>
      <c r="W1234" s="5" t="s">
        <v>72</v>
      </c>
      <c r="X1234" s="5" t="s">
        <v>72</v>
      </c>
      <c r="Y1234" s="4">
        <v>50</v>
      </c>
      <c r="Z1234" s="4">
        <v>1</v>
      </c>
      <c r="AA1234" s="4">
        <v>1</v>
      </c>
      <c r="AB1234" s="4">
        <v>1</v>
      </c>
      <c r="AC1234" s="4">
        <v>1</v>
      </c>
      <c r="AD1234" s="4">
        <v>36</v>
      </c>
      <c r="AE1234" s="4">
        <v>36</v>
      </c>
      <c r="AF1234" s="4">
        <v>0</v>
      </c>
      <c r="AG1234" s="4">
        <v>0</v>
      </c>
      <c r="AH1234" s="4">
        <v>35</v>
      </c>
      <c r="AI1234" s="4">
        <v>35</v>
      </c>
      <c r="AJ1234" s="4">
        <v>0</v>
      </c>
      <c r="AK1234" s="4">
        <v>0</v>
      </c>
      <c r="AL1234" s="4">
        <v>29</v>
      </c>
      <c r="AM1234" s="4">
        <v>29</v>
      </c>
      <c r="AN1234" s="4">
        <v>0</v>
      </c>
      <c r="AO1234" s="4">
        <v>0</v>
      </c>
      <c r="AP1234" s="4">
        <v>0</v>
      </c>
      <c r="AQ1234" s="4">
        <v>0</v>
      </c>
      <c r="AR1234" s="3" t="s">
        <v>65</v>
      </c>
      <c r="AS1234" s="3" t="s">
        <v>65</v>
      </c>
      <c r="AT1234" s="3" t="s">
        <v>65</v>
      </c>
      <c r="AV1234" s="6" t="str">
        <f>HYPERLINK("http://mcgill.on.worldcat.org/oclc/968768675","Catalog Record")</f>
        <v>Catalog Record</v>
      </c>
      <c r="AW1234" s="6" t="str">
        <f>HYPERLINK("http://www.worldcat.org/oclc/968768675","WorldCat Record")</f>
        <v>WorldCat Record</v>
      </c>
      <c r="AX1234" s="3" t="s">
        <v>12102</v>
      </c>
      <c r="AY1234" s="3" t="s">
        <v>12103</v>
      </c>
      <c r="AZ1234" s="3" t="s">
        <v>12104</v>
      </c>
      <c r="BA1234" s="3" t="s">
        <v>12104</v>
      </c>
      <c r="BB1234" s="3" t="s">
        <v>12105</v>
      </c>
      <c r="BC1234" s="3" t="s">
        <v>77</v>
      </c>
      <c r="BD1234" s="3" t="s">
        <v>78</v>
      </c>
      <c r="BE1234" s="3" t="s">
        <v>12106</v>
      </c>
      <c r="BF1234" s="3" t="s">
        <v>12105</v>
      </c>
      <c r="BG1234" s="3" t="s">
        <v>12107</v>
      </c>
    </row>
    <row r="1235" spans="1:59" ht="58" x14ac:dyDescent="0.35">
      <c r="A1235" s="2" t="s">
        <v>59</v>
      </c>
      <c r="B1235" s="2" t="s">
        <v>60</v>
      </c>
      <c r="C1235" s="2" t="s">
        <v>12108</v>
      </c>
      <c r="D1235" s="2" t="s">
        <v>12109</v>
      </c>
      <c r="E1235" s="2" t="s">
        <v>12110</v>
      </c>
      <c r="F1235" s="3" t="s">
        <v>12111</v>
      </c>
      <c r="G1235" s="3" t="s">
        <v>65</v>
      </c>
      <c r="I1235" s="3" t="s">
        <v>65</v>
      </c>
      <c r="J1235" s="3" t="s">
        <v>65</v>
      </c>
      <c r="K1235" s="3" t="s">
        <v>66</v>
      </c>
      <c r="L1235" s="2" t="s">
        <v>11335</v>
      </c>
      <c r="M1235" s="2" t="s">
        <v>12112</v>
      </c>
      <c r="N1235" s="3" t="s">
        <v>942</v>
      </c>
      <c r="P1235" s="3" t="s">
        <v>140</v>
      </c>
      <c r="Q1235" s="2" t="s">
        <v>12113</v>
      </c>
      <c r="R1235" s="3" t="s">
        <v>71</v>
      </c>
      <c r="S1235" s="4">
        <v>1</v>
      </c>
      <c r="T1235" s="4">
        <v>1</v>
      </c>
      <c r="U1235" s="5" t="s">
        <v>12114</v>
      </c>
      <c r="V1235" s="5" t="s">
        <v>12114</v>
      </c>
      <c r="W1235" s="5" t="s">
        <v>72</v>
      </c>
      <c r="X1235" s="5" t="s">
        <v>72</v>
      </c>
      <c r="Y1235" s="4">
        <v>1</v>
      </c>
      <c r="Z1235" s="4">
        <v>1</v>
      </c>
      <c r="AA1235" s="4">
        <v>1</v>
      </c>
      <c r="AB1235" s="4">
        <v>1</v>
      </c>
      <c r="AC1235" s="4">
        <v>1</v>
      </c>
      <c r="AD1235" s="4">
        <v>0</v>
      </c>
      <c r="AE1235" s="4">
        <v>0</v>
      </c>
      <c r="AF1235" s="4">
        <v>0</v>
      </c>
      <c r="AG1235" s="4">
        <v>0</v>
      </c>
      <c r="AH1235" s="4">
        <v>0</v>
      </c>
      <c r="AI1235" s="4">
        <v>0</v>
      </c>
      <c r="AJ1235" s="4">
        <v>0</v>
      </c>
      <c r="AK1235" s="4">
        <v>0</v>
      </c>
      <c r="AL1235" s="4">
        <v>0</v>
      </c>
      <c r="AM1235" s="4">
        <v>0</v>
      </c>
      <c r="AN1235" s="4">
        <v>0</v>
      </c>
      <c r="AO1235" s="4">
        <v>0</v>
      </c>
      <c r="AP1235" s="4">
        <v>0</v>
      </c>
      <c r="AQ1235" s="4">
        <v>0</v>
      </c>
      <c r="AR1235" s="3" t="s">
        <v>65</v>
      </c>
      <c r="AS1235" s="3" t="s">
        <v>65</v>
      </c>
      <c r="AT1235" s="3" t="s">
        <v>65</v>
      </c>
      <c r="AV1235" s="6" t="str">
        <f>HYPERLINK("http://mcgill.on.worldcat.org/oclc/427503848","Catalog Record")</f>
        <v>Catalog Record</v>
      </c>
      <c r="AW1235" s="6" t="str">
        <f>HYPERLINK("http://www.worldcat.org/oclc/427503848","WorldCat Record")</f>
        <v>WorldCat Record</v>
      </c>
      <c r="AX1235" s="3" t="s">
        <v>12115</v>
      </c>
      <c r="AY1235" s="3" t="s">
        <v>12116</v>
      </c>
      <c r="AZ1235" s="3" t="s">
        <v>12117</v>
      </c>
      <c r="BA1235" s="3" t="s">
        <v>12117</v>
      </c>
      <c r="BB1235" s="3" t="s">
        <v>12118</v>
      </c>
      <c r="BC1235" s="3" t="s">
        <v>77</v>
      </c>
      <c r="BD1235" s="3" t="s">
        <v>78</v>
      </c>
      <c r="BF1235" s="3" t="s">
        <v>12118</v>
      </c>
      <c r="BG1235" s="3" t="s">
        <v>12119</v>
      </c>
    </row>
    <row r="1236" spans="1:59" ht="58" x14ac:dyDescent="0.35">
      <c r="A1236" s="2" t="s">
        <v>59</v>
      </c>
      <c r="B1236" s="2" t="s">
        <v>60</v>
      </c>
      <c r="C1236" s="2" t="s">
        <v>12120</v>
      </c>
      <c r="D1236" s="2" t="s">
        <v>12121</v>
      </c>
      <c r="E1236" s="2" t="s">
        <v>12122</v>
      </c>
      <c r="G1236" s="3" t="s">
        <v>65</v>
      </c>
      <c r="I1236" s="3" t="s">
        <v>65</v>
      </c>
      <c r="J1236" s="3" t="s">
        <v>65</v>
      </c>
      <c r="K1236" s="3" t="s">
        <v>66</v>
      </c>
      <c r="L1236" s="2" t="s">
        <v>12123</v>
      </c>
      <c r="M1236" s="2" t="s">
        <v>12124</v>
      </c>
      <c r="N1236" s="3" t="s">
        <v>113</v>
      </c>
      <c r="P1236" s="3" t="s">
        <v>69</v>
      </c>
      <c r="R1236" s="3" t="s">
        <v>71</v>
      </c>
      <c r="S1236" s="4">
        <v>5</v>
      </c>
      <c r="T1236" s="4">
        <v>5</v>
      </c>
      <c r="U1236" s="5" t="s">
        <v>9898</v>
      </c>
      <c r="V1236" s="5" t="s">
        <v>9898</v>
      </c>
      <c r="W1236" s="5" t="s">
        <v>72</v>
      </c>
      <c r="X1236" s="5" t="s">
        <v>72</v>
      </c>
      <c r="Y1236" s="4">
        <v>191</v>
      </c>
      <c r="Z1236" s="4">
        <v>25</v>
      </c>
      <c r="AA1236" s="4">
        <v>121</v>
      </c>
      <c r="AB1236" s="4">
        <v>1</v>
      </c>
      <c r="AC1236" s="4">
        <v>20</v>
      </c>
      <c r="AD1236" s="4">
        <v>89</v>
      </c>
      <c r="AE1236" s="4">
        <v>146</v>
      </c>
      <c r="AF1236" s="4">
        <v>0</v>
      </c>
      <c r="AG1236" s="4">
        <v>8</v>
      </c>
      <c r="AH1236" s="4">
        <v>76</v>
      </c>
      <c r="AI1236" s="4">
        <v>101</v>
      </c>
      <c r="AJ1236" s="4">
        <v>18</v>
      </c>
      <c r="AK1236" s="4">
        <v>27</v>
      </c>
      <c r="AL1236" s="4">
        <v>48</v>
      </c>
      <c r="AM1236" s="4">
        <v>55</v>
      </c>
      <c r="AN1236" s="4">
        <v>0</v>
      </c>
      <c r="AO1236" s="4">
        <v>0</v>
      </c>
      <c r="AP1236" s="4">
        <v>18</v>
      </c>
      <c r="AQ1236" s="4">
        <v>53</v>
      </c>
      <c r="AR1236" s="3" t="s">
        <v>209</v>
      </c>
      <c r="AS1236" s="3" t="s">
        <v>65</v>
      </c>
      <c r="AT1236" s="3" t="s">
        <v>65</v>
      </c>
      <c r="AV1236" s="6" t="str">
        <f>HYPERLINK("http://mcgill.on.worldcat.org/oclc/440091152","Catalog Record")</f>
        <v>Catalog Record</v>
      </c>
      <c r="AW1236" s="6" t="str">
        <f>HYPERLINK("http://www.worldcat.org/oclc/440091152","WorldCat Record")</f>
        <v>WorldCat Record</v>
      </c>
      <c r="AX1236" s="3" t="s">
        <v>12125</v>
      </c>
      <c r="AY1236" s="3" t="s">
        <v>12126</v>
      </c>
      <c r="AZ1236" s="3" t="s">
        <v>12127</v>
      </c>
      <c r="BA1236" s="3" t="s">
        <v>12127</v>
      </c>
      <c r="BB1236" s="3" t="s">
        <v>12128</v>
      </c>
      <c r="BC1236" s="3" t="s">
        <v>77</v>
      </c>
      <c r="BD1236" s="3" t="s">
        <v>78</v>
      </c>
      <c r="BE1236" s="3" t="s">
        <v>12129</v>
      </c>
      <c r="BF1236" s="3" t="s">
        <v>12128</v>
      </c>
      <c r="BG1236" s="3" t="s">
        <v>12130</v>
      </c>
    </row>
    <row r="1237" spans="1:59" ht="58" x14ac:dyDescent="0.35">
      <c r="A1237" s="2" t="s">
        <v>59</v>
      </c>
      <c r="B1237" s="2" t="s">
        <v>60</v>
      </c>
      <c r="C1237" s="2" t="s">
        <v>12131</v>
      </c>
      <c r="D1237" s="2" t="s">
        <v>12132</v>
      </c>
      <c r="E1237" s="2" t="s">
        <v>12133</v>
      </c>
      <c r="G1237" s="3" t="s">
        <v>65</v>
      </c>
      <c r="I1237" s="3" t="s">
        <v>65</v>
      </c>
      <c r="J1237" s="3" t="s">
        <v>65</v>
      </c>
      <c r="K1237" s="3" t="s">
        <v>66</v>
      </c>
      <c r="M1237" s="2" t="s">
        <v>12134</v>
      </c>
      <c r="N1237" s="3" t="s">
        <v>770</v>
      </c>
      <c r="P1237" s="3" t="s">
        <v>69</v>
      </c>
      <c r="R1237" s="3" t="s">
        <v>71</v>
      </c>
      <c r="S1237" s="4">
        <v>35</v>
      </c>
      <c r="T1237" s="4">
        <v>35</v>
      </c>
      <c r="U1237" s="5" t="s">
        <v>10901</v>
      </c>
      <c r="V1237" s="5" t="s">
        <v>10901</v>
      </c>
      <c r="W1237" s="5" t="s">
        <v>72</v>
      </c>
      <c r="X1237" s="5" t="s">
        <v>72</v>
      </c>
      <c r="Y1237" s="4">
        <v>410</v>
      </c>
      <c r="Z1237" s="4">
        <v>20</v>
      </c>
      <c r="AA1237" s="4">
        <v>20</v>
      </c>
      <c r="AB1237" s="4">
        <v>2</v>
      </c>
      <c r="AC1237" s="4">
        <v>2</v>
      </c>
      <c r="AD1237" s="4">
        <v>103</v>
      </c>
      <c r="AE1237" s="4">
        <v>103</v>
      </c>
      <c r="AF1237" s="4">
        <v>0</v>
      </c>
      <c r="AG1237" s="4">
        <v>0</v>
      </c>
      <c r="AH1237" s="4">
        <v>94</v>
      </c>
      <c r="AI1237" s="4">
        <v>94</v>
      </c>
      <c r="AJ1237" s="4">
        <v>12</v>
      </c>
      <c r="AK1237" s="4">
        <v>12</v>
      </c>
      <c r="AL1237" s="4">
        <v>57</v>
      </c>
      <c r="AM1237" s="4">
        <v>57</v>
      </c>
      <c r="AN1237" s="4">
        <v>0</v>
      </c>
      <c r="AO1237" s="4">
        <v>0</v>
      </c>
      <c r="AP1237" s="4">
        <v>13</v>
      </c>
      <c r="AQ1237" s="4">
        <v>13</v>
      </c>
      <c r="AR1237" s="3" t="s">
        <v>65</v>
      </c>
      <c r="AS1237" s="3" t="s">
        <v>65</v>
      </c>
      <c r="AT1237" s="3" t="s">
        <v>65</v>
      </c>
      <c r="AV1237" s="6" t="str">
        <f>HYPERLINK("http://mcgill.on.worldcat.org/oclc/21950878","Catalog Record")</f>
        <v>Catalog Record</v>
      </c>
      <c r="AW1237" s="6" t="str">
        <f>HYPERLINK("http://www.worldcat.org/oclc/21950878","WorldCat Record")</f>
        <v>WorldCat Record</v>
      </c>
      <c r="AX1237" s="3" t="s">
        <v>12135</v>
      </c>
      <c r="AY1237" s="3" t="s">
        <v>12136</v>
      </c>
      <c r="AZ1237" s="3" t="s">
        <v>12137</v>
      </c>
      <c r="BA1237" s="3" t="s">
        <v>12137</v>
      </c>
      <c r="BB1237" s="3" t="s">
        <v>12138</v>
      </c>
      <c r="BC1237" s="3" t="s">
        <v>77</v>
      </c>
      <c r="BD1237" s="3" t="s">
        <v>78</v>
      </c>
      <c r="BE1237" s="3" t="s">
        <v>12139</v>
      </c>
      <c r="BF1237" s="3" t="s">
        <v>12138</v>
      </c>
      <c r="BG1237" s="3" t="s">
        <v>12140</v>
      </c>
    </row>
    <row r="1238" spans="1:59" ht="58" x14ac:dyDescent="0.35">
      <c r="A1238" s="2" t="s">
        <v>59</v>
      </c>
      <c r="B1238" s="2" t="s">
        <v>60</v>
      </c>
      <c r="C1238" s="2" t="s">
        <v>12141</v>
      </c>
      <c r="D1238" s="2" t="s">
        <v>12142</v>
      </c>
      <c r="E1238" s="2" t="s">
        <v>12143</v>
      </c>
      <c r="G1238" s="3" t="s">
        <v>65</v>
      </c>
      <c r="I1238" s="3" t="s">
        <v>65</v>
      </c>
      <c r="J1238" s="3" t="s">
        <v>65</v>
      </c>
      <c r="K1238" s="3" t="s">
        <v>66</v>
      </c>
      <c r="L1238" s="2" t="s">
        <v>12144</v>
      </c>
      <c r="M1238" s="2" t="s">
        <v>12145</v>
      </c>
      <c r="N1238" s="3" t="s">
        <v>2210</v>
      </c>
      <c r="P1238" s="3" t="s">
        <v>69</v>
      </c>
      <c r="Q1238" s="2" t="s">
        <v>12146</v>
      </c>
      <c r="R1238" s="3" t="s">
        <v>71</v>
      </c>
      <c r="S1238" s="4">
        <v>7</v>
      </c>
      <c r="T1238" s="4">
        <v>7</v>
      </c>
      <c r="U1238" s="5" t="s">
        <v>12147</v>
      </c>
      <c r="V1238" s="5" t="s">
        <v>12147</v>
      </c>
      <c r="W1238" s="5" t="s">
        <v>72</v>
      </c>
      <c r="X1238" s="5" t="s">
        <v>72</v>
      </c>
      <c r="Y1238" s="4">
        <v>240</v>
      </c>
      <c r="Z1238" s="4">
        <v>14</v>
      </c>
      <c r="AA1238" s="4">
        <v>81</v>
      </c>
      <c r="AB1238" s="4">
        <v>1</v>
      </c>
      <c r="AC1238" s="4">
        <v>14</v>
      </c>
      <c r="AD1238" s="4">
        <v>90</v>
      </c>
      <c r="AE1238" s="4">
        <v>136</v>
      </c>
      <c r="AF1238" s="4">
        <v>0</v>
      </c>
      <c r="AG1238" s="4">
        <v>8</v>
      </c>
      <c r="AH1238" s="4">
        <v>83</v>
      </c>
      <c r="AI1238" s="4">
        <v>102</v>
      </c>
      <c r="AJ1238" s="4">
        <v>10</v>
      </c>
      <c r="AK1238" s="4">
        <v>23</v>
      </c>
      <c r="AL1238" s="4">
        <v>48</v>
      </c>
      <c r="AM1238" s="4">
        <v>53</v>
      </c>
      <c r="AN1238" s="4">
        <v>0</v>
      </c>
      <c r="AO1238" s="4">
        <v>0</v>
      </c>
      <c r="AP1238" s="4">
        <v>11</v>
      </c>
      <c r="AQ1238" s="4">
        <v>42</v>
      </c>
      <c r="AR1238" s="3" t="s">
        <v>65</v>
      </c>
      <c r="AS1238" s="3" t="s">
        <v>65</v>
      </c>
      <c r="AT1238" s="3" t="s">
        <v>209</v>
      </c>
      <c r="AU1238" s="6" t="str">
        <f>HYPERLINK("http://catalog.hathitrust.org/Record/004276902","HathiTrust Record")</f>
        <v>HathiTrust Record</v>
      </c>
      <c r="AV1238" s="6" t="str">
        <f>HYPERLINK("http://mcgill.on.worldcat.org/oclc/47971978","Catalog Record")</f>
        <v>Catalog Record</v>
      </c>
      <c r="AW1238" s="6" t="str">
        <f>HYPERLINK("http://www.worldcat.org/oclc/47971978","WorldCat Record")</f>
        <v>WorldCat Record</v>
      </c>
      <c r="AX1238" s="3" t="s">
        <v>12148</v>
      </c>
      <c r="AY1238" s="3" t="s">
        <v>12149</v>
      </c>
      <c r="AZ1238" s="3" t="s">
        <v>12150</v>
      </c>
      <c r="BA1238" s="3" t="s">
        <v>12150</v>
      </c>
      <c r="BB1238" s="3" t="s">
        <v>12151</v>
      </c>
      <c r="BC1238" s="3" t="s">
        <v>77</v>
      </c>
      <c r="BD1238" s="3" t="s">
        <v>78</v>
      </c>
      <c r="BE1238" s="3" t="s">
        <v>12152</v>
      </c>
      <c r="BF1238" s="3" t="s">
        <v>12151</v>
      </c>
      <c r="BG1238" s="3" t="s">
        <v>12153</v>
      </c>
    </row>
    <row r="1239" spans="1:59" ht="58" x14ac:dyDescent="0.35">
      <c r="A1239" s="2" t="s">
        <v>59</v>
      </c>
      <c r="B1239" s="2" t="s">
        <v>60</v>
      </c>
      <c r="C1239" s="2" t="s">
        <v>12154</v>
      </c>
      <c r="D1239" s="2" t="s">
        <v>12155</v>
      </c>
      <c r="E1239" s="2" t="s">
        <v>12156</v>
      </c>
      <c r="G1239" s="3" t="s">
        <v>65</v>
      </c>
      <c r="I1239" s="3" t="s">
        <v>65</v>
      </c>
      <c r="J1239" s="3" t="s">
        <v>65</v>
      </c>
      <c r="K1239" s="3" t="s">
        <v>66</v>
      </c>
      <c r="L1239" s="2" t="s">
        <v>12157</v>
      </c>
      <c r="M1239" s="2" t="s">
        <v>12158</v>
      </c>
      <c r="N1239" s="3" t="s">
        <v>152</v>
      </c>
      <c r="P1239" s="3" t="s">
        <v>69</v>
      </c>
      <c r="Q1239" s="2" t="s">
        <v>12159</v>
      </c>
      <c r="R1239" s="3" t="s">
        <v>71</v>
      </c>
      <c r="S1239" s="4">
        <v>2</v>
      </c>
      <c r="T1239" s="4">
        <v>2</v>
      </c>
      <c r="U1239" s="5" t="s">
        <v>10901</v>
      </c>
      <c r="V1239" s="5" t="s">
        <v>10901</v>
      </c>
      <c r="W1239" s="5" t="s">
        <v>72</v>
      </c>
      <c r="X1239" s="5" t="s">
        <v>72</v>
      </c>
      <c r="Y1239" s="4">
        <v>115</v>
      </c>
      <c r="Z1239" s="4">
        <v>16</v>
      </c>
      <c r="AA1239" s="4">
        <v>84</v>
      </c>
      <c r="AB1239" s="4">
        <v>1</v>
      </c>
      <c r="AC1239" s="4">
        <v>14</v>
      </c>
      <c r="AD1239" s="4">
        <v>60</v>
      </c>
      <c r="AE1239" s="4">
        <v>123</v>
      </c>
      <c r="AF1239" s="4">
        <v>0</v>
      </c>
      <c r="AG1239" s="4">
        <v>8</v>
      </c>
      <c r="AH1239" s="4">
        <v>56</v>
      </c>
      <c r="AI1239" s="4">
        <v>88</v>
      </c>
      <c r="AJ1239" s="4">
        <v>12</v>
      </c>
      <c r="AK1239" s="4">
        <v>24</v>
      </c>
      <c r="AL1239" s="4">
        <v>32</v>
      </c>
      <c r="AM1239" s="4">
        <v>47</v>
      </c>
      <c r="AN1239" s="4">
        <v>0</v>
      </c>
      <c r="AO1239" s="4">
        <v>0</v>
      </c>
      <c r="AP1239" s="4">
        <v>13</v>
      </c>
      <c r="AQ1239" s="4">
        <v>45</v>
      </c>
      <c r="AR1239" s="3" t="s">
        <v>65</v>
      </c>
      <c r="AS1239" s="3" t="s">
        <v>65</v>
      </c>
      <c r="AT1239" s="3" t="s">
        <v>65</v>
      </c>
      <c r="AV1239" s="6" t="str">
        <f>HYPERLINK("http://mcgill.on.worldcat.org/oclc/777652683","Catalog Record")</f>
        <v>Catalog Record</v>
      </c>
      <c r="AW1239" s="6" t="str">
        <f>HYPERLINK("http://www.worldcat.org/oclc/777652683","WorldCat Record")</f>
        <v>WorldCat Record</v>
      </c>
      <c r="AX1239" s="3" t="s">
        <v>12160</v>
      </c>
      <c r="AY1239" s="3" t="s">
        <v>12161</v>
      </c>
      <c r="AZ1239" s="3" t="s">
        <v>12162</v>
      </c>
      <c r="BA1239" s="3" t="s">
        <v>12162</v>
      </c>
      <c r="BB1239" s="3" t="s">
        <v>12163</v>
      </c>
      <c r="BC1239" s="3" t="s">
        <v>77</v>
      </c>
      <c r="BD1239" s="3" t="s">
        <v>78</v>
      </c>
      <c r="BE1239" s="3" t="s">
        <v>12164</v>
      </c>
      <c r="BF1239" s="3" t="s">
        <v>12163</v>
      </c>
      <c r="BG1239" s="3" t="s">
        <v>12165</v>
      </c>
    </row>
    <row r="1240" spans="1:59" ht="58" x14ac:dyDescent="0.35">
      <c r="A1240" s="2" t="s">
        <v>59</v>
      </c>
      <c r="B1240" s="2" t="s">
        <v>60</v>
      </c>
      <c r="C1240" s="2" t="s">
        <v>12166</v>
      </c>
      <c r="D1240" s="2" t="s">
        <v>12167</v>
      </c>
      <c r="E1240" s="2" t="s">
        <v>12168</v>
      </c>
      <c r="G1240" s="3" t="s">
        <v>65</v>
      </c>
      <c r="I1240" s="3" t="s">
        <v>65</v>
      </c>
      <c r="J1240" s="3" t="s">
        <v>209</v>
      </c>
      <c r="K1240" s="3" t="s">
        <v>66</v>
      </c>
      <c r="L1240" s="2" t="s">
        <v>12169</v>
      </c>
      <c r="M1240" s="2" t="s">
        <v>12170</v>
      </c>
      <c r="N1240" s="3" t="s">
        <v>12171</v>
      </c>
      <c r="P1240" s="3" t="s">
        <v>69</v>
      </c>
      <c r="R1240" s="3" t="s">
        <v>71</v>
      </c>
      <c r="S1240" s="4">
        <v>9</v>
      </c>
      <c r="T1240" s="4">
        <v>9</v>
      </c>
      <c r="U1240" s="5" t="s">
        <v>9898</v>
      </c>
      <c r="V1240" s="5" t="s">
        <v>9898</v>
      </c>
      <c r="W1240" s="5" t="s">
        <v>72</v>
      </c>
      <c r="X1240" s="5" t="s">
        <v>72</v>
      </c>
      <c r="Y1240" s="4">
        <v>206</v>
      </c>
      <c r="Z1240" s="4">
        <v>12</v>
      </c>
      <c r="AA1240" s="4">
        <v>65</v>
      </c>
      <c r="AB1240" s="4">
        <v>2</v>
      </c>
      <c r="AC1240" s="4">
        <v>5</v>
      </c>
      <c r="AD1240" s="4">
        <v>36</v>
      </c>
      <c r="AE1240" s="4">
        <v>141</v>
      </c>
      <c r="AF1240" s="4">
        <v>0</v>
      </c>
      <c r="AG1240" s="4">
        <v>2</v>
      </c>
      <c r="AH1240" s="4">
        <v>33</v>
      </c>
      <c r="AI1240" s="4">
        <v>108</v>
      </c>
      <c r="AJ1240" s="4">
        <v>4</v>
      </c>
      <c r="AK1240" s="4">
        <v>21</v>
      </c>
      <c r="AL1240" s="4">
        <v>22</v>
      </c>
      <c r="AM1240" s="4">
        <v>58</v>
      </c>
      <c r="AN1240" s="4">
        <v>0</v>
      </c>
      <c r="AO1240" s="4">
        <v>0</v>
      </c>
      <c r="AP1240" s="4">
        <v>4</v>
      </c>
      <c r="AQ1240" s="4">
        <v>39</v>
      </c>
      <c r="AR1240" s="3" t="s">
        <v>65</v>
      </c>
      <c r="AS1240" s="3" t="s">
        <v>65</v>
      </c>
      <c r="AT1240" s="3" t="s">
        <v>209</v>
      </c>
      <c r="AU1240" s="6" t="str">
        <f>HYPERLINK("http://catalog.hathitrust.org/Record/001015744","HathiTrust Record")</f>
        <v>HathiTrust Record</v>
      </c>
      <c r="AV1240" s="6" t="str">
        <f>HYPERLINK("http://mcgill.on.worldcat.org/oclc/8520359","Catalog Record")</f>
        <v>Catalog Record</v>
      </c>
      <c r="AW1240" s="6" t="str">
        <f>HYPERLINK("http://www.worldcat.org/oclc/8520359","WorldCat Record")</f>
        <v>WorldCat Record</v>
      </c>
      <c r="AX1240" s="3" t="s">
        <v>12172</v>
      </c>
      <c r="AY1240" s="3" t="s">
        <v>12173</v>
      </c>
      <c r="AZ1240" s="3" t="s">
        <v>12174</v>
      </c>
      <c r="BA1240" s="3" t="s">
        <v>12174</v>
      </c>
      <c r="BB1240" s="3" t="s">
        <v>12175</v>
      </c>
      <c r="BC1240" s="3" t="s">
        <v>77</v>
      </c>
      <c r="BD1240" s="3" t="s">
        <v>78</v>
      </c>
      <c r="BF1240" s="3" t="s">
        <v>12175</v>
      </c>
      <c r="BG1240" s="3" t="s">
        <v>12176</v>
      </c>
    </row>
    <row r="1241" spans="1:59" ht="58" x14ac:dyDescent="0.35">
      <c r="A1241" s="2" t="s">
        <v>59</v>
      </c>
      <c r="B1241" s="2" t="s">
        <v>60</v>
      </c>
      <c r="C1241" s="2" t="s">
        <v>12177</v>
      </c>
      <c r="D1241" s="2" t="s">
        <v>12178</v>
      </c>
      <c r="E1241" s="2" t="s">
        <v>12179</v>
      </c>
      <c r="G1241" s="3" t="s">
        <v>65</v>
      </c>
      <c r="I1241" s="3" t="s">
        <v>209</v>
      </c>
      <c r="J1241" s="3" t="s">
        <v>209</v>
      </c>
      <c r="K1241" s="3" t="s">
        <v>66</v>
      </c>
      <c r="L1241" s="2" t="s">
        <v>12169</v>
      </c>
      <c r="M1241" s="2" t="s">
        <v>12180</v>
      </c>
      <c r="N1241" s="3" t="s">
        <v>3052</v>
      </c>
      <c r="O1241" s="2" t="s">
        <v>12181</v>
      </c>
      <c r="P1241" s="3" t="s">
        <v>69</v>
      </c>
      <c r="Q1241" s="2" t="s">
        <v>12182</v>
      </c>
      <c r="R1241" s="3" t="s">
        <v>71</v>
      </c>
      <c r="S1241" s="4">
        <v>6</v>
      </c>
      <c r="T1241" s="4">
        <v>18</v>
      </c>
      <c r="U1241" s="5" t="s">
        <v>12183</v>
      </c>
      <c r="V1241" s="5" t="s">
        <v>9898</v>
      </c>
      <c r="W1241" s="5" t="s">
        <v>72</v>
      </c>
      <c r="X1241" s="5" t="s">
        <v>72</v>
      </c>
      <c r="Y1241" s="4">
        <v>391</v>
      </c>
      <c r="Z1241" s="4">
        <v>21</v>
      </c>
      <c r="AA1241" s="4">
        <v>65</v>
      </c>
      <c r="AB1241" s="4">
        <v>1</v>
      </c>
      <c r="AC1241" s="4">
        <v>5</v>
      </c>
      <c r="AD1241" s="4">
        <v>60</v>
      </c>
      <c r="AE1241" s="4">
        <v>141</v>
      </c>
      <c r="AF1241" s="4">
        <v>0</v>
      </c>
      <c r="AG1241" s="4">
        <v>2</v>
      </c>
      <c r="AH1241" s="4">
        <v>52</v>
      </c>
      <c r="AI1241" s="4">
        <v>108</v>
      </c>
      <c r="AJ1241" s="4">
        <v>8</v>
      </c>
      <c r="AK1241" s="4">
        <v>21</v>
      </c>
      <c r="AL1241" s="4">
        <v>27</v>
      </c>
      <c r="AM1241" s="4">
        <v>58</v>
      </c>
      <c r="AN1241" s="4">
        <v>0</v>
      </c>
      <c r="AO1241" s="4">
        <v>0</v>
      </c>
      <c r="AP1241" s="4">
        <v>13</v>
      </c>
      <c r="AQ1241" s="4">
        <v>39</v>
      </c>
      <c r="AR1241" s="3" t="s">
        <v>65</v>
      </c>
      <c r="AS1241" s="3" t="s">
        <v>65</v>
      </c>
      <c r="AT1241" s="3" t="s">
        <v>65</v>
      </c>
      <c r="AU1241" s="6" t="str">
        <f>HYPERLINK("http://catalog.hathitrust.org/Record/001805329","HathiTrust Record")</f>
        <v>HathiTrust Record</v>
      </c>
      <c r="AV1241" s="6" t="str">
        <f>HYPERLINK("http://mcgill.on.worldcat.org/oclc/2364765","Catalog Record")</f>
        <v>Catalog Record</v>
      </c>
      <c r="AW1241" s="6" t="str">
        <f>HYPERLINK("http://www.worldcat.org/oclc/2364765","WorldCat Record")</f>
        <v>WorldCat Record</v>
      </c>
      <c r="AX1241" s="3" t="s">
        <v>12172</v>
      </c>
      <c r="AY1241" s="3" t="s">
        <v>12184</v>
      </c>
      <c r="AZ1241" s="3" t="s">
        <v>12185</v>
      </c>
      <c r="BA1241" s="3" t="s">
        <v>12185</v>
      </c>
      <c r="BB1241" s="3" t="s">
        <v>12186</v>
      </c>
      <c r="BC1241" s="3" t="s">
        <v>77</v>
      </c>
      <c r="BD1241" s="3" t="s">
        <v>78</v>
      </c>
      <c r="BF1241" s="3" t="s">
        <v>12186</v>
      </c>
      <c r="BG1241" s="3" t="s">
        <v>12187</v>
      </c>
    </row>
    <row r="1242" spans="1:59" ht="58" x14ac:dyDescent="0.35">
      <c r="A1242" s="2" t="s">
        <v>59</v>
      </c>
      <c r="B1242" s="2" t="s">
        <v>60</v>
      </c>
      <c r="C1242" s="2" t="s">
        <v>12177</v>
      </c>
      <c r="D1242" s="2" t="s">
        <v>12178</v>
      </c>
      <c r="E1242" s="2" t="s">
        <v>12179</v>
      </c>
      <c r="G1242" s="3" t="s">
        <v>65</v>
      </c>
      <c r="I1242" s="3" t="s">
        <v>209</v>
      </c>
      <c r="J1242" s="3" t="s">
        <v>209</v>
      </c>
      <c r="K1242" s="3" t="s">
        <v>66</v>
      </c>
      <c r="L1242" s="2" t="s">
        <v>12169</v>
      </c>
      <c r="M1242" s="2" t="s">
        <v>12180</v>
      </c>
      <c r="N1242" s="3" t="s">
        <v>3052</v>
      </c>
      <c r="O1242" s="2" t="s">
        <v>12181</v>
      </c>
      <c r="P1242" s="3" t="s">
        <v>69</v>
      </c>
      <c r="Q1242" s="2" t="s">
        <v>12182</v>
      </c>
      <c r="R1242" s="3" t="s">
        <v>71</v>
      </c>
      <c r="S1242" s="4">
        <v>12</v>
      </c>
      <c r="T1242" s="4">
        <v>18</v>
      </c>
      <c r="U1242" s="5" t="s">
        <v>9898</v>
      </c>
      <c r="V1242" s="5" t="s">
        <v>9898</v>
      </c>
      <c r="W1242" s="5" t="s">
        <v>72</v>
      </c>
      <c r="X1242" s="5" t="s">
        <v>72</v>
      </c>
      <c r="Y1242" s="4">
        <v>391</v>
      </c>
      <c r="Z1242" s="4">
        <v>21</v>
      </c>
      <c r="AA1242" s="4">
        <v>65</v>
      </c>
      <c r="AB1242" s="4">
        <v>1</v>
      </c>
      <c r="AC1242" s="4">
        <v>5</v>
      </c>
      <c r="AD1242" s="4">
        <v>60</v>
      </c>
      <c r="AE1242" s="4">
        <v>141</v>
      </c>
      <c r="AF1242" s="4">
        <v>0</v>
      </c>
      <c r="AG1242" s="4">
        <v>2</v>
      </c>
      <c r="AH1242" s="4">
        <v>52</v>
      </c>
      <c r="AI1242" s="4">
        <v>108</v>
      </c>
      <c r="AJ1242" s="4">
        <v>8</v>
      </c>
      <c r="AK1242" s="4">
        <v>21</v>
      </c>
      <c r="AL1242" s="4">
        <v>27</v>
      </c>
      <c r="AM1242" s="4">
        <v>58</v>
      </c>
      <c r="AN1242" s="4">
        <v>0</v>
      </c>
      <c r="AO1242" s="4">
        <v>0</v>
      </c>
      <c r="AP1242" s="4">
        <v>13</v>
      </c>
      <c r="AQ1242" s="4">
        <v>39</v>
      </c>
      <c r="AR1242" s="3" t="s">
        <v>65</v>
      </c>
      <c r="AS1242" s="3" t="s">
        <v>65</v>
      </c>
      <c r="AT1242" s="3" t="s">
        <v>65</v>
      </c>
      <c r="AU1242" s="6" t="str">
        <f>HYPERLINK("http://catalog.hathitrust.org/Record/001805329","HathiTrust Record")</f>
        <v>HathiTrust Record</v>
      </c>
      <c r="AV1242" s="6" t="str">
        <f>HYPERLINK("http://mcgill.on.worldcat.org/oclc/2364765","Catalog Record")</f>
        <v>Catalog Record</v>
      </c>
      <c r="AW1242" s="6" t="str">
        <f>HYPERLINK("http://www.worldcat.org/oclc/2364765","WorldCat Record")</f>
        <v>WorldCat Record</v>
      </c>
      <c r="AX1242" s="3" t="s">
        <v>12172</v>
      </c>
      <c r="AY1242" s="3" t="s">
        <v>12184</v>
      </c>
      <c r="AZ1242" s="3" t="s">
        <v>12185</v>
      </c>
      <c r="BA1242" s="3" t="s">
        <v>12185</v>
      </c>
      <c r="BB1242" s="3" t="s">
        <v>12188</v>
      </c>
      <c r="BC1242" s="3" t="s">
        <v>77</v>
      </c>
      <c r="BD1242" s="3" t="s">
        <v>78</v>
      </c>
      <c r="BF1242" s="3" t="s">
        <v>12188</v>
      </c>
      <c r="BG1242" s="3" t="s">
        <v>12189</v>
      </c>
    </row>
    <row r="1243" spans="1:59" ht="58" x14ac:dyDescent="0.35">
      <c r="A1243" s="2" t="s">
        <v>59</v>
      </c>
      <c r="B1243" s="2" t="s">
        <v>60</v>
      </c>
      <c r="C1243" s="2" t="s">
        <v>12190</v>
      </c>
      <c r="D1243" s="2" t="s">
        <v>12191</v>
      </c>
      <c r="E1243" s="2" t="s">
        <v>12192</v>
      </c>
      <c r="G1243" s="3" t="s">
        <v>65</v>
      </c>
      <c r="I1243" s="3" t="s">
        <v>65</v>
      </c>
      <c r="J1243" s="3" t="s">
        <v>65</v>
      </c>
      <c r="K1243" s="3" t="s">
        <v>66</v>
      </c>
      <c r="L1243" s="2" t="s">
        <v>11335</v>
      </c>
      <c r="M1243" s="2" t="s">
        <v>12193</v>
      </c>
      <c r="N1243" s="3" t="s">
        <v>8812</v>
      </c>
      <c r="O1243" s="2" t="s">
        <v>12194</v>
      </c>
      <c r="P1243" s="3" t="s">
        <v>140</v>
      </c>
      <c r="Q1243" s="2" t="s">
        <v>12195</v>
      </c>
      <c r="R1243" s="3" t="s">
        <v>71</v>
      </c>
      <c r="S1243" s="4">
        <v>10</v>
      </c>
      <c r="T1243" s="4">
        <v>10</v>
      </c>
      <c r="U1243" s="5" t="s">
        <v>10863</v>
      </c>
      <c r="V1243" s="5" t="s">
        <v>10863</v>
      </c>
      <c r="W1243" s="5" t="s">
        <v>72</v>
      </c>
      <c r="X1243" s="5" t="s">
        <v>72</v>
      </c>
      <c r="Y1243" s="4">
        <v>82</v>
      </c>
      <c r="Z1243" s="4">
        <v>8</v>
      </c>
      <c r="AA1243" s="4">
        <v>9</v>
      </c>
      <c r="AB1243" s="4">
        <v>1</v>
      </c>
      <c r="AC1243" s="4">
        <v>1</v>
      </c>
      <c r="AD1243" s="4">
        <v>41</v>
      </c>
      <c r="AE1243" s="4">
        <v>51</v>
      </c>
      <c r="AF1243" s="4">
        <v>0</v>
      </c>
      <c r="AG1243" s="4">
        <v>0</v>
      </c>
      <c r="AH1243" s="4">
        <v>38</v>
      </c>
      <c r="AI1243" s="4">
        <v>48</v>
      </c>
      <c r="AJ1243" s="4">
        <v>5</v>
      </c>
      <c r="AK1243" s="4">
        <v>5</v>
      </c>
      <c r="AL1243" s="4">
        <v>26</v>
      </c>
      <c r="AM1243" s="4">
        <v>32</v>
      </c>
      <c r="AN1243" s="4">
        <v>0</v>
      </c>
      <c r="AO1243" s="4">
        <v>0</v>
      </c>
      <c r="AP1243" s="4">
        <v>5</v>
      </c>
      <c r="AQ1243" s="4">
        <v>5</v>
      </c>
      <c r="AR1243" s="3" t="s">
        <v>65</v>
      </c>
      <c r="AS1243" s="3" t="s">
        <v>65</v>
      </c>
      <c r="AT1243" s="3" t="s">
        <v>209</v>
      </c>
      <c r="AU1243" s="6" t="str">
        <f>HYPERLINK("http://catalog.hathitrust.org/Record/001805367","HathiTrust Record")</f>
        <v>HathiTrust Record</v>
      </c>
      <c r="AV1243" s="6" t="str">
        <f>HYPERLINK("http://mcgill.on.worldcat.org/oclc/3263905","Catalog Record")</f>
        <v>Catalog Record</v>
      </c>
      <c r="AW1243" s="6" t="str">
        <f>HYPERLINK("http://www.worldcat.org/oclc/3263905","WorldCat Record")</f>
        <v>WorldCat Record</v>
      </c>
      <c r="AX1243" s="3" t="s">
        <v>12196</v>
      </c>
      <c r="AY1243" s="3" t="s">
        <v>12197</v>
      </c>
      <c r="AZ1243" s="3" t="s">
        <v>12198</v>
      </c>
      <c r="BA1243" s="3" t="s">
        <v>12198</v>
      </c>
      <c r="BB1243" s="3" t="s">
        <v>12199</v>
      </c>
      <c r="BC1243" s="3" t="s">
        <v>77</v>
      </c>
      <c r="BD1243" s="3" t="s">
        <v>78</v>
      </c>
      <c r="BF1243" s="3" t="s">
        <v>12199</v>
      </c>
      <c r="BG1243" s="3" t="s">
        <v>12200</v>
      </c>
    </row>
    <row r="1244" spans="1:59" ht="58" x14ac:dyDescent="0.35">
      <c r="A1244" s="2" t="s">
        <v>59</v>
      </c>
      <c r="B1244" s="2" t="s">
        <v>60</v>
      </c>
      <c r="C1244" s="2" t="s">
        <v>12201</v>
      </c>
      <c r="D1244" s="2" t="s">
        <v>12202</v>
      </c>
      <c r="E1244" s="2" t="s">
        <v>12203</v>
      </c>
      <c r="G1244" s="3" t="s">
        <v>65</v>
      </c>
      <c r="I1244" s="3" t="s">
        <v>65</v>
      </c>
      <c r="J1244" s="3" t="s">
        <v>65</v>
      </c>
      <c r="K1244" s="3" t="s">
        <v>66</v>
      </c>
      <c r="L1244" s="2" t="s">
        <v>11335</v>
      </c>
      <c r="M1244" s="2" t="s">
        <v>12204</v>
      </c>
      <c r="N1244" s="3" t="s">
        <v>2377</v>
      </c>
      <c r="O1244" s="2" t="s">
        <v>12205</v>
      </c>
      <c r="P1244" s="3" t="s">
        <v>140</v>
      </c>
      <c r="Q1244" s="2" t="s">
        <v>12206</v>
      </c>
      <c r="R1244" s="3" t="s">
        <v>71</v>
      </c>
      <c r="S1244" s="4">
        <v>26</v>
      </c>
      <c r="T1244" s="4">
        <v>26</v>
      </c>
      <c r="U1244" s="5" t="s">
        <v>8190</v>
      </c>
      <c r="V1244" s="5" t="s">
        <v>8190</v>
      </c>
      <c r="W1244" s="5" t="s">
        <v>72</v>
      </c>
      <c r="X1244" s="5" t="s">
        <v>72</v>
      </c>
      <c r="Y1244" s="4">
        <v>9</v>
      </c>
      <c r="Z1244" s="4">
        <v>1</v>
      </c>
      <c r="AA1244" s="4">
        <v>16</v>
      </c>
      <c r="AB1244" s="4">
        <v>1</v>
      </c>
      <c r="AC1244" s="4">
        <v>2</v>
      </c>
      <c r="AD1244" s="4">
        <v>2</v>
      </c>
      <c r="AE1244" s="4">
        <v>56</v>
      </c>
      <c r="AF1244" s="4">
        <v>0</v>
      </c>
      <c r="AG1244" s="4">
        <v>1</v>
      </c>
      <c r="AH1244" s="4">
        <v>2</v>
      </c>
      <c r="AI1244" s="4">
        <v>50</v>
      </c>
      <c r="AJ1244" s="4">
        <v>0</v>
      </c>
      <c r="AK1244" s="4">
        <v>10</v>
      </c>
      <c r="AL1244" s="4">
        <v>2</v>
      </c>
      <c r="AM1244" s="4">
        <v>37</v>
      </c>
      <c r="AN1244" s="4">
        <v>0</v>
      </c>
      <c r="AO1244" s="4">
        <v>0</v>
      </c>
      <c r="AP1244" s="4">
        <v>0</v>
      </c>
      <c r="AQ1244" s="4">
        <v>10</v>
      </c>
      <c r="AR1244" s="3" t="s">
        <v>65</v>
      </c>
      <c r="AS1244" s="3" t="s">
        <v>65</v>
      </c>
      <c r="AT1244" s="3" t="s">
        <v>65</v>
      </c>
      <c r="AV1244" s="6" t="str">
        <f>HYPERLINK("http://mcgill.on.worldcat.org/oclc/37348865","Catalog Record")</f>
        <v>Catalog Record</v>
      </c>
      <c r="AW1244" s="6" t="str">
        <f>HYPERLINK("http://www.worldcat.org/oclc/37348865","WorldCat Record")</f>
        <v>WorldCat Record</v>
      </c>
      <c r="AX1244" s="3" t="s">
        <v>12207</v>
      </c>
      <c r="AY1244" s="3" t="s">
        <v>12208</v>
      </c>
      <c r="AZ1244" s="3" t="s">
        <v>12209</v>
      </c>
      <c r="BA1244" s="3" t="s">
        <v>12209</v>
      </c>
      <c r="BB1244" s="3" t="s">
        <v>12210</v>
      </c>
      <c r="BC1244" s="3" t="s">
        <v>77</v>
      </c>
      <c r="BD1244" s="3" t="s">
        <v>78</v>
      </c>
      <c r="BF1244" s="3" t="s">
        <v>12210</v>
      </c>
      <c r="BG1244" s="3" t="s">
        <v>12211</v>
      </c>
    </row>
    <row r="1245" spans="1:59" ht="58" x14ac:dyDescent="0.35">
      <c r="A1245" s="2" t="s">
        <v>59</v>
      </c>
      <c r="B1245" s="2" t="s">
        <v>60</v>
      </c>
      <c r="C1245" s="2" t="s">
        <v>12212</v>
      </c>
      <c r="D1245" s="2" t="s">
        <v>12213</v>
      </c>
      <c r="E1245" s="2" t="s">
        <v>12214</v>
      </c>
      <c r="G1245" s="3" t="s">
        <v>65</v>
      </c>
      <c r="I1245" s="3" t="s">
        <v>65</v>
      </c>
      <c r="J1245" s="3" t="s">
        <v>65</v>
      </c>
      <c r="K1245" s="3" t="s">
        <v>66</v>
      </c>
      <c r="L1245" s="2" t="s">
        <v>11335</v>
      </c>
      <c r="M1245" s="2" t="s">
        <v>12215</v>
      </c>
      <c r="N1245" s="3" t="s">
        <v>311</v>
      </c>
      <c r="O1245" s="2" t="s">
        <v>12216</v>
      </c>
      <c r="P1245" s="3" t="s">
        <v>140</v>
      </c>
      <c r="Q1245" s="2" t="s">
        <v>12217</v>
      </c>
      <c r="R1245" s="3" t="s">
        <v>71</v>
      </c>
      <c r="S1245" s="4">
        <v>7</v>
      </c>
      <c r="T1245" s="4">
        <v>7</v>
      </c>
      <c r="U1245" s="5" t="s">
        <v>8056</v>
      </c>
      <c r="V1245" s="5" t="s">
        <v>8056</v>
      </c>
      <c r="W1245" s="5" t="s">
        <v>72</v>
      </c>
      <c r="X1245" s="5" t="s">
        <v>72</v>
      </c>
      <c r="Y1245" s="4">
        <v>134</v>
      </c>
      <c r="Z1245" s="4">
        <v>14</v>
      </c>
      <c r="AA1245" s="4">
        <v>16</v>
      </c>
      <c r="AB1245" s="4">
        <v>2</v>
      </c>
      <c r="AC1245" s="4">
        <v>4</v>
      </c>
      <c r="AD1245" s="4">
        <v>59</v>
      </c>
      <c r="AE1245" s="4">
        <v>61</v>
      </c>
      <c r="AF1245" s="4">
        <v>1</v>
      </c>
      <c r="AG1245" s="4">
        <v>3</v>
      </c>
      <c r="AH1245" s="4">
        <v>53</v>
      </c>
      <c r="AI1245" s="4">
        <v>54</v>
      </c>
      <c r="AJ1245" s="4">
        <v>11</v>
      </c>
      <c r="AK1245" s="4">
        <v>13</v>
      </c>
      <c r="AL1245" s="4">
        <v>35</v>
      </c>
      <c r="AM1245" s="4">
        <v>35</v>
      </c>
      <c r="AN1245" s="4">
        <v>0</v>
      </c>
      <c r="AO1245" s="4">
        <v>0</v>
      </c>
      <c r="AP1245" s="4">
        <v>11</v>
      </c>
      <c r="AQ1245" s="4">
        <v>12</v>
      </c>
      <c r="AR1245" s="3" t="s">
        <v>65</v>
      </c>
      <c r="AS1245" s="3" t="s">
        <v>65</v>
      </c>
      <c r="AT1245" s="3" t="s">
        <v>209</v>
      </c>
      <c r="AU1245" s="6" t="str">
        <f>HYPERLINK("http://catalog.hathitrust.org/Record/001218990","HathiTrust Record")</f>
        <v>HathiTrust Record</v>
      </c>
      <c r="AV1245" s="6" t="str">
        <f>HYPERLINK("http://mcgill.on.worldcat.org/oclc/384045","Catalog Record")</f>
        <v>Catalog Record</v>
      </c>
      <c r="AW1245" s="6" t="str">
        <f>HYPERLINK("http://www.worldcat.org/oclc/384045","WorldCat Record")</f>
        <v>WorldCat Record</v>
      </c>
      <c r="AX1245" s="3" t="s">
        <v>12218</v>
      </c>
      <c r="AY1245" s="3" t="s">
        <v>12219</v>
      </c>
      <c r="AZ1245" s="3" t="s">
        <v>12220</v>
      </c>
      <c r="BA1245" s="3" t="s">
        <v>12220</v>
      </c>
      <c r="BB1245" s="3" t="s">
        <v>12221</v>
      </c>
      <c r="BC1245" s="3" t="s">
        <v>77</v>
      </c>
      <c r="BD1245" s="3" t="s">
        <v>78</v>
      </c>
      <c r="BF1245" s="3" t="s">
        <v>12221</v>
      </c>
      <c r="BG1245" s="3" t="s">
        <v>12222</v>
      </c>
    </row>
    <row r="1246" spans="1:59" ht="58" x14ac:dyDescent="0.35">
      <c r="A1246" s="2" t="s">
        <v>59</v>
      </c>
      <c r="B1246" s="2" t="s">
        <v>60</v>
      </c>
      <c r="C1246" s="2" t="s">
        <v>12223</v>
      </c>
      <c r="D1246" s="2" t="s">
        <v>12224</v>
      </c>
      <c r="E1246" s="2" t="s">
        <v>12225</v>
      </c>
      <c r="G1246" s="3" t="s">
        <v>65</v>
      </c>
      <c r="I1246" s="3" t="s">
        <v>65</v>
      </c>
      <c r="J1246" s="3" t="s">
        <v>65</v>
      </c>
      <c r="K1246" s="3" t="s">
        <v>66</v>
      </c>
      <c r="L1246" s="2" t="s">
        <v>12226</v>
      </c>
      <c r="M1246" s="2" t="s">
        <v>12227</v>
      </c>
      <c r="N1246" s="3" t="s">
        <v>221</v>
      </c>
      <c r="P1246" s="3" t="s">
        <v>140</v>
      </c>
      <c r="Q1246" s="2" t="s">
        <v>12228</v>
      </c>
      <c r="R1246" s="3" t="s">
        <v>71</v>
      </c>
      <c r="S1246" s="4">
        <v>1</v>
      </c>
      <c r="T1246" s="4">
        <v>1</v>
      </c>
      <c r="U1246" s="5" t="s">
        <v>11408</v>
      </c>
      <c r="V1246" s="5" t="s">
        <v>11408</v>
      </c>
      <c r="W1246" s="5" t="s">
        <v>72</v>
      </c>
      <c r="X1246" s="5" t="s">
        <v>72</v>
      </c>
      <c r="Y1246" s="4">
        <v>81</v>
      </c>
      <c r="Z1246" s="4">
        <v>8</v>
      </c>
      <c r="AA1246" s="4">
        <v>8</v>
      </c>
      <c r="AB1246" s="4">
        <v>1</v>
      </c>
      <c r="AC1246" s="4">
        <v>1</v>
      </c>
      <c r="AD1246" s="4">
        <v>47</v>
      </c>
      <c r="AE1246" s="4">
        <v>47</v>
      </c>
      <c r="AF1246" s="4">
        <v>0</v>
      </c>
      <c r="AG1246" s="4">
        <v>0</v>
      </c>
      <c r="AH1246" s="4">
        <v>46</v>
      </c>
      <c r="AI1246" s="4">
        <v>46</v>
      </c>
      <c r="AJ1246" s="4">
        <v>5</v>
      </c>
      <c r="AK1246" s="4">
        <v>5</v>
      </c>
      <c r="AL1246" s="4">
        <v>32</v>
      </c>
      <c r="AM1246" s="4">
        <v>32</v>
      </c>
      <c r="AN1246" s="4">
        <v>0</v>
      </c>
      <c r="AO1246" s="4">
        <v>0</v>
      </c>
      <c r="AP1246" s="4">
        <v>5</v>
      </c>
      <c r="AQ1246" s="4">
        <v>5</v>
      </c>
      <c r="AR1246" s="3" t="s">
        <v>65</v>
      </c>
      <c r="AS1246" s="3" t="s">
        <v>65</v>
      </c>
      <c r="AT1246" s="3" t="s">
        <v>209</v>
      </c>
      <c r="AU1246" s="6" t="str">
        <f>HYPERLINK("http://catalog.hathitrust.org/Record/005622883","HathiTrust Record")</f>
        <v>HathiTrust Record</v>
      </c>
      <c r="AV1246" s="6" t="str">
        <f>HYPERLINK("http://mcgill.on.worldcat.org/oclc/173972977","Catalog Record")</f>
        <v>Catalog Record</v>
      </c>
      <c r="AW1246" s="6" t="str">
        <f>HYPERLINK("http://www.worldcat.org/oclc/173972977","WorldCat Record")</f>
        <v>WorldCat Record</v>
      </c>
      <c r="AX1246" s="3" t="s">
        <v>12229</v>
      </c>
      <c r="AY1246" s="3" t="s">
        <v>12230</v>
      </c>
      <c r="AZ1246" s="3" t="s">
        <v>12231</v>
      </c>
      <c r="BA1246" s="3" t="s">
        <v>12231</v>
      </c>
      <c r="BB1246" s="3" t="s">
        <v>12232</v>
      </c>
      <c r="BC1246" s="3" t="s">
        <v>77</v>
      </c>
      <c r="BD1246" s="3" t="s">
        <v>78</v>
      </c>
      <c r="BE1246" s="3" t="s">
        <v>12233</v>
      </c>
      <c r="BF1246" s="3" t="s">
        <v>12232</v>
      </c>
      <c r="BG1246" s="3" t="s">
        <v>12234</v>
      </c>
    </row>
    <row r="1247" spans="1:59" ht="58" x14ac:dyDescent="0.35">
      <c r="A1247" s="2" t="s">
        <v>59</v>
      </c>
      <c r="B1247" s="2" t="s">
        <v>60</v>
      </c>
      <c r="C1247" s="2" t="s">
        <v>12235</v>
      </c>
      <c r="D1247" s="2" t="s">
        <v>12236</v>
      </c>
      <c r="E1247" s="2" t="s">
        <v>12237</v>
      </c>
      <c r="G1247" s="3" t="s">
        <v>65</v>
      </c>
      <c r="I1247" s="3" t="s">
        <v>65</v>
      </c>
      <c r="J1247" s="3" t="s">
        <v>65</v>
      </c>
      <c r="K1247" s="3" t="s">
        <v>66</v>
      </c>
      <c r="L1247" s="2" t="s">
        <v>12238</v>
      </c>
      <c r="M1247" s="2" t="s">
        <v>12239</v>
      </c>
      <c r="N1247" s="3" t="s">
        <v>68</v>
      </c>
      <c r="O1247" s="2" t="s">
        <v>2438</v>
      </c>
      <c r="P1247" s="3" t="s">
        <v>69</v>
      </c>
      <c r="R1247" s="3" t="s">
        <v>71</v>
      </c>
      <c r="S1247" s="4">
        <v>0</v>
      </c>
      <c r="T1247" s="4">
        <v>0</v>
      </c>
      <c r="W1247" s="5" t="s">
        <v>72</v>
      </c>
      <c r="X1247" s="5" t="s">
        <v>72</v>
      </c>
      <c r="Y1247" s="4">
        <v>157</v>
      </c>
      <c r="Z1247" s="4">
        <v>9</v>
      </c>
      <c r="AA1247" s="4">
        <v>18</v>
      </c>
      <c r="AB1247" s="4">
        <v>1</v>
      </c>
      <c r="AC1247" s="4">
        <v>3</v>
      </c>
      <c r="AD1247" s="4">
        <v>63</v>
      </c>
      <c r="AE1247" s="4">
        <v>77</v>
      </c>
      <c r="AF1247" s="4">
        <v>0</v>
      </c>
      <c r="AG1247" s="4">
        <v>0</v>
      </c>
      <c r="AH1247" s="4">
        <v>59</v>
      </c>
      <c r="AI1247" s="4">
        <v>69</v>
      </c>
      <c r="AJ1247" s="4">
        <v>5</v>
      </c>
      <c r="AK1247" s="4">
        <v>10</v>
      </c>
      <c r="AL1247" s="4">
        <v>42</v>
      </c>
      <c r="AM1247" s="4">
        <v>46</v>
      </c>
      <c r="AN1247" s="4">
        <v>0</v>
      </c>
      <c r="AO1247" s="4">
        <v>0</v>
      </c>
      <c r="AP1247" s="4">
        <v>5</v>
      </c>
      <c r="AQ1247" s="4">
        <v>12</v>
      </c>
      <c r="AR1247" s="3" t="s">
        <v>65</v>
      </c>
      <c r="AS1247" s="3" t="s">
        <v>65</v>
      </c>
      <c r="AT1247" s="3" t="s">
        <v>65</v>
      </c>
      <c r="AV1247" s="6" t="str">
        <f>HYPERLINK("http://mcgill.on.worldcat.org/oclc/929591099","Catalog Record")</f>
        <v>Catalog Record</v>
      </c>
      <c r="AW1247" s="6" t="str">
        <f>HYPERLINK("http://www.worldcat.org/oclc/929591099","WorldCat Record")</f>
        <v>WorldCat Record</v>
      </c>
      <c r="AX1247" s="3" t="s">
        <v>12240</v>
      </c>
      <c r="AY1247" s="3" t="s">
        <v>12241</v>
      </c>
      <c r="AZ1247" s="3" t="s">
        <v>12242</v>
      </c>
      <c r="BA1247" s="3" t="s">
        <v>12242</v>
      </c>
      <c r="BB1247" s="3" t="s">
        <v>12243</v>
      </c>
      <c r="BC1247" s="3" t="s">
        <v>77</v>
      </c>
      <c r="BD1247" s="3" t="s">
        <v>78</v>
      </c>
      <c r="BE1247" s="3" t="s">
        <v>12244</v>
      </c>
      <c r="BF1247" s="3" t="s">
        <v>12243</v>
      </c>
      <c r="BG1247" s="3" t="s">
        <v>12245</v>
      </c>
    </row>
    <row r="1248" spans="1:59" ht="58" x14ac:dyDescent="0.35">
      <c r="A1248" s="2" t="s">
        <v>59</v>
      </c>
      <c r="B1248" s="2" t="s">
        <v>60</v>
      </c>
      <c r="C1248" s="2" t="s">
        <v>12246</v>
      </c>
      <c r="D1248" s="2" t="s">
        <v>12247</v>
      </c>
      <c r="E1248" s="2" t="s">
        <v>12248</v>
      </c>
      <c r="G1248" s="3" t="s">
        <v>65</v>
      </c>
      <c r="I1248" s="3" t="s">
        <v>65</v>
      </c>
      <c r="J1248" s="3" t="s">
        <v>209</v>
      </c>
      <c r="K1248" s="3" t="s">
        <v>66</v>
      </c>
      <c r="L1248" s="2" t="s">
        <v>12249</v>
      </c>
      <c r="M1248" s="2" t="s">
        <v>12250</v>
      </c>
      <c r="N1248" s="3" t="s">
        <v>1173</v>
      </c>
      <c r="P1248" s="3" t="s">
        <v>69</v>
      </c>
      <c r="R1248" s="3" t="s">
        <v>71</v>
      </c>
      <c r="S1248" s="4">
        <v>27</v>
      </c>
      <c r="T1248" s="4">
        <v>27</v>
      </c>
      <c r="U1248" s="5" t="s">
        <v>9898</v>
      </c>
      <c r="V1248" s="5" t="s">
        <v>9898</v>
      </c>
      <c r="W1248" s="5" t="s">
        <v>72</v>
      </c>
      <c r="X1248" s="5" t="s">
        <v>72</v>
      </c>
      <c r="Y1248" s="4">
        <v>138</v>
      </c>
      <c r="Z1248" s="4">
        <v>8</v>
      </c>
      <c r="AA1248" s="4">
        <v>29</v>
      </c>
      <c r="AB1248" s="4">
        <v>2</v>
      </c>
      <c r="AC1248" s="4">
        <v>3</v>
      </c>
      <c r="AD1248" s="4">
        <v>34</v>
      </c>
      <c r="AE1248" s="4">
        <v>119</v>
      </c>
      <c r="AF1248" s="4">
        <v>1</v>
      </c>
      <c r="AG1248" s="4">
        <v>2</v>
      </c>
      <c r="AH1248" s="4">
        <v>29</v>
      </c>
      <c r="AI1248" s="4">
        <v>102</v>
      </c>
      <c r="AJ1248" s="4">
        <v>7</v>
      </c>
      <c r="AK1248" s="4">
        <v>20</v>
      </c>
      <c r="AL1248" s="4">
        <v>16</v>
      </c>
      <c r="AM1248" s="4">
        <v>57</v>
      </c>
      <c r="AN1248" s="4">
        <v>0</v>
      </c>
      <c r="AO1248" s="4">
        <v>0</v>
      </c>
      <c r="AP1248" s="4">
        <v>7</v>
      </c>
      <c r="AQ1248" s="4">
        <v>22</v>
      </c>
      <c r="AR1248" s="3" t="s">
        <v>65</v>
      </c>
      <c r="AS1248" s="3" t="s">
        <v>65</v>
      </c>
      <c r="AT1248" s="3" t="s">
        <v>65</v>
      </c>
      <c r="AV1248" s="6" t="str">
        <f>HYPERLINK("http://mcgill.on.worldcat.org/oclc/156045","Catalog Record")</f>
        <v>Catalog Record</v>
      </c>
      <c r="AW1248" s="6" t="str">
        <f>HYPERLINK("http://www.worldcat.org/oclc/156045","WorldCat Record")</f>
        <v>WorldCat Record</v>
      </c>
      <c r="AX1248" s="3" t="s">
        <v>12251</v>
      </c>
      <c r="AY1248" s="3" t="s">
        <v>12252</v>
      </c>
      <c r="AZ1248" s="3" t="s">
        <v>12253</v>
      </c>
      <c r="BA1248" s="3" t="s">
        <v>12253</v>
      </c>
      <c r="BB1248" s="3" t="s">
        <v>12254</v>
      </c>
      <c r="BC1248" s="3" t="s">
        <v>77</v>
      </c>
      <c r="BD1248" s="3" t="s">
        <v>78</v>
      </c>
      <c r="BE1248" s="3" t="s">
        <v>12255</v>
      </c>
      <c r="BF1248" s="3" t="s">
        <v>12254</v>
      </c>
      <c r="BG1248" s="3" t="s">
        <v>12256</v>
      </c>
    </row>
    <row r="1249" spans="1:59" ht="58" x14ac:dyDescent="0.35">
      <c r="A1249" s="2" t="s">
        <v>59</v>
      </c>
      <c r="B1249" s="2" t="s">
        <v>60</v>
      </c>
      <c r="C1249" s="2" t="s">
        <v>12257</v>
      </c>
      <c r="D1249" s="2" t="s">
        <v>12258</v>
      </c>
      <c r="E1249" s="2" t="s">
        <v>12259</v>
      </c>
      <c r="G1249" s="3" t="s">
        <v>65</v>
      </c>
      <c r="I1249" s="3" t="s">
        <v>65</v>
      </c>
      <c r="J1249" s="3" t="s">
        <v>65</v>
      </c>
      <c r="K1249" s="3" t="s">
        <v>66</v>
      </c>
      <c r="L1249" s="2" t="s">
        <v>12260</v>
      </c>
      <c r="M1249" s="2" t="s">
        <v>12261</v>
      </c>
      <c r="N1249" s="3" t="s">
        <v>1944</v>
      </c>
      <c r="P1249" s="3" t="s">
        <v>69</v>
      </c>
      <c r="R1249" s="3" t="s">
        <v>71</v>
      </c>
      <c r="S1249" s="4">
        <v>14</v>
      </c>
      <c r="T1249" s="4">
        <v>14</v>
      </c>
      <c r="U1249" s="5" t="s">
        <v>12262</v>
      </c>
      <c r="V1249" s="5" t="s">
        <v>12262</v>
      </c>
      <c r="W1249" s="5" t="s">
        <v>72</v>
      </c>
      <c r="X1249" s="5" t="s">
        <v>72</v>
      </c>
      <c r="Y1249" s="4">
        <v>341</v>
      </c>
      <c r="Z1249" s="4">
        <v>19</v>
      </c>
      <c r="AA1249" s="4">
        <v>19</v>
      </c>
      <c r="AB1249" s="4">
        <v>2</v>
      </c>
      <c r="AC1249" s="4">
        <v>2</v>
      </c>
      <c r="AD1249" s="4">
        <v>106</v>
      </c>
      <c r="AE1249" s="4">
        <v>106</v>
      </c>
      <c r="AF1249" s="4">
        <v>1</v>
      </c>
      <c r="AG1249" s="4">
        <v>1</v>
      </c>
      <c r="AH1249" s="4">
        <v>98</v>
      </c>
      <c r="AI1249" s="4">
        <v>98</v>
      </c>
      <c r="AJ1249" s="4">
        <v>13</v>
      </c>
      <c r="AK1249" s="4">
        <v>13</v>
      </c>
      <c r="AL1249" s="4">
        <v>55</v>
      </c>
      <c r="AM1249" s="4">
        <v>55</v>
      </c>
      <c r="AN1249" s="4">
        <v>0</v>
      </c>
      <c r="AO1249" s="4">
        <v>0</v>
      </c>
      <c r="AP1249" s="4">
        <v>13</v>
      </c>
      <c r="AQ1249" s="4">
        <v>13</v>
      </c>
      <c r="AR1249" s="3" t="s">
        <v>65</v>
      </c>
      <c r="AS1249" s="3" t="s">
        <v>65</v>
      </c>
      <c r="AT1249" s="3" t="s">
        <v>65</v>
      </c>
      <c r="AV1249" s="6" t="str">
        <f>HYPERLINK("http://mcgill.on.worldcat.org/oclc/43884750","Catalog Record")</f>
        <v>Catalog Record</v>
      </c>
      <c r="AW1249" s="6" t="str">
        <f>HYPERLINK("http://www.worldcat.org/oclc/43884750","WorldCat Record")</f>
        <v>WorldCat Record</v>
      </c>
      <c r="AX1249" s="3" t="s">
        <v>12263</v>
      </c>
      <c r="AY1249" s="3" t="s">
        <v>12264</v>
      </c>
      <c r="AZ1249" s="3" t="s">
        <v>12265</v>
      </c>
      <c r="BA1249" s="3" t="s">
        <v>12265</v>
      </c>
      <c r="BB1249" s="3" t="s">
        <v>12266</v>
      </c>
      <c r="BC1249" s="3" t="s">
        <v>77</v>
      </c>
      <c r="BD1249" s="3" t="s">
        <v>78</v>
      </c>
      <c r="BE1249" s="3" t="s">
        <v>12267</v>
      </c>
      <c r="BF1249" s="3" t="s">
        <v>12266</v>
      </c>
      <c r="BG1249" s="3" t="s">
        <v>12268</v>
      </c>
    </row>
    <row r="1250" spans="1:59" ht="58" x14ac:dyDescent="0.35">
      <c r="A1250" s="2" t="s">
        <v>59</v>
      </c>
      <c r="B1250" s="2" t="s">
        <v>60</v>
      </c>
      <c r="C1250" s="2" t="s">
        <v>12269</v>
      </c>
      <c r="D1250" s="2" t="s">
        <v>12270</v>
      </c>
      <c r="E1250" s="2" t="s">
        <v>12271</v>
      </c>
      <c r="G1250" s="3" t="s">
        <v>65</v>
      </c>
      <c r="I1250" s="3" t="s">
        <v>65</v>
      </c>
      <c r="J1250" s="3" t="s">
        <v>65</v>
      </c>
      <c r="K1250" s="3" t="s">
        <v>66</v>
      </c>
      <c r="L1250" s="2" t="s">
        <v>12272</v>
      </c>
      <c r="M1250" s="2" t="s">
        <v>12273</v>
      </c>
      <c r="N1250" s="3" t="s">
        <v>1196</v>
      </c>
      <c r="P1250" s="3" t="s">
        <v>140</v>
      </c>
      <c r="R1250" s="3" t="s">
        <v>71</v>
      </c>
      <c r="S1250" s="4">
        <v>2</v>
      </c>
      <c r="T1250" s="4">
        <v>2</v>
      </c>
      <c r="U1250" s="5" t="s">
        <v>8668</v>
      </c>
      <c r="V1250" s="5" t="s">
        <v>8668</v>
      </c>
      <c r="W1250" s="5" t="s">
        <v>72</v>
      </c>
      <c r="X1250" s="5" t="s">
        <v>72</v>
      </c>
      <c r="Y1250" s="4">
        <v>60</v>
      </c>
      <c r="Z1250" s="4">
        <v>6</v>
      </c>
      <c r="AA1250" s="4">
        <v>6</v>
      </c>
      <c r="AB1250" s="4">
        <v>1</v>
      </c>
      <c r="AC1250" s="4">
        <v>1</v>
      </c>
      <c r="AD1250" s="4">
        <v>32</v>
      </c>
      <c r="AE1250" s="4">
        <v>32</v>
      </c>
      <c r="AF1250" s="4">
        <v>0</v>
      </c>
      <c r="AG1250" s="4">
        <v>0</v>
      </c>
      <c r="AH1250" s="4">
        <v>31</v>
      </c>
      <c r="AI1250" s="4">
        <v>31</v>
      </c>
      <c r="AJ1250" s="4">
        <v>3</v>
      </c>
      <c r="AK1250" s="4">
        <v>3</v>
      </c>
      <c r="AL1250" s="4">
        <v>22</v>
      </c>
      <c r="AM1250" s="4">
        <v>22</v>
      </c>
      <c r="AN1250" s="4">
        <v>0</v>
      </c>
      <c r="AO1250" s="4">
        <v>0</v>
      </c>
      <c r="AP1250" s="4">
        <v>3</v>
      </c>
      <c r="AQ1250" s="4">
        <v>3</v>
      </c>
      <c r="AR1250" s="3" t="s">
        <v>65</v>
      </c>
      <c r="AS1250" s="3" t="s">
        <v>65</v>
      </c>
      <c r="AT1250" s="3" t="s">
        <v>209</v>
      </c>
      <c r="AU1250" s="6" t="str">
        <f>HYPERLINK("http://catalog.hathitrust.org/Record/005113209","HathiTrust Record")</f>
        <v>HathiTrust Record</v>
      </c>
      <c r="AV1250" s="6" t="str">
        <f>HYPERLINK("http://mcgill.on.worldcat.org/oclc/61260874","Catalog Record")</f>
        <v>Catalog Record</v>
      </c>
      <c r="AW1250" s="6" t="str">
        <f>HYPERLINK("http://www.worldcat.org/oclc/61260874","WorldCat Record")</f>
        <v>WorldCat Record</v>
      </c>
      <c r="AX1250" s="3" t="s">
        <v>12274</v>
      </c>
      <c r="AY1250" s="3" t="s">
        <v>12275</v>
      </c>
      <c r="AZ1250" s="3" t="s">
        <v>12276</v>
      </c>
      <c r="BA1250" s="3" t="s">
        <v>12276</v>
      </c>
      <c r="BB1250" s="3" t="s">
        <v>12277</v>
      </c>
      <c r="BC1250" s="3" t="s">
        <v>77</v>
      </c>
      <c r="BD1250" s="3" t="s">
        <v>78</v>
      </c>
      <c r="BE1250" s="3" t="s">
        <v>12278</v>
      </c>
      <c r="BF1250" s="3" t="s">
        <v>12277</v>
      </c>
      <c r="BG1250" s="3" t="s">
        <v>12279</v>
      </c>
    </row>
    <row r="1251" spans="1:59" ht="58" x14ac:dyDescent="0.35">
      <c r="A1251" s="2" t="s">
        <v>59</v>
      </c>
      <c r="B1251" s="2" t="s">
        <v>60</v>
      </c>
      <c r="C1251" s="2" t="s">
        <v>12280</v>
      </c>
      <c r="D1251" s="2" t="s">
        <v>12281</v>
      </c>
      <c r="E1251" s="2" t="s">
        <v>12282</v>
      </c>
      <c r="G1251" s="3" t="s">
        <v>65</v>
      </c>
      <c r="I1251" s="3" t="s">
        <v>65</v>
      </c>
      <c r="J1251" s="3" t="s">
        <v>65</v>
      </c>
      <c r="K1251" s="3" t="s">
        <v>66</v>
      </c>
      <c r="L1251" s="2" t="s">
        <v>4401</v>
      </c>
      <c r="M1251" s="2" t="s">
        <v>12283</v>
      </c>
      <c r="N1251" s="3" t="s">
        <v>479</v>
      </c>
      <c r="P1251" s="3" t="s">
        <v>69</v>
      </c>
      <c r="R1251" s="3" t="s">
        <v>71</v>
      </c>
      <c r="S1251" s="4">
        <v>4</v>
      </c>
      <c r="T1251" s="4">
        <v>4</v>
      </c>
      <c r="U1251" s="5" t="s">
        <v>3618</v>
      </c>
      <c r="V1251" s="5" t="s">
        <v>3618</v>
      </c>
      <c r="W1251" s="5" t="s">
        <v>72</v>
      </c>
      <c r="X1251" s="5" t="s">
        <v>72</v>
      </c>
      <c r="Y1251" s="4">
        <v>479</v>
      </c>
      <c r="Z1251" s="4">
        <v>28</v>
      </c>
      <c r="AA1251" s="4">
        <v>36</v>
      </c>
      <c r="AB1251" s="4">
        <v>2</v>
      </c>
      <c r="AC1251" s="4">
        <v>5</v>
      </c>
      <c r="AD1251" s="4">
        <v>110</v>
      </c>
      <c r="AE1251" s="4">
        <v>118</v>
      </c>
      <c r="AF1251" s="4">
        <v>1</v>
      </c>
      <c r="AG1251" s="4">
        <v>2</v>
      </c>
      <c r="AH1251" s="4">
        <v>93</v>
      </c>
      <c r="AI1251" s="4">
        <v>98</v>
      </c>
      <c r="AJ1251" s="4">
        <v>12</v>
      </c>
      <c r="AK1251" s="4">
        <v>14</v>
      </c>
      <c r="AL1251" s="4">
        <v>55</v>
      </c>
      <c r="AM1251" s="4">
        <v>58</v>
      </c>
      <c r="AN1251" s="4">
        <v>0</v>
      </c>
      <c r="AO1251" s="4">
        <v>0</v>
      </c>
      <c r="AP1251" s="4">
        <v>21</v>
      </c>
      <c r="AQ1251" s="4">
        <v>24</v>
      </c>
      <c r="AR1251" s="3" t="s">
        <v>65</v>
      </c>
      <c r="AS1251" s="3" t="s">
        <v>65</v>
      </c>
      <c r="AT1251" s="3" t="s">
        <v>65</v>
      </c>
      <c r="AV1251" s="6" t="str">
        <f>HYPERLINK("http://mcgill.on.worldcat.org/oclc/214323014","Catalog Record")</f>
        <v>Catalog Record</v>
      </c>
      <c r="AW1251" s="6" t="str">
        <f>HYPERLINK("http://www.worldcat.org/oclc/214323014","WorldCat Record")</f>
        <v>WorldCat Record</v>
      </c>
      <c r="AX1251" s="3" t="s">
        <v>12284</v>
      </c>
      <c r="AY1251" s="3" t="s">
        <v>12285</v>
      </c>
      <c r="AZ1251" s="3" t="s">
        <v>12286</v>
      </c>
      <c r="BA1251" s="3" t="s">
        <v>12286</v>
      </c>
      <c r="BB1251" s="3" t="s">
        <v>12287</v>
      </c>
      <c r="BC1251" s="3" t="s">
        <v>77</v>
      </c>
      <c r="BD1251" s="3" t="s">
        <v>78</v>
      </c>
      <c r="BE1251" s="3" t="s">
        <v>12288</v>
      </c>
      <c r="BF1251" s="3" t="s">
        <v>12287</v>
      </c>
      <c r="BG1251" s="3" t="s">
        <v>12289</v>
      </c>
    </row>
    <row r="1252" spans="1:59" ht="58" x14ac:dyDescent="0.35">
      <c r="A1252" s="2" t="s">
        <v>59</v>
      </c>
      <c r="B1252" s="2" t="s">
        <v>60</v>
      </c>
      <c r="C1252" s="2" t="s">
        <v>12290</v>
      </c>
      <c r="D1252" s="2" t="s">
        <v>12291</v>
      </c>
      <c r="E1252" s="2" t="s">
        <v>12292</v>
      </c>
      <c r="G1252" s="3" t="s">
        <v>65</v>
      </c>
      <c r="I1252" s="3" t="s">
        <v>65</v>
      </c>
      <c r="J1252" s="3" t="s">
        <v>65</v>
      </c>
      <c r="K1252" s="3" t="s">
        <v>66</v>
      </c>
      <c r="L1252" s="2" t="s">
        <v>12293</v>
      </c>
      <c r="M1252" s="2" t="s">
        <v>12294</v>
      </c>
      <c r="N1252" s="3" t="s">
        <v>86</v>
      </c>
      <c r="O1252" s="2" t="s">
        <v>235</v>
      </c>
      <c r="P1252" s="3" t="s">
        <v>140</v>
      </c>
      <c r="Q1252" s="2" t="s">
        <v>12295</v>
      </c>
      <c r="R1252" s="3" t="s">
        <v>71</v>
      </c>
      <c r="S1252" s="4">
        <v>0</v>
      </c>
      <c r="T1252" s="4">
        <v>0</v>
      </c>
      <c r="W1252" s="5" t="s">
        <v>3654</v>
      </c>
      <c r="X1252" s="5" t="s">
        <v>3654</v>
      </c>
      <c r="Y1252" s="4">
        <v>24</v>
      </c>
      <c r="Z1252" s="4">
        <v>1</v>
      </c>
      <c r="AA1252" s="4">
        <v>1</v>
      </c>
      <c r="AB1252" s="4">
        <v>1</v>
      </c>
      <c r="AC1252" s="4">
        <v>1</v>
      </c>
      <c r="AD1252" s="4">
        <v>16</v>
      </c>
      <c r="AE1252" s="4">
        <v>16</v>
      </c>
      <c r="AF1252" s="4">
        <v>0</v>
      </c>
      <c r="AG1252" s="4">
        <v>0</v>
      </c>
      <c r="AH1252" s="4">
        <v>15</v>
      </c>
      <c r="AI1252" s="4">
        <v>15</v>
      </c>
      <c r="AJ1252" s="4">
        <v>0</v>
      </c>
      <c r="AK1252" s="4">
        <v>0</v>
      </c>
      <c r="AL1252" s="4">
        <v>13</v>
      </c>
      <c r="AM1252" s="4">
        <v>13</v>
      </c>
      <c r="AN1252" s="4">
        <v>0</v>
      </c>
      <c r="AO1252" s="4">
        <v>0</v>
      </c>
      <c r="AP1252" s="4">
        <v>0</v>
      </c>
      <c r="AQ1252" s="4">
        <v>0</v>
      </c>
      <c r="AR1252" s="3" t="s">
        <v>65</v>
      </c>
      <c r="AS1252" s="3" t="s">
        <v>65</v>
      </c>
      <c r="AT1252" s="3" t="s">
        <v>65</v>
      </c>
      <c r="AV1252" s="6" t="str">
        <f>HYPERLINK("http://mcgill.on.worldcat.org/oclc/1030360391","Catalog Record")</f>
        <v>Catalog Record</v>
      </c>
      <c r="AW1252" s="6" t="str">
        <f>HYPERLINK("http://www.worldcat.org/oclc/1030360391","WorldCat Record")</f>
        <v>WorldCat Record</v>
      </c>
      <c r="AX1252" s="3" t="s">
        <v>12296</v>
      </c>
      <c r="AY1252" s="3" t="s">
        <v>12297</v>
      </c>
      <c r="AZ1252" s="3" t="s">
        <v>12298</v>
      </c>
      <c r="BA1252" s="3" t="s">
        <v>12298</v>
      </c>
      <c r="BB1252" s="3" t="s">
        <v>12299</v>
      </c>
      <c r="BC1252" s="3" t="s">
        <v>77</v>
      </c>
      <c r="BD1252" s="3" t="s">
        <v>78</v>
      </c>
      <c r="BE1252" s="3" t="s">
        <v>12300</v>
      </c>
      <c r="BF1252" s="3" t="s">
        <v>12299</v>
      </c>
      <c r="BG1252" s="3" t="s">
        <v>12301</v>
      </c>
    </row>
    <row r="1253" spans="1:59" ht="58" x14ac:dyDescent="0.35">
      <c r="A1253" s="2" t="s">
        <v>59</v>
      </c>
      <c r="B1253" s="2" t="s">
        <v>60</v>
      </c>
      <c r="C1253" s="2" t="s">
        <v>12302</v>
      </c>
      <c r="D1253" s="2" t="s">
        <v>12303</v>
      </c>
      <c r="E1253" s="2" t="s">
        <v>12304</v>
      </c>
      <c r="G1253" s="3" t="s">
        <v>65</v>
      </c>
      <c r="I1253" s="3" t="s">
        <v>65</v>
      </c>
      <c r="J1253" s="3" t="s">
        <v>65</v>
      </c>
      <c r="K1253" s="3" t="s">
        <v>66</v>
      </c>
      <c r="L1253" s="2" t="s">
        <v>10350</v>
      </c>
      <c r="M1253" s="2" t="s">
        <v>12305</v>
      </c>
      <c r="N1253" s="3" t="s">
        <v>863</v>
      </c>
      <c r="P1253" s="3" t="s">
        <v>69</v>
      </c>
      <c r="Q1253" s="2" t="s">
        <v>12306</v>
      </c>
      <c r="R1253" s="3" t="s">
        <v>71</v>
      </c>
      <c r="S1253" s="4">
        <v>93</v>
      </c>
      <c r="T1253" s="4">
        <v>93</v>
      </c>
      <c r="U1253" s="5" t="s">
        <v>12307</v>
      </c>
      <c r="V1253" s="5" t="s">
        <v>12307</v>
      </c>
      <c r="W1253" s="5" t="s">
        <v>72</v>
      </c>
      <c r="X1253" s="5" t="s">
        <v>72</v>
      </c>
      <c r="Y1253" s="4">
        <v>518</v>
      </c>
      <c r="Z1253" s="4">
        <v>27</v>
      </c>
      <c r="AA1253" s="4">
        <v>97</v>
      </c>
      <c r="AB1253" s="4">
        <v>1</v>
      </c>
      <c r="AC1253" s="4">
        <v>15</v>
      </c>
      <c r="AD1253" s="4">
        <v>117</v>
      </c>
      <c r="AE1253" s="4">
        <v>150</v>
      </c>
      <c r="AF1253" s="4">
        <v>0</v>
      </c>
      <c r="AG1253" s="4">
        <v>8</v>
      </c>
      <c r="AH1253" s="4">
        <v>105</v>
      </c>
      <c r="AI1253" s="4">
        <v>113</v>
      </c>
      <c r="AJ1253" s="4">
        <v>17</v>
      </c>
      <c r="AK1253" s="4">
        <v>26</v>
      </c>
      <c r="AL1253" s="4">
        <v>57</v>
      </c>
      <c r="AM1253" s="4">
        <v>59</v>
      </c>
      <c r="AN1253" s="4">
        <v>0</v>
      </c>
      <c r="AO1253" s="4">
        <v>0</v>
      </c>
      <c r="AP1253" s="4">
        <v>18</v>
      </c>
      <c r="AQ1253" s="4">
        <v>46</v>
      </c>
      <c r="AR1253" s="3" t="s">
        <v>65</v>
      </c>
      <c r="AS1253" s="3" t="s">
        <v>65</v>
      </c>
      <c r="AT1253" s="3" t="s">
        <v>65</v>
      </c>
      <c r="AV1253" s="6" t="str">
        <f>HYPERLINK("http://mcgill.on.worldcat.org/oclc/25630541","Catalog Record")</f>
        <v>Catalog Record</v>
      </c>
      <c r="AW1253" s="6" t="str">
        <f>HYPERLINK("http://www.worldcat.org/oclc/25630541","WorldCat Record")</f>
        <v>WorldCat Record</v>
      </c>
      <c r="AX1253" s="3" t="s">
        <v>12308</v>
      </c>
      <c r="AY1253" s="3" t="s">
        <v>12309</v>
      </c>
      <c r="AZ1253" s="3" t="s">
        <v>12310</v>
      </c>
      <c r="BA1253" s="3" t="s">
        <v>12310</v>
      </c>
      <c r="BB1253" s="3" t="s">
        <v>12311</v>
      </c>
      <c r="BC1253" s="3" t="s">
        <v>77</v>
      </c>
      <c r="BD1253" s="3" t="s">
        <v>106</v>
      </c>
      <c r="BE1253" s="3" t="s">
        <v>12312</v>
      </c>
      <c r="BF1253" s="3" t="s">
        <v>12311</v>
      </c>
      <c r="BG1253" s="3" t="s">
        <v>12313</v>
      </c>
    </row>
    <row r="1254" spans="1:59" ht="58" x14ac:dyDescent="0.35">
      <c r="A1254" s="2" t="s">
        <v>59</v>
      </c>
      <c r="B1254" s="2" t="s">
        <v>60</v>
      </c>
      <c r="C1254" s="2" t="s">
        <v>12314</v>
      </c>
      <c r="D1254" s="2" t="s">
        <v>12315</v>
      </c>
      <c r="E1254" s="2" t="s">
        <v>12316</v>
      </c>
      <c r="G1254" s="3" t="s">
        <v>65</v>
      </c>
      <c r="I1254" s="3" t="s">
        <v>65</v>
      </c>
      <c r="J1254" s="3" t="s">
        <v>65</v>
      </c>
      <c r="K1254" s="3" t="s">
        <v>66</v>
      </c>
      <c r="L1254" s="2" t="s">
        <v>12317</v>
      </c>
      <c r="M1254" s="2" t="s">
        <v>12318</v>
      </c>
      <c r="N1254" s="3" t="s">
        <v>615</v>
      </c>
      <c r="P1254" s="3" t="s">
        <v>69</v>
      </c>
      <c r="R1254" s="3" t="s">
        <v>71</v>
      </c>
      <c r="S1254" s="4">
        <v>15</v>
      </c>
      <c r="T1254" s="4">
        <v>15</v>
      </c>
      <c r="U1254" s="5" t="s">
        <v>9453</v>
      </c>
      <c r="V1254" s="5" t="s">
        <v>9453</v>
      </c>
      <c r="W1254" s="5" t="s">
        <v>72</v>
      </c>
      <c r="X1254" s="5" t="s">
        <v>72</v>
      </c>
      <c r="Y1254" s="4">
        <v>532</v>
      </c>
      <c r="Z1254" s="4">
        <v>19</v>
      </c>
      <c r="AA1254" s="4">
        <v>19</v>
      </c>
      <c r="AB1254" s="4">
        <v>1</v>
      </c>
      <c r="AC1254" s="4">
        <v>1</v>
      </c>
      <c r="AD1254" s="4">
        <v>101</v>
      </c>
      <c r="AE1254" s="4">
        <v>102</v>
      </c>
      <c r="AF1254" s="4">
        <v>0</v>
      </c>
      <c r="AG1254" s="4">
        <v>0</v>
      </c>
      <c r="AH1254" s="4">
        <v>94</v>
      </c>
      <c r="AI1254" s="4">
        <v>95</v>
      </c>
      <c r="AJ1254" s="4">
        <v>11</v>
      </c>
      <c r="AK1254" s="4">
        <v>11</v>
      </c>
      <c r="AL1254" s="4">
        <v>49</v>
      </c>
      <c r="AM1254" s="4">
        <v>49</v>
      </c>
      <c r="AN1254" s="4">
        <v>0</v>
      </c>
      <c r="AO1254" s="4">
        <v>0</v>
      </c>
      <c r="AP1254" s="4">
        <v>13</v>
      </c>
      <c r="AQ1254" s="4">
        <v>13</v>
      </c>
      <c r="AR1254" s="3" t="s">
        <v>65</v>
      </c>
      <c r="AS1254" s="3" t="s">
        <v>65</v>
      </c>
      <c r="AT1254" s="3" t="s">
        <v>209</v>
      </c>
      <c r="AU1254" s="6" t="str">
        <f>HYPERLINK("http://catalog.hathitrust.org/Record/000339616","HathiTrust Record")</f>
        <v>HathiTrust Record</v>
      </c>
      <c r="AV1254" s="6" t="str">
        <f>HYPERLINK("http://mcgill.on.worldcat.org/oclc/10299030","Catalog Record")</f>
        <v>Catalog Record</v>
      </c>
      <c r="AW1254" s="6" t="str">
        <f>HYPERLINK("http://www.worldcat.org/oclc/10299030","WorldCat Record")</f>
        <v>WorldCat Record</v>
      </c>
      <c r="AX1254" s="3" t="s">
        <v>12319</v>
      </c>
      <c r="AY1254" s="3" t="s">
        <v>12320</v>
      </c>
      <c r="AZ1254" s="3" t="s">
        <v>12321</v>
      </c>
      <c r="BA1254" s="3" t="s">
        <v>12321</v>
      </c>
      <c r="BB1254" s="3" t="s">
        <v>12322</v>
      </c>
      <c r="BC1254" s="3" t="s">
        <v>77</v>
      </c>
      <c r="BD1254" s="3" t="s">
        <v>78</v>
      </c>
      <c r="BE1254" s="3" t="s">
        <v>12323</v>
      </c>
      <c r="BF1254" s="3" t="s">
        <v>12322</v>
      </c>
      <c r="BG1254" s="3" t="s">
        <v>12324</v>
      </c>
    </row>
    <row r="1255" spans="1:59" ht="58" x14ac:dyDescent="0.35">
      <c r="A1255" s="2" t="s">
        <v>59</v>
      </c>
      <c r="B1255" s="2" t="s">
        <v>60</v>
      </c>
      <c r="C1255" s="2" t="s">
        <v>12325</v>
      </c>
      <c r="D1255" s="2" t="s">
        <v>12326</v>
      </c>
      <c r="E1255" s="2" t="s">
        <v>12327</v>
      </c>
      <c r="G1255" s="3" t="s">
        <v>65</v>
      </c>
      <c r="I1255" s="3" t="s">
        <v>65</v>
      </c>
      <c r="J1255" s="3" t="s">
        <v>65</v>
      </c>
      <c r="K1255" s="3" t="s">
        <v>66</v>
      </c>
      <c r="L1255" s="2" t="s">
        <v>12328</v>
      </c>
      <c r="M1255" s="2" t="s">
        <v>12329</v>
      </c>
      <c r="N1255" s="3" t="s">
        <v>176</v>
      </c>
      <c r="P1255" s="3" t="s">
        <v>140</v>
      </c>
      <c r="Q1255" s="2" t="s">
        <v>12330</v>
      </c>
      <c r="R1255" s="3" t="s">
        <v>71</v>
      </c>
      <c r="S1255" s="4">
        <v>0</v>
      </c>
      <c r="T1255" s="4">
        <v>0</v>
      </c>
      <c r="W1255" s="5" t="s">
        <v>72</v>
      </c>
      <c r="X1255" s="5" t="s">
        <v>72</v>
      </c>
      <c r="Y1255" s="4">
        <v>41</v>
      </c>
      <c r="Z1255" s="4">
        <v>3</v>
      </c>
      <c r="AA1255" s="4">
        <v>3</v>
      </c>
      <c r="AB1255" s="4">
        <v>1</v>
      </c>
      <c r="AC1255" s="4">
        <v>1</v>
      </c>
      <c r="AD1255" s="4">
        <v>31</v>
      </c>
      <c r="AE1255" s="4">
        <v>31</v>
      </c>
      <c r="AF1255" s="4">
        <v>0</v>
      </c>
      <c r="AG1255" s="4">
        <v>0</v>
      </c>
      <c r="AH1255" s="4">
        <v>30</v>
      </c>
      <c r="AI1255" s="4">
        <v>30</v>
      </c>
      <c r="AJ1255" s="4">
        <v>1</v>
      </c>
      <c r="AK1255" s="4">
        <v>1</v>
      </c>
      <c r="AL1255" s="4">
        <v>24</v>
      </c>
      <c r="AM1255" s="4">
        <v>24</v>
      </c>
      <c r="AN1255" s="4">
        <v>0</v>
      </c>
      <c r="AO1255" s="4">
        <v>0</v>
      </c>
      <c r="AP1255" s="4">
        <v>1</v>
      </c>
      <c r="AQ1255" s="4">
        <v>1</v>
      </c>
      <c r="AR1255" s="3" t="s">
        <v>65</v>
      </c>
      <c r="AS1255" s="3" t="s">
        <v>65</v>
      </c>
      <c r="AT1255" s="3" t="s">
        <v>65</v>
      </c>
      <c r="AV1255" s="6" t="str">
        <f>HYPERLINK("http://mcgill.on.worldcat.org/oclc/934435461","Catalog Record")</f>
        <v>Catalog Record</v>
      </c>
      <c r="AW1255" s="6" t="str">
        <f>HYPERLINK("http://www.worldcat.org/oclc/934435461","WorldCat Record")</f>
        <v>WorldCat Record</v>
      </c>
      <c r="AX1255" s="3" t="s">
        <v>12331</v>
      </c>
      <c r="AY1255" s="3" t="s">
        <v>12332</v>
      </c>
      <c r="AZ1255" s="3" t="s">
        <v>12333</v>
      </c>
      <c r="BA1255" s="3" t="s">
        <v>12333</v>
      </c>
      <c r="BB1255" s="3" t="s">
        <v>12334</v>
      </c>
      <c r="BC1255" s="3" t="s">
        <v>77</v>
      </c>
      <c r="BD1255" s="3" t="s">
        <v>78</v>
      </c>
      <c r="BE1255" s="3" t="s">
        <v>12335</v>
      </c>
      <c r="BF1255" s="3" t="s">
        <v>12334</v>
      </c>
      <c r="BG1255" s="3" t="s">
        <v>12336</v>
      </c>
    </row>
    <row r="1256" spans="1:59" ht="58" x14ac:dyDescent="0.35">
      <c r="A1256" s="2" t="s">
        <v>59</v>
      </c>
      <c r="B1256" s="2" t="s">
        <v>60</v>
      </c>
      <c r="C1256" s="2" t="s">
        <v>12337</v>
      </c>
      <c r="D1256" s="2" t="s">
        <v>12338</v>
      </c>
      <c r="E1256" s="2" t="s">
        <v>12339</v>
      </c>
      <c r="G1256" s="3" t="s">
        <v>65</v>
      </c>
      <c r="I1256" s="3" t="s">
        <v>65</v>
      </c>
      <c r="J1256" s="3" t="s">
        <v>65</v>
      </c>
      <c r="K1256" s="3" t="s">
        <v>66</v>
      </c>
      <c r="M1256" s="2" t="s">
        <v>12340</v>
      </c>
      <c r="N1256" s="3" t="s">
        <v>1196</v>
      </c>
      <c r="P1256" s="3" t="s">
        <v>69</v>
      </c>
      <c r="R1256" s="3" t="s">
        <v>71</v>
      </c>
      <c r="S1256" s="4">
        <v>20</v>
      </c>
      <c r="T1256" s="4">
        <v>20</v>
      </c>
      <c r="U1256" s="5" t="s">
        <v>12341</v>
      </c>
      <c r="V1256" s="5" t="s">
        <v>12341</v>
      </c>
      <c r="W1256" s="5" t="s">
        <v>72</v>
      </c>
      <c r="X1256" s="5" t="s">
        <v>72</v>
      </c>
      <c r="Y1256" s="4">
        <v>249</v>
      </c>
      <c r="Z1256" s="4">
        <v>28</v>
      </c>
      <c r="AA1256" s="4">
        <v>125</v>
      </c>
      <c r="AB1256" s="4">
        <v>1</v>
      </c>
      <c r="AC1256" s="4">
        <v>22</v>
      </c>
      <c r="AD1256" s="4">
        <v>104</v>
      </c>
      <c r="AE1256" s="4">
        <v>155</v>
      </c>
      <c r="AF1256" s="4">
        <v>0</v>
      </c>
      <c r="AG1256" s="4">
        <v>9</v>
      </c>
      <c r="AH1256" s="4">
        <v>90</v>
      </c>
      <c r="AI1256" s="4">
        <v>107</v>
      </c>
      <c r="AJ1256" s="4">
        <v>18</v>
      </c>
      <c r="AK1256" s="4">
        <v>29</v>
      </c>
      <c r="AL1256" s="4">
        <v>52</v>
      </c>
      <c r="AM1256" s="4">
        <v>58</v>
      </c>
      <c r="AN1256" s="4">
        <v>0</v>
      </c>
      <c r="AO1256" s="4">
        <v>0</v>
      </c>
      <c r="AP1256" s="4">
        <v>22</v>
      </c>
      <c r="AQ1256" s="4">
        <v>57</v>
      </c>
      <c r="AR1256" s="3" t="s">
        <v>209</v>
      </c>
      <c r="AS1256" s="3" t="s">
        <v>65</v>
      </c>
      <c r="AT1256" s="3" t="s">
        <v>65</v>
      </c>
      <c r="AV1256" s="6" t="str">
        <f>HYPERLINK("http://mcgill.on.worldcat.org/oclc/60416852","Catalog Record")</f>
        <v>Catalog Record</v>
      </c>
      <c r="AW1256" s="6" t="str">
        <f>HYPERLINK("http://www.worldcat.org/oclc/60416852","WorldCat Record")</f>
        <v>WorldCat Record</v>
      </c>
      <c r="AX1256" s="3" t="s">
        <v>12342</v>
      </c>
      <c r="AY1256" s="3" t="s">
        <v>12343</v>
      </c>
      <c r="AZ1256" s="3" t="s">
        <v>12344</v>
      </c>
      <c r="BA1256" s="3" t="s">
        <v>12344</v>
      </c>
      <c r="BB1256" s="3" t="s">
        <v>12345</v>
      </c>
      <c r="BC1256" s="3" t="s">
        <v>77</v>
      </c>
      <c r="BD1256" s="3" t="s">
        <v>78</v>
      </c>
      <c r="BE1256" s="3" t="s">
        <v>12346</v>
      </c>
      <c r="BF1256" s="3" t="s">
        <v>12345</v>
      </c>
      <c r="BG1256" s="3" t="s">
        <v>12347</v>
      </c>
    </row>
    <row r="1257" spans="1:59" ht="58" x14ac:dyDescent="0.35">
      <c r="A1257" s="2" t="s">
        <v>59</v>
      </c>
      <c r="B1257" s="2" t="s">
        <v>60</v>
      </c>
      <c r="C1257" s="2" t="s">
        <v>12348</v>
      </c>
      <c r="D1257" s="2" t="s">
        <v>12349</v>
      </c>
      <c r="E1257" s="2" t="s">
        <v>12350</v>
      </c>
      <c r="G1257" s="3" t="s">
        <v>65</v>
      </c>
      <c r="I1257" s="3" t="s">
        <v>65</v>
      </c>
      <c r="J1257" s="3" t="s">
        <v>65</v>
      </c>
      <c r="K1257" s="3" t="s">
        <v>66</v>
      </c>
      <c r="M1257" s="2" t="s">
        <v>12351</v>
      </c>
      <c r="N1257" s="3" t="s">
        <v>221</v>
      </c>
      <c r="P1257" s="3" t="s">
        <v>69</v>
      </c>
      <c r="Q1257" s="2" t="s">
        <v>10375</v>
      </c>
      <c r="R1257" s="3" t="s">
        <v>71</v>
      </c>
      <c r="S1257" s="4">
        <v>9</v>
      </c>
      <c r="T1257" s="4">
        <v>9</v>
      </c>
      <c r="U1257" s="5" t="s">
        <v>9898</v>
      </c>
      <c r="V1257" s="5" t="s">
        <v>9898</v>
      </c>
      <c r="W1257" s="5" t="s">
        <v>72</v>
      </c>
      <c r="X1257" s="5" t="s">
        <v>72</v>
      </c>
      <c r="Y1257" s="4">
        <v>165</v>
      </c>
      <c r="Z1257" s="4">
        <v>15</v>
      </c>
      <c r="AA1257" s="4">
        <v>15</v>
      </c>
      <c r="AB1257" s="4">
        <v>1</v>
      </c>
      <c r="AC1257" s="4">
        <v>1</v>
      </c>
      <c r="AD1257" s="4">
        <v>79</v>
      </c>
      <c r="AE1257" s="4">
        <v>79</v>
      </c>
      <c r="AF1257" s="4">
        <v>0</v>
      </c>
      <c r="AG1257" s="4">
        <v>0</v>
      </c>
      <c r="AH1257" s="4">
        <v>72</v>
      </c>
      <c r="AI1257" s="4">
        <v>72</v>
      </c>
      <c r="AJ1257" s="4">
        <v>10</v>
      </c>
      <c r="AK1257" s="4">
        <v>10</v>
      </c>
      <c r="AL1257" s="4">
        <v>45</v>
      </c>
      <c r="AM1257" s="4">
        <v>45</v>
      </c>
      <c r="AN1257" s="4">
        <v>0</v>
      </c>
      <c r="AO1257" s="4">
        <v>0</v>
      </c>
      <c r="AP1257" s="4">
        <v>11</v>
      </c>
      <c r="AQ1257" s="4">
        <v>11</v>
      </c>
      <c r="AR1257" s="3" t="s">
        <v>65</v>
      </c>
      <c r="AS1257" s="3" t="s">
        <v>65</v>
      </c>
      <c r="AT1257" s="3" t="s">
        <v>65</v>
      </c>
      <c r="AV1257" s="6" t="str">
        <f>HYPERLINK("http://mcgill.on.worldcat.org/oclc/70128552","Catalog Record")</f>
        <v>Catalog Record</v>
      </c>
      <c r="AW1257" s="6" t="str">
        <f>HYPERLINK("http://www.worldcat.org/oclc/70128552","WorldCat Record")</f>
        <v>WorldCat Record</v>
      </c>
      <c r="AX1257" s="3" t="s">
        <v>12352</v>
      </c>
      <c r="AY1257" s="3" t="s">
        <v>12353</v>
      </c>
      <c r="AZ1257" s="3" t="s">
        <v>12354</v>
      </c>
      <c r="BA1257" s="3" t="s">
        <v>12354</v>
      </c>
      <c r="BB1257" s="3" t="s">
        <v>12355</v>
      </c>
      <c r="BC1257" s="3" t="s">
        <v>77</v>
      </c>
      <c r="BD1257" s="3" t="s">
        <v>78</v>
      </c>
      <c r="BE1257" s="3" t="s">
        <v>12356</v>
      </c>
      <c r="BF1257" s="3" t="s">
        <v>12355</v>
      </c>
      <c r="BG1257" s="3" t="s">
        <v>12357</v>
      </c>
    </row>
    <row r="1258" spans="1:59" ht="58" x14ac:dyDescent="0.35">
      <c r="A1258" s="2" t="s">
        <v>59</v>
      </c>
      <c r="B1258" s="2" t="s">
        <v>60</v>
      </c>
      <c r="C1258" s="2" t="s">
        <v>12358</v>
      </c>
      <c r="D1258" s="2" t="s">
        <v>12359</v>
      </c>
      <c r="E1258" s="2" t="s">
        <v>12360</v>
      </c>
      <c r="G1258" s="3" t="s">
        <v>65</v>
      </c>
      <c r="I1258" s="3" t="s">
        <v>65</v>
      </c>
      <c r="J1258" s="3" t="s">
        <v>65</v>
      </c>
      <c r="K1258" s="3" t="s">
        <v>66</v>
      </c>
      <c r="M1258" s="2" t="s">
        <v>12361</v>
      </c>
      <c r="N1258" s="3" t="s">
        <v>113</v>
      </c>
      <c r="P1258" s="3" t="s">
        <v>69</v>
      </c>
      <c r="Q1258" s="2" t="s">
        <v>12362</v>
      </c>
      <c r="R1258" s="3" t="s">
        <v>71</v>
      </c>
      <c r="S1258" s="4">
        <v>4</v>
      </c>
      <c r="T1258" s="4">
        <v>4</v>
      </c>
      <c r="U1258" s="5" t="s">
        <v>12341</v>
      </c>
      <c r="V1258" s="5" t="s">
        <v>12341</v>
      </c>
      <c r="W1258" s="5" t="s">
        <v>72</v>
      </c>
      <c r="X1258" s="5" t="s">
        <v>72</v>
      </c>
      <c r="Y1258" s="4">
        <v>255</v>
      </c>
      <c r="Z1258" s="4">
        <v>18</v>
      </c>
      <c r="AA1258" s="4">
        <v>36</v>
      </c>
      <c r="AB1258" s="4">
        <v>1</v>
      </c>
      <c r="AC1258" s="4">
        <v>5</v>
      </c>
      <c r="AD1258" s="4">
        <v>82</v>
      </c>
      <c r="AE1258" s="4">
        <v>107</v>
      </c>
      <c r="AF1258" s="4">
        <v>0</v>
      </c>
      <c r="AG1258" s="4">
        <v>1</v>
      </c>
      <c r="AH1258" s="4">
        <v>75</v>
      </c>
      <c r="AI1258" s="4">
        <v>92</v>
      </c>
      <c r="AJ1258" s="4">
        <v>10</v>
      </c>
      <c r="AK1258" s="4">
        <v>15</v>
      </c>
      <c r="AL1258" s="4">
        <v>43</v>
      </c>
      <c r="AM1258" s="4">
        <v>50</v>
      </c>
      <c r="AN1258" s="4">
        <v>0</v>
      </c>
      <c r="AO1258" s="4">
        <v>0</v>
      </c>
      <c r="AP1258" s="4">
        <v>12</v>
      </c>
      <c r="AQ1258" s="4">
        <v>22</v>
      </c>
      <c r="AR1258" s="3" t="s">
        <v>65</v>
      </c>
      <c r="AS1258" s="3" t="s">
        <v>65</v>
      </c>
      <c r="AT1258" s="3" t="s">
        <v>65</v>
      </c>
      <c r="AV1258" s="6" t="str">
        <f>HYPERLINK("http://mcgill.on.worldcat.org/oclc/468973393","Catalog Record")</f>
        <v>Catalog Record</v>
      </c>
      <c r="AW1258" s="6" t="str">
        <f>HYPERLINK("http://www.worldcat.org/oclc/468973393","WorldCat Record")</f>
        <v>WorldCat Record</v>
      </c>
      <c r="AX1258" s="3" t="s">
        <v>12363</v>
      </c>
      <c r="AY1258" s="3" t="s">
        <v>12364</v>
      </c>
      <c r="AZ1258" s="3" t="s">
        <v>12365</v>
      </c>
      <c r="BA1258" s="3" t="s">
        <v>12365</v>
      </c>
      <c r="BB1258" s="3" t="s">
        <v>12366</v>
      </c>
      <c r="BC1258" s="3" t="s">
        <v>77</v>
      </c>
      <c r="BD1258" s="3" t="s">
        <v>78</v>
      </c>
      <c r="BE1258" s="3" t="s">
        <v>12367</v>
      </c>
      <c r="BF1258" s="3" t="s">
        <v>12366</v>
      </c>
      <c r="BG1258" s="3" t="s">
        <v>12368</v>
      </c>
    </row>
    <row r="1259" spans="1:59" ht="58" x14ac:dyDescent="0.35">
      <c r="A1259" s="2" t="s">
        <v>59</v>
      </c>
      <c r="B1259" s="2" t="s">
        <v>60</v>
      </c>
      <c r="C1259" s="2" t="s">
        <v>12369</v>
      </c>
      <c r="D1259" s="2" t="s">
        <v>12370</v>
      </c>
      <c r="E1259" s="2" t="s">
        <v>12371</v>
      </c>
      <c r="G1259" s="3" t="s">
        <v>65</v>
      </c>
      <c r="I1259" s="3" t="s">
        <v>65</v>
      </c>
      <c r="J1259" s="3" t="s">
        <v>65</v>
      </c>
      <c r="K1259" s="3" t="s">
        <v>66</v>
      </c>
      <c r="L1259" s="2" t="s">
        <v>12372</v>
      </c>
      <c r="M1259" s="2" t="s">
        <v>12373</v>
      </c>
      <c r="N1259" s="3" t="s">
        <v>176</v>
      </c>
      <c r="P1259" s="3" t="s">
        <v>140</v>
      </c>
      <c r="Q1259" s="2" t="s">
        <v>12374</v>
      </c>
      <c r="R1259" s="3" t="s">
        <v>71</v>
      </c>
      <c r="S1259" s="4">
        <v>0</v>
      </c>
      <c r="T1259" s="4">
        <v>0</v>
      </c>
      <c r="W1259" s="5" t="s">
        <v>72</v>
      </c>
      <c r="X1259" s="5" t="s">
        <v>72</v>
      </c>
      <c r="Y1259" s="4">
        <v>60</v>
      </c>
      <c r="Z1259" s="4">
        <v>4</v>
      </c>
      <c r="AA1259" s="4">
        <v>4</v>
      </c>
      <c r="AB1259" s="4">
        <v>1</v>
      </c>
      <c r="AC1259" s="4">
        <v>1</v>
      </c>
      <c r="AD1259" s="4">
        <v>41</v>
      </c>
      <c r="AE1259" s="4">
        <v>41</v>
      </c>
      <c r="AF1259" s="4">
        <v>0</v>
      </c>
      <c r="AG1259" s="4">
        <v>0</v>
      </c>
      <c r="AH1259" s="4">
        <v>40</v>
      </c>
      <c r="AI1259" s="4">
        <v>40</v>
      </c>
      <c r="AJ1259" s="4">
        <v>2</v>
      </c>
      <c r="AK1259" s="4">
        <v>2</v>
      </c>
      <c r="AL1259" s="4">
        <v>32</v>
      </c>
      <c r="AM1259" s="4">
        <v>32</v>
      </c>
      <c r="AN1259" s="4">
        <v>0</v>
      </c>
      <c r="AO1259" s="4">
        <v>0</v>
      </c>
      <c r="AP1259" s="4">
        <v>2</v>
      </c>
      <c r="AQ1259" s="4">
        <v>2</v>
      </c>
      <c r="AR1259" s="3" t="s">
        <v>65</v>
      </c>
      <c r="AS1259" s="3" t="s">
        <v>65</v>
      </c>
      <c r="AT1259" s="3" t="s">
        <v>65</v>
      </c>
      <c r="AV1259" s="6" t="str">
        <f>HYPERLINK("http://mcgill.on.worldcat.org/oclc/926738945","Catalog Record")</f>
        <v>Catalog Record</v>
      </c>
      <c r="AW1259" s="6" t="str">
        <f>HYPERLINK("http://www.worldcat.org/oclc/926738945","WorldCat Record")</f>
        <v>WorldCat Record</v>
      </c>
      <c r="AX1259" s="3" t="s">
        <v>12375</v>
      </c>
      <c r="AY1259" s="3" t="s">
        <v>12376</v>
      </c>
      <c r="AZ1259" s="3" t="s">
        <v>12377</v>
      </c>
      <c r="BA1259" s="3" t="s">
        <v>12377</v>
      </c>
      <c r="BB1259" s="3" t="s">
        <v>12378</v>
      </c>
      <c r="BC1259" s="3" t="s">
        <v>77</v>
      </c>
      <c r="BD1259" s="3" t="s">
        <v>78</v>
      </c>
      <c r="BE1259" s="3" t="s">
        <v>12379</v>
      </c>
      <c r="BF1259" s="3" t="s">
        <v>12378</v>
      </c>
      <c r="BG1259" s="3" t="s">
        <v>12380</v>
      </c>
    </row>
    <row r="1260" spans="1:59" ht="58" x14ac:dyDescent="0.35">
      <c r="A1260" s="2" t="s">
        <v>59</v>
      </c>
      <c r="B1260" s="2" t="s">
        <v>60</v>
      </c>
      <c r="C1260" s="2" t="s">
        <v>12381</v>
      </c>
      <c r="D1260" s="2" t="s">
        <v>12382</v>
      </c>
      <c r="E1260" s="2" t="s">
        <v>12383</v>
      </c>
      <c r="G1260" s="3" t="s">
        <v>65</v>
      </c>
      <c r="I1260" s="3" t="s">
        <v>65</v>
      </c>
      <c r="J1260" s="3" t="s">
        <v>65</v>
      </c>
      <c r="K1260" s="3" t="s">
        <v>66</v>
      </c>
      <c r="L1260" s="2" t="s">
        <v>12384</v>
      </c>
      <c r="M1260" s="2" t="s">
        <v>12385</v>
      </c>
      <c r="N1260" s="3" t="s">
        <v>164</v>
      </c>
      <c r="P1260" s="3" t="s">
        <v>69</v>
      </c>
      <c r="R1260" s="3" t="s">
        <v>71</v>
      </c>
      <c r="S1260" s="4">
        <v>1</v>
      </c>
      <c r="T1260" s="4">
        <v>1</v>
      </c>
      <c r="U1260" s="5" t="s">
        <v>12386</v>
      </c>
      <c r="V1260" s="5" t="s">
        <v>12386</v>
      </c>
      <c r="W1260" s="5" t="s">
        <v>72</v>
      </c>
      <c r="X1260" s="5" t="s">
        <v>72</v>
      </c>
      <c r="Y1260" s="4">
        <v>133</v>
      </c>
      <c r="Z1260" s="4">
        <v>17</v>
      </c>
      <c r="AA1260" s="4">
        <v>30</v>
      </c>
      <c r="AB1260" s="4">
        <v>1</v>
      </c>
      <c r="AC1260" s="4">
        <v>13</v>
      </c>
      <c r="AD1260" s="4">
        <v>58</v>
      </c>
      <c r="AE1260" s="4">
        <v>66</v>
      </c>
      <c r="AF1260" s="4">
        <v>0</v>
      </c>
      <c r="AG1260" s="4">
        <v>6</v>
      </c>
      <c r="AH1260" s="4">
        <v>52</v>
      </c>
      <c r="AI1260" s="4">
        <v>55</v>
      </c>
      <c r="AJ1260" s="4">
        <v>12</v>
      </c>
      <c r="AK1260" s="4">
        <v>17</v>
      </c>
      <c r="AL1260" s="4">
        <v>36</v>
      </c>
      <c r="AM1260" s="4">
        <v>37</v>
      </c>
      <c r="AN1260" s="4">
        <v>0</v>
      </c>
      <c r="AO1260" s="4">
        <v>0</v>
      </c>
      <c r="AP1260" s="4">
        <v>13</v>
      </c>
      <c r="AQ1260" s="4">
        <v>19</v>
      </c>
      <c r="AR1260" s="3" t="s">
        <v>65</v>
      </c>
      <c r="AS1260" s="3" t="s">
        <v>65</v>
      </c>
      <c r="AT1260" s="3" t="s">
        <v>65</v>
      </c>
      <c r="AV1260" s="6" t="str">
        <f>HYPERLINK("http://mcgill.on.worldcat.org/oclc/861955344","Catalog Record")</f>
        <v>Catalog Record</v>
      </c>
      <c r="AW1260" s="6" t="str">
        <f>HYPERLINK("http://www.worldcat.org/oclc/861955344","WorldCat Record")</f>
        <v>WorldCat Record</v>
      </c>
      <c r="AX1260" s="3" t="s">
        <v>12387</v>
      </c>
      <c r="AY1260" s="3" t="s">
        <v>12388</v>
      </c>
      <c r="AZ1260" s="3" t="s">
        <v>12389</v>
      </c>
      <c r="BA1260" s="3" t="s">
        <v>12389</v>
      </c>
      <c r="BB1260" s="3" t="s">
        <v>12390</v>
      </c>
      <c r="BC1260" s="3" t="s">
        <v>77</v>
      </c>
      <c r="BD1260" s="3" t="s">
        <v>78</v>
      </c>
      <c r="BE1260" s="3" t="s">
        <v>12391</v>
      </c>
      <c r="BF1260" s="3" t="s">
        <v>12390</v>
      </c>
      <c r="BG1260" s="3" t="s">
        <v>12392</v>
      </c>
    </row>
    <row r="1261" spans="1:59" ht="58" x14ac:dyDescent="0.35">
      <c r="A1261" s="2" t="s">
        <v>59</v>
      </c>
      <c r="B1261" s="2" t="s">
        <v>60</v>
      </c>
      <c r="C1261" s="2" t="s">
        <v>12393</v>
      </c>
      <c r="D1261" s="2" t="s">
        <v>12394</v>
      </c>
      <c r="E1261" s="2" t="s">
        <v>12395</v>
      </c>
      <c r="G1261" s="3" t="s">
        <v>65</v>
      </c>
      <c r="I1261" s="3" t="s">
        <v>65</v>
      </c>
      <c r="J1261" s="3" t="s">
        <v>65</v>
      </c>
      <c r="K1261" s="3" t="s">
        <v>66</v>
      </c>
      <c r="M1261" s="2" t="s">
        <v>12396</v>
      </c>
      <c r="N1261" s="3" t="s">
        <v>364</v>
      </c>
      <c r="P1261" s="3" t="s">
        <v>140</v>
      </c>
      <c r="Q1261" s="2" t="s">
        <v>12397</v>
      </c>
      <c r="R1261" s="3" t="s">
        <v>71</v>
      </c>
      <c r="S1261" s="4">
        <v>3</v>
      </c>
      <c r="T1261" s="4">
        <v>3</v>
      </c>
      <c r="U1261" s="5" t="s">
        <v>12398</v>
      </c>
      <c r="V1261" s="5" t="s">
        <v>12398</v>
      </c>
      <c r="W1261" s="5" t="s">
        <v>72</v>
      </c>
      <c r="X1261" s="5" t="s">
        <v>72</v>
      </c>
      <c r="Y1261" s="4">
        <v>74</v>
      </c>
      <c r="Z1261" s="4">
        <v>7</v>
      </c>
      <c r="AA1261" s="4">
        <v>7</v>
      </c>
      <c r="AB1261" s="4">
        <v>3</v>
      </c>
      <c r="AC1261" s="4">
        <v>3</v>
      </c>
      <c r="AD1261" s="4">
        <v>45</v>
      </c>
      <c r="AE1261" s="4">
        <v>48</v>
      </c>
      <c r="AF1261" s="4">
        <v>1</v>
      </c>
      <c r="AG1261" s="4">
        <v>1</v>
      </c>
      <c r="AH1261" s="4">
        <v>40</v>
      </c>
      <c r="AI1261" s="4">
        <v>43</v>
      </c>
      <c r="AJ1261" s="4">
        <v>4</v>
      </c>
      <c r="AK1261" s="4">
        <v>4</v>
      </c>
      <c r="AL1261" s="4">
        <v>37</v>
      </c>
      <c r="AM1261" s="4">
        <v>39</v>
      </c>
      <c r="AN1261" s="4">
        <v>0</v>
      </c>
      <c r="AO1261" s="4">
        <v>0</v>
      </c>
      <c r="AP1261" s="4">
        <v>4</v>
      </c>
      <c r="AQ1261" s="4">
        <v>4</v>
      </c>
      <c r="AR1261" s="3" t="s">
        <v>65</v>
      </c>
      <c r="AS1261" s="3" t="s">
        <v>65</v>
      </c>
      <c r="AT1261" s="3" t="s">
        <v>209</v>
      </c>
      <c r="AU1261" s="6" t="str">
        <f>HYPERLINK("http://catalog.hathitrust.org/Record/004253383","HathiTrust Record")</f>
        <v>HathiTrust Record</v>
      </c>
      <c r="AV1261" s="6" t="str">
        <f>HYPERLINK("http://mcgill.on.worldcat.org/oclc/49634907","Catalog Record")</f>
        <v>Catalog Record</v>
      </c>
      <c r="AW1261" s="6" t="str">
        <f>HYPERLINK("http://www.worldcat.org/oclc/49634907","WorldCat Record")</f>
        <v>WorldCat Record</v>
      </c>
      <c r="AX1261" s="3" t="s">
        <v>12399</v>
      </c>
      <c r="AY1261" s="3" t="s">
        <v>12400</v>
      </c>
      <c r="AZ1261" s="3" t="s">
        <v>12401</v>
      </c>
      <c r="BA1261" s="3" t="s">
        <v>12401</v>
      </c>
      <c r="BB1261" s="3" t="s">
        <v>12402</v>
      </c>
      <c r="BC1261" s="3" t="s">
        <v>77</v>
      </c>
      <c r="BD1261" s="3" t="s">
        <v>78</v>
      </c>
      <c r="BE1261" s="3" t="s">
        <v>12403</v>
      </c>
      <c r="BF1261" s="3" t="s">
        <v>12402</v>
      </c>
      <c r="BG1261" s="3" t="s">
        <v>12404</v>
      </c>
    </row>
    <row r="1262" spans="1:59" ht="58" x14ac:dyDescent="0.35">
      <c r="A1262" s="2" t="s">
        <v>59</v>
      </c>
      <c r="B1262" s="2" t="s">
        <v>60</v>
      </c>
      <c r="C1262" s="2" t="s">
        <v>12405</v>
      </c>
      <c r="D1262" s="2" t="s">
        <v>12406</v>
      </c>
      <c r="E1262" s="2" t="s">
        <v>12407</v>
      </c>
      <c r="G1262" s="3" t="s">
        <v>65</v>
      </c>
      <c r="I1262" s="3" t="s">
        <v>65</v>
      </c>
      <c r="J1262" s="3" t="s">
        <v>65</v>
      </c>
      <c r="K1262" s="3" t="s">
        <v>66</v>
      </c>
      <c r="L1262" s="2" t="s">
        <v>12408</v>
      </c>
      <c r="M1262" s="2" t="s">
        <v>12409</v>
      </c>
      <c r="N1262" s="3" t="s">
        <v>139</v>
      </c>
      <c r="P1262" s="3" t="s">
        <v>140</v>
      </c>
      <c r="Q1262" s="2" t="s">
        <v>12410</v>
      </c>
      <c r="R1262" s="3" t="s">
        <v>71</v>
      </c>
      <c r="S1262" s="4">
        <v>0</v>
      </c>
      <c r="T1262" s="4">
        <v>0</v>
      </c>
      <c r="W1262" s="5" t="s">
        <v>72</v>
      </c>
      <c r="X1262" s="5" t="s">
        <v>72</v>
      </c>
      <c r="Y1262" s="4">
        <v>36</v>
      </c>
      <c r="Z1262" s="4">
        <v>4</v>
      </c>
      <c r="AA1262" s="4">
        <v>4</v>
      </c>
      <c r="AB1262" s="4">
        <v>1</v>
      </c>
      <c r="AC1262" s="4">
        <v>1</v>
      </c>
      <c r="AD1262" s="4">
        <v>25</v>
      </c>
      <c r="AE1262" s="4">
        <v>25</v>
      </c>
      <c r="AF1262" s="4">
        <v>0</v>
      </c>
      <c r="AG1262" s="4">
        <v>0</v>
      </c>
      <c r="AH1262" s="4">
        <v>24</v>
      </c>
      <c r="AI1262" s="4">
        <v>24</v>
      </c>
      <c r="AJ1262" s="4">
        <v>1</v>
      </c>
      <c r="AK1262" s="4">
        <v>1</v>
      </c>
      <c r="AL1262" s="4">
        <v>22</v>
      </c>
      <c r="AM1262" s="4">
        <v>22</v>
      </c>
      <c r="AN1262" s="4">
        <v>0</v>
      </c>
      <c r="AO1262" s="4">
        <v>0</v>
      </c>
      <c r="AP1262" s="4">
        <v>1</v>
      </c>
      <c r="AQ1262" s="4">
        <v>1</v>
      </c>
      <c r="AR1262" s="3" t="s">
        <v>65</v>
      </c>
      <c r="AS1262" s="3" t="s">
        <v>65</v>
      </c>
      <c r="AT1262" s="3" t="s">
        <v>65</v>
      </c>
      <c r="AV1262" s="6" t="str">
        <f>HYPERLINK("http://mcgill.on.worldcat.org/oclc/839273806","Catalog Record")</f>
        <v>Catalog Record</v>
      </c>
      <c r="AW1262" s="6" t="str">
        <f>HYPERLINK("http://www.worldcat.org/oclc/839273806","WorldCat Record")</f>
        <v>WorldCat Record</v>
      </c>
      <c r="AX1262" s="3" t="s">
        <v>12411</v>
      </c>
      <c r="AY1262" s="3" t="s">
        <v>12412</v>
      </c>
      <c r="AZ1262" s="3" t="s">
        <v>12413</v>
      </c>
      <c r="BA1262" s="3" t="s">
        <v>12413</v>
      </c>
      <c r="BB1262" s="3" t="s">
        <v>12414</v>
      </c>
      <c r="BC1262" s="3" t="s">
        <v>77</v>
      </c>
      <c r="BD1262" s="3" t="s">
        <v>78</v>
      </c>
      <c r="BE1262" s="3" t="s">
        <v>12415</v>
      </c>
      <c r="BF1262" s="3" t="s">
        <v>12414</v>
      </c>
      <c r="BG1262" s="3" t="s">
        <v>12416</v>
      </c>
    </row>
    <row r="1263" spans="1:59" ht="58" x14ac:dyDescent="0.35">
      <c r="A1263" s="2" t="s">
        <v>59</v>
      </c>
      <c r="B1263" s="2" t="s">
        <v>60</v>
      </c>
      <c r="C1263" s="2" t="s">
        <v>12417</v>
      </c>
      <c r="D1263" s="2" t="s">
        <v>12418</v>
      </c>
      <c r="E1263" s="2" t="s">
        <v>12419</v>
      </c>
      <c r="G1263" s="3" t="s">
        <v>65</v>
      </c>
      <c r="I1263" s="3" t="s">
        <v>65</v>
      </c>
      <c r="J1263" s="3" t="s">
        <v>65</v>
      </c>
      <c r="K1263" s="3" t="s">
        <v>66</v>
      </c>
      <c r="L1263" s="2" t="s">
        <v>12420</v>
      </c>
      <c r="M1263" s="2" t="s">
        <v>12421</v>
      </c>
      <c r="N1263" s="3" t="s">
        <v>1032</v>
      </c>
      <c r="P1263" s="3" t="s">
        <v>69</v>
      </c>
      <c r="Q1263" s="2" t="s">
        <v>12422</v>
      </c>
      <c r="R1263" s="3" t="s">
        <v>71</v>
      </c>
      <c r="S1263" s="4">
        <v>10</v>
      </c>
      <c r="T1263" s="4">
        <v>10</v>
      </c>
      <c r="U1263" s="5" t="s">
        <v>6927</v>
      </c>
      <c r="V1263" s="5" t="s">
        <v>6927</v>
      </c>
      <c r="W1263" s="5" t="s">
        <v>72</v>
      </c>
      <c r="X1263" s="5" t="s">
        <v>72</v>
      </c>
      <c r="Y1263" s="4">
        <v>103</v>
      </c>
      <c r="Z1263" s="4">
        <v>10</v>
      </c>
      <c r="AA1263" s="4">
        <v>10</v>
      </c>
      <c r="AB1263" s="4">
        <v>1</v>
      </c>
      <c r="AC1263" s="4">
        <v>1</v>
      </c>
      <c r="AD1263" s="4">
        <v>40</v>
      </c>
      <c r="AE1263" s="4">
        <v>40</v>
      </c>
      <c r="AF1263" s="4">
        <v>0</v>
      </c>
      <c r="AG1263" s="4">
        <v>0</v>
      </c>
      <c r="AH1263" s="4">
        <v>36</v>
      </c>
      <c r="AI1263" s="4">
        <v>36</v>
      </c>
      <c r="AJ1263" s="4">
        <v>5</v>
      </c>
      <c r="AK1263" s="4">
        <v>5</v>
      </c>
      <c r="AL1263" s="4">
        <v>24</v>
      </c>
      <c r="AM1263" s="4">
        <v>24</v>
      </c>
      <c r="AN1263" s="4">
        <v>0</v>
      </c>
      <c r="AO1263" s="4">
        <v>0</v>
      </c>
      <c r="AP1263" s="4">
        <v>5</v>
      </c>
      <c r="AQ1263" s="4">
        <v>5</v>
      </c>
      <c r="AR1263" s="3" t="s">
        <v>65</v>
      </c>
      <c r="AS1263" s="3" t="s">
        <v>65</v>
      </c>
      <c r="AT1263" s="3" t="s">
        <v>209</v>
      </c>
      <c r="AU1263" s="6" t="str">
        <f>HYPERLINK("http://catalog.hathitrust.org/Record/003019197","HathiTrust Record")</f>
        <v>HathiTrust Record</v>
      </c>
      <c r="AV1263" s="6" t="str">
        <f>HYPERLINK("http://mcgill.on.worldcat.org/oclc/31328307","Catalog Record")</f>
        <v>Catalog Record</v>
      </c>
      <c r="AW1263" s="6" t="str">
        <f>HYPERLINK("http://www.worldcat.org/oclc/31328307","WorldCat Record")</f>
        <v>WorldCat Record</v>
      </c>
      <c r="AX1263" s="3" t="s">
        <v>12423</v>
      </c>
      <c r="AY1263" s="3" t="s">
        <v>12424</v>
      </c>
      <c r="AZ1263" s="3" t="s">
        <v>12425</v>
      </c>
      <c r="BA1263" s="3" t="s">
        <v>12425</v>
      </c>
      <c r="BB1263" s="3" t="s">
        <v>12426</v>
      </c>
      <c r="BC1263" s="3" t="s">
        <v>77</v>
      </c>
      <c r="BD1263" s="3" t="s">
        <v>78</v>
      </c>
      <c r="BE1263" s="3" t="s">
        <v>12427</v>
      </c>
      <c r="BF1263" s="3" t="s">
        <v>12426</v>
      </c>
      <c r="BG1263" s="3" t="s">
        <v>12428</v>
      </c>
    </row>
    <row r="1264" spans="1:59" ht="58" x14ac:dyDescent="0.35">
      <c r="A1264" s="2" t="s">
        <v>59</v>
      </c>
      <c r="B1264" s="2" t="s">
        <v>60</v>
      </c>
      <c r="C1264" s="2" t="s">
        <v>12429</v>
      </c>
      <c r="D1264" s="2" t="s">
        <v>12430</v>
      </c>
      <c r="E1264" s="2" t="s">
        <v>12431</v>
      </c>
      <c r="G1264" s="3" t="s">
        <v>65</v>
      </c>
      <c r="I1264" s="3" t="s">
        <v>65</v>
      </c>
      <c r="J1264" s="3" t="s">
        <v>65</v>
      </c>
      <c r="K1264" s="3" t="s">
        <v>66</v>
      </c>
      <c r="L1264" s="2" t="s">
        <v>12157</v>
      </c>
      <c r="M1264" s="2" t="s">
        <v>12432</v>
      </c>
      <c r="N1264" s="3" t="s">
        <v>1085</v>
      </c>
      <c r="P1264" s="3" t="s">
        <v>69</v>
      </c>
      <c r="Q1264" s="2" t="s">
        <v>12433</v>
      </c>
      <c r="R1264" s="3" t="s">
        <v>71</v>
      </c>
      <c r="S1264" s="4">
        <v>25</v>
      </c>
      <c r="T1264" s="4">
        <v>25</v>
      </c>
      <c r="U1264" s="5" t="s">
        <v>12434</v>
      </c>
      <c r="V1264" s="5" t="s">
        <v>12434</v>
      </c>
      <c r="W1264" s="5" t="s">
        <v>72</v>
      </c>
      <c r="X1264" s="5" t="s">
        <v>72</v>
      </c>
      <c r="Y1264" s="4">
        <v>472</v>
      </c>
      <c r="Z1264" s="4">
        <v>25</v>
      </c>
      <c r="AA1264" s="4">
        <v>25</v>
      </c>
      <c r="AB1264" s="4">
        <v>2</v>
      </c>
      <c r="AC1264" s="4">
        <v>2</v>
      </c>
      <c r="AD1264" s="4">
        <v>114</v>
      </c>
      <c r="AE1264" s="4">
        <v>114</v>
      </c>
      <c r="AF1264" s="4">
        <v>1</v>
      </c>
      <c r="AG1264" s="4">
        <v>1</v>
      </c>
      <c r="AH1264" s="4">
        <v>104</v>
      </c>
      <c r="AI1264" s="4">
        <v>104</v>
      </c>
      <c r="AJ1264" s="4">
        <v>15</v>
      </c>
      <c r="AK1264" s="4">
        <v>15</v>
      </c>
      <c r="AL1264" s="4">
        <v>57</v>
      </c>
      <c r="AM1264" s="4">
        <v>57</v>
      </c>
      <c r="AN1264" s="4">
        <v>0</v>
      </c>
      <c r="AO1264" s="4">
        <v>0</v>
      </c>
      <c r="AP1264" s="4">
        <v>17</v>
      </c>
      <c r="AQ1264" s="4">
        <v>17</v>
      </c>
      <c r="AR1264" s="3" t="s">
        <v>65</v>
      </c>
      <c r="AS1264" s="3" t="s">
        <v>65</v>
      </c>
      <c r="AT1264" s="3" t="s">
        <v>65</v>
      </c>
      <c r="AV1264" s="6" t="str">
        <f>HYPERLINK("http://mcgill.on.worldcat.org/oclc/33043065","Catalog Record")</f>
        <v>Catalog Record</v>
      </c>
      <c r="AW1264" s="6" t="str">
        <f>HYPERLINK("http://www.worldcat.org/oclc/33043065","WorldCat Record")</f>
        <v>WorldCat Record</v>
      </c>
      <c r="AX1264" s="3" t="s">
        <v>12435</v>
      </c>
      <c r="AY1264" s="3" t="s">
        <v>12436</v>
      </c>
      <c r="AZ1264" s="3" t="s">
        <v>12437</v>
      </c>
      <c r="BA1264" s="3" t="s">
        <v>12437</v>
      </c>
      <c r="BB1264" s="3" t="s">
        <v>12438</v>
      </c>
      <c r="BC1264" s="3" t="s">
        <v>77</v>
      </c>
      <c r="BD1264" s="3" t="s">
        <v>78</v>
      </c>
      <c r="BE1264" s="3" t="s">
        <v>12439</v>
      </c>
      <c r="BF1264" s="3" t="s">
        <v>12438</v>
      </c>
      <c r="BG1264" s="3" t="s">
        <v>12440</v>
      </c>
    </row>
    <row r="1265" spans="1:59" ht="58" x14ac:dyDescent="0.35">
      <c r="A1265" s="2" t="s">
        <v>59</v>
      </c>
      <c r="B1265" s="2" t="s">
        <v>60</v>
      </c>
      <c r="C1265" s="2" t="s">
        <v>12441</v>
      </c>
      <c r="D1265" s="2" t="s">
        <v>12442</v>
      </c>
      <c r="E1265" s="2" t="s">
        <v>12443</v>
      </c>
      <c r="G1265" s="3" t="s">
        <v>65</v>
      </c>
      <c r="I1265" s="3" t="s">
        <v>65</v>
      </c>
      <c r="J1265" s="3" t="s">
        <v>65</v>
      </c>
      <c r="K1265" s="3" t="s">
        <v>66</v>
      </c>
      <c r="L1265" s="2" t="s">
        <v>12444</v>
      </c>
      <c r="M1265" s="2" t="s">
        <v>5699</v>
      </c>
      <c r="N1265" s="3" t="s">
        <v>188</v>
      </c>
      <c r="P1265" s="3" t="s">
        <v>140</v>
      </c>
      <c r="Q1265" s="2" t="s">
        <v>12445</v>
      </c>
      <c r="R1265" s="3" t="s">
        <v>71</v>
      </c>
      <c r="S1265" s="4">
        <v>0</v>
      </c>
      <c r="T1265" s="4">
        <v>0</v>
      </c>
      <c r="W1265" s="5" t="s">
        <v>3654</v>
      </c>
      <c r="X1265" s="5" t="s">
        <v>3654</v>
      </c>
      <c r="Y1265" s="4">
        <v>38</v>
      </c>
      <c r="Z1265" s="4">
        <v>1</v>
      </c>
      <c r="AA1265" s="4">
        <v>1</v>
      </c>
      <c r="AB1265" s="4">
        <v>1</v>
      </c>
      <c r="AC1265" s="4">
        <v>1</v>
      </c>
      <c r="AD1265" s="4">
        <v>26</v>
      </c>
      <c r="AE1265" s="4">
        <v>26</v>
      </c>
      <c r="AF1265" s="4">
        <v>0</v>
      </c>
      <c r="AG1265" s="4">
        <v>0</v>
      </c>
      <c r="AH1265" s="4">
        <v>25</v>
      </c>
      <c r="AI1265" s="4">
        <v>25</v>
      </c>
      <c r="AJ1265" s="4">
        <v>0</v>
      </c>
      <c r="AK1265" s="4">
        <v>0</v>
      </c>
      <c r="AL1265" s="4">
        <v>22</v>
      </c>
      <c r="AM1265" s="4">
        <v>22</v>
      </c>
      <c r="AN1265" s="4">
        <v>0</v>
      </c>
      <c r="AO1265" s="4">
        <v>0</v>
      </c>
      <c r="AP1265" s="4">
        <v>0</v>
      </c>
      <c r="AQ1265" s="4">
        <v>0</v>
      </c>
      <c r="AR1265" s="3" t="s">
        <v>65</v>
      </c>
      <c r="AS1265" s="3" t="s">
        <v>65</v>
      </c>
      <c r="AT1265" s="3" t="s">
        <v>65</v>
      </c>
      <c r="AV1265" s="6" t="str">
        <f>HYPERLINK("http://mcgill.on.worldcat.org/oclc/1035819690","Catalog Record")</f>
        <v>Catalog Record</v>
      </c>
      <c r="AW1265" s="6" t="str">
        <f>HYPERLINK("http://www.worldcat.org/oclc/1035819690","WorldCat Record")</f>
        <v>WorldCat Record</v>
      </c>
      <c r="AX1265" s="3" t="s">
        <v>12446</v>
      </c>
      <c r="AY1265" s="3" t="s">
        <v>12447</v>
      </c>
      <c r="AZ1265" s="3" t="s">
        <v>12448</v>
      </c>
      <c r="BA1265" s="3" t="s">
        <v>12448</v>
      </c>
      <c r="BB1265" s="3" t="s">
        <v>12449</v>
      </c>
      <c r="BC1265" s="3" t="s">
        <v>77</v>
      </c>
      <c r="BD1265" s="3" t="s">
        <v>78</v>
      </c>
      <c r="BE1265" s="3" t="s">
        <v>12450</v>
      </c>
      <c r="BF1265" s="3" t="s">
        <v>12449</v>
      </c>
      <c r="BG1265" s="3" t="s">
        <v>12451</v>
      </c>
    </row>
    <row r="1266" spans="1:59" ht="58" x14ac:dyDescent="0.35">
      <c r="A1266" s="2" t="s">
        <v>59</v>
      </c>
      <c r="B1266" s="2" t="s">
        <v>60</v>
      </c>
      <c r="C1266" s="2" t="s">
        <v>12452</v>
      </c>
      <c r="D1266" s="2" t="s">
        <v>12453</v>
      </c>
      <c r="E1266" s="2" t="s">
        <v>12454</v>
      </c>
      <c r="G1266" s="3" t="s">
        <v>65</v>
      </c>
      <c r="I1266" s="3" t="s">
        <v>65</v>
      </c>
      <c r="J1266" s="3" t="s">
        <v>65</v>
      </c>
      <c r="K1266" s="3" t="s">
        <v>66</v>
      </c>
      <c r="L1266" s="2" t="s">
        <v>12455</v>
      </c>
      <c r="M1266" s="2" t="s">
        <v>12456</v>
      </c>
      <c r="N1266" s="3" t="s">
        <v>152</v>
      </c>
      <c r="P1266" s="3" t="s">
        <v>140</v>
      </c>
      <c r="R1266" s="3" t="s">
        <v>71</v>
      </c>
      <c r="S1266" s="4">
        <v>0</v>
      </c>
      <c r="T1266" s="4">
        <v>0</v>
      </c>
      <c r="W1266" s="5" t="s">
        <v>72</v>
      </c>
      <c r="X1266" s="5" t="s">
        <v>72</v>
      </c>
      <c r="Y1266" s="4">
        <v>33</v>
      </c>
      <c r="Z1266" s="4">
        <v>2</v>
      </c>
      <c r="AA1266" s="4">
        <v>5</v>
      </c>
      <c r="AB1266" s="4">
        <v>1</v>
      </c>
      <c r="AC1266" s="4">
        <v>1</v>
      </c>
      <c r="AD1266" s="4">
        <v>26</v>
      </c>
      <c r="AE1266" s="4">
        <v>27</v>
      </c>
      <c r="AF1266" s="4">
        <v>0</v>
      </c>
      <c r="AG1266" s="4">
        <v>0</v>
      </c>
      <c r="AH1266" s="4">
        <v>25</v>
      </c>
      <c r="AI1266" s="4">
        <v>26</v>
      </c>
      <c r="AJ1266" s="4">
        <v>1</v>
      </c>
      <c r="AK1266" s="4">
        <v>2</v>
      </c>
      <c r="AL1266" s="4">
        <v>20</v>
      </c>
      <c r="AM1266" s="4">
        <v>21</v>
      </c>
      <c r="AN1266" s="4">
        <v>0</v>
      </c>
      <c r="AO1266" s="4">
        <v>0</v>
      </c>
      <c r="AP1266" s="4">
        <v>1</v>
      </c>
      <c r="AQ1266" s="4">
        <v>2</v>
      </c>
      <c r="AR1266" s="3" t="s">
        <v>65</v>
      </c>
      <c r="AS1266" s="3" t="s">
        <v>65</v>
      </c>
      <c r="AT1266" s="3" t="s">
        <v>65</v>
      </c>
      <c r="AV1266" s="6" t="str">
        <f>HYPERLINK("http://mcgill.on.worldcat.org/oclc/903208037","Catalog Record")</f>
        <v>Catalog Record</v>
      </c>
      <c r="AW1266" s="6" t="str">
        <f>HYPERLINK("http://www.worldcat.org/oclc/903208037","WorldCat Record")</f>
        <v>WorldCat Record</v>
      </c>
      <c r="AX1266" s="3" t="s">
        <v>12457</v>
      </c>
      <c r="AY1266" s="3" t="s">
        <v>12458</v>
      </c>
      <c r="AZ1266" s="3" t="s">
        <v>12459</v>
      </c>
      <c r="BA1266" s="3" t="s">
        <v>12459</v>
      </c>
      <c r="BB1266" s="3" t="s">
        <v>12460</v>
      </c>
      <c r="BC1266" s="3" t="s">
        <v>77</v>
      </c>
      <c r="BD1266" s="3" t="s">
        <v>78</v>
      </c>
      <c r="BE1266" s="3" t="s">
        <v>12461</v>
      </c>
      <c r="BF1266" s="3" t="s">
        <v>12460</v>
      </c>
      <c r="BG1266" s="3" t="s">
        <v>12462</v>
      </c>
    </row>
    <row r="1267" spans="1:59" ht="58" x14ac:dyDescent="0.35">
      <c r="A1267" s="2" t="s">
        <v>59</v>
      </c>
      <c r="B1267" s="2" t="s">
        <v>60</v>
      </c>
      <c r="C1267" s="2" t="s">
        <v>12463</v>
      </c>
      <c r="D1267" s="2" t="s">
        <v>12464</v>
      </c>
      <c r="E1267" s="2" t="s">
        <v>12465</v>
      </c>
      <c r="G1267" s="3" t="s">
        <v>65</v>
      </c>
      <c r="I1267" s="3" t="s">
        <v>65</v>
      </c>
      <c r="J1267" s="3" t="s">
        <v>65</v>
      </c>
      <c r="K1267" s="3" t="s">
        <v>66</v>
      </c>
      <c r="L1267" s="2" t="s">
        <v>12466</v>
      </c>
      <c r="M1267" s="2" t="s">
        <v>12467</v>
      </c>
      <c r="N1267" s="3" t="s">
        <v>1196</v>
      </c>
      <c r="P1267" s="3" t="s">
        <v>69</v>
      </c>
      <c r="R1267" s="3" t="s">
        <v>71</v>
      </c>
      <c r="S1267" s="4">
        <v>8</v>
      </c>
      <c r="T1267" s="4">
        <v>8</v>
      </c>
      <c r="U1267" s="5" t="s">
        <v>12434</v>
      </c>
      <c r="V1267" s="5" t="s">
        <v>12434</v>
      </c>
      <c r="W1267" s="5" t="s">
        <v>72</v>
      </c>
      <c r="X1267" s="5" t="s">
        <v>72</v>
      </c>
      <c r="Y1267" s="4">
        <v>250</v>
      </c>
      <c r="Z1267" s="4">
        <v>19</v>
      </c>
      <c r="AA1267" s="4">
        <v>100</v>
      </c>
      <c r="AB1267" s="4">
        <v>2</v>
      </c>
      <c r="AC1267" s="4">
        <v>17</v>
      </c>
      <c r="AD1267" s="4">
        <v>106</v>
      </c>
      <c r="AE1267" s="4">
        <v>143</v>
      </c>
      <c r="AF1267" s="4">
        <v>1</v>
      </c>
      <c r="AG1267" s="4">
        <v>8</v>
      </c>
      <c r="AH1267" s="4">
        <v>97</v>
      </c>
      <c r="AI1267" s="4">
        <v>106</v>
      </c>
      <c r="AJ1267" s="4">
        <v>12</v>
      </c>
      <c r="AK1267" s="4">
        <v>22</v>
      </c>
      <c r="AL1267" s="4">
        <v>56</v>
      </c>
      <c r="AM1267" s="4">
        <v>59</v>
      </c>
      <c r="AN1267" s="4">
        <v>0</v>
      </c>
      <c r="AO1267" s="4">
        <v>0</v>
      </c>
      <c r="AP1267" s="4">
        <v>13</v>
      </c>
      <c r="AQ1267" s="4">
        <v>44</v>
      </c>
      <c r="AR1267" s="3" t="s">
        <v>65</v>
      </c>
      <c r="AS1267" s="3" t="s">
        <v>65</v>
      </c>
      <c r="AT1267" s="3" t="s">
        <v>65</v>
      </c>
      <c r="AV1267" s="6" t="str">
        <f>HYPERLINK("http://mcgill.on.worldcat.org/oclc/61247373","Catalog Record")</f>
        <v>Catalog Record</v>
      </c>
      <c r="AW1267" s="6" t="str">
        <f>HYPERLINK("http://www.worldcat.org/oclc/61247373","WorldCat Record")</f>
        <v>WorldCat Record</v>
      </c>
      <c r="AX1267" s="3" t="s">
        <v>12468</v>
      </c>
      <c r="AY1267" s="3" t="s">
        <v>12469</v>
      </c>
      <c r="AZ1267" s="3" t="s">
        <v>12470</v>
      </c>
      <c r="BA1267" s="3" t="s">
        <v>12470</v>
      </c>
      <c r="BB1267" s="3" t="s">
        <v>12471</v>
      </c>
      <c r="BC1267" s="3" t="s">
        <v>77</v>
      </c>
      <c r="BD1267" s="3" t="s">
        <v>78</v>
      </c>
      <c r="BE1267" s="3" t="s">
        <v>12472</v>
      </c>
      <c r="BF1267" s="3" t="s">
        <v>12471</v>
      </c>
      <c r="BG1267" s="3" t="s">
        <v>12473</v>
      </c>
    </row>
    <row r="1268" spans="1:59" ht="58" x14ac:dyDescent="0.35">
      <c r="A1268" s="2" t="s">
        <v>59</v>
      </c>
      <c r="B1268" s="2" t="s">
        <v>60</v>
      </c>
      <c r="C1268" s="2" t="s">
        <v>12474</v>
      </c>
      <c r="D1268" s="2" t="s">
        <v>12475</v>
      </c>
      <c r="E1268" s="2" t="s">
        <v>12476</v>
      </c>
      <c r="G1268" s="3" t="s">
        <v>65</v>
      </c>
      <c r="I1268" s="3" t="s">
        <v>209</v>
      </c>
      <c r="J1268" s="3" t="s">
        <v>65</v>
      </c>
      <c r="K1268" s="3" t="s">
        <v>66</v>
      </c>
      <c r="L1268" s="2" t="s">
        <v>12477</v>
      </c>
      <c r="M1268" s="2" t="s">
        <v>12478</v>
      </c>
      <c r="N1268" s="3" t="s">
        <v>9636</v>
      </c>
      <c r="P1268" s="3" t="s">
        <v>69</v>
      </c>
      <c r="Q1268" s="2" t="s">
        <v>12479</v>
      </c>
      <c r="R1268" s="3" t="s">
        <v>71</v>
      </c>
      <c r="S1268" s="4">
        <v>3</v>
      </c>
      <c r="T1268" s="4">
        <v>20</v>
      </c>
      <c r="U1268" s="5" t="s">
        <v>12480</v>
      </c>
      <c r="V1268" s="5" t="s">
        <v>12481</v>
      </c>
      <c r="W1268" s="5" t="s">
        <v>72</v>
      </c>
      <c r="X1268" s="5" t="s">
        <v>72</v>
      </c>
      <c r="Y1268" s="4">
        <v>291</v>
      </c>
      <c r="Z1268" s="4">
        <v>9</v>
      </c>
      <c r="AA1268" s="4">
        <v>23</v>
      </c>
      <c r="AB1268" s="4">
        <v>1</v>
      </c>
      <c r="AC1268" s="4">
        <v>2</v>
      </c>
      <c r="AD1268" s="4">
        <v>69</v>
      </c>
      <c r="AE1268" s="4">
        <v>98</v>
      </c>
      <c r="AF1268" s="4">
        <v>0</v>
      </c>
      <c r="AG1268" s="4">
        <v>1</v>
      </c>
      <c r="AH1268" s="4">
        <v>65</v>
      </c>
      <c r="AI1268" s="4">
        <v>87</v>
      </c>
      <c r="AJ1268" s="4">
        <v>7</v>
      </c>
      <c r="AK1268" s="4">
        <v>10</v>
      </c>
      <c r="AL1268" s="4">
        <v>37</v>
      </c>
      <c r="AM1268" s="4">
        <v>48</v>
      </c>
      <c r="AN1268" s="4">
        <v>0</v>
      </c>
      <c r="AO1268" s="4">
        <v>1</v>
      </c>
      <c r="AP1268" s="4">
        <v>7</v>
      </c>
      <c r="AQ1268" s="4">
        <v>15</v>
      </c>
      <c r="AR1268" s="3" t="s">
        <v>65</v>
      </c>
      <c r="AS1268" s="3" t="s">
        <v>209</v>
      </c>
      <c r="AT1268" s="3" t="s">
        <v>65</v>
      </c>
      <c r="AU1268" s="6" t="str">
        <f>HYPERLINK("http://catalog.hathitrust.org/Record/001219055","HathiTrust Record")</f>
        <v>HathiTrust Record</v>
      </c>
      <c r="AV1268" s="6" t="str">
        <f>HYPERLINK("http://mcgill.on.worldcat.org/oclc/1359632","Catalog Record")</f>
        <v>Catalog Record</v>
      </c>
      <c r="AW1268" s="6" t="str">
        <f>HYPERLINK("http://www.worldcat.org/oclc/1359632","WorldCat Record")</f>
        <v>WorldCat Record</v>
      </c>
      <c r="AX1268" s="3" t="s">
        <v>12482</v>
      </c>
      <c r="AY1268" s="3" t="s">
        <v>12483</v>
      </c>
      <c r="AZ1268" s="3" t="s">
        <v>12484</v>
      </c>
      <c r="BA1268" s="3" t="s">
        <v>12484</v>
      </c>
      <c r="BB1268" s="3" t="s">
        <v>12485</v>
      </c>
      <c r="BC1268" s="3" t="s">
        <v>77</v>
      </c>
      <c r="BD1268" s="3" t="s">
        <v>78</v>
      </c>
      <c r="BE1268" s="3" t="s">
        <v>12486</v>
      </c>
      <c r="BF1268" s="3" t="s">
        <v>12485</v>
      </c>
      <c r="BG1268" s="3" t="s">
        <v>12487</v>
      </c>
    </row>
    <row r="1269" spans="1:59" ht="58" x14ac:dyDescent="0.35">
      <c r="A1269" s="2" t="s">
        <v>59</v>
      </c>
      <c r="B1269" s="2" t="s">
        <v>60</v>
      </c>
      <c r="C1269" s="2" t="s">
        <v>12474</v>
      </c>
      <c r="D1269" s="2" t="s">
        <v>12475</v>
      </c>
      <c r="E1269" s="2" t="s">
        <v>12476</v>
      </c>
      <c r="G1269" s="3" t="s">
        <v>65</v>
      </c>
      <c r="I1269" s="3" t="s">
        <v>209</v>
      </c>
      <c r="J1269" s="3" t="s">
        <v>65</v>
      </c>
      <c r="K1269" s="3" t="s">
        <v>66</v>
      </c>
      <c r="L1269" s="2" t="s">
        <v>12477</v>
      </c>
      <c r="M1269" s="2" t="s">
        <v>12478</v>
      </c>
      <c r="N1269" s="3" t="s">
        <v>9636</v>
      </c>
      <c r="P1269" s="3" t="s">
        <v>69</v>
      </c>
      <c r="Q1269" s="2" t="s">
        <v>12479</v>
      </c>
      <c r="R1269" s="3" t="s">
        <v>71</v>
      </c>
      <c r="S1269" s="4">
        <v>17</v>
      </c>
      <c r="T1269" s="4">
        <v>20</v>
      </c>
      <c r="U1269" s="5" t="s">
        <v>12481</v>
      </c>
      <c r="V1269" s="5" t="s">
        <v>12481</v>
      </c>
      <c r="W1269" s="5" t="s">
        <v>72</v>
      </c>
      <c r="X1269" s="5" t="s">
        <v>72</v>
      </c>
      <c r="Y1269" s="4">
        <v>291</v>
      </c>
      <c r="Z1269" s="4">
        <v>9</v>
      </c>
      <c r="AA1269" s="4">
        <v>23</v>
      </c>
      <c r="AB1269" s="4">
        <v>1</v>
      </c>
      <c r="AC1269" s="4">
        <v>2</v>
      </c>
      <c r="AD1269" s="4">
        <v>69</v>
      </c>
      <c r="AE1269" s="4">
        <v>98</v>
      </c>
      <c r="AF1269" s="4">
        <v>0</v>
      </c>
      <c r="AG1269" s="4">
        <v>1</v>
      </c>
      <c r="AH1269" s="4">
        <v>65</v>
      </c>
      <c r="AI1269" s="4">
        <v>87</v>
      </c>
      <c r="AJ1269" s="4">
        <v>7</v>
      </c>
      <c r="AK1269" s="4">
        <v>10</v>
      </c>
      <c r="AL1269" s="4">
        <v>37</v>
      </c>
      <c r="AM1269" s="4">
        <v>48</v>
      </c>
      <c r="AN1269" s="4">
        <v>0</v>
      </c>
      <c r="AO1269" s="4">
        <v>1</v>
      </c>
      <c r="AP1269" s="4">
        <v>7</v>
      </c>
      <c r="AQ1269" s="4">
        <v>15</v>
      </c>
      <c r="AR1269" s="3" t="s">
        <v>65</v>
      </c>
      <c r="AS1269" s="3" t="s">
        <v>209</v>
      </c>
      <c r="AT1269" s="3" t="s">
        <v>65</v>
      </c>
      <c r="AU1269" s="6" t="str">
        <f>HYPERLINK("http://catalog.hathitrust.org/Record/001219055","HathiTrust Record")</f>
        <v>HathiTrust Record</v>
      </c>
      <c r="AV1269" s="6" t="str">
        <f>HYPERLINK("http://mcgill.on.worldcat.org/oclc/1359632","Catalog Record")</f>
        <v>Catalog Record</v>
      </c>
      <c r="AW1269" s="6" t="str">
        <f>HYPERLINK("http://www.worldcat.org/oclc/1359632","WorldCat Record")</f>
        <v>WorldCat Record</v>
      </c>
      <c r="AX1269" s="3" t="s">
        <v>12482</v>
      </c>
      <c r="AY1269" s="3" t="s">
        <v>12483</v>
      </c>
      <c r="AZ1269" s="3" t="s">
        <v>12484</v>
      </c>
      <c r="BA1269" s="3" t="s">
        <v>12484</v>
      </c>
      <c r="BB1269" s="3" t="s">
        <v>12488</v>
      </c>
      <c r="BC1269" s="3" t="s">
        <v>77</v>
      </c>
      <c r="BD1269" s="3" t="s">
        <v>78</v>
      </c>
      <c r="BE1269" s="3" t="s">
        <v>12486</v>
      </c>
      <c r="BF1269" s="3" t="s">
        <v>12488</v>
      </c>
      <c r="BG1269" s="3" t="s">
        <v>12489</v>
      </c>
    </row>
    <row r="1270" spans="1:59" ht="58" x14ac:dyDescent="0.35">
      <c r="A1270" s="2" t="s">
        <v>59</v>
      </c>
      <c r="B1270" s="2" t="s">
        <v>60</v>
      </c>
      <c r="C1270" s="2" t="s">
        <v>12490</v>
      </c>
      <c r="D1270" s="2" t="s">
        <v>12491</v>
      </c>
      <c r="E1270" s="2" t="s">
        <v>12492</v>
      </c>
      <c r="G1270" s="3" t="s">
        <v>65</v>
      </c>
      <c r="I1270" s="3" t="s">
        <v>65</v>
      </c>
      <c r="J1270" s="3" t="s">
        <v>65</v>
      </c>
      <c r="K1270" s="3" t="s">
        <v>66</v>
      </c>
      <c r="L1270" s="2" t="s">
        <v>12493</v>
      </c>
      <c r="M1270" s="2" t="s">
        <v>12494</v>
      </c>
      <c r="N1270" s="3" t="s">
        <v>126</v>
      </c>
      <c r="P1270" s="3" t="s">
        <v>69</v>
      </c>
      <c r="Q1270" s="2" t="s">
        <v>1197</v>
      </c>
      <c r="R1270" s="3" t="s">
        <v>71</v>
      </c>
      <c r="S1270" s="4">
        <v>1</v>
      </c>
      <c r="T1270" s="4">
        <v>1</v>
      </c>
      <c r="U1270" s="5" t="s">
        <v>12495</v>
      </c>
      <c r="V1270" s="5" t="s">
        <v>12495</v>
      </c>
      <c r="W1270" s="5" t="s">
        <v>72</v>
      </c>
      <c r="X1270" s="5" t="s">
        <v>72</v>
      </c>
      <c r="Y1270" s="4">
        <v>227</v>
      </c>
      <c r="Z1270" s="4">
        <v>27</v>
      </c>
      <c r="AA1270" s="4">
        <v>108</v>
      </c>
      <c r="AB1270" s="4">
        <v>1</v>
      </c>
      <c r="AC1270" s="4">
        <v>19</v>
      </c>
      <c r="AD1270" s="4">
        <v>88</v>
      </c>
      <c r="AE1270" s="4">
        <v>143</v>
      </c>
      <c r="AF1270" s="4">
        <v>0</v>
      </c>
      <c r="AG1270" s="4">
        <v>8</v>
      </c>
      <c r="AH1270" s="4">
        <v>75</v>
      </c>
      <c r="AI1270" s="4">
        <v>102</v>
      </c>
      <c r="AJ1270" s="4">
        <v>19</v>
      </c>
      <c r="AK1270" s="4">
        <v>27</v>
      </c>
      <c r="AL1270" s="4">
        <v>46</v>
      </c>
      <c r="AM1270" s="4">
        <v>53</v>
      </c>
      <c r="AN1270" s="4">
        <v>0</v>
      </c>
      <c r="AO1270" s="4">
        <v>0</v>
      </c>
      <c r="AP1270" s="4">
        <v>20</v>
      </c>
      <c r="AQ1270" s="4">
        <v>50</v>
      </c>
      <c r="AR1270" s="3" t="s">
        <v>209</v>
      </c>
      <c r="AS1270" s="3" t="s">
        <v>65</v>
      </c>
      <c r="AT1270" s="3" t="s">
        <v>65</v>
      </c>
      <c r="AV1270" s="6" t="str">
        <f>HYPERLINK("http://mcgill.on.worldcat.org/oclc/693814346","Catalog Record")</f>
        <v>Catalog Record</v>
      </c>
      <c r="AW1270" s="6" t="str">
        <f>HYPERLINK("http://www.worldcat.org/oclc/693814346","WorldCat Record")</f>
        <v>WorldCat Record</v>
      </c>
      <c r="AX1270" s="3" t="s">
        <v>12496</v>
      </c>
      <c r="AY1270" s="3" t="s">
        <v>12497</v>
      </c>
      <c r="AZ1270" s="3" t="s">
        <v>12498</v>
      </c>
      <c r="BA1270" s="3" t="s">
        <v>12498</v>
      </c>
      <c r="BB1270" s="3" t="s">
        <v>12499</v>
      </c>
      <c r="BC1270" s="3" t="s">
        <v>77</v>
      </c>
      <c r="BD1270" s="3" t="s">
        <v>78</v>
      </c>
      <c r="BE1270" s="3" t="s">
        <v>12500</v>
      </c>
      <c r="BF1270" s="3" t="s">
        <v>12499</v>
      </c>
      <c r="BG1270" s="3" t="s">
        <v>12501</v>
      </c>
    </row>
    <row r="1271" spans="1:59" ht="58" x14ac:dyDescent="0.35">
      <c r="A1271" s="2" t="s">
        <v>59</v>
      </c>
      <c r="B1271" s="2" t="s">
        <v>60</v>
      </c>
      <c r="C1271" s="2" t="s">
        <v>12502</v>
      </c>
      <c r="D1271" s="2" t="s">
        <v>12503</v>
      </c>
      <c r="E1271" s="2" t="s">
        <v>12504</v>
      </c>
      <c r="G1271" s="3" t="s">
        <v>65</v>
      </c>
      <c r="I1271" s="3" t="s">
        <v>65</v>
      </c>
      <c r="J1271" s="3" t="s">
        <v>65</v>
      </c>
      <c r="K1271" s="3" t="s">
        <v>66</v>
      </c>
      <c r="M1271" s="2" t="s">
        <v>12505</v>
      </c>
      <c r="N1271" s="3" t="s">
        <v>126</v>
      </c>
      <c r="P1271" s="3" t="s">
        <v>140</v>
      </c>
      <c r="Q1271" s="2" t="s">
        <v>12506</v>
      </c>
      <c r="R1271" s="3" t="s">
        <v>71</v>
      </c>
      <c r="S1271" s="4">
        <v>0</v>
      </c>
      <c r="T1271" s="4">
        <v>0</v>
      </c>
      <c r="W1271" s="5" t="s">
        <v>72</v>
      </c>
      <c r="X1271" s="5" t="s">
        <v>72</v>
      </c>
      <c r="Y1271" s="4">
        <v>59</v>
      </c>
      <c r="Z1271" s="4">
        <v>5</v>
      </c>
      <c r="AA1271" s="4">
        <v>5</v>
      </c>
      <c r="AB1271" s="4">
        <v>1</v>
      </c>
      <c r="AC1271" s="4">
        <v>1</v>
      </c>
      <c r="AD1271" s="4">
        <v>35</v>
      </c>
      <c r="AE1271" s="4">
        <v>35</v>
      </c>
      <c r="AF1271" s="4">
        <v>0</v>
      </c>
      <c r="AG1271" s="4">
        <v>0</v>
      </c>
      <c r="AH1271" s="4">
        <v>35</v>
      </c>
      <c r="AI1271" s="4">
        <v>35</v>
      </c>
      <c r="AJ1271" s="4">
        <v>2</v>
      </c>
      <c r="AK1271" s="4">
        <v>2</v>
      </c>
      <c r="AL1271" s="4">
        <v>26</v>
      </c>
      <c r="AM1271" s="4">
        <v>26</v>
      </c>
      <c r="AN1271" s="4">
        <v>0</v>
      </c>
      <c r="AO1271" s="4">
        <v>0</v>
      </c>
      <c r="AP1271" s="4">
        <v>2</v>
      </c>
      <c r="AQ1271" s="4">
        <v>2</v>
      </c>
      <c r="AR1271" s="3" t="s">
        <v>65</v>
      </c>
      <c r="AS1271" s="3" t="s">
        <v>65</v>
      </c>
      <c r="AT1271" s="3" t="s">
        <v>65</v>
      </c>
      <c r="AV1271" s="6" t="str">
        <f>HYPERLINK("http://mcgill.on.worldcat.org/oclc/747530806","Catalog Record")</f>
        <v>Catalog Record</v>
      </c>
      <c r="AW1271" s="6" t="str">
        <f>HYPERLINK("http://www.worldcat.org/oclc/747530806","WorldCat Record")</f>
        <v>WorldCat Record</v>
      </c>
      <c r="AX1271" s="3" t="s">
        <v>12507</v>
      </c>
      <c r="AY1271" s="3" t="s">
        <v>12508</v>
      </c>
      <c r="AZ1271" s="3" t="s">
        <v>12509</v>
      </c>
      <c r="BA1271" s="3" t="s">
        <v>12509</v>
      </c>
      <c r="BB1271" s="3" t="s">
        <v>12510</v>
      </c>
      <c r="BC1271" s="3" t="s">
        <v>77</v>
      </c>
      <c r="BD1271" s="3" t="s">
        <v>78</v>
      </c>
      <c r="BE1271" s="3" t="s">
        <v>12511</v>
      </c>
      <c r="BF1271" s="3" t="s">
        <v>12510</v>
      </c>
      <c r="BG1271" s="3" t="s">
        <v>12512</v>
      </c>
    </row>
    <row r="1272" spans="1:59" ht="58" x14ac:dyDescent="0.35">
      <c r="A1272" s="2" t="s">
        <v>59</v>
      </c>
      <c r="B1272" s="2" t="s">
        <v>60</v>
      </c>
      <c r="C1272" s="2" t="s">
        <v>12513</v>
      </c>
      <c r="D1272" s="2" t="s">
        <v>12514</v>
      </c>
      <c r="E1272" s="2" t="s">
        <v>12515</v>
      </c>
      <c r="G1272" s="3" t="s">
        <v>65</v>
      </c>
      <c r="I1272" s="3" t="s">
        <v>65</v>
      </c>
      <c r="J1272" s="3" t="s">
        <v>65</v>
      </c>
      <c r="K1272" s="3" t="s">
        <v>66</v>
      </c>
      <c r="L1272" s="2" t="s">
        <v>10054</v>
      </c>
      <c r="M1272" s="2" t="s">
        <v>4389</v>
      </c>
      <c r="N1272" s="3" t="s">
        <v>3385</v>
      </c>
      <c r="P1272" s="3" t="s">
        <v>69</v>
      </c>
      <c r="Q1272" s="2" t="s">
        <v>12516</v>
      </c>
      <c r="R1272" s="3" t="s">
        <v>71</v>
      </c>
      <c r="S1272" s="4">
        <v>12</v>
      </c>
      <c r="T1272" s="4">
        <v>12</v>
      </c>
      <c r="U1272" s="5" t="s">
        <v>12517</v>
      </c>
      <c r="V1272" s="5" t="s">
        <v>12517</v>
      </c>
      <c r="W1272" s="5" t="s">
        <v>72</v>
      </c>
      <c r="X1272" s="5" t="s">
        <v>72</v>
      </c>
      <c r="Y1272" s="4">
        <v>330</v>
      </c>
      <c r="Z1272" s="4">
        <v>26</v>
      </c>
      <c r="AA1272" s="4">
        <v>26</v>
      </c>
      <c r="AB1272" s="4">
        <v>2</v>
      </c>
      <c r="AC1272" s="4">
        <v>2</v>
      </c>
      <c r="AD1272" s="4">
        <v>101</v>
      </c>
      <c r="AE1272" s="4">
        <v>101</v>
      </c>
      <c r="AF1272" s="4">
        <v>1</v>
      </c>
      <c r="AG1272" s="4">
        <v>1</v>
      </c>
      <c r="AH1272" s="4">
        <v>88</v>
      </c>
      <c r="AI1272" s="4">
        <v>88</v>
      </c>
      <c r="AJ1272" s="4">
        <v>16</v>
      </c>
      <c r="AK1272" s="4">
        <v>16</v>
      </c>
      <c r="AL1272" s="4">
        <v>50</v>
      </c>
      <c r="AM1272" s="4">
        <v>50</v>
      </c>
      <c r="AN1272" s="4">
        <v>0</v>
      </c>
      <c r="AO1272" s="4">
        <v>0</v>
      </c>
      <c r="AP1272" s="4">
        <v>18</v>
      </c>
      <c r="AQ1272" s="4">
        <v>18</v>
      </c>
      <c r="AR1272" s="3" t="s">
        <v>65</v>
      </c>
      <c r="AS1272" s="3" t="s">
        <v>65</v>
      </c>
      <c r="AT1272" s="3" t="s">
        <v>65</v>
      </c>
      <c r="AV1272" s="6" t="str">
        <f>HYPERLINK("http://mcgill.on.worldcat.org/oclc/41285014","Catalog Record")</f>
        <v>Catalog Record</v>
      </c>
      <c r="AW1272" s="6" t="str">
        <f>HYPERLINK("http://www.worldcat.org/oclc/41285014","WorldCat Record")</f>
        <v>WorldCat Record</v>
      </c>
      <c r="AX1272" s="3" t="s">
        <v>12518</v>
      </c>
      <c r="AY1272" s="3" t="s">
        <v>12519</v>
      </c>
      <c r="AZ1272" s="3" t="s">
        <v>12520</v>
      </c>
      <c r="BA1272" s="3" t="s">
        <v>12520</v>
      </c>
      <c r="BB1272" s="3" t="s">
        <v>12521</v>
      </c>
      <c r="BC1272" s="3" t="s">
        <v>77</v>
      </c>
      <c r="BD1272" s="3" t="s">
        <v>78</v>
      </c>
      <c r="BE1272" s="3" t="s">
        <v>12522</v>
      </c>
      <c r="BF1272" s="3" t="s">
        <v>12521</v>
      </c>
      <c r="BG1272" s="3" t="s">
        <v>12523</v>
      </c>
    </row>
    <row r="1273" spans="1:59" ht="58" x14ac:dyDescent="0.35">
      <c r="A1273" s="2" t="s">
        <v>59</v>
      </c>
      <c r="B1273" s="2" t="s">
        <v>60</v>
      </c>
      <c r="C1273" s="2" t="s">
        <v>12524</v>
      </c>
      <c r="D1273" s="2" t="s">
        <v>12525</v>
      </c>
      <c r="E1273" s="2" t="s">
        <v>12526</v>
      </c>
      <c r="G1273" s="3" t="s">
        <v>65</v>
      </c>
      <c r="I1273" s="3" t="s">
        <v>65</v>
      </c>
      <c r="J1273" s="3" t="s">
        <v>65</v>
      </c>
      <c r="K1273" s="3" t="s">
        <v>66</v>
      </c>
      <c r="L1273" s="2" t="s">
        <v>7803</v>
      </c>
      <c r="M1273" s="2" t="s">
        <v>12527</v>
      </c>
      <c r="N1273" s="3" t="s">
        <v>863</v>
      </c>
      <c r="P1273" s="3" t="s">
        <v>69</v>
      </c>
      <c r="Q1273" s="2" t="s">
        <v>12528</v>
      </c>
      <c r="R1273" s="3" t="s">
        <v>71</v>
      </c>
      <c r="S1273" s="4">
        <v>2</v>
      </c>
      <c r="T1273" s="4">
        <v>2</v>
      </c>
      <c r="U1273" s="5" t="s">
        <v>12517</v>
      </c>
      <c r="V1273" s="5" t="s">
        <v>12517</v>
      </c>
      <c r="W1273" s="5" t="s">
        <v>72</v>
      </c>
      <c r="X1273" s="5" t="s">
        <v>72</v>
      </c>
      <c r="Y1273" s="4">
        <v>101</v>
      </c>
      <c r="Z1273" s="4">
        <v>10</v>
      </c>
      <c r="AA1273" s="4">
        <v>10</v>
      </c>
      <c r="AB1273" s="4">
        <v>1</v>
      </c>
      <c r="AC1273" s="4">
        <v>1</v>
      </c>
      <c r="AD1273" s="4">
        <v>46</v>
      </c>
      <c r="AE1273" s="4">
        <v>46</v>
      </c>
      <c r="AF1273" s="4">
        <v>0</v>
      </c>
      <c r="AG1273" s="4">
        <v>0</v>
      </c>
      <c r="AH1273" s="4">
        <v>42</v>
      </c>
      <c r="AI1273" s="4">
        <v>42</v>
      </c>
      <c r="AJ1273" s="4">
        <v>7</v>
      </c>
      <c r="AK1273" s="4">
        <v>7</v>
      </c>
      <c r="AL1273" s="4">
        <v>25</v>
      </c>
      <c r="AM1273" s="4">
        <v>25</v>
      </c>
      <c r="AN1273" s="4">
        <v>0</v>
      </c>
      <c r="AO1273" s="4">
        <v>0</v>
      </c>
      <c r="AP1273" s="4">
        <v>7</v>
      </c>
      <c r="AQ1273" s="4">
        <v>7</v>
      </c>
      <c r="AR1273" s="3" t="s">
        <v>65</v>
      </c>
      <c r="AS1273" s="3" t="s">
        <v>65</v>
      </c>
      <c r="AT1273" s="3" t="s">
        <v>65</v>
      </c>
      <c r="AV1273" s="6" t="str">
        <f>HYPERLINK("http://mcgill.on.worldcat.org/oclc/25873230","Catalog Record")</f>
        <v>Catalog Record</v>
      </c>
      <c r="AW1273" s="6" t="str">
        <f>HYPERLINK("http://www.worldcat.org/oclc/25873230","WorldCat Record")</f>
        <v>WorldCat Record</v>
      </c>
      <c r="AX1273" s="3" t="s">
        <v>12529</v>
      </c>
      <c r="AY1273" s="3" t="s">
        <v>12530</v>
      </c>
      <c r="AZ1273" s="3" t="s">
        <v>12531</v>
      </c>
      <c r="BA1273" s="3" t="s">
        <v>12531</v>
      </c>
      <c r="BB1273" s="3" t="s">
        <v>12532</v>
      </c>
      <c r="BC1273" s="3" t="s">
        <v>77</v>
      </c>
      <c r="BD1273" s="3" t="s">
        <v>78</v>
      </c>
      <c r="BE1273" s="3" t="s">
        <v>12533</v>
      </c>
      <c r="BF1273" s="3" t="s">
        <v>12532</v>
      </c>
      <c r="BG1273" s="3" t="s">
        <v>12534</v>
      </c>
    </row>
    <row r="1274" spans="1:59" ht="58" x14ac:dyDescent="0.35">
      <c r="A1274" s="2" t="s">
        <v>59</v>
      </c>
      <c r="B1274" s="2" t="s">
        <v>60</v>
      </c>
      <c r="C1274" s="2" t="s">
        <v>12535</v>
      </c>
      <c r="D1274" s="2" t="s">
        <v>12536</v>
      </c>
      <c r="E1274" s="2" t="s">
        <v>12537</v>
      </c>
      <c r="G1274" s="3" t="s">
        <v>65</v>
      </c>
      <c r="I1274" s="3" t="s">
        <v>65</v>
      </c>
      <c r="J1274" s="3" t="s">
        <v>65</v>
      </c>
      <c r="K1274" s="3" t="s">
        <v>66</v>
      </c>
      <c r="M1274" s="2" t="s">
        <v>12538</v>
      </c>
      <c r="N1274" s="3" t="s">
        <v>188</v>
      </c>
      <c r="P1274" s="3" t="s">
        <v>69</v>
      </c>
      <c r="Q1274" s="2" t="s">
        <v>10375</v>
      </c>
      <c r="R1274" s="3" t="s">
        <v>71</v>
      </c>
      <c r="S1274" s="4">
        <v>0</v>
      </c>
      <c r="T1274" s="4">
        <v>0</v>
      </c>
      <c r="W1274" s="5" t="s">
        <v>72</v>
      </c>
      <c r="X1274" s="5" t="s">
        <v>72</v>
      </c>
      <c r="Y1274" s="4">
        <v>78</v>
      </c>
      <c r="Z1274" s="4">
        <v>6</v>
      </c>
      <c r="AA1274" s="4">
        <v>6</v>
      </c>
      <c r="AB1274" s="4">
        <v>1</v>
      </c>
      <c r="AC1274" s="4">
        <v>1</v>
      </c>
      <c r="AD1274" s="4">
        <v>38</v>
      </c>
      <c r="AE1274" s="4">
        <v>38</v>
      </c>
      <c r="AF1274" s="4">
        <v>0</v>
      </c>
      <c r="AG1274" s="4">
        <v>0</v>
      </c>
      <c r="AH1274" s="4">
        <v>37</v>
      </c>
      <c r="AI1274" s="4">
        <v>37</v>
      </c>
      <c r="AJ1274" s="4">
        <v>4</v>
      </c>
      <c r="AK1274" s="4">
        <v>4</v>
      </c>
      <c r="AL1274" s="4">
        <v>23</v>
      </c>
      <c r="AM1274" s="4">
        <v>23</v>
      </c>
      <c r="AN1274" s="4">
        <v>0</v>
      </c>
      <c r="AO1274" s="4">
        <v>0</v>
      </c>
      <c r="AP1274" s="4">
        <v>4</v>
      </c>
      <c r="AQ1274" s="4">
        <v>4</v>
      </c>
      <c r="AR1274" s="3" t="s">
        <v>65</v>
      </c>
      <c r="AS1274" s="3" t="s">
        <v>65</v>
      </c>
      <c r="AT1274" s="3" t="s">
        <v>65</v>
      </c>
      <c r="AV1274" s="6" t="str">
        <f>HYPERLINK("http://mcgill.on.worldcat.org/oclc/1000180507","Catalog Record")</f>
        <v>Catalog Record</v>
      </c>
      <c r="AW1274" s="6" t="str">
        <f>HYPERLINK("http://www.worldcat.org/oclc/1000180507","WorldCat Record")</f>
        <v>WorldCat Record</v>
      </c>
      <c r="AX1274" s="3" t="s">
        <v>12539</v>
      </c>
      <c r="AY1274" s="3" t="s">
        <v>12540</v>
      </c>
      <c r="AZ1274" s="3" t="s">
        <v>12541</v>
      </c>
      <c r="BA1274" s="3" t="s">
        <v>12541</v>
      </c>
      <c r="BB1274" s="3" t="s">
        <v>12542</v>
      </c>
      <c r="BC1274" s="3" t="s">
        <v>77</v>
      </c>
      <c r="BD1274" s="3" t="s">
        <v>78</v>
      </c>
      <c r="BE1274" s="3" t="s">
        <v>12543</v>
      </c>
      <c r="BF1274" s="3" t="s">
        <v>12542</v>
      </c>
      <c r="BG1274" s="3" t="s">
        <v>12544</v>
      </c>
    </row>
    <row r="1275" spans="1:59" ht="58" x14ac:dyDescent="0.35">
      <c r="A1275" s="2" t="s">
        <v>59</v>
      </c>
      <c r="B1275" s="2" t="s">
        <v>60</v>
      </c>
      <c r="C1275" s="2" t="s">
        <v>12545</v>
      </c>
      <c r="D1275" s="2" t="s">
        <v>12546</v>
      </c>
      <c r="E1275" s="2" t="s">
        <v>12547</v>
      </c>
      <c r="G1275" s="3" t="s">
        <v>65</v>
      </c>
      <c r="I1275" s="3" t="s">
        <v>65</v>
      </c>
      <c r="J1275" s="3" t="s">
        <v>65</v>
      </c>
      <c r="K1275" s="3" t="s">
        <v>66</v>
      </c>
      <c r="M1275" s="2" t="s">
        <v>12548</v>
      </c>
      <c r="N1275" s="3" t="s">
        <v>139</v>
      </c>
      <c r="P1275" s="3" t="s">
        <v>69</v>
      </c>
      <c r="Q1275" s="2" t="s">
        <v>12549</v>
      </c>
      <c r="R1275" s="3" t="s">
        <v>71</v>
      </c>
      <c r="S1275" s="4">
        <v>0</v>
      </c>
      <c r="T1275" s="4">
        <v>0</v>
      </c>
      <c r="W1275" s="5" t="s">
        <v>72</v>
      </c>
      <c r="X1275" s="5" t="s">
        <v>72</v>
      </c>
      <c r="Y1275" s="4">
        <v>119</v>
      </c>
      <c r="Z1275" s="4">
        <v>15</v>
      </c>
      <c r="AA1275" s="4">
        <v>19</v>
      </c>
      <c r="AB1275" s="4">
        <v>1</v>
      </c>
      <c r="AC1275" s="4">
        <v>4</v>
      </c>
      <c r="AD1275" s="4">
        <v>58</v>
      </c>
      <c r="AE1275" s="4">
        <v>61</v>
      </c>
      <c r="AF1275" s="4">
        <v>0</v>
      </c>
      <c r="AG1275" s="4">
        <v>0</v>
      </c>
      <c r="AH1275" s="4">
        <v>53</v>
      </c>
      <c r="AI1275" s="4">
        <v>56</v>
      </c>
      <c r="AJ1275" s="4">
        <v>11</v>
      </c>
      <c r="AK1275" s="4">
        <v>12</v>
      </c>
      <c r="AL1275" s="4">
        <v>35</v>
      </c>
      <c r="AM1275" s="4">
        <v>36</v>
      </c>
      <c r="AN1275" s="4">
        <v>0</v>
      </c>
      <c r="AO1275" s="4">
        <v>0</v>
      </c>
      <c r="AP1275" s="4">
        <v>12</v>
      </c>
      <c r="AQ1275" s="4">
        <v>13</v>
      </c>
      <c r="AR1275" s="3" t="s">
        <v>65</v>
      </c>
      <c r="AS1275" s="3" t="s">
        <v>65</v>
      </c>
      <c r="AT1275" s="3" t="s">
        <v>65</v>
      </c>
      <c r="AV1275" s="6" t="str">
        <f>HYPERLINK("http://mcgill.on.worldcat.org/oclc/772974986","Catalog Record")</f>
        <v>Catalog Record</v>
      </c>
      <c r="AW1275" s="6" t="str">
        <f>HYPERLINK("http://www.worldcat.org/oclc/772974986","WorldCat Record")</f>
        <v>WorldCat Record</v>
      </c>
      <c r="AX1275" s="3" t="s">
        <v>12550</v>
      </c>
      <c r="AY1275" s="3" t="s">
        <v>12551</v>
      </c>
      <c r="AZ1275" s="3" t="s">
        <v>12552</v>
      </c>
      <c r="BA1275" s="3" t="s">
        <v>12552</v>
      </c>
      <c r="BB1275" s="3" t="s">
        <v>12553</v>
      </c>
      <c r="BC1275" s="3" t="s">
        <v>77</v>
      </c>
      <c r="BD1275" s="3" t="s">
        <v>78</v>
      </c>
      <c r="BE1275" s="3" t="s">
        <v>12554</v>
      </c>
      <c r="BF1275" s="3" t="s">
        <v>12553</v>
      </c>
      <c r="BG1275" s="3" t="s">
        <v>12555</v>
      </c>
    </row>
    <row r="1276" spans="1:59" ht="58" x14ac:dyDescent="0.35">
      <c r="A1276" s="2" t="s">
        <v>59</v>
      </c>
      <c r="B1276" s="2" t="s">
        <v>60</v>
      </c>
      <c r="C1276" s="2" t="s">
        <v>12556</v>
      </c>
      <c r="D1276" s="2" t="s">
        <v>12557</v>
      </c>
      <c r="E1276" s="2" t="s">
        <v>12558</v>
      </c>
      <c r="G1276" s="3" t="s">
        <v>65</v>
      </c>
      <c r="I1276" s="3" t="s">
        <v>65</v>
      </c>
      <c r="J1276" s="3" t="s">
        <v>65</v>
      </c>
      <c r="K1276" s="3" t="s">
        <v>66</v>
      </c>
      <c r="L1276" s="2" t="s">
        <v>12559</v>
      </c>
      <c r="M1276" s="2" t="s">
        <v>12560</v>
      </c>
      <c r="N1276" s="3" t="s">
        <v>139</v>
      </c>
      <c r="P1276" s="3" t="s">
        <v>140</v>
      </c>
      <c r="R1276" s="3" t="s">
        <v>71</v>
      </c>
      <c r="S1276" s="4">
        <v>1</v>
      </c>
      <c r="T1276" s="4">
        <v>1</v>
      </c>
      <c r="U1276" s="5" t="s">
        <v>10660</v>
      </c>
      <c r="V1276" s="5" t="s">
        <v>10660</v>
      </c>
      <c r="W1276" s="5" t="s">
        <v>72</v>
      </c>
      <c r="X1276" s="5" t="s">
        <v>72</v>
      </c>
      <c r="Y1276" s="4">
        <v>29</v>
      </c>
      <c r="Z1276" s="4">
        <v>5</v>
      </c>
      <c r="AA1276" s="4">
        <v>5</v>
      </c>
      <c r="AB1276" s="4">
        <v>1</v>
      </c>
      <c r="AC1276" s="4">
        <v>1</v>
      </c>
      <c r="AD1276" s="4">
        <v>19</v>
      </c>
      <c r="AE1276" s="4">
        <v>19</v>
      </c>
      <c r="AF1276" s="4">
        <v>0</v>
      </c>
      <c r="AG1276" s="4">
        <v>0</v>
      </c>
      <c r="AH1276" s="4">
        <v>18</v>
      </c>
      <c r="AI1276" s="4">
        <v>18</v>
      </c>
      <c r="AJ1276" s="4">
        <v>2</v>
      </c>
      <c r="AK1276" s="4">
        <v>2</v>
      </c>
      <c r="AL1276" s="4">
        <v>15</v>
      </c>
      <c r="AM1276" s="4">
        <v>15</v>
      </c>
      <c r="AN1276" s="4">
        <v>0</v>
      </c>
      <c r="AO1276" s="4">
        <v>0</v>
      </c>
      <c r="AP1276" s="4">
        <v>2</v>
      </c>
      <c r="AQ1276" s="4">
        <v>2</v>
      </c>
      <c r="AR1276" s="3" t="s">
        <v>65</v>
      </c>
      <c r="AS1276" s="3" t="s">
        <v>65</v>
      </c>
      <c r="AT1276" s="3" t="s">
        <v>65</v>
      </c>
      <c r="AV1276" s="6" t="str">
        <f>HYPERLINK("http://mcgill.on.worldcat.org/oclc/828410002","Catalog Record")</f>
        <v>Catalog Record</v>
      </c>
      <c r="AW1276" s="6" t="str">
        <f>HYPERLINK("http://www.worldcat.org/oclc/828410002","WorldCat Record")</f>
        <v>WorldCat Record</v>
      </c>
      <c r="AX1276" s="3" t="s">
        <v>12561</v>
      </c>
      <c r="AY1276" s="3" t="s">
        <v>12562</v>
      </c>
      <c r="AZ1276" s="3" t="s">
        <v>12563</v>
      </c>
      <c r="BA1276" s="3" t="s">
        <v>12563</v>
      </c>
      <c r="BB1276" s="3" t="s">
        <v>12564</v>
      </c>
      <c r="BC1276" s="3" t="s">
        <v>77</v>
      </c>
      <c r="BD1276" s="3" t="s">
        <v>78</v>
      </c>
      <c r="BE1276" s="3" t="s">
        <v>12565</v>
      </c>
      <c r="BF1276" s="3" t="s">
        <v>12564</v>
      </c>
      <c r="BG1276" s="3" t="s">
        <v>12566</v>
      </c>
    </row>
    <row r="1277" spans="1:59" ht="58" x14ac:dyDescent="0.35">
      <c r="A1277" s="2" t="s">
        <v>59</v>
      </c>
      <c r="B1277" s="2" t="s">
        <v>60</v>
      </c>
      <c r="C1277" s="2" t="s">
        <v>12567</v>
      </c>
      <c r="D1277" s="2" t="s">
        <v>12568</v>
      </c>
      <c r="E1277" s="2" t="s">
        <v>12569</v>
      </c>
      <c r="G1277" s="3" t="s">
        <v>65</v>
      </c>
      <c r="I1277" s="3" t="s">
        <v>65</v>
      </c>
      <c r="J1277" s="3" t="s">
        <v>65</v>
      </c>
      <c r="K1277" s="3" t="s">
        <v>66</v>
      </c>
      <c r="L1277" s="2" t="s">
        <v>12570</v>
      </c>
      <c r="M1277" s="2" t="s">
        <v>12571</v>
      </c>
      <c r="N1277" s="3" t="s">
        <v>1196</v>
      </c>
      <c r="P1277" s="3" t="s">
        <v>69</v>
      </c>
      <c r="Q1277" s="2" t="s">
        <v>12362</v>
      </c>
      <c r="R1277" s="3" t="s">
        <v>71</v>
      </c>
      <c r="S1277" s="4">
        <v>17</v>
      </c>
      <c r="T1277" s="4">
        <v>17</v>
      </c>
      <c r="U1277" s="5" t="s">
        <v>12572</v>
      </c>
      <c r="V1277" s="5" t="s">
        <v>12572</v>
      </c>
      <c r="W1277" s="5" t="s">
        <v>72</v>
      </c>
      <c r="X1277" s="5" t="s">
        <v>72</v>
      </c>
      <c r="Y1277" s="4">
        <v>421</v>
      </c>
      <c r="Z1277" s="4">
        <v>23</v>
      </c>
      <c r="AA1277" s="4">
        <v>31</v>
      </c>
      <c r="AB1277" s="4">
        <v>1</v>
      </c>
      <c r="AC1277" s="4">
        <v>6</v>
      </c>
      <c r="AD1277" s="4">
        <v>103</v>
      </c>
      <c r="AE1277" s="4">
        <v>111</v>
      </c>
      <c r="AF1277" s="4">
        <v>0</v>
      </c>
      <c r="AG1277" s="4">
        <v>2</v>
      </c>
      <c r="AH1277" s="4">
        <v>94</v>
      </c>
      <c r="AI1277" s="4">
        <v>100</v>
      </c>
      <c r="AJ1277" s="4">
        <v>13</v>
      </c>
      <c r="AK1277" s="4">
        <v>16</v>
      </c>
      <c r="AL1277" s="4">
        <v>55</v>
      </c>
      <c r="AM1277" s="4">
        <v>57</v>
      </c>
      <c r="AN1277" s="4">
        <v>0</v>
      </c>
      <c r="AO1277" s="4">
        <v>0</v>
      </c>
      <c r="AP1277" s="4">
        <v>14</v>
      </c>
      <c r="AQ1277" s="4">
        <v>18</v>
      </c>
      <c r="AR1277" s="3" t="s">
        <v>65</v>
      </c>
      <c r="AS1277" s="3" t="s">
        <v>65</v>
      </c>
      <c r="AT1277" s="3" t="s">
        <v>209</v>
      </c>
      <c r="AU1277" s="6" t="str">
        <f>HYPERLINK("http://catalog.hathitrust.org/Record/005062004","HathiTrust Record")</f>
        <v>HathiTrust Record</v>
      </c>
      <c r="AV1277" s="6" t="str">
        <f>HYPERLINK("http://mcgill.on.worldcat.org/oclc/60603210","Catalog Record")</f>
        <v>Catalog Record</v>
      </c>
      <c r="AW1277" s="6" t="str">
        <f>HYPERLINK("http://www.worldcat.org/oclc/60603210","WorldCat Record")</f>
        <v>WorldCat Record</v>
      </c>
      <c r="AX1277" s="3" t="s">
        <v>12573</v>
      </c>
      <c r="AY1277" s="3" t="s">
        <v>12574</v>
      </c>
      <c r="AZ1277" s="3" t="s">
        <v>12575</v>
      </c>
      <c r="BA1277" s="3" t="s">
        <v>12575</v>
      </c>
      <c r="BB1277" s="3" t="s">
        <v>12576</v>
      </c>
      <c r="BC1277" s="3" t="s">
        <v>77</v>
      </c>
      <c r="BD1277" s="3" t="s">
        <v>78</v>
      </c>
      <c r="BE1277" s="3" t="s">
        <v>12577</v>
      </c>
      <c r="BF1277" s="3" t="s">
        <v>12576</v>
      </c>
      <c r="BG1277" s="3" t="s">
        <v>12578</v>
      </c>
    </row>
    <row r="1278" spans="1:59" ht="58" x14ac:dyDescent="0.35">
      <c r="A1278" s="2" t="s">
        <v>59</v>
      </c>
      <c r="B1278" s="2" t="s">
        <v>60</v>
      </c>
      <c r="C1278" s="2" t="s">
        <v>12579</v>
      </c>
      <c r="D1278" s="2" t="s">
        <v>12580</v>
      </c>
      <c r="E1278" s="2" t="s">
        <v>12581</v>
      </c>
      <c r="G1278" s="3" t="s">
        <v>65</v>
      </c>
      <c r="I1278" s="3" t="s">
        <v>65</v>
      </c>
      <c r="J1278" s="3" t="s">
        <v>65</v>
      </c>
      <c r="K1278" s="3" t="s">
        <v>66</v>
      </c>
      <c r="L1278" s="2" t="s">
        <v>12582</v>
      </c>
      <c r="M1278" s="2" t="s">
        <v>12583</v>
      </c>
      <c r="N1278" s="3" t="s">
        <v>2377</v>
      </c>
      <c r="P1278" s="3" t="s">
        <v>69</v>
      </c>
      <c r="Q1278" s="2" t="s">
        <v>12584</v>
      </c>
      <c r="R1278" s="3" t="s">
        <v>71</v>
      </c>
      <c r="S1278" s="4">
        <v>26</v>
      </c>
      <c r="T1278" s="4">
        <v>26</v>
      </c>
      <c r="U1278" s="5" t="s">
        <v>12585</v>
      </c>
      <c r="V1278" s="5" t="s">
        <v>12585</v>
      </c>
      <c r="W1278" s="5" t="s">
        <v>72</v>
      </c>
      <c r="X1278" s="5" t="s">
        <v>72</v>
      </c>
      <c r="Y1278" s="4">
        <v>548</v>
      </c>
      <c r="Z1278" s="4">
        <v>33</v>
      </c>
      <c r="AA1278" s="4">
        <v>34</v>
      </c>
      <c r="AB1278" s="4">
        <v>2</v>
      </c>
      <c r="AC1278" s="4">
        <v>3</v>
      </c>
      <c r="AD1278" s="4">
        <v>113</v>
      </c>
      <c r="AE1278" s="4">
        <v>114</v>
      </c>
      <c r="AF1278" s="4">
        <v>0</v>
      </c>
      <c r="AG1278" s="4">
        <v>1</v>
      </c>
      <c r="AH1278" s="4">
        <v>101</v>
      </c>
      <c r="AI1278" s="4">
        <v>102</v>
      </c>
      <c r="AJ1278" s="4">
        <v>16</v>
      </c>
      <c r="AK1278" s="4">
        <v>17</v>
      </c>
      <c r="AL1278" s="4">
        <v>57</v>
      </c>
      <c r="AM1278" s="4">
        <v>57</v>
      </c>
      <c r="AN1278" s="4">
        <v>0</v>
      </c>
      <c r="AO1278" s="4">
        <v>0</v>
      </c>
      <c r="AP1278" s="4">
        <v>21</v>
      </c>
      <c r="AQ1278" s="4">
        <v>22</v>
      </c>
      <c r="AR1278" s="3" t="s">
        <v>65</v>
      </c>
      <c r="AS1278" s="3" t="s">
        <v>65</v>
      </c>
      <c r="AT1278" s="3" t="s">
        <v>65</v>
      </c>
      <c r="AV1278" s="6" t="str">
        <f>HYPERLINK("http://mcgill.on.worldcat.org/oclc/20593542","Catalog Record")</f>
        <v>Catalog Record</v>
      </c>
      <c r="AW1278" s="6" t="str">
        <f>HYPERLINK("http://www.worldcat.org/oclc/20593542","WorldCat Record")</f>
        <v>WorldCat Record</v>
      </c>
      <c r="AX1278" s="3" t="s">
        <v>12586</v>
      </c>
      <c r="AY1278" s="3" t="s">
        <v>12587</v>
      </c>
      <c r="AZ1278" s="3" t="s">
        <v>12588</v>
      </c>
      <c r="BA1278" s="3" t="s">
        <v>12588</v>
      </c>
      <c r="BB1278" s="3" t="s">
        <v>12589</v>
      </c>
      <c r="BC1278" s="3" t="s">
        <v>77</v>
      </c>
      <c r="BD1278" s="3" t="s">
        <v>78</v>
      </c>
      <c r="BE1278" s="3" t="s">
        <v>12590</v>
      </c>
      <c r="BF1278" s="3" t="s">
        <v>12589</v>
      </c>
      <c r="BG1278" s="3" t="s">
        <v>12591</v>
      </c>
    </row>
    <row r="1279" spans="1:59" ht="58" x14ac:dyDescent="0.35">
      <c r="A1279" s="2" t="s">
        <v>59</v>
      </c>
      <c r="B1279" s="2" t="s">
        <v>60</v>
      </c>
      <c r="C1279" s="2" t="s">
        <v>12592</v>
      </c>
      <c r="D1279" s="2" t="s">
        <v>12593</v>
      </c>
      <c r="E1279" s="2" t="s">
        <v>12594</v>
      </c>
      <c r="G1279" s="3" t="s">
        <v>65</v>
      </c>
      <c r="I1279" s="3" t="s">
        <v>65</v>
      </c>
      <c r="J1279" s="3" t="s">
        <v>65</v>
      </c>
      <c r="K1279" s="3" t="s">
        <v>66</v>
      </c>
      <c r="L1279" s="2" t="s">
        <v>12595</v>
      </c>
      <c r="M1279" s="2" t="s">
        <v>12596</v>
      </c>
      <c r="N1279" s="3" t="s">
        <v>126</v>
      </c>
      <c r="P1279" s="3" t="s">
        <v>140</v>
      </c>
      <c r="Q1279" s="2" t="s">
        <v>12597</v>
      </c>
      <c r="R1279" s="3" t="s">
        <v>71</v>
      </c>
      <c r="S1279" s="4">
        <v>0</v>
      </c>
      <c r="T1279" s="4">
        <v>0</v>
      </c>
      <c r="W1279" s="5" t="s">
        <v>72</v>
      </c>
      <c r="X1279" s="5" t="s">
        <v>72</v>
      </c>
      <c r="Y1279" s="4">
        <v>22</v>
      </c>
      <c r="Z1279" s="4">
        <v>1</v>
      </c>
      <c r="AA1279" s="4">
        <v>5</v>
      </c>
      <c r="AB1279" s="4">
        <v>1</v>
      </c>
      <c r="AC1279" s="4">
        <v>1</v>
      </c>
      <c r="AD1279" s="4">
        <v>12</v>
      </c>
      <c r="AE1279" s="4">
        <v>29</v>
      </c>
      <c r="AF1279" s="4">
        <v>0</v>
      </c>
      <c r="AG1279" s="4">
        <v>0</v>
      </c>
      <c r="AH1279" s="4">
        <v>12</v>
      </c>
      <c r="AI1279" s="4">
        <v>28</v>
      </c>
      <c r="AJ1279" s="4">
        <v>0</v>
      </c>
      <c r="AK1279" s="4">
        <v>2</v>
      </c>
      <c r="AL1279" s="4">
        <v>6</v>
      </c>
      <c r="AM1279" s="4">
        <v>20</v>
      </c>
      <c r="AN1279" s="4">
        <v>0</v>
      </c>
      <c r="AO1279" s="4">
        <v>0</v>
      </c>
      <c r="AP1279" s="4">
        <v>0</v>
      </c>
      <c r="AQ1279" s="4">
        <v>2</v>
      </c>
      <c r="AR1279" s="3" t="s">
        <v>65</v>
      </c>
      <c r="AS1279" s="3" t="s">
        <v>65</v>
      </c>
      <c r="AT1279" s="3" t="s">
        <v>65</v>
      </c>
      <c r="AV1279" s="6" t="str">
        <f>HYPERLINK("http://mcgill.on.worldcat.org/oclc/777474761","Catalog Record")</f>
        <v>Catalog Record</v>
      </c>
      <c r="AW1279" s="6" t="str">
        <f>HYPERLINK("http://www.worldcat.org/oclc/777474761","WorldCat Record")</f>
        <v>WorldCat Record</v>
      </c>
      <c r="AX1279" s="3" t="s">
        <v>12598</v>
      </c>
      <c r="AY1279" s="3" t="s">
        <v>12599</v>
      </c>
      <c r="AZ1279" s="3" t="s">
        <v>12600</v>
      </c>
      <c r="BA1279" s="3" t="s">
        <v>12600</v>
      </c>
      <c r="BB1279" s="3" t="s">
        <v>12601</v>
      </c>
      <c r="BC1279" s="3" t="s">
        <v>77</v>
      </c>
      <c r="BD1279" s="3" t="s">
        <v>78</v>
      </c>
      <c r="BE1279" s="3" t="s">
        <v>12602</v>
      </c>
      <c r="BF1279" s="3" t="s">
        <v>12601</v>
      </c>
      <c r="BG1279" s="3" t="s">
        <v>12603</v>
      </c>
    </row>
    <row r="1280" spans="1:59" ht="72.5" x14ac:dyDescent="0.35">
      <c r="A1280" s="2" t="s">
        <v>59</v>
      </c>
      <c r="B1280" s="2" t="s">
        <v>60</v>
      </c>
      <c r="C1280" s="2" t="s">
        <v>12604</v>
      </c>
      <c r="D1280" s="2" t="s">
        <v>12605</v>
      </c>
      <c r="E1280" s="2" t="s">
        <v>12606</v>
      </c>
      <c r="G1280" s="3" t="s">
        <v>65</v>
      </c>
      <c r="I1280" s="3" t="s">
        <v>65</v>
      </c>
      <c r="J1280" s="3" t="s">
        <v>65</v>
      </c>
      <c r="K1280" s="3" t="s">
        <v>66</v>
      </c>
      <c r="L1280" s="2" t="s">
        <v>12607</v>
      </c>
      <c r="M1280" s="2" t="s">
        <v>12361</v>
      </c>
      <c r="N1280" s="3" t="s">
        <v>113</v>
      </c>
      <c r="P1280" s="3" t="s">
        <v>69</v>
      </c>
      <c r="R1280" s="3" t="s">
        <v>71</v>
      </c>
      <c r="S1280" s="4">
        <v>1</v>
      </c>
      <c r="T1280" s="4">
        <v>1</v>
      </c>
      <c r="U1280" s="5" t="s">
        <v>9453</v>
      </c>
      <c r="V1280" s="5" t="s">
        <v>9453</v>
      </c>
      <c r="W1280" s="5" t="s">
        <v>72</v>
      </c>
      <c r="X1280" s="5" t="s">
        <v>72</v>
      </c>
      <c r="Y1280" s="4">
        <v>385</v>
      </c>
      <c r="Z1280" s="4">
        <v>24</v>
      </c>
      <c r="AA1280" s="4">
        <v>48</v>
      </c>
      <c r="AB1280" s="4">
        <v>1</v>
      </c>
      <c r="AC1280" s="4">
        <v>3</v>
      </c>
      <c r="AD1280" s="4">
        <v>94</v>
      </c>
      <c r="AE1280" s="4">
        <v>109</v>
      </c>
      <c r="AF1280" s="4">
        <v>0</v>
      </c>
      <c r="AG1280" s="4">
        <v>1</v>
      </c>
      <c r="AH1280" s="4">
        <v>83</v>
      </c>
      <c r="AI1280" s="4">
        <v>92</v>
      </c>
      <c r="AJ1280" s="4">
        <v>11</v>
      </c>
      <c r="AK1280" s="4">
        <v>13</v>
      </c>
      <c r="AL1280" s="4">
        <v>48</v>
      </c>
      <c r="AM1280" s="4">
        <v>51</v>
      </c>
      <c r="AN1280" s="4">
        <v>0</v>
      </c>
      <c r="AO1280" s="4">
        <v>0</v>
      </c>
      <c r="AP1280" s="4">
        <v>17</v>
      </c>
      <c r="AQ1280" s="4">
        <v>24</v>
      </c>
      <c r="AR1280" s="3" t="s">
        <v>65</v>
      </c>
      <c r="AS1280" s="3" t="s">
        <v>65</v>
      </c>
      <c r="AT1280" s="3" t="s">
        <v>65</v>
      </c>
      <c r="AV1280" s="6" t="str">
        <f>HYPERLINK("http://mcgill.on.worldcat.org/oclc/455801804","Catalog Record")</f>
        <v>Catalog Record</v>
      </c>
      <c r="AW1280" s="6" t="str">
        <f>HYPERLINK("http://www.worldcat.org/oclc/455801804","WorldCat Record")</f>
        <v>WorldCat Record</v>
      </c>
      <c r="AX1280" s="3" t="s">
        <v>12608</v>
      </c>
      <c r="AY1280" s="3" t="s">
        <v>12609</v>
      </c>
      <c r="AZ1280" s="3" t="s">
        <v>12610</v>
      </c>
      <c r="BA1280" s="3" t="s">
        <v>12610</v>
      </c>
      <c r="BB1280" s="3" t="s">
        <v>12611</v>
      </c>
      <c r="BC1280" s="3" t="s">
        <v>77</v>
      </c>
      <c r="BD1280" s="3" t="s">
        <v>78</v>
      </c>
      <c r="BE1280" s="3" t="s">
        <v>12612</v>
      </c>
      <c r="BF1280" s="3" t="s">
        <v>12611</v>
      </c>
      <c r="BG1280" s="3" t="s">
        <v>12613</v>
      </c>
    </row>
    <row r="1281" spans="1:59" ht="58" x14ac:dyDescent="0.35">
      <c r="A1281" s="2" t="s">
        <v>59</v>
      </c>
      <c r="B1281" s="2" t="s">
        <v>60</v>
      </c>
      <c r="C1281" s="2" t="s">
        <v>12614</v>
      </c>
      <c r="D1281" s="2" t="s">
        <v>12615</v>
      </c>
      <c r="E1281" s="2" t="s">
        <v>12616</v>
      </c>
      <c r="G1281" s="3" t="s">
        <v>65</v>
      </c>
      <c r="I1281" s="3" t="s">
        <v>65</v>
      </c>
      <c r="J1281" s="3" t="s">
        <v>65</v>
      </c>
      <c r="K1281" s="3" t="s">
        <v>66</v>
      </c>
      <c r="L1281" s="2" t="s">
        <v>12617</v>
      </c>
      <c r="M1281" s="2" t="s">
        <v>12618</v>
      </c>
      <c r="N1281" s="3" t="s">
        <v>188</v>
      </c>
      <c r="P1281" s="3" t="s">
        <v>69</v>
      </c>
      <c r="R1281" s="3" t="s">
        <v>71</v>
      </c>
      <c r="S1281" s="4">
        <v>0</v>
      </c>
      <c r="T1281" s="4">
        <v>0</v>
      </c>
      <c r="W1281" s="5" t="s">
        <v>72</v>
      </c>
      <c r="X1281" s="5" t="s">
        <v>72</v>
      </c>
      <c r="Y1281" s="4">
        <v>38</v>
      </c>
      <c r="Z1281" s="4">
        <v>4</v>
      </c>
      <c r="AA1281" s="4">
        <v>4</v>
      </c>
      <c r="AB1281" s="4">
        <v>1</v>
      </c>
      <c r="AC1281" s="4">
        <v>1</v>
      </c>
      <c r="AD1281" s="4">
        <v>28</v>
      </c>
      <c r="AE1281" s="4">
        <v>28</v>
      </c>
      <c r="AF1281" s="4">
        <v>0</v>
      </c>
      <c r="AG1281" s="4">
        <v>0</v>
      </c>
      <c r="AH1281" s="4">
        <v>26</v>
      </c>
      <c r="AI1281" s="4">
        <v>26</v>
      </c>
      <c r="AJ1281" s="4">
        <v>3</v>
      </c>
      <c r="AK1281" s="4">
        <v>3</v>
      </c>
      <c r="AL1281" s="4">
        <v>22</v>
      </c>
      <c r="AM1281" s="4">
        <v>22</v>
      </c>
      <c r="AN1281" s="4">
        <v>0</v>
      </c>
      <c r="AO1281" s="4">
        <v>0</v>
      </c>
      <c r="AP1281" s="4">
        <v>3</v>
      </c>
      <c r="AQ1281" s="4">
        <v>3</v>
      </c>
      <c r="AR1281" s="3" t="s">
        <v>65</v>
      </c>
      <c r="AS1281" s="3" t="s">
        <v>65</v>
      </c>
      <c r="AT1281" s="3" t="s">
        <v>65</v>
      </c>
      <c r="AV1281" s="6" t="str">
        <f>HYPERLINK("http://mcgill.on.worldcat.org/oclc/973907591","Catalog Record")</f>
        <v>Catalog Record</v>
      </c>
      <c r="AW1281" s="6" t="str">
        <f>HYPERLINK("http://www.worldcat.org/oclc/973907591","WorldCat Record")</f>
        <v>WorldCat Record</v>
      </c>
      <c r="AX1281" s="3" t="s">
        <v>12619</v>
      </c>
      <c r="AY1281" s="3" t="s">
        <v>12620</v>
      </c>
      <c r="AZ1281" s="3" t="s">
        <v>12621</v>
      </c>
      <c r="BA1281" s="3" t="s">
        <v>12621</v>
      </c>
      <c r="BB1281" s="3" t="s">
        <v>12622</v>
      </c>
      <c r="BC1281" s="3" t="s">
        <v>77</v>
      </c>
      <c r="BD1281" s="3" t="s">
        <v>78</v>
      </c>
      <c r="BE1281" s="3" t="s">
        <v>12623</v>
      </c>
      <c r="BF1281" s="3" t="s">
        <v>12622</v>
      </c>
      <c r="BG1281" s="3" t="s">
        <v>12624</v>
      </c>
    </row>
    <row r="1282" spans="1:59" ht="58" x14ac:dyDescent="0.35">
      <c r="A1282" s="2" t="s">
        <v>59</v>
      </c>
      <c r="B1282" s="2" t="s">
        <v>60</v>
      </c>
      <c r="C1282" s="2" t="s">
        <v>12625</v>
      </c>
      <c r="D1282" s="2" t="s">
        <v>12626</v>
      </c>
      <c r="E1282" s="2" t="s">
        <v>12627</v>
      </c>
      <c r="G1282" s="3" t="s">
        <v>65</v>
      </c>
      <c r="I1282" s="3" t="s">
        <v>209</v>
      </c>
      <c r="J1282" s="3" t="s">
        <v>65</v>
      </c>
      <c r="K1282" s="3" t="s">
        <v>66</v>
      </c>
      <c r="L1282" s="2" t="s">
        <v>8845</v>
      </c>
      <c r="M1282" s="2" t="s">
        <v>12628</v>
      </c>
      <c r="N1282" s="3" t="s">
        <v>615</v>
      </c>
      <c r="P1282" s="3" t="s">
        <v>69</v>
      </c>
      <c r="R1282" s="3" t="s">
        <v>71</v>
      </c>
      <c r="S1282" s="4">
        <v>11</v>
      </c>
      <c r="T1282" s="4">
        <v>25</v>
      </c>
      <c r="U1282" s="5" t="s">
        <v>12629</v>
      </c>
      <c r="V1282" s="5" t="s">
        <v>9898</v>
      </c>
      <c r="W1282" s="5" t="s">
        <v>72</v>
      </c>
      <c r="X1282" s="5" t="s">
        <v>72</v>
      </c>
      <c r="Y1282" s="4">
        <v>471</v>
      </c>
      <c r="Z1282" s="4">
        <v>35</v>
      </c>
      <c r="AA1282" s="4">
        <v>55</v>
      </c>
      <c r="AB1282" s="4">
        <v>1</v>
      </c>
      <c r="AC1282" s="4">
        <v>6</v>
      </c>
      <c r="AD1282" s="4">
        <v>124</v>
      </c>
      <c r="AE1282" s="4">
        <v>131</v>
      </c>
      <c r="AF1282" s="4">
        <v>0</v>
      </c>
      <c r="AG1282" s="4">
        <v>1</v>
      </c>
      <c r="AH1282" s="4">
        <v>106</v>
      </c>
      <c r="AI1282" s="4">
        <v>107</v>
      </c>
      <c r="AJ1282" s="4">
        <v>18</v>
      </c>
      <c r="AK1282" s="4">
        <v>21</v>
      </c>
      <c r="AL1282" s="4">
        <v>57</v>
      </c>
      <c r="AM1282" s="4">
        <v>57</v>
      </c>
      <c r="AN1282" s="4">
        <v>0</v>
      </c>
      <c r="AO1282" s="4">
        <v>0</v>
      </c>
      <c r="AP1282" s="4">
        <v>26</v>
      </c>
      <c r="AQ1282" s="4">
        <v>31</v>
      </c>
      <c r="AR1282" s="3" t="s">
        <v>209</v>
      </c>
      <c r="AS1282" s="3" t="s">
        <v>65</v>
      </c>
      <c r="AT1282" s="3" t="s">
        <v>209</v>
      </c>
      <c r="AU1282" s="6" t="str">
        <f>HYPERLINK("http://catalog.hathitrust.org/Record/000337685","HathiTrust Record")</f>
        <v>HathiTrust Record</v>
      </c>
      <c r="AV1282" s="6" t="str">
        <f>HYPERLINK("http://mcgill.on.worldcat.org/oclc/11295162","Catalog Record")</f>
        <v>Catalog Record</v>
      </c>
      <c r="AW1282" s="6" t="str">
        <f>HYPERLINK("http://www.worldcat.org/oclc/11295162","WorldCat Record")</f>
        <v>WorldCat Record</v>
      </c>
      <c r="AX1282" s="3" t="s">
        <v>12630</v>
      </c>
      <c r="AY1282" s="3" t="s">
        <v>12631</v>
      </c>
      <c r="AZ1282" s="3" t="s">
        <v>12632</v>
      </c>
      <c r="BA1282" s="3" t="s">
        <v>12632</v>
      </c>
      <c r="BB1282" s="3" t="s">
        <v>12633</v>
      </c>
      <c r="BC1282" s="3" t="s">
        <v>77</v>
      </c>
      <c r="BD1282" s="3" t="s">
        <v>78</v>
      </c>
      <c r="BE1282" s="3" t="s">
        <v>12634</v>
      </c>
      <c r="BF1282" s="3" t="s">
        <v>12633</v>
      </c>
      <c r="BG1282" s="3" t="s">
        <v>12635</v>
      </c>
    </row>
    <row r="1283" spans="1:59" ht="58" x14ac:dyDescent="0.35">
      <c r="A1283" s="2" t="s">
        <v>59</v>
      </c>
      <c r="B1283" s="2" t="s">
        <v>60</v>
      </c>
      <c r="C1283" s="2" t="s">
        <v>12625</v>
      </c>
      <c r="D1283" s="2" t="s">
        <v>12626</v>
      </c>
      <c r="E1283" s="2" t="s">
        <v>12627</v>
      </c>
      <c r="G1283" s="3" t="s">
        <v>65</v>
      </c>
      <c r="I1283" s="3" t="s">
        <v>209</v>
      </c>
      <c r="J1283" s="3" t="s">
        <v>65</v>
      </c>
      <c r="K1283" s="3" t="s">
        <v>66</v>
      </c>
      <c r="L1283" s="2" t="s">
        <v>8845</v>
      </c>
      <c r="M1283" s="2" t="s">
        <v>12628</v>
      </c>
      <c r="N1283" s="3" t="s">
        <v>615</v>
      </c>
      <c r="P1283" s="3" t="s">
        <v>69</v>
      </c>
      <c r="R1283" s="3" t="s">
        <v>71</v>
      </c>
      <c r="S1283" s="4">
        <v>14</v>
      </c>
      <c r="T1283" s="4">
        <v>25</v>
      </c>
      <c r="U1283" s="5" t="s">
        <v>9898</v>
      </c>
      <c r="V1283" s="5" t="s">
        <v>9898</v>
      </c>
      <c r="W1283" s="5" t="s">
        <v>72</v>
      </c>
      <c r="X1283" s="5" t="s">
        <v>72</v>
      </c>
      <c r="Y1283" s="4">
        <v>471</v>
      </c>
      <c r="Z1283" s="4">
        <v>35</v>
      </c>
      <c r="AA1283" s="4">
        <v>55</v>
      </c>
      <c r="AB1283" s="4">
        <v>1</v>
      </c>
      <c r="AC1283" s="4">
        <v>6</v>
      </c>
      <c r="AD1283" s="4">
        <v>124</v>
      </c>
      <c r="AE1283" s="4">
        <v>131</v>
      </c>
      <c r="AF1283" s="4">
        <v>0</v>
      </c>
      <c r="AG1283" s="4">
        <v>1</v>
      </c>
      <c r="AH1283" s="4">
        <v>106</v>
      </c>
      <c r="AI1283" s="4">
        <v>107</v>
      </c>
      <c r="AJ1283" s="4">
        <v>18</v>
      </c>
      <c r="AK1283" s="4">
        <v>21</v>
      </c>
      <c r="AL1283" s="4">
        <v>57</v>
      </c>
      <c r="AM1283" s="4">
        <v>57</v>
      </c>
      <c r="AN1283" s="4">
        <v>0</v>
      </c>
      <c r="AO1283" s="4">
        <v>0</v>
      </c>
      <c r="AP1283" s="4">
        <v>26</v>
      </c>
      <c r="AQ1283" s="4">
        <v>31</v>
      </c>
      <c r="AR1283" s="3" t="s">
        <v>209</v>
      </c>
      <c r="AS1283" s="3" t="s">
        <v>65</v>
      </c>
      <c r="AT1283" s="3" t="s">
        <v>209</v>
      </c>
      <c r="AU1283" s="6" t="str">
        <f>HYPERLINK("http://catalog.hathitrust.org/Record/000337685","HathiTrust Record")</f>
        <v>HathiTrust Record</v>
      </c>
      <c r="AV1283" s="6" t="str">
        <f>HYPERLINK("http://mcgill.on.worldcat.org/oclc/11295162","Catalog Record")</f>
        <v>Catalog Record</v>
      </c>
      <c r="AW1283" s="6" t="str">
        <f>HYPERLINK("http://www.worldcat.org/oclc/11295162","WorldCat Record")</f>
        <v>WorldCat Record</v>
      </c>
      <c r="AX1283" s="3" t="s">
        <v>12630</v>
      </c>
      <c r="AY1283" s="3" t="s">
        <v>12631</v>
      </c>
      <c r="AZ1283" s="3" t="s">
        <v>12632</v>
      </c>
      <c r="BA1283" s="3" t="s">
        <v>12632</v>
      </c>
      <c r="BB1283" s="3" t="s">
        <v>12636</v>
      </c>
      <c r="BC1283" s="3" t="s">
        <v>77</v>
      </c>
      <c r="BD1283" s="3" t="s">
        <v>78</v>
      </c>
      <c r="BE1283" s="3" t="s">
        <v>12634</v>
      </c>
      <c r="BF1283" s="3" t="s">
        <v>12636</v>
      </c>
      <c r="BG1283" s="3" t="s">
        <v>12637</v>
      </c>
    </row>
    <row r="1284" spans="1:59" ht="58" x14ac:dyDescent="0.35">
      <c r="A1284" s="2" t="s">
        <v>59</v>
      </c>
      <c r="B1284" s="2" t="s">
        <v>60</v>
      </c>
      <c r="C1284" s="2" t="s">
        <v>12638</v>
      </c>
      <c r="D1284" s="2" t="s">
        <v>12639</v>
      </c>
      <c r="E1284" s="2" t="s">
        <v>12640</v>
      </c>
      <c r="G1284" s="3" t="s">
        <v>65</v>
      </c>
      <c r="I1284" s="3" t="s">
        <v>65</v>
      </c>
      <c r="J1284" s="3" t="s">
        <v>65</v>
      </c>
      <c r="K1284" s="3" t="s">
        <v>66</v>
      </c>
      <c r="L1284" s="2" t="s">
        <v>12641</v>
      </c>
      <c r="M1284" s="2" t="s">
        <v>12642</v>
      </c>
      <c r="N1284" s="3" t="s">
        <v>152</v>
      </c>
      <c r="P1284" s="3" t="s">
        <v>140</v>
      </c>
      <c r="Q1284" s="2" t="s">
        <v>12643</v>
      </c>
      <c r="R1284" s="3" t="s">
        <v>71</v>
      </c>
      <c r="S1284" s="4">
        <v>0</v>
      </c>
      <c r="T1284" s="4">
        <v>0</v>
      </c>
      <c r="W1284" s="5" t="s">
        <v>72</v>
      </c>
      <c r="X1284" s="5" t="s">
        <v>72</v>
      </c>
      <c r="Y1284" s="4">
        <v>53</v>
      </c>
      <c r="Z1284" s="4">
        <v>6</v>
      </c>
      <c r="AA1284" s="4">
        <v>6</v>
      </c>
      <c r="AB1284" s="4">
        <v>1</v>
      </c>
      <c r="AC1284" s="4">
        <v>1</v>
      </c>
      <c r="AD1284" s="4">
        <v>37</v>
      </c>
      <c r="AE1284" s="4">
        <v>37</v>
      </c>
      <c r="AF1284" s="4">
        <v>0</v>
      </c>
      <c r="AG1284" s="4">
        <v>0</v>
      </c>
      <c r="AH1284" s="4">
        <v>37</v>
      </c>
      <c r="AI1284" s="4">
        <v>37</v>
      </c>
      <c r="AJ1284" s="4">
        <v>3</v>
      </c>
      <c r="AK1284" s="4">
        <v>3</v>
      </c>
      <c r="AL1284" s="4">
        <v>28</v>
      </c>
      <c r="AM1284" s="4">
        <v>28</v>
      </c>
      <c r="AN1284" s="4">
        <v>0</v>
      </c>
      <c r="AO1284" s="4">
        <v>0</v>
      </c>
      <c r="AP1284" s="4">
        <v>3</v>
      </c>
      <c r="AQ1284" s="4">
        <v>3</v>
      </c>
      <c r="AR1284" s="3" t="s">
        <v>65</v>
      </c>
      <c r="AS1284" s="3" t="s">
        <v>65</v>
      </c>
      <c r="AT1284" s="3" t="s">
        <v>65</v>
      </c>
      <c r="AV1284" s="6" t="str">
        <f>HYPERLINK("http://mcgill.on.worldcat.org/oclc/850441205","Catalog Record")</f>
        <v>Catalog Record</v>
      </c>
      <c r="AW1284" s="6" t="str">
        <f>HYPERLINK("http://www.worldcat.org/oclc/850441205","WorldCat Record")</f>
        <v>WorldCat Record</v>
      </c>
      <c r="AX1284" s="3" t="s">
        <v>12644</v>
      </c>
      <c r="AY1284" s="3" t="s">
        <v>12645</v>
      </c>
      <c r="AZ1284" s="3" t="s">
        <v>12646</v>
      </c>
      <c r="BA1284" s="3" t="s">
        <v>12646</v>
      </c>
      <c r="BB1284" s="3" t="s">
        <v>12647</v>
      </c>
      <c r="BC1284" s="3" t="s">
        <v>77</v>
      </c>
      <c r="BD1284" s="3" t="s">
        <v>78</v>
      </c>
      <c r="BE1284" s="3" t="s">
        <v>12648</v>
      </c>
      <c r="BF1284" s="3" t="s">
        <v>12647</v>
      </c>
      <c r="BG1284" s="3" t="s">
        <v>12649</v>
      </c>
    </row>
    <row r="1285" spans="1:59" ht="58" x14ac:dyDescent="0.35">
      <c r="A1285" s="2" t="s">
        <v>59</v>
      </c>
      <c r="B1285" s="2" t="s">
        <v>60</v>
      </c>
      <c r="C1285" s="2" t="s">
        <v>12650</v>
      </c>
      <c r="D1285" s="2" t="s">
        <v>12651</v>
      </c>
      <c r="E1285" s="2" t="s">
        <v>12652</v>
      </c>
      <c r="G1285" s="3" t="s">
        <v>65</v>
      </c>
      <c r="I1285" s="3" t="s">
        <v>65</v>
      </c>
      <c r="J1285" s="3" t="s">
        <v>65</v>
      </c>
      <c r="K1285" s="3" t="s">
        <v>66</v>
      </c>
      <c r="L1285" s="2" t="s">
        <v>10720</v>
      </c>
      <c r="M1285" s="2" t="s">
        <v>12653</v>
      </c>
      <c r="N1285" s="3" t="s">
        <v>7039</v>
      </c>
      <c r="P1285" s="3" t="s">
        <v>69</v>
      </c>
      <c r="Q1285" s="2" t="s">
        <v>12654</v>
      </c>
      <c r="R1285" s="3" t="s">
        <v>71</v>
      </c>
      <c r="S1285" s="4">
        <v>16</v>
      </c>
      <c r="T1285" s="4">
        <v>16</v>
      </c>
      <c r="U1285" s="5" t="s">
        <v>9898</v>
      </c>
      <c r="V1285" s="5" t="s">
        <v>9898</v>
      </c>
      <c r="W1285" s="5" t="s">
        <v>72</v>
      </c>
      <c r="X1285" s="5" t="s">
        <v>72</v>
      </c>
      <c r="Y1285" s="4">
        <v>263</v>
      </c>
      <c r="Z1285" s="4">
        <v>21</v>
      </c>
      <c r="AA1285" s="4">
        <v>22</v>
      </c>
      <c r="AB1285" s="4">
        <v>1</v>
      </c>
      <c r="AC1285" s="4">
        <v>2</v>
      </c>
      <c r="AD1285" s="4">
        <v>94</v>
      </c>
      <c r="AE1285" s="4">
        <v>95</v>
      </c>
      <c r="AF1285" s="4">
        <v>0</v>
      </c>
      <c r="AG1285" s="4">
        <v>1</v>
      </c>
      <c r="AH1285" s="4">
        <v>84</v>
      </c>
      <c r="AI1285" s="4">
        <v>85</v>
      </c>
      <c r="AJ1285" s="4">
        <v>13</v>
      </c>
      <c r="AK1285" s="4">
        <v>14</v>
      </c>
      <c r="AL1285" s="4">
        <v>48</v>
      </c>
      <c r="AM1285" s="4">
        <v>48</v>
      </c>
      <c r="AN1285" s="4">
        <v>0</v>
      </c>
      <c r="AO1285" s="4">
        <v>0</v>
      </c>
      <c r="AP1285" s="4">
        <v>15</v>
      </c>
      <c r="AQ1285" s="4">
        <v>16</v>
      </c>
      <c r="AR1285" s="3" t="s">
        <v>65</v>
      </c>
      <c r="AS1285" s="3" t="s">
        <v>65</v>
      </c>
      <c r="AT1285" s="3" t="s">
        <v>209</v>
      </c>
      <c r="AU1285" s="6" t="str">
        <f>HYPERLINK("http://catalog.hathitrust.org/Record/001646360","HathiTrust Record")</f>
        <v>HathiTrust Record</v>
      </c>
      <c r="AV1285" s="6" t="str">
        <f>HYPERLINK("http://mcgill.on.worldcat.org/oclc/17967","Catalog Record")</f>
        <v>Catalog Record</v>
      </c>
      <c r="AW1285" s="6" t="str">
        <f>HYPERLINK("http://www.worldcat.org/oclc/17967","WorldCat Record")</f>
        <v>WorldCat Record</v>
      </c>
      <c r="AX1285" s="3" t="s">
        <v>12655</v>
      </c>
      <c r="AY1285" s="3" t="s">
        <v>12656</v>
      </c>
      <c r="AZ1285" s="3" t="s">
        <v>12657</v>
      </c>
      <c r="BA1285" s="3" t="s">
        <v>12657</v>
      </c>
      <c r="BB1285" s="3" t="s">
        <v>12658</v>
      </c>
      <c r="BC1285" s="3" t="s">
        <v>77</v>
      </c>
      <c r="BD1285" s="3" t="s">
        <v>78</v>
      </c>
      <c r="BF1285" s="3" t="s">
        <v>12658</v>
      </c>
      <c r="BG1285" s="3" t="s">
        <v>12659</v>
      </c>
    </row>
    <row r="1286" spans="1:59" ht="72.5" x14ac:dyDescent="0.35">
      <c r="A1286" s="2" t="s">
        <v>59</v>
      </c>
      <c r="B1286" s="2" t="s">
        <v>60</v>
      </c>
      <c r="C1286" s="2" t="s">
        <v>12660</v>
      </c>
      <c r="D1286" s="2" t="s">
        <v>12661</v>
      </c>
      <c r="E1286" s="2" t="s">
        <v>12662</v>
      </c>
      <c r="G1286" s="3" t="s">
        <v>65</v>
      </c>
      <c r="I1286" s="3" t="s">
        <v>65</v>
      </c>
      <c r="J1286" s="3" t="s">
        <v>65</v>
      </c>
      <c r="K1286" s="3" t="s">
        <v>66</v>
      </c>
      <c r="L1286" s="2" t="s">
        <v>10720</v>
      </c>
      <c r="M1286" s="2" t="s">
        <v>12663</v>
      </c>
      <c r="N1286" s="3" t="s">
        <v>1944</v>
      </c>
      <c r="P1286" s="3" t="s">
        <v>69</v>
      </c>
      <c r="R1286" s="3" t="s">
        <v>71</v>
      </c>
      <c r="S1286" s="4">
        <v>6</v>
      </c>
      <c r="T1286" s="4">
        <v>6</v>
      </c>
      <c r="U1286" s="5" t="s">
        <v>9898</v>
      </c>
      <c r="V1286" s="5" t="s">
        <v>9898</v>
      </c>
      <c r="W1286" s="5" t="s">
        <v>72</v>
      </c>
      <c r="X1286" s="5" t="s">
        <v>72</v>
      </c>
      <c r="Y1286" s="4">
        <v>224</v>
      </c>
      <c r="Z1286" s="4">
        <v>12</v>
      </c>
      <c r="AA1286" s="4">
        <v>18</v>
      </c>
      <c r="AB1286" s="4">
        <v>3</v>
      </c>
      <c r="AC1286" s="4">
        <v>5</v>
      </c>
      <c r="AD1286" s="4">
        <v>70</v>
      </c>
      <c r="AE1286" s="4">
        <v>75</v>
      </c>
      <c r="AF1286" s="4">
        <v>1</v>
      </c>
      <c r="AG1286" s="4">
        <v>3</v>
      </c>
      <c r="AH1286" s="4">
        <v>66</v>
      </c>
      <c r="AI1286" s="4">
        <v>69</v>
      </c>
      <c r="AJ1286" s="4">
        <v>6</v>
      </c>
      <c r="AK1286" s="4">
        <v>11</v>
      </c>
      <c r="AL1286" s="4">
        <v>36</v>
      </c>
      <c r="AM1286" s="4">
        <v>36</v>
      </c>
      <c r="AN1286" s="4">
        <v>0</v>
      </c>
      <c r="AO1286" s="4">
        <v>0</v>
      </c>
      <c r="AP1286" s="4">
        <v>7</v>
      </c>
      <c r="AQ1286" s="4">
        <v>11</v>
      </c>
      <c r="AR1286" s="3" t="s">
        <v>65</v>
      </c>
      <c r="AS1286" s="3" t="s">
        <v>65</v>
      </c>
      <c r="AT1286" s="3" t="s">
        <v>209</v>
      </c>
      <c r="AU1286" s="6" t="str">
        <f>HYPERLINK("http://catalog.hathitrust.org/Record/003509341","HathiTrust Record")</f>
        <v>HathiTrust Record</v>
      </c>
      <c r="AV1286" s="6" t="str">
        <f>HYPERLINK("http://mcgill.on.worldcat.org/oclc/44128245","Catalog Record")</f>
        <v>Catalog Record</v>
      </c>
      <c r="AW1286" s="6" t="str">
        <f>HYPERLINK("http://www.worldcat.org/oclc/44128245","WorldCat Record")</f>
        <v>WorldCat Record</v>
      </c>
      <c r="AX1286" s="3" t="s">
        <v>12664</v>
      </c>
      <c r="AY1286" s="3" t="s">
        <v>12665</v>
      </c>
      <c r="AZ1286" s="3" t="s">
        <v>12666</v>
      </c>
      <c r="BA1286" s="3" t="s">
        <v>12666</v>
      </c>
      <c r="BB1286" s="3" t="s">
        <v>12667</v>
      </c>
      <c r="BC1286" s="3" t="s">
        <v>77</v>
      </c>
      <c r="BD1286" s="3" t="s">
        <v>78</v>
      </c>
      <c r="BE1286" s="3" t="s">
        <v>12668</v>
      </c>
      <c r="BF1286" s="3" t="s">
        <v>12667</v>
      </c>
      <c r="BG1286" s="3" t="s">
        <v>12669</v>
      </c>
    </row>
    <row r="1287" spans="1:59" ht="58" x14ac:dyDescent="0.35">
      <c r="A1287" s="2" t="s">
        <v>59</v>
      </c>
      <c r="B1287" s="2" t="s">
        <v>60</v>
      </c>
      <c r="C1287" s="2" t="s">
        <v>12670</v>
      </c>
      <c r="D1287" s="2" t="s">
        <v>12671</v>
      </c>
      <c r="E1287" s="2" t="s">
        <v>12672</v>
      </c>
      <c r="G1287" s="3" t="s">
        <v>65</v>
      </c>
      <c r="I1287" s="3" t="s">
        <v>65</v>
      </c>
      <c r="J1287" s="3" t="s">
        <v>65</v>
      </c>
      <c r="K1287" s="3" t="s">
        <v>66</v>
      </c>
      <c r="M1287" s="2" t="s">
        <v>12673</v>
      </c>
      <c r="N1287" s="3" t="s">
        <v>552</v>
      </c>
      <c r="P1287" s="3" t="s">
        <v>69</v>
      </c>
      <c r="R1287" s="3" t="s">
        <v>71</v>
      </c>
      <c r="S1287" s="4">
        <v>27</v>
      </c>
      <c r="T1287" s="4">
        <v>27</v>
      </c>
      <c r="U1287" s="5" t="s">
        <v>10024</v>
      </c>
      <c r="V1287" s="5" t="s">
        <v>10024</v>
      </c>
      <c r="W1287" s="5" t="s">
        <v>72</v>
      </c>
      <c r="X1287" s="5" t="s">
        <v>72</v>
      </c>
      <c r="Y1287" s="4">
        <v>273</v>
      </c>
      <c r="Z1287" s="4">
        <v>15</v>
      </c>
      <c r="AA1287" s="4">
        <v>15</v>
      </c>
      <c r="AB1287" s="4">
        <v>1</v>
      </c>
      <c r="AC1287" s="4">
        <v>1</v>
      </c>
      <c r="AD1287" s="4">
        <v>106</v>
      </c>
      <c r="AE1287" s="4">
        <v>106</v>
      </c>
      <c r="AF1287" s="4">
        <v>0</v>
      </c>
      <c r="AG1287" s="4">
        <v>0</v>
      </c>
      <c r="AH1287" s="4">
        <v>100</v>
      </c>
      <c r="AI1287" s="4">
        <v>100</v>
      </c>
      <c r="AJ1287" s="4">
        <v>10</v>
      </c>
      <c r="AK1287" s="4">
        <v>10</v>
      </c>
      <c r="AL1287" s="4">
        <v>56</v>
      </c>
      <c r="AM1287" s="4">
        <v>56</v>
      </c>
      <c r="AN1287" s="4">
        <v>0</v>
      </c>
      <c r="AO1287" s="4">
        <v>0</v>
      </c>
      <c r="AP1287" s="4">
        <v>11</v>
      </c>
      <c r="AQ1287" s="4">
        <v>11</v>
      </c>
      <c r="AR1287" s="3" t="s">
        <v>65</v>
      </c>
      <c r="AS1287" s="3" t="s">
        <v>65</v>
      </c>
      <c r="AT1287" s="3" t="s">
        <v>65</v>
      </c>
      <c r="AV1287" s="6" t="str">
        <f>HYPERLINK("http://mcgill.on.worldcat.org/oclc/36548913","Catalog Record")</f>
        <v>Catalog Record</v>
      </c>
      <c r="AW1287" s="6" t="str">
        <f>HYPERLINK("http://www.worldcat.org/oclc/36548913","WorldCat Record")</f>
        <v>WorldCat Record</v>
      </c>
      <c r="AX1287" s="3" t="s">
        <v>12674</v>
      </c>
      <c r="AY1287" s="3" t="s">
        <v>12675</v>
      </c>
      <c r="AZ1287" s="3" t="s">
        <v>12676</v>
      </c>
      <c r="BA1287" s="3" t="s">
        <v>12676</v>
      </c>
      <c r="BB1287" s="3" t="s">
        <v>12677</v>
      </c>
      <c r="BC1287" s="3" t="s">
        <v>77</v>
      </c>
      <c r="BD1287" s="3" t="s">
        <v>78</v>
      </c>
      <c r="BE1287" s="3" t="s">
        <v>12678</v>
      </c>
      <c r="BF1287" s="3" t="s">
        <v>12677</v>
      </c>
      <c r="BG1287" s="3" t="s">
        <v>12679</v>
      </c>
    </row>
    <row r="1288" spans="1:59" ht="58" x14ac:dyDescent="0.35">
      <c r="A1288" s="2" t="s">
        <v>59</v>
      </c>
      <c r="B1288" s="2" t="s">
        <v>60</v>
      </c>
      <c r="C1288" s="2" t="s">
        <v>12680</v>
      </c>
      <c r="D1288" s="2" t="s">
        <v>12681</v>
      </c>
      <c r="E1288" s="2" t="s">
        <v>12682</v>
      </c>
      <c r="G1288" s="3" t="s">
        <v>65</v>
      </c>
      <c r="I1288" s="3" t="s">
        <v>209</v>
      </c>
      <c r="J1288" s="3" t="s">
        <v>65</v>
      </c>
      <c r="K1288" s="3" t="s">
        <v>66</v>
      </c>
      <c r="L1288" s="2" t="s">
        <v>12683</v>
      </c>
      <c r="M1288" s="2" t="s">
        <v>12684</v>
      </c>
      <c r="N1288" s="3" t="s">
        <v>564</v>
      </c>
      <c r="P1288" s="3" t="s">
        <v>69</v>
      </c>
      <c r="R1288" s="3" t="s">
        <v>71</v>
      </c>
      <c r="S1288" s="4">
        <v>20</v>
      </c>
      <c r="T1288" s="4">
        <v>37</v>
      </c>
      <c r="U1288" s="5" t="s">
        <v>12341</v>
      </c>
      <c r="V1288" s="5" t="s">
        <v>12341</v>
      </c>
      <c r="W1288" s="5" t="s">
        <v>72</v>
      </c>
      <c r="X1288" s="5" t="s">
        <v>72</v>
      </c>
      <c r="Y1288" s="4">
        <v>372</v>
      </c>
      <c r="Z1288" s="4">
        <v>22</v>
      </c>
      <c r="AA1288" s="4">
        <v>24</v>
      </c>
      <c r="AB1288" s="4">
        <v>1</v>
      </c>
      <c r="AC1288" s="4">
        <v>2</v>
      </c>
      <c r="AD1288" s="4">
        <v>94</v>
      </c>
      <c r="AE1288" s="4">
        <v>98</v>
      </c>
      <c r="AF1288" s="4">
        <v>0</v>
      </c>
      <c r="AG1288" s="4">
        <v>1</v>
      </c>
      <c r="AH1288" s="4">
        <v>85</v>
      </c>
      <c r="AI1288" s="4">
        <v>88</v>
      </c>
      <c r="AJ1288" s="4">
        <v>15</v>
      </c>
      <c r="AK1288" s="4">
        <v>16</v>
      </c>
      <c r="AL1288" s="4">
        <v>49</v>
      </c>
      <c r="AM1288" s="4">
        <v>52</v>
      </c>
      <c r="AN1288" s="4">
        <v>0</v>
      </c>
      <c r="AO1288" s="4">
        <v>0</v>
      </c>
      <c r="AP1288" s="4">
        <v>16</v>
      </c>
      <c r="AQ1288" s="4">
        <v>16</v>
      </c>
      <c r="AR1288" s="3" t="s">
        <v>65</v>
      </c>
      <c r="AS1288" s="3" t="s">
        <v>65</v>
      </c>
      <c r="AT1288" s="3" t="s">
        <v>209</v>
      </c>
      <c r="AU1288" s="6" t="str">
        <f>HYPERLINK("http://catalog.hathitrust.org/Record/001226811","HathiTrust Record")</f>
        <v>HathiTrust Record</v>
      </c>
      <c r="AV1288" s="6" t="str">
        <f>HYPERLINK("http://mcgill.on.worldcat.org/oclc/827379","Catalog Record")</f>
        <v>Catalog Record</v>
      </c>
      <c r="AW1288" s="6" t="str">
        <f>HYPERLINK("http://www.worldcat.org/oclc/827379","WorldCat Record")</f>
        <v>WorldCat Record</v>
      </c>
      <c r="AX1288" s="3" t="s">
        <v>12685</v>
      </c>
      <c r="AY1288" s="3" t="s">
        <v>12686</v>
      </c>
      <c r="AZ1288" s="3" t="s">
        <v>12687</v>
      </c>
      <c r="BA1288" s="3" t="s">
        <v>12687</v>
      </c>
      <c r="BB1288" s="3" t="s">
        <v>12688</v>
      </c>
      <c r="BC1288" s="3" t="s">
        <v>77</v>
      </c>
      <c r="BD1288" s="3" t="s">
        <v>78</v>
      </c>
      <c r="BF1288" s="3" t="s">
        <v>12688</v>
      </c>
      <c r="BG1288" s="3" t="s">
        <v>12689</v>
      </c>
    </row>
    <row r="1289" spans="1:59" ht="58" x14ac:dyDescent="0.35">
      <c r="A1289" s="2" t="s">
        <v>59</v>
      </c>
      <c r="B1289" s="2" t="s">
        <v>60</v>
      </c>
      <c r="C1289" s="2" t="s">
        <v>12680</v>
      </c>
      <c r="D1289" s="2" t="s">
        <v>12681</v>
      </c>
      <c r="E1289" s="2" t="s">
        <v>12682</v>
      </c>
      <c r="G1289" s="3" t="s">
        <v>65</v>
      </c>
      <c r="I1289" s="3" t="s">
        <v>209</v>
      </c>
      <c r="J1289" s="3" t="s">
        <v>65</v>
      </c>
      <c r="K1289" s="3" t="s">
        <v>66</v>
      </c>
      <c r="L1289" s="2" t="s">
        <v>12683</v>
      </c>
      <c r="M1289" s="2" t="s">
        <v>12684</v>
      </c>
      <c r="N1289" s="3" t="s">
        <v>564</v>
      </c>
      <c r="P1289" s="3" t="s">
        <v>69</v>
      </c>
      <c r="R1289" s="3" t="s">
        <v>71</v>
      </c>
      <c r="S1289" s="4">
        <v>17</v>
      </c>
      <c r="T1289" s="4">
        <v>37</v>
      </c>
      <c r="U1289" s="5" t="s">
        <v>9595</v>
      </c>
      <c r="V1289" s="5" t="s">
        <v>12341</v>
      </c>
      <c r="W1289" s="5" t="s">
        <v>72</v>
      </c>
      <c r="X1289" s="5" t="s">
        <v>72</v>
      </c>
      <c r="Y1289" s="4">
        <v>372</v>
      </c>
      <c r="Z1289" s="4">
        <v>22</v>
      </c>
      <c r="AA1289" s="4">
        <v>24</v>
      </c>
      <c r="AB1289" s="4">
        <v>1</v>
      </c>
      <c r="AC1289" s="4">
        <v>2</v>
      </c>
      <c r="AD1289" s="4">
        <v>94</v>
      </c>
      <c r="AE1289" s="4">
        <v>98</v>
      </c>
      <c r="AF1289" s="4">
        <v>0</v>
      </c>
      <c r="AG1289" s="4">
        <v>1</v>
      </c>
      <c r="AH1289" s="4">
        <v>85</v>
      </c>
      <c r="AI1289" s="4">
        <v>88</v>
      </c>
      <c r="AJ1289" s="4">
        <v>15</v>
      </c>
      <c r="AK1289" s="4">
        <v>16</v>
      </c>
      <c r="AL1289" s="4">
        <v>49</v>
      </c>
      <c r="AM1289" s="4">
        <v>52</v>
      </c>
      <c r="AN1289" s="4">
        <v>0</v>
      </c>
      <c r="AO1289" s="4">
        <v>0</v>
      </c>
      <c r="AP1289" s="4">
        <v>16</v>
      </c>
      <c r="AQ1289" s="4">
        <v>16</v>
      </c>
      <c r="AR1289" s="3" t="s">
        <v>65</v>
      </c>
      <c r="AS1289" s="3" t="s">
        <v>65</v>
      </c>
      <c r="AT1289" s="3" t="s">
        <v>209</v>
      </c>
      <c r="AU1289" s="6" t="str">
        <f>HYPERLINK("http://catalog.hathitrust.org/Record/001226811","HathiTrust Record")</f>
        <v>HathiTrust Record</v>
      </c>
      <c r="AV1289" s="6" t="str">
        <f>HYPERLINK("http://mcgill.on.worldcat.org/oclc/827379","Catalog Record")</f>
        <v>Catalog Record</v>
      </c>
      <c r="AW1289" s="6" t="str">
        <f>HYPERLINK("http://www.worldcat.org/oclc/827379","WorldCat Record")</f>
        <v>WorldCat Record</v>
      </c>
      <c r="AX1289" s="3" t="s">
        <v>12685</v>
      </c>
      <c r="AY1289" s="3" t="s">
        <v>12686</v>
      </c>
      <c r="AZ1289" s="3" t="s">
        <v>12687</v>
      </c>
      <c r="BA1289" s="3" t="s">
        <v>12687</v>
      </c>
      <c r="BB1289" s="3" t="s">
        <v>12690</v>
      </c>
      <c r="BC1289" s="3" t="s">
        <v>77</v>
      </c>
      <c r="BD1289" s="3" t="s">
        <v>78</v>
      </c>
      <c r="BF1289" s="3" t="s">
        <v>12690</v>
      </c>
      <c r="BG1289" s="3" t="s">
        <v>12691</v>
      </c>
    </row>
    <row r="1290" spans="1:59" ht="58" x14ac:dyDescent="0.35">
      <c r="A1290" s="2" t="s">
        <v>59</v>
      </c>
      <c r="B1290" s="2" t="s">
        <v>60</v>
      </c>
      <c r="C1290" s="2" t="s">
        <v>12692</v>
      </c>
      <c r="D1290" s="2" t="s">
        <v>12693</v>
      </c>
      <c r="E1290" s="2" t="s">
        <v>12694</v>
      </c>
      <c r="G1290" s="3" t="s">
        <v>65</v>
      </c>
      <c r="I1290" s="3" t="s">
        <v>65</v>
      </c>
      <c r="J1290" s="3" t="s">
        <v>65</v>
      </c>
      <c r="K1290" s="3" t="s">
        <v>66</v>
      </c>
      <c r="L1290" s="2" t="s">
        <v>12683</v>
      </c>
      <c r="M1290" s="2" t="s">
        <v>12695</v>
      </c>
      <c r="N1290" s="3" t="s">
        <v>615</v>
      </c>
      <c r="P1290" s="3" t="s">
        <v>69</v>
      </c>
      <c r="Q1290" s="2" t="s">
        <v>12696</v>
      </c>
      <c r="R1290" s="3" t="s">
        <v>71</v>
      </c>
      <c r="S1290" s="4">
        <v>36</v>
      </c>
      <c r="T1290" s="4">
        <v>36</v>
      </c>
      <c r="U1290" s="5" t="s">
        <v>10465</v>
      </c>
      <c r="V1290" s="5" t="s">
        <v>10465</v>
      </c>
      <c r="W1290" s="5" t="s">
        <v>72</v>
      </c>
      <c r="X1290" s="5" t="s">
        <v>72</v>
      </c>
      <c r="Y1290" s="4">
        <v>427</v>
      </c>
      <c r="Z1290" s="4">
        <v>23</v>
      </c>
      <c r="AA1290" s="4">
        <v>23</v>
      </c>
      <c r="AB1290" s="4">
        <v>1</v>
      </c>
      <c r="AC1290" s="4">
        <v>1</v>
      </c>
      <c r="AD1290" s="4">
        <v>114</v>
      </c>
      <c r="AE1290" s="4">
        <v>114</v>
      </c>
      <c r="AF1290" s="4">
        <v>0</v>
      </c>
      <c r="AG1290" s="4">
        <v>0</v>
      </c>
      <c r="AH1290" s="4">
        <v>104</v>
      </c>
      <c r="AI1290" s="4">
        <v>104</v>
      </c>
      <c r="AJ1290" s="4">
        <v>16</v>
      </c>
      <c r="AK1290" s="4">
        <v>16</v>
      </c>
      <c r="AL1290" s="4">
        <v>55</v>
      </c>
      <c r="AM1290" s="4">
        <v>55</v>
      </c>
      <c r="AN1290" s="4">
        <v>0</v>
      </c>
      <c r="AO1290" s="4">
        <v>0</v>
      </c>
      <c r="AP1290" s="4">
        <v>18</v>
      </c>
      <c r="AQ1290" s="4">
        <v>18</v>
      </c>
      <c r="AR1290" s="3" t="s">
        <v>65</v>
      </c>
      <c r="AS1290" s="3" t="s">
        <v>65</v>
      </c>
      <c r="AT1290" s="3" t="s">
        <v>209</v>
      </c>
      <c r="AU1290" s="6" t="str">
        <f>HYPERLINK("http://catalog.hathitrust.org/Record/000243287","HathiTrust Record")</f>
        <v>HathiTrust Record</v>
      </c>
      <c r="AV1290" s="6" t="str">
        <f>HYPERLINK("http://mcgill.on.worldcat.org/oclc/9324441","Catalog Record")</f>
        <v>Catalog Record</v>
      </c>
      <c r="AW1290" s="6" t="str">
        <f>HYPERLINK("http://www.worldcat.org/oclc/9324441","WorldCat Record")</f>
        <v>WorldCat Record</v>
      </c>
      <c r="AX1290" s="3" t="s">
        <v>12697</v>
      </c>
      <c r="AY1290" s="3" t="s">
        <v>12698</v>
      </c>
      <c r="AZ1290" s="3" t="s">
        <v>12699</v>
      </c>
      <c r="BA1290" s="3" t="s">
        <v>12699</v>
      </c>
      <c r="BB1290" s="3" t="s">
        <v>12700</v>
      </c>
      <c r="BC1290" s="3" t="s">
        <v>77</v>
      </c>
      <c r="BD1290" s="3" t="s">
        <v>78</v>
      </c>
      <c r="BE1290" s="3" t="s">
        <v>12701</v>
      </c>
      <c r="BF1290" s="3" t="s">
        <v>12700</v>
      </c>
      <c r="BG1290" s="3" t="s">
        <v>12702</v>
      </c>
    </row>
    <row r="1291" spans="1:59" ht="58" x14ac:dyDescent="0.35">
      <c r="A1291" s="2" t="s">
        <v>59</v>
      </c>
      <c r="B1291" s="2" t="s">
        <v>60</v>
      </c>
      <c r="C1291" s="2" t="s">
        <v>12703</v>
      </c>
      <c r="D1291" s="2" t="s">
        <v>12704</v>
      </c>
      <c r="E1291" s="2" t="s">
        <v>12705</v>
      </c>
      <c r="G1291" s="3" t="s">
        <v>65</v>
      </c>
      <c r="I1291" s="3" t="s">
        <v>65</v>
      </c>
      <c r="J1291" s="3" t="s">
        <v>65</v>
      </c>
      <c r="K1291" s="3" t="s">
        <v>66</v>
      </c>
      <c r="L1291" s="2" t="s">
        <v>904</v>
      </c>
      <c r="M1291" s="2" t="s">
        <v>12706</v>
      </c>
      <c r="N1291" s="3" t="s">
        <v>221</v>
      </c>
      <c r="P1291" s="3" t="s">
        <v>69</v>
      </c>
      <c r="Q1291" s="2" t="s">
        <v>12707</v>
      </c>
      <c r="R1291" s="3" t="s">
        <v>71</v>
      </c>
      <c r="S1291" s="4">
        <v>2</v>
      </c>
      <c r="T1291" s="4">
        <v>2</v>
      </c>
      <c r="U1291" s="5" t="s">
        <v>9898</v>
      </c>
      <c r="V1291" s="5" t="s">
        <v>9898</v>
      </c>
      <c r="W1291" s="5" t="s">
        <v>72</v>
      </c>
      <c r="X1291" s="5" t="s">
        <v>72</v>
      </c>
      <c r="Y1291" s="4">
        <v>73</v>
      </c>
      <c r="Z1291" s="4">
        <v>9</v>
      </c>
      <c r="AA1291" s="4">
        <v>9</v>
      </c>
      <c r="AB1291" s="4">
        <v>1</v>
      </c>
      <c r="AC1291" s="4">
        <v>1</v>
      </c>
      <c r="AD1291" s="4">
        <v>40</v>
      </c>
      <c r="AE1291" s="4">
        <v>40</v>
      </c>
      <c r="AF1291" s="4">
        <v>0</v>
      </c>
      <c r="AG1291" s="4">
        <v>0</v>
      </c>
      <c r="AH1291" s="4">
        <v>35</v>
      </c>
      <c r="AI1291" s="4">
        <v>35</v>
      </c>
      <c r="AJ1291" s="4">
        <v>5</v>
      </c>
      <c r="AK1291" s="4">
        <v>5</v>
      </c>
      <c r="AL1291" s="4">
        <v>23</v>
      </c>
      <c r="AM1291" s="4">
        <v>23</v>
      </c>
      <c r="AN1291" s="4">
        <v>0</v>
      </c>
      <c r="AO1291" s="4">
        <v>0</v>
      </c>
      <c r="AP1291" s="4">
        <v>7</v>
      </c>
      <c r="AQ1291" s="4">
        <v>7</v>
      </c>
      <c r="AR1291" s="3" t="s">
        <v>65</v>
      </c>
      <c r="AS1291" s="3" t="s">
        <v>65</v>
      </c>
      <c r="AT1291" s="3" t="s">
        <v>65</v>
      </c>
      <c r="AV1291" s="6" t="str">
        <f>HYPERLINK("http://mcgill.on.worldcat.org/oclc/171110297","Catalog Record")</f>
        <v>Catalog Record</v>
      </c>
      <c r="AW1291" s="6" t="str">
        <f>HYPERLINK("http://www.worldcat.org/oclc/171110297","WorldCat Record")</f>
        <v>WorldCat Record</v>
      </c>
      <c r="AX1291" s="3" t="s">
        <v>12708</v>
      </c>
      <c r="AY1291" s="3" t="s">
        <v>12709</v>
      </c>
      <c r="AZ1291" s="3" t="s">
        <v>12710</v>
      </c>
      <c r="BA1291" s="3" t="s">
        <v>12710</v>
      </c>
      <c r="BB1291" s="3" t="s">
        <v>12711</v>
      </c>
      <c r="BC1291" s="3" t="s">
        <v>77</v>
      </c>
      <c r="BD1291" s="3" t="s">
        <v>78</v>
      </c>
      <c r="BE1291" s="3" t="s">
        <v>12712</v>
      </c>
      <c r="BF1291" s="3" t="s">
        <v>12711</v>
      </c>
      <c r="BG1291" s="3" t="s">
        <v>12713</v>
      </c>
    </row>
    <row r="1292" spans="1:59" ht="58" x14ac:dyDescent="0.35">
      <c r="A1292" s="2" t="s">
        <v>59</v>
      </c>
      <c r="B1292" s="2" t="s">
        <v>60</v>
      </c>
      <c r="C1292" s="2" t="s">
        <v>12714</v>
      </c>
      <c r="D1292" s="2" t="s">
        <v>12715</v>
      </c>
      <c r="E1292" s="2" t="s">
        <v>12716</v>
      </c>
      <c r="G1292" s="3" t="s">
        <v>65</v>
      </c>
      <c r="I1292" s="3" t="s">
        <v>65</v>
      </c>
      <c r="J1292" s="3" t="s">
        <v>65</v>
      </c>
      <c r="K1292" s="3" t="s">
        <v>66</v>
      </c>
      <c r="L1292" s="2" t="s">
        <v>12717</v>
      </c>
      <c r="M1292" s="2" t="s">
        <v>12718</v>
      </c>
      <c r="N1292" s="3" t="s">
        <v>4688</v>
      </c>
      <c r="P1292" s="3" t="s">
        <v>69</v>
      </c>
      <c r="R1292" s="3" t="s">
        <v>71</v>
      </c>
      <c r="S1292" s="4">
        <v>37</v>
      </c>
      <c r="T1292" s="4">
        <v>37</v>
      </c>
      <c r="U1292" s="5" t="s">
        <v>10024</v>
      </c>
      <c r="V1292" s="5" t="s">
        <v>10024</v>
      </c>
      <c r="W1292" s="5" t="s">
        <v>72</v>
      </c>
      <c r="X1292" s="5" t="s">
        <v>72</v>
      </c>
      <c r="Y1292" s="4">
        <v>265</v>
      </c>
      <c r="Z1292" s="4">
        <v>20</v>
      </c>
      <c r="AA1292" s="4">
        <v>20</v>
      </c>
      <c r="AB1292" s="4">
        <v>2</v>
      </c>
      <c r="AC1292" s="4">
        <v>2</v>
      </c>
      <c r="AD1292" s="4">
        <v>89</v>
      </c>
      <c r="AE1292" s="4">
        <v>89</v>
      </c>
      <c r="AF1292" s="4">
        <v>1</v>
      </c>
      <c r="AG1292" s="4">
        <v>1</v>
      </c>
      <c r="AH1292" s="4">
        <v>79</v>
      </c>
      <c r="AI1292" s="4">
        <v>79</v>
      </c>
      <c r="AJ1292" s="4">
        <v>14</v>
      </c>
      <c r="AK1292" s="4">
        <v>14</v>
      </c>
      <c r="AL1292" s="4">
        <v>42</v>
      </c>
      <c r="AM1292" s="4">
        <v>42</v>
      </c>
      <c r="AN1292" s="4">
        <v>0</v>
      </c>
      <c r="AO1292" s="4">
        <v>0</v>
      </c>
      <c r="AP1292" s="4">
        <v>17</v>
      </c>
      <c r="AQ1292" s="4">
        <v>17</v>
      </c>
      <c r="AR1292" s="3" t="s">
        <v>65</v>
      </c>
      <c r="AS1292" s="3" t="s">
        <v>65</v>
      </c>
      <c r="AT1292" s="3" t="s">
        <v>209</v>
      </c>
      <c r="AU1292" s="6" t="str">
        <f>HYPERLINK("http://catalog.hathitrust.org/Record/000647367","HathiTrust Record")</f>
        <v>HathiTrust Record</v>
      </c>
      <c r="AV1292" s="6" t="str">
        <f>HYPERLINK("http://mcgill.on.worldcat.org/oclc/11519306","Catalog Record")</f>
        <v>Catalog Record</v>
      </c>
      <c r="AW1292" s="6" t="str">
        <f>HYPERLINK("http://www.worldcat.org/oclc/11519306","WorldCat Record")</f>
        <v>WorldCat Record</v>
      </c>
      <c r="AX1292" s="3" t="s">
        <v>12719</v>
      </c>
      <c r="AY1292" s="3" t="s">
        <v>12720</v>
      </c>
      <c r="AZ1292" s="3" t="s">
        <v>12721</v>
      </c>
      <c r="BA1292" s="3" t="s">
        <v>12721</v>
      </c>
      <c r="BB1292" s="3" t="s">
        <v>12722</v>
      </c>
      <c r="BC1292" s="3" t="s">
        <v>77</v>
      </c>
      <c r="BD1292" s="3" t="s">
        <v>78</v>
      </c>
      <c r="BE1292" s="3" t="s">
        <v>12723</v>
      </c>
      <c r="BF1292" s="3" t="s">
        <v>12722</v>
      </c>
      <c r="BG1292" s="3" t="s">
        <v>12724</v>
      </c>
    </row>
    <row r="1293" spans="1:59" ht="58" x14ac:dyDescent="0.35">
      <c r="A1293" s="2" t="s">
        <v>59</v>
      </c>
      <c r="B1293" s="2" t="s">
        <v>60</v>
      </c>
      <c r="C1293" s="2" t="s">
        <v>12725</v>
      </c>
      <c r="D1293" s="2" t="s">
        <v>12726</v>
      </c>
      <c r="E1293" s="2" t="s">
        <v>12727</v>
      </c>
      <c r="G1293" s="3" t="s">
        <v>65</v>
      </c>
      <c r="I1293" s="3" t="s">
        <v>65</v>
      </c>
      <c r="J1293" s="3" t="s">
        <v>65</v>
      </c>
      <c r="K1293" s="3" t="s">
        <v>66</v>
      </c>
      <c r="L1293" s="2" t="s">
        <v>12038</v>
      </c>
      <c r="M1293" s="2" t="s">
        <v>11980</v>
      </c>
      <c r="N1293" s="3" t="s">
        <v>615</v>
      </c>
      <c r="P1293" s="3" t="s">
        <v>69</v>
      </c>
      <c r="R1293" s="3" t="s">
        <v>71</v>
      </c>
      <c r="S1293" s="4">
        <v>32</v>
      </c>
      <c r="T1293" s="4">
        <v>32</v>
      </c>
      <c r="U1293" s="5" t="s">
        <v>9898</v>
      </c>
      <c r="V1293" s="5" t="s">
        <v>9898</v>
      </c>
      <c r="W1293" s="5" t="s">
        <v>72</v>
      </c>
      <c r="X1293" s="5" t="s">
        <v>72</v>
      </c>
      <c r="Y1293" s="4">
        <v>733</v>
      </c>
      <c r="Z1293" s="4">
        <v>38</v>
      </c>
      <c r="AA1293" s="4">
        <v>97</v>
      </c>
      <c r="AB1293" s="4">
        <v>1</v>
      </c>
      <c r="AC1293" s="4">
        <v>15</v>
      </c>
      <c r="AD1293" s="4">
        <v>124</v>
      </c>
      <c r="AE1293" s="4">
        <v>151</v>
      </c>
      <c r="AF1293" s="4">
        <v>0</v>
      </c>
      <c r="AG1293" s="4">
        <v>8</v>
      </c>
      <c r="AH1293" s="4">
        <v>106</v>
      </c>
      <c r="AI1293" s="4">
        <v>110</v>
      </c>
      <c r="AJ1293" s="4">
        <v>18</v>
      </c>
      <c r="AK1293" s="4">
        <v>26</v>
      </c>
      <c r="AL1293" s="4">
        <v>59</v>
      </c>
      <c r="AM1293" s="4">
        <v>62</v>
      </c>
      <c r="AN1293" s="4">
        <v>0</v>
      </c>
      <c r="AO1293" s="4">
        <v>0</v>
      </c>
      <c r="AP1293" s="4">
        <v>26</v>
      </c>
      <c r="AQ1293" s="4">
        <v>49</v>
      </c>
      <c r="AR1293" s="3" t="s">
        <v>65</v>
      </c>
      <c r="AS1293" s="3" t="s">
        <v>65</v>
      </c>
      <c r="AT1293" s="3" t="s">
        <v>65</v>
      </c>
      <c r="AV1293" s="6" t="str">
        <f>HYPERLINK("http://mcgill.on.worldcat.org/oclc/10272917","Catalog Record")</f>
        <v>Catalog Record</v>
      </c>
      <c r="AW1293" s="6" t="str">
        <f>HYPERLINK("http://www.worldcat.org/oclc/10272917","WorldCat Record")</f>
        <v>WorldCat Record</v>
      </c>
      <c r="AX1293" s="3" t="s">
        <v>12728</v>
      </c>
      <c r="AY1293" s="3" t="s">
        <v>12729</v>
      </c>
      <c r="AZ1293" s="3" t="s">
        <v>12730</v>
      </c>
      <c r="BA1293" s="3" t="s">
        <v>12730</v>
      </c>
      <c r="BB1293" s="3" t="s">
        <v>12731</v>
      </c>
      <c r="BC1293" s="3" t="s">
        <v>77</v>
      </c>
      <c r="BD1293" s="3" t="s">
        <v>78</v>
      </c>
      <c r="BE1293" s="3" t="s">
        <v>12732</v>
      </c>
      <c r="BF1293" s="3" t="s">
        <v>12731</v>
      </c>
      <c r="BG1293" s="3" t="s">
        <v>12733</v>
      </c>
    </row>
    <row r="1294" spans="1:59" ht="58" x14ac:dyDescent="0.35">
      <c r="A1294" s="2" t="s">
        <v>59</v>
      </c>
      <c r="B1294" s="2" t="s">
        <v>60</v>
      </c>
      <c r="C1294" s="2" t="s">
        <v>12734</v>
      </c>
      <c r="D1294" s="2" t="s">
        <v>12735</v>
      </c>
      <c r="E1294" s="2" t="s">
        <v>12736</v>
      </c>
      <c r="G1294" s="3" t="s">
        <v>65</v>
      </c>
      <c r="I1294" s="3" t="s">
        <v>65</v>
      </c>
      <c r="J1294" s="3" t="s">
        <v>65</v>
      </c>
      <c r="K1294" s="3" t="s">
        <v>66</v>
      </c>
      <c r="L1294" s="2" t="s">
        <v>12737</v>
      </c>
      <c r="M1294" s="2" t="s">
        <v>12738</v>
      </c>
      <c r="N1294" s="3" t="s">
        <v>68</v>
      </c>
      <c r="P1294" s="3" t="s">
        <v>140</v>
      </c>
      <c r="Q1294" s="2" t="s">
        <v>12739</v>
      </c>
      <c r="R1294" s="3" t="s">
        <v>71</v>
      </c>
      <c r="S1294" s="4">
        <v>0</v>
      </c>
      <c r="T1294" s="4">
        <v>0</v>
      </c>
      <c r="W1294" s="5" t="s">
        <v>72</v>
      </c>
      <c r="X1294" s="5" t="s">
        <v>72</v>
      </c>
      <c r="Y1294" s="4">
        <v>50</v>
      </c>
      <c r="Z1294" s="4">
        <v>2</v>
      </c>
      <c r="AA1294" s="4">
        <v>2</v>
      </c>
      <c r="AB1294" s="4">
        <v>1</v>
      </c>
      <c r="AC1294" s="4">
        <v>1</v>
      </c>
      <c r="AD1294" s="4">
        <v>37</v>
      </c>
      <c r="AE1294" s="4">
        <v>37</v>
      </c>
      <c r="AF1294" s="4">
        <v>0</v>
      </c>
      <c r="AG1294" s="4">
        <v>0</v>
      </c>
      <c r="AH1294" s="4">
        <v>36</v>
      </c>
      <c r="AI1294" s="4">
        <v>36</v>
      </c>
      <c r="AJ1294" s="4">
        <v>1</v>
      </c>
      <c r="AK1294" s="4">
        <v>1</v>
      </c>
      <c r="AL1294" s="4">
        <v>29</v>
      </c>
      <c r="AM1294" s="4">
        <v>29</v>
      </c>
      <c r="AN1294" s="4">
        <v>0</v>
      </c>
      <c r="AO1294" s="4">
        <v>0</v>
      </c>
      <c r="AP1294" s="4">
        <v>1</v>
      </c>
      <c r="AQ1294" s="4">
        <v>1</v>
      </c>
      <c r="AR1294" s="3" t="s">
        <v>65</v>
      </c>
      <c r="AS1294" s="3" t="s">
        <v>65</v>
      </c>
      <c r="AT1294" s="3" t="s">
        <v>65</v>
      </c>
      <c r="AV1294" s="6" t="str">
        <f>HYPERLINK("http://mcgill.on.worldcat.org/oclc/971545561","Catalog Record")</f>
        <v>Catalog Record</v>
      </c>
      <c r="AW1294" s="6" t="str">
        <f>HYPERLINK("http://www.worldcat.org/oclc/971545561","WorldCat Record")</f>
        <v>WorldCat Record</v>
      </c>
      <c r="AX1294" s="3" t="s">
        <v>12740</v>
      </c>
      <c r="AY1294" s="3" t="s">
        <v>12741</v>
      </c>
      <c r="AZ1294" s="3" t="s">
        <v>12742</v>
      </c>
      <c r="BA1294" s="3" t="s">
        <v>12742</v>
      </c>
      <c r="BB1294" s="3" t="s">
        <v>12743</v>
      </c>
      <c r="BC1294" s="3" t="s">
        <v>77</v>
      </c>
      <c r="BD1294" s="3" t="s">
        <v>78</v>
      </c>
      <c r="BE1294" s="3" t="s">
        <v>12744</v>
      </c>
      <c r="BF1294" s="3" t="s">
        <v>12743</v>
      </c>
      <c r="BG1294" s="3" t="s">
        <v>12745</v>
      </c>
    </row>
    <row r="1295" spans="1:59" ht="58" x14ac:dyDescent="0.35">
      <c r="A1295" s="2" t="s">
        <v>59</v>
      </c>
      <c r="B1295" s="2" t="s">
        <v>60</v>
      </c>
      <c r="C1295" s="2" t="s">
        <v>12746</v>
      </c>
      <c r="D1295" s="2" t="s">
        <v>12747</v>
      </c>
      <c r="E1295" s="2" t="s">
        <v>12748</v>
      </c>
      <c r="G1295" s="3" t="s">
        <v>65</v>
      </c>
      <c r="I1295" s="3" t="s">
        <v>209</v>
      </c>
      <c r="J1295" s="3" t="s">
        <v>65</v>
      </c>
      <c r="K1295" s="3" t="s">
        <v>66</v>
      </c>
      <c r="L1295" s="2" t="s">
        <v>12749</v>
      </c>
      <c r="M1295" s="2" t="s">
        <v>12750</v>
      </c>
      <c r="N1295" s="3" t="s">
        <v>12751</v>
      </c>
      <c r="P1295" s="3" t="s">
        <v>69</v>
      </c>
      <c r="Q1295" s="2" t="s">
        <v>12752</v>
      </c>
      <c r="R1295" s="3" t="s">
        <v>71</v>
      </c>
      <c r="S1295" s="4">
        <v>6</v>
      </c>
      <c r="T1295" s="4">
        <v>41</v>
      </c>
      <c r="U1295" s="5" t="s">
        <v>10024</v>
      </c>
      <c r="V1295" s="5" t="s">
        <v>10024</v>
      </c>
      <c r="W1295" s="5" t="s">
        <v>72</v>
      </c>
      <c r="X1295" s="5" t="s">
        <v>72</v>
      </c>
      <c r="Y1295" s="4">
        <v>579</v>
      </c>
      <c r="Z1295" s="4">
        <v>39</v>
      </c>
      <c r="AA1295" s="4">
        <v>41</v>
      </c>
      <c r="AB1295" s="4">
        <v>2</v>
      </c>
      <c r="AC1295" s="4">
        <v>4</v>
      </c>
      <c r="AD1295" s="4">
        <v>116</v>
      </c>
      <c r="AE1295" s="4">
        <v>123</v>
      </c>
      <c r="AF1295" s="4">
        <v>1</v>
      </c>
      <c r="AG1295" s="4">
        <v>2</v>
      </c>
      <c r="AH1295" s="4">
        <v>97</v>
      </c>
      <c r="AI1295" s="4">
        <v>103</v>
      </c>
      <c r="AJ1295" s="4">
        <v>18</v>
      </c>
      <c r="AK1295" s="4">
        <v>19</v>
      </c>
      <c r="AL1295" s="4">
        <v>54</v>
      </c>
      <c r="AM1295" s="4">
        <v>58</v>
      </c>
      <c r="AN1295" s="4">
        <v>5</v>
      </c>
      <c r="AO1295" s="4">
        <v>9</v>
      </c>
      <c r="AP1295" s="4">
        <v>25</v>
      </c>
      <c r="AQ1295" s="4">
        <v>26</v>
      </c>
      <c r="AR1295" s="3" t="s">
        <v>65</v>
      </c>
      <c r="AS1295" s="3" t="s">
        <v>65</v>
      </c>
      <c r="AT1295" s="3" t="s">
        <v>209</v>
      </c>
      <c r="AU1295" s="6" t="str">
        <f>HYPERLINK("http://catalog.hathitrust.org/Record/001219004","HathiTrust Record")</f>
        <v>HathiTrust Record</v>
      </c>
      <c r="AV1295" s="6" t="str">
        <f>HYPERLINK("http://mcgill.on.worldcat.org/oclc/344511","Catalog Record")</f>
        <v>Catalog Record</v>
      </c>
      <c r="AW1295" s="6" t="str">
        <f>HYPERLINK("http://www.worldcat.org/oclc/344511","WorldCat Record")</f>
        <v>WorldCat Record</v>
      </c>
      <c r="AX1295" s="3" t="s">
        <v>12753</v>
      </c>
      <c r="AY1295" s="3" t="s">
        <v>12754</v>
      </c>
      <c r="AZ1295" s="3" t="s">
        <v>12755</v>
      </c>
      <c r="BA1295" s="3" t="s">
        <v>12755</v>
      </c>
      <c r="BB1295" s="3" t="s">
        <v>12756</v>
      </c>
      <c r="BC1295" s="3" t="s">
        <v>77</v>
      </c>
      <c r="BD1295" s="3" t="s">
        <v>78</v>
      </c>
      <c r="BF1295" s="3" t="s">
        <v>12756</v>
      </c>
      <c r="BG1295" s="3" t="s">
        <v>12757</v>
      </c>
    </row>
    <row r="1296" spans="1:59" ht="58" x14ac:dyDescent="0.35">
      <c r="A1296" s="2" t="s">
        <v>59</v>
      </c>
      <c r="B1296" s="2" t="s">
        <v>60</v>
      </c>
      <c r="C1296" s="2" t="s">
        <v>12746</v>
      </c>
      <c r="D1296" s="2" t="s">
        <v>12747</v>
      </c>
      <c r="E1296" s="2" t="s">
        <v>12748</v>
      </c>
      <c r="G1296" s="3" t="s">
        <v>65</v>
      </c>
      <c r="I1296" s="3" t="s">
        <v>209</v>
      </c>
      <c r="J1296" s="3" t="s">
        <v>65</v>
      </c>
      <c r="K1296" s="3" t="s">
        <v>66</v>
      </c>
      <c r="L1296" s="2" t="s">
        <v>12749</v>
      </c>
      <c r="M1296" s="2" t="s">
        <v>12750</v>
      </c>
      <c r="N1296" s="3" t="s">
        <v>12751</v>
      </c>
      <c r="P1296" s="3" t="s">
        <v>69</v>
      </c>
      <c r="Q1296" s="2" t="s">
        <v>12752</v>
      </c>
      <c r="R1296" s="3" t="s">
        <v>71</v>
      </c>
      <c r="S1296" s="4">
        <v>35</v>
      </c>
      <c r="T1296" s="4">
        <v>41</v>
      </c>
      <c r="U1296" s="5" t="s">
        <v>9898</v>
      </c>
      <c r="V1296" s="5" t="s">
        <v>10024</v>
      </c>
      <c r="W1296" s="5" t="s">
        <v>72</v>
      </c>
      <c r="X1296" s="5" t="s">
        <v>72</v>
      </c>
      <c r="Y1296" s="4">
        <v>579</v>
      </c>
      <c r="Z1296" s="4">
        <v>39</v>
      </c>
      <c r="AA1296" s="4">
        <v>41</v>
      </c>
      <c r="AB1296" s="4">
        <v>2</v>
      </c>
      <c r="AC1296" s="4">
        <v>4</v>
      </c>
      <c r="AD1296" s="4">
        <v>116</v>
      </c>
      <c r="AE1296" s="4">
        <v>123</v>
      </c>
      <c r="AF1296" s="4">
        <v>1</v>
      </c>
      <c r="AG1296" s="4">
        <v>2</v>
      </c>
      <c r="AH1296" s="4">
        <v>97</v>
      </c>
      <c r="AI1296" s="4">
        <v>103</v>
      </c>
      <c r="AJ1296" s="4">
        <v>18</v>
      </c>
      <c r="AK1296" s="4">
        <v>19</v>
      </c>
      <c r="AL1296" s="4">
        <v>54</v>
      </c>
      <c r="AM1296" s="4">
        <v>58</v>
      </c>
      <c r="AN1296" s="4">
        <v>5</v>
      </c>
      <c r="AO1296" s="4">
        <v>9</v>
      </c>
      <c r="AP1296" s="4">
        <v>25</v>
      </c>
      <c r="AQ1296" s="4">
        <v>26</v>
      </c>
      <c r="AR1296" s="3" t="s">
        <v>65</v>
      </c>
      <c r="AS1296" s="3" t="s">
        <v>65</v>
      </c>
      <c r="AT1296" s="3" t="s">
        <v>209</v>
      </c>
      <c r="AU1296" s="6" t="str">
        <f>HYPERLINK("http://catalog.hathitrust.org/Record/001219004","HathiTrust Record")</f>
        <v>HathiTrust Record</v>
      </c>
      <c r="AV1296" s="6" t="str">
        <f>HYPERLINK("http://mcgill.on.worldcat.org/oclc/344511","Catalog Record")</f>
        <v>Catalog Record</v>
      </c>
      <c r="AW1296" s="6" t="str">
        <f>HYPERLINK("http://www.worldcat.org/oclc/344511","WorldCat Record")</f>
        <v>WorldCat Record</v>
      </c>
      <c r="AX1296" s="3" t="s">
        <v>12753</v>
      </c>
      <c r="AY1296" s="3" t="s">
        <v>12754</v>
      </c>
      <c r="AZ1296" s="3" t="s">
        <v>12755</v>
      </c>
      <c r="BA1296" s="3" t="s">
        <v>12755</v>
      </c>
      <c r="BB1296" s="3" t="s">
        <v>12758</v>
      </c>
      <c r="BC1296" s="3" t="s">
        <v>77</v>
      </c>
      <c r="BD1296" s="3" t="s">
        <v>78</v>
      </c>
      <c r="BF1296" s="3" t="s">
        <v>12758</v>
      </c>
      <c r="BG1296" s="3" t="s">
        <v>12759</v>
      </c>
    </row>
    <row r="1297" spans="1:59" ht="58" x14ac:dyDescent="0.35">
      <c r="A1297" s="2" t="s">
        <v>59</v>
      </c>
      <c r="B1297" s="2" t="s">
        <v>60</v>
      </c>
      <c r="C1297" s="2" t="s">
        <v>12760</v>
      </c>
      <c r="D1297" s="2" t="s">
        <v>12761</v>
      </c>
      <c r="E1297" s="2" t="s">
        <v>12762</v>
      </c>
      <c r="G1297" s="3" t="s">
        <v>65</v>
      </c>
      <c r="I1297" s="3" t="s">
        <v>65</v>
      </c>
      <c r="J1297" s="3" t="s">
        <v>65</v>
      </c>
      <c r="K1297" s="3" t="s">
        <v>66</v>
      </c>
      <c r="L1297" s="2" t="s">
        <v>12763</v>
      </c>
      <c r="M1297" s="2" t="s">
        <v>12764</v>
      </c>
      <c r="N1297" s="3" t="s">
        <v>3088</v>
      </c>
      <c r="P1297" s="3" t="s">
        <v>69</v>
      </c>
      <c r="R1297" s="3" t="s">
        <v>71</v>
      </c>
      <c r="S1297" s="4">
        <v>19</v>
      </c>
      <c r="T1297" s="4">
        <v>19</v>
      </c>
      <c r="U1297" s="5" t="s">
        <v>10465</v>
      </c>
      <c r="V1297" s="5" t="s">
        <v>10465</v>
      </c>
      <c r="W1297" s="5" t="s">
        <v>72</v>
      </c>
      <c r="X1297" s="5" t="s">
        <v>72</v>
      </c>
      <c r="Y1297" s="4">
        <v>128</v>
      </c>
      <c r="Z1297" s="4">
        <v>6</v>
      </c>
      <c r="AA1297" s="4">
        <v>9</v>
      </c>
      <c r="AB1297" s="4">
        <v>1</v>
      </c>
      <c r="AC1297" s="4">
        <v>2</v>
      </c>
      <c r="AD1297" s="4">
        <v>48</v>
      </c>
      <c r="AE1297" s="4">
        <v>52</v>
      </c>
      <c r="AF1297" s="4">
        <v>0</v>
      </c>
      <c r="AG1297" s="4">
        <v>1</v>
      </c>
      <c r="AH1297" s="4">
        <v>45</v>
      </c>
      <c r="AI1297" s="4">
        <v>48</v>
      </c>
      <c r="AJ1297" s="4">
        <v>4</v>
      </c>
      <c r="AK1297" s="4">
        <v>6</v>
      </c>
      <c r="AL1297" s="4">
        <v>32</v>
      </c>
      <c r="AM1297" s="4">
        <v>32</v>
      </c>
      <c r="AN1297" s="4">
        <v>0</v>
      </c>
      <c r="AO1297" s="4">
        <v>0</v>
      </c>
      <c r="AP1297" s="4">
        <v>4</v>
      </c>
      <c r="AQ1297" s="4">
        <v>5</v>
      </c>
      <c r="AR1297" s="3" t="s">
        <v>65</v>
      </c>
      <c r="AS1297" s="3" t="s">
        <v>209</v>
      </c>
      <c r="AT1297" s="3" t="s">
        <v>65</v>
      </c>
      <c r="AU1297" s="6" t="str">
        <f>HYPERLINK("http://catalog.hathitrust.org/Record/001639873","HathiTrust Record")</f>
        <v>HathiTrust Record</v>
      </c>
      <c r="AV1297" s="6" t="str">
        <f>HYPERLINK("http://mcgill.on.worldcat.org/oclc/3978082","Catalog Record")</f>
        <v>Catalog Record</v>
      </c>
      <c r="AW1297" s="6" t="str">
        <f>HYPERLINK("http://www.worldcat.org/oclc/3978082","WorldCat Record")</f>
        <v>WorldCat Record</v>
      </c>
      <c r="AX1297" s="3" t="s">
        <v>12765</v>
      </c>
      <c r="AY1297" s="3" t="s">
        <v>12766</v>
      </c>
      <c r="AZ1297" s="3" t="s">
        <v>12767</v>
      </c>
      <c r="BA1297" s="3" t="s">
        <v>12767</v>
      </c>
      <c r="BB1297" s="3" t="s">
        <v>12768</v>
      </c>
      <c r="BC1297" s="3" t="s">
        <v>5567</v>
      </c>
      <c r="BD1297" s="3" t="s">
        <v>78</v>
      </c>
      <c r="BF1297" s="3" t="s">
        <v>12768</v>
      </c>
      <c r="BG1297" s="3" t="s">
        <v>12769</v>
      </c>
    </row>
    <row r="1298" spans="1:59" ht="58" x14ac:dyDescent="0.35">
      <c r="A1298" s="2" t="s">
        <v>59</v>
      </c>
      <c r="B1298" s="2" t="s">
        <v>60</v>
      </c>
      <c r="C1298" s="2" t="s">
        <v>12770</v>
      </c>
      <c r="D1298" s="2" t="s">
        <v>12771</v>
      </c>
      <c r="E1298" s="2" t="s">
        <v>12772</v>
      </c>
      <c r="G1298" s="3" t="s">
        <v>65</v>
      </c>
      <c r="I1298" s="3" t="s">
        <v>65</v>
      </c>
      <c r="J1298" s="3" t="s">
        <v>65</v>
      </c>
      <c r="K1298" s="3" t="s">
        <v>66</v>
      </c>
      <c r="L1298" s="2" t="s">
        <v>12051</v>
      </c>
      <c r="M1298" s="2" t="s">
        <v>12773</v>
      </c>
      <c r="N1298" s="3" t="s">
        <v>139</v>
      </c>
      <c r="P1298" s="3" t="s">
        <v>140</v>
      </c>
      <c r="Q1298" s="2" t="s">
        <v>12053</v>
      </c>
      <c r="R1298" s="3" t="s">
        <v>71</v>
      </c>
      <c r="S1298" s="4">
        <v>0</v>
      </c>
      <c r="T1298" s="4">
        <v>0</v>
      </c>
      <c r="W1298" s="5" t="s">
        <v>72</v>
      </c>
      <c r="X1298" s="5" t="s">
        <v>72</v>
      </c>
      <c r="Y1298" s="4">
        <v>42</v>
      </c>
      <c r="Z1298" s="4">
        <v>6</v>
      </c>
      <c r="AA1298" s="4">
        <v>6</v>
      </c>
      <c r="AB1298" s="4">
        <v>1</v>
      </c>
      <c r="AC1298" s="4">
        <v>1</v>
      </c>
      <c r="AD1298" s="4">
        <v>31</v>
      </c>
      <c r="AE1298" s="4">
        <v>31</v>
      </c>
      <c r="AF1298" s="4">
        <v>0</v>
      </c>
      <c r="AG1298" s="4">
        <v>0</v>
      </c>
      <c r="AH1298" s="4">
        <v>30</v>
      </c>
      <c r="AI1298" s="4">
        <v>30</v>
      </c>
      <c r="AJ1298" s="4">
        <v>3</v>
      </c>
      <c r="AK1298" s="4">
        <v>3</v>
      </c>
      <c r="AL1298" s="4">
        <v>26</v>
      </c>
      <c r="AM1298" s="4">
        <v>26</v>
      </c>
      <c r="AN1298" s="4">
        <v>0</v>
      </c>
      <c r="AO1298" s="4">
        <v>0</v>
      </c>
      <c r="AP1298" s="4">
        <v>3</v>
      </c>
      <c r="AQ1298" s="4">
        <v>3</v>
      </c>
      <c r="AR1298" s="3" t="s">
        <v>65</v>
      </c>
      <c r="AS1298" s="3" t="s">
        <v>65</v>
      </c>
      <c r="AT1298" s="3" t="s">
        <v>65</v>
      </c>
      <c r="AV1298" s="6" t="str">
        <f>HYPERLINK("http://mcgill.on.worldcat.org/oclc/827228837","Catalog Record")</f>
        <v>Catalog Record</v>
      </c>
      <c r="AW1298" s="6" t="str">
        <f>HYPERLINK("http://www.worldcat.org/oclc/827228837","WorldCat Record")</f>
        <v>WorldCat Record</v>
      </c>
      <c r="AX1298" s="3" t="s">
        <v>12774</v>
      </c>
      <c r="AY1298" s="3" t="s">
        <v>12775</v>
      </c>
      <c r="AZ1298" s="3" t="s">
        <v>12776</v>
      </c>
      <c r="BA1298" s="3" t="s">
        <v>12776</v>
      </c>
      <c r="BB1298" s="3" t="s">
        <v>12777</v>
      </c>
      <c r="BC1298" s="3" t="s">
        <v>77</v>
      </c>
      <c r="BD1298" s="3" t="s">
        <v>78</v>
      </c>
      <c r="BE1298" s="3" t="s">
        <v>12778</v>
      </c>
      <c r="BF1298" s="3" t="s">
        <v>12777</v>
      </c>
      <c r="BG1298" s="3" t="s">
        <v>12779</v>
      </c>
    </row>
    <row r="1299" spans="1:59" ht="58" x14ac:dyDescent="0.35">
      <c r="A1299" s="2" t="s">
        <v>59</v>
      </c>
      <c r="B1299" s="2" t="s">
        <v>60</v>
      </c>
      <c r="C1299" s="2" t="s">
        <v>12780</v>
      </c>
      <c r="D1299" s="2" t="s">
        <v>12781</v>
      </c>
      <c r="E1299" s="2" t="s">
        <v>12782</v>
      </c>
      <c r="G1299" s="3" t="s">
        <v>65</v>
      </c>
      <c r="I1299" s="3" t="s">
        <v>209</v>
      </c>
      <c r="J1299" s="3" t="s">
        <v>65</v>
      </c>
      <c r="K1299" s="3" t="s">
        <v>66</v>
      </c>
      <c r="L1299" s="2" t="s">
        <v>12783</v>
      </c>
      <c r="M1299" s="2" t="s">
        <v>12784</v>
      </c>
      <c r="N1299" s="3" t="s">
        <v>12785</v>
      </c>
      <c r="P1299" s="3" t="s">
        <v>69</v>
      </c>
      <c r="Q1299" s="2" t="s">
        <v>12786</v>
      </c>
      <c r="R1299" s="3" t="s">
        <v>71</v>
      </c>
      <c r="S1299" s="4">
        <v>6</v>
      </c>
      <c r="T1299" s="4">
        <v>7</v>
      </c>
      <c r="U1299" s="5" t="s">
        <v>9558</v>
      </c>
      <c r="V1299" s="5" t="s">
        <v>12341</v>
      </c>
      <c r="W1299" s="5" t="s">
        <v>12787</v>
      </c>
      <c r="X1299" s="5" t="s">
        <v>12787</v>
      </c>
      <c r="Y1299" s="4">
        <v>450</v>
      </c>
      <c r="Z1299" s="4">
        <v>19</v>
      </c>
      <c r="AA1299" s="4">
        <v>25</v>
      </c>
      <c r="AB1299" s="4">
        <v>3</v>
      </c>
      <c r="AC1299" s="4">
        <v>4</v>
      </c>
      <c r="AD1299" s="4">
        <v>79</v>
      </c>
      <c r="AE1299" s="4">
        <v>87</v>
      </c>
      <c r="AF1299" s="4">
        <v>2</v>
      </c>
      <c r="AG1299" s="4">
        <v>3</v>
      </c>
      <c r="AH1299" s="4">
        <v>67</v>
      </c>
      <c r="AI1299" s="4">
        <v>73</v>
      </c>
      <c r="AJ1299" s="4">
        <v>9</v>
      </c>
      <c r="AK1299" s="4">
        <v>12</v>
      </c>
      <c r="AL1299" s="4">
        <v>39</v>
      </c>
      <c r="AM1299" s="4">
        <v>41</v>
      </c>
      <c r="AN1299" s="4">
        <v>0</v>
      </c>
      <c r="AO1299" s="4">
        <v>0</v>
      </c>
      <c r="AP1299" s="4">
        <v>14</v>
      </c>
      <c r="AQ1299" s="4">
        <v>19</v>
      </c>
      <c r="AR1299" s="3" t="s">
        <v>65</v>
      </c>
      <c r="AS1299" s="3" t="s">
        <v>65</v>
      </c>
      <c r="AT1299" s="3" t="s">
        <v>65</v>
      </c>
      <c r="AV1299" s="6" t="str">
        <f>HYPERLINK("http://mcgill.on.worldcat.org/oclc/587828","Catalog Record")</f>
        <v>Catalog Record</v>
      </c>
      <c r="AW1299" s="6" t="str">
        <f>HYPERLINK("http://www.worldcat.org/oclc/587828","WorldCat Record")</f>
        <v>WorldCat Record</v>
      </c>
      <c r="AX1299" s="3" t="s">
        <v>12788</v>
      </c>
      <c r="AY1299" s="3" t="s">
        <v>12789</v>
      </c>
      <c r="AZ1299" s="3" t="s">
        <v>12790</v>
      </c>
      <c r="BA1299" s="3" t="s">
        <v>12790</v>
      </c>
      <c r="BB1299" s="3" t="s">
        <v>12791</v>
      </c>
      <c r="BC1299" s="3" t="s">
        <v>77</v>
      </c>
      <c r="BD1299" s="3" t="s">
        <v>78</v>
      </c>
      <c r="BF1299" s="3" t="s">
        <v>12791</v>
      </c>
      <c r="BG1299" s="3" t="s">
        <v>12792</v>
      </c>
    </row>
    <row r="1300" spans="1:59" ht="58" x14ac:dyDescent="0.35">
      <c r="A1300" s="2" t="s">
        <v>59</v>
      </c>
      <c r="B1300" s="2" t="s">
        <v>60</v>
      </c>
      <c r="C1300" s="2" t="s">
        <v>12780</v>
      </c>
      <c r="D1300" s="2" t="s">
        <v>12781</v>
      </c>
      <c r="E1300" s="2" t="s">
        <v>12782</v>
      </c>
      <c r="G1300" s="3" t="s">
        <v>65</v>
      </c>
      <c r="I1300" s="3" t="s">
        <v>209</v>
      </c>
      <c r="J1300" s="3" t="s">
        <v>65</v>
      </c>
      <c r="K1300" s="3" t="s">
        <v>66</v>
      </c>
      <c r="L1300" s="2" t="s">
        <v>12783</v>
      </c>
      <c r="M1300" s="2" t="s">
        <v>12784</v>
      </c>
      <c r="N1300" s="3" t="s">
        <v>12785</v>
      </c>
      <c r="P1300" s="3" t="s">
        <v>69</v>
      </c>
      <c r="Q1300" s="2" t="s">
        <v>12786</v>
      </c>
      <c r="R1300" s="3" t="s">
        <v>71</v>
      </c>
      <c r="S1300" s="4">
        <v>1</v>
      </c>
      <c r="T1300" s="4">
        <v>7</v>
      </c>
      <c r="U1300" s="5" t="s">
        <v>12341</v>
      </c>
      <c r="V1300" s="5" t="s">
        <v>12341</v>
      </c>
      <c r="W1300" s="5" t="s">
        <v>72</v>
      </c>
      <c r="X1300" s="5" t="s">
        <v>12787</v>
      </c>
      <c r="Y1300" s="4">
        <v>450</v>
      </c>
      <c r="Z1300" s="4">
        <v>19</v>
      </c>
      <c r="AA1300" s="4">
        <v>25</v>
      </c>
      <c r="AB1300" s="4">
        <v>3</v>
      </c>
      <c r="AC1300" s="4">
        <v>4</v>
      </c>
      <c r="AD1300" s="4">
        <v>79</v>
      </c>
      <c r="AE1300" s="4">
        <v>87</v>
      </c>
      <c r="AF1300" s="4">
        <v>2</v>
      </c>
      <c r="AG1300" s="4">
        <v>3</v>
      </c>
      <c r="AH1300" s="4">
        <v>67</v>
      </c>
      <c r="AI1300" s="4">
        <v>73</v>
      </c>
      <c r="AJ1300" s="4">
        <v>9</v>
      </c>
      <c r="AK1300" s="4">
        <v>12</v>
      </c>
      <c r="AL1300" s="4">
        <v>39</v>
      </c>
      <c r="AM1300" s="4">
        <v>41</v>
      </c>
      <c r="AN1300" s="4">
        <v>0</v>
      </c>
      <c r="AO1300" s="4">
        <v>0</v>
      </c>
      <c r="AP1300" s="4">
        <v>14</v>
      </c>
      <c r="AQ1300" s="4">
        <v>19</v>
      </c>
      <c r="AR1300" s="3" t="s">
        <v>65</v>
      </c>
      <c r="AS1300" s="3" t="s">
        <v>65</v>
      </c>
      <c r="AT1300" s="3" t="s">
        <v>65</v>
      </c>
      <c r="AV1300" s="6" t="str">
        <f>HYPERLINK("http://mcgill.on.worldcat.org/oclc/587828","Catalog Record")</f>
        <v>Catalog Record</v>
      </c>
      <c r="AW1300" s="6" t="str">
        <f>HYPERLINK("http://www.worldcat.org/oclc/587828","WorldCat Record")</f>
        <v>WorldCat Record</v>
      </c>
      <c r="AX1300" s="3" t="s">
        <v>12788</v>
      </c>
      <c r="AY1300" s="3" t="s">
        <v>12789</v>
      </c>
      <c r="AZ1300" s="3" t="s">
        <v>12790</v>
      </c>
      <c r="BA1300" s="3" t="s">
        <v>12790</v>
      </c>
      <c r="BB1300" s="3" t="s">
        <v>12793</v>
      </c>
      <c r="BC1300" s="3" t="s">
        <v>77</v>
      </c>
      <c r="BD1300" s="3" t="s">
        <v>78</v>
      </c>
      <c r="BF1300" s="3" t="s">
        <v>12793</v>
      </c>
      <c r="BG1300" s="3" t="s">
        <v>12794</v>
      </c>
    </row>
    <row r="1301" spans="1:59" ht="58" x14ac:dyDescent="0.35">
      <c r="A1301" s="2" t="s">
        <v>59</v>
      </c>
      <c r="B1301" s="2" t="s">
        <v>60</v>
      </c>
      <c r="C1301" s="2" t="s">
        <v>12795</v>
      </c>
      <c r="D1301" s="2" t="s">
        <v>12796</v>
      </c>
      <c r="E1301" s="2" t="s">
        <v>12797</v>
      </c>
      <c r="G1301" s="3" t="s">
        <v>65</v>
      </c>
      <c r="I1301" s="3" t="s">
        <v>65</v>
      </c>
      <c r="J1301" s="3" t="s">
        <v>65</v>
      </c>
      <c r="K1301" s="3" t="s">
        <v>66</v>
      </c>
      <c r="L1301" s="2" t="s">
        <v>12798</v>
      </c>
      <c r="M1301" s="2" t="s">
        <v>12799</v>
      </c>
      <c r="N1301" s="3" t="s">
        <v>126</v>
      </c>
      <c r="O1301" s="2" t="s">
        <v>2086</v>
      </c>
      <c r="P1301" s="3" t="s">
        <v>69</v>
      </c>
      <c r="R1301" s="3" t="s">
        <v>71</v>
      </c>
      <c r="S1301" s="4">
        <v>2</v>
      </c>
      <c r="T1301" s="4">
        <v>2</v>
      </c>
      <c r="U1301" s="5" t="s">
        <v>12800</v>
      </c>
      <c r="V1301" s="5" t="s">
        <v>12800</v>
      </c>
      <c r="W1301" s="5" t="s">
        <v>72</v>
      </c>
      <c r="X1301" s="5" t="s">
        <v>72</v>
      </c>
      <c r="Y1301" s="4">
        <v>464</v>
      </c>
      <c r="Z1301" s="4">
        <v>12</v>
      </c>
      <c r="AA1301" s="4">
        <v>22</v>
      </c>
      <c r="AB1301" s="4">
        <v>1</v>
      </c>
      <c r="AC1301" s="4">
        <v>3</v>
      </c>
      <c r="AD1301" s="4">
        <v>56</v>
      </c>
      <c r="AE1301" s="4">
        <v>83</v>
      </c>
      <c r="AF1301" s="4">
        <v>0</v>
      </c>
      <c r="AG1301" s="4">
        <v>0</v>
      </c>
      <c r="AH1301" s="4">
        <v>51</v>
      </c>
      <c r="AI1301" s="4">
        <v>76</v>
      </c>
      <c r="AJ1301" s="4">
        <v>4</v>
      </c>
      <c r="AK1301" s="4">
        <v>10</v>
      </c>
      <c r="AL1301" s="4">
        <v>30</v>
      </c>
      <c r="AM1301" s="4">
        <v>45</v>
      </c>
      <c r="AN1301" s="4">
        <v>0</v>
      </c>
      <c r="AO1301" s="4">
        <v>0</v>
      </c>
      <c r="AP1301" s="4">
        <v>6</v>
      </c>
      <c r="AQ1301" s="4">
        <v>12</v>
      </c>
      <c r="AR1301" s="3" t="s">
        <v>65</v>
      </c>
      <c r="AS1301" s="3" t="s">
        <v>65</v>
      </c>
      <c r="AT1301" s="3" t="s">
        <v>65</v>
      </c>
      <c r="AV1301" s="6" t="str">
        <f>HYPERLINK("http://mcgill.on.worldcat.org/oclc/706021029","Catalog Record")</f>
        <v>Catalog Record</v>
      </c>
      <c r="AW1301" s="6" t="str">
        <f>HYPERLINK("http://www.worldcat.org/oclc/706021029","WorldCat Record")</f>
        <v>WorldCat Record</v>
      </c>
      <c r="AX1301" s="3" t="s">
        <v>12801</v>
      </c>
      <c r="AY1301" s="3" t="s">
        <v>12802</v>
      </c>
      <c r="AZ1301" s="3" t="s">
        <v>12803</v>
      </c>
      <c r="BA1301" s="3" t="s">
        <v>12803</v>
      </c>
      <c r="BB1301" s="3" t="s">
        <v>12804</v>
      </c>
      <c r="BC1301" s="3" t="s">
        <v>77</v>
      </c>
      <c r="BD1301" s="3" t="s">
        <v>78</v>
      </c>
      <c r="BE1301" s="3" t="s">
        <v>12805</v>
      </c>
      <c r="BF1301" s="3" t="s">
        <v>12804</v>
      </c>
      <c r="BG1301" s="3" t="s">
        <v>12806</v>
      </c>
    </row>
    <row r="1302" spans="1:59" ht="58" x14ac:dyDescent="0.35">
      <c r="A1302" s="2" t="s">
        <v>59</v>
      </c>
      <c r="B1302" s="2" t="s">
        <v>60</v>
      </c>
      <c r="C1302" s="2" t="s">
        <v>12807</v>
      </c>
      <c r="D1302" s="2" t="s">
        <v>12808</v>
      </c>
      <c r="E1302" s="2" t="s">
        <v>12809</v>
      </c>
      <c r="G1302" s="3" t="s">
        <v>65</v>
      </c>
      <c r="I1302" s="3" t="s">
        <v>65</v>
      </c>
      <c r="J1302" s="3" t="s">
        <v>65</v>
      </c>
      <c r="K1302" s="3" t="s">
        <v>66</v>
      </c>
      <c r="L1302" s="2" t="s">
        <v>5248</v>
      </c>
      <c r="M1302" s="2" t="s">
        <v>12810</v>
      </c>
      <c r="N1302" s="3" t="s">
        <v>7187</v>
      </c>
      <c r="P1302" s="3" t="s">
        <v>140</v>
      </c>
      <c r="Q1302" s="2" t="s">
        <v>12811</v>
      </c>
      <c r="R1302" s="3" t="s">
        <v>71</v>
      </c>
      <c r="S1302" s="4">
        <v>4</v>
      </c>
      <c r="T1302" s="4">
        <v>4</v>
      </c>
      <c r="U1302" s="5" t="s">
        <v>8801</v>
      </c>
      <c r="V1302" s="5" t="s">
        <v>8801</v>
      </c>
      <c r="W1302" s="5" t="s">
        <v>72</v>
      </c>
      <c r="X1302" s="5" t="s">
        <v>72</v>
      </c>
      <c r="Y1302" s="4">
        <v>148</v>
      </c>
      <c r="Z1302" s="4">
        <v>13</v>
      </c>
      <c r="AA1302" s="4">
        <v>15</v>
      </c>
      <c r="AB1302" s="4">
        <v>1</v>
      </c>
      <c r="AC1302" s="4">
        <v>2</v>
      </c>
      <c r="AD1302" s="4">
        <v>70</v>
      </c>
      <c r="AE1302" s="4">
        <v>72</v>
      </c>
      <c r="AF1302" s="4">
        <v>0</v>
      </c>
      <c r="AG1302" s="4">
        <v>1</v>
      </c>
      <c r="AH1302" s="4">
        <v>64</v>
      </c>
      <c r="AI1302" s="4">
        <v>65</v>
      </c>
      <c r="AJ1302" s="4">
        <v>9</v>
      </c>
      <c r="AK1302" s="4">
        <v>11</v>
      </c>
      <c r="AL1302" s="4">
        <v>45</v>
      </c>
      <c r="AM1302" s="4">
        <v>45</v>
      </c>
      <c r="AN1302" s="4">
        <v>0</v>
      </c>
      <c r="AO1302" s="4">
        <v>0</v>
      </c>
      <c r="AP1302" s="4">
        <v>9</v>
      </c>
      <c r="AQ1302" s="4">
        <v>10</v>
      </c>
      <c r="AR1302" s="3" t="s">
        <v>65</v>
      </c>
      <c r="AS1302" s="3" t="s">
        <v>65</v>
      </c>
      <c r="AT1302" s="3" t="s">
        <v>65</v>
      </c>
      <c r="AV1302" s="6" t="str">
        <f>HYPERLINK("http://mcgill.on.worldcat.org/oclc/3759670","Catalog Record")</f>
        <v>Catalog Record</v>
      </c>
      <c r="AW1302" s="6" t="str">
        <f>HYPERLINK("http://www.worldcat.org/oclc/3759670","WorldCat Record")</f>
        <v>WorldCat Record</v>
      </c>
      <c r="AX1302" s="3" t="s">
        <v>12812</v>
      </c>
      <c r="AY1302" s="3" t="s">
        <v>12813</v>
      </c>
      <c r="AZ1302" s="3" t="s">
        <v>12814</v>
      </c>
      <c r="BA1302" s="3" t="s">
        <v>12814</v>
      </c>
      <c r="BB1302" s="3" t="s">
        <v>12815</v>
      </c>
      <c r="BC1302" s="3" t="s">
        <v>77</v>
      </c>
      <c r="BD1302" s="3" t="s">
        <v>78</v>
      </c>
      <c r="BF1302" s="3" t="s">
        <v>12815</v>
      </c>
      <c r="BG1302" s="3" t="s">
        <v>12816</v>
      </c>
    </row>
    <row r="1303" spans="1:59" ht="58" x14ac:dyDescent="0.35">
      <c r="A1303" s="2" t="s">
        <v>59</v>
      </c>
      <c r="B1303" s="2" t="s">
        <v>60</v>
      </c>
      <c r="C1303" s="2" t="s">
        <v>12817</v>
      </c>
      <c r="D1303" s="2" t="s">
        <v>12818</v>
      </c>
      <c r="E1303" s="2" t="s">
        <v>12819</v>
      </c>
      <c r="G1303" s="3" t="s">
        <v>65</v>
      </c>
      <c r="I1303" s="3" t="s">
        <v>65</v>
      </c>
      <c r="J1303" s="3" t="s">
        <v>65</v>
      </c>
      <c r="K1303" s="3" t="s">
        <v>66</v>
      </c>
      <c r="M1303" s="2" t="s">
        <v>12820</v>
      </c>
      <c r="N1303" s="3" t="s">
        <v>113</v>
      </c>
      <c r="P1303" s="3" t="s">
        <v>69</v>
      </c>
      <c r="R1303" s="3" t="s">
        <v>71</v>
      </c>
      <c r="S1303" s="4">
        <v>3</v>
      </c>
      <c r="T1303" s="4">
        <v>3</v>
      </c>
      <c r="U1303" s="5" t="s">
        <v>12821</v>
      </c>
      <c r="V1303" s="5" t="s">
        <v>12821</v>
      </c>
      <c r="W1303" s="5" t="s">
        <v>72</v>
      </c>
      <c r="X1303" s="5" t="s">
        <v>72</v>
      </c>
      <c r="Y1303" s="4">
        <v>95</v>
      </c>
      <c r="Z1303" s="4">
        <v>9</v>
      </c>
      <c r="AA1303" s="4">
        <v>13</v>
      </c>
      <c r="AB1303" s="4">
        <v>1</v>
      </c>
      <c r="AC1303" s="4">
        <v>4</v>
      </c>
      <c r="AD1303" s="4">
        <v>47</v>
      </c>
      <c r="AE1303" s="4">
        <v>50</v>
      </c>
      <c r="AF1303" s="4">
        <v>0</v>
      </c>
      <c r="AG1303" s="4">
        <v>0</v>
      </c>
      <c r="AH1303" s="4">
        <v>43</v>
      </c>
      <c r="AI1303" s="4">
        <v>46</v>
      </c>
      <c r="AJ1303" s="4">
        <v>6</v>
      </c>
      <c r="AK1303" s="4">
        <v>7</v>
      </c>
      <c r="AL1303" s="4">
        <v>31</v>
      </c>
      <c r="AM1303" s="4">
        <v>32</v>
      </c>
      <c r="AN1303" s="4">
        <v>0</v>
      </c>
      <c r="AO1303" s="4">
        <v>0</v>
      </c>
      <c r="AP1303" s="4">
        <v>7</v>
      </c>
      <c r="AQ1303" s="4">
        <v>8</v>
      </c>
      <c r="AR1303" s="3" t="s">
        <v>65</v>
      </c>
      <c r="AS1303" s="3" t="s">
        <v>65</v>
      </c>
      <c r="AT1303" s="3" t="s">
        <v>65</v>
      </c>
      <c r="AV1303" s="6" t="str">
        <f>HYPERLINK("http://mcgill.on.worldcat.org/oclc/491906239","Catalog Record")</f>
        <v>Catalog Record</v>
      </c>
      <c r="AW1303" s="6" t="str">
        <f>HYPERLINK("http://www.worldcat.org/oclc/491906239","WorldCat Record")</f>
        <v>WorldCat Record</v>
      </c>
      <c r="AX1303" s="3" t="s">
        <v>12822</v>
      </c>
      <c r="AY1303" s="3" t="s">
        <v>12823</v>
      </c>
      <c r="AZ1303" s="3" t="s">
        <v>12824</v>
      </c>
      <c r="BA1303" s="3" t="s">
        <v>12824</v>
      </c>
      <c r="BB1303" s="3" t="s">
        <v>12825</v>
      </c>
      <c r="BC1303" s="3" t="s">
        <v>77</v>
      </c>
      <c r="BD1303" s="3" t="s">
        <v>78</v>
      </c>
      <c r="BE1303" s="3" t="s">
        <v>12826</v>
      </c>
      <c r="BF1303" s="3" t="s">
        <v>12825</v>
      </c>
      <c r="BG1303" s="3" t="s">
        <v>12827</v>
      </c>
    </row>
    <row r="1304" spans="1:59" ht="58" x14ac:dyDescent="0.35">
      <c r="A1304" s="2" t="s">
        <v>59</v>
      </c>
      <c r="B1304" s="2" t="s">
        <v>60</v>
      </c>
      <c r="C1304" s="2" t="s">
        <v>12828</v>
      </c>
      <c r="D1304" s="2" t="s">
        <v>12829</v>
      </c>
      <c r="E1304" s="2" t="s">
        <v>12830</v>
      </c>
      <c r="G1304" s="3" t="s">
        <v>65</v>
      </c>
      <c r="I1304" s="3" t="s">
        <v>65</v>
      </c>
      <c r="J1304" s="3" t="s">
        <v>65</v>
      </c>
      <c r="K1304" s="3" t="s">
        <v>66</v>
      </c>
      <c r="L1304" s="2" t="s">
        <v>12831</v>
      </c>
      <c r="M1304" s="2" t="s">
        <v>12832</v>
      </c>
      <c r="N1304" s="3" t="s">
        <v>139</v>
      </c>
      <c r="P1304" s="3" t="s">
        <v>140</v>
      </c>
      <c r="Q1304" s="2" t="s">
        <v>12833</v>
      </c>
      <c r="R1304" s="3" t="s">
        <v>71</v>
      </c>
      <c r="S1304" s="4">
        <v>0</v>
      </c>
      <c r="T1304" s="4">
        <v>0</v>
      </c>
      <c r="W1304" s="5" t="s">
        <v>72</v>
      </c>
      <c r="X1304" s="5" t="s">
        <v>72</v>
      </c>
      <c r="Y1304" s="4">
        <v>62</v>
      </c>
      <c r="Z1304" s="4">
        <v>6</v>
      </c>
      <c r="AA1304" s="4">
        <v>6</v>
      </c>
      <c r="AB1304" s="4">
        <v>1</v>
      </c>
      <c r="AC1304" s="4">
        <v>1</v>
      </c>
      <c r="AD1304" s="4">
        <v>41</v>
      </c>
      <c r="AE1304" s="4">
        <v>41</v>
      </c>
      <c r="AF1304" s="4">
        <v>0</v>
      </c>
      <c r="AG1304" s="4">
        <v>0</v>
      </c>
      <c r="AH1304" s="4">
        <v>40</v>
      </c>
      <c r="AI1304" s="4">
        <v>40</v>
      </c>
      <c r="AJ1304" s="4">
        <v>3</v>
      </c>
      <c r="AK1304" s="4">
        <v>3</v>
      </c>
      <c r="AL1304" s="4">
        <v>31</v>
      </c>
      <c r="AM1304" s="4">
        <v>31</v>
      </c>
      <c r="AN1304" s="4">
        <v>0</v>
      </c>
      <c r="AO1304" s="4">
        <v>0</v>
      </c>
      <c r="AP1304" s="4">
        <v>3</v>
      </c>
      <c r="AQ1304" s="4">
        <v>3</v>
      </c>
      <c r="AR1304" s="3" t="s">
        <v>65</v>
      </c>
      <c r="AS1304" s="3" t="s">
        <v>65</v>
      </c>
      <c r="AT1304" s="3" t="s">
        <v>65</v>
      </c>
      <c r="AV1304" s="6" t="str">
        <f>HYPERLINK("http://mcgill.on.worldcat.org/oclc/798054103","Catalog Record")</f>
        <v>Catalog Record</v>
      </c>
      <c r="AW1304" s="6" t="str">
        <f>HYPERLINK("http://www.worldcat.org/oclc/798054103","WorldCat Record")</f>
        <v>WorldCat Record</v>
      </c>
      <c r="AX1304" s="3" t="s">
        <v>12834</v>
      </c>
      <c r="AY1304" s="3" t="s">
        <v>12835</v>
      </c>
      <c r="AZ1304" s="3" t="s">
        <v>12836</v>
      </c>
      <c r="BA1304" s="3" t="s">
        <v>12836</v>
      </c>
      <c r="BB1304" s="3" t="s">
        <v>12837</v>
      </c>
      <c r="BC1304" s="3" t="s">
        <v>77</v>
      </c>
      <c r="BD1304" s="3" t="s">
        <v>78</v>
      </c>
      <c r="BE1304" s="3" t="s">
        <v>12838</v>
      </c>
      <c r="BF1304" s="3" t="s">
        <v>12837</v>
      </c>
      <c r="BG1304" s="3" t="s">
        <v>12839</v>
      </c>
    </row>
    <row r="1305" spans="1:59" ht="58" x14ac:dyDescent="0.35">
      <c r="A1305" s="2" t="s">
        <v>59</v>
      </c>
      <c r="B1305" s="2" t="s">
        <v>60</v>
      </c>
      <c r="C1305" s="2" t="s">
        <v>12840</v>
      </c>
      <c r="D1305" s="2" t="s">
        <v>12841</v>
      </c>
      <c r="E1305" s="2" t="s">
        <v>12842</v>
      </c>
      <c r="G1305" s="3" t="s">
        <v>65</v>
      </c>
      <c r="I1305" s="3" t="s">
        <v>65</v>
      </c>
      <c r="J1305" s="3" t="s">
        <v>65</v>
      </c>
      <c r="K1305" s="3" t="s">
        <v>66</v>
      </c>
      <c r="L1305" s="2" t="s">
        <v>12843</v>
      </c>
      <c r="M1305" s="2" t="s">
        <v>12844</v>
      </c>
      <c r="N1305" s="3" t="s">
        <v>152</v>
      </c>
      <c r="P1305" s="3" t="s">
        <v>140</v>
      </c>
      <c r="R1305" s="3" t="s">
        <v>71</v>
      </c>
      <c r="S1305" s="4">
        <v>0</v>
      </c>
      <c r="T1305" s="4">
        <v>0</v>
      </c>
      <c r="W1305" s="5" t="s">
        <v>72</v>
      </c>
      <c r="X1305" s="5" t="s">
        <v>72</v>
      </c>
      <c r="Y1305" s="4">
        <v>36</v>
      </c>
      <c r="Z1305" s="4">
        <v>4</v>
      </c>
      <c r="AA1305" s="4">
        <v>4</v>
      </c>
      <c r="AB1305" s="4">
        <v>1</v>
      </c>
      <c r="AC1305" s="4">
        <v>1</v>
      </c>
      <c r="AD1305" s="4">
        <v>25</v>
      </c>
      <c r="AE1305" s="4">
        <v>25</v>
      </c>
      <c r="AF1305" s="4">
        <v>0</v>
      </c>
      <c r="AG1305" s="4">
        <v>0</v>
      </c>
      <c r="AH1305" s="4">
        <v>24</v>
      </c>
      <c r="AI1305" s="4">
        <v>24</v>
      </c>
      <c r="AJ1305" s="4">
        <v>1</v>
      </c>
      <c r="AK1305" s="4">
        <v>1</v>
      </c>
      <c r="AL1305" s="4">
        <v>21</v>
      </c>
      <c r="AM1305" s="4">
        <v>21</v>
      </c>
      <c r="AN1305" s="4">
        <v>0</v>
      </c>
      <c r="AO1305" s="4">
        <v>0</v>
      </c>
      <c r="AP1305" s="4">
        <v>1</v>
      </c>
      <c r="AQ1305" s="4">
        <v>1</v>
      </c>
      <c r="AR1305" s="3" t="s">
        <v>65</v>
      </c>
      <c r="AS1305" s="3" t="s">
        <v>65</v>
      </c>
      <c r="AT1305" s="3" t="s">
        <v>65</v>
      </c>
      <c r="AV1305" s="6" t="str">
        <f>HYPERLINK("http://mcgill.on.worldcat.org/oclc/828889374","Catalog Record")</f>
        <v>Catalog Record</v>
      </c>
      <c r="AW1305" s="6" t="str">
        <f>HYPERLINK("http://www.worldcat.org/oclc/828889374","WorldCat Record")</f>
        <v>WorldCat Record</v>
      </c>
      <c r="AX1305" s="3" t="s">
        <v>12845</v>
      </c>
      <c r="AY1305" s="3" t="s">
        <v>12846</v>
      </c>
      <c r="AZ1305" s="3" t="s">
        <v>12847</v>
      </c>
      <c r="BA1305" s="3" t="s">
        <v>12847</v>
      </c>
      <c r="BB1305" s="3" t="s">
        <v>12848</v>
      </c>
      <c r="BC1305" s="3" t="s">
        <v>77</v>
      </c>
      <c r="BD1305" s="3" t="s">
        <v>78</v>
      </c>
      <c r="BE1305" s="3" t="s">
        <v>12849</v>
      </c>
      <c r="BF1305" s="3" t="s">
        <v>12848</v>
      </c>
      <c r="BG1305" s="3" t="s">
        <v>12850</v>
      </c>
    </row>
    <row r="1306" spans="1:59" ht="58" x14ac:dyDescent="0.35">
      <c r="A1306" s="2" t="s">
        <v>59</v>
      </c>
      <c r="B1306" s="2" t="s">
        <v>60</v>
      </c>
      <c r="C1306" s="2" t="s">
        <v>12851</v>
      </c>
      <c r="D1306" s="2" t="s">
        <v>12852</v>
      </c>
      <c r="E1306" s="2" t="s">
        <v>12853</v>
      </c>
      <c r="G1306" s="3" t="s">
        <v>65</v>
      </c>
      <c r="I1306" s="3" t="s">
        <v>65</v>
      </c>
      <c r="J1306" s="3" t="s">
        <v>65</v>
      </c>
      <c r="K1306" s="3" t="s">
        <v>66</v>
      </c>
      <c r="L1306" s="2" t="s">
        <v>12854</v>
      </c>
      <c r="M1306" s="2" t="s">
        <v>12855</v>
      </c>
      <c r="N1306" s="3" t="s">
        <v>139</v>
      </c>
      <c r="P1306" s="3" t="s">
        <v>69</v>
      </c>
      <c r="R1306" s="3" t="s">
        <v>71</v>
      </c>
      <c r="S1306" s="4">
        <v>0</v>
      </c>
      <c r="T1306" s="4">
        <v>0</v>
      </c>
      <c r="W1306" s="5" t="s">
        <v>72</v>
      </c>
      <c r="X1306" s="5" t="s">
        <v>72</v>
      </c>
      <c r="Y1306" s="4">
        <v>44</v>
      </c>
      <c r="Z1306" s="4">
        <v>2</v>
      </c>
      <c r="AA1306" s="4">
        <v>6</v>
      </c>
      <c r="AB1306" s="4">
        <v>1</v>
      </c>
      <c r="AC1306" s="4">
        <v>1</v>
      </c>
      <c r="AD1306" s="4">
        <v>30</v>
      </c>
      <c r="AE1306" s="4">
        <v>36</v>
      </c>
      <c r="AF1306" s="4">
        <v>0</v>
      </c>
      <c r="AG1306" s="4">
        <v>0</v>
      </c>
      <c r="AH1306" s="4">
        <v>30</v>
      </c>
      <c r="AI1306" s="4">
        <v>35</v>
      </c>
      <c r="AJ1306" s="4">
        <v>1</v>
      </c>
      <c r="AK1306" s="4">
        <v>3</v>
      </c>
      <c r="AL1306" s="4">
        <v>21</v>
      </c>
      <c r="AM1306" s="4">
        <v>26</v>
      </c>
      <c r="AN1306" s="4">
        <v>0</v>
      </c>
      <c r="AO1306" s="4">
        <v>0</v>
      </c>
      <c r="AP1306" s="4">
        <v>1</v>
      </c>
      <c r="AQ1306" s="4">
        <v>3</v>
      </c>
      <c r="AR1306" s="3" t="s">
        <v>65</v>
      </c>
      <c r="AS1306" s="3" t="s">
        <v>65</v>
      </c>
      <c r="AT1306" s="3" t="s">
        <v>65</v>
      </c>
      <c r="AV1306" s="6" t="str">
        <f>HYPERLINK("http://mcgill.on.worldcat.org/oclc/798053203","Catalog Record")</f>
        <v>Catalog Record</v>
      </c>
      <c r="AW1306" s="6" t="str">
        <f>HYPERLINK("http://www.worldcat.org/oclc/798053203","WorldCat Record")</f>
        <v>WorldCat Record</v>
      </c>
      <c r="AX1306" s="3" t="s">
        <v>12856</v>
      </c>
      <c r="AY1306" s="3" t="s">
        <v>12857</v>
      </c>
      <c r="AZ1306" s="3" t="s">
        <v>12858</v>
      </c>
      <c r="BA1306" s="3" t="s">
        <v>12858</v>
      </c>
      <c r="BB1306" s="3" t="s">
        <v>12859</v>
      </c>
      <c r="BC1306" s="3" t="s">
        <v>77</v>
      </c>
      <c r="BD1306" s="3" t="s">
        <v>78</v>
      </c>
      <c r="BE1306" s="3" t="s">
        <v>12860</v>
      </c>
      <c r="BF1306" s="3" t="s">
        <v>12859</v>
      </c>
      <c r="BG1306" s="3" t="s">
        <v>12861</v>
      </c>
    </row>
    <row r="1307" spans="1:59" ht="58" x14ac:dyDescent="0.35">
      <c r="A1307" s="2" t="s">
        <v>59</v>
      </c>
      <c r="B1307" s="2" t="s">
        <v>60</v>
      </c>
      <c r="C1307" s="2" t="s">
        <v>12862</v>
      </c>
      <c r="D1307" s="2" t="s">
        <v>12863</v>
      </c>
      <c r="E1307" s="2" t="s">
        <v>12864</v>
      </c>
      <c r="G1307" s="3" t="s">
        <v>65</v>
      </c>
      <c r="I1307" s="3" t="s">
        <v>65</v>
      </c>
      <c r="J1307" s="3" t="s">
        <v>65</v>
      </c>
      <c r="K1307" s="3" t="s">
        <v>66</v>
      </c>
      <c r="M1307" s="2" t="s">
        <v>12865</v>
      </c>
      <c r="N1307" s="3" t="s">
        <v>221</v>
      </c>
      <c r="P1307" s="3" t="s">
        <v>69</v>
      </c>
      <c r="Q1307" s="2" t="s">
        <v>10375</v>
      </c>
      <c r="R1307" s="3" t="s">
        <v>71</v>
      </c>
      <c r="S1307" s="4">
        <v>5</v>
      </c>
      <c r="T1307" s="4">
        <v>5</v>
      </c>
      <c r="U1307" s="5" t="s">
        <v>11158</v>
      </c>
      <c r="V1307" s="5" t="s">
        <v>11158</v>
      </c>
      <c r="W1307" s="5" t="s">
        <v>72</v>
      </c>
      <c r="X1307" s="5" t="s">
        <v>72</v>
      </c>
      <c r="Y1307" s="4">
        <v>185</v>
      </c>
      <c r="Z1307" s="4">
        <v>13</v>
      </c>
      <c r="AA1307" s="4">
        <v>13</v>
      </c>
      <c r="AB1307" s="4">
        <v>1</v>
      </c>
      <c r="AC1307" s="4">
        <v>1</v>
      </c>
      <c r="AD1307" s="4">
        <v>77</v>
      </c>
      <c r="AE1307" s="4">
        <v>77</v>
      </c>
      <c r="AF1307" s="4">
        <v>0</v>
      </c>
      <c r="AG1307" s="4">
        <v>0</v>
      </c>
      <c r="AH1307" s="4">
        <v>72</v>
      </c>
      <c r="AI1307" s="4">
        <v>72</v>
      </c>
      <c r="AJ1307" s="4">
        <v>10</v>
      </c>
      <c r="AK1307" s="4">
        <v>10</v>
      </c>
      <c r="AL1307" s="4">
        <v>39</v>
      </c>
      <c r="AM1307" s="4">
        <v>39</v>
      </c>
      <c r="AN1307" s="4">
        <v>0</v>
      </c>
      <c r="AO1307" s="4">
        <v>0</v>
      </c>
      <c r="AP1307" s="4">
        <v>10</v>
      </c>
      <c r="AQ1307" s="4">
        <v>10</v>
      </c>
      <c r="AR1307" s="3" t="s">
        <v>65</v>
      </c>
      <c r="AS1307" s="3" t="s">
        <v>65</v>
      </c>
      <c r="AT1307" s="3" t="s">
        <v>209</v>
      </c>
      <c r="AU1307" s="6" t="str">
        <f>HYPERLINK("http://catalog.hathitrust.org/Record/005828416","HathiTrust Record")</f>
        <v>HathiTrust Record</v>
      </c>
      <c r="AV1307" s="6" t="str">
        <f>HYPERLINK("http://mcgill.on.worldcat.org/oclc/178196139","Catalog Record")</f>
        <v>Catalog Record</v>
      </c>
      <c r="AW1307" s="6" t="str">
        <f>HYPERLINK("http://www.worldcat.org/oclc/178196139","WorldCat Record")</f>
        <v>WorldCat Record</v>
      </c>
      <c r="AX1307" s="3" t="s">
        <v>12866</v>
      </c>
      <c r="AY1307" s="3" t="s">
        <v>12867</v>
      </c>
      <c r="AZ1307" s="3" t="s">
        <v>12868</v>
      </c>
      <c r="BA1307" s="3" t="s">
        <v>12868</v>
      </c>
      <c r="BB1307" s="3" t="s">
        <v>12869</v>
      </c>
      <c r="BC1307" s="3" t="s">
        <v>77</v>
      </c>
      <c r="BD1307" s="3" t="s">
        <v>78</v>
      </c>
      <c r="BE1307" s="3" t="s">
        <v>12870</v>
      </c>
      <c r="BF1307" s="3" t="s">
        <v>12869</v>
      </c>
      <c r="BG1307" s="3" t="s">
        <v>12871</v>
      </c>
    </row>
    <row r="1308" spans="1:59" ht="58" x14ac:dyDescent="0.35">
      <c r="A1308" s="2" t="s">
        <v>59</v>
      </c>
      <c r="B1308" s="2" t="s">
        <v>60</v>
      </c>
      <c r="C1308" s="2" t="s">
        <v>12872</v>
      </c>
      <c r="D1308" s="2" t="s">
        <v>12873</v>
      </c>
      <c r="E1308" s="2" t="s">
        <v>12874</v>
      </c>
      <c r="G1308" s="3" t="s">
        <v>65</v>
      </c>
      <c r="I1308" s="3" t="s">
        <v>65</v>
      </c>
      <c r="J1308" s="3" t="s">
        <v>65</v>
      </c>
      <c r="K1308" s="3" t="s">
        <v>66</v>
      </c>
      <c r="L1308" s="2" t="s">
        <v>12875</v>
      </c>
      <c r="M1308" s="2" t="s">
        <v>12876</v>
      </c>
      <c r="N1308" s="3" t="s">
        <v>188</v>
      </c>
      <c r="P1308" s="3" t="s">
        <v>69</v>
      </c>
      <c r="Q1308" s="2" t="s">
        <v>12877</v>
      </c>
      <c r="R1308" s="3" t="s">
        <v>71</v>
      </c>
      <c r="S1308" s="4">
        <v>0</v>
      </c>
      <c r="T1308" s="4">
        <v>0</v>
      </c>
      <c r="W1308" s="5" t="s">
        <v>72</v>
      </c>
      <c r="X1308" s="5" t="s">
        <v>72</v>
      </c>
      <c r="Y1308" s="4">
        <v>56</v>
      </c>
      <c r="Z1308" s="4">
        <v>4</v>
      </c>
      <c r="AA1308" s="4">
        <v>4</v>
      </c>
      <c r="AB1308" s="4">
        <v>1</v>
      </c>
      <c r="AC1308" s="4">
        <v>1</v>
      </c>
      <c r="AD1308" s="4">
        <v>35</v>
      </c>
      <c r="AE1308" s="4">
        <v>35</v>
      </c>
      <c r="AF1308" s="4">
        <v>0</v>
      </c>
      <c r="AG1308" s="4">
        <v>0</v>
      </c>
      <c r="AH1308" s="4">
        <v>34</v>
      </c>
      <c r="AI1308" s="4">
        <v>34</v>
      </c>
      <c r="AJ1308" s="4">
        <v>3</v>
      </c>
      <c r="AK1308" s="4">
        <v>3</v>
      </c>
      <c r="AL1308" s="4">
        <v>24</v>
      </c>
      <c r="AM1308" s="4">
        <v>24</v>
      </c>
      <c r="AN1308" s="4">
        <v>0</v>
      </c>
      <c r="AO1308" s="4">
        <v>0</v>
      </c>
      <c r="AP1308" s="4">
        <v>3</v>
      </c>
      <c r="AQ1308" s="4">
        <v>3</v>
      </c>
      <c r="AR1308" s="3" t="s">
        <v>65</v>
      </c>
      <c r="AS1308" s="3" t="s">
        <v>65</v>
      </c>
      <c r="AT1308" s="3" t="s">
        <v>65</v>
      </c>
      <c r="AV1308" s="6" t="str">
        <f>HYPERLINK("http://mcgill.on.worldcat.org/oclc/1005734621","Catalog Record")</f>
        <v>Catalog Record</v>
      </c>
      <c r="AW1308" s="6" t="str">
        <f>HYPERLINK("http://www.worldcat.org/oclc/1005734621","WorldCat Record")</f>
        <v>WorldCat Record</v>
      </c>
      <c r="AX1308" s="3" t="s">
        <v>12878</v>
      </c>
      <c r="AY1308" s="3" t="s">
        <v>12879</v>
      </c>
      <c r="AZ1308" s="3" t="s">
        <v>12880</v>
      </c>
      <c r="BA1308" s="3" t="s">
        <v>12880</v>
      </c>
      <c r="BB1308" s="3" t="s">
        <v>12881</v>
      </c>
      <c r="BC1308" s="3" t="s">
        <v>77</v>
      </c>
      <c r="BD1308" s="3" t="s">
        <v>78</v>
      </c>
      <c r="BE1308" s="3" t="s">
        <v>12882</v>
      </c>
      <c r="BF1308" s="3" t="s">
        <v>12881</v>
      </c>
      <c r="BG1308" s="3" t="s">
        <v>12883</v>
      </c>
    </row>
    <row r="1309" spans="1:59" ht="58" x14ac:dyDescent="0.35">
      <c r="A1309" s="2" t="s">
        <v>59</v>
      </c>
      <c r="B1309" s="2" t="s">
        <v>60</v>
      </c>
      <c r="C1309" s="2" t="s">
        <v>12884</v>
      </c>
      <c r="D1309" s="2" t="s">
        <v>12885</v>
      </c>
      <c r="E1309" s="2" t="s">
        <v>12886</v>
      </c>
      <c r="G1309" s="3" t="s">
        <v>65</v>
      </c>
      <c r="I1309" s="3" t="s">
        <v>65</v>
      </c>
      <c r="J1309" s="3" t="s">
        <v>65</v>
      </c>
      <c r="K1309" s="3" t="s">
        <v>66</v>
      </c>
      <c r="L1309" s="2" t="s">
        <v>12887</v>
      </c>
      <c r="M1309" s="2" t="s">
        <v>12888</v>
      </c>
      <c r="N1309" s="3" t="s">
        <v>139</v>
      </c>
      <c r="P1309" s="3" t="s">
        <v>140</v>
      </c>
      <c r="Q1309" s="2" t="s">
        <v>12889</v>
      </c>
      <c r="R1309" s="3" t="s">
        <v>71</v>
      </c>
      <c r="S1309" s="4">
        <v>1</v>
      </c>
      <c r="T1309" s="4">
        <v>1</v>
      </c>
      <c r="U1309" s="5" t="s">
        <v>10660</v>
      </c>
      <c r="V1309" s="5" t="s">
        <v>10660</v>
      </c>
      <c r="W1309" s="5" t="s">
        <v>72</v>
      </c>
      <c r="X1309" s="5" t="s">
        <v>72</v>
      </c>
      <c r="Y1309" s="4">
        <v>38</v>
      </c>
      <c r="Z1309" s="4">
        <v>4</v>
      </c>
      <c r="AA1309" s="4">
        <v>4</v>
      </c>
      <c r="AB1309" s="4">
        <v>1</v>
      </c>
      <c r="AC1309" s="4">
        <v>1</v>
      </c>
      <c r="AD1309" s="4">
        <v>24</v>
      </c>
      <c r="AE1309" s="4">
        <v>24</v>
      </c>
      <c r="AF1309" s="4">
        <v>0</v>
      </c>
      <c r="AG1309" s="4">
        <v>0</v>
      </c>
      <c r="AH1309" s="4">
        <v>23</v>
      </c>
      <c r="AI1309" s="4">
        <v>23</v>
      </c>
      <c r="AJ1309" s="4">
        <v>1</v>
      </c>
      <c r="AK1309" s="4">
        <v>1</v>
      </c>
      <c r="AL1309" s="4">
        <v>21</v>
      </c>
      <c r="AM1309" s="4">
        <v>21</v>
      </c>
      <c r="AN1309" s="4">
        <v>0</v>
      </c>
      <c r="AO1309" s="4">
        <v>0</v>
      </c>
      <c r="AP1309" s="4">
        <v>1</v>
      </c>
      <c r="AQ1309" s="4">
        <v>1</v>
      </c>
      <c r="AR1309" s="3" t="s">
        <v>65</v>
      </c>
      <c r="AS1309" s="3" t="s">
        <v>65</v>
      </c>
      <c r="AT1309" s="3" t="s">
        <v>65</v>
      </c>
      <c r="AV1309" s="6" t="str">
        <f>HYPERLINK("http://mcgill.on.worldcat.org/oclc/828409871","Catalog Record")</f>
        <v>Catalog Record</v>
      </c>
      <c r="AW1309" s="6" t="str">
        <f>HYPERLINK("http://www.worldcat.org/oclc/828409871","WorldCat Record")</f>
        <v>WorldCat Record</v>
      </c>
      <c r="AX1309" s="3" t="s">
        <v>12890</v>
      </c>
      <c r="AY1309" s="3" t="s">
        <v>12891</v>
      </c>
      <c r="AZ1309" s="3" t="s">
        <v>12892</v>
      </c>
      <c r="BA1309" s="3" t="s">
        <v>12892</v>
      </c>
      <c r="BB1309" s="3" t="s">
        <v>12893</v>
      </c>
      <c r="BC1309" s="3" t="s">
        <v>77</v>
      </c>
      <c r="BD1309" s="3" t="s">
        <v>78</v>
      </c>
      <c r="BE1309" s="3" t="s">
        <v>12894</v>
      </c>
      <c r="BF1309" s="3" t="s">
        <v>12893</v>
      </c>
      <c r="BG1309" s="3" t="s">
        <v>12895</v>
      </c>
    </row>
    <row r="1310" spans="1:59" ht="58" x14ac:dyDescent="0.35">
      <c r="A1310" s="2" t="s">
        <v>59</v>
      </c>
      <c r="B1310" s="2" t="s">
        <v>60</v>
      </c>
      <c r="C1310" s="2" t="s">
        <v>12896</v>
      </c>
      <c r="D1310" s="2" t="s">
        <v>12897</v>
      </c>
      <c r="E1310" s="2" t="s">
        <v>12898</v>
      </c>
      <c r="G1310" s="3" t="s">
        <v>65</v>
      </c>
      <c r="I1310" s="3" t="s">
        <v>65</v>
      </c>
      <c r="J1310" s="3" t="s">
        <v>65</v>
      </c>
      <c r="K1310" s="3" t="s">
        <v>66</v>
      </c>
      <c r="L1310" s="2" t="s">
        <v>12899</v>
      </c>
      <c r="M1310" s="2" t="s">
        <v>12900</v>
      </c>
      <c r="N1310" s="3" t="s">
        <v>1895</v>
      </c>
      <c r="P1310" s="3" t="s">
        <v>69</v>
      </c>
      <c r="Q1310" s="2" t="s">
        <v>12901</v>
      </c>
      <c r="R1310" s="3" t="s">
        <v>71</v>
      </c>
      <c r="S1310" s="4">
        <v>5</v>
      </c>
      <c r="T1310" s="4">
        <v>5</v>
      </c>
      <c r="U1310" s="5" t="s">
        <v>10698</v>
      </c>
      <c r="V1310" s="5" t="s">
        <v>10698</v>
      </c>
      <c r="W1310" s="5" t="s">
        <v>72</v>
      </c>
      <c r="X1310" s="5" t="s">
        <v>72</v>
      </c>
      <c r="Y1310" s="4">
        <v>108</v>
      </c>
      <c r="Z1310" s="4">
        <v>7</v>
      </c>
      <c r="AA1310" s="4">
        <v>7</v>
      </c>
      <c r="AB1310" s="4">
        <v>1</v>
      </c>
      <c r="AC1310" s="4">
        <v>1</v>
      </c>
      <c r="AD1310" s="4">
        <v>56</v>
      </c>
      <c r="AE1310" s="4">
        <v>57</v>
      </c>
      <c r="AF1310" s="4">
        <v>0</v>
      </c>
      <c r="AG1310" s="4">
        <v>0</v>
      </c>
      <c r="AH1310" s="4">
        <v>53</v>
      </c>
      <c r="AI1310" s="4">
        <v>54</v>
      </c>
      <c r="AJ1310" s="4">
        <v>5</v>
      </c>
      <c r="AK1310" s="4">
        <v>5</v>
      </c>
      <c r="AL1310" s="4">
        <v>28</v>
      </c>
      <c r="AM1310" s="4">
        <v>29</v>
      </c>
      <c r="AN1310" s="4">
        <v>0</v>
      </c>
      <c r="AO1310" s="4">
        <v>0</v>
      </c>
      <c r="AP1310" s="4">
        <v>5</v>
      </c>
      <c r="AQ1310" s="4">
        <v>5</v>
      </c>
      <c r="AR1310" s="3" t="s">
        <v>65</v>
      </c>
      <c r="AS1310" s="3" t="s">
        <v>65</v>
      </c>
      <c r="AT1310" s="3" t="s">
        <v>209</v>
      </c>
      <c r="AU1310" s="6" t="str">
        <f>HYPERLINK("http://catalog.hathitrust.org/Record/004030688","HathiTrust Record")</f>
        <v>HathiTrust Record</v>
      </c>
      <c r="AV1310" s="6" t="str">
        <f>HYPERLINK("http://mcgill.on.worldcat.org/oclc/36720977","Catalog Record")</f>
        <v>Catalog Record</v>
      </c>
      <c r="AW1310" s="6" t="str">
        <f>HYPERLINK("http://www.worldcat.org/oclc/36720977","WorldCat Record")</f>
        <v>WorldCat Record</v>
      </c>
      <c r="AX1310" s="3" t="s">
        <v>12902</v>
      </c>
      <c r="AY1310" s="3" t="s">
        <v>12903</v>
      </c>
      <c r="AZ1310" s="3" t="s">
        <v>12904</v>
      </c>
      <c r="BA1310" s="3" t="s">
        <v>12904</v>
      </c>
      <c r="BB1310" s="3" t="s">
        <v>12905</v>
      </c>
      <c r="BC1310" s="3" t="s">
        <v>77</v>
      </c>
      <c r="BD1310" s="3" t="s">
        <v>78</v>
      </c>
      <c r="BE1310" s="3" t="s">
        <v>12906</v>
      </c>
      <c r="BF1310" s="3" t="s">
        <v>12905</v>
      </c>
      <c r="BG1310" s="3" t="s">
        <v>12907</v>
      </c>
    </row>
    <row r="1311" spans="1:59" ht="58" x14ac:dyDescent="0.35">
      <c r="A1311" s="2" t="s">
        <v>59</v>
      </c>
      <c r="B1311" s="2" t="s">
        <v>60</v>
      </c>
      <c r="C1311" s="2" t="s">
        <v>12908</v>
      </c>
      <c r="D1311" s="2" t="s">
        <v>12909</v>
      </c>
      <c r="E1311" s="2" t="s">
        <v>12910</v>
      </c>
      <c r="G1311" s="3" t="s">
        <v>65</v>
      </c>
      <c r="I1311" s="3" t="s">
        <v>65</v>
      </c>
      <c r="J1311" s="3" t="s">
        <v>65</v>
      </c>
      <c r="K1311" s="3" t="s">
        <v>66</v>
      </c>
      <c r="L1311" s="2" t="s">
        <v>12911</v>
      </c>
      <c r="M1311" s="2" t="s">
        <v>12912</v>
      </c>
      <c r="N1311" s="3" t="s">
        <v>68</v>
      </c>
      <c r="O1311" s="2" t="s">
        <v>1410</v>
      </c>
      <c r="P1311" s="3" t="s">
        <v>140</v>
      </c>
      <c r="Q1311" s="2" t="s">
        <v>12913</v>
      </c>
      <c r="R1311" s="3" t="s">
        <v>71</v>
      </c>
      <c r="S1311" s="4">
        <v>0</v>
      </c>
      <c r="T1311" s="4">
        <v>0</v>
      </c>
      <c r="W1311" s="5" t="s">
        <v>72</v>
      </c>
      <c r="X1311" s="5" t="s">
        <v>72</v>
      </c>
      <c r="Y1311" s="4">
        <v>63</v>
      </c>
      <c r="Z1311" s="4">
        <v>5</v>
      </c>
      <c r="AA1311" s="4">
        <v>5</v>
      </c>
      <c r="AB1311" s="4">
        <v>1</v>
      </c>
      <c r="AC1311" s="4">
        <v>1</v>
      </c>
      <c r="AD1311" s="4">
        <v>40</v>
      </c>
      <c r="AE1311" s="4">
        <v>40</v>
      </c>
      <c r="AF1311" s="4">
        <v>0</v>
      </c>
      <c r="AG1311" s="4">
        <v>0</v>
      </c>
      <c r="AH1311" s="4">
        <v>39</v>
      </c>
      <c r="AI1311" s="4">
        <v>39</v>
      </c>
      <c r="AJ1311" s="4">
        <v>2</v>
      </c>
      <c r="AK1311" s="4">
        <v>2</v>
      </c>
      <c r="AL1311" s="4">
        <v>31</v>
      </c>
      <c r="AM1311" s="4">
        <v>31</v>
      </c>
      <c r="AN1311" s="4">
        <v>0</v>
      </c>
      <c r="AO1311" s="4">
        <v>0</v>
      </c>
      <c r="AP1311" s="4">
        <v>2</v>
      </c>
      <c r="AQ1311" s="4">
        <v>2</v>
      </c>
      <c r="AR1311" s="3" t="s">
        <v>65</v>
      </c>
      <c r="AS1311" s="3" t="s">
        <v>65</v>
      </c>
      <c r="AT1311" s="3" t="s">
        <v>65</v>
      </c>
      <c r="AV1311" s="6" t="str">
        <f>HYPERLINK("http://mcgill.on.worldcat.org/oclc/944522104","Catalog Record")</f>
        <v>Catalog Record</v>
      </c>
      <c r="AW1311" s="6" t="str">
        <f>HYPERLINK("http://www.worldcat.org/oclc/944522104","WorldCat Record")</f>
        <v>WorldCat Record</v>
      </c>
      <c r="AX1311" s="3" t="s">
        <v>12914</v>
      </c>
      <c r="AY1311" s="3" t="s">
        <v>12915</v>
      </c>
      <c r="AZ1311" s="3" t="s">
        <v>12916</v>
      </c>
      <c r="BA1311" s="3" t="s">
        <v>12916</v>
      </c>
      <c r="BB1311" s="3" t="s">
        <v>12917</v>
      </c>
      <c r="BC1311" s="3" t="s">
        <v>77</v>
      </c>
      <c r="BD1311" s="3" t="s">
        <v>78</v>
      </c>
      <c r="BE1311" s="3" t="s">
        <v>12918</v>
      </c>
      <c r="BF1311" s="3" t="s">
        <v>12917</v>
      </c>
      <c r="BG1311" s="3" t="s">
        <v>12919</v>
      </c>
    </row>
    <row r="1312" spans="1:59" ht="72.5" x14ac:dyDescent="0.35">
      <c r="A1312" s="2" t="s">
        <v>59</v>
      </c>
      <c r="B1312" s="2" t="s">
        <v>60</v>
      </c>
      <c r="C1312" s="2" t="s">
        <v>12920</v>
      </c>
      <c r="D1312" s="2" t="s">
        <v>12921</v>
      </c>
      <c r="E1312" s="2" t="s">
        <v>12922</v>
      </c>
      <c r="G1312" s="3" t="s">
        <v>65</v>
      </c>
      <c r="I1312" s="3" t="s">
        <v>65</v>
      </c>
      <c r="J1312" s="3" t="s">
        <v>65</v>
      </c>
      <c r="K1312" s="3" t="s">
        <v>66</v>
      </c>
      <c r="L1312" s="2" t="s">
        <v>12923</v>
      </c>
      <c r="M1312" s="2" t="s">
        <v>12924</v>
      </c>
      <c r="N1312" s="3" t="s">
        <v>152</v>
      </c>
      <c r="P1312" s="3" t="s">
        <v>140</v>
      </c>
      <c r="Q1312" s="2" t="s">
        <v>12925</v>
      </c>
      <c r="R1312" s="3" t="s">
        <v>71</v>
      </c>
      <c r="S1312" s="4">
        <v>0</v>
      </c>
      <c r="T1312" s="4">
        <v>0</v>
      </c>
      <c r="W1312" s="5" t="s">
        <v>72</v>
      </c>
      <c r="X1312" s="5" t="s">
        <v>72</v>
      </c>
      <c r="Y1312" s="4">
        <v>45</v>
      </c>
      <c r="Z1312" s="4">
        <v>6</v>
      </c>
      <c r="AA1312" s="4">
        <v>6</v>
      </c>
      <c r="AB1312" s="4">
        <v>1</v>
      </c>
      <c r="AC1312" s="4">
        <v>1</v>
      </c>
      <c r="AD1312" s="4">
        <v>27</v>
      </c>
      <c r="AE1312" s="4">
        <v>27</v>
      </c>
      <c r="AF1312" s="4">
        <v>0</v>
      </c>
      <c r="AG1312" s="4">
        <v>0</v>
      </c>
      <c r="AH1312" s="4">
        <v>26</v>
      </c>
      <c r="AI1312" s="4">
        <v>26</v>
      </c>
      <c r="AJ1312" s="4">
        <v>2</v>
      </c>
      <c r="AK1312" s="4">
        <v>2</v>
      </c>
      <c r="AL1312" s="4">
        <v>19</v>
      </c>
      <c r="AM1312" s="4">
        <v>19</v>
      </c>
      <c r="AN1312" s="4">
        <v>0</v>
      </c>
      <c r="AO1312" s="4">
        <v>0</v>
      </c>
      <c r="AP1312" s="4">
        <v>2</v>
      </c>
      <c r="AQ1312" s="4">
        <v>2</v>
      </c>
      <c r="AR1312" s="3" t="s">
        <v>65</v>
      </c>
      <c r="AS1312" s="3" t="s">
        <v>65</v>
      </c>
      <c r="AT1312" s="3" t="s">
        <v>65</v>
      </c>
      <c r="AV1312" s="6" t="str">
        <f>HYPERLINK("http://mcgill.on.worldcat.org/oclc/852138648","Catalog Record")</f>
        <v>Catalog Record</v>
      </c>
      <c r="AW1312" s="6" t="str">
        <f>HYPERLINK("http://www.worldcat.org/oclc/852138648","WorldCat Record")</f>
        <v>WorldCat Record</v>
      </c>
      <c r="AX1312" s="3" t="s">
        <v>12926</v>
      </c>
      <c r="AY1312" s="3" t="s">
        <v>12927</v>
      </c>
      <c r="AZ1312" s="3" t="s">
        <v>12928</v>
      </c>
      <c r="BA1312" s="3" t="s">
        <v>12928</v>
      </c>
      <c r="BB1312" s="3" t="s">
        <v>12929</v>
      </c>
      <c r="BC1312" s="3" t="s">
        <v>77</v>
      </c>
      <c r="BD1312" s="3" t="s">
        <v>78</v>
      </c>
      <c r="BE1312" s="3" t="s">
        <v>12930</v>
      </c>
      <c r="BF1312" s="3" t="s">
        <v>12929</v>
      </c>
      <c r="BG1312" s="3" t="s">
        <v>12931</v>
      </c>
    </row>
    <row r="1313" spans="1:59" ht="72.5" x14ac:dyDescent="0.35">
      <c r="A1313" s="2" t="s">
        <v>59</v>
      </c>
      <c r="B1313" s="2" t="s">
        <v>60</v>
      </c>
      <c r="C1313" s="2" t="s">
        <v>12932</v>
      </c>
      <c r="D1313" s="2" t="s">
        <v>12933</v>
      </c>
      <c r="E1313" s="2" t="s">
        <v>12934</v>
      </c>
      <c r="G1313" s="3" t="s">
        <v>65</v>
      </c>
      <c r="I1313" s="3" t="s">
        <v>65</v>
      </c>
      <c r="J1313" s="3" t="s">
        <v>65</v>
      </c>
      <c r="K1313" s="3" t="s">
        <v>66</v>
      </c>
      <c r="L1313" s="2" t="s">
        <v>12935</v>
      </c>
      <c r="M1313" s="2" t="s">
        <v>12936</v>
      </c>
      <c r="N1313" s="3" t="s">
        <v>113</v>
      </c>
      <c r="P1313" s="3" t="s">
        <v>69</v>
      </c>
      <c r="Q1313" s="2" t="s">
        <v>1197</v>
      </c>
      <c r="R1313" s="3" t="s">
        <v>71</v>
      </c>
      <c r="S1313" s="4">
        <v>2</v>
      </c>
      <c r="T1313" s="4">
        <v>2</v>
      </c>
      <c r="U1313" s="5" t="s">
        <v>12937</v>
      </c>
      <c r="V1313" s="5" t="s">
        <v>12937</v>
      </c>
      <c r="W1313" s="5" t="s">
        <v>72</v>
      </c>
      <c r="X1313" s="5" t="s">
        <v>72</v>
      </c>
      <c r="Y1313" s="4">
        <v>211</v>
      </c>
      <c r="Z1313" s="4">
        <v>29</v>
      </c>
      <c r="AA1313" s="4">
        <v>96</v>
      </c>
      <c r="AB1313" s="4">
        <v>2</v>
      </c>
      <c r="AC1313" s="4">
        <v>17</v>
      </c>
      <c r="AD1313" s="4">
        <v>98</v>
      </c>
      <c r="AE1313" s="4">
        <v>139</v>
      </c>
      <c r="AF1313" s="4">
        <v>1</v>
      </c>
      <c r="AG1313" s="4">
        <v>8</v>
      </c>
      <c r="AH1313" s="4">
        <v>79</v>
      </c>
      <c r="AI1313" s="4">
        <v>97</v>
      </c>
      <c r="AJ1313" s="4">
        <v>19</v>
      </c>
      <c r="AK1313" s="4">
        <v>27</v>
      </c>
      <c r="AL1313" s="4">
        <v>48</v>
      </c>
      <c r="AM1313" s="4">
        <v>53</v>
      </c>
      <c r="AN1313" s="4">
        <v>0</v>
      </c>
      <c r="AO1313" s="4">
        <v>0</v>
      </c>
      <c r="AP1313" s="4">
        <v>23</v>
      </c>
      <c r="AQ1313" s="4">
        <v>49</v>
      </c>
      <c r="AR1313" s="3" t="s">
        <v>209</v>
      </c>
      <c r="AS1313" s="3" t="s">
        <v>65</v>
      </c>
      <c r="AT1313" s="3" t="s">
        <v>65</v>
      </c>
      <c r="AV1313" s="6" t="str">
        <f>HYPERLINK("http://mcgill.on.worldcat.org/oclc/426806535","Catalog Record")</f>
        <v>Catalog Record</v>
      </c>
      <c r="AW1313" s="6" t="str">
        <f>HYPERLINK("http://www.worldcat.org/oclc/426806535","WorldCat Record")</f>
        <v>WorldCat Record</v>
      </c>
      <c r="AX1313" s="3" t="s">
        <v>12938</v>
      </c>
      <c r="AY1313" s="3" t="s">
        <v>12939</v>
      </c>
      <c r="AZ1313" s="3" t="s">
        <v>12940</v>
      </c>
      <c r="BA1313" s="3" t="s">
        <v>12940</v>
      </c>
      <c r="BB1313" s="3" t="s">
        <v>12941</v>
      </c>
      <c r="BC1313" s="3" t="s">
        <v>77</v>
      </c>
      <c r="BD1313" s="3" t="s">
        <v>78</v>
      </c>
      <c r="BE1313" s="3" t="s">
        <v>12942</v>
      </c>
      <c r="BF1313" s="3" t="s">
        <v>12941</v>
      </c>
      <c r="BG1313" s="3" t="s">
        <v>12943</v>
      </c>
    </row>
    <row r="1314" spans="1:59" ht="58" x14ac:dyDescent="0.35">
      <c r="A1314" s="2" t="s">
        <v>59</v>
      </c>
      <c r="B1314" s="2" t="s">
        <v>60</v>
      </c>
      <c r="C1314" s="2" t="s">
        <v>12944</v>
      </c>
      <c r="D1314" s="2" t="s">
        <v>12945</v>
      </c>
      <c r="E1314" s="2" t="s">
        <v>12946</v>
      </c>
      <c r="G1314" s="3" t="s">
        <v>65</v>
      </c>
      <c r="I1314" s="3" t="s">
        <v>65</v>
      </c>
      <c r="J1314" s="3" t="s">
        <v>65</v>
      </c>
      <c r="K1314" s="3" t="s">
        <v>66</v>
      </c>
      <c r="L1314" s="2" t="s">
        <v>12947</v>
      </c>
      <c r="M1314" s="2" t="s">
        <v>12948</v>
      </c>
      <c r="N1314" s="3" t="s">
        <v>139</v>
      </c>
      <c r="O1314" s="2" t="s">
        <v>379</v>
      </c>
      <c r="P1314" s="3" t="s">
        <v>140</v>
      </c>
      <c r="Q1314" s="2" t="s">
        <v>12949</v>
      </c>
      <c r="R1314" s="3" t="s">
        <v>71</v>
      </c>
      <c r="S1314" s="4">
        <v>0</v>
      </c>
      <c r="T1314" s="4">
        <v>0</v>
      </c>
      <c r="W1314" s="5" t="s">
        <v>72</v>
      </c>
      <c r="X1314" s="5" t="s">
        <v>72</v>
      </c>
      <c r="Y1314" s="4">
        <v>36</v>
      </c>
      <c r="Z1314" s="4">
        <v>5</v>
      </c>
      <c r="AA1314" s="4">
        <v>5</v>
      </c>
      <c r="AB1314" s="4">
        <v>1</v>
      </c>
      <c r="AC1314" s="4">
        <v>1</v>
      </c>
      <c r="AD1314" s="4">
        <v>23</v>
      </c>
      <c r="AE1314" s="4">
        <v>23</v>
      </c>
      <c r="AF1314" s="4">
        <v>0</v>
      </c>
      <c r="AG1314" s="4">
        <v>0</v>
      </c>
      <c r="AH1314" s="4">
        <v>22</v>
      </c>
      <c r="AI1314" s="4">
        <v>22</v>
      </c>
      <c r="AJ1314" s="4">
        <v>2</v>
      </c>
      <c r="AK1314" s="4">
        <v>2</v>
      </c>
      <c r="AL1314" s="4">
        <v>17</v>
      </c>
      <c r="AM1314" s="4">
        <v>17</v>
      </c>
      <c r="AN1314" s="4">
        <v>0</v>
      </c>
      <c r="AO1314" s="4">
        <v>0</v>
      </c>
      <c r="AP1314" s="4">
        <v>2</v>
      </c>
      <c r="AQ1314" s="4">
        <v>2</v>
      </c>
      <c r="AR1314" s="3" t="s">
        <v>65</v>
      </c>
      <c r="AS1314" s="3" t="s">
        <v>65</v>
      </c>
      <c r="AT1314" s="3" t="s">
        <v>65</v>
      </c>
      <c r="AV1314" s="6" t="str">
        <f>HYPERLINK("http://mcgill.on.worldcat.org/oclc/844695455","Catalog Record")</f>
        <v>Catalog Record</v>
      </c>
      <c r="AW1314" s="6" t="str">
        <f>HYPERLINK("http://www.worldcat.org/oclc/844695455","WorldCat Record")</f>
        <v>WorldCat Record</v>
      </c>
      <c r="AX1314" s="3" t="s">
        <v>12950</v>
      </c>
      <c r="AY1314" s="3" t="s">
        <v>12951</v>
      </c>
      <c r="AZ1314" s="3" t="s">
        <v>12952</v>
      </c>
      <c r="BA1314" s="3" t="s">
        <v>12952</v>
      </c>
      <c r="BB1314" s="3" t="s">
        <v>12953</v>
      </c>
      <c r="BC1314" s="3" t="s">
        <v>77</v>
      </c>
      <c r="BD1314" s="3" t="s">
        <v>78</v>
      </c>
      <c r="BE1314" s="3" t="s">
        <v>12954</v>
      </c>
      <c r="BF1314" s="3" t="s">
        <v>12953</v>
      </c>
      <c r="BG1314" s="3" t="s">
        <v>12955</v>
      </c>
    </row>
    <row r="1315" spans="1:59" ht="58" x14ac:dyDescent="0.35">
      <c r="A1315" s="2" t="s">
        <v>59</v>
      </c>
      <c r="B1315" s="2" t="s">
        <v>60</v>
      </c>
      <c r="C1315" s="2" t="s">
        <v>12956</v>
      </c>
      <c r="D1315" s="2" t="s">
        <v>12957</v>
      </c>
      <c r="E1315" s="2" t="s">
        <v>12958</v>
      </c>
      <c r="G1315" s="3" t="s">
        <v>65</v>
      </c>
      <c r="I1315" s="3" t="s">
        <v>65</v>
      </c>
      <c r="J1315" s="3" t="s">
        <v>65</v>
      </c>
      <c r="K1315" s="3" t="s">
        <v>66</v>
      </c>
      <c r="L1315" s="2" t="s">
        <v>12959</v>
      </c>
      <c r="M1315" s="2" t="s">
        <v>12960</v>
      </c>
      <c r="N1315" s="3" t="s">
        <v>221</v>
      </c>
      <c r="O1315" s="2" t="s">
        <v>365</v>
      </c>
      <c r="P1315" s="3" t="s">
        <v>140</v>
      </c>
      <c r="Q1315" s="2" t="s">
        <v>12961</v>
      </c>
      <c r="R1315" s="3" t="s">
        <v>71</v>
      </c>
      <c r="S1315" s="4">
        <v>2</v>
      </c>
      <c r="T1315" s="4">
        <v>2</v>
      </c>
      <c r="U1315" s="5" t="s">
        <v>10660</v>
      </c>
      <c r="V1315" s="5" t="s">
        <v>10660</v>
      </c>
      <c r="W1315" s="5" t="s">
        <v>72</v>
      </c>
      <c r="X1315" s="5" t="s">
        <v>72</v>
      </c>
      <c r="Y1315" s="4">
        <v>52</v>
      </c>
      <c r="Z1315" s="4">
        <v>5</v>
      </c>
      <c r="AA1315" s="4">
        <v>5</v>
      </c>
      <c r="AB1315" s="4">
        <v>1</v>
      </c>
      <c r="AC1315" s="4">
        <v>1</v>
      </c>
      <c r="AD1315" s="4">
        <v>33</v>
      </c>
      <c r="AE1315" s="4">
        <v>33</v>
      </c>
      <c r="AF1315" s="4">
        <v>0</v>
      </c>
      <c r="AG1315" s="4">
        <v>0</v>
      </c>
      <c r="AH1315" s="4">
        <v>32</v>
      </c>
      <c r="AI1315" s="4">
        <v>32</v>
      </c>
      <c r="AJ1315" s="4">
        <v>2</v>
      </c>
      <c r="AK1315" s="4">
        <v>2</v>
      </c>
      <c r="AL1315" s="4">
        <v>25</v>
      </c>
      <c r="AM1315" s="4">
        <v>25</v>
      </c>
      <c r="AN1315" s="4">
        <v>0</v>
      </c>
      <c r="AO1315" s="4">
        <v>0</v>
      </c>
      <c r="AP1315" s="4">
        <v>2</v>
      </c>
      <c r="AQ1315" s="4">
        <v>2</v>
      </c>
      <c r="AR1315" s="3" t="s">
        <v>65</v>
      </c>
      <c r="AS1315" s="3" t="s">
        <v>65</v>
      </c>
      <c r="AT1315" s="3" t="s">
        <v>209</v>
      </c>
      <c r="AU1315" s="6" t="str">
        <f>HYPERLINK("http://catalog.hathitrust.org/Record/005604812","HathiTrust Record")</f>
        <v>HathiTrust Record</v>
      </c>
      <c r="AV1315" s="6" t="str">
        <f>HYPERLINK("http://mcgill.on.worldcat.org/oclc/166889024","Catalog Record")</f>
        <v>Catalog Record</v>
      </c>
      <c r="AW1315" s="6" t="str">
        <f>HYPERLINK("http://www.worldcat.org/oclc/166889024","WorldCat Record")</f>
        <v>WorldCat Record</v>
      </c>
      <c r="AX1315" s="3" t="s">
        <v>12962</v>
      </c>
      <c r="AY1315" s="3" t="s">
        <v>12963</v>
      </c>
      <c r="AZ1315" s="3" t="s">
        <v>12964</v>
      </c>
      <c r="BA1315" s="3" t="s">
        <v>12964</v>
      </c>
      <c r="BB1315" s="3" t="s">
        <v>12965</v>
      </c>
      <c r="BC1315" s="3" t="s">
        <v>77</v>
      </c>
      <c r="BD1315" s="3" t="s">
        <v>78</v>
      </c>
      <c r="BE1315" s="3" t="s">
        <v>12966</v>
      </c>
      <c r="BF1315" s="3" t="s">
        <v>12965</v>
      </c>
      <c r="BG1315" s="3" t="s">
        <v>12967</v>
      </c>
    </row>
    <row r="1316" spans="1:59" ht="72.5" x14ac:dyDescent="0.35">
      <c r="A1316" s="2" t="s">
        <v>59</v>
      </c>
      <c r="B1316" s="2" t="s">
        <v>60</v>
      </c>
      <c r="C1316" s="2" t="s">
        <v>12968</v>
      </c>
      <c r="D1316" s="2" t="s">
        <v>12969</v>
      </c>
      <c r="E1316" s="2" t="s">
        <v>12970</v>
      </c>
      <c r="G1316" s="3" t="s">
        <v>65</v>
      </c>
      <c r="I1316" s="3" t="s">
        <v>65</v>
      </c>
      <c r="J1316" s="3" t="s">
        <v>65</v>
      </c>
      <c r="K1316" s="3" t="s">
        <v>66</v>
      </c>
      <c r="M1316" s="2" t="s">
        <v>12971</v>
      </c>
      <c r="N1316" s="3" t="s">
        <v>176</v>
      </c>
      <c r="P1316" s="3" t="s">
        <v>69</v>
      </c>
      <c r="Q1316" s="2" t="s">
        <v>12972</v>
      </c>
      <c r="R1316" s="3" t="s">
        <v>71</v>
      </c>
      <c r="S1316" s="4">
        <v>0</v>
      </c>
      <c r="T1316" s="4">
        <v>0</v>
      </c>
      <c r="W1316" s="5" t="s">
        <v>72</v>
      </c>
      <c r="X1316" s="5" t="s">
        <v>72</v>
      </c>
      <c r="Y1316" s="4">
        <v>104</v>
      </c>
      <c r="Z1316" s="4">
        <v>13</v>
      </c>
      <c r="AA1316" s="4">
        <v>13</v>
      </c>
      <c r="AB1316" s="4">
        <v>1</v>
      </c>
      <c r="AC1316" s="4">
        <v>1</v>
      </c>
      <c r="AD1316" s="4">
        <v>49</v>
      </c>
      <c r="AE1316" s="4">
        <v>49</v>
      </c>
      <c r="AF1316" s="4">
        <v>0</v>
      </c>
      <c r="AG1316" s="4">
        <v>0</v>
      </c>
      <c r="AH1316" s="4">
        <v>45</v>
      </c>
      <c r="AI1316" s="4">
        <v>45</v>
      </c>
      <c r="AJ1316" s="4">
        <v>9</v>
      </c>
      <c r="AK1316" s="4">
        <v>9</v>
      </c>
      <c r="AL1316" s="4">
        <v>29</v>
      </c>
      <c r="AM1316" s="4">
        <v>29</v>
      </c>
      <c r="AN1316" s="4">
        <v>0</v>
      </c>
      <c r="AO1316" s="4">
        <v>0</v>
      </c>
      <c r="AP1316" s="4">
        <v>10</v>
      </c>
      <c r="AQ1316" s="4">
        <v>10</v>
      </c>
      <c r="AR1316" s="3" t="s">
        <v>65</v>
      </c>
      <c r="AS1316" s="3" t="s">
        <v>65</v>
      </c>
      <c r="AT1316" s="3" t="s">
        <v>65</v>
      </c>
      <c r="AV1316" s="6" t="str">
        <f>HYPERLINK("http://mcgill.on.worldcat.org/oclc/827974029","Catalog Record")</f>
        <v>Catalog Record</v>
      </c>
      <c r="AW1316" s="6" t="str">
        <f>HYPERLINK("http://www.worldcat.org/oclc/827974029","WorldCat Record")</f>
        <v>WorldCat Record</v>
      </c>
      <c r="AX1316" s="3" t="s">
        <v>12973</v>
      </c>
      <c r="AY1316" s="3" t="s">
        <v>12974</v>
      </c>
      <c r="AZ1316" s="3" t="s">
        <v>12975</v>
      </c>
      <c r="BA1316" s="3" t="s">
        <v>12975</v>
      </c>
      <c r="BB1316" s="3" t="s">
        <v>12976</v>
      </c>
      <c r="BC1316" s="3" t="s">
        <v>77</v>
      </c>
      <c r="BD1316" s="3" t="s">
        <v>78</v>
      </c>
      <c r="BE1316" s="3" t="s">
        <v>12977</v>
      </c>
      <c r="BF1316" s="3" t="s">
        <v>12976</v>
      </c>
      <c r="BG1316" s="3" t="s">
        <v>12978</v>
      </c>
    </row>
    <row r="1317" spans="1:59" ht="58" x14ac:dyDescent="0.35">
      <c r="A1317" s="2" t="s">
        <v>59</v>
      </c>
      <c r="B1317" s="2" t="s">
        <v>60</v>
      </c>
      <c r="C1317" s="2" t="s">
        <v>12979</v>
      </c>
      <c r="D1317" s="2" t="s">
        <v>12980</v>
      </c>
      <c r="E1317" s="2" t="s">
        <v>12981</v>
      </c>
      <c r="G1317" s="3" t="s">
        <v>65</v>
      </c>
      <c r="I1317" s="3" t="s">
        <v>65</v>
      </c>
      <c r="J1317" s="3" t="s">
        <v>65</v>
      </c>
      <c r="K1317" s="3" t="s">
        <v>66</v>
      </c>
      <c r="L1317" s="2" t="s">
        <v>12982</v>
      </c>
      <c r="M1317" s="2" t="s">
        <v>12983</v>
      </c>
      <c r="N1317" s="3" t="s">
        <v>126</v>
      </c>
      <c r="P1317" s="3" t="s">
        <v>69</v>
      </c>
      <c r="Q1317" s="2" t="s">
        <v>12984</v>
      </c>
      <c r="R1317" s="3" t="s">
        <v>71</v>
      </c>
      <c r="S1317" s="4">
        <v>1</v>
      </c>
      <c r="T1317" s="4">
        <v>1</v>
      </c>
      <c r="U1317" s="5" t="s">
        <v>7026</v>
      </c>
      <c r="V1317" s="5" t="s">
        <v>7026</v>
      </c>
      <c r="W1317" s="5" t="s">
        <v>72</v>
      </c>
      <c r="X1317" s="5" t="s">
        <v>72</v>
      </c>
      <c r="Y1317" s="4">
        <v>165</v>
      </c>
      <c r="Z1317" s="4">
        <v>17</v>
      </c>
      <c r="AA1317" s="4">
        <v>17</v>
      </c>
      <c r="AB1317" s="4">
        <v>3</v>
      </c>
      <c r="AC1317" s="4">
        <v>3</v>
      </c>
      <c r="AD1317" s="4">
        <v>80</v>
      </c>
      <c r="AE1317" s="4">
        <v>80</v>
      </c>
      <c r="AF1317" s="4">
        <v>2</v>
      </c>
      <c r="AG1317" s="4">
        <v>2</v>
      </c>
      <c r="AH1317" s="4">
        <v>73</v>
      </c>
      <c r="AI1317" s="4">
        <v>73</v>
      </c>
      <c r="AJ1317" s="4">
        <v>11</v>
      </c>
      <c r="AK1317" s="4">
        <v>11</v>
      </c>
      <c r="AL1317" s="4">
        <v>47</v>
      </c>
      <c r="AM1317" s="4">
        <v>47</v>
      </c>
      <c r="AN1317" s="4">
        <v>0</v>
      </c>
      <c r="AO1317" s="4">
        <v>0</v>
      </c>
      <c r="AP1317" s="4">
        <v>13</v>
      </c>
      <c r="AQ1317" s="4">
        <v>13</v>
      </c>
      <c r="AR1317" s="3" t="s">
        <v>65</v>
      </c>
      <c r="AS1317" s="3" t="s">
        <v>65</v>
      </c>
      <c r="AT1317" s="3" t="s">
        <v>65</v>
      </c>
      <c r="AV1317" s="6" t="str">
        <f>HYPERLINK("http://mcgill.on.worldcat.org/oclc/777635757","Catalog Record")</f>
        <v>Catalog Record</v>
      </c>
      <c r="AW1317" s="6" t="str">
        <f>HYPERLINK("http://www.worldcat.org/oclc/777635757","WorldCat Record")</f>
        <v>WorldCat Record</v>
      </c>
      <c r="AX1317" s="3" t="s">
        <v>12985</v>
      </c>
      <c r="AY1317" s="3" t="s">
        <v>12986</v>
      </c>
      <c r="AZ1317" s="3" t="s">
        <v>12987</v>
      </c>
      <c r="BA1317" s="3" t="s">
        <v>12987</v>
      </c>
      <c r="BB1317" s="3" t="s">
        <v>12988</v>
      </c>
      <c r="BC1317" s="3" t="s">
        <v>77</v>
      </c>
      <c r="BD1317" s="3" t="s">
        <v>78</v>
      </c>
      <c r="BE1317" s="3" t="s">
        <v>12989</v>
      </c>
      <c r="BF1317" s="3" t="s">
        <v>12988</v>
      </c>
      <c r="BG1317" s="3" t="s">
        <v>12990</v>
      </c>
    </row>
    <row r="1318" spans="1:59" ht="58" x14ac:dyDescent="0.35">
      <c r="A1318" s="2" t="s">
        <v>59</v>
      </c>
      <c r="B1318" s="2" t="s">
        <v>60</v>
      </c>
      <c r="C1318" s="2" t="s">
        <v>12991</v>
      </c>
      <c r="D1318" s="2" t="s">
        <v>12992</v>
      </c>
      <c r="E1318" s="2" t="s">
        <v>12993</v>
      </c>
      <c r="F1318" s="3" t="s">
        <v>245</v>
      </c>
      <c r="G1318" s="3" t="s">
        <v>209</v>
      </c>
      <c r="I1318" s="3" t="s">
        <v>65</v>
      </c>
      <c r="J1318" s="3" t="s">
        <v>65</v>
      </c>
      <c r="K1318" s="3" t="s">
        <v>66</v>
      </c>
      <c r="L1318" s="2" t="s">
        <v>12994</v>
      </c>
      <c r="M1318" s="2" t="s">
        <v>12995</v>
      </c>
      <c r="N1318" s="3" t="s">
        <v>126</v>
      </c>
      <c r="P1318" s="3" t="s">
        <v>140</v>
      </c>
      <c r="Q1318" s="2" t="s">
        <v>12996</v>
      </c>
      <c r="R1318" s="3" t="s">
        <v>71</v>
      </c>
      <c r="S1318" s="4">
        <v>0</v>
      </c>
      <c r="T1318" s="4">
        <v>0</v>
      </c>
      <c r="W1318" s="5" t="s">
        <v>72</v>
      </c>
      <c r="X1318" s="5" t="s">
        <v>72</v>
      </c>
      <c r="Y1318" s="4">
        <v>71</v>
      </c>
      <c r="Z1318" s="4">
        <v>8</v>
      </c>
      <c r="AA1318" s="4">
        <v>8</v>
      </c>
      <c r="AB1318" s="4">
        <v>1</v>
      </c>
      <c r="AC1318" s="4">
        <v>1</v>
      </c>
      <c r="AD1318" s="4">
        <v>43</v>
      </c>
      <c r="AE1318" s="4">
        <v>43</v>
      </c>
      <c r="AF1318" s="4">
        <v>0</v>
      </c>
      <c r="AG1318" s="4">
        <v>0</v>
      </c>
      <c r="AH1318" s="4">
        <v>42</v>
      </c>
      <c r="AI1318" s="4">
        <v>42</v>
      </c>
      <c r="AJ1318" s="4">
        <v>4</v>
      </c>
      <c r="AK1318" s="4">
        <v>4</v>
      </c>
      <c r="AL1318" s="4">
        <v>28</v>
      </c>
      <c r="AM1318" s="4">
        <v>28</v>
      </c>
      <c r="AN1318" s="4">
        <v>0</v>
      </c>
      <c r="AO1318" s="4">
        <v>0</v>
      </c>
      <c r="AP1318" s="4">
        <v>4</v>
      </c>
      <c r="AQ1318" s="4">
        <v>4</v>
      </c>
      <c r="AR1318" s="3" t="s">
        <v>65</v>
      </c>
      <c r="AS1318" s="3" t="s">
        <v>65</v>
      </c>
      <c r="AT1318" s="3" t="s">
        <v>65</v>
      </c>
      <c r="AV1318" s="6" t="str">
        <f>HYPERLINK("http://mcgill.on.worldcat.org/oclc/760053884","Catalog Record")</f>
        <v>Catalog Record</v>
      </c>
      <c r="AW1318" s="6" t="str">
        <f>HYPERLINK("http://www.worldcat.org/oclc/760053884","WorldCat Record")</f>
        <v>WorldCat Record</v>
      </c>
      <c r="AX1318" s="3" t="s">
        <v>12997</v>
      </c>
      <c r="AY1318" s="3" t="s">
        <v>12998</v>
      </c>
      <c r="AZ1318" s="3" t="s">
        <v>12999</v>
      </c>
      <c r="BA1318" s="3" t="s">
        <v>12999</v>
      </c>
      <c r="BB1318" s="3" t="s">
        <v>13000</v>
      </c>
      <c r="BC1318" s="3" t="s">
        <v>77</v>
      </c>
      <c r="BD1318" s="3" t="s">
        <v>78</v>
      </c>
      <c r="BE1318" s="3" t="s">
        <v>13001</v>
      </c>
      <c r="BF1318" s="3" t="s">
        <v>13000</v>
      </c>
      <c r="BG1318" s="3" t="s">
        <v>13002</v>
      </c>
    </row>
    <row r="1319" spans="1:59" ht="58" x14ac:dyDescent="0.35">
      <c r="A1319" s="2" t="s">
        <v>59</v>
      </c>
      <c r="B1319" s="2" t="s">
        <v>60</v>
      </c>
      <c r="C1319" s="2" t="s">
        <v>13003</v>
      </c>
      <c r="D1319" s="2" t="s">
        <v>12992</v>
      </c>
      <c r="E1319" s="2" t="s">
        <v>12993</v>
      </c>
      <c r="F1319" s="3" t="s">
        <v>1293</v>
      </c>
      <c r="G1319" s="3" t="s">
        <v>209</v>
      </c>
      <c r="I1319" s="3" t="s">
        <v>65</v>
      </c>
      <c r="J1319" s="3" t="s">
        <v>65</v>
      </c>
      <c r="K1319" s="3" t="s">
        <v>66</v>
      </c>
      <c r="L1319" s="2" t="s">
        <v>12994</v>
      </c>
      <c r="M1319" s="2" t="s">
        <v>12995</v>
      </c>
      <c r="N1319" s="3" t="s">
        <v>126</v>
      </c>
      <c r="P1319" s="3" t="s">
        <v>140</v>
      </c>
      <c r="Q1319" s="2" t="s">
        <v>12996</v>
      </c>
      <c r="R1319" s="3" t="s">
        <v>71</v>
      </c>
      <c r="S1319" s="4">
        <v>0</v>
      </c>
      <c r="T1319" s="4">
        <v>0</v>
      </c>
      <c r="W1319" s="5" t="s">
        <v>72</v>
      </c>
      <c r="X1319" s="5" t="s">
        <v>72</v>
      </c>
      <c r="Y1319" s="4">
        <v>71</v>
      </c>
      <c r="Z1319" s="4">
        <v>8</v>
      </c>
      <c r="AA1319" s="4">
        <v>8</v>
      </c>
      <c r="AB1319" s="4">
        <v>1</v>
      </c>
      <c r="AC1319" s="4">
        <v>1</v>
      </c>
      <c r="AD1319" s="4">
        <v>43</v>
      </c>
      <c r="AE1319" s="4">
        <v>43</v>
      </c>
      <c r="AF1319" s="4">
        <v>0</v>
      </c>
      <c r="AG1319" s="4">
        <v>0</v>
      </c>
      <c r="AH1319" s="4">
        <v>42</v>
      </c>
      <c r="AI1319" s="4">
        <v>42</v>
      </c>
      <c r="AJ1319" s="4">
        <v>4</v>
      </c>
      <c r="AK1319" s="4">
        <v>4</v>
      </c>
      <c r="AL1319" s="4">
        <v>28</v>
      </c>
      <c r="AM1319" s="4">
        <v>28</v>
      </c>
      <c r="AN1319" s="4">
        <v>0</v>
      </c>
      <c r="AO1319" s="4">
        <v>0</v>
      </c>
      <c r="AP1319" s="4">
        <v>4</v>
      </c>
      <c r="AQ1319" s="4">
        <v>4</v>
      </c>
      <c r="AR1319" s="3" t="s">
        <v>65</v>
      </c>
      <c r="AS1319" s="3" t="s">
        <v>65</v>
      </c>
      <c r="AT1319" s="3" t="s">
        <v>65</v>
      </c>
      <c r="AV1319" s="6" t="str">
        <f>HYPERLINK("http://mcgill.on.worldcat.org/oclc/760053884","Catalog Record")</f>
        <v>Catalog Record</v>
      </c>
      <c r="AW1319" s="6" t="str">
        <f>HYPERLINK("http://www.worldcat.org/oclc/760053884","WorldCat Record")</f>
        <v>WorldCat Record</v>
      </c>
      <c r="AX1319" s="3" t="s">
        <v>12997</v>
      </c>
      <c r="AY1319" s="3" t="s">
        <v>12998</v>
      </c>
      <c r="AZ1319" s="3" t="s">
        <v>12999</v>
      </c>
      <c r="BA1319" s="3" t="s">
        <v>12999</v>
      </c>
      <c r="BB1319" s="3" t="s">
        <v>13004</v>
      </c>
      <c r="BC1319" s="3" t="s">
        <v>77</v>
      </c>
      <c r="BD1319" s="3" t="s">
        <v>78</v>
      </c>
      <c r="BE1319" s="3" t="s">
        <v>13001</v>
      </c>
      <c r="BF1319" s="3" t="s">
        <v>13004</v>
      </c>
      <c r="BG1319" s="3" t="s">
        <v>13005</v>
      </c>
    </row>
    <row r="1320" spans="1:59" ht="58" x14ac:dyDescent="0.35">
      <c r="A1320" s="2" t="s">
        <v>59</v>
      </c>
      <c r="B1320" s="2" t="s">
        <v>60</v>
      </c>
      <c r="C1320" s="2" t="s">
        <v>12991</v>
      </c>
      <c r="D1320" s="2" t="s">
        <v>12992</v>
      </c>
      <c r="E1320" s="2" t="s">
        <v>12993</v>
      </c>
      <c r="F1320" s="3" t="s">
        <v>258</v>
      </c>
      <c r="G1320" s="3" t="s">
        <v>209</v>
      </c>
      <c r="I1320" s="3" t="s">
        <v>65</v>
      </c>
      <c r="J1320" s="3" t="s">
        <v>65</v>
      </c>
      <c r="K1320" s="3" t="s">
        <v>66</v>
      </c>
      <c r="L1320" s="2" t="s">
        <v>12994</v>
      </c>
      <c r="M1320" s="2" t="s">
        <v>12995</v>
      </c>
      <c r="N1320" s="3" t="s">
        <v>126</v>
      </c>
      <c r="P1320" s="3" t="s">
        <v>140</v>
      </c>
      <c r="Q1320" s="2" t="s">
        <v>12996</v>
      </c>
      <c r="R1320" s="3" t="s">
        <v>71</v>
      </c>
      <c r="S1320" s="4">
        <v>0</v>
      </c>
      <c r="T1320" s="4">
        <v>0</v>
      </c>
      <c r="W1320" s="5" t="s">
        <v>72</v>
      </c>
      <c r="X1320" s="5" t="s">
        <v>72</v>
      </c>
      <c r="Y1320" s="4">
        <v>71</v>
      </c>
      <c r="Z1320" s="4">
        <v>8</v>
      </c>
      <c r="AA1320" s="4">
        <v>8</v>
      </c>
      <c r="AB1320" s="4">
        <v>1</v>
      </c>
      <c r="AC1320" s="4">
        <v>1</v>
      </c>
      <c r="AD1320" s="4">
        <v>43</v>
      </c>
      <c r="AE1320" s="4">
        <v>43</v>
      </c>
      <c r="AF1320" s="4">
        <v>0</v>
      </c>
      <c r="AG1320" s="4">
        <v>0</v>
      </c>
      <c r="AH1320" s="4">
        <v>42</v>
      </c>
      <c r="AI1320" s="4">
        <v>42</v>
      </c>
      <c r="AJ1320" s="4">
        <v>4</v>
      </c>
      <c r="AK1320" s="4">
        <v>4</v>
      </c>
      <c r="AL1320" s="4">
        <v>28</v>
      </c>
      <c r="AM1320" s="4">
        <v>28</v>
      </c>
      <c r="AN1320" s="4">
        <v>0</v>
      </c>
      <c r="AO1320" s="4">
        <v>0</v>
      </c>
      <c r="AP1320" s="4">
        <v>4</v>
      </c>
      <c r="AQ1320" s="4">
        <v>4</v>
      </c>
      <c r="AR1320" s="3" t="s">
        <v>65</v>
      </c>
      <c r="AS1320" s="3" t="s">
        <v>65</v>
      </c>
      <c r="AT1320" s="3" t="s">
        <v>65</v>
      </c>
      <c r="AV1320" s="6" t="str">
        <f>HYPERLINK("http://mcgill.on.worldcat.org/oclc/760053884","Catalog Record")</f>
        <v>Catalog Record</v>
      </c>
      <c r="AW1320" s="6" t="str">
        <f>HYPERLINK("http://www.worldcat.org/oclc/760053884","WorldCat Record")</f>
        <v>WorldCat Record</v>
      </c>
      <c r="AX1320" s="3" t="s">
        <v>12997</v>
      </c>
      <c r="AY1320" s="3" t="s">
        <v>12998</v>
      </c>
      <c r="AZ1320" s="3" t="s">
        <v>12999</v>
      </c>
      <c r="BA1320" s="3" t="s">
        <v>12999</v>
      </c>
      <c r="BB1320" s="3" t="s">
        <v>13006</v>
      </c>
      <c r="BC1320" s="3" t="s">
        <v>77</v>
      </c>
      <c r="BD1320" s="3" t="s">
        <v>78</v>
      </c>
      <c r="BE1320" s="3" t="s">
        <v>13001</v>
      </c>
      <c r="BF1320" s="3" t="s">
        <v>13006</v>
      </c>
      <c r="BG1320" s="3" t="s">
        <v>13007</v>
      </c>
    </row>
    <row r="1321" spans="1:59" ht="58" x14ac:dyDescent="0.35">
      <c r="A1321" s="2" t="s">
        <v>59</v>
      </c>
      <c r="B1321" s="2" t="s">
        <v>60</v>
      </c>
      <c r="C1321" s="2" t="s">
        <v>13008</v>
      </c>
      <c r="D1321" s="2" t="s">
        <v>13009</v>
      </c>
      <c r="E1321" s="2" t="s">
        <v>13010</v>
      </c>
      <c r="G1321" s="3" t="s">
        <v>65</v>
      </c>
      <c r="I1321" s="3" t="s">
        <v>65</v>
      </c>
      <c r="J1321" s="3" t="s">
        <v>65</v>
      </c>
      <c r="K1321" s="3" t="s">
        <v>66</v>
      </c>
      <c r="L1321" s="2" t="s">
        <v>13011</v>
      </c>
      <c r="M1321" s="2" t="s">
        <v>13012</v>
      </c>
      <c r="N1321" s="3" t="s">
        <v>164</v>
      </c>
      <c r="O1321" s="2" t="s">
        <v>379</v>
      </c>
      <c r="P1321" s="3" t="s">
        <v>140</v>
      </c>
      <c r="Q1321" s="2" t="s">
        <v>5926</v>
      </c>
      <c r="R1321" s="3" t="s">
        <v>71</v>
      </c>
      <c r="S1321" s="4">
        <v>0</v>
      </c>
      <c r="T1321" s="4">
        <v>0</v>
      </c>
      <c r="W1321" s="5" t="s">
        <v>72</v>
      </c>
      <c r="X1321" s="5" t="s">
        <v>72</v>
      </c>
      <c r="Y1321" s="4">
        <v>42</v>
      </c>
      <c r="Z1321" s="4">
        <v>3</v>
      </c>
      <c r="AA1321" s="4">
        <v>3</v>
      </c>
      <c r="AB1321" s="4">
        <v>1</v>
      </c>
      <c r="AC1321" s="4">
        <v>1</v>
      </c>
      <c r="AD1321" s="4">
        <v>28</v>
      </c>
      <c r="AE1321" s="4">
        <v>28</v>
      </c>
      <c r="AF1321" s="4">
        <v>0</v>
      </c>
      <c r="AG1321" s="4">
        <v>0</v>
      </c>
      <c r="AH1321" s="4">
        <v>27</v>
      </c>
      <c r="AI1321" s="4">
        <v>27</v>
      </c>
      <c r="AJ1321" s="4">
        <v>1</v>
      </c>
      <c r="AK1321" s="4">
        <v>1</v>
      </c>
      <c r="AL1321" s="4">
        <v>22</v>
      </c>
      <c r="AM1321" s="4">
        <v>22</v>
      </c>
      <c r="AN1321" s="4">
        <v>0</v>
      </c>
      <c r="AO1321" s="4">
        <v>0</v>
      </c>
      <c r="AP1321" s="4">
        <v>1</v>
      </c>
      <c r="AQ1321" s="4">
        <v>1</v>
      </c>
      <c r="AR1321" s="3" t="s">
        <v>65</v>
      </c>
      <c r="AS1321" s="3" t="s">
        <v>65</v>
      </c>
      <c r="AT1321" s="3" t="s">
        <v>65</v>
      </c>
      <c r="AV1321" s="6" t="str">
        <f>HYPERLINK("http://mcgill.on.worldcat.org/oclc/908024385","Catalog Record")</f>
        <v>Catalog Record</v>
      </c>
      <c r="AW1321" s="6" t="str">
        <f>HYPERLINK("http://www.worldcat.org/oclc/908024385","WorldCat Record")</f>
        <v>WorldCat Record</v>
      </c>
      <c r="AX1321" s="3" t="s">
        <v>13013</v>
      </c>
      <c r="AY1321" s="3" t="s">
        <v>13014</v>
      </c>
      <c r="AZ1321" s="3" t="s">
        <v>13015</v>
      </c>
      <c r="BA1321" s="3" t="s">
        <v>13015</v>
      </c>
      <c r="BB1321" s="3" t="s">
        <v>13016</v>
      </c>
      <c r="BC1321" s="3" t="s">
        <v>77</v>
      </c>
      <c r="BD1321" s="3" t="s">
        <v>78</v>
      </c>
      <c r="BE1321" s="3" t="s">
        <v>13017</v>
      </c>
      <c r="BF1321" s="3" t="s">
        <v>13016</v>
      </c>
      <c r="BG1321" s="3" t="s">
        <v>13018</v>
      </c>
    </row>
    <row r="1322" spans="1:59" ht="58" x14ac:dyDescent="0.35">
      <c r="A1322" s="2" t="s">
        <v>59</v>
      </c>
      <c r="B1322" s="2" t="s">
        <v>60</v>
      </c>
      <c r="C1322" s="2" t="s">
        <v>13019</v>
      </c>
      <c r="D1322" s="2" t="s">
        <v>13020</v>
      </c>
      <c r="E1322" s="2" t="s">
        <v>13021</v>
      </c>
      <c r="G1322" s="3" t="s">
        <v>65</v>
      </c>
      <c r="I1322" s="3" t="s">
        <v>65</v>
      </c>
      <c r="J1322" s="3" t="s">
        <v>65</v>
      </c>
      <c r="K1322" s="3" t="s">
        <v>66</v>
      </c>
      <c r="L1322" s="2" t="s">
        <v>10282</v>
      </c>
      <c r="M1322" s="2" t="s">
        <v>13022</v>
      </c>
      <c r="N1322" s="3" t="s">
        <v>139</v>
      </c>
      <c r="P1322" s="3" t="s">
        <v>69</v>
      </c>
      <c r="R1322" s="3" t="s">
        <v>71</v>
      </c>
      <c r="S1322" s="4">
        <v>0</v>
      </c>
      <c r="T1322" s="4">
        <v>0</v>
      </c>
      <c r="W1322" s="5" t="s">
        <v>72</v>
      </c>
      <c r="X1322" s="5" t="s">
        <v>72</v>
      </c>
      <c r="Y1322" s="4">
        <v>35</v>
      </c>
      <c r="Z1322" s="4">
        <v>4</v>
      </c>
      <c r="AA1322" s="4">
        <v>4</v>
      </c>
      <c r="AB1322" s="4">
        <v>1</v>
      </c>
      <c r="AC1322" s="4">
        <v>1</v>
      </c>
      <c r="AD1322" s="4">
        <v>24</v>
      </c>
      <c r="AE1322" s="4">
        <v>24</v>
      </c>
      <c r="AF1322" s="4">
        <v>0</v>
      </c>
      <c r="AG1322" s="4">
        <v>0</v>
      </c>
      <c r="AH1322" s="4">
        <v>22</v>
      </c>
      <c r="AI1322" s="4">
        <v>22</v>
      </c>
      <c r="AJ1322" s="4">
        <v>2</v>
      </c>
      <c r="AK1322" s="4">
        <v>2</v>
      </c>
      <c r="AL1322" s="4">
        <v>18</v>
      </c>
      <c r="AM1322" s="4">
        <v>18</v>
      </c>
      <c r="AN1322" s="4">
        <v>0</v>
      </c>
      <c r="AO1322" s="4">
        <v>0</v>
      </c>
      <c r="AP1322" s="4">
        <v>2</v>
      </c>
      <c r="AQ1322" s="4">
        <v>2</v>
      </c>
      <c r="AR1322" s="3" t="s">
        <v>65</v>
      </c>
      <c r="AS1322" s="3" t="s">
        <v>65</v>
      </c>
      <c r="AT1322" s="3" t="s">
        <v>65</v>
      </c>
      <c r="AV1322" s="6" t="str">
        <f>HYPERLINK("http://mcgill.on.worldcat.org/oclc/807031269","Catalog Record")</f>
        <v>Catalog Record</v>
      </c>
      <c r="AW1322" s="6" t="str">
        <f>HYPERLINK("http://www.worldcat.org/oclc/807031269","WorldCat Record")</f>
        <v>WorldCat Record</v>
      </c>
      <c r="AX1322" s="3" t="s">
        <v>13023</v>
      </c>
      <c r="AY1322" s="3" t="s">
        <v>13024</v>
      </c>
      <c r="AZ1322" s="3" t="s">
        <v>13025</v>
      </c>
      <c r="BA1322" s="3" t="s">
        <v>13025</v>
      </c>
      <c r="BB1322" s="3" t="s">
        <v>13026</v>
      </c>
      <c r="BC1322" s="3" t="s">
        <v>77</v>
      </c>
      <c r="BD1322" s="3" t="s">
        <v>78</v>
      </c>
      <c r="BE1322" s="3" t="s">
        <v>13027</v>
      </c>
      <c r="BF1322" s="3" t="s">
        <v>13026</v>
      </c>
      <c r="BG1322" s="3" t="s">
        <v>13028</v>
      </c>
    </row>
    <row r="1323" spans="1:59" ht="72.5" x14ac:dyDescent="0.35">
      <c r="A1323" s="2" t="s">
        <v>59</v>
      </c>
      <c r="B1323" s="2" t="s">
        <v>60</v>
      </c>
      <c r="C1323" s="2" t="s">
        <v>13029</v>
      </c>
      <c r="D1323" s="2" t="s">
        <v>13030</v>
      </c>
      <c r="E1323" s="2" t="s">
        <v>13031</v>
      </c>
      <c r="G1323" s="3" t="s">
        <v>65</v>
      </c>
      <c r="I1323" s="3" t="s">
        <v>65</v>
      </c>
      <c r="J1323" s="3" t="s">
        <v>65</v>
      </c>
      <c r="K1323" s="3" t="s">
        <v>66</v>
      </c>
      <c r="L1323" s="2" t="s">
        <v>13032</v>
      </c>
      <c r="M1323" s="2" t="s">
        <v>4427</v>
      </c>
      <c r="N1323" s="3" t="s">
        <v>164</v>
      </c>
      <c r="P1323" s="3" t="s">
        <v>140</v>
      </c>
      <c r="Q1323" s="2" t="s">
        <v>13033</v>
      </c>
      <c r="R1323" s="3" t="s">
        <v>71</v>
      </c>
      <c r="S1323" s="4">
        <v>1</v>
      </c>
      <c r="T1323" s="4">
        <v>1</v>
      </c>
      <c r="U1323" s="5" t="s">
        <v>13034</v>
      </c>
      <c r="V1323" s="5" t="s">
        <v>13034</v>
      </c>
      <c r="W1323" s="5" t="s">
        <v>72</v>
      </c>
      <c r="X1323" s="5" t="s">
        <v>72</v>
      </c>
      <c r="Y1323" s="4">
        <v>28</v>
      </c>
      <c r="Z1323" s="4">
        <v>3</v>
      </c>
      <c r="AA1323" s="4">
        <v>3</v>
      </c>
      <c r="AB1323" s="4">
        <v>1</v>
      </c>
      <c r="AC1323" s="4">
        <v>1</v>
      </c>
      <c r="AD1323" s="4">
        <v>20</v>
      </c>
      <c r="AE1323" s="4">
        <v>30</v>
      </c>
      <c r="AF1323" s="4">
        <v>0</v>
      </c>
      <c r="AG1323" s="4">
        <v>0</v>
      </c>
      <c r="AH1323" s="4">
        <v>20</v>
      </c>
      <c r="AI1323" s="4">
        <v>29</v>
      </c>
      <c r="AJ1323" s="4">
        <v>1</v>
      </c>
      <c r="AK1323" s="4">
        <v>1</v>
      </c>
      <c r="AL1323" s="4">
        <v>14</v>
      </c>
      <c r="AM1323" s="4">
        <v>23</v>
      </c>
      <c r="AN1323" s="4">
        <v>0</v>
      </c>
      <c r="AO1323" s="4">
        <v>0</v>
      </c>
      <c r="AP1323" s="4">
        <v>1</v>
      </c>
      <c r="AQ1323" s="4">
        <v>1</v>
      </c>
      <c r="AR1323" s="3" t="s">
        <v>65</v>
      </c>
      <c r="AS1323" s="3" t="s">
        <v>65</v>
      </c>
      <c r="AT1323" s="3" t="s">
        <v>65</v>
      </c>
      <c r="AV1323" s="6" t="str">
        <f>HYPERLINK("http://mcgill.on.worldcat.org/oclc/880831138","Catalog Record")</f>
        <v>Catalog Record</v>
      </c>
      <c r="AW1323" s="6" t="str">
        <f>HYPERLINK("http://www.worldcat.org/oclc/880831138","WorldCat Record")</f>
        <v>WorldCat Record</v>
      </c>
      <c r="AX1323" s="3" t="s">
        <v>13035</v>
      </c>
      <c r="AY1323" s="3" t="s">
        <v>13036</v>
      </c>
      <c r="AZ1323" s="3" t="s">
        <v>13037</v>
      </c>
      <c r="BA1323" s="3" t="s">
        <v>13037</v>
      </c>
      <c r="BB1323" s="3" t="s">
        <v>13038</v>
      </c>
      <c r="BC1323" s="3" t="s">
        <v>77</v>
      </c>
      <c r="BD1323" s="3" t="s">
        <v>78</v>
      </c>
      <c r="BE1323" s="3" t="s">
        <v>13039</v>
      </c>
      <c r="BF1323" s="3" t="s">
        <v>13038</v>
      </c>
      <c r="BG1323" s="3" t="s">
        <v>13040</v>
      </c>
    </row>
    <row r="1324" spans="1:59" ht="58" x14ac:dyDescent="0.35">
      <c r="A1324" s="2" t="s">
        <v>59</v>
      </c>
      <c r="B1324" s="2" t="s">
        <v>60</v>
      </c>
      <c r="C1324" s="2" t="s">
        <v>13041</v>
      </c>
      <c r="D1324" s="2" t="s">
        <v>13042</v>
      </c>
      <c r="E1324" s="2" t="s">
        <v>13043</v>
      </c>
      <c r="G1324" s="3" t="s">
        <v>65</v>
      </c>
      <c r="I1324" s="3" t="s">
        <v>65</v>
      </c>
      <c r="J1324" s="3" t="s">
        <v>65</v>
      </c>
      <c r="K1324" s="3" t="s">
        <v>66</v>
      </c>
      <c r="L1324" s="2" t="s">
        <v>13044</v>
      </c>
      <c r="M1324" s="2" t="s">
        <v>13045</v>
      </c>
      <c r="N1324" s="3" t="s">
        <v>113</v>
      </c>
      <c r="P1324" s="3" t="s">
        <v>140</v>
      </c>
      <c r="Q1324" s="2" t="s">
        <v>13046</v>
      </c>
      <c r="R1324" s="3" t="s">
        <v>71</v>
      </c>
      <c r="S1324" s="4">
        <v>0</v>
      </c>
      <c r="T1324" s="4">
        <v>0</v>
      </c>
      <c r="W1324" s="5" t="s">
        <v>72</v>
      </c>
      <c r="X1324" s="5" t="s">
        <v>72</v>
      </c>
      <c r="Y1324" s="4">
        <v>35</v>
      </c>
      <c r="Z1324" s="4">
        <v>5</v>
      </c>
      <c r="AA1324" s="4">
        <v>5</v>
      </c>
      <c r="AB1324" s="4">
        <v>1</v>
      </c>
      <c r="AC1324" s="4">
        <v>1</v>
      </c>
      <c r="AD1324" s="4">
        <v>22</v>
      </c>
      <c r="AE1324" s="4">
        <v>22</v>
      </c>
      <c r="AF1324" s="4">
        <v>0</v>
      </c>
      <c r="AG1324" s="4">
        <v>0</v>
      </c>
      <c r="AH1324" s="4">
        <v>21</v>
      </c>
      <c r="AI1324" s="4">
        <v>21</v>
      </c>
      <c r="AJ1324" s="4">
        <v>2</v>
      </c>
      <c r="AK1324" s="4">
        <v>2</v>
      </c>
      <c r="AL1324" s="4">
        <v>19</v>
      </c>
      <c r="AM1324" s="4">
        <v>19</v>
      </c>
      <c r="AN1324" s="4">
        <v>0</v>
      </c>
      <c r="AO1324" s="4">
        <v>0</v>
      </c>
      <c r="AP1324" s="4">
        <v>2</v>
      </c>
      <c r="AQ1324" s="4">
        <v>2</v>
      </c>
      <c r="AR1324" s="3" t="s">
        <v>65</v>
      </c>
      <c r="AS1324" s="3" t="s">
        <v>65</v>
      </c>
      <c r="AT1324" s="3" t="s">
        <v>65</v>
      </c>
      <c r="AV1324" s="6" t="str">
        <f>HYPERLINK("http://mcgill.on.worldcat.org/oclc/724303787","Catalog Record")</f>
        <v>Catalog Record</v>
      </c>
      <c r="AW1324" s="6" t="str">
        <f>HYPERLINK("http://www.worldcat.org/oclc/724303787","WorldCat Record")</f>
        <v>WorldCat Record</v>
      </c>
      <c r="AX1324" s="3" t="s">
        <v>13047</v>
      </c>
      <c r="AY1324" s="3" t="s">
        <v>13048</v>
      </c>
      <c r="AZ1324" s="3" t="s">
        <v>13049</v>
      </c>
      <c r="BA1324" s="3" t="s">
        <v>13049</v>
      </c>
      <c r="BB1324" s="3" t="s">
        <v>13050</v>
      </c>
      <c r="BC1324" s="3" t="s">
        <v>77</v>
      </c>
      <c r="BD1324" s="3" t="s">
        <v>78</v>
      </c>
      <c r="BE1324" s="3" t="s">
        <v>13051</v>
      </c>
      <c r="BF1324" s="3" t="s">
        <v>13050</v>
      </c>
      <c r="BG1324" s="3" t="s">
        <v>13052</v>
      </c>
    </row>
    <row r="1325" spans="1:59" ht="58" x14ac:dyDescent="0.35">
      <c r="A1325" s="2" t="s">
        <v>59</v>
      </c>
      <c r="B1325" s="2" t="s">
        <v>60</v>
      </c>
      <c r="C1325" s="2" t="s">
        <v>13053</v>
      </c>
      <c r="D1325" s="2" t="s">
        <v>13054</v>
      </c>
      <c r="E1325" s="2" t="s">
        <v>13055</v>
      </c>
      <c r="G1325" s="3" t="s">
        <v>65</v>
      </c>
      <c r="I1325" s="3" t="s">
        <v>65</v>
      </c>
      <c r="J1325" s="3" t="s">
        <v>65</v>
      </c>
      <c r="K1325" s="3" t="s">
        <v>66</v>
      </c>
      <c r="L1325" s="2" t="s">
        <v>13056</v>
      </c>
      <c r="M1325" s="2" t="s">
        <v>8924</v>
      </c>
      <c r="N1325" s="3" t="s">
        <v>113</v>
      </c>
      <c r="P1325" s="3" t="s">
        <v>140</v>
      </c>
      <c r="Q1325" s="2" t="s">
        <v>13057</v>
      </c>
      <c r="R1325" s="3" t="s">
        <v>71</v>
      </c>
      <c r="S1325" s="4">
        <v>0</v>
      </c>
      <c r="T1325" s="4">
        <v>0</v>
      </c>
      <c r="W1325" s="5" t="s">
        <v>72</v>
      </c>
      <c r="X1325" s="5" t="s">
        <v>72</v>
      </c>
      <c r="Y1325" s="4">
        <v>42</v>
      </c>
      <c r="Z1325" s="4">
        <v>6</v>
      </c>
      <c r="AA1325" s="4">
        <v>6</v>
      </c>
      <c r="AB1325" s="4">
        <v>1</v>
      </c>
      <c r="AC1325" s="4">
        <v>1</v>
      </c>
      <c r="AD1325" s="4">
        <v>30</v>
      </c>
      <c r="AE1325" s="4">
        <v>30</v>
      </c>
      <c r="AF1325" s="4">
        <v>0</v>
      </c>
      <c r="AG1325" s="4">
        <v>0</v>
      </c>
      <c r="AH1325" s="4">
        <v>28</v>
      </c>
      <c r="AI1325" s="4">
        <v>28</v>
      </c>
      <c r="AJ1325" s="4">
        <v>2</v>
      </c>
      <c r="AK1325" s="4">
        <v>2</v>
      </c>
      <c r="AL1325" s="4">
        <v>22</v>
      </c>
      <c r="AM1325" s="4">
        <v>22</v>
      </c>
      <c r="AN1325" s="4">
        <v>0</v>
      </c>
      <c r="AO1325" s="4">
        <v>0</v>
      </c>
      <c r="AP1325" s="4">
        <v>3</v>
      </c>
      <c r="AQ1325" s="4">
        <v>3</v>
      </c>
      <c r="AR1325" s="3" t="s">
        <v>65</v>
      </c>
      <c r="AS1325" s="3" t="s">
        <v>65</v>
      </c>
      <c r="AT1325" s="3" t="s">
        <v>65</v>
      </c>
      <c r="AV1325" s="6" t="str">
        <f>HYPERLINK("http://mcgill.on.worldcat.org/oclc/745895123","Catalog Record")</f>
        <v>Catalog Record</v>
      </c>
      <c r="AW1325" s="6" t="str">
        <f>HYPERLINK("http://www.worldcat.org/oclc/745895123","WorldCat Record")</f>
        <v>WorldCat Record</v>
      </c>
      <c r="AX1325" s="3" t="s">
        <v>13058</v>
      </c>
      <c r="AY1325" s="3" t="s">
        <v>13059</v>
      </c>
      <c r="AZ1325" s="3" t="s">
        <v>13060</v>
      </c>
      <c r="BA1325" s="3" t="s">
        <v>13060</v>
      </c>
      <c r="BB1325" s="3" t="s">
        <v>13061</v>
      </c>
      <c r="BC1325" s="3" t="s">
        <v>77</v>
      </c>
      <c r="BD1325" s="3" t="s">
        <v>78</v>
      </c>
      <c r="BE1325" s="3" t="s">
        <v>13062</v>
      </c>
      <c r="BF1325" s="3" t="s">
        <v>13061</v>
      </c>
      <c r="BG1325" s="3" t="s">
        <v>13063</v>
      </c>
    </row>
    <row r="1326" spans="1:59" ht="58" x14ac:dyDescent="0.35">
      <c r="A1326" s="2" t="s">
        <v>59</v>
      </c>
      <c r="B1326" s="2" t="s">
        <v>60</v>
      </c>
      <c r="C1326" s="2" t="s">
        <v>13064</v>
      </c>
      <c r="D1326" s="2" t="s">
        <v>13065</v>
      </c>
      <c r="E1326" s="2" t="s">
        <v>13066</v>
      </c>
      <c r="G1326" s="3" t="s">
        <v>65</v>
      </c>
      <c r="I1326" s="3" t="s">
        <v>65</v>
      </c>
      <c r="J1326" s="3" t="s">
        <v>65</v>
      </c>
      <c r="K1326" s="3" t="s">
        <v>66</v>
      </c>
      <c r="L1326" s="2" t="s">
        <v>7826</v>
      </c>
      <c r="M1326" s="2" t="s">
        <v>13067</v>
      </c>
      <c r="N1326" s="3" t="s">
        <v>126</v>
      </c>
      <c r="P1326" s="3" t="s">
        <v>140</v>
      </c>
      <c r="Q1326" s="2" t="s">
        <v>13068</v>
      </c>
      <c r="R1326" s="3" t="s">
        <v>71</v>
      </c>
      <c r="S1326" s="4">
        <v>0</v>
      </c>
      <c r="T1326" s="4">
        <v>0</v>
      </c>
      <c r="W1326" s="5" t="s">
        <v>72</v>
      </c>
      <c r="X1326" s="5" t="s">
        <v>72</v>
      </c>
      <c r="Y1326" s="4">
        <v>15</v>
      </c>
      <c r="Z1326" s="4">
        <v>1</v>
      </c>
      <c r="AA1326" s="4">
        <v>5</v>
      </c>
      <c r="AB1326" s="4">
        <v>1</v>
      </c>
      <c r="AC1326" s="4">
        <v>1</v>
      </c>
      <c r="AD1326" s="4">
        <v>9</v>
      </c>
      <c r="AE1326" s="4">
        <v>29</v>
      </c>
      <c r="AF1326" s="4">
        <v>0</v>
      </c>
      <c r="AG1326" s="4">
        <v>0</v>
      </c>
      <c r="AH1326" s="4">
        <v>9</v>
      </c>
      <c r="AI1326" s="4">
        <v>28</v>
      </c>
      <c r="AJ1326" s="4">
        <v>0</v>
      </c>
      <c r="AK1326" s="4">
        <v>2</v>
      </c>
      <c r="AL1326" s="4">
        <v>7</v>
      </c>
      <c r="AM1326" s="4">
        <v>21</v>
      </c>
      <c r="AN1326" s="4">
        <v>0</v>
      </c>
      <c r="AO1326" s="4">
        <v>0</v>
      </c>
      <c r="AP1326" s="4">
        <v>0</v>
      </c>
      <c r="AQ1326" s="4">
        <v>2</v>
      </c>
      <c r="AR1326" s="3" t="s">
        <v>65</v>
      </c>
      <c r="AS1326" s="3" t="s">
        <v>65</v>
      </c>
      <c r="AT1326" s="3" t="s">
        <v>65</v>
      </c>
      <c r="AV1326" s="6" t="str">
        <f>HYPERLINK("http://mcgill.on.worldcat.org/oclc/719413334","Catalog Record")</f>
        <v>Catalog Record</v>
      </c>
      <c r="AW1326" s="6" t="str">
        <f>HYPERLINK("http://www.worldcat.org/oclc/719413334","WorldCat Record")</f>
        <v>WorldCat Record</v>
      </c>
      <c r="AX1326" s="3" t="s">
        <v>13069</v>
      </c>
      <c r="AY1326" s="3" t="s">
        <v>13070</v>
      </c>
      <c r="AZ1326" s="3" t="s">
        <v>13071</v>
      </c>
      <c r="BA1326" s="3" t="s">
        <v>13071</v>
      </c>
      <c r="BB1326" s="3" t="s">
        <v>13072</v>
      </c>
      <c r="BC1326" s="3" t="s">
        <v>77</v>
      </c>
      <c r="BD1326" s="3" t="s">
        <v>78</v>
      </c>
      <c r="BE1326" s="3" t="s">
        <v>13073</v>
      </c>
      <c r="BF1326" s="3" t="s">
        <v>13072</v>
      </c>
      <c r="BG1326" s="3" t="s">
        <v>13074</v>
      </c>
    </row>
    <row r="1327" spans="1:59" ht="58" x14ac:dyDescent="0.35">
      <c r="A1327" s="2" t="s">
        <v>59</v>
      </c>
      <c r="B1327" s="2" t="s">
        <v>60</v>
      </c>
      <c r="C1327" s="2" t="s">
        <v>13075</v>
      </c>
      <c r="D1327" s="2" t="s">
        <v>13076</v>
      </c>
      <c r="E1327" s="2" t="s">
        <v>13077</v>
      </c>
      <c r="G1327" s="3" t="s">
        <v>65</v>
      </c>
      <c r="I1327" s="3" t="s">
        <v>65</v>
      </c>
      <c r="J1327" s="3" t="s">
        <v>65</v>
      </c>
      <c r="K1327" s="3" t="s">
        <v>66</v>
      </c>
      <c r="L1327" s="2" t="s">
        <v>13078</v>
      </c>
      <c r="M1327" s="2" t="s">
        <v>1788</v>
      </c>
      <c r="N1327" s="3" t="s">
        <v>176</v>
      </c>
      <c r="P1327" s="3" t="s">
        <v>140</v>
      </c>
      <c r="Q1327" s="2" t="s">
        <v>13079</v>
      </c>
      <c r="R1327" s="3" t="s">
        <v>71</v>
      </c>
      <c r="S1327" s="4">
        <v>0</v>
      </c>
      <c r="T1327" s="4">
        <v>0</v>
      </c>
      <c r="W1327" s="5" t="s">
        <v>72</v>
      </c>
      <c r="X1327" s="5" t="s">
        <v>72</v>
      </c>
      <c r="Y1327" s="4">
        <v>48</v>
      </c>
      <c r="Z1327" s="4">
        <v>5</v>
      </c>
      <c r="AA1327" s="4">
        <v>5</v>
      </c>
      <c r="AB1327" s="4">
        <v>1</v>
      </c>
      <c r="AC1327" s="4">
        <v>1</v>
      </c>
      <c r="AD1327" s="4">
        <v>34</v>
      </c>
      <c r="AE1327" s="4">
        <v>34</v>
      </c>
      <c r="AF1327" s="4">
        <v>0</v>
      </c>
      <c r="AG1327" s="4">
        <v>0</v>
      </c>
      <c r="AH1327" s="4">
        <v>33</v>
      </c>
      <c r="AI1327" s="4">
        <v>33</v>
      </c>
      <c r="AJ1327" s="4">
        <v>2</v>
      </c>
      <c r="AK1327" s="4">
        <v>2</v>
      </c>
      <c r="AL1327" s="4">
        <v>27</v>
      </c>
      <c r="AM1327" s="4">
        <v>27</v>
      </c>
      <c r="AN1327" s="4">
        <v>0</v>
      </c>
      <c r="AO1327" s="4">
        <v>0</v>
      </c>
      <c r="AP1327" s="4">
        <v>2</v>
      </c>
      <c r="AQ1327" s="4">
        <v>2</v>
      </c>
      <c r="AR1327" s="3" t="s">
        <v>65</v>
      </c>
      <c r="AS1327" s="3" t="s">
        <v>65</v>
      </c>
      <c r="AT1327" s="3" t="s">
        <v>65</v>
      </c>
      <c r="AV1327" s="6" t="str">
        <f>HYPERLINK("http://mcgill.on.worldcat.org/oclc/910505527","Catalog Record")</f>
        <v>Catalog Record</v>
      </c>
      <c r="AW1327" s="6" t="str">
        <f>HYPERLINK("http://www.worldcat.org/oclc/910505527","WorldCat Record")</f>
        <v>WorldCat Record</v>
      </c>
      <c r="AX1327" s="3" t="s">
        <v>13080</v>
      </c>
      <c r="AY1327" s="3" t="s">
        <v>13081</v>
      </c>
      <c r="AZ1327" s="3" t="s">
        <v>13082</v>
      </c>
      <c r="BA1327" s="3" t="s">
        <v>13082</v>
      </c>
      <c r="BB1327" s="3" t="s">
        <v>13083</v>
      </c>
      <c r="BC1327" s="3" t="s">
        <v>77</v>
      </c>
      <c r="BD1327" s="3" t="s">
        <v>78</v>
      </c>
      <c r="BE1327" s="3" t="s">
        <v>13084</v>
      </c>
      <c r="BF1327" s="3" t="s">
        <v>13083</v>
      </c>
      <c r="BG1327" s="3" t="s">
        <v>13085</v>
      </c>
    </row>
    <row r="1328" spans="1:59" ht="58" x14ac:dyDescent="0.35">
      <c r="A1328" s="2" t="s">
        <v>59</v>
      </c>
      <c r="B1328" s="2" t="s">
        <v>60</v>
      </c>
      <c r="C1328" s="2" t="s">
        <v>13086</v>
      </c>
      <c r="D1328" s="2" t="s">
        <v>13087</v>
      </c>
      <c r="E1328" s="2" t="s">
        <v>13088</v>
      </c>
      <c r="G1328" s="3" t="s">
        <v>65</v>
      </c>
      <c r="I1328" s="3" t="s">
        <v>65</v>
      </c>
      <c r="J1328" s="3" t="s">
        <v>65</v>
      </c>
      <c r="K1328" s="3" t="s">
        <v>66</v>
      </c>
      <c r="L1328" s="2" t="s">
        <v>13089</v>
      </c>
      <c r="M1328" s="2" t="s">
        <v>13090</v>
      </c>
      <c r="N1328" s="3" t="s">
        <v>1835</v>
      </c>
      <c r="P1328" s="3" t="s">
        <v>69</v>
      </c>
      <c r="R1328" s="3" t="s">
        <v>71</v>
      </c>
      <c r="S1328" s="4">
        <v>36</v>
      </c>
      <c r="T1328" s="4">
        <v>36</v>
      </c>
      <c r="U1328" s="5" t="s">
        <v>13091</v>
      </c>
      <c r="V1328" s="5" t="s">
        <v>13091</v>
      </c>
      <c r="W1328" s="5" t="s">
        <v>72</v>
      </c>
      <c r="X1328" s="5" t="s">
        <v>72</v>
      </c>
      <c r="Y1328" s="4">
        <v>675</v>
      </c>
      <c r="Z1328" s="4">
        <v>33</v>
      </c>
      <c r="AA1328" s="4">
        <v>33</v>
      </c>
      <c r="AB1328" s="4">
        <v>2</v>
      </c>
      <c r="AC1328" s="4">
        <v>2</v>
      </c>
      <c r="AD1328" s="4">
        <v>120</v>
      </c>
      <c r="AE1328" s="4">
        <v>120</v>
      </c>
      <c r="AF1328" s="4">
        <v>1</v>
      </c>
      <c r="AG1328" s="4">
        <v>1</v>
      </c>
      <c r="AH1328" s="4">
        <v>101</v>
      </c>
      <c r="AI1328" s="4">
        <v>101</v>
      </c>
      <c r="AJ1328" s="4">
        <v>18</v>
      </c>
      <c r="AK1328" s="4">
        <v>18</v>
      </c>
      <c r="AL1328" s="4">
        <v>55</v>
      </c>
      <c r="AM1328" s="4">
        <v>55</v>
      </c>
      <c r="AN1328" s="4">
        <v>0</v>
      </c>
      <c r="AO1328" s="4">
        <v>0</v>
      </c>
      <c r="AP1328" s="4">
        <v>25</v>
      </c>
      <c r="AQ1328" s="4">
        <v>25</v>
      </c>
      <c r="AR1328" s="3" t="s">
        <v>65</v>
      </c>
      <c r="AS1328" s="3" t="s">
        <v>65</v>
      </c>
      <c r="AT1328" s="3" t="s">
        <v>65</v>
      </c>
      <c r="AV1328" s="6" t="str">
        <f>HYPERLINK("http://mcgill.on.worldcat.org/oclc/6532941","Catalog Record")</f>
        <v>Catalog Record</v>
      </c>
      <c r="AW1328" s="6" t="str">
        <f>HYPERLINK("http://www.worldcat.org/oclc/6532941","WorldCat Record")</f>
        <v>WorldCat Record</v>
      </c>
      <c r="AX1328" s="3" t="s">
        <v>13092</v>
      </c>
      <c r="AY1328" s="3" t="s">
        <v>13093</v>
      </c>
      <c r="AZ1328" s="3" t="s">
        <v>13094</v>
      </c>
      <c r="BA1328" s="3" t="s">
        <v>13094</v>
      </c>
      <c r="BB1328" s="3" t="s">
        <v>13095</v>
      </c>
      <c r="BC1328" s="3" t="s">
        <v>77</v>
      </c>
      <c r="BD1328" s="3" t="s">
        <v>78</v>
      </c>
      <c r="BE1328" s="3" t="s">
        <v>13096</v>
      </c>
      <c r="BF1328" s="3" t="s">
        <v>13095</v>
      </c>
      <c r="BG1328" s="3" t="s">
        <v>13097</v>
      </c>
    </row>
    <row r="1329" spans="1:59" ht="58" x14ac:dyDescent="0.35">
      <c r="A1329" s="2" t="s">
        <v>59</v>
      </c>
      <c r="B1329" s="2" t="s">
        <v>60</v>
      </c>
      <c r="C1329" s="2" t="s">
        <v>13098</v>
      </c>
      <c r="D1329" s="2" t="s">
        <v>13099</v>
      </c>
      <c r="E1329" s="2" t="s">
        <v>13100</v>
      </c>
      <c r="G1329" s="3" t="s">
        <v>65</v>
      </c>
      <c r="I1329" s="3" t="s">
        <v>65</v>
      </c>
      <c r="J1329" s="3" t="s">
        <v>65</v>
      </c>
      <c r="K1329" s="3" t="s">
        <v>66</v>
      </c>
      <c r="L1329" s="2" t="s">
        <v>13101</v>
      </c>
      <c r="M1329" s="2" t="s">
        <v>13102</v>
      </c>
      <c r="N1329" s="3" t="s">
        <v>113</v>
      </c>
      <c r="P1329" s="3" t="s">
        <v>140</v>
      </c>
      <c r="R1329" s="3" t="s">
        <v>71</v>
      </c>
      <c r="S1329" s="4">
        <v>0</v>
      </c>
      <c r="T1329" s="4">
        <v>0</v>
      </c>
      <c r="W1329" s="5" t="s">
        <v>72</v>
      </c>
      <c r="X1329" s="5" t="s">
        <v>72</v>
      </c>
      <c r="Y1329" s="4">
        <v>41</v>
      </c>
      <c r="Z1329" s="4">
        <v>5</v>
      </c>
      <c r="AA1329" s="4">
        <v>5</v>
      </c>
      <c r="AB1329" s="4">
        <v>1</v>
      </c>
      <c r="AC1329" s="4">
        <v>1</v>
      </c>
      <c r="AD1329" s="4">
        <v>30</v>
      </c>
      <c r="AE1329" s="4">
        <v>30</v>
      </c>
      <c r="AF1329" s="4">
        <v>0</v>
      </c>
      <c r="AG1329" s="4">
        <v>0</v>
      </c>
      <c r="AH1329" s="4">
        <v>29</v>
      </c>
      <c r="AI1329" s="4">
        <v>29</v>
      </c>
      <c r="AJ1329" s="4">
        <v>2</v>
      </c>
      <c r="AK1329" s="4">
        <v>2</v>
      </c>
      <c r="AL1329" s="4">
        <v>23</v>
      </c>
      <c r="AM1329" s="4">
        <v>23</v>
      </c>
      <c r="AN1329" s="4">
        <v>0</v>
      </c>
      <c r="AO1329" s="4">
        <v>0</v>
      </c>
      <c r="AP1329" s="4">
        <v>2</v>
      </c>
      <c r="AQ1329" s="4">
        <v>2</v>
      </c>
      <c r="AR1329" s="3" t="s">
        <v>65</v>
      </c>
      <c r="AS1329" s="3" t="s">
        <v>65</v>
      </c>
      <c r="AT1329" s="3" t="s">
        <v>65</v>
      </c>
      <c r="AV1329" s="6" t="str">
        <f>HYPERLINK("http://mcgill.on.worldcat.org/oclc/713178060","Catalog Record")</f>
        <v>Catalog Record</v>
      </c>
      <c r="AW1329" s="6" t="str">
        <f>HYPERLINK("http://www.worldcat.org/oclc/713178060","WorldCat Record")</f>
        <v>WorldCat Record</v>
      </c>
      <c r="AX1329" s="3" t="s">
        <v>13103</v>
      </c>
      <c r="AY1329" s="3" t="s">
        <v>13104</v>
      </c>
      <c r="AZ1329" s="3" t="s">
        <v>13105</v>
      </c>
      <c r="BA1329" s="3" t="s">
        <v>13105</v>
      </c>
      <c r="BB1329" s="3" t="s">
        <v>13106</v>
      </c>
      <c r="BC1329" s="3" t="s">
        <v>77</v>
      </c>
      <c r="BD1329" s="3" t="s">
        <v>78</v>
      </c>
      <c r="BE1329" s="3" t="s">
        <v>13107</v>
      </c>
      <c r="BF1329" s="3" t="s">
        <v>13106</v>
      </c>
      <c r="BG1329" s="3" t="s">
        <v>13108</v>
      </c>
    </row>
    <row r="1330" spans="1:59" ht="58" x14ac:dyDescent="0.35">
      <c r="A1330" s="2" t="s">
        <v>59</v>
      </c>
      <c r="B1330" s="2" t="s">
        <v>60</v>
      </c>
      <c r="C1330" s="2" t="s">
        <v>13109</v>
      </c>
      <c r="D1330" s="2" t="s">
        <v>13110</v>
      </c>
      <c r="E1330" s="2" t="s">
        <v>13111</v>
      </c>
      <c r="G1330" s="3" t="s">
        <v>65</v>
      </c>
      <c r="I1330" s="3" t="s">
        <v>65</v>
      </c>
      <c r="J1330" s="3" t="s">
        <v>65</v>
      </c>
      <c r="K1330" s="3" t="s">
        <v>66</v>
      </c>
      <c r="L1330" s="2" t="s">
        <v>11438</v>
      </c>
      <c r="M1330" s="2" t="s">
        <v>13112</v>
      </c>
      <c r="N1330" s="3" t="s">
        <v>221</v>
      </c>
      <c r="P1330" s="3" t="s">
        <v>69</v>
      </c>
      <c r="R1330" s="3" t="s">
        <v>71</v>
      </c>
      <c r="S1330" s="4">
        <v>12</v>
      </c>
      <c r="T1330" s="4">
        <v>12</v>
      </c>
      <c r="U1330" s="5" t="s">
        <v>13113</v>
      </c>
      <c r="V1330" s="5" t="s">
        <v>13113</v>
      </c>
      <c r="W1330" s="5" t="s">
        <v>72</v>
      </c>
      <c r="X1330" s="5" t="s">
        <v>72</v>
      </c>
      <c r="Y1330" s="4">
        <v>311</v>
      </c>
      <c r="Z1330" s="4">
        <v>25</v>
      </c>
      <c r="AA1330" s="4">
        <v>31</v>
      </c>
      <c r="AB1330" s="4">
        <v>3</v>
      </c>
      <c r="AC1330" s="4">
        <v>5</v>
      </c>
      <c r="AD1330" s="4">
        <v>81</v>
      </c>
      <c r="AE1330" s="4">
        <v>88</v>
      </c>
      <c r="AF1330" s="4">
        <v>1</v>
      </c>
      <c r="AG1330" s="4">
        <v>1</v>
      </c>
      <c r="AH1330" s="4">
        <v>70</v>
      </c>
      <c r="AI1330" s="4">
        <v>75</v>
      </c>
      <c r="AJ1330" s="4">
        <v>12</v>
      </c>
      <c r="AK1330" s="4">
        <v>13</v>
      </c>
      <c r="AL1330" s="4">
        <v>37</v>
      </c>
      <c r="AM1330" s="4">
        <v>38</v>
      </c>
      <c r="AN1330" s="4">
        <v>0</v>
      </c>
      <c r="AO1330" s="4">
        <v>0</v>
      </c>
      <c r="AP1330" s="4">
        <v>15</v>
      </c>
      <c r="AQ1330" s="4">
        <v>18</v>
      </c>
      <c r="AR1330" s="3" t="s">
        <v>65</v>
      </c>
      <c r="AS1330" s="3" t="s">
        <v>65</v>
      </c>
      <c r="AT1330" s="3" t="s">
        <v>65</v>
      </c>
      <c r="AV1330" s="6" t="str">
        <f>HYPERLINK("http://mcgill.on.worldcat.org/oclc/71842808","Catalog Record")</f>
        <v>Catalog Record</v>
      </c>
      <c r="AW1330" s="6" t="str">
        <f>HYPERLINK("http://www.worldcat.org/oclc/71842808","WorldCat Record")</f>
        <v>WorldCat Record</v>
      </c>
      <c r="AX1330" s="3" t="s">
        <v>13114</v>
      </c>
      <c r="AY1330" s="3" t="s">
        <v>13115</v>
      </c>
      <c r="AZ1330" s="3" t="s">
        <v>13116</v>
      </c>
      <c r="BA1330" s="3" t="s">
        <v>13116</v>
      </c>
      <c r="BB1330" s="3" t="s">
        <v>13117</v>
      </c>
      <c r="BC1330" s="3" t="s">
        <v>77</v>
      </c>
      <c r="BD1330" s="3" t="s">
        <v>106</v>
      </c>
      <c r="BE1330" s="3" t="s">
        <v>13118</v>
      </c>
      <c r="BF1330" s="3" t="s">
        <v>13117</v>
      </c>
      <c r="BG1330" s="3" t="s">
        <v>13119</v>
      </c>
    </row>
    <row r="1331" spans="1:59" ht="58" x14ac:dyDescent="0.35">
      <c r="A1331" s="2" t="s">
        <v>59</v>
      </c>
      <c r="B1331" s="2" t="s">
        <v>60</v>
      </c>
      <c r="C1331" s="2" t="s">
        <v>13120</v>
      </c>
      <c r="D1331" s="2" t="s">
        <v>13121</v>
      </c>
      <c r="E1331" s="2" t="s">
        <v>13122</v>
      </c>
      <c r="G1331" s="3" t="s">
        <v>65</v>
      </c>
      <c r="I1331" s="3" t="s">
        <v>65</v>
      </c>
      <c r="J1331" s="3" t="s">
        <v>65</v>
      </c>
      <c r="K1331" s="3" t="s">
        <v>66</v>
      </c>
      <c r="L1331" s="2" t="s">
        <v>13123</v>
      </c>
      <c r="M1331" s="2" t="s">
        <v>13124</v>
      </c>
      <c r="N1331" s="3" t="s">
        <v>10551</v>
      </c>
      <c r="P1331" s="3" t="s">
        <v>69</v>
      </c>
      <c r="R1331" s="3" t="s">
        <v>71</v>
      </c>
      <c r="S1331" s="4">
        <v>15</v>
      </c>
      <c r="T1331" s="4">
        <v>15</v>
      </c>
      <c r="U1331" s="5" t="s">
        <v>13113</v>
      </c>
      <c r="V1331" s="5" t="s">
        <v>13113</v>
      </c>
      <c r="W1331" s="5" t="s">
        <v>72</v>
      </c>
      <c r="X1331" s="5" t="s">
        <v>72</v>
      </c>
      <c r="Y1331" s="4">
        <v>123</v>
      </c>
      <c r="Z1331" s="4">
        <v>6</v>
      </c>
      <c r="AA1331" s="4">
        <v>27</v>
      </c>
      <c r="AB1331" s="4">
        <v>1</v>
      </c>
      <c r="AC1331" s="4">
        <v>2</v>
      </c>
      <c r="AD1331" s="4">
        <v>39</v>
      </c>
      <c r="AE1331" s="4">
        <v>102</v>
      </c>
      <c r="AF1331" s="4">
        <v>0</v>
      </c>
      <c r="AG1331" s="4">
        <v>1</v>
      </c>
      <c r="AH1331" s="4">
        <v>36</v>
      </c>
      <c r="AI1331" s="4">
        <v>92</v>
      </c>
      <c r="AJ1331" s="4">
        <v>3</v>
      </c>
      <c r="AK1331" s="4">
        <v>17</v>
      </c>
      <c r="AL1331" s="4">
        <v>28</v>
      </c>
      <c r="AM1331" s="4">
        <v>51</v>
      </c>
      <c r="AN1331" s="4">
        <v>0</v>
      </c>
      <c r="AO1331" s="4">
        <v>0</v>
      </c>
      <c r="AP1331" s="4">
        <v>4</v>
      </c>
      <c r="AQ1331" s="4">
        <v>20</v>
      </c>
      <c r="AR1331" s="3" t="s">
        <v>65</v>
      </c>
      <c r="AS1331" s="3" t="s">
        <v>209</v>
      </c>
      <c r="AT1331" s="3" t="s">
        <v>65</v>
      </c>
      <c r="AU1331" s="6" t="str">
        <f>HYPERLINK("http://catalog.hathitrust.org/Record/000845779","HathiTrust Record")</f>
        <v>HathiTrust Record</v>
      </c>
      <c r="AV1331" s="6" t="str">
        <f>HYPERLINK("http://mcgill.on.worldcat.org/oclc/7382180","Catalog Record")</f>
        <v>Catalog Record</v>
      </c>
      <c r="AW1331" s="6" t="str">
        <f>HYPERLINK("http://www.worldcat.org/oclc/7382180","WorldCat Record")</f>
        <v>WorldCat Record</v>
      </c>
      <c r="AX1331" s="3" t="s">
        <v>13125</v>
      </c>
      <c r="AY1331" s="3" t="s">
        <v>13126</v>
      </c>
      <c r="AZ1331" s="3" t="s">
        <v>13127</v>
      </c>
      <c r="BA1331" s="3" t="s">
        <v>13127</v>
      </c>
      <c r="BB1331" s="3" t="s">
        <v>13128</v>
      </c>
      <c r="BC1331" s="3" t="s">
        <v>77</v>
      </c>
      <c r="BD1331" s="3" t="s">
        <v>78</v>
      </c>
      <c r="BF1331" s="3" t="s">
        <v>13128</v>
      </c>
      <c r="BG1331" s="3" t="s">
        <v>13129</v>
      </c>
    </row>
    <row r="1332" spans="1:59" ht="58" x14ac:dyDescent="0.35">
      <c r="A1332" s="2" t="s">
        <v>59</v>
      </c>
      <c r="B1332" s="2" t="s">
        <v>60</v>
      </c>
      <c r="C1332" s="2" t="s">
        <v>13130</v>
      </c>
      <c r="D1332" s="2" t="s">
        <v>13131</v>
      </c>
      <c r="E1332" s="2" t="s">
        <v>13132</v>
      </c>
      <c r="G1332" s="3" t="s">
        <v>65</v>
      </c>
      <c r="I1332" s="3" t="s">
        <v>65</v>
      </c>
      <c r="J1332" s="3" t="s">
        <v>209</v>
      </c>
      <c r="K1332" s="3" t="s">
        <v>66</v>
      </c>
      <c r="L1332" s="2" t="s">
        <v>13133</v>
      </c>
      <c r="M1332" s="2" t="s">
        <v>13134</v>
      </c>
      <c r="N1332" s="3" t="s">
        <v>364</v>
      </c>
      <c r="O1332" s="2" t="s">
        <v>13135</v>
      </c>
      <c r="P1332" s="3" t="s">
        <v>140</v>
      </c>
      <c r="R1332" s="3" t="s">
        <v>71</v>
      </c>
      <c r="S1332" s="4">
        <v>3</v>
      </c>
      <c r="T1332" s="4">
        <v>3</v>
      </c>
      <c r="U1332" s="5" t="s">
        <v>13136</v>
      </c>
      <c r="V1332" s="5" t="s">
        <v>13136</v>
      </c>
      <c r="W1332" s="5" t="s">
        <v>72</v>
      </c>
      <c r="X1332" s="5" t="s">
        <v>72</v>
      </c>
      <c r="Y1332" s="4">
        <v>18</v>
      </c>
      <c r="Z1332" s="4">
        <v>4</v>
      </c>
      <c r="AA1332" s="4">
        <v>12</v>
      </c>
      <c r="AB1332" s="4">
        <v>2</v>
      </c>
      <c r="AC1332" s="4">
        <v>3</v>
      </c>
      <c r="AD1332" s="4">
        <v>1</v>
      </c>
      <c r="AE1332" s="4">
        <v>50</v>
      </c>
      <c r="AF1332" s="4">
        <v>0</v>
      </c>
      <c r="AG1332" s="4">
        <v>1</v>
      </c>
      <c r="AH1332" s="4">
        <v>1</v>
      </c>
      <c r="AI1332" s="4">
        <v>46</v>
      </c>
      <c r="AJ1332" s="4">
        <v>1</v>
      </c>
      <c r="AK1332" s="4">
        <v>6</v>
      </c>
      <c r="AL1332" s="4">
        <v>1</v>
      </c>
      <c r="AM1332" s="4">
        <v>33</v>
      </c>
      <c r="AN1332" s="4">
        <v>0</v>
      </c>
      <c r="AO1332" s="4">
        <v>0</v>
      </c>
      <c r="AP1332" s="4">
        <v>1</v>
      </c>
      <c r="AQ1332" s="4">
        <v>7</v>
      </c>
      <c r="AR1332" s="3" t="s">
        <v>65</v>
      </c>
      <c r="AS1332" s="3" t="s">
        <v>65</v>
      </c>
      <c r="AT1332" s="3" t="s">
        <v>65</v>
      </c>
      <c r="AV1332" s="6" t="str">
        <f>HYPERLINK("http://mcgill.on.worldcat.org/oclc/428076982","Catalog Record")</f>
        <v>Catalog Record</v>
      </c>
      <c r="AW1332" s="6" t="str">
        <f>HYPERLINK("http://www.worldcat.org/oclc/428076982","WorldCat Record")</f>
        <v>WorldCat Record</v>
      </c>
      <c r="AX1332" s="3" t="s">
        <v>13137</v>
      </c>
      <c r="AY1332" s="3" t="s">
        <v>13138</v>
      </c>
      <c r="AZ1332" s="3" t="s">
        <v>13139</v>
      </c>
      <c r="BA1332" s="3" t="s">
        <v>13139</v>
      </c>
      <c r="BB1332" s="3" t="s">
        <v>13140</v>
      </c>
      <c r="BC1332" s="3" t="s">
        <v>77</v>
      </c>
      <c r="BD1332" s="3" t="s">
        <v>78</v>
      </c>
      <c r="BE1332" s="3" t="s">
        <v>13141</v>
      </c>
      <c r="BF1332" s="3" t="s">
        <v>13140</v>
      </c>
      <c r="BG1332" s="3" t="s">
        <v>13142</v>
      </c>
    </row>
    <row r="1333" spans="1:59" ht="58" x14ac:dyDescent="0.35">
      <c r="A1333" s="2" t="s">
        <v>59</v>
      </c>
      <c r="B1333" s="2" t="s">
        <v>60</v>
      </c>
      <c r="C1333" s="2" t="s">
        <v>13143</v>
      </c>
      <c r="D1333" s="2" t="s">
        <v>13144</v>
      </c>
      <c r="E1333" s="2" t="s">
        <v>13145</v>
      </c>
      <c r="F1333" s="3" t="s">
        <v>490</v>
      </c>
      <c r="G1333" s="3" t="s">
        <v>209</v>
      </c>
      <c r="I1333" s="3" t="s">
        <v>65</v>
      </c>
      <c r="J1333" s="3" t="s">
        <v>65</v>
      </c>
      <c r="K1333" s="3" t="s">
        <v>66</v>
      </c>
      <c r="L1333" s="2" t="s">
        <v>13146</v>
      </c>
      <c r="M1333" s="2" t="s">
        <v>13147</v>
      </c>
      <c r="N1333" s="3" t="s">
        <v>13148</v>
      </c>
      <c r="P1333" s="3" t="s">
        <v>69</v>
      </c>
      <c r="R1333" s="3" t="s">
        <v>71</v>
      </c>
      <c r="S1333" s="4">
        <v>7</v>
      </c>
      <c r="T1333" s="4">
        <v>11</v>
      </c>
      <c r="U1333" s="5" t="s">
        <v>13113</v>
      </c>
      <c r="V1333" s="5" t="s">
        <v>13113</v>
      </c>
      <c r="W1333" s="5" t="s">
        <v>72</v>
      </c>
      <c r="X1333" s="5" t="s">
        <v>72</v>
      </c>
      <c r="Y1333" s="4">
        <v>12</v>
      </c>
      <c r="Z1333" s="4">
        <v>5</v>
      </c>
      <c r="AA1333" s="4">
        <v>12</v>
      </c>
      <c r="AB1333" s="4">
        <v>1</v>
      </c>
      <c r="AC1333" s="4">
        <v>1</v>
      </c>
      <c r="AD1333" s="4">
        <v>2</v>
      </c>
      <c r="AE1333" s="4">
        <v>49</v>
      </c>
      <c r="AF1333" s="4">
        <v>0</v>
      </c>
      <c r="AG1333" s="4">
        <v>0</v>
      </c>
      <c r="AH1333" s="4">
        <v>2</v>
      </c>
      <c r="AI1333" s="4">
        <v>45</v>
      </c>
      <c r="AJ1333" s="4">
        <v>2</v>
      </c>
      <c r="AK1333" s="4">
        <v>7</v>
      </c>
      <c r="AL1333" s="4">
        <v>1</v>
      </c>
      <c r="AM1333" s="4">
        <v>27</v>
      </c>
      <c r="AN1333" s="4">
        <v>0</v>
      </c>
      <c r="AO1333" s="4">
        <v>0</v>
      </c>
      <c r="AP1333" s="4">
        <v>2</v>
      </c>
      <c r="AQ1333" s="4">
        <v>8</v>
      </c>
      <c r="AR1333" s="3" t="s">
        <v>65</v>
      </c>
      <c r="AS1333" s="3" t="s">
        <v>65</v>
      </c>
      <c r="AT1333" s="3" t="s">
        <v>65</v>
      </c>
      <c r="AV1333" s="6" t="str">
        <f>HYPERLINK("http://mcgill.on.worldcat.org/oclc/150794256","Catalog Record")</f>
        <v>Catalog Record</v>
      </c>
      <c r="AW1333" s="6" t="str">
        <f>HYPERLINK("http://www.worldcat.org/oclc/150794256","WorldCat Record")</f>
        <v>WorldCat Record</v>
      </c>
      <c r="AX1333" s="3" t="s">
        <v>13149</v>
      </c>
      <c r="AY1333" s="3" t="s">
        <v>13150</v>
      </c>
      <c r="AZ1333" s="3" t="s">
        <v>13151</v>
      </c>
      <c r="BA1333" s="3" t="s">
        <v>13151</v>
      </c>
      <c r="BB1333" s="3" t="s">
        <v>13152</v>
      </c>
      <c r="BC1333" s="3" t="s">
        <v>77</v>
      </c>
      <c r="BD1333" s="3" t="s">
        <v>78</v>
      </c>
      <c r="BF1333" s="3" t="s">
        <v>13152</v>
      </c>
      <c r="BG1333" s="3" t="s">
        <v>13153</v>
      </c>
    </row>
    <row r="1334" spans="1:59" ht="58" x14ac:dyDescent="0.35">
      <c r="A1334" s="2" t="s">
        <v>59</v>
      </c>
      <c r="B1334" s="2" t="s">
        <v>60</v>
      </c>
      <c r="C1334" s="2" t="s">
        <v>13143</v>
      </c>
      <c r="D1334" s="2" t="s">
        <v>13144</v>
      </c>
      <c r="E1334" s="2" t="s">
        <v>13145</v>
      </c>
      <c r="F1334" s="3" t="s">
        <v>503</v>
      </c>
      <c r="G1334" s="3" t="s">
        <v>209</v>
      </c>
      <c r="I1334" s="3" t="s">
        <v>65</v>
      </c>
      <c r="J1334" s="3" t="s">
        <v>65</v>
      </c>
      <c r="K1334" s="3" t="s">
        <v>66</v>
      </c>
      <c r="L1334" s="2" t="s">
        <v>13146</v>
      </c>
      <c r="M1334" s="2" t="s">
        <v>13147</v>
      </c>
      <c r="N1334" s="3" t="s">
        <v>13148</v>
      </c>
      <c r="P1334" s="3" t="s">
        <v>69</v>
      </c>
      <c r="R1334" s="3" t="s">
        <v>71</v>
      </c>
      <c r="S1334" s="4">
        <v>4</v>
      </c>
      <c r="T1334" s="4">
        <v>11</v>
      </c>
      <c r="U1334" s="5" t="s">
        <v>13154</v>
      </c>
      <c r="V1334" s="5" t="s">
        <v>13113</v>
      </c>
      <c r="W1334" s="5" t="s">
        <v>72</v>
      </c>
      <c r="X1334" s="5" t="s">
        <v>72</v>
      </c>
      <c r="Y1334" s="4">
        <v>12</v>
      </c>
      <c r="Z1334" s="4">
        <v>5</v>
      </c>
      <c r="AA1334" s="4">
        <v>12</v>
      </c>
      <c r="AB1334" s="4">
        <v>1</v>
      </c>
      <c r="AC1334" s="4">
        <v>1</v>
      </c>
      <c r="AD1334" s="4">
        <v>2</v>
      </c>
      <c r="AE1334" s="4">
        <v>49</v>
      </c>
      <c r="AF1334" s="4">
        <v>0</v>
      </c>
      <c r="AG1334" s="4">
        <v>0</v>
      </c>
      <c r="AH1334" s="4">
        <v>2</v>
      </c>
      <c r="AI1334" s="4">
        <v>45</v>
      </c>
      <c r="AJ1334" s="4">
        <v>2</v>
      </c>
      <c r="AK1334" s="4">
        <v>7</v>
      </c>
      <c r="AL1334" s="4">
        <v>1</v>
      </c>
      <c r="AM1334" s="4">
        <v>27</v>
      </c>
      <c r="AN1334" s="4">
        <v>0</v>
      </c>
      <c r="AO1334" s="4">
        <v>0</v>
      </c>
      <c r="AP1334" s="4">
        <v>2</v>
      </c>
      <c r="AQ1334" s="4">
        <v>8</v>
      </c>
      <c r="AR1334" s="3" t="s">
        <v>65</v>
      </c>
      <c r="AS1334" s="3" t="s">
        <v>65</v>
      </c>
      <c r="AT1334" s="3" t="s">
        <v>65</v>
      </c>
      <c r="AV1334" s="6" t="str">
        <f>HYPERLINK("http://mcgill.on.worldcat.org/oclc/150794256","Catalog Record")</f>
        <v>Catalog Record</v>
      </c>
      <c r="AW1334" s="6" t="str">
        <f>HYPERLINK("http://www.worldcat.org/oclc/150794256","WorldCat Record")</f>
        <v>WorldCat Record</v>
      </c>
      <c r="AX1334" s="3" t="s">
        <v>13149</v>
      </c>
      <c r="AY1334" s="3" t="s">
        <v>13150</v>
      </c>
      <c r="AZ1334" s="3" t="s">
        <v>13151</v>
      </c>
      <c r="BA1334" s="3" t="s">
        <v>13151</v>
      </c>
      <c r="BB1334" s="3" t="s">
        <v>13155</v>
      </c>
      <c r="BC1334" s="3" t="s">
        <v>77</v>
      </c>
      <c r="BD1334" s="3" t="s">
        <v>78</v>
      </c>
      <c r="BF1334" s="3" t="s">
        <v>13155</v>
      </c>
      <c r="BG1334" s="3" t="s">
        <v>13156</v>
      </c>
    </row>
    <row r="1335" spans="1:59" ht="72.5" x14ac:dyDescent="0.35">
      <c r="A1335" s="2" t="s">
        <v>59</v>
      </c>
      <c r="B1335" s="2" t="s">
        <v>60</v>
      </c>
      <c r="C1335" s="2" t="s">
        <v>13157</v>
      </c>
      <c r="D1335" s="2" t="s">
        <v>13158</v>
      </c>
      <c r="E1335" s="2" t="s">
        <v>13159</v>
      </c>
      <c r="G1335" s="3" t="s">
        <v>65</v>
      </c>
      <c r="I1335" s="3" t="s">
        <v>65</v>
      </c>
      <c r="J1335" s="3" t="s">
        <v>65</v>
      </c>
      <c r="K1335" s="3" t="s">
        <v>66</v>
      </c>
      <c r="L1335" s="2" t="s">
        <v>13160</v>
      </c>
      <c r="M1335" s="2" t="s">
        <v>13161</v>
      </c>
      <c r="N1335" s="3" t="s">
        <v>577</v>
      </c>
      <c r="P1335" s="3" t="s">
        <v>69</v>
      </c>
      <c r="R1335" s="3" t="s">
        <v>71</v>
      </c>
      <c r="S1335" s="4">
        <v>10</v>
      </c>
      <c r="T1335" s="4">
        <v>10</v>
      </c>
      <c r="U1335" s="5" t="s">
        <v>13162</v>
      </c>
      <c r="V1335" s="5" t="s">
        <v>13162</v>
      </c>
      <c r="W1335" s="5" t="s">
        <v>72</v>
      </c>
      <c r="X1335" s="5" t="s">
        <v>72</v>
      </c>
      <c r="Y1335" s="4">
        <v>503</v>
      </c>
      <c r="Z1335" s="4">
        <v>24</v>
      </c>
      <c r="AA1335" s="4">
        <v>24</v>
      </c>
      <c r="AB1335" s="4">
        <v>2</v>
      </c>
      <c r="AC1335" s="4">
        <v>2</v>
      </c>
      <c r="AD1335" s="4">
        <v>110</v>
      </c>
      <c r="AE1335" s="4">
        <v>110</v>
      </c>
      <c r="AF1335" s="4">
        <v>1</v>
      </c>
      <c r="AG1335" s="4">
        <v>1</v>
      </c>
      <c r="AH1335" s="4">
        <v>99</v>
      </c>
      <c r="AI1335" s="4">
        <v>99</v>
      </c>
      <c r="AJ1335" s="4">
        <v>13</v>
      </c>
      <c r="AK1335" s="4">
        <v>13</v>
      </c>
      <c r="AL1335" s="4">
        <v>53</v>
      </c>
      <c r="AM1335" s="4">
        <v>53</v>
      </c>
      <c r="AN1335" s="4">
        <v>0</v>
      </c>
      <c r="AO1335" s="4">
        <v>0</v>
      </c>
      <c r="AP1335" s="4">
        <v>15</v>
      </c>
      <c r="AQ1335" s="4">
        <v>15</v>
      </c>
      <c r="AR1335" s="3" t="s">
        <v>65</v>
      </c>
      <c r="AS1335" s="3" t="s">
        <v>65</v>
      </c>
      <c r="AT1335" s="3" t="s">
        <v>209</v>
      </c>
      <c r="AU1335" s="6" t="str">
        <f>HYPERLINK("http://catalog.hathitrust.org/Record/000213704","HathiTrust Record")</f>
        <v>HathiTrust Record</v>
      </c>
      <c r="AV1335" s="6" t="str">
        <f>HYPERLINK("http://mcgill.on.worldcat.org/oclc/2965618","Catalog Record")</f>
        <v>Catalog Record</v>
      </c>
      <c r="AW1335" s="6" t="str">
        <f>HYPERLINK("http://www.worldcat.org/oclc/2965618","WorldCat Record")</f>
        <v>WorldCat Record</v>
      </c>
      <c r="AX1335" s="3" t="s">
        <v>13163</v>
      </c>
      <c r="AY1335" s="3" t="s">
        <v>13164</v>
      </c>
      <c r="AZ1335" s="3" t="s">
        <v>13165</v>
      </c>
      <c r="BA1335" s="3" t="s">
        <v>13165</v>
      </c>
      <c r="BB1335" s="3" t="s">
        <v>13166</v>
      </c>
      <c r="BC1335" s="3" t="s">
        <v>77</v>
      </c>
      <c r="BD1335" s="3" t="s">
        <v>78</v>
      </c>
      <c r="BE1335" s="3" t="s">
        <v>13167</v>
      </c>
      <c r="BF1335" s="3" t="s">
        <v>13166</v>
      </c>
      <c r="BG1335" s="3" t="s">
        <v>13168</v>
      </c>
    </row>
    <row r="1336" spans="1:59" ht="87" x14ac:dyDescent="0.35">
      <c r="A1336" s="2" t="s">
        <v>59</v>
      </c>
      <c r="B1336" s="2" t="s">
        <v>60</v>
      </c>
      <c r="C1336" s="2" t="s">
        <v>13169</v>
      </c>
      <c r="D1336" s="2" t="s">
        <v>13170</v>
      </c>
      <c r="E1336" s="2" t="s">
        <v>13171</v>
      </c>
      <c r="G1336" s="3" t="s">
        <v>65</v>
      </c>
      <c r="I1336" s="3" t="s">
        <v>65</v>
      </c>
      <c r="J1336" s="3" t="s">
        <v>65</v>
      </c>
      <c r="K1336" s="3" t="s">
        <v>66</v>
      </c>
      <c r="L1336" s="2" t="s">
        <v>13172</v>
      </c>
      <c r="M1336" s="2" t="s">
        <v>13173</v>
      </c>
      <c r="N1336" s="3" t="s">
        <v>126</v>
      </c>
      <c r="O1336" s="2" t="s">
        <v>365</v>
      </c>
      <c r="P1336" s="3" t="s">
        <v>140</v>
      </c>
      <c r="Q1336" s="2" t="s">
        <v>13174</v>
      </c>
      <c r="R1336" s="3" t="s">
        <v>71</v>
      </c>
      <c r="S1336" s="4">
        <v>1</v>
      </c>
      <c r="T1336" s="4">
        <v>1</v>
      </c>
      <c r="U1336" s="5" t="s">
        <v>8999</v>
      </c>
      <c r="V1336" s="5" t="s">
        <v>8999</v>
      </c>
      <c r="W1336" s="5" t="s">
        <v>72</v>
      </c>
      <c r="X1336" s="5" t="s">
        <v>72</v>
      </c>
      <c r="Y1336" s="4">
        <v>60</v>
      </c>
      <c r="Z1336" s="4">
        <v>6</v>
      </c>
      <c r="AA1336" s="4">
        <v>6</v>
      </c>
      <c r="AB1336" s="4">
        <v>1</v>
      </c>
      <c r="AC1336" s="4">
        <v>1</v>
      </c>
      <c r="AD1336" s="4">
        <v>37</v>
      </c>
      <c r="AE1336" s="4">
        <v>37</v>
      </c>
      <c r="AF1336" s="4">
        <v>0</v>
      </c>
      <c r="AG1336" s="4">
        <v>0</v>
      </c>
      <c r="AH1336" s="4">
        <v>35</v>
      </c>
      <c r="AI1336" s="4">
        <v>35</v>
      </c>
      <c r="AJ1336" s="4">
        <v>3</v>
      </c>
      <c r="AK1336" s="4">
        <v>3</v>
      </c>
      <c r="AL1336" s="4">
        <v>26</v>
      </c>
      <c r="AM1336" s="4">
        <v>26</v>
      </c>
      <c r="AN1336" s="4">
        <v>0</v>
      </c>
      <c r="AO1336" s="4">
        <v>0</v>
      </c>
      <c r="AP1336" s="4">
        <v>3</v>
      </c>
      <c r="AQ1336" s="4">
        <v>3</v>
      </c>
      <c r="AR1336" s="3" t="s">
        <v>65</v>
      </c>
      <c r="AS1336" s="3" t="s">
        <v>65</v>
      </c>
      <c r="AT1336" s="3" t="s">
        <v>65</v>
      </c>
      <c r="AV1336" s="6" t="str">
        <f>HYPERLINK("http://mcgill.on.worldcat.org/oclc/704509626","Catalog Record")</f>
        <v>Catalog Record</v>
      </c>
      <c r="AW1336" s="6" t="str">
        <f>HYPERLINK("http://www.worldcat.org/oclc/704509626","WorldCat Record")</f>
        <v>WorldCat Record</v>
      </c>
      <c r="AX1336" s="3" t="s">
        <v>13175</v>
      </c>
      <c r="AY1336" s="3" t="s">
        <v>13176</v>
      </c>
      <c r="AZ1336" s="3" t="s">
        <v>13177</v>
      </c>
      <c r="BA1336" s="3" t="s">
        <v>13177</v>
      </c>
      <c r="BB1336" s="3" t="s">
        <v>13178</v>
      </c>
      <c r="BC1336" s="3" t="s">
        <v>77</v>
      </c>
      <c r="BD1336" s="3" t="s">
        <v>78</v>
      </c>
      <c r="BE1336" s="3" t="s">
        <v>13179</v>
      </c>
      <c r="BF1336" s="3" t="s">
        <v>13178</v>
      </c>
      <c r="BG1336" s="3" t="s">
        <v>13180</v>
      </c>
    </row>
    <row r="1337" spans="1:59" ht="72.5" x14ac:dyDescent="0.35">
      <c r="A1337" s="2" t="s">
        <v>59</v>
      </c>
      <c r="B1337" s="2" t="s">
        <v>60</v>
      </c>
      <c r="C1337" s="2" t="s">
        <v>13181</v>
      </c>
      <c r="D1337" s="2" t="s">
        <v>13182</v>
      </c>
      <c r="E1337" s="2" t="s">
        <v>13183</v>
      </c>
      <c r="G1337" s="3" t="s">
        <v>65</v>
      </c>
      <c r="I1337" s="3" t="s">
        <v>65</v>
      </c>
      <c r="J1337" s="3" t="s">
        <v>65</v>
      </c>
      <c r="K1337" s="3" t="s">
        <v>66</v>
      </c>
      <c r="L1337" s="2" t="s">
        <v>13184</v>
      </c>
      <c r="M1337" s="2" t="s">
        <v>13185</v>
      </c>
      <c r="N1337" s="3" t="s">
        <v>392</v>
      </c>
      <c r="P1337" s="3" t="s">
        <v>69</v>
      </c>
      <c r="Q1337" s="2" t="s">
        <v>13186</v>
      </c>
      <c r="R1337" s="3" t="s">
        <v>71</v>
      </c>
      <c r="S1337" s="4">
        <v>6</v>
      </c>
      <c r="T1337" s="4">
        <v>6</v>
      </c>
      <c r="U1337" s="5" t="s">
        <v>12005</v>
      </c>
      <c r="V1337" s="5" t="s">
        <v>12005</v>
      </c>
      <c r="W1337" s="5" t="s">
        <v>72</v>
      </c>
      <c r="X1337" s="5" t="s">
        <v>72</v>
      </c>
      <c r="Y1337" s="4">
        <v>282</v>
      </c>
      <c r="Z1337" s="4">
        <v>16</v>
      </c>
      <c r="AA1337" s="4">
        <v>19</v>
      </c>
      <c r="AB1337" s="4">
        <v>2</v>
      </c>
      <c r="AC1337" s="4">
        <v>3</v>
      </c>
      <c r="AD1337" s="4">
        <v>105</v>
      </c>
      <c r="AE1337" s="4">
        <v>106</v>
      </c>
      <c r="AF1337" s="4">
        <v>1</v>
      </c>
      <c r="AG1337" s="4">
        <v>1</v>
      </c>
      <c r="AH1337" s="4">
        <v>98</v>
      </c>
      <c r="AI1337" s="4">
        <v>98</v>
      </c>
      <c r="AJ1337" s="4">
        <v>12</v>
      </c>
      <c r="AK1337" s="4">
        <v>12</v>
      </c>
      <c r="AL1337" s="4">
        <v>55</v>
      </c>
      <c r="AM1337" s="4">
        <v>55</v>
      </c>
      <c r="AN1337" s="4">
        <v>0</v>
      </c>
      <c r="AO1337" s="4">
        <v>0</v>
      </c>
      <c r="AP1337" s="4">
        <v>12</v>
      </c>
      <c r="AQ1337" s="4">
        <v>13</v>
      </c>
      <c r="AR1337" s="3" t="s">
        <v>65</v>
      </c>
      <c r="AS1337" s="3" t="s">
        <v>65</v>
      </c>
      <c r="AT1337" s="3" t="s">
        <v>65</v>
      </c>
      <c r="AV1337" s="6" t="str">
        <f>HYPERLINK("http://mcgill.on.worldcat.org/oclc/19324281","Catalog Record")</f>
        <v>Catalog Record</v>
      </c>
      <c r="AW1337" s="6" t="str">
        <f>HYPERLINK("http://www.worldcat.org/oclc/19324281","WorldCat Record")</f>
        <v>WorldCat Record</v>
      </c>
      <c r="AX1337" s="3" t="s">
        <v>13187</v>
      </c>
      <c r="AY1337" s="3" t="s">
        <v>13188</v>
      </c>
      <c r="AZ1337" s="3" t="s">
        <v>13189</v>
      </c>
      <c r="BA1337" s="3" t="s">
        <v>13189</v>
      </c>
      <c r="BB1337" s="3" t="s">
        <v>13190</v>
      </c>
      <c r="BC1337" s="3" t="s">
        <v>77</v>
      </c>
      <c r="BD1337" s="3" t="s">
        <v>78</v>
      </c>
      <c r="BE1337" s="3" t="s">
        <v>13191</v>
      </c>
      <c r="BF1337" s="3" t="s">
        <v>13190</v>
      </c>
      <c r="BG1337" s="3" t="s">
        <v>13192</v>
      </c>
    </row>
    <row r="1338" spans="1:59" ht="72.5" x14ac:dyDescent="0.35">
      <c r="A1338" s="2" t="s">
        <v>59</v>
      </c>
      <c r="B1338" s="2" t="s">
        <v>60</v>
      </c>
      <c r="C1338" s="2" t="s">
        <v>13193</v>
      </c>
      <c r="D1338" s="2" t="s">
        <v>13194</v>
      </c>
      <c r="E1338" s="2" t="s">
        <v>13195</v>
      </c>
      <c r="G1338" s="3" t="s">
        <v>65</v>
      </c>
      <c r="I1338" s="3" t="s">
        <v>65</v>
      </c>
      <c r="J1338" s="3" t="s">
        <v>65</v>
      </c>
      <c r="K1338" s="3" t="s">
        <v>66</v>
      </c>
      <c r="L1338" s="2" t="s">
        <v>13196</v>
      </c>
      <c r="M1338" s="2" t="s">
        <v>13197</v>
      </c>
      <c r="N1338" s="3" t="s">
        <v>139</v>
      </c>
      <c r="P1338" s="3" t="s">
        <v>69</v>
      </c>
      <c r="R1338" s="3" t="s">
        <v>71</v>
      </c>
      <c r="S1338" s="4">
        <v>5</v>
      </c>
      <c r="T1338" s="4">
        <v>5</v>
      </c>
      <c r="U1338" s="5" t="s">
        <v>13198</v>
      </c>
      <c r="V1338" s="5" t="s">
        <v>13198</v>
      </c>
      <c r="W1338" s="5" t="s">
        <v>72</v>
      </c>
      <c r="X1338" s="5" t="s">
        <v>72</v>
      </c>
      <c r="Y1338" s="4">
        <v>143</v>
      </c>
      <c r="Z1338" s="4">
        <v>25</v>
      </c>
      <c r="AA1338" s="4">
        <v>119</v>
      </c>
      <c r="AB1338" s="4">
        <v>1</v>
      </c>
      <c r="AC1338" s="4">
        <v>20</v>
      </c>
      <c r="AD1338" s="4">
        <v>80</v>
      </c>
      <c r="AE1338" s="4">
        <v>138</v>
      </c>
      <c r="AF1338" s="4">
        <v>0</v>
      </c>
      <c r="AG1338" s="4">
        <v>8</v>
      </c>
      <c r="AH1338" s="4">
        <v>67</v>
      </c>
      <c r="AI1338" s="4">
        <v>94</v>
      </c>
      <c r="AJ1338" s="4">
        <v>16</v>
      </c>
      <c r="AK1338" s="4">
        <v>26</v>
      </c>
      <c r="AL1338" s="4">
        <v>46</v>
      </c>
      <c r="AM1338" s="4">
        <v>55</v>
      </c>
      <c r="AN1338" s="4">
        <v>0</v>
      </c>
      <c r="AO1338" s="4">
        <v>0</v>
      </c>
      <c r="AP1338" s="4">
        <v>19</v>
      </c>
      <c r="AQ1338" s="4">
        <v>52</v>
      </c>
      <c r="AR1338" s="3" t="s">
        <v>209</v>
      </c>
      <c r="AS1338" s="3" t="s">
        <v>65</v>
      </c>
      <c r="AT1338" s="3" t="s">
        <v>65</v>
      </c>
      <c r="AV1338" s="6" t="str">
        <f>HYPERLINK("http://mcgill.on.worldcat.org/oclc/764385457","Catalog Record")</f>
        <v>Catalog Record</v>
      </c>
      <c r="AW1338" s="6" t="str">
        <f>HYPERLINK("http://www.worldcat.org/oclc/764385457","WorldCat Record")</f>
        <v>WorldCat Record</v>
      </c>
      <c r="AX1338" s="3" t="s">
        <v>13199</v>
      </c>
      <c r="AY1338" s="3" t="s">
        <v>13200</v>
      </c>
      <c r="AZ1338" s="3" t="s">
        <v>13201</v>
      </c>
      <c r="BA1338" s="3" t="s">
        <v>13201</v>
      </c>
      <c r="BB1338" s="3" t="s">
        <v>13202</v>
      </c>
      <c r="BC1338" s="3" t="s">
        <v>77</v>
      </c>
      <c r="BD1338" s="3" t="s">
        <v>78</v>
      </c>
      <c r="BE1338" s="3" t="s">
        <v>13203</v>
      </c>
      <c r="BF1338" s="3" t="s">
        <v>13202</v>
      </c>
      <c r="BG1338" s="3" t="s">
        <v>13204</v>
      </c>
    </row>
    <row r="1339" spans="1:59" ht="58" x14ac:dyDescent="0.35">
      <c r="A1339" s="2" t="s">
        <v>59</v>
      </c>
      <c r="B1339" s="2" t="s">
        <v>60</v>
      </c>
      <c r="C1339" s="2" t="s">
        <v>13205</v>
      </c>
      <c r="D1339" s="2" t="s">
        <v>13206</v>
      </c>
      <c r="E1339" s="2" t="s">
        <v>13207</v>
      </c>
      <c r="G1339" s="3" t="s">
        <v>65</v>
      </c>
      <c r="I1339" s="3" t="s">
        <v>65</v>
      </c>
      <c r="J1339" s="3" t="s">
        <v>65</v>
      </c>
      <c r="K1339" s="3" t="s">
        <v>66</v>
      </c>
      <c r="M1339" s="2" t="s">
        <v>13208</v>
      </c>
      <c r="N1339" s="3" t="s">
        <v>113</v>
      </c>
      <c r="O1339" s="2" t="s">
        <v>365</v>
      </c>
      <c r="P1339" s="3" t="s">
        <v>140</v>
      </c>
      <c r="R1339" s="3" t="s">
        <v>71</v>
      </c>
      <c r="S1339" s="4">
        <v>0</v>
      </c>
      <c r="T1339" s="4">
        <v>0</v>
      </c>
      <c r="W1339" s="5" t="s">
        <v>72</v>
      </c>
      <c r="X1339" s="5" t="s">
        <v>72</v>
      </c>
      <c r="Y1339" s="4">
        <v>42</v>
      </c>
      <c r="Z1339" s="4">
        <v>3</v>
      </c>
      <c r="AA1339" s="4">
        <v>3</v>
      </c>
      <c r="AB1339" s="4">
        <v>1</v>
      </c>
      <c r="AC1339" s="4">
        <v>1</v>
      </c>
      <c r="AD1339" s="4">
        <v>21</v>
      </c>
      <c r="AE1339" s="4">
        <v>21</v>
      </c>
      <c r="AF1339" s="4">
        <v>0</v>
      </c>
      <c r="AG1339" s="4">
        <v>0</v>
      </c>
      <c r="AH1339" s="4">
        <v>20</v>
      </c>
      <c r="AI1339" s="4">
        <v>20</v>
      </c>
      <c r="AJ1339" s="4">
        <v>1</v>
      </c>
      <c r="AK1339" s="4">
        <v>1</v>
      </c>
      <c r="AL1339" s="4">
        <v>15</v>
      </c>
      <c r="AM1339" s="4">
        <v>15</v>
      </c>
      <c r="AN1339" s="4">
        <v>0</v>
      </c>
      <c r="AO1339" s="4">
        <v>0</v>
      </c>
      <c r="AP1339" s="4">
        <v>1</v>
      </c>
      <c r="AQ1339" s="4">
        <v>1</v>
      </c>
      <c r="AR1339" s="3" t="s">
        <v>65</v>
      </c>
      <c r="AS1339" s="3" t="s">
        <v>65</v>
      </c>
      <c r="AT1339" s="3" t="s">
        <v>65</v>
      </c>
      <c r="AV1339" s="6" t="str">
        <f>HYPERLINK("http://mcgill.on.worldcat.org/oclc/642806092","Catalog Record")</f>
        <v>Catalog Record</v>
      </c>
      <c r="AW1339" s="6" t="str">
        <f>HYPERLINK("http://www.worldcat.org/oclc/642806092","WorldCat Record")</f>
        <v>WorldCat Record</v>
      </c>
      <c r="AX1339" s="3" t="s">
        <v>13209</v>
      </c>
      <c r="AY1339" s="3" t="s">
        <v>13210</v>
      </c>
      <c r="AZ1339" s="3" t="s">
        <v>13211</v>
      </c>
      <c r="BA1339" s="3" t="s">
        <v>13211</v>
      </c>
      <c r="BB1339" s="3" t="s">
        <v>13212</v>
      </c>
      <c r="BC1339" s="3" t="s">
        <v>77</v>
      </c>
      <c r="BD1339" s="3" t="s">
        <v>78</v>
      </c>
      <c r="BE1339" s="3" t="s">
        <v>13213</v>
      </c>
      <c r="BF1339" s="3" t="s">
        <v>13212</v>
      </c>
      <c r="BG1339" s="3" t="s">
        <v>13214</v>
      </c>
    </row>
    <row r="1340" spans="1:59" ht="58" x14ac:dyDescent="0.35">
      <c r="A1340" s="2" t="s">
        <v>59</v>
      </c>
      <c r="B1340" s="2" t="s">
        <v>60</v>
      </c>
      <c r="C1340" s="2" t="s">
        <v>13215</v>
      </c>
      <c r="D1340" s="2" t="s">
        <v>13216</v>
      </c>
      <c r="E1340" s="2" t="s">
        <v>13217</v>
      </c>
      <c r="G1340" s="3" t="s">
        <v>65</v>
      </c>
      <c r="I1340" s="3" t="s">
        <v>65</v>
      </c>
      <c r="J1340" s="3" t="s">
        <v>209</v>
      </c>
      <c r="K1340" s="3" t="s">
        <v>66</v>
      </c>
      <c r="L1340" s="2" t="s">
        <v>13218</v>
      </c>
      <c r="M1340" s="2" t="s">
        <v>13219</v>
      </c>
      <c r="N1340" s="3" t="s">
        <v>364</v>
      </c>
      <c r="O1340" s="2" t="s">
        <v>365</v>
      </c>
      <c r="P1340" s="3" t="s">
        <v>140</v>
      </c>
      <c r="R1340" s="3" t="s">
        <v>71</v>
      </c>
      <c r="S1340" s="4">
        <v>3</v>
      </c>
      <c r="T1340" s="4">
        <v>3</v>
      </c>
      <c r="U1340" s="5" t="s">
        <v>13136</v>
      </c>
      <c r="V1340" s="5" t="s">
        <v>13136</v>
      </c>
      <c r="W1340" s="5" t="s">
        <v>72</v>
      </c>
      <c r="X1340" s="5" t="s">
        <v>72</v>
      </c>
      <c r="Y1340" s="4">
        <v>44</v>
      </c>
      <c r="Z1340" s="4">
        <v>4</v>
      </c>
      <c r="AA1340" s="4">
        <v>9</v>
      </c>
      <c r="AB1340" s="4">
        <v>2</v>
      </c>
      <c r="AC1340" s="4">
        <v>2</v>
      </c>
      <c r="AD1340" s="4">
        <v>32</v>
      </c>
      <c r="AE1340" s="4">
        <v>48</v>
      </c>
      <c r="AF1340" s="4">
        <v>0</v>
      </c>
      <c r="AG1340" s="4">
        <v>0</v>
      </c>
      <c r="AH1340" s="4">
        <v>30</v>
      </c>
      <c r="AI1340" s="4">
        <v>45</v>
      </c>
      <c r="AJ1340" s="4">
        <v>2</v>
      </c>
      <c r="AK1340" s="4">
        <v>5</v>
      </c>
      <c r="AL1340" s="4">
        <v>24</v>
      </c>
      <c r="AM1340" s="4">
        <v>33</v>
      </c>
      <c r="AN1340" s="4">
        <v>0</v>
      </c>
      <c r="AO1340" s="4">
        <v>0</v>
      </c>
      <c r="AP1340" s="4">
        <v>2</v>
      </c>
      <c r="AQ1340" s="4">
        <v>5</v>
      </c>
      <c r="AR1340" s="3" t="s">
        <v>65</v>
      </c>
      <c r="AS1340" s="3" t="s">
        <v>65</v>
      </c>
      <c r="AT1340" s="3" t="s">
        <v>65</v>
      </c>
      <c r="AV1340" s="6" t="str">
        <f>HYPERLINK("http://mcgill.on.worldcat.org/oclc/49593003","Catalog Record")</f>
        <v>Catalog Record</v>
      </c>
      <c r="AW1340" s="6" t="str">
        <f>HYPERLINK("http://www.worldcat.org/oclc/49593003","WorldCat Record")</f>
        <v>WorldCat Record</v>
      </c>
      <c r="AX1340" s="3" t="s">
        <v>13220</v>
      </c>
      <c r="AY1340" s="3" t="s">
        <v>13221</v>
      </c>
      <c r="AZ1340" s="3" t="s">
        <v>13222</v>
      </c>
      <c r="BA1340" s="3" t="s">
        <v>13222</v>
      </c>
      <c r="BB1340" s="3" t="s">
        <v>13223</v>
      </c>
      <c r="BC1340" s="3" t="s">
        <v>77</v>
      </c>
      <c r="BD1340" s="3" t="s">
        <v>78</v>
      </c>
      <c r="BE1340" s="3" t="s">
        <v>13224</v>
      </c>
      <c r="BF1340" s="3" t="s">
        <v>13223</v>
      </c>
      <c r="BG1340" s="3" t="s">
        <v>13225</v>
      </c>
    </row>
    <row r="1341" spans="1:59" ht="58" x14ac:dyDescent="0.35">
      <c r="A1341" s="2" t="s">
        <v>59</v>
      </c>
      <c r="B1341" s="2" t="s">
        <v>60</v>
      </c>
      <c r="C1341" s="2" t="s">
        <v>13226</v>
      </c>
      <c r="D1341" s="2" t="s">
        <v>13227</v>
      </c>
      <c r="E1341" s="2" t="s">
        <v>13228</v>
      </c>
      <c r="G1341" s="3" t="s">
        <v>65</v>
      </c>
      <c r="I1341" s="3" t="s">
        <v>209</v>
      </c>
      <c r="J1341" s="3" t="s">
        <v>65</v>
      </c>
      <c r="K1341" s="3" t="s">
        <v>66</v>
      </c>
      <c r="L1341" s="2" t="s">
        <v>13229</v>
      </c>
      <c r="M1341" s="2" t="s">
        <v>13230</v>
      </c>
      <c r="N1341" s="3" t="s">
        <v>564</v>
      </c>
      <c r="P1341" s="3" t="s">
        <v>69</v>
      </c>
      <c r="R1341" s="3" t="s">
        <v>71</v>
      </c>
      <c r="S1341" s="4">
        <v>4</v>
      </c>
      <c r="T1341" s="4">
        <v>8</v>
      </c>
      <c r="U1341" s="5" t="s">
        <v>13231</v>
      </c>
      <c r="V1341" s="5" t="s">
        <v>13231</v>
      </c>
      <c r="W1341" s="5" t="s">
        <v>72</v>
      </c>
      <c r="X1341" s="5" t="s">
        <v>72</v>
      </c>
      <c r="Y1341" s="4">
        <v>635</v>
      </c>
      <c r="Z1341" s="4">
        <v>19</v>
      </c>
      <c r="AA1341" s="4">
        <v>27</v>
      </c>
      <c r="AB1341" s="4">
        <v>2</v>
      </c>
      <c r="AC1341" s="4">
        <v>5</v>
      </c>
      <c r="AD1341" s="4">
        <v>105</v>
      </c>
      <c r="AE1341" s="4">
        <v>113</v>
      </c>
      <c r="AF1341" s="4">
        <v>1</v>
      </c>
      <c r="AG1341" s="4">
        <v>3</v>
      </c>
      <c r="AH1341" s="4">
        <v>97</v>
      </c>
      <c r="AI1341" s="4">
        <v>101</v>
      </c>
      <c r="AJ1341" s="4">
        <v>11</v>
      </c>
      <c r="AK1341" s="4">
        <v>16</v>
      </c>
      <c r="AL1341" s="4">
        <v>53</v>
      </c>
      <c r="AM1341" s="4">
        <v>54</v>
      </c>
      <c r="AN1341" s="4">
        <v>0</v>
      </c>
      <c r="AO1341" s="4">
        <v>0</v>
      </c>
      <c r="AP1341" s="4">
        <v>13</v>
      </c>
      <c r="AQ1341" s="4">
        <v>19</v>
      </c>
      <c r="AR1341" s="3" t="s">
        <v>65</v>
      </c>
      <c r="AS1341" s="3" t="s">
        <v>65</v>
      </c>
      <c r="AT1341" s="3" t="s">
        <v>65</v>
      </c>
      <c r="AV1341" s="6" t="str">
        <f>HYPERLINK("http://mcgill.on.worldcat.org/oclc/344493","Catalog Record")</f>
        <v>Catalog Record</v>
      </c>
      <c r="AW1341" s="6" t="str">
        <f>HYPERLINK("http://www.worldcat.org/oclc/344493","WorldCat Record")</f>
        <v>WorldCat Record</v>
      </c>
      <c r="AX1341" s="3" t="s">
        <v>13232</v>
      </c>
      <c r="AY1341" s="3" t="s">
        <v>13233</v>
      </c>
      <c r="AZ1341" s="3" t="s">
        <v>13234</v>
      </c>
      <c r="BA1341" s="3" t="s">
        <v>13234</v>
      </c>
      <c r="BB1341" s="3" t="s">
        <v>13235</v>
      </c>
      <c r="BC1341" s="3" t="s">
        <v>77</v>
      </c>
      <c r="BD1341" s="3" t="s">
        <v>78</v>
      </c>
      <c r="BF1341" s="3" t="s">
        <v>13235</v>
      </c>
      <c r="BG1341" s="3" t="s">
        <v>13236</v>
      </c>
    </row>
    <row r="1342" spans="1:59" ht="58" x14ac:dyDescent="0.35">
      <c r="A1342" s="2" t="s">
        <v>59</v>
      </c>
      <c r="B1342" s="2" t="s">
        <v>60</v>
      </c>
      <c r="C1342" s="2" t="s">
        <v>13226</v>
      </c>
      <c r="D1342" s="2" t="s">
        <v>13227</v>
      </c>
      <c r="E1342" s="2" t="s">
        <v>13228</v>
      </c>
      <c r="G1342" s="3" t="s">
        <v>65</v>
      </c>
      <c r="I1342" s="3" t="s">
        <v>209</v>
      </c>
      <c r="J1342" s="3" t="s">
        <v>65</v>
      </c>
      <c r="K1342" s="3" t="s">
        <v>66</v>
      </c>
      <c r="L1342" s="2" t="s">
        <v>13229</v>
      </c>
      <c r="M1342" s="2" t="s">
        <v>13230</v>
      </c>
      <c r="N1342" s="3" t="s">
        <v>564</v>
      </c>
      <c r="P1342" s="3" t="s">
        <v>69</v>
      </c>
      <c r="R1342" s="3" t="s">
        <v>71</v>
      </c>
      <c r="S1342" s="4">
        <v>4</v>
      </c>
      <c r="T1342" s="4">
        <v>8</v>
      </c>
      <c r="U1342" s="5" t="s">
        <v>13237</v>
      </c>
      <c r="V1342" s="5" t="s">
        <v>13231</v>
      </c>
      <c r="W1342" s="5" t="s">
        <v>72</v>
      </c>
      <c r="X1342" s="5" t="s">
        <v>72</v>
      </c>
      <c r="Y1342" s="4">
        <v>635</v>
      </c>
      <c r="Z1342" s="4">
        <v>19</v>
      </c>
      <c r="AA1342" s="4">
        <v>27</v>
      </c>
      <c r="AB1342" s="4">
        <v>2</v>
      </c>
      <c r="AC1342" s="4">
        <v>5</v>
      </c>
      <c r="AD1342" s="4">
        <v>105</v>
      </c>
      <c r="AE1342" s="4">
        <v>113</v>
      </c>
      <c r="AF1342" s="4">
        <v>1</v>
      </c>
      <c r="AG1342" s="4">
        <v>3</v>
      </c>
      <c r="AH1342" s="4">
        <v>97</v>
      </c>
      <c r="AI1342" s="4">
        <v>101</v>
      </c>
      <c r="AJ1342" s="4">
        <v>11</v>
      </c>
      <c r="AK1342" s="4">
        <v>16</v>
      </c>
      <c r="AL1342" s="4">
        <v>53</v>
      </c>
      <c r="AM1342" s="4">
        <v>54</v>
      </c>
      <c r="AN1342" s="4">
        <v>0</v>
      </c>
      <c r="AO1342" s="4">
        <v>0</v>
      </c>
      <c r="AP1342" s="4">
        <v>13</v>
      </c>
      <c r="AQ1342" s="4">
        <v>19</v>
      </c>
      <c r="AR1342" s="3" t="s">
        <v>65</v>
      </c>
      <c r="AS1342" s="3" t="s">
        <v>65</v>
      </c>
      <c r="AT1342" s="3" t="s">
        <v>65</v>
      </c>
      <c r="AV1342" s="6" t="str">
        <f>HYPERLINK("http://mcgill.on.worldcat.org/oclc/344493","Catalog Record")</f>
        <v>Catalog Record</v>
      </c>
      <c r="AW1342" s="6" t="str">
        <f>HYPERLINK("http://www.worldcat.org/oclc/344493","WorldCat Record")</f>
        <v>WorldCat Record</v>
      </c>
      <c r="AX1342" s="3" t="s">
        <v>13232</v>
      </c>
      <c r="AY1342" s="3" t="s">
        <v>13233</v>
      </c>
      <c r="AZ1342" s="3" t="s">
        <v>13234</v>
      </c>
      <c r="BA1342" s="3" t="s">
        <v>13234</v>
      </c>
      <c r="BB1342" s="3" t="s">
        <v>13238</v>
      </c>
      <c r="BC1342" s="3" t="s">
        <v>77</v>
      </c>
      <c r="BD1342" s="3" t="s">
        <v>78</v>
      </c>
      <c r="BF1342" s="3" t="s">
        <v>13238</v>
      </c>
      <c r="BG1342" s="3" t="s">
        <v>13239</v>
      </c>
    </row>
    <row r="1343" spans="1:59" ht="58" x14ac:dyDescent="0.35">
      <c r="A1343" s="2" t="s">
        <v>59</v>
      </c>
      <c r="B1343" s="2" t="s">
        <v>60</v>
      </c>
      <c r="C1343" s="2" t="s">
        <v>13240</v>
      </c>
      <c r="D1343" s="2" t="s">
        <v>13241</v>
      </c>
      <c r="E1343" s="2" t="s">
        <v>13242</v>
      </c>
      <c r="G1343" s="3" t="s">
        <v>65</v>
      </c>
      <c r="I1343" s="3" t="s">
        <v>65</v>
      </c>
      <c r="J1343" s="3" t="s">
        <v>65</v>
      </c>
      <c r="K1343" s="3" t="s">
        <v>66</v>
      </c>
      <c r="M1343" s="2" t="s">
        <v>3780</v>
      </c>
      <c r="N1343" s="3" t="s">
        <v>113</v>
      </c>
      <c r="P1343" s="3" t="s">
        <v>140</v>
      </c>
      <c r="Q1343" s="2" t="s">
        <v>13243</v>
      </c>
      <c r="R1343" s="3" t="s">
        <v>71</v>
      </c>
      <c r="S1343" s="4">
        <v>1</v>
      </c>
      <c r="T1343" s="4">
        <v>1</v>
      </c>
      <c r="U1343" s="5" t="s">
        <v>10660</v>
      </c>
      <c r="V1343" s="5" t="s">
        <v>10660</v>
      </c>
      <c r="W1343" s="5" t="s">
        <v>72</v>
      </c>
      <c r="X1343" s="5" t="s">
        <v>72</v>
      </c>
      <c r="Y1343" s="4">
        <v>53</v>
      </c>
      <c r="Z1343" s="4">
        <v>6</v>
      </c>
      <c r="AA1343" s="4">
        <v>6</v>
      </c>
      <c r="AB1343" s="4">
        <v>2</v>
      </c>
      <c r="AC1343" s="4">
        <v>2</v>
      </c>
      <c r="AD1343" s="4">
        <v>35</v>
      </c>
      <c r="AE1343" s="4">
        <v>35</v>
      </c>
      <c r="AF1343" s="4">
        <v>1</v>
      </c>
      <c r="AG1343" s="4">
        <v>1</v>
      </c>
      <c r="AH1343" s="4">
        <v>33</v>
      </c>
      <c r="AI1343" s="4">
        <v>33</v>
      </c>
      <c r="AJ1343" s="4">
        <v>3</v>
      </c>
      <c r="AK1343" s="4">
        <v>3</v>
      </c>
      <c r="AL1343" s="4">
        <v>27</v>
      </c>
      <c r="AM1343" s="4">
        <v>27</v>
      </c>
      <c r="AN1343" s="4">
        <v>0</v>
      </c>
      <c r="AO1343" s="4">
        <v>0</v>
      </c>
      <c r="AP1343" s="4">
        <v>3</v>
      </c>
      <c r="AQ1343" s="4">
        <v>3</v>
      </c>
      <c r="AR1343" s="3" t="s">
        <v>65</v>
      </c>
      <c r="AS1343" s="3" t="s">
        <v>65</v>
      </c>
      <c r="AT1343" s="3" t="s">
        <v>65</v>
      </c>
      <c r="AV1343" s="6" t="str">
        <f>HYPERLINK("http://mcgill.on.worldcat.org/oclc/635376244","Catalog Record")</f>
        <v>Catalog Record</v>
      </c>
      <c r="AW1343" s="6" t="str">
        <f>HYPERLINK("http://www.worldcat.org/oclc/635376244","WorldCat Record")</f>
        <v>WorldCat Record</v>
      </c>
      <c r="AX1343" s="3" t="s">
        <v>13244</v>
      </c>
      <c r="AY1343" s="3" t="s">
        <v>13245</v>
      </c>
      <c r="AZ1343" s="3" t="s">
        <v>13246</v>
      </c>
      <c r="BA1343" s="3" t="s">
        <v>13246</v>
      </c>
      <c r="BB1343" s="3" t="s">
        <v>13247</v>
      </c>
      <c r="BC1343" s="3" t="s">
        <v>77</v>
      </c>
      <c r="BD1343" s="3" t="s">
        <v>78</v>
      </c>
      <c r="BE1343" s="3" t="s">
        <v>13248</v>
      </c>
      <c r="BF1343" s="3" t="s">
        <v>13247</v>
      </c>
      <c r="BG1343" s="3" t="s">
        <v>13249</v>
      </c>
    </row>
    <row r="1344" spans="1:59" ht="58" x14ac:dyDescent="0.35">
      <c r="A1344" s="2" t="s">
        <v>59</v>
      </c>
      <c r="B1344" s="2" t="s">
        <v>60</v>
      </c>
      <c r="C1344" s="2" t="s">
        <v>13250</v>
      </c>
      <c r="D1344" s="2" t="s">
        <v>13251</v>
      </c>
      <c r="E1344" s="2" t="s">
        <v>13252</v>
      </c>
      <c r="G1344" s="3" t="s">
        <v>65</v>
      </c>
      <c r="I1344" s="3" t="s">
        <v>209</v>
      </c>
      <c r="J1344" s="3" t="s">
        <v>65</v>
      </c>
      <c r="K1344" s="3" t="s">
        <v>66</v>
      </c>
      <c r="L1344" s="2" t="s">
        <v>13253</v>
      </c>
      <c r="M1344" s="2" t="s">
        <v>13254</v>
      </c>
      <c r="N1344" s="3" t="s">
        <v>214</v>
      </c>
      <c r="P1344" s="3" t="s">
        <v>69</v>
      </c>
      <c r="R1344" s="3" t="s">
        <v>71</v>
      </c>
      <c r="S1344" s="4">
        <v>12</v>
      </c>
      <c r="T1344" s="4">
        <v>24</v>
      </c>
      <c r="U1344" s="5" t="s">
        <v>13255</v>
      </c>
      <c r="V1344" s="5" t="s">
        <v>8409</v>
      </c>
      <c r="W1344" s="5" t="s">
        <v>72</v>
      </c>
      <c r="X1344" s="5" t="s">
        <v>72</v>
      </c>
      <c r="Y1344" s="4">
        <v>399</v>
      </c>
      <c r="Z1344" s="4">
        <v>26</v>
      </c>
      <c r="AA1344" s="4">
        <v>26</v>
      </c>
      <c r="AB1344" s="4">
        <v>1</v>
      </c>
      <c r="AC1344" s="4">
        <v>1</v>
      </c>
      <c r="AD1344" s="4">
        <v>115</v>
      </c>
      <c r="AE1344" s="4">
        <v>115</v>
      </c>
      <c r="AF1344" s="4">
        <v>0</v>
      </c>
      <c r="AG1344" s="4">
        <v>0</v>
      </c>
      <c r="AH1344" s="4">
        <v>106</v>
      </c>
      <c r="AI1344" s="4">
        <v>106</v>
      </c>
      <c r="AJ1344" s="4">
        <v>15</v>
      </c>
      <c r="AK1344" s="4">
        <v>15</v>
      </c>
      <c r="AL1344" s="4">
        <v>55</v>
      </c>
      <c r="AM1344" s="4">
        <v>55</v>
      </c>
      <c r="AN1344" s="4">
        <v>0</v>
      </c>
      <c r="AO1344" s="4">
        <v>0</v>
      </c>
      <c r="AP1344" s="4">
        <v>19</v>
      </c>
      <c r="AQ1344" s="4">
        <v>19</v>
      </c>
      <c r="AR1344" s="3" t="s">
        <v>65</v>
      </c>
      <c r="AS1344" s="3" t="s">
        <v>65</v>
      </c>
      <c r="AT1344" s="3" t="s">
        <v>209</v>
      </c>
      <c r="AU1344" s="6" t="str">
        <f>HYPERLINK("http://catalog.hathitrust.org/Record/000203559","HathiTrust Record")</f>
        <v>HathiTrust Record</v>
      </c>
      <c r="AV1344" s="6" t="str">
        <f>HYPERLINK("http://mcgill.on.worldcat.org/oclc/9393646","Catalog Record")</f>
        <v>Catalog Record</v>
      </c>
      <c r="AW1344" s="6" t="str">
        <f>HYPERLINK("http://www.worldcat.org/oclc/9393646","WorldCat Record")</f>
        <v>WorldCat Record</v>
      </c>
      <c r="AX1344" s="3" t="s">
        <v>13256</v>
      </c>
      <c r="AY1344" s="3" t="s">
        <v>13257</v>
      </c>
      <c r="AZ1344" s="3" t="s">
        <v>13258</v>
      </c>
      <c r="BA1344" s="3" t="s">
        <v>13258</v>
      </c>
      <c r="BB1344" s="3" t="s">
        <v>13259</v>
      </c>
      <c r="BC1344" s="3" t="s">
        <v>77</v>
      </c>
      <c r="BD1344" s="3" t="s">
        <v>78</v>
      </c>
      <c r="BE1344" s="3" t="s">
        <v>13260</v>
      </c>
      <c r="BF1344" s="3" t="s">
        <v>13259</v>
      </c>
      <c r="BG1344" s="3" t="s">
        <v>13261</v>
      </c>
    </row>
    <row r="1345" spans="1:59" ht="58" x14ac:dyDescent="0.35">
      <c r="A1345" s="2" t="s">
        <v>59</v>
      </c>
      <c r="B1345" s="2" t="s">
        <v>60</v>
      </c>
      <c r="C1345" s="2" t="s">
        <v>13250</v>
      </c>
      <c r="D1345" s="2" t="s">
        <v>13251</v>
      </c>
      <c r="E1345" s="2" t="s">
        <v>13252</v>
      </c>
      <c r="G1345" s="3" t="s">
        <v>65</v>
      </c>
      <c r="I1345" s="3" t="s">
        <v>209</v>
      </c>
      <c r="J1345" s="3" t="s">
        <v>65</v>
      </c>
      <c r="K1345" s="3" t="s">
        <v>66</v>
      </c>
      <c r="L1345" s="2" t="s">
        <v>13253</v>
      </c>
      <c r="M1345" s="2" t="s">
        <v>13254</v>
      </c>
      <c r="N1345" s="3" t="s">
        <v>214</v>
      </c>
      <c r="P1345" s="3" t="s">
        <v>69</v>
      </c>
      <c r="R1345" s="3" t="s">
        <v>71</v>
      </c>
      <c r="S1345" s="4">
        <v>12</v>
      </c>
      <c r="T1345" s="4">
        <v>24</v>
      </c>
      <c r="U1345" s="5" t="s">
        <v>8409</v>
      </c>
      <c r="V1345" s="5" t="s">
        <v>8409</v>
      </c>
      <c r="W1345" s="5" t="s">
        <v>72</v>
      </c>
      <c r="X1345" s="5" t="s">
        <v>72</v>
      </c>
      <c r="Y1345" s="4">
        <v>399</v>
      </c>
      <c r="Z1345" s="4">
        <v>26</v>
      </c>
      <c r="AA1345" s="4">
        <v>26</v>
      </c>
      <c r="AB1345" s="4">
        <v>1</v>
      </c>
      <c r="AC1345" s="4">
        <v>1</v>
      </c>
      <c r="AD1345" s="4">
        <v>115</v>
      </c>
      <c r="AE1345" s="4">
        <v>115</v>
      </c>
      <c r="AF1345" s="4">
        <v>0</v>
      </c>
      <c r="AG1345" s="4">
        <v>0</v>
      </c>
      <c r="AH1345" s="4">
        <v>106</v>
      </c>
      <c r="AI1345" s="4">
        <v>106</v>
      </c>
      <c r="AJ1345" s="4">
        <v>15</v>
      </c>
      <c r="AK1345" s="4">
        <v>15</v>
      </c>
      <c r="AL1345" s="4">
        <v>55</v>
      </c>
      <c r="AM1345" s="4">
        <v>55</v>
      </c>
      <c r="AN1345" s="4">
        <v>0</v>
      </c>
      <c r="AO1345" s="4">
        <v>0</v>
      </c>
      <c r="AP1345" s="4">
        <v>19</v>
      </c>
      <c r="AQ1345" s="4">
        <v>19</v>
      </c>
      <c r="AR1345" s="3" t="s">
        <v>65</v>
      </c>
      <c r="AS1345" s="3" t="s">
        <v>65</v>
      </c>
      <c r="AT1345" s="3" t="s">
        <v>209</v>
      </c>
      <c r="AU1345" s="6" t="str">
        <f>HYPERLINK("http://catalog.hathitrust.org/Record/000203559","HathiTrust Record")</f>
        <v>HathiTrust Record</v>
      </c>
      <c r="AV1345" s="6" t="str">
        <f>HYPERLINK("http://mcgill.on.worldcat.org/oclc/9393646","Catalog Record")</f>
        <v>Catalog Record</v>
      </c>
      <c r="AW1345" s="6" t="str">
        <f>HYPERLINK("http://www.worldcat.org/oclc/9393646","WorldCat Record")</f>
        <v>WorldCat Record</v>
      </c>
      <c r="AX1345" s="3" t="s">
        <v>13256</v>
      </c>
      <c r="AY1345" s="3" t="s">
        <v>13257</v>
      </c>
      <c r="AZ1345" s="3" t="s">
        <v>13258</v>
      </c>
      <c r="BA1345" s="3" t="s">
        <v>13258</v>
      </c>
      <c r="BB1345" s="3" t="s">
        <v>13262</v>
      </c>
      <c r="BC1345" s="3" t="s">
        <v>77</v>
      </c>
      <c r="BD1345" s="3" t="s">
        <v>78</v>
      </c>
      <c r="BE1345" s="3" t="s">
        <v>13260</v>
      </c>
      <c r="BF1345" s="3" t="s">
        <v>13262</v>
      </c>
      <c r="BG1345" s="3" t="s">
        <v>13263</v>
      </c>
    </row>
    <row r="1346" spans="1:59" ht="58" x14ac:dyDescent="0.35">
      <c r="A1346" s="2" t="s">
        <v>59</v>
      </c>
      <c r="B1346" s="2" t="s">
        <v>60</v>
      </c>
      <c r="C1346" s="2" t="s">
        <v>13264</v>
      </c>
      <c r="D1346" s="2" t="s">
        <v>13265</v>
      </c>
      <c r="E1346" s="2" t="s">
        <v>13266</v>
      </c>
      <c r="G1346" s="3" t="s">
        <v>65</v>
      </c>
      <c r="I1346" s="3" t="s">
        <v>65</v>
      </c>
      <c r="J1346" s="3" t="s">
        <v>65</v>
      </c>
      <c r="K1346" s="3" t="s">
        <v>66</v>
      </c>
      <c r="L1346" s="2" t="s">
        <v>11863</v>
      </c>
      <c r="M1346" s="2" t="s">
        <v>13267</v>
      </c>
      <c r="N1346" s="3" t="s">
        <v>113</v>
      </c>
      <c r="P1346" s="3" t="s">
        <v>69</v>
      </c>
      <c r="Q1346" s="2" t="s">
        <v>13268</v>
      </c>
      <c r="R1346" s="3" t="s">
        <v>71</v>
      </c>
      <c r="S1346" s="4">
        <v>11</v>
      </c>
      <c r="T1346" s="4">
        <v>11</v>
      </c>
      <c r="U1346" s="5" t="s">
        <v>13269</v>
      </c>
      <c r="V1346" s="5" t="s">
        <v>13269</v>
      </c>
      <c r="W1346" s="5" t="s">
        <v>72</v>
      </c>
      <c r="X1346" s="5" t="s">
        <v>72</v>
      </c>
      <c r="Y1346" s="4">
        <v>129</v>
      </c>
      <c r="Z1346" s="4">
        <v>12</v>
      </c>
      <c r="AA1346" s="4">
        <v>13</v>
      </c>
      <c r="AB1346" s="4">
        <v>1</v>
      </c>
      <c r="AC1346" s="4">
        <v>2</v>
      </c>
      <c r="AD1346" s="4">
        <v>57</v>
      </c>
      <c r="AE1346" s="4">
        <v>58</v>
      </c>
      <c r="AF1346" s="4">
        <v>0</v>
      </c>
      <c r="AG1346" s="4">
        <v>0</v>
      </c>
      <c r="AH1346" s="4">
        <v>54</v>
      </c>
      <c r="AI1346" s="4">
        <v>55</v>
      </c>
      <c r="AJ1346" s="4">
        <v>7</v>
      </c>
      <c r="AK1346" s="4">
        <v>7</v>
      </c>
      <c r="AL1346" s="4">
        <v>35</v>
      </c>
      <c r="AM1346" s="4">
        <v>35</v>
      </c>
      <c r="AN1346" s="4">
        <v>0</v>
      </c>
      <c r="AO1346" s="4">
        <v>0</v>
      </c>
      <c r="AP1346" s="4">
        <v>7</v>
      </c>
      <c r="AQ1346" s="4">
        <v>7</v>
      </c>
      <c r="AR1346" s="3" t="s">
        <v>65</v>
      </c>
      <c r="AS1346" s="3" t="s">
        <v>65</v>
      </c>
      <c r="AT1346" s="3" t="s">
        <v>65</v>
      </c>
      <c r="AV1346" s="6" t="str">
        <f>HYPERLINK("http://mcgill.on.worldcat.org/oclc/491905875","Catalog Record")</f>
        <v>Catalog Record</v>
      </c>
      <c r="AW1346" s="6" t="str">
        <f>HYPERLINK("http://www.worldcat.org/oclc/491905875","WorldCat Record")</f>
        <v>WorldCat Record</v>
      </c>
      <c r="AX1346" s="3" t="s">
        <v>13270</v>
      </c>
      <c r="AY1346" s="3" t="s">
        <v>13271</v>
      </c>
      <c r="AZ1346" s="3" t="s">
        <v>13272</v>
      </c>
      <c r="BA1346" s="3" t="s">
        <v>13272</v>
      </c>
      <c r="BB1346" s="3" t="s">
        <v>13273</v>
      </c>
      <c r="BC1346" s="3" t="s">
        <v>77</v>
      </c>
      <c r="BD1346" s="3" t="s">
        <v>78</v>
      </c>
      <c r="BE1346" s="3" t="s">
        <v>13274</v>
      </c>
      <c r="BF1346" s="3" t="s">
        <v>13273</v>
      </c>
      <c r="BG1346" s="3" t="s">
        <v>13275</v>
      </c>
    </row>
    <row r="1347" spans="1:59" ht="87" x14ac:dyDescent="0.35">
      <c r="A1347" s="2" t="s">
        <v>59</v>
      </c>
      <c r="B1347" s="2" t="s">
        <v>60</v>
      </c>
      <c r="C1347" s="2" t="s">
        <v>13276</v>
      </c>
      <c r="D1347" s="2" t="s">
        <v>13277</v>
      </c>
      <c r="E1347" s="2" t="s">
        <v>13278</v>
      </c>
      <c r="G1347" s="3" t="s">
        <v>65</v>
      </c>
      <c r="I1347" s="3" t="s">
        <v>65</v>
      </c>
      <c r="J1347" s="3" t="s">
        <v>65</v>
      </c>
      <c r="K1347" s="3" t="s">
        <v>66</v>
      </c>
      <c r="L1347" s="2" t="s">
        <v>13279</v>
      </c>
      <c r="M1347" s="2" t="s">
        <v>13280</v>
      </c>
      <c r="N1347" s="3" t="s">
        <v>863</v>
      </c>
      <c r="P1347" s="3" t="s">
        <v>140</v>
      </c>
      <c r="R1347" s="3" t="s">
        <v>71</v>
      </c>
      <c r="S1347" s="4">
        <v>2</v>
      </c>
      <c r="T1347" s="4">
        <v>2</v>
      </c>
      <c r="U1347" s="5" t="s">
        <v>13281</v>
      </c>
      <c r="V1347" s="5" t="s">
        <v>13281</v>
      </c>
      <c r="W1347" s="5" t="s">
        <v>72</v>
      </c>
      <c r="X1347" s="5" t="s">
        <v>72</v>
      </c>
      <c r="Y1347" s="4">
        <v>31</v>
      </c>
      <c r="Z1347" s="4">
        <v>3</v>
      </c>
      <c r="AA1347" s="4">
        <v>3</v>
      </c>
      <c r="AB1347" s="4">
        <v>1</v>
      </c>
      <c r="AC1347" s="4">
        <v>1</v>
      </c>
      <c r="AD1347" s="4">
        <v>18</v>
      </c>
      <c r="AE1347" s="4">
        <v>18</v>
      </c>
      <c r="AF1347" s="4">
        <v>0</v>
      </c>
      <c r="AG1347" s="4">
        <v>0</v>
      </c>
      <c r="AH1347" s="4">
        <v>16</v>
      </c>
      <c r="AI1347" s="4">
        <v>16</v>
      </c>
      <c r="AJ1347" s="4">
        <v>1</v>
      </c>
      <c r="AK1347" s="4">
        <v>1</v>
      </c>
      <c r="AL1347" s="4">
        <v>16</v>
      </c>
      <c r="AM1347" s="4">
        <v>16</v>
      </c>
      <c r="AN1347" s="4">
        <v>0</v>
      </c>
      <c r="AO1347" s="4">
        <v>0</v>
      </c>
      <c r="AP1347" s="4">
        <v>1</v>
      </c>
      <c r="AQ1347" s="4">
        <v>1</v>
      </c>
      <c r="AR1347" s="3" t="s">
        <v>65</v>
      </c>
      <c r="AS1347" s="3" t="s">
        <v>65</v>
      </c>
      <c r="AT1347" s="3" t="s">
        <v>209</v>
      </c>
      <c r="AU1347" s="6" t="str">
        <f>HYPERLINK("http://catalog.hathitrust.org/Record/007959753","HathiTrust Record")</f>
        <v>HathiTrust Record</v>
      </c>
      <c r="AV1347" s="6" t="str">
        <f>HYPERLINK("http://mcgill.on.worldcat.org/oclc/30090729","Catalog Record")</f>
        <v>Catalog Record</v>
      </c>
      <c r="AW1347" s="6" t="str">
        <f>HYPERLINK("http://www.worldcat.org/oclc/30090729","WorldCat Record")</f>
        <v>WorldCat Record</v>
      </c>
      <c r="AX1347" s="3" t="s">
        <v>13282</v>
      </c>
      <c r="AY1347" s="3" t="s">
        <v>13283</v>
      </c>
      <c r="AZ1347" s="3" t="s">
        <v>13284</v>
      </c>
      <c r="BA1347" s="3" t="s">
        <v>13284</v>
      </c>
      <c r="BB1347" s="3" t="s">
        <v>13285</v>
      </c>
      <c r="BC1347" s="3" t="s">
        <v>77</v>
      </c>
      <c r="BD1347" s="3" t="s">
        <v>78</v>
      </c>
      <c r="BE1347" s="3" t="s">
        <v>13286</v>
      </c>
      <c r="BF1347" s="3" t="s">
        <v>13285</v>
      </c>
      <c r="BG1347" s="3" t="s">
        <v>13287</v>
      </c>
    </row>
    <row r="1348" spans="1:59" ht="87" x14ac:dyDescent="0.35">
      <c r="A1348" s="2" t="s">
        <v>59</v>
      </c>
      <c r="B1348" s="2" t="s">
        <v>60</v>
      </c>
      <c r="C1348" s="2" t="s">
        <v>13288</v>
      </c>
      <c r="D1348" s="2" t="s">
        <v>13289</v>
      </c>
      <c r="E1348" s="2" t="s">
        <v>13290</v>
      </c>
      <c r="G1348" s="3" t="s">
        <v>65</v>
      </c>
      <c r="I1348" s="3" t="s">
        <v>65</v>
      </c>
      <c r="J1348" s="3" t="s">
        <v>65</v>
      </c>
      <c r="K1348" s="3" t="s">
        <v>66</v>
      </c>
      <c r="L1348" s="2" t="s">
        <v>13291</v>
      </c>
      <c r="M1348" s="2" t="s">
        <v>13292</v>
      </c>
      <c r="N1348" s="3" t="s">
        <v>126</v>
      </c>
      <c r="P1348" s="3" t="s">
        <v>140</v>
      </c>
      <c r="R1348" s="3" t="s">
        <v>71</v>
      </c>
      <c r="S1348" s="4">
        <v>0</v>
      </c>
      <c r="T1348" s="4">
        <v>0</v>
      </c>
      <c r="W1348" s="5" t="s">
        <v>72</v>
      </c>
      <c r="X1348" s="5" t="s">
        <v>72</v>
      </c>
      <c r="Y1348" s="4">
        <v>40</v>
      </c>
      <c r="Z1348" s="4">
        <v>5</v>
      </c>
      <c r="AA1348" s="4">
        <v>5</v>
      </c>
      <c r="AB1348" s="4">
        <v>1</v>
      </c>
      <c r="AC1348" s="4">
        <v>1</v>
      </c>
      <c r="AD1348" s="4">
        <v>30</v>
      </c>
      <c r="AE1348" s="4">
        <v>30</v>
      </c>
      <c r="AF1348" s="4">
        <v>0</v>
      </c>
      <c r="AG1348" s="4">
        <v>0</v>
      </c>
      <c r="AH1348" s="4">
        <v>29</v>
      </c>
      <c r="AI1348" s="4">
        <v>29</v>
      </c>
      <c r="AJ1348" s="4">
        <v>2</v>
      </c>
      <c r="AK1348" s="4">
        <v>2</v>
      </c>
      <c r="AL1348" s="4">
        <v>24</v>
      </c>
      <c r="AM1348" s="4">
        <v>24</v>
      </c>
      <c r="AN1348" s="4">
        <v>0</v>
      </c>
      <c r="AO1348" s="4">
        <v>0</v>
      </c>
      <c r="AP1348" s="4">
        <v>2</v>
      </c>
      <c r="AQ1348" s="4">
        <v>2</v>
      </c>
      <c r="AR1348" s="3" t="s">
        <v>65</v>
      </c>
      <c r="AS1348" s="3" t="s">
        <v>65</v>
      </c>
      <c r="AT1348" s="3" t="s">
        <v>209</v>
      </c>
      <c r="AU1348" s="6" t="str">
        <f>HYPERLINK("http://catalog.hathitrust.org/Record/011230163","HathiTrust Record")</f>
        <v>HathiTrust Record</v>
      </c>
      <c r="AV1348" s="6" t="str">
        <f>HYPERLINK("http://mcgill.on.worldcat.org/oclc/773793646","Catalog Record")</f>
        <v>Catalog Record</v>
      </c>
      <c r="AW1348" s="6" t="str">
        <f>HYPERLINK("http://www.worldcat.org/oclc/773793646","WorldCat Record")</f>
        <v>WorldCat Record</v>
      </c>
      <c r="AX1348" s="3" t="s">
        <v>13293</v>
      </c>
      <c r="AY1348" s="3" t="s">
        <v>13294</v>
      </c>
      <c r="AZ1348" s="3" t="s">
        <v>13295</v>
      </c>
      <c r="BA1348" s="3" t="s">
        <v>13295</v>
      </c>
      <c r="BB1348" s="3" t="s">
        <v>13296</v>
      </c>
      <c r="BC1348" s="3" t="s">
        <v>77</v>
      </c>
      <c r="BD1348" s="3" t="s">
        <v>78</v>
      </c>
      <c r="BE1348" s="3" t="s">
        <v>13297</v>
      </c>
      <c r="BF1348" s="3" t="s">
        <v>13296</v>
      </c>
      <c r="BG1348" s="3" t="s">
        <v>13298</v>
      </c>
    </row>
    <row r="1349" spans="1:59" ht="58" x14ac:dyDescent="0.35">
      <c r="A1349" s="2" t="s">
        <v>59</v>
      </c>
      <c r="B1349" s="2" t="s">
        <v>60</v>
      </c>
      <c r="C1349" s="2" t="s">
        <v>13299</v>
      </c>
      <c r="D1349" s="2" t="s">
        <v>13300</v>
      </c>
      <c r="E1349" s="2" t="s">
        <v>13301</v>
      </c>
      <c r="G1349" s="3" t="s">
        <v>65</v>
      </c>
      <c r="I1349" s="3" t="s">
        <v>65</v>
      </c>
      <c r="J1349" s="3" t="s">
        <v>65</v>
      </c>
      <c r="K1349" s="3" t="s">
        <v>66</v>
      </c>
      <c r="L1349" s="2" t="s">
        <v>13302</v>
      </c>
      <c r="M1349" s="2" t="s">
        <v>2292</v>
      </c>
      <c r="N1349" s="3" t="s">
        <v>113</v>
      </c>
      <c r="O1349" s="2" t="s">
        <v>365</v>
      </c>
      <c r="P1349" s="3" t="s">
        <v>140</v>
      </c>
      <c r="Q1349" s="2" t="s">
        <v>13303</v>
      </c>
      <c r="R1349" s="3" t="s">
        <v>71</v>
      </c>
      <c r="S1349" s="4">
        <v>0</v>
      </c>
      <c r="T1349" s="4">
        <v>0</v>
      </c>
      <c r="W1349" s="5" t="s">
        <v>72</v>
      </c>
      <c r="X1349" s="5" t="s">
        <v>72</v>
      </c>
      <c r="Y1349" s="4">
        <v>64</v>
      </c>
      <c r="Z1349" s="4">
        <v>7</v>
      </c>
      <c r="AA1349" s="4">
        <v>7</v>
      </c>
      <c r="AB1349" s="4">
        <v>2</v>
      </c>
      <c r="AC1349" s="4">
        <v>2</v>
      </c>
      <c r="AD1349" s="4">
        <v>47</v>
      </c>
      <c r="AE1349" s="4">
        <v>47</v>
      </c>
      <c r="AF1349" s="4">
        <v>1</v>
      </c>
      <c r="AG1349" s="4">
        <v>1</v>
      </c>
      <c r="AH1349" s="4">
        <v>45</v>
      </c>
      <c r="AI1349" s="4">
        <v>45</v>
      </c>
      <c r="AJ1349" s="4">
        <v>4</v>
      </c>
      <c r="AK1349" s="4">
        <v>4</v>
      </c>
      <c r="AL1349" s="4">
        <v>33</v>
      </c>
      <c r="AM1349" s="4">
        <v>33</v>
      </c>
      <c r="AN1349" s="4">
        <v>5</v>
      </c>
      <c r="AO1349" s="4">
        <v>5</v>
      </c>
      <c r="AP1349" s="4">
        <v>4</v>
      </c>
      <c r="AQ1349" s="4">
        <v>4</v>
      </c>
      <c r="AR1349" s="3" t="s">
        <v>65</v>
      </c>
      <c r="AS1349" s="3" t="s">
        <v>65</v>
      </c>
      <c r="AT1349" s="3" t="s">
        <v>209</v>
      </c>
      <c r="AU1349" s="6" t="str">
        <f>HYPERLINK("http://catalog.hathitrust.org/Record/010645077","HathiTrust Record")</f>
        <v>HathiTrust Record</v>
      </c>
      <c r="AV1349" s="6" t="str">
        <f>HYPERLINK("http://mcgill.on.worldcat.org/oclc/664799049","Catalog Record")</f>
        <v>Catalog Record</v>
      </c>
      <c r="AW1349" s="6" t="str">
        <f>HYPERLINK("http://www.worldcat.org/oclc/664799049","WorldCat Record")</f>
        <v>WorldCat Record</v>
      </c>
      <c r="AX1349" s="3" t="s">
        <v>13304</v>
      </c>
      <c r="AY1349" s="3" t="s">
        <v>13305</v>
      </c>
      <c r="AZ1349" s="3" t="s">
        <v>13306</v>
      </c>
      <c r="BA1349" s="3" t="s">
        <v>13306</v>
      </c>
      <c r="BB1349" s="3" t="s">
        <v>13307</v>
      </c>
      <c r="BC1349" s="3" t="s">
        <v>77</v>
      </c>
      <c r="BD1349" s="3" t="s">
        <v>78</v>
      </c>
      <c r="BE1349" s="3" t="s">
        <v>13308</v>
      </c>
      <c r="BF1349" s="3" t="s">
        <v>13307</v>
      </c>
      <c r="BG1349" s="3" t="s">
        <v>13309</v>
      </c>
    </row>
    <row r="1350" spans="1:59" ht="58" x14ac:dyDescent="0.35">
      <c r="A1350" s="2" t="s">
        <v>59</v>
      </c>
      <c r="B1350" s="2" t="s">
        <v>60</v>
      </c>
      <c r="C1350" s="2" t="s">
        <v>13310</v>
      </c>
      <c r="D1350" s="2" t="s">
        <v>13311</v>
      </c>
      <c r="E1350" s="2" t="s">
        <v>13312</v>
      </c>
      <c r="G1350" s="3" t="s">
        <v>65</v>
      </c>
      <c r="I1350" s="3" t="s">
        <v>65</v>
      </c>
      <c r="J1350" s="3" t="s">
        <v>65</v>
      </c>
      <c r="K1350" s="3" t="s">
        <v>66</v>
      </c>
      <c r="L1350" s="2" t="s">
        <v>13313</v>
      </c>
      <c r="M1350" s="2" t="s">
        <v>13314</v>
      </c>
      <c r="N1350" s="3" t="s">
        <v>113</v>
      </c>
      <c r="O1350" s="2" t="s">
        <v>339</v>
      </c>
      <c r="P1350" s="3" t="s">
        <v>140</v>
      </c>
      <c r="Q1350" s="2" t="s">
        <v>13315</v>
      </c>
      <c r="R1350" s="3" t="s">
        <v>71</v>
      </c>
      <c r="S1350" s="4">
        <v>0</v>
      </c>
      <c r="T1350" s="4">
        <v>0</v>
      </c>
      <c r="W1350" s="5" t="s">
        <v>72</v>
      </c>
      <c r="X1350" s="5" t="s">
        <v>72</v>
      </c>
      <c r="Y1350" s="4">
        <v>50</v>
      </c>
      <c r="Z1350" s="4">
        <v>5</v>
      </c>
      <c r="AA1350" s="4">
        <v>5</v>
      </c>
      <c r="AB1350" s="4">
        <v>1</v>
      </c>
      <c r="AC1350" s="4">
        <v>1</v>
      </c>
      <c r="AD1350" s="4">
        <v>37</v>
      </c>
      <c r="AE1350" s="4">
        <v>37</v>
      </c>
      <c r="AF1350" s="4">
        <v>0</v>
      </c>
      <c r="AG1350" s="4">
        <v>0</v>
      </c>
      <c r="AH1350" s="4">
        <v>36</v>
      </c>
      <c r="AI1350" s="4">
        <v>36</v>
      </c>
      <c r="AJ1350" s="4">
        <v>2</v>
      </c>
      <c r="AK1350" s="4">
        <v>2</v>
      </c>
      <c r="AL1350" s="4">
        <v>28</v>
      </c>
      <c r="AM1350" s="4">
        <v>28</v>
      </c>
      <c r="AN1350" s="4">
        <v>0</v>
      </c>
      <c r="AO1350" s="4">
        <v>0</v>
      </c>
      <c r="AP1350" s="4">
        <v>2</v>
      </c>
      <c r="AQ1350" s="4">
        <v>2</v>
      </c>
      <c r="AR1350" s="3" t="s">
        <v>65</v>
      </c>
      <c r="AS1350" s="3" t="s">
        <v>65</v>
      </c>
      <c r="AT1350" s="3" t="s">
        <v>65</v>
      </c>
      <c r="AV1350" s="6" t="str">
        <f>HYPERLINK("http://mcgill.on.worldcat.org/oclc/694057258","Catalog Record")</f>
        <v>Catalog Record</v>
      </c>
      <c r="AW1350" s="6" t="str">
        <f>HYPERLINK("http://www.worldcat.org/oclc/694057258","WorldCat Record")</f>
        <v>WorldCat Record</v>
      </c>
      <c r="AX1350" s="3" t="s">
        <v>13316</v>
      </c>
      <c r="AY1350" s="3" t="s">
        <v>13317</v>
      </c>
      <c r="AZ1350" s="3" t="s">
        <v>13318</v>
      </c>
      <c r="BA1350" s="3" t="s">
        <v>13318</v>
      </c>
      <c r="BB1350" s="3" t="s">
        <v>13319</v>
      </c>
      <c r="BC1350" s="3" t="s">
        <v>77</v>
      </c>
      <c r="BD1350" s="3" t="s">
        <v>78</v>
      </c>
      <c r="BE1350" s="3" t="s">
        <v>13320</v>
      </c>
      <c r="BF1350" s="3" t="s">
        <v>13319</v>
      </c>
      <c r="BG1350" s="3" t="s">
        <v>13321</v>
      </c>
    </row>
    <row r="1351" spans="1:59" ht="58" x14ac:dyDescent="0.35">
      <c r="A1351" s="2" t="s">
        <v>59</v>
      </c>
      <c r="B1351" s="2" t="s">
        <v>60</v>
      </c>
      <c r="C1351" s="2" t="s">
        <v>13322</v>
      </c>
      <c r="D1351" s="2" t="s">
        <v>13323</v>
      </c>
      <c r="E1351" s="2" t="s">
        <v>13324</v>
      </c>
      <c r="G1351" s="3" t="s">
        <v>65</v>
      </c>
      <c r="I1351" s="3" t="s">
        <v>65</v>
      </c>
      <c r="J1351" s="3" t="s">
        <v>65</v>
      </c>
      <c r="K1351" s="3" t="s">
        <v>66</v>
      </c>
      <c r="L1351" s="2" t="s">
        <v>13325</v>
      </c>
      <c r="M1351" s="2" t="s">
        <v>13326</v>
      </c>
      <c r="N1351" s="3" t="s">
        <v>3052</v>
      </c>
      <c r="P1351" s="3" t="s">
        <v>140</v>
      </c>
      <c r="Q1351" s="2" t="s">
        <v>13327</v>
      </c>
      <c r="R1351" s="3" t="s">
        <v>71</v>
      </c>
      <c r="S1351" s="4">
        <v>8</v>
      </c>
      <c r="T1351" s="4">
        <v>8</v>
      </c>
      <c r="U1351" s="5" t="s">
        <v>10591</v>
      </c>
      <c r="V1351" s="5" t="s">
        <v>10591</v>
      </c>
      <c r="W1351" s="5" t="s">
        <v>72</v>
      </c>
      <c r="X1351" s="5" t="s">
        <v>72</v>
      </c>
      <c r="Y1351" s="4">
        <v>103</v>
      </c>
      <c r="Z1351" s="4">
        <v>9</v>
      </c>
      <c r="AA1351" s="4">
        <v>10</v>
      </c>
      <c r="AB1351" s="4">
        <v>1</v>
      </c>
      <c r="AC1351" s="4">
        <v>2</v>
      </c>
      <c r="AD1351" s="4">
        <v>53</v>
      </c>
      <c r="AE1351" s="4">
        <v>55</v>
      </c>
      <c r="AF1351" s="4">
        <v>0</v>
      </c>
      <c r="AG1351" s="4">
        <v>1</v>
      </c>
      <c r="AH1351" s="4">
        <v>48</v>
      </c>
      <c r="AI1351" s="4">
        <v>49</v>
      </c>
      <c r="AJ1351" s="4">
        <v>7</v>
      </c>
      <c r="AK1351" s="4">
        <v>8</v>
      </c>
      <c r="AL1351" s="4">
        <v>32</v>
      </c>
      <c r="AM1351" s="4">
        <v>32</v>
      </c>
      <c r="AN1351" s="4">
        <v>0</v>
      </c>
      <c r="AO1351" s="4">
        <v>0</v>
      </c>
      <c r="AP1351" s="4">
        <v>7</v>
      </c>
      <c r="AQ1351" s="4">
        <v>7</v>
      </c>
      <c r="AR1351" s="3" t="s">
        <v>65</v>
      </c>
      <c r="AS1351" s="3" t="s">
        <v>65</v>
      </c>
      <c r="AT1351" s="3" t="s">
        <v>209</v>
      </c>
      <c r="AU1351" s="6" t="str">
        <f>HYPERLINK("http://catalog.hathitrust.org/Record/007350952","HathiTrust Record")</f>
        <v>HathiTrust Record</v>
      </c>
      <c r="AV1351" s="6" t="str">
        <f>HYPERLINK("http://mcgill.on.worldcat.org/oclc/498953","Catalog Record")</f>
        <v>Catalog Record</v>
      </c>
      <c r="AW1351" s="6" t="str">
        <f>HYPERLINK("http://www.worldcat.org/oclc/498953","WorldCat Record")</f>
        <v>WorldCat Record</v>
      </c>
      <c r="AX1351" s="3" t="s">
        <v>13328</v>
      </c>
      <c r="AY1351" s="3" t="s">
        <v>13329</v>
      </c>
      <c r="AZ1351" s="3" t="s">
        <v>13330</v>
      </c>
      <c r="BA1351" s="3" t="s">
        <v>13330</v>
      </c>
      <c r="BB1351" s="3" t="s">
        <v>13331</v>
      </c>
      <c r="BC1351" s="3" t="s">
        <v>77</v>
      </c>
      <c r="BD1351" s="3" t="s">
        <v>78</v>
      </c>
      <c r="BF1351" s="3" t="s">
        <v>13331</v>
      </c>
      <c r="BG1351" s="3" t="s">
        <v>13332</v>
      </c>
    </row>
    <row r="1352" spans="1:59" ht="58" x14ac:dyDescent="0.35">
      <c r="A1352" s="2" t="s">
        <v>59</v>
      </c>
      <c r="B1352" s="2" t="s">
        <v>60</v>
      </c>
      <c r="C1352" s="2" t="s">
        <v>13333</v>
      </c>
      <c r="D1352" s="2" t="s">
        <v>13334</v>
      </c>
      <c r="E1352" s="2" t="s">
        <v>13335</v>
      </c>
      <c r="G1352" s="3" t="s">
        <v>65</v>
      </c>
      <c r="I1352" s="3" t="s">
        <v>65</v>
      </c>
      <c r="J1352" s="3" t="s">
        <v>65</v>
      </c>
      <c r="K1352" s="3" t="s">
        <v>66</v>
      </c>
      <c r="L1352" s="2" t="s">
        <v>13325</v>
      </c>
      <c r="M1352" s="2" t="s">
        <v>13336</v>
      </c>
      <c r="N1352" s="3" t="s">
        <v>113</v>
      </c>
      <c r="P1352" s="3" t="s">
        <v>140</v>
      </c>
      <c r="Q1352" s="2" t="s">
        <v>13337</v>
      </c>
      <c r="R1352" s="3" t="s">
        <v>71</v>
      </c>
      <c r="S1352" s="4">
        <v>0</v>
      </c>
      <c r="T1352" s="4">
        <v>0</v>
      </c>
      <c r="W1352" s="5" t="s">
        <v>72</v>
      </c>
      <c r="X1352" s="5" t="s">
        <v>72</v>
      </c>
      <c r="Y1352" s="4">
        <v>63</v>
      </c>
      <c r="Z1352" s="4">
        <v>5</v>
      </c>
      <c r="AA1352" s="4">
        <v>5</v>
      </c>
      <c r="AB1352" s="4">
        <v>1</v>
      </c>
      <c r="AC1352" s="4">
        <v>1</v>
      </c>
      <c r="AD1352" s="4">
        <v>39</v>
      </c>
      <c r="AE1352" s="4">
        <v>39</v>
      </c>
      <c r="AF1352" s="4">
        <v>0</v>
      </c>
      <c r="AG1352" s="4">
        <v>0</v>
      </c>
      <c r="AH1352" s="4">
        <v>38</v>
      </c>
      <c r="AI1352" s="4">
        <v>38</v>
      </c>
      <c r="AJ1352" s="4">
        <v>2</v>
      </c>
      <c r="AK1352" s="4">
        <v>2</v>
      </c>
      <c r="AL1352" s="4">
        <v>27</v>
      </c>
      <c r="AM1352" s="4">
        <v>27</v>
      </c>
      <c r="AN1352" s="4">
        <v>0</v>
      </c>
      <c r="AO1352" s="4">
        <v>0</v>
      </c>
      <c r="AP1352" s="4">
        <v>2</v>
      </c>
      <c r="AQ1352" s="4">
        <v>2</v>
      </c>
      <c r="AR1352" s="3" t="s">
        <v>65</v>
      </c>
      <c r="AS1352" s="3" t="s">
        <v>65</v>
      </c>
      <c r="AT1352" s="3" t="s">
        <v>65</v>
      </c>
      <c r="AV1352" s="6" t="str">
        <f>HYPERLINK("http://mcgill.on.worldcat.org/oclc/635378112","Catalog Record")</f>
        <v>Catalog Record</v>
      </c>
      <c r="AW1352" s="6" t="str">
        <f>HYPERLINK("http://www.worldcat.org/oclc/635378112","WorldCat Record")</f>
        <v>WorldCat Record</v>
      </c>
      <c r="AX1352" s="3" t="s">
        <v>13338</v>
      </c>
      <c r="AY1352" s="3" t="s">
        <v>13339</v>
      </c>
      <c r="AZ1352" s="3" t="s">
        <v>13340</v>
      </c>
      <c r="BA1352" s="3" t="s">
        <v>13340</v>
      </c>
      <c r="BB1352" s="3" t="s">
        <v>13341</v>
      </c>
      <c r="BC1352" s="3" t="s">
        <v>77</v>
      </c>
      <c r="BD1352" s="3" t="s">
        <v>78</v>
      </c>
      <c r="BE1352" s="3" t="s">
        <v>13342</v>
      </c>
      <c r="BF1352" s="3" t="s">
        <v>13341</v>
      </c>
      <c r="BG1352" s="3" t="s">
        <v>13343</v>
      </c>
    </row>
    <row r="1353" spans="1:59" ht="58" x14ac:dyDescent="0.35">
      <c r="A1353" s="2" t="s">
        <v>59</v>
      </c>
      <c r="B1353" s="2" t="s">
        <v>60</v>
      </c>
      <c r="C1353" s="2" t="s">
        <v>13344</v>
      </c>
      <c r="D1353" s="2" t="s">
        <v>13345</v>
      </c>
      <c r="E1353" s="2" t="s">
        <v>13346</v>
      </c>
      <c r="G1353" s="3" t="s">
        <v>65</v>
      </c>
      <c r="I1353" s="3" t="s">
        <v>65</v>
      </c>
      <c r="J1353" s="3" t="s">
        <v>65</v>
      </c>
      <c r="K1353" s="3" t="s">
        <v>66</v>
      </c>
      <c r="M1353" s="2" t="s">
        <v>13347</v>
      </c>
      <c r="N1353" s="3" t="s">
        <v>113</v>
      </c>
      <c r="O1353" s="2" t="s">
        <v>365</v>
      </c>
      <c r="P1353" s="3" t="s">
        <v>140</v>
      </c>
      <c r="R1353" s="3" t="s">
        <v>71</v>
      </c>
      <c r="S1353" s="4">
        <v>0</v>
      </c>
      <c r="T1353" s="4">
        <v>0</v>
      </c>
      <c r="W1353" s="5" t="s">
        <v>72</v>
      </c>
      <c r="X1353" s="5" t="s">
        <v>72</v>
      </c>
      <c r="Y1353" s="4">
        <v>37</v>
      </c>
      <c r="Z1353" s="4">
        <v>3</v>
      </c>
      <c r="AA1353" s="4">
        <v>3</v>
      </c>
      <c r="AB1353" s="4">
        <v>1</v>
      </c>
      <c r="AC1353" s="4">
        <v>1</v>
      </c>
      <c r="AD1353" s="4">
        <v>21</v>
      </c>
      <c r="AE1353" s="4">
        <v>21</v>
      </c>
      <c r="AF1353" s="4">
        <v>0</v>
      </c>
      <c r="AG1353" s="4">
        <v>0</v>
      </c>
      <c r="AH1353" s="4">
        <v>20</v>
      </c>
      <c r="AI1353" s="4">
        <v>20</v>
      </c>
      <c r="AJ1353" s="4">
        <v>1</v>
      </c>
      <c r="AK1353" s="4">
        <v>1</v>
      </c>
      <c r="AL1353" s="4">
        <v>15</v>
      </c>
      <c r="AM1353" s="4">
        <v>15</v>
      </c>
      <c r="AN1353" s="4">
        <v>0</v>
      </c>
      <c r="AO1353" s="4">
        <v>0</v>
      </c>
      <c r="AP1353" s="4">
        <v>1</v>
      </c>
      <c r="AQ1353" s="4">
        <v>1</v>
      </c>
      <c r="AR1353" s="3" t="s">
        <v>65</v>
      </c>
      <c r="AS1353" s="3" t="s">
        <v>65</v>
      </c>
      <c r="AT1353" s="3" t="s">
        <v>65</v>
      </c>
      <c r="AV1353" s="6" t="str">
        <f>HYPERLINK("http://mcgill.on.worldcat.org/oclc/666211402","Catalog Record")</f>
        <v>Catalog Record</v>
      </c>
      <c r="AW1353" s="6" t="str">
        <f>HYPERLINK("http://www.worldcat.org/oclc/666211402","WorldCat Record")</f>
        <v>WorldCat Record</v>
      </c>
      <c r="AX1353" s="3" t="s">
        <v>13348</v>
      </c>
      <c r="AY1353" s="3" t="s">
        <v>13349</v>
      </c>
      <c r="AZ1353" s="3" t="s">
        <v>13350</v>
      </c>
      <c r="BA1353" s="3" t="s">
        <v>13350</v>
      </c>
      <c r="BB1353" s="3" t="s">
        <v>13351</v>
      </c>
      <c r="BC1353" s="3" t="s">
        <v>77</v>
      </c>
      <c r="BD1353" s="3" t="s">
        <v>78</v>
      </c>
      <c r="BE1353" s="3" t="s">
        <v>13352</v>
      </c>
      <c r="BF1353" s="3" t="s">
        <v>13351</v>
      </c>
      <c r="BG1353" s="3" t="s">
        <v>13353</v>
      </c>
    </row>
    <row r="1354" spans="1:59" ht="58" x14ac:dyDescent="0.35">
      <c r="A1354" s="2" t="s">
        <v>59</v>
      </c>
      <c r="B1354" s="2" t="s">
        <v>60</v>
      </c>
      <c r="C1354" s="2" t="s">
        <v>13354</v>
      </c>
      <c r="D1354" s="2" t="s">
        <v>13355</v>
      </c>
      <c r="E1354" s="2" t="s">
        <v>13356</v>
      </c>
      <c r="G1354" s="3" t="s">
        <v>65</v>
      </c>
      <c r="I1354" s="3" t="s">
        <v>65</v>
      </c>
      <c r="J1354" s="3" t="s">
        <v>65</v>
      </c>
      <c r="K1354" s="3" t="s">
        <v>66</v>
      </c>
      <c r="L1354" s="2" t="s">
        <v>13357</v>
      </c>
      <c r="M1354" s="2" t="s">
        <v>13358</v>
      </c>
      <c r="N1354" s="3" t="s">
        <v>126</v>
      </c>
      <c r="O1354" s="2" t="s">
        <v>379</v>
      </c>
      <c r="P1354" s="3" t="s">
        <v>140</v>
      </c>
      <c r="Q1354" s="2" t="s">
        <v>13359</v>
      </c>
      <c r="R1354" s="3" t="s">
        <v>71</v>
      </c>
      <c r="S1354" s="4">
        <v>0</v>
      </c>
      <c r="T1354" s="4">
        <v>0</v>
      </c>
      <c r="W1354" s="5" t="s">
        <v>72</v>
      </c>
      <c r="X1354" s="5" t="s">
        <v>72</v>
      </c>
      <c r="Y1354" s="4">
        <v>46</v>
      </c>
      <c r="Z1354" s="4">
        <v>5</v>
      </c>
      <c r="AA1354" s="4">
        <v>5</v>
      </c>
      <c r="AB1354" s="4">
        <v>1</v>
      </c>
      <c r="AC1354" s="4">
        <v>1</v>
      </c>
      <c r="AD1354" s="4">
        <v>30</v>
      </c>
      <c r="AE1354" s="4">
        <v>30</v>
      </c>
      <c r="AF1354" s="4">
        <v>0</v>
      </c>
      <c r="AG1354" s="4">
        <v>0</v>
      </c>
      <c r="AH1354" s="4">
        <v>29</v>
      </c>
      <c r="AI1354" s="4">
        <v>29</v>
      </c>
      <c r="AJ1354" s="4">
        <v>2</v>
      </c>
      <c r="AK1354" s="4">
        <v>2</v>
      </c>
      <c r="AL1354" s="4">
        <v>23</v>
      </c>
      <c r="AM1354" s="4">
        <v>23</v>
      </c>
      <c r="AN1354" s="4">
        <v>0</v>
      </c>
      <c r="AO1354" s="4">
        <v>0</v>
      </c>
      <c r="AP1354" s="4">
        <v>2</v>
      </c>
      <c r="AQ1354" s="4">
        <v>2</v>
      </c>
      <c r="AR1354" s="3" t="s">
        <v>65</v>
      </c>
      <c r="AS1354" s="3" t="s">
        <v>65</v>
      </c>
      <c r="AT1354" s="3" t="s">
        <v>65</v>
      </c>
      <c r="AV1354" s="6" t="str">
        <f>HYPERLINK("http://mcgill.on.worldcat.org/oclc/745970358","Catalog Record")</f>
        <v>Catalog Record</v>
      </c>
      <c r="AW1354" s="6" t="str">
        <f>HYPERLINK("http://www.worldcat.org/oclc/745970358","WorldCat Record")</f>
        <v>WorldCat Record</v>
      </c>
      <c r="AX1354" s="3" t="s">
        <v>13360</v>
      </c>
      <c r="AY1354" s="3" t="s">
        <v>13361</v>
      </c>
      <c r="AZ1354" s="3" t="s">
        <v>13362</v>
      </c>
      <c r="BA1354" s="3" t="s">
        <v>13362</v>
      </c>
      <c r="BB1354" s="3" t="s">
        <v>13363</v>
      </c>
      <c r="BC1354" s="3" t="s">
        <v>77</v>
      </c>
      <c r="BD1354" s="3" t="s">
        <v>78</v>
      </c>
      <c r="BE1354" s="3" t="s">
        <v>13364</v>
      </c>
      <c r="BF1354" s="3" t="s">
        <v>13363</v>
      </c>
      <c r="BG1354" s="3" t="s">
        <v>13365</v>
      </c>
    </row>
    <row r="1355" spans="1:59" ht="58" x14ac:dyDescent="0.35">
      <c r="A1355" s="2" t="s">
        <v>59</v>
      </c>
      <c r="B1355" s="2" t="s">
        <v>60</v>
      </c>
      <c r="C1355" s="2" t="s">
        <v>13366</v>
      </c>
      <c r="D1355" s="2" t="s">
        <v>13367</v>
      </c>
      <c r="E1355" s="2" t="s">
        <v>13368</v>
      </c>
      <c r="G1355" s="3" t="s">
        <v>65</v>
      </c>
      <c r="I1355" s="3" t="s">
        <v>65</v>
      </c>
      <c r="J1355" s="3" t="s">
        <v>65</v>
      </c>
      <c r="K1355" s="3" t="s">
        <v>66</v>
      </c>
      <c r="L1355" s="2" t="s">
        <v>13369</v>
      </c>
      <c r="M1355" s="2" t="s">
        <v>13370</v>
      </c>
      <c r="N1355" s="3" t="s">
        <v>1895</v>
      </c>
      <c r="P1355" s="3" t="s">
        <v>140</v>
      </c>
      <c r="Q1355" s="2" t="s">
        <v>13371</v>
      </c>
      <c r="R1355" s="3" t="s">
        <v>71</v>
      </c>
      <c r="S1355" s="4">
        <v>2</v>
      </c>
      <c r="T1355" s="4">
        <v>2</v>
      </c>
      <c r="U1355" s="5" t="s">
        <v>11143</v>
      </c>
      <c r="V1355" s="5" t="s">
        <v>11143</v>
      </c>
      <c r="W1355" s="5" t="s">
        <v>72</v>
      </c>
      <c r="X1355" s="5" t="s">
        <v>72</v>
      </c>
      <c r="Y1355" s="4">
        <v>98</v>
      </c>
      <c r="Z1355" s="4">
        <v>5</v>
      </c>
      <c r="AA1355" s="4">
        <v>5</v>
      </c>
      <c r="AB1355" s="4">
        <v>1</v>
      </c>
      <c r="AC1355" s="4">
        <v>1</v>
      </c>
      <c r="AD1355" s="4">
        <v>49</v>
      </c>
      <c r="AE1355" s="4">
        <v>49</v>
      </c>
      <c r="AF1355" s="4">
        <v>0</v>
      </c>
      <c r="AG1355" s="4">
        <v>0</v>
      </c>
      <c r="AH1355" s="4">
        <v>46</v>
      </c>
      <c r="AI1355" s="4">
        <v>46</v>
      </c>
      <c r="AJ1355" s="4">
        <v>3</v>
      </c>
      <c r="AK1355" s="4">
        <v>3</v>
      </c>
      <c r="AL1355" s="4">
        <v>36</v>
      </c>
      <c r="AM1355" s="4">
        <v>36</v>
      </c>
      <c r="AN1355" s="4">
        <v>0</v>
      </c>
      <c r="AO1355" s="4">
        <v>0</v>
      </c>
      <c r="AP1355" s="4">
        <v>3</v>
      </c>
      <c r="AQ1355" s="4">
        <v>3</v>
      </c>
      <c r="AR1355" s="3" t="s">
        <v>65</v>
      </c>
      <c r="AS1355" s="3" t="s">
        <v>65</v>
      </c>
      <c r="AT1355" s="3" t="s">
        <v>65</v>
      </c>
      <c r="AV1355" s="6" t="str">
        <f>HYPERLINK("http://mcgill.on.worldcat.org/oclc/39516628","Catalog Record")</f>
        <v>Catalog Record</v>
      </c>
      <c r="AW1355" s="6" t="str">
        <f>HYPERLINK("http://www.worldcat.org/oclc/39516628","WorldCat Record")</f>
        <v>WorldCat Record</v>
      </c>
      <c r="AX1355" s="3" t="s">
        <v>13372</v>
      </c>
      <c r="AY1355" s="3" t="s">
        <v>13373</v>
      </c>
      <c r="AZ1355" s="3" t="s">
        <v>13374</v>
      </c>
      <c r="BA1355" s="3" t="s">
        <v>13374</v>
      </c>
      <c r="BB1355" s="3" t="s">
        <v>13375</v>
      </c>
      <c r="BC1355" s="3" t="s">
        <v>77</v>
      </c>
      <c r="BD1355" s="3" t="s">
        <v>78</v>
      </c>
      <c r="BE1355" s="3" t="s">
        <v>13376</v>
      </c>
      <c r="BF1355" s="3" t="s">
        <v>13375</v>
      </c>
      <c r="BG1355" s="3" t="s">
        <v>13377</v>
      </c>
    </row>
    <row r="1356" spans="1:59" ht="58" x14ac:dyDescent="0.35">
      <c r="A1356" s="2" t="s">
        <v>59</v>
      </c>
      <c r="B1356" s="2" t="s">
        <v>60</v>
      </c>
      <c r="C1356" s="2" t="s">
        <v>13378</v>
      </c>
      <c r="D1356" s="2" t="s">
        <v>13379</v>
      </c>
      <c r="E1356" s="2" t="s">
        <v>13380</v>
      </c>
      <c r="F1356" s="3" t="s">
        <v>13381</v>
      </c>
      <c r="G1356" s="3" t="s">
        <v>65</v>
      </c>
      <c r="I1356" s="3" t="s">
        <v>65</v>
      </c>
      <c r="J1356" s="3" t="s">
        <v>65</v>
      </c>
      <c r="K1356" s="3" t="s">
        <v>66</v>
      </c>
      <c r="L1356" s="2" t="s">
        <v>13382</v>
      </c>
      <c r="M1356" s="2" t="s">
        <v>13383</v>
      </c>
      <c r="N1356" s="3" t="s">
        <v>113</v>
      </c>
      <c r="P1356" s="3" t="s">
        <v>616</v>
      </c>
      <c r="R1356" s="3" t="s">
        <v>71</v>
      </c>
      <c r="S1356" s="4">
        <v>0</v>
      </c>
      <c r="T1356" s="4">
        <v>0</v>
      </c>
      <c r="W1356" s="5" t="s">
        <v>72</v>
      </c>
      <c r="X1356" s="5" t="s">
        <v>72</v>
      </c>
      <c r="Y1356" s="4">
        <v>67</v>
      </c>
      <c r="Z1356" s="4">
        <v>8</v>
      </c>
      <c r="AA1356" s="4">
        <v>11</v>
      </c>
      <c r="AB1356" s="4">
        <v>2</v>
      </c>
      <c r="AC1356" s="4">
        <v>5</v>
      </c>
      <c r="AD1356" s="4">
        <v>52</v>
      </c>
      <c r="AE1356" s="4">
        <v>55</v>
      </c>
      <c r="AF1356" s="4">
        <v>0</v>
      </c>
      <c r="AG1356" s="4">
        <v>3</v>
      </c>
      <c r="AH1356" s="4">
        <v>48</v>
      </c>
      <c r="AI1356" s="4">
        <v>49</v>
      </c>
      <c r="AJ1356" s="4">
        <v>5</v>
      </c>
      <c r="AK1356" s="4">
        <v>8</v>
      </c>
      <c r="AL1356" s="4">
        <v>36</v>
      </c>
      <c r="AM1356" s="4">
        <v>36</v>
      </c>
      <c r="AN1356" s="4">
        <v>0</v>
      </c>
      <c r="AO1356" s="4">
        <v>0</v>
      </c>
      <c r="AP1356" s="4">
        <v>5</v>
      </c>
      <c r="AQ1356" s="4">
        <v>7</v>
      </c>
      <c r="AR1356" s="3" t="s">
        <v>65</v>
      </c>
      <c r="AS1356" s="3" t="s">
        <v>65</v>
      </c>
      <c r="AT1356" s="3" t="s">
        <v>65</v>
      </c>
      <c r="AV1356" s="6" t="str">
        <f>HYPERLINK("http://mcgill.on.worldcat.org/oclc/645653329","Catalog Record")</f>
        <v>Catalog Record</v>
      </c>
      <c r="AW1356" s="6" t="str">
        <f>HYPERLINK("http://www.worldcat.org/oclc/645653329","WorldCat Record")</f>
        <v>WorldCat Record</v>
      </c>
      <c r="AX1356" s="3" t="s">
        <v>13384</v>
      </c>
      <c r="AY1356" s="3" t="s">
        <v>13385</v>
      </c>
      <c r="AZ1356" s="3" t="s">
        <v>13386</v>
      </c>
      <c r="BA1356" s="3" t="s">
        <v>13386</v>
      </c>
      <c r="BB1356" s="3" t="s">
        <v>13387</v>
      </c>
      <c r="BC1356" s="3" t="s">
        <v>77</v>
      </c>
      <c r="BD1356" s="3" t="s">
        <v>78</v>
      </c>
      <c r="BE1356" s="3" t="s">
        <v>13388</v>
      </c>
      <c r="BF1356" s="3" t="s">
        <v>13387</v>
      </c>
      <c r="BG1356" s="3" t="s">
        <v>13389</v>
      </c>
    </row>
    <row r="1357" spans="1:59" ht="58" x14ac:dyDescent="0.35">
      <c r="A1357" s="2" t="s">
        <v>59</v>
      </c>
      <c r="B1357" s="2" t="s">
        <v>60</v>
      </c>
      <c r="C1357" s="2" t="s">
        <v>13390</v>
      </c>
      <c r="D1357" s="2" t="s">
        <v>13391</v>
      </c>
      <c r="E1357" s="2" t="s">
        <v>13392</v>
      </c>
      <c r="G1357" s="3" t="s">
        <v>65</v>
      </c>
      <c r="I1357" s="3" t="s">
        <v>65</v>
      </c>
      <c r="J1357" s="3" t="s">
        <v>65</v>
      </c>
      <c r="K1357" s="3" t="s">
        <v>66</v>
      </c>
      <c r="M1357" s="2" t="s">
        <v>13393</v>
      </c>
      <c r="N1357" s="3" t="s">
        <v>126</v>
      </c>
      <c r="P1357" s="3" t="s">
        <v>140</v>
      </c>
      <c r="Q1357" s="2" t="s">
        <v>13394</v>
      </c>
      <c r="R1357" s="3" t="s">
        <v>71</v>
      </c>
      <c r="S1357" s="4">
        <v>0</v>
      </c>
      <c r="T1357" s="4">
        <v>0</v>
      </c>
      <c r="W1357" s="5" t="s">
        <v>72</v>
      </c>
      <c r="X1357" s="5" t="s">
        <v>72</v>
      </c>
      <c r="Y1357" s="4">
        <v>63</v>
      </c>
      <c r="Z1357" s="4">
        <v>6</v>
      </c>
      <c r="AA1357" s="4">
        <v>6</v>
      </c>
      <c r="AB1357" s="4">
        <v>1</v>
      </c>
      <c r="AC1357" s="4">
        <v>1</v>
      </c>
      <c r="AD1357" s="4">
        <v>37</v>
      </c>
      <c r="AE1357" s="4">
        <v>37</v>
      </c>
      <c r="AF1357" s="4">
        <v>0</v>
      </c>
      <c r="AG1357" s="4">
        <v>0</v>
      </c>
      <c r="AH1357" s="4">
        <v>36</v>
      </c>
      <c r="AI1357" s="4">
        <v>36</v>
      </c>
      <c r="AJ1357" s="4">
        <v>3</v>
      </c>
      <c r="AK1357" s="4">
        <v>3</v>
      </c>
      <c r="AL1357" s="4">
        <v>27</v>
      </c>
      <c r="AM1357" s="4">
        <v>27</v>
      </c>
      <c r="AN1357" s="4">
        <v>0</v>
      </c>
      <c r="AO1357" s="4">
        <v>0</v>
      </c>
      <c r="AP1357" s="4">
        <v>3</v>
      </c>
      <c r="AQ1357" s="4">
        <v>3</v>
      </c>
      <c r="AR1357" s="3" t="s">
        <v>65</v>
      </c>
      <c r="AS1357" s="3" t="s">
        <v>65</v>
      </c>
      <c r="AT1357" s="3" t="s">
        <v>65</v>
      </c>
      <c r="AV1357" s="6" t="str">
        <f>HYPERLINK("http://mcgill.on.worldcat.org/oclc/767578071","Catalog Record")</f>
        <v>Catalog Record</v>
      </c>
      <c r="AW1357" s="6" t="str">
        <f>HYPERLINK("http://www.worldcat.org/oclc/767578071","WorldCat Record")</f>
        <v>WorldCat Record</v>
      </c>
      <c r="AX1357" s="3" t="s">
        <v>13395</v>
      </c>
      <c r="AY1357" s="3" t="s">
        <v>13396</v>
      </c>
      <c r="AZ1357" s="3" t="s">
        <v>13397</v>
      </c>
      <c r="BA1357" s="3" t="s">
        <v>13397</v>
      </c>
      <c r="BB1357" s="3" t="s">
        <v>13398</v>
      </c>
      <c r="BC1357" s="3" t="s">
        <v>77</v>
      </c>
      <c r="BD1357" s="3" t="s">
        <v>78</v>
      </c>
      <c r="BE1357" s="3" t="s">
        <v>13399</v>
      </c>
      <c r="BF1357" s="3" t="s">
        <v>13398</v>
      </c>
      <c r="BG1357" s="3" t="s">
        <v>13400</v>
      </c>
    </row>
    <row r="1358" spans="1:59" ht="58" x14ac:dyDescent="0.35">
      <c r="A1358" s="2" t="s">
        <v>59</v>
      </c>
      <c r="B1358" s="2" t="s">
        <v>60</v>
      </c>
      <c r="C1358" s="2" t="s">
        <v>13401</v>
      </c>
      <c r="D1358" s="2" t="s">
        <v>13402</v>
      </c>
      <c r="E1358" s="2" t="s">
        <v>13403</v>
      </c>
      <c r="G1358" s="3" t="s">
        <v>65</v>
      </c>
      <c r="I1358" s="3" t="s">
        <v>65</v>
      </c>
      <c r="J1358" s="3" t="s">
        <v>65</v>
      </c>
      <c r="K1358" s="3" t="s">
        <v>66</v>
      </c>
      <c r="L1358" s="2" t="s">
        <v>13404</v>
      </c>
      <c r="M1358" s="2" t="s">
        <v>4139</v>
      </c>
      <c r="N1358" s="3" t="s">
        <v>113</v>
      </c>
      <c r="P1358" s="3" t="s">
        <v>69</v>
      </c>
      <c r="Q1358" s="2" t="s">
        <v>1197</v>
      </c>
      <c r="R1358" s="3" t="s">
        <v>71</v>
      </c>
      <c r="S1358" s="4">
        <v>4</v>
      </c>
      <c r="T1358" s="4">
        <v>4</v>
      </c>
      <c r="U1358" s="5" t="s">
        <v>7362</v>
      </c>
      <c r="V1358" s="5" t="s">
        <v>7362</v>
      </c>
      <c r="W1358" s="5" t="s">
        <v>72</v>
      </c>
      <c r="X1358" s="5" t="s">
        <v>72</v>
      </c>
      <c r="Y1358" s="4">
        <v>195</v>
      </c>
      <c r="Z1358" s="4">
        <v>27</v>
      </c>
      <c r="AA1358" s="4">
        <v>119</v>
      </c>
      <c r="AB1358" s="4">
        <v>2</v>
      </c>
      <c r="AC1358" s="4">
        <v>19</v>
      </c>
      <c r="AD1358" s="4">
        <v>92</v>
      </c>
      <c r="AE1358" s="4">
        <v>144</v>
      </c>
      <c r="AF1358" s="4">
        <v>1</v>
      </c>
      <c r="AG1358" s="4">
        <v>8</v>
      </c>
      <c r="AH1358" s="4">
        <v>77</v>
      </c>
      <c r="AI1358" s="4">
        <v>101</v>
      </c>
      <c r="AJ1358" s="4">
        <v>20</v>
      </c>
      <c r="AK1358" s="4">
        <v>28</v>
      </c>
      <c r="AL1358" s="4">
        <v>46</v>
      </c>
      <c r="AM1358" s="4">
        <v>53</v>
      </c>
      <c r="AN1358" s="4">
        <v>0</v>
      </c>
      <c r="AO1358" s="4">
        <v>0</v>
      </c>
      <c r="AP1358" s="4">
        <v>22</v>
      </c>
      <c r="AQ1358" s="4">
        <v>53</v>
      </c>
      <c r="AR1358" s="3" t="s">
        <v>209</v>
      </c>
      <c r="AS1358" s="3" t="s">
        <v>65</v>
      </c>
      <c r="AT1358" s="3" t="s">
        <v>65</v>
      </c>
      <c r="AV1358" s="6" t="str">
        <f>HYPERLINK("http://mcgill.on.worldcat.org/oclc/521753949","Catalog Record")</f>
        <v>Catalog Record</v>
      </c>
      <c r="AW1358" s="6" t="str">
        <f>HYPERLINK("http://www.worldcat.org/oclc/521753949","WorldCat Record")</f>
        <v>WorldCat Record</v>
      </c>
      <c r="AX1358" s="3" t="s">
        <v>13405</v>
      </c>
      <c r="AY1358" s="3" t="s">
        <v>13406</v>
      </c>
      <c r="AZ1358" s="3" t="s">
        <v>13407</v>
      </c>
      <c r="BA1358" s="3" t="s">
        <v>13407</v>
      </c>
      <c r="BB1358" s="3" t="s">
        <v>13408</v>
      </c>
      <c r="BC1358" s="3" t="s">
        <v>77</v>
      </c>
      <c r="BD1358" s="3" t="s">
        <v>78</v>
      </c>
      <c r="BE1358" s="3" t="s">
        <v>13409</v>
      </c>
      <c r="BF1358" s="3" t="s">
        <v>13408</v>
      </c>
      <c r="BG1358" s="3" t="s">
        <v>13410</v>
      </c>
    </row>
    <row r="1359" spans="1:59" ht="58" x14ac:dyDescent="0.35">
      <c r="A1359" s="2" t="s">
        <v>59</v>
      </c>
      <c r="B1359" s="2" t="s">
        <v>60</v>
      </c>
      <c r="C1359" s="2" t="s">
        <v>13411</v>
      </c>
      <c r="D1359" s="2" t="s">
        <v>13412</v>
      </c>
      <c r="E1359" s="2" t="s">
        <v>13413</v>
      </c>
      <c r="G1359" s="3" t="s">
        <v>65</v>
      </c>
      <c r="I1359" s="3" t="s">
        <v>65</v>
      </c>
      <c r="J1359" s="3" t="s">
        <v>209</v>
      </c>
      <c r="K1359" s="3" t="s">
        <v>66</v>
      </c>
      <c r="L1359" s="2" t="s">
        <v>13218</v>
      </c>
      <c r="M1359" s="2" t="s">
        <v>13219</v>
      </c>
      <c r="N1359" s="3" t="s">
        <v>364</v>
      </c>
      <c r="O1359" s="2" t="s">
        <v>365</v>
      </c>
      <c r="P1359" s="3" t="s">
        <v>140</v>
      </c>
      <c r="R1359" s="3" t="s">
        <v>71</v>
      </c>
      <c r="S1359" s="4">
        <v>4</v>
      </c>
      <c r="T1359" s="4">
        <v>4</v>
      </c>
      <c r="U1359" s="5" t="s">
        <v>13136</v>
      </c>
      <c r="V1359" s="5" t="s">
        <v>13136</v>
      </c>
      <c r="W1359" s="5" t="s">
        <v>72</v>
      </c>
      <c r="X1359" s="5" t="s">
        <v>72</v>
      </c>
      <c r="Y1359" s="4">
        <v>48</v>
      </c>
      <c r="Z1359" s="4">
        <v>6</v>
      </c>
      <c r="AA1359" s="4">
        <v>13</v>
      </c>
      <c r="AB1359" s="4">
        <v>2</v>
      </c>
      <c r="AC1359" s="4">
        <v>2</v>
      </c>
      <c r="AD1359" s="4">
        <v>34</v>
      </c>
      <c r="AE1359" s="4">
        <v>76</v>
      </c>
      <c r="AF1359" s="4">
        <v>0</v>
      </c>
      <c r="AG1359" s="4">
        <v>0</v>
      </c>
      <c r="AH1359" s="4">
        <v>32</v>
      </c>
      <c r="AI1359" s="4">
        <v>69</v>
      </c>
      <c r="AJ1359" s="4">
        <v>3</v>
      </c>
      <c r="AK1359" s="4">
        <v>8</v>
      </c>
      <c r="AL1359" s="4">
        <v>26</v>
      </c>
      <c r="AM1359" s="4">
        <v>48</v>
      </c>
      <c r="AN1359" s="4">
        <v>0</v>
      </c>
      <c r="AO1359" s="4">
        <v>0</v>
      </c>
      <c r="AP1359" s="4">
        <v>3</v>
      </c>
      <c r="AQ1359" s="4">
        <v>9</v>
      </c>
      <c r="AR1359" s="3" t="s">
        <v>65</v>
      </c>
      <c r="AS1359" s="3" t="s">
        <v>65</v>
      </c>
      <c r="AT1359" s="3" t="s">
        <v>65</v>
      </c>
      <c r="AV1359" s="6" t="str">
        <f>HYPERLINK("http://mcgill.on.worldcat.org/oclc/49593005","Catalog Record")</f>
        <v>Catalog Record</v>
      </c>
      <c r="AW1359" s="6" t="str">
        <f>HYPERLINK("http://www.worldcat.org/oclc/49593005","WorldCat Record")</f>
        <v>WorldCat Record</v>
      </c>
      <c r="AX1359" s="3" t="s">
        <v>13414</v>
      </c>
      <c r="AY1359" s="3" t="s">
        <v>13415</v>
      </c>
      <c r="AZ1359" s="3" t="s">
        <v>13416</v>
      </c>
      <c r="BA1359" s="3" t="s">
        <v>13416</v>
      </c>
      <c r="BB1359" s="3" t="s">
        <v>13417</v>
      </c>
      <c r="BC1359" s="3" t="s">
        <v>77</v>
      </c>
      <c r="BD1359" s="3" t="s">
        <v>78</v>
      </c>
      <c r="BE1359" s="3" t="s">
        <v>13418</v>
      </c>
      <c r="BF1359" s="3" t="s">
        <v>13417</v>
      </c>
      <c r="BG1359" s="3" t="s">
        <v>13419</v>
      </c>
    </row>
    <row r="1360" spans="1:59" ht="87" x14ac:dyDescent="0.35">
      <c r="A1360" s="2" t="s">
        <v>59</v>
      </c>
      <c r="B1360" s="2" t="s">
        <v>60</v>
      </c>
      <c r="C1360" s="2" t="s">
        <v>13420</v>
      </c>
      <c r="D1360" s="2" t="s">
        <v>13421</v>
      </c>
      <c r="E1360" s="2" t="s">
        <v>13422</v>
      </c>
      <c r="G1360" s="3" t="s">
        <v>65</v>
      </c>
      <c r="I1360" s="3" t="s">
        <v>65</v>
      </c>
      <c r="J1360" s="3" t="s">
        <v>65</v>
      </c>
      <c r="K1360" s="3" t="s">
        <v>66</v>
      </c>
      <c r="L1360" s="2" t="s">
        <v>12641</v>
      </c>
      <c r="M1360" s="2" t="s">
        <v>13423</v>
      </c>
      <c r="N1360" s="3" t="s">
        <v>126</v>
      </c>
      <c r="P1360" s="3" t="s">
        <v>140</v>
      </c>
      <c r="Q1360" s="2" t="s">
        <v>13424</v>
      </c>
      <c r="R1360" s="3" t="s">
        <v>71</v>
      </c>
      <c r="S1360" s="4">
        <v>0</v>
      </c>
      <c r="T1360" s="4">
        <v>0</v>
      </c>
      <c r="W1360" s="5" t="s">
        <v>72</v>
      </c>
      <c r="X1360" s="5" t="s">
        <v>72</v>
      </c>
      <c r="Y1360" s="4">
        <v>62</v>
      </c>
      <c r="Z1360" s="4">
        <v>6</v>
      </c>
      <c r="AA1360" s="4">
        <v>6</v>
      </c>
      <c r="AB1360" s="4">
        <v>1</v>
      </c>
      <c r="AC1360" s="4">
        <v>1</v>
      </c>
      <c r="AD1360" s="4">
        <v>38</v>
      </c>
      <c r="AE1360" s="4">
        <v>38</v>
      </c>
      <c r="AF1360" s="4">
        <v>0</v>
      </c>
      <c r="AG1360" s="4">
        <v>0</v>
      </c>
      <c r="AH1360" s="4">
        <v>37</v>
      </c>
      <c r="AI1360" s="4">
        <v>37</v>
      </c>
      <c r="AJ1360" s="4">
        <v>3</v>
      </c>
      <c r="AK1360" s="4">
        <v>3</v>
      </c>
      <c r="AL1360" s="4">
        <v>26</v>
      </c>
      <c r="AM1360" s="4">
        <v>26</v>
      </c>
      <c r="AN1360" s="4">
        <v>0</v>
      </c>
      <c r="AO1360" s="4">
        <v>0</v>
      </c>
      <c r="AP1360" s="4">
        <v>3</v>
      </c>
      <c r="AQ1360" s="4">
        <v>3</v>
      </c>
      <c r="AR1360" s="3" t="s">
        <v>65</v>
      </c>
      <c r="AS1360" s="3" t="s">
        <v>65</v>
      </c>
      <c r="AT1360" s="3" t="s">
        <v>65</v>
      </c>
      <c r="AV1360" s="6" t="str">
        <f>HYPERLINK("http://mcgill.on.worldcat.org/oclc/758438458","Catalog Record")</f>
        <v>Catalog Record</v>
      </c>
      <c r="AW1360" s="6" t="str">
        <f>HYPERLINK("http://www.worldcat.org/oclc/758438458","WorldCat Record")</f>
        <v>WorldCat Record</v>
      </c>
      <c r="AX1360" s="3" t="s">
        <v>13425</v>
      </c>
      <c r="AY1360" s="3" t="s">
        <v>13426</v>
      </c>
      <c r="AZ1360" s="3" t="s">
        <v>13427</v>
      </c>
      <c r="BA1360" s="3" t="s">
        <v>13427</v>
      </c>
      <c r="BB1360" s="3" t="s">
        <v>13428</v>
      </c>
      <c r="BC1360" s="3" t="s">
        <v>77</v>
      </c>
      <c r="BD1360" s="3" t="s">
        <v>78</v>
      </c>
      <c r="BE1360" s="3" t="s">
        <v>13429</v>
      </c>
      <c r="BF1360" s="3" t="s">
        <v>13428</v>
      </c>
      <c r="BG1360" s="3" t="s">
        <v>13430</v>
      </c>
    </row>
    <row r="1361" spans="1:59" ht="72.5" x14ac:dyDescent="0.35">
      <c r="A1361" s="2" t="s">
        <v>59</v>
      </c>
      <c r="B1361" s="2" t="s">
        <v>60</v>
      </c>
      <c r="C1361" s="2" t="s">
        <v>13431</v>
      </c>
      <c r="D1361" s="2" t="s">
        <v>13432</v>
      </c>
      <c r="E1361" s="2" t="s">
        <v>13433</v>
      </c>
      <c r="G1361" s="3" t="s">
        <v>65</v>
      </c>
      <c r="I1361" s="3" t="s">
        <v>65</v>
      </c>
      <c r="J1361" s="3" t="s">
        <v>65</v>
      </c>
      <c r="K1361" s="3" t="s">
        <v>66</v>
      </c>
      <c r="L1361" s="2" t="s">
        <v>10282</v>
      </c>
      <c r="M1361" s="2" t="s">
        <v>13434</v>
      </c>
      <c r="N1361" s="3" t="s">
        <v>126</v>
      </c>
      <c r="P1361" s="3" t="s">
        <v>140</v>
      </c>
      <c r="R1361" s="3" t="s">
        <v>71</v>
      </c>
      <c r="S1361" s="4">
        <v>0</v>
      </c>
      <c r="T1361" s="4">
        <v>0</v>
      </c>
      <c r="W1361" s="5" t="s">
        <v>72</v>
      </c>
      <c r="X1361" s="5" t="s">
        <v>72</v>
      </c>
      <c r="Y1361" s="4">
        <v>31</v>
      </c>
      <c r="Z1361" s="4">
        <v>5</v>
      </c>
      <c r="AA1361" s="4">
        <v>5</v>
      </c>
      <c r="AB1361" s="4">
        <v>1</v>
      </c>
      <c r="AC1361" s="4">
        <v>1</v>
      </c>
      <c r="AD1361" s="4">
        <v>20</v>
      </c>
      <c r="AE1361" s="4">
        <v>20</v>
      </c>
      <c r="AF1361" s="4">
        <v>0</v>
      </c>
      <c r="AG1361" s="4">
        <v>0</v>
      </c>
      <c r="AH1361" s="4">
        <v>19</v>
      </c>
      <c r="AI1361" s="4">
        <v>19</v>
      </c>
      <c r="AJ1361" s="4">
        <v>2</v>
      </c>
      <c r="AK1361" s="4">
        <v>2</v>
      </c>
      <c r="AL1361" s="4">
        <v>14</v>
      </c>
      <c r="AM1361" s="4">
        <v>14</v>
      </c>
      <c r="AN1361" s="4">
        <v>0</v>
      </c>
      <c r="AO1361" s="4">
        <v>0</v>
      </c>
      <c r="AP1361" s="4">
        <v>2</v>
      </c>
      <c r="AQ1361" s="4">
        <v>2</v>
      </c>
      <c r="AR1361" s="3" t="s">
        <v>65</v>
      </c>
      <c r="AS1361" s="3" t="s">
        <v>65</v>
      </c>
      <c r="AT1361" s="3" t="s">
        <v>65</v>
      </c>
      <c r="AV1361" s="6" t="str">
        <f>HYPERLINK("http://mcgill.on.worldcat.org/oclc/732279901","Catalog Record")</f>
        <v>Catalog Record</v>
      </c>
      <c r="AW1361" s="6" t="str">
        <f>HYPERLINK("http://www.worldcat.org/oclc/732279901","WorldCat Record")</f>
        <v>WorldCat Record</v>
      </c>
      <c r="AX1361" s="3" t="s">
        <v>13435</v>
      </c>
      <c r="AY1361" s="3" t="s">
        <v>13436</v>
      </c>
      <c r="AZ1361" s="3" t="s">
        <v>13437</v>
      </c>
      <c r="BA1361" s="3" t="s">
        <v>13437</v>
      </c>
      <c r="BB1361" s="3" t="s">
        <v>13438</v>
      </c>
      <c r="BC1361" s="3" t="s">
        <v>77</v>
      </c>
      <c r="BD1361" s="3" t="s">
        <v>78</v>
      </c>
      <c r="BE1361" s="3" t="s">
        <v>13439</v>
      </c>
      <c r="BF1361" s="3" t="s">
        <v>13438</v>
      </c>
      <c r="BG1361" s="3" t="s">
        <v>13440</v>
      </c>
    </row>
    <row r="1362" spans="1:59" ht="58" x14ac:dyDescent="0.35">
      <c r="A1362" s="2" t="s">
        <v>59</v>
      </c>
      <c r="B1362" s="2" t="s">
        <v>60</v>
      </c>
      <c r="C1362" s="2" t="s">
        <v>13441</v>
      </c>
      <c r="D1362" s="2" t="s">
        <v>13442</v>
      </c>
      <c r="E1362" s="2" t="s">
        <v>13443</v>
      </c>
      <c r="G1362" s="3" t="s">
        <v>65</v>
      </c>
      <c r="I1362" s="3" t="s">
        <v>65</v>
      </c>
      <c r="J1362" s="3" t="s">
        <v>65</v>
      </c>
      <c r="K1362" s="3" t="s">
        <v>66</v>
      </c>
      <c r="M1362" s="2" t="s">
        <v>13444</v>
      </c>
      <c r="N1362" s="3" t="s">
        <v>113</v>
      </c>
      <c r="P1362" s="3" t="s">
        <v>69</v>
      </c>
      <c r="Q1362" s="2" t="s">
        <v>13445</v>
      </c>
      <c r="R1362" s="3" t="s">
        <v>71</v>
      </c>
      <c r="S1362" s="4">
        <v>1</v>
      </c>
      <c r="T1362" s="4">
        <v>1</v>
      </c>
      <c r="U1362" s="5" t="s">
        <v>13446</v>
      </c>
      <c r="V1362" s="5" t="s">
        <v>13446</v>
      </c>
      <c r="W1362" s="5" t="s">
        <v>72</v>
      </c>
      <c r="X1362" s="5" t="s">
        <v>72</v>
      </c>
      <c r="Y1362" s="4">
        <v>36</v>
      </c>
      <c r="Z1362" s="4">
        <v>5</v>
      </c>
      <c r="AA1362" s="4">
        <v>15</v>
      </c>
      <c r="AB1362" s="4">
        <v>1</v>
      </c>
      <c r="AC1362" s="4">
        <v>1</v>
      </c>
      <c r="AD1362" s="4">
        <v>21</v>
      </c>
      <c r="AE1362" s="4">
        <v>57</v>
      </c>
      <c r="AF1362" s="4">
        <v>0</v>
      </c>
      <c r="AG1362" s="4">
        <v>0</v>
      </c>
      <c r="AH1362" s="4">
        <v>20</v>
      </c>
      <c r="AI1362" s="4">
        <v>53</v>
      </c>
      <c r="AJ1362" s="4">
        <v>4</v>
      </c>
      <c r="AK1362" s="4">
        <v>12</v>
      </c>
      <c r="AL1362" s="4">
        <v>12</v>
      </c>
      <c r="AM1362" s="4">
        <v>31</v>
      </c>
      <c r="AN1362" s="4">
        <v>0</v>
      </c>
      <c r="AO1362" s="4">
        <v>0</v>
      </c>
      <c r="AP1362" s="4">
        <v>4</v>
      </c>
      <c r="AQ1362" s="4">
        <v>12</v>
      </c>
      <c r="AR1362" s="3" t="s">
        <v>65</v>
      </c>
      <c r="AS1362" s="3" t="s">
        <v>65</v>
      </c>
      <c r="AT1362" s="3" t="s">
        <v>65</v>
      </c>
      <c r="AV1362" s="6" t="str">
        <f>HYPERLINK("http://mcgill.on.worldcat.org/oclc/551906432","Catalog Record")</f>
        <v>Catalog Record</v>
      </c>
      <c r="AW1362" s="6" t="str">
        <f>HYPERLINK("http://www.worldcat.org/oclc/551906432","WorldCat Record")</f>
        <v>WorldCat Record</v>
      </c>
      <c r="AX1362" s="3" t="s">
        <v>13447</v>
      </c>
      <c r="AY1362" s="3" t="s">
        <v>13448</v>
      </c>
      <c r="AZ1362" s="3" t="s">
        <v>13449</v>
      </c>
      <c r="BA1362" s="3" t="s">
        <v>13449</v>
      </c>
      <c r="BB1362" s="3" t="s">
        <v>13450</v>
      </c>
      <c r="BC1362" s="3" t="s">
        <v>77</v>
      </c>
      <c r="BD1362" s="3" t="s">
        <v>78</v>
      </c>
      <c r="BE1362" s="3" t="s">
        <v>13451</v>
      </c>
      <c r="BF1362" s="3" t="s">
        <v>13450</v>
      </c>
      <c r="BG1362" s="3" t="s">
        <v>13452</v>
      </c>
    </row>
    <row r="1363" spans="1:59" ht="58" x14ac:dyDescent="0.35">
      <c r="A1363" s="2" t="s">
        <v>59</v>
      </c>
      <c r="B1363" s="2" t="s">
        <v>60</v>
      </c>
      <c r="C1363" s="2" t="s">
        <v>13453</v>
      </c>
      <c r="D1363" s="2" t="s">
        <v>13454</v>
      </c>
      <c r="E1363" s="2" t="s">
        <v>13455</v>
      </c>
      <c r="G1363" s="3" t="s">
        <v>65</v>
      </c>
      <c r="I1363" s="3" t="s">
        <v>65</v>
      </c>
      <c r="J1363" s="3" t="s">
        <v>65</v>
      </c>
      <c r="K1363" s="3" t="s">
        <v>66</v>
      </c>
      <c r="L1363" s="2" t="s">
        <v>13456</v>
      </c>
      <c r="M1363" s="2" t="s">
        <v>13457</v>
      </c>
      <c r="N1363" s="3" t="s">
        <v>577</v>
      </c>
      <c r="P1363" s="3" t="s">
        <v>140</v>
      </c>
      <c r="Q1363" s="2" t="s">
        <v>13458</v>
      </c>
      <c r="R1363" s="3" t="s">
        <v>71</v>
      </c>
      <c r="S1363" s="4">
        <v>6</v>
      </c>
      <c r="T1363" s="4">
        <v>6</v>
      </c>
      <c r="U1363" s="5" t="s">
        <v>10710</v>
      </c>
      <c r="V1363" s="5" t="s">
        <v>10710</v>
      </c>
      <c r="W1363" s="5" t="s">
        <v>72</v>
      </c>
      <c r="X1363" s="5" t="s">
        <v>72</v>
      </c>
      <c r="Y1363" s="4">
        <v>135</v>
      </c>
      <c r="Z1363" s="4">
        <v>15</v>
      </c>
      <c r="AA1363" s="4">
        <v>17</v>
      </c>
      <c r="AB1363" s="4">
        <v>2</v>
      </c>
      <c r="AC1363" s="4">
        <v>3</v>
      </c>
      <c r="AD1363" s="4">
        <v>62</v>
      </c>
      <c r="AE1363" s="4">
        <v>64</v>
      </c>
      <c r="AF1363" s="4">
        <v>1</v>
      </c>
      <c r="AG1363" s="4">
        <v>2</v>
      </c>
      <c r="AH1363" s="4">
        <v>55</v>
      </c>
      <c r="AI1363" s="4">
        <v>56</v>
      </c>
      <c r="AJ1363" s="4">
        <v>11</v>
      </c>
      <c r="AK1363" s="4">
        <v>13</v>
      </c>
      <c r="AL1363" s="4">
        <v>37</v>
      </c>
      <c r="AM1363" s="4">
        <v>37</v>
      </c>
      <c r="AN1363" s="4">
        <v>0</v>
      </c>
      <c r="AO1363" s="4">
        <v>0</v>
      </c>
      <c r="AP1363" s="4">
        <v>12</v>
      </c>
      <c r="AQ1363" s="4">
        <v>13</v>
      </c>
      <c r="AR1363" s="3" t="s">
        <v>65</v>
      </c>
      <c r="AS1363" s="3" t="s">
        <v>65</v>
      </c>
      <c r="AT1363" s="3" t="s">
        <v>65</v>
      </c>
      <c r="AV1363" s="6" t="str">
        <f>HYPERLINK("http://mcgill.on.worldcat.org/oclc/5220607","Catalog Record")</f>
        <v>Catalog Record</v>
      </c>
      <c r="AW1363" s="6" t="str">
        <f>HYPERLINK("http://www.worldcat.org/oclc/5220607","WorldCat Record")</f>
        <v>WorldCat Record</v>
      </c>
      <c r="AX1363" s="3" t="s">
        <v>13459</v>
      </c>
      <c r="AY1363" s="3" t="s">
        <v>13460</v>
      </c>
      <c r="AZ1363" s="3" t="s">
        <v>13461</v>
      </c>
      <c r="BA1363" s="3" t="s">
        <v>13461</v>
      </c>
      <c r="BB1363" s="3" t="s">
        <v>13462</v>
      </c>
      <c r="BC1363" s="3" t="s">
        <v>77</v>
      </c>
      <c r="BD1363" s="3" t="s">
        <v>78</v>
      </c>
      <c r="BF1363" s="3" t="s">
        <v>13462</v>
      </c>
      <c r="BG1363" s="3" t="s">
        <v>13463</v>
      </c>
    </row>
    <row r="1364" spans="1:59" ht="58" x14ac:dyDescent="0.35">
      <c r="A1364" s="2" t="s">
        <v>59</v>
      </c>
      <c r="B1364" s="2" t="s">
        <v>60</v>
      </c>
      <c r="C1364" s="2" t="s">
        <v>13464</v>
      </c>
      <c r="D1364" s="2" t="s">
        <v>13465</v>
      </c>
      <c r="E1364" s="2" t="s">
        <v>13466</v>
      </c>
      <c r="G1364" s="3" t="s">
        <v>65</v>
      </c>
      <c r="I1364" s="3" t="s">
        <v>65</v>
      </c>
      <c r="J1364" s="3" t="s">
        <v>65</v>
      </c>
      <c r="K1364" s="3" t="s">
        <v>66</v>
      </c>
      <c r="M1364" s="2" t="s">
        <v>13467</v>
      </c>
      <c r="N1364" s="3" t="s">
        <v>221</v>
      </c>
      <c r="P1364" s="3" t="s">
        <v>140</v>
      </c>
      <c r="Q1364" s="2" t="s">
        <v>13468</v>
      </c>
      <c r="R1364" s="3" t="s">
        <v>71</v>
      </c>
      <c r="S1364" s="4">
        <v>1</v>
      </c>
      <c r="T1364" s="4">
        <v>1</v>
      </c>
      <c r="U1364" s="5" t="s">
        <v>13469</v>
      </c>
      <c r="V1364" s="5" t="s">
        <v>13469</v>
      </c>
      <c r="W1364" s="5" t="s">
        <v>72</v>
      </c>
      <c r="X1364" s="5" t="s">
        <v>72</v>
      </c>
      <c r="Y1364" s="4">
        <v>62</v>
      </c>
      <c r="Z1364" s="4">
        <v>5</v>
      </c>
      <c r="AA1364" s="4">
        <v>5</v>
      </c>
      <c r="AB1364" s="4">
        <v>1</v>
      </c>
      <c r="AC1364" s="4">
        <v>1</v>
      </c>
      <c r="AD1364" s="4">
        <v>19</v>
      </c>
      <c r="AE1364" s="4">
        <v>19</v>
      </c>
      <c r="AF1364" s="4">
        <v>0</v>
      </c>
      <c r="AG1364" s="4">
        <v>0</v>
      </c>
      <c r="AH1364" s="4">
        <v>18</v>
      </c>
      <c r="AI1364" s="4">
        <v>18</v>
      </c>
      <c r="AJ1364" s="4">
        <v>2</v>
      </c>
      <c r="AK1364" s="4">
        <v>2</v>
      </c>
      <c r="AL1364" s="4">
        <v>12</v>
      </c>
      <c r="AM1364" s="4">
        <v>12</v>
      </c>
      <c r="AN1364" s="4">
        <v>0</v>
      </c>
      <c r="AO1364" s="4">
        <v>0</v>
      </c>
      <c r="AP1364" s="4">
        <v>2</v>
      </c>
      <c r="AQ1364" s="4">
        <v>2</v>
      </c>
      <c r="AR1364" s="3" t="s">
        <v>65</v>
      </c>
      <c r="AS1364" s="3" t="s">
        <v>65</v>
      </c>
      <c r="AT1364" s="3" t="s">
        <v>65</v>
      </c>
      <c r="AV1364" s="6" t="str">
        <f>HYPERLINK("http://mcgill.on.worldcat.org/oclc/154199488","Catalog Record")</f>
        <v>Catalog Record</v>
      </c>
      <c r="AW1364" s="6" t="str">
        <f>HYPERLINK("http://www.worldcat.org/oclc/154199488","WorldCat Record")</f>
        <v>WorldCat Record</v>
      </c>
      <c r="AX1364" s="3" t="s">
        <v>13470</v>
      </c>
      <c r="AY1364" s="3" t="s">
        <v>13471</v>
      </c>
      <c r="AZ1364" s="3" t="s">
        <v>13472</v>
      </c>
      <c r="BA1364" s="3" t="s">
        <v>13472</v>
      </c>
      <c r="BB1364" s="3" t="s">
        <v>13473</v>
      </c>
      <c r="BC1364" s="3" t="s">
        <v>77</v>
      </c>
      <c r="BD1364" s="3" t="s">
        <v>78</v>
      </c>
      <c r="BE1364" s="3" t="s">
        <v>13474</v>
      </c>
      <c r="BF1364" s="3" t="s">
        <v>13473</v>
      </c>
      <c r="BG1364" s="3" t="s">
        <v>13475</v>
      </c>
    </row>
    <row r="1365" spans="1:59" ht="58" x14ac:dyDescent="0.35">
      <c r="A1365" s="2" t="s">
        <v>59</v>
      </c>
      <c r="B1365" s="2" t="s">
        <v>60</v>
      </c>
      <c r="C1365" s="2" t="s">
        <v>13476</v>
      </c>
      <c r="D1365" s="2" t="s">
        <v>13477</v>
      </c>
      <c r="E1365" s="2" t="s">
        <v>13478</v>
      </c>
      <c r="G1365" s="3" t="s">
        <v>65</v>
      </c>
      <c r="I1365" s="3" t="s">
        <v>65</v>
      </c>
      <c r="J1365" s="3" t="s">
        <v>65</v>
      </c>
      <c r="K1365" s="3" t="s">
        <v>66</v>
      </c>
      <c r="L1365" s="2" t="s">
        <v>13479</v>
      </c>
      <c r="M1365" s="2" t="s">
        <v>13480</v>
      </c>
      <c r="N1365" s="3" t="s">
        <v>176</v>
      </c>
      <c r="O1365" s="2" t="s">
        <v>235</v>
      </c>
      <c r="P1365" s="3" t="s">
        <v>140</v>
      </c>
      <c r="Q1365" s="2" t="s">
        <v>13481</v>
      </c>
      <c r="R1365" s="3" t="s">
        <v>71</v>
      </c>
      <c r="S1365" s="4">
        <v>0</v>
      </c>
      <c r="T1365" s="4">
        <v>0</v>
      </c>
      <c r="W1365" s="5" t="s">
        <v>72</v>
      </c>
      <c r="X1365" s="5" t="s">
        <v>72</v>
      </c>
      <c r="Y1365" s="4">
        <v>57</v>
      </c>
      <c r="Z1365" s="4">
        <v>4</v>
      </c>
      <c r="AA1365" s="4">
        <v>5</v>
      </c>
      <c r="AB1365" s="4">
        <v>1</v>
      </c>
      <c r="AC1365" s="4">
        <v>2</v>
      </c>
      <c r="AD1365" s="4">
        <v>34</v>
      </c>
      <c r="AE1365" s="4">
        <v>34</v>
      </c>
      <c r="AF1365" s="4">
        <v>0</v>
      </c>
      <c r="AG1365" s="4">
        <v>0</v>
      </c>
      <c r="AH1365" s="4">
        <v>33</v>
      </c>
      <c r="AI1365" s="4">
        <v>33</v>
      </c>
      <c r="AJ1365" s="4">
        <v>2</v>
      </c>
      <c r="AK1365" s="4">
        <v>2</v>
      </c>
      <c r="AL1365" s="4">
        <v>26</v>
      </c>
      <c r="AM1365" s="4">
        <v>26</v>
      </c>
      <c r="AN1365" s="4">
        <v>0</v>
      </c>
      <c r="AO1365" s="4">
        <v>0</v>
      </c>
      <c r="AP1365" s="4">
        <v>2</v>
      </c>
      <c r="AQ1365" s="4">
        <v>2</v>
      </c>
      <c r="AR1365" s="3" t="s">
        <v>65</v>
      </c>
      <c r="AS1365" s="3" t="s">
        <v>65</v>
      </c>
      <c r="AT1365" s="3" t="s">
        <v>65</v>
      </c>
      <c r="AV1365" s="6" t="str">
        <f>HYPERLINK("http://mcgill.on.worldcat.org/oclc/903207906","Catalog Record")</f>
        <v>Catalog Record</v>
      </c>
      <c r="AW1365" s="6" t="str">
        <f>HYPERLINK("http://www.worldcat.org/oclc/903207906","WorldCat Record")</f>
        <v>WorldCat Record</v>
      </c>
      <c r="AX1365" s="3" t="s">
        <v>13482</v>
      </c>
      <c r="AY1365" s="3" t="s">
        <v>13483</v>
      </c>
      <c r="AZ1365" s="3" t="s">
        <v>13484</v>
      </c>
      <c r="BA1365" s="3" t="s">
        <v>13484</v>
      </c>
      <c r="BB1365" s="3" t="s">
        <v>13485</v>
      </c>
      <c r="BC1365" s="3" t="s">
        <v>77</v>
      </c>
      <c r="BD1365" s="3" t="s">
        <v>78</v>
      </c>
      <c r="BE1365" s="3" t="s">
        <v>13486</v>
      </c>
      <c r="BF1365" s="3" t="s">
        <v>13485</v>
      </c>
      <c r="BG1365" s="3" t="s">
        <v>13487</v>
      </c>
    </row>
    <row r="1366" spans="1:59" ht="58" x14ac:dyDescent="0.35">
      <c r="A1366" s="2" t="s">
        <v>59</v>
      </c>
      <c r="B1366" s="2" t="s">
        <v>60</v>
      </c>
      <c r="C1366" s="2" t="s">
        <v>13488</v>
      </c>
      <c r="D1366" s="2" t="s">
        <v>13489</v>
      </c>
      <c r="E1366" s="2" t="s">
        <v>13490</v>
      </c>
      <c r="G1366" s="3" t="s">
        <v>65</v>
      </c>
      <c r="I1366" s="3" t="s">
        <v>65</v>
      </c>
      <c r="J1366" s="3" t="s">
        <v>65</v>
      </c>
      <c r="K1366" s="3" t="s">
        <v>66</v>
      </c>
      <c r="L1366" s="2" t="s">
        <v>13491</v>
      </c>
      <c r="M1366" s="2" t="s">
        <v>13492</v>
      </c>
      <c r="N1366" s="3" t="s">
        <v>126</v>
      </c>
      <c r="P1366" s="3" t="s">
        <v>69</v>
      </c>
      <c r="Q1366" s="2" t="s">
        <v>1197</v>
      </c>
      <c r="R1366" s="3" t="s">
        <v>71</v>
      </c>
      <c r="S1366" s="4">
        <v>0</v>
      </c>
      <c r="T1366" s="4">
        <v>0</v>
      </c>
      <c r="W1366" s="5" t="s">
        <v>72</v>
      </c>
      <c r="X1366" s="5" t="s">
        <v>72</v>
      </c>
      <c r="Y1366" s="4">
        <v>188</v>
      </c>
      <c r="Z1366" s="4">
        <v>23</v>
      </c>
      <c r="AA1366" s="4">
        <v>105</v>
      </c>
      <c r="AB1366" s="4">
        <v>1</v>
      </c>
      <c r="AC1366" s="4">
        <v>19</v>
      </c>
      <c r="AD1366" s="4">
        <v>84</v>
      </c>
      <c r="AE1366" s="4">
        <v>141</v>
      </c>
      <c r="AF1366" s="4">
        <v>0</v>
      </c>
      <c r="AG1366" s="4">
        <v>8</v>
      </c>
      <c r="AH1366" s="4">
        <v>72</v>
      </c>
      <c r="AI1366" s="4">
        <v>99</v>
      </c>
      <c r="AJ1366" s="4">
        <v>18</v>
      </c>
      <c r="AK1366" s="4">
        <v>26</v>
      </c>
      <c r="AL1366" s="4">
        <v>46</v>
      </c>
      <c r="AM1366" s="4">
        <v>53</v>
      </c>
      <c r="AN1366" s="4">
        <v>0</v>
      </c>
      <c r="AO1366" s="4">
        <v>0</v>
      </c>
      <c r="AP1366" s="4">
        <v>19</v>
      </c>
      <c r="AQ1366" s="4">
        <v>50</v>
      </c>
      <c r="AR1366" s="3" t="s">
        <v>209</v>
      </c>
      <c r="AS1366" s="3" t="s">
        <v>65</v>
      </c>
      <c r="AT1366" s="3" t="s">
        <v>65</v>
      </c>
      <c r="AV1366" s="6" t="str">
        <f>HYPERLINK("http://mcgill.on.worldcat.org/oclc/718183858","Catalog Record")</f>
        <v>Catalog Record</v>
      </c>
      <c r="AW1366" s="6" t="str">
        <f>HYPERLINK("http://www.worldcat.org/oclc/718183858","WorldCat Record")</f>
        <v>WorldCat Record</v>
      </c>
      <c r="AX1366" s="3" t="s">
        <v>13493</v>
      </c>
      <c r="AY1366" s="3" t="s">
        <v>13494</v>
      </c>
      <c r="AZ1366" s="3" t="s">
        <v>13495</v>
      </c>
      <c r="BA1366" s="3" t="s">
        <v>13495</v>
      </c>
      <c r="BB1366" s="3" t="s">
        <v>13496</v>
      </c>
      <c r="BC1366" s="3" t="s">
        <v>77</v>
      </c>
      <c r="BD1366" s="3" t="s">
        <v>78</v>
      </c>
      <c r="BE1366" s="3" t="s">
        <v>13497</v>
      </c>
      <c r="BF1366" s="3" t="s">
        <v>13496</v>
      </c>
      <c r="BG1366" s="3" t="s">
        <v>13498</v>
      </c>
    </row>
    <row r="1367" spans="1:59" ht="58" x14ac:dyDescent="0.35">
      <c r="A1367" s="2" t="s">
        <v>59</v>
      </c>
      <c r="B1367" s="2" t="s">
        <v>60</v>
      </c>
      <c r="C1367" s="2" t="s">
        <v>13499</v>
      </c>
      <c r="D1367" s="2" t="s">
        <v>13500</v>
      </c>
      <c r="E1367" s="2" t="s">
        <v>13501</v>
      </c>
      <c r="G1367" s="3" t="s">
        <v>65</v>
      </c>
      <c r="I1367" s="3" t="s">
        <v>65</v>
      </c>
      <c r="J1367" s="3" t="s">
        <v>65</v>
      </c>
      <c r="K1367" s="3" t="s">
        <v>66</v>
      </c>
      <c r="L1367" s="2" t="s">
        <v>13502</v>
      </c>
      <c r="M1367" s="2" t="s">
        <v>13503</v>
      </c>
      <c r="N1367" s="3" t="s">
        <v>7187</v>
      </c>
      <c r="P1367" s="3" t="s">
        <v>69</v>
      </c>
      <c r="Q1367" s="2" t="s">
        <v>13504</v>
      </c>
      <c r="R1367" s="3" t="s">
        <v>71</v>
      </c>
      <c r="S1367" s="4">
        <v>10</v>
      </c>
      <c r="T1367" s="4">
        <v>10</v>
      </c>
      <c r="U1367" s="5" t="s">
        <v>13505</v>
      </c>
      <c r="V1367" s="5" t="s">
        <v>13505</v>
      </c>
      <c r="W1367" s="5" t="s">
        <v>72</v>
      </c>
      <c r="X1367" s="5" t="s">
        <v>72</v>
      </c>
      <c r="Y1367" s="4">
        <v>180</v>
      </c>
      <c r="Z1367" s="4">
        <v>17</v>
      </c>
      <c r="AA1367" s="4">
        <v>17</v>
      </c>
      <c r="AB1367" s="4">
        <v>2</v>
      </c>
      <c r="AC1367" s="4">
        <v>2</v>
      </c>
      <c r="AD1367" s="4">
        <v>84</v>
      </c>
      <c r="AE1367" s="4">
        <v>84</v>
      </c>
      <c r="AF1367" s="4">
        <v>1</v>
      </c>
      <c r="AG1367" s="4">
        <v>1</v>
      </c>
      <c r="AH1367" s="4">
        <v>76</v>
      </c>
      <c r="AI1367" s="4">
        <v>76</v>
      </c>
      <c r="AJ1367" s="4">
        <v>12</v>
      </c>
      <c r="AK1367" s="4">
        <v>12</v>
      </c>
      <c r="AL1367" s="4">
        <v>50</v>
      </c>
      <c r="AM1367" s="4">
        <v>50</v>
      </c>
      <c r="AN1367" s="4">
        <v>0</v>
      </c>
      <c r="AO1367" s="4">
        <v>0</v>
      </c>
      <c r="AP1367" s="4">
        <v>12</v>
      </c>
      <c r="AQ1367" s="4">
        <v>12</v>
      </c>
      <c r="AR1367" s="3" t="s">
        <v>65</v>
      </c>
      <c r="AS1367" s="3" t="s">
        <v>65</v>
      </c>
      <c r="AT1367" s="3" t="s">
        <v>65</v>
      </c>
      <c r="AV1367" s="6" t="str">
        <f>HYPERLINK("http://mcgill.on.worldcat.org/oclc/3584362","Catalog Record")</f>
        <v>Catalog Record</v>
      </c>
      <c r="AW1367" s="6" t="str">
        <f>HYPERLINK("http://www.worldcat.org/oclc/3584362","WorldCat Record")</f>
        <v>WorldCat Record</v>
      </c>
      <c r="AX1367" s="3" t="s">
        <v>13506</v>
      </c>
      <c r="AY1367" s="3" t="s">
        <v>13507</v>
      </c>
      <c r="AZ1367" s="3" t="s">
        <v>13508</v>
      </c>
      <c r="BA1367" s="3" t="s">
        <v>13508</v>
      </c>
      <c r="BB1367" s="3" t="s">
        <v>13509</v>
      </c>
      <c r="BC1367" s="3" t="s">
        <v>77</v>
      </c>
      <c r="BD1367" s="3" t="s">
        <v>78</v>
      </c>
      <c r="BF1367" s="3" t="s">
        <v>13509</v>
      </c>
      <c r="BG1367" s="3" t="s">
        <v>13510</v>
      </c>
    </row>
    <row r="1368" spans="1:59" ht="58" x14ac:dyDescent="0.35">
      <c r="A1368" s="2" t="s">
        <v>59</v>
      </c>
      <c r="B1368" s="2" t="s">
        <v>60</v>
      </c>
      <c r="C1368" s="2" t="s">
        <v>13511</v>
      </c>
      <c r="D1368" s="2" t="s">
        <v>13512</v>
      </c>
      <c r="E1368" s="2" t="s">
        <v>13513</v>
      </c>
      <c r="G1368" s="3" t="s">
        <v>65</v>
      </c>
      <c r="I1368" s="3" t="s">
        <v>65</v>
      </c>
      <c r="J1368" s="3" t="s">
        <v>65</v>
      </c>
      <c r="K1368" s="3" t="s">
        <v>66</v>
      </c>
      <c r="L1368" s="2" t="s">
        <v>13514</v>
      </c>
      <c r="M1368" s="2" t="s">
        <v>13515</v>
      </c>
      <c r="N1368" s="3" t="s">
        <v>113</v>
      </c>
      <c r="P1368" s="3" t="s">
        <v>140</v>
      </c>
      <c r="Q1368" s="2" t="s">
        <v>13516</v>
      </c>
      <c r="R1368" s="3" t="s">
        <v>71</v>
      </c>
      <c r="S1368" s="4">
        <v>0</v>
      </c>
      <c r="T1368" s="4">
        <v>0</v>
      </c>
      <c r="W1368" s="5" t="s">
        <v>72</v>
      </c>
      <c r="X1368" s="5" t="s">
        <v>72</v>
      </c>
      <c r="Y1368" s="4">
        <v>40</v>
      </c>
      <c r="Z1368" s="4">
        <v>2</v>
      </c>
      <c r="AA1368" s="4">
        <v>5</v>
      </c>
      <c r="AB1368" s="4">
        <v>1</v>
      </c>
      <c r="AC1368" s="4">
        <v>1</v>
      </c>
      <c r="AD1368" s="4">
        <v>28</v>
      </c>
      <c r="AE1368" s="4">
        <v>29</v>
      </c>
      <c r="AF1368" s="4">
        <v>0</v>
      </c>
      <c r="AG1368" s="4">
        <v>0</v>
      </c>
      <c r="AH1368" s="4">
        <v>27</v>
      </c>
      <c r="AI1368" s="4">
        <v>28</v>
      </c>
      <c r="AJ1368" s="4">
        <v>1</v>
      </c>
      <c r="AK1368" s="4">
        <v>2</v>
      </c>
      <c r="AL1368" s="4">
        <v>22</v>
      </c>
      <c r="AM1368" s="4">
        <v>23</v>
      </c>
      <c r="AN1368" s="4">
        <v>0</v>
      </c>
      <c r="AO1368" s="4">
        <v>0</v>
      </c>
      <c r="AP1368" s="4">
        <v>1</v>
      </c>
      <c r="AQ1368" s="4">
        <v>2</v>
      </c>
      <c r="AR1368" s="3" t="s">
        <v>65</v>
      </c>
      <c r="AS1368" s="3" t="s">
        <v>65</v>
      </c>
      <c r="AT1368" s="3" t="s">
        <v>65</v>
      </c>
      <c r="AV1368" s="6" t="str">
        <f>HYPERLINK("http://mcgill.on.worldcat.org/oclc/712111831","Catalog Record")</f>
        <v>Catalog Record</v>
      </c>
      <c r="AW1368" s="6" t="str">
        <f>HYPERLINK("http://www.worldcat.org/oclc/712111831","WorldCat Record")</f>
        <v>WorldCat Record</v>
      </c>
      <c r="AX1368" s="3" t="s">
        <v>13517</v>
      </c>
      <c r="AY1368" s="3" t="s">
        <v>13518</v>
      </c>
      <c r="AZ1368" s="3" t="s">
        <v>13519</v>
      </c>
      <c r="BA1368" s="3" t="s">
        <v>13519</v>
      </c>
      <c r="BB1368" s="3" t="s">
        <v>13520</v>
      </c>
      <c r="BC1368" s="3" t="s">
        <v>5567</v>
      </c>
      <c r="BD1368" s="3" t="s">
        <v>78</v>
      </c>
      <c r="BE1368" s="3" t="s">
        <v>13521</v>
      </c>
      <c r="BF1368" s="3" t="s">
        <v>13520</v>
      </c>
      <c r="BG1368" s="3" t="s">
        <v>13522</v>
      </c>
    </row>
    <row r="1369" spans="1:59" ht="58" x14ac:dyDescent="0.35">
      <c r="A1369" s="2" t="s">
        <v>59</v>
      </c>
      <c r="B1369" s="2" t="s">
        <v>60</v>
      </c>
      <c r="C1369" s="2" t="s">
        <v>13523</v>
      </c>
      <c r="D1369" s="2" t="s">
        <v>13524</v>
      </c>
      <c r="E1369" s="2" t="s">
        <v>13525</v>
      </c>
      <c r="G1369" s="3" t="s">
        <v>65</v>
      </c>
      <c r="I1369" s="3" t="s">
        <v>209</v>
      </c>
      <c r="J1369" s="3" t="s">
        <v>65</v>
      </c>
      <c r="K1369" s="3" t="s">
        <v>66</v>
      </c>
      <c r="L1369" s="2" t="s">
        <v>13526</v>
      </c>
      <c r="M1369" s="2" t="s">
        <v>13527</v>
      </c>
      <c r="N1369" s="3" t="s">
        <v>2750</v>
      </c>
      <c r="P1369" s="3" t="s">
        <v>69</v>
      </c>
      <c r="R1369" s="3" t="s">
        <v>71</v>
      </c>
      <c r="S1369" s="4">
        <v>8</v>
      </c>
      <c r="T1369" s="4">
        <v>34</v>
      </c>
      <c r="U1369" s="5" t="s">
        <v>3065</v>
      </c>
      <c r="V1369" s="5" t="s">
        <v>3065</v>
      </c>
      <c r="W1369" s="5" t="s">
        <v>72</v>
      </c>
      <c r="X1369" s="5" t="s">
        <v>72</v>
      </c>
      <c r="Y1369" s="4">
        <v>569</v>
      </c>
      <c r="Z1369" s="4">
        <v>32</v>
      </c>
      <c r="AA1369" s="4">
        <v>32</v>
      </c>
      <c r="AB1369" s="4">
        <v>3</v>
      </c>
      <c r="AC1369" s="4">
        <v>3</v>
      </c>
      <c r="AD1369" s="4">
        <v>112</v>
      </c>
      <c r="AE1369" s="4">
        <v>113</v>
      </c>
      <c r="AF1369" s="4">
        <v>2</v>
      </c>
      <c r="AG1369" s="4">
        <v>2</v>
      </c>
      <c r="AH1369" s="4">
        <v>97</v>
      </c>
      <c r="AI1369" s="4">
        <v>98</v>
      </c>
      <c r="AJ1369" s="4">
        <v>16</v>
      </c>
      <c r="AK1369" s="4">
        <v>16</v>
      </c>
      <c r="AL1369" s="4">
        <v>52</v>
      </c>
      <c r="AM1369" s="4">
        <v>52</v>
      </c>
      <c r="AN1369" s="4">
        <v>0</v>
      </c>
      <c r="AO1369" s="4">
        <v>0</v>
      </c>
      <c r="AP1369" s="4">
        <v>23</v>
      </c>
      <c r="AQ1369" s="4">
        <v>23</v>
      </c>
      <c r="AR1369" s="3" t="s">
        <v>65</v>
      </c>
      <c r="AS1369" s="3" t="s">
        <v>65</v>
      </c>
      <c r="AT1369" s="3" t="s">
        <v>209</v>
      </c>
      <c r="AU1369" s="6" t="str">
        <f>HYPERLINK("http://catalog.hathitrust.org/Record/000166743","HathiTrust Record")</f>
        <v>HathiTrust Record</v>
      </c>
      <c r="AV1369" s="6" t="str">
        <f>HYPERLINK("http://mcgill.on.worldcat.org/oclc/1323608","Catalog Record")</f>
        <v>Catalog Record</v>
      </c>
      <c r="AW1369" s="6" t="str">
        <f>HYPERLINK("http://www.worldcat.org/oclc/1323608","WorldCat Record")</f>
        <v>WorldCat Record</v>
      </c>
      <c r="AX1369" s="3" t="s">
        <v>13528</v>
      </c>
      <c r="AY1369" s="3" t="s">
        <v>13529</v>
      </c>
      <c r="AZ1369" s="3" t="s">
        <v>13530</v>
      </c>
      <c r="BA1369" s="3" t="s">
        <v>13530</v>
      </c>
      <c r="BB1369" s="3" t="s">
        <v>13531</v>
      </c>
      <c r="BC1369" s="3" t="s">
        <v>77</v>
      </c>
      <c r="BD1369" s="3" t="s">
        <v>78</v>
      </c>
      <c r="BE1369" s="3" t="s">
        <v>13532</v>
      </c>
      <c r="BF1369" s="3" t="s">
        <v>13531</v>
      </c>
      <c r="BG1369" s="3" t="s">
        <v>13533</v>
      </c>
    </row>
    <row r="1370" spans="1:59" ht="58" x14ac:dyDescent="0.35">
      <c r="A1370" s="2" t="s">
        <v>59</v>
      </c>
      <c r="B1370" s="2" t="s">
        <v>60</v>
      </c>
      <c r="C1370" s="2" t="s">
        <v>13523</v>
      </c>
      <c r="D1370" s="2" t="s">
        <v>13524</v>
      </c>
      <c r="E1370" s="2" t="s">
        <v>13525</v>
      </c>
      <c r="G1370" s="3" t="s">
        <v>65</v>
      </c>
      <c r="I1370" s="3" t="s">
        <v>209</v>
      </c>
      <c r="J1370" s="3" t="s">
        <v>65</v>
      </c>
      <c r="K1370" s="3" t="s">
        <v>66</v>
      </c>
      <c r="L1370" s="2" t="s">
        <v>13526</v>
      </c>
      <c r="M1370" s="2" t="s">
        <v>13527</v>
      </c>
      <c r="N1370" s="3" t="s">
        <v>2750</v>
      </c>
      <c r="P1370" s="3" t="s">
        <v>69</v>
      </c>
      <c r="R1370" s="3" t="s">
        <v>71</v>
      </c>
      <c r="S1370" s="4">
        <v>26</v>
      </c>
      <c r="T1370" s="4">
        <v>34</v>
      </c>
      <c r="U1370" s="5" t="s">
        <v>13534</v>
      </c>
      <c r="V1370" s="5" t="s">
        <v>3065</v>
      </c>
      <c r="W1370" s="5" t="s">
        <v>72</v>
      </c>
      <c r="X1370" s="5" t="s">
        <v>72</v>
      </c>
      <c r="Y1370" s="4">
        <v>569</v>
      </c>
      <c r="Z1370" s="4">
        <v>32</v>
      </c>
      <c r="AA1370" s="4">
        <v>32</v>
      </c>
      <c r="AB1370" s="4">
        <v>3</v>
      </c>
      <c r="AC1370" s="4">
        <v>3</v>
      </c>
      <c r="AD1370" s="4">
        <v>112</v>
      </c>
      <c r="AE1370" s="4">
        <v>113</v>
      </c>
      <c r="AF1370" s="4">
        <v>2</v>
      </c>
      <c r="AG1370" s="4">
        <v>2</v>
      </c>
      <c r="AH1370" s="4">
        <v>97</v>
      </c>
      <c r="AI1370" s="4">
        <v>98</v>
      </c>
      <c r="AJ1370" s="4">
        <v>16</v>
      </c>
      <c r="AK1370" s="4">
        <v>16</v>
      </c>
      <c r="AL1370" s="4">
        <v>52</v>
      </c>
      <c r="AM1370" s="4">
        <v>52</v>
      </c>
      <c r="AN1370" s="4">
        <v>0</v>
      </c>
      <c r="AO1370" s="4">
        <v>0</v>
      </c>
      <c r="AP1370" s="4">
        <v>23</v>
      </c>
      <c r="AQ1370" s="4">
        <v>23</v>
      </c>
      <c r="AR1370" s="3" t="s">
        <v>65</v>
      </c>
      <c r="AS1370" s="3" t="s">
        <v>65</v>
      </c>
      <c r="AT1370" s="3" t="s">
        <v>209</v>
      </c>
      <c r="AU1370" s="6" t="str">
        <f>HYPERLINK("http://catalog.hathitrust.org/Record/000166743","HathiTrust Record")</f>
        <v>HathiTrust Record</v>
      </c>
      <c r="AV1370" s="6" t="str">
        <f>HYPERLINK("http://mcgill.on.worldcat.org/oclc/1323608","Catalog Record")</f>
        <v>Catalog Record</v>
      </c>
      <c r="AW1370" s="6" t="str">
        <f>HYPERLINK("http://www.worldcat.org/oclc/1323608","WorldCat Record")</f>
        <v>WorldCat Record</v>
      </c>
      <c r="AX1370" s="3" t="s">
        <v>13528</v>
      </c>
      <c r="AY1370" s="3" t="s">
        <v>13529</v>
      </c>
      <c r="AZ1370" s="3" t="s">
        <v>13530</v>
      </c>
      <c r="BA1370" s="3" t="s">
        <v>13530</v>
      </c>
      <c r="BB1370" s="3" t="s">
        <v>13535</v>
      </c>
      <c r="BC1370" s="3" t="s">
        <v>77</v>
      </c>
      <c r="BD1370" s="3" t="s">
        <v>78</v>
      </c>
      <c r="BE1370" s="3" t="s">
        <v>13532</v>
      </c>
      <c r="BF1370" s="3" t="s">
        <v>13535</v>
      </c>
      <c r="BG1370" s="3" t="s">
        <v>13536</v>
      </c>
    </row>
    <row r="1371" spans="1:59" ht="58" x14ac:dyDescent="0.35">
      <c r="A1371" s="2" t="s">
        <v>59</v>
      </c>
      <c r="B1371" s="2" t="s">
        <v>60</v>
      </c>
      <c r="C1371" s="2" t="s">
        <v>13537</v>
      </c>
      <c r="D1371" s="2" t="s">
        <v>13538</v>
      </c>
      <c r="E1371" s="2" t="s">
        <v>13539</v>
      </c>
      <c r="G1371" s="3" t="s">
        <v>65</v>
      </c>
      <c r="I1371" s="3" t="s">
        <v>65</v>
      </c>
      <c r="J1371" s="3" t="s">
        <v>65</v>
      </c>
      <c r="K1371" s="3" t="s">
        <v>66</v>
      </c>
      <c r="L1371" s="2" t="s">
        <v>13540</v>
      </c>
      <c r="M1371" s="2" t="s">
        <v>13541</v>
      </c>
      <c r="N1371" s="3" t="s">
        <v>113</v>
      </c>
      <c r="P1371" s="3" t="s">
        <v>140</v>
      </c>
      <c r="Q1371" s="2" t="s">
        <v>13542</v>
      </c>
      <c r="R1371" s="3" t="s">
        <v>71</v>
      </c>
      <c r="S1371" s="4">
        <v>0</v>
      </c>
      <c r="T1371" s="4">
        <v>0</v>
      </c>
      <c r="W1371" s="5" t="s">
        <v>72</v>
      </c>
      <c r="X1371" s="5" t="s">
        <v>72</v>
      </c>
      <c r="Y1371" s="4">
        <v>43</v>
      </c>
      <c r="Z1371" s="4">
        <v>3</v>
      </c>
      <c r="AA1371" s="4">
        <v>3</v>
      </c>
      <c r="AB1371" s="4">
        <v>1</v>
      </c>
      <c r="AC1371" s="4">
        <v>1</v>
      </c>
      <c r="AD1371" s="4">
        <v>25</v>
      </c>
      <c r="AE1371" s="4">
        <v>25</v>
      </c>
      <c r="AF1371" s="4">
        <v>0</v>
      </c>
      <c r="AG1371" s="4">
        <v>0</v>
      </c>
      <c r="AH1371" s="4">
        <v>24</v>
      </c>
      <c r="AI1371" s="4">
        <v>24</v>
      </c>
      <c r="AJ1371" s="4">
        <v>1</v>
      </c>
      <c r="AK1371" s="4">
        <v>1</v>
      </c>
      <c r="AL1371" s="4">
        <v>20</v>
      </c>
      <c r="AM1371" s="4">
        <v>20</v>
      </c>
      <c r="AN1371" s="4">
        <v>0</v>
      </c>
      <c r="AO1371" s="4">
        <v>0</v>
      </c>
      <c r="AP1371" s="4">
        <v>1</v>
      </c>
      <c r="AQ1371" s="4">
        <v>1</v>
      </c>
      <c r="AR1371" s="3" t="s">
        <v>65</v>
      </c>
      <c r="AS1371" s="3" t="s">
        <v>65</v>
      </c>
      <c r="AT1371" s="3" t="s">
        <v>65</v>
      </c>
      <c r="AV1371" s="6" t="str">
        <f>HYPERLINK("http://mcgill.on.worldcat.org/oclc/701206991","Catalog Record")</f>
        <v>Catalog Record</v>
      </c>
      <c r="AW1371" s="6" t="str">
        <f>HYPERLINK("http://www.worldcat.org/oclc/701206991","WorldCat Record")</f>
        <v>WorldCat Record</v>
      </c>
      <c r="AX1371" s="3" t="s">
        <v>13543</v>
      </c>
      <c r="AY1371" s="3" t="s">
        <v>13544</v>
      </c>
      <c r="AZ1371" s="3" t="s">
        <v>13545</v>
      </c>
      <c r="BA1371" s="3" t="s">
        <v>13545</v>
      </c>
      <c r="BB1371" s="3" t="s">
        <v>13546</v>
      </c>
      <c r="BC1371" s="3" t="s">
        <v>77</v>
      </c>
      <c r="BD1371" s="3" t="s">
        <v>78</v>
      </c>
      <c r="BE1371" s="3" t="s">
        <v>13547</v>
      </c>
      <c r="BF1371" s="3" t="s">
        <v>13546</v>
      </c>
      <c r="BG1371" s="3" t="s">
        <v>13548</v>
      </c>
    </row>
    <row r="1372" spans="1:59" ht="58" x14ac:dyDescent="0.35">
      <c r="A1372" s="2" t="s">
        <v>59</v>
      </c>
      <c r="B1372" s="2" t="s">
        <v>60</v>
      </c>
      <c r="C1372" s="2" t="s">
        <v>13549</v>
      </c>
      <c r="D1372" s="2" t="s">
        <v>13550</v>
      </c>
      <c r="E1372" s="2" t="s">
        <v>13551</v>
      </c>
      <c r="G1372" s="3" t="s">
        <v>65</v>
      </c>
      <c r="I1372" s="3" t="s">
        <v>65</v>
      </c>
      <c r="J1372" s="3" t="s">
        <v>65</v>
      </c>
      <c r="K1372" s="3" t="s">
        <v>66</v>
      </c>
      <c r="L1372" s="2" t="s">
        <v>13552</v>
      </c>
      <c r="M1372" s="2" t="s">
        <v>13553</v>
      </c>
      <c r="N1372" s="3" t="s">
        <v>68</v>
      </c>
      <c r="P1372" s="3" t="s">
        <v>140</v>
      </c>
      <c r="Q1372" s="2" t="s">
        <v>13554</v>
      </c>
      <c r="R1372" s="3" t="s">
        <v>71</v>
      </c>
      <c r="S1372" s="4">
        <v>0</v>
      </c>
      <c r="T1372" s="4">
        <v>0</v>
      </c>
      <c r="W1372" s="5" t="s">
        <v>72</v>
      </c>
      <c r="X1372" s="5" t="s">
        <v>72</v>
      </c>
      <c r="Y1372" s="4">
        <v>29</v>
      </c>
      <c r="Z1372" s="4">
        <v>1</v>
      </c>
      <c r="AA1372" s="4">
        <v>1</v>
      </c>
      <c r="AB1372" s="4">
        <v>1</v>
      </c>
      <c r="AC1372" s="4">
        <v>1</v>
      </c>
      <c r="AD1372" s="4">
        <v>16</v>
      </c>
      <c r="AE1372" s="4">
        <v>16</v>
      </c>
      <c r="AF1372" s="4">
        <v>0</v>
      </c>
      <c r="AG1372" s="4">
        <v>0</v>
      </c>
      <c r="AH1372" s="4">
        <v>15</v>
      </c>
      <c r="AI1372" s="4">
        <v>15</v>
      </c>
      <c r="AJ1372" s="4">
        <v>0</v>
      </c>
      <c r="AK1372" s="4">
        <v>0</v>
      </c>
      <c r="AL1372" s="4">
        <v>13</v>
      </c>
      <c r="AM1372" s="4">
        <v>13</v>
      </c>
      <c r="AN1372" s="4">
        <v>0</v>
      </c>
      <c r="AO1372" s="4">
        <v>0</v>
      </c>
      <c r="AP1372" s="4">
        <v>0</v>
      </c>
      <c r="AQ1372" s="4">
        <v>0</v>
      </c>
      <c r="AR1372" s="3" t="s">
        <v>65</v>
      </c>
      <c r="AS1372" s="3" t="s">
        <v>65</v>
      </c>
      <c r="AT1372" s="3" t="s">
        <v>65</v>
      </c>
      <c r="AV1372" s="6" t="str">
        <f>HYPERLINK("http://mcgill.on.worldcat.org/oclc/981211125","Catalog Record")</f>
        <v>Catalog Record</v>
      </c>
      <c r="AW1372" s="6" t="str">
        <f>HYPERLINK("http://www.worldcat.org/oclc/981211125","WorldCat Record")</f>
        <v>WorldCat Record</v>
      </c>
      <c r="AX1372" s="3" t="s">
        <v>13555</v>
      </c>
      <c r="AY1372" s="3" t="s">
        <v>13556</v>
      </c>
      <c r="AZ1372" s="3" t="s">
        <v>13557</v>
      </c>
      <c r="BA1372" s="3" t="s">
        <v>13557</v>
      </c>
      <c r="BB1372" s="3" t="s">
        <v>13558</v>
      </c>
      <c r="BC1372" s="3" t="s">
        <v>77</v>
      </c>
      <c r="BD1372" s="3" t="s">
        <v>78</v>
      </c>
      <c r="BE1372" s="3" t="s">
        <v>13559</v>
      </c>
      <c r="BF1372" s="3" t="s">
        <v>13558</v>
      </c>
      <c r="BG1372" s="3" t="s">
        <v>13560</v>
      </c>
    </row>
    <row r="1373" spans="1:59" ht="72.5" x14ac:dyDescent="0.35">
      <c r="A1373" s="2" t="s">
        <v>59</v>
      </c>
      <c r="B1373" s="2" t="s">
        <v>60</v>
      </c>
      <c r="C1373" s="2" t="s">
        <v>13561</v>
      </c>
      <c r="D1373" s="2" t="s">
        <v>13562</v>
      </c>
      <c r="E1373" s="2" t="s">
        <v>13563</v>
      </c>
      <c r="G1373" s="3" t="s">
        <v>65</v>
      </c>
      <c r="I1373" s="3" t="s">
        <v>65</v>
      </c>
      <c r="J1373" s="3" t="s">
        <v>65</v>
      </c>
      <c r="K1373" s="3" t="s">
        <v>66</v>
      </c>
      <c r="L1373" s="2" t="s">
        <v>13564</v>
      </c>
      <c r="M1373" s="2" t="s">
        <v>13565</v>
      </c>
      <c r="N1373" s="3" t="s">
        <v>126</v>
      </c>
      <c r="P1373" s="3" t="s">
        <v>140</v>
      </c>
      <c r="Q1373" s="2" t="s">
        <v>13566</v>
      </c>
      <c r="R1373" s="3" t="s">
        <v>71</v>
      </c>
      <c r="S1373" s="4">
        <v>0</v>
      </c>
      <c r="T1373" s="4">
        <v>0</v>
      </c>
      <c r="W1373" s="5" t="s">
        <v>72</v>
      </c>
      <c r="X1373" s="5" t="s">
        <v>72</v>
      </c>
      <c r="Y1373" s="4">
        <v>52</v>
      </c>
      <c r="Z1373" s="4">
        <v>6</v>
      </c>
      <c r="AA1373" s="4">
        <v>6</v>
      </c>
      <c r="AB1373" s="4">
        <v>1</v>
      </c>
      <c r="AC1373" s="4">
        <v>1</v>
      </c>
      <c r="AD1373" s="4">
        <v>36</v>
      </c>
      <c r="AE1373" s="4">
        <v>36</v>
      </c>
      <c r="AF1373" s="4">
        <v>0</v>
      </c>
      <c r="AG1373" s="4">
        <v>0</v>
      </c>
      <c r="AH1373" s="4">
        <v>35</v>
      </c>
      <c r="AI1373" s="4">
        <v>35</v>
      </c>
      <c r="AJ1373" s="4">
        <v>3</v>
      </c>
      <c r="AK1373" s="4">
        <v>3</v>
      </c>
      <c r="AL1373" s="4">
        <v>29</v>
      </c>
      <c r="AM1373" s="4">
        <v>29</v>
      </c>
      <c r="AN1373" s="4">
        <v>0</v>
      </c>
      <c r="AO1373" s="4">
        <v>0</v>
      </c>
      <c r="AP1373" s="4">
        <v>3</v>
      </c>
      <c r="AQ1373" s="4">
        <v>3</v>
      </c>
      <c r="AR1373" s="3" t="s">
        <v>65</v>
      </c>
      <c r="AS1373" s="3" t="s">
        <v>65</v>
      </c>
      <c r="AT1373" s="3" t="s">
        <v>65</v>
      </c>
      <c r="AV1373" s="6" t="str">
        <f>HYPERLINK("http://mcgill.on.worldcat.org/oclc/724303779","Catalog Record")</f>
        <v>Catalog Record</v>
      </c>
      <c r="AW1373" s="6" t="str">
        <f>HYPERLINK("http://www.worldcat.org/oclc/724303779","WorldCat Record")</f>
        <v>WorldCat Record</v>
      </c>
      <c r="AX1373" s="3" t="s">
        <v>13567</v>
      </c>
      <c r="AY1373" s="3" t="s">
        <v>13568</v>
      </c>
      <c r="AZ1373" s="3" t="s">
        <v>13569</v>
      </c>
      <c r="BA1373" s="3" t="s">
        <v>13569</v>
      </c>
      <c r="BB1373" s="3" t="s">
        <v>13570</v>
      </c>
      <c r="BC1373" s="3" t="s">
        <v>77</v>
      </c>
      <c r="BD1373" s="3" t="s">
        <v>78</v>
      </c>
      <c r="BE1373" s="3" t="s">
        <v>13571</v>
      </c>
      <c r="BF1373" s="3" t="s">
        <v>13570</v>
      </c>
      <c r="BG1373" s="3" t="s">
        <v>13572</v>
      </c>
    </row>
    <row r="1374" spans="1:59" ht="58" x14ac:dyDescent="0.35">
      <c r="A1374" s="2" t="s">
        <v>59</v>
      </c>
      <c r="B1374" s="2" t="s">
        <v>60</v>
      </c>
      <c r="C1374" s="2" t="s">
        <v>13573</v>
      </c>
      <c r="D1374" s="2" t="s">
        <v>13574</v>
      </c>
      <c r="E1374" s="2" t="s">
        <v>13575</v>
      </c>
      <c r="G1374" s="3" t="s">
        <v>65</v>
      </c>
      <c r="I1374" s="3" t="s">
        <v>65</v>
      </c>
      <c r="J1374" s="3" t="s">
        <v>65</v>
      </c>
      <c r="K1374" s="3" t="s">
        <v>66</v>
      </c>
      <c r="M1374" s="2" t="s">
        <v>13576</v>
      </c>
      <c r="N1374" s="3" t="s">
        <v>1085</v>
      </c>
      <c r="P1374" s="3" t="s">
        <v>69</v>
      </c>
      <c r="Q1374" s="2" t="s">
        <v>13577</v>
      </c>
      <c r="R1374" s="3" t="s">
        <v>71</v>
      </c>
      <c r="S1374" s="4">
        <v>5</v>
      </c>
      <c r="T1374" s="4">
        <v>5</v>
      </c>
      <c r="U1374" s="5" t="s">
        <v>10352</v>
      </c>
      <c r="V1374" s="5" t="s">
        <v>10352</v>
      </c>
      <c r="W1374" s="5" t="s">
        <v>72</v>
      </c>
      <c r="X1374" s="5" t="s">
        <v>72</v>
      </c>
      <c r="Y1374" s="4">
        <v>205</v>
      </c>
      <c r="Z1374" s="4">
        <v>15</v>
      </c>
      <c r="AA1374" s="4">
        <v>22</v>
      </c>
      <c r="AB1374" s="4">
        <v>1</v>
      </c>
      <c r="AC1374" s="4">
        <v>4</v>
      </c>
      <c r="AD1374" s="4">
        <v>92</v>
      </c>
      <c r="AE1374" s="4">
        <v>98</v>
      </c>
      <c r="AF1374" s="4">
        <v>0</v>
      </c>
      <c r="AG1374" s="4">
        <v>0</v>
      </c>
      <c r="AH1374" s="4">
        <v>85</v>
      </c>
      <c r="AI1374" s="4">
        <v>90</v>
      </c>
      <c r="AJ1374" s="4">
        <v>10</v>
      </c>
      <c r="AK1374" s="4">
        <v>12</v>
      </c>
      <c r="AL1374" s="4">
        <v>50</v>
      </c>
      <c r="AM1374" s="4">
        <v>52</v>
      </c>
      <c r="AN1374" s="4">
        <v>0</v>
      </c>
      <c r="AO1374" s="4">
        <v>0</v>
      </c>
      <c r="AP1374" s="4">
        <v>10</v>
      </c>
      <c r="AQ1374" s="4">
        <v>13</v>
      </c>
      <c r="AR1374" s="3" t="s">
        <v>65</v>
      </c>
      <c r="AS1374" s="3" t="s">
        <v>65</v>
      </c>
      <c r="AT1374" s="3" t="s">
        <v>209</v>
      </c>
      <c r="AU1374" s="6" t="str">
        <f>HYPERLINK("http://catalog.hathitrust.org/Record/003188097","HathiTrust Record")</f>
        <v>HathiTrust Record</v>
      </c>
      <c r="AV1374" s="6" t="str">
        <f>HYPERLINK("http://mcgill.on.worldcat.org/oclc/33818826","Catalog Record")</f>
        <v>Catalog Record</v>
      </c>
      <c r="AW1374" s="6" t="str">
        <f>HYPERLINK("http://www.worldcat.org/oclc/33818826","WorldCat Record")</f>
        <v>WorldCat Record</v>
      </c>
      <c r="AX1374" s="3" t="s">
        <v>13578</v>
      </c>
      <c r="AY1374" s="3" t="s">
        <v>13579</v>
      </c>
      <c r="AZ1374" s="3" t="s">
        <v>13580</v>
      </c>
      <c r="BA1374" s="3" t="s">
        <v>13580</v>
      </c>
      <c r="BB1374" s="3" t="s">
        <v>13581</v>
      </c>
      <c r="BC1374" s="3" t="s">
        <v>77</v>
      </c>
      <c r="BD1374" s="3" t="s">
        <v>78</v>
      </c>
      <c r="BE1374" s="3" t="s">
        <v>13582</v>
      </c>
      <c r="BF1374" s="3" t="s">
        <v>13581</v>
      </c>
      <c r="BG1374" s="3" t="s">
        <v>13583</v>
      </c>
    </row>
    <row r="1375" spans="1:59" ht="58" x14ac:dyDescent="0.35">
      <c r="A1375" s="2" t="s">
        <v>59</v>
      </c>
      <c r="B1375" s="2" t="s">
        <v>60</v>
      </c>
      <c r="C1375" s="2" t="s">
        <v>13584</v>
      </c>
      <c r="D1375" s="2" t="s">
        <v>13585</v>
      </c>
      <c r="E1375" s="2" t="s">
        <v>13586</v>
      </c>
      <c r="G1375" s="3" t="s">
        <v>65</v>
      </c>
      <c r="I1375" s="3" t="s">
        <v>65</v>
      </c>
      <c r="J1375" s="3" t="s">
        <v>65</v>
      </c>
      <c r="K1375" s="3" t="s">
        <v>66</v>
      </c>
      <c r="L1375" s="2" t="s">
        <v>13587</v>
      </c>
      <c r="M1375" s="2" t="s">
        <v>13588</v>
      </c>
      <c r="N1375" s="3" t="s">
        <v>113</v>
      </c>
      <c r="P1375" s="3" t="s">
        <v>616</v>
      </c>
      <c r="Q1375" s="2" t="s">
        <v>13589</v>
      </c>
      <c r="R1375" s="3" t="s">
        <v>71</v>
      </c>
      <c r="S1375" s="4">
        <v>0</v>
      </c>
      <c r="T1375" s="4">
        <v>0</v>
      </c>
      <c r="W1375" s="5" t="s">
        <v>72</v>
      </c>
      <c r="X1375" s="5" t="s">
        <v>72</v>
      </c>
      <c r="Y1375" s="4">
        <v>26</v>
      </c>
      <c r="Z1375" s="4">
        <v>4</v>
      </c>
      <c r="AA1375" s="4">
        <v>4</v>
      </c>
      <c r="AB1375" s="4">
        <v>1</v>
      </c>
      <c r="AC1375" s="4">
        <v>1</v>
      </c>
      <c r="AD1375" s="4">
        <v>14</v>
      </c>
      <c r="AE1375" s="4">
        <v>14</v>
      </c>
      <c r="AF1375" s="4">
        <v>0</v>
      </c>
      <c r="AG1375" s="4">
        <v>0</v>
      </c>
      <c r="AH1375" s="4">
        <v>12</v>
      </c>
      <c r="AI1375" s="4">
        <v>12</v>
      </c>
      <c r="AJ1375" s="4">
        <v>2</v>
      </c>
      <c r="AK1375" s="4">
        <v>2</v>
      </c>
      <c r="AL1375" s="4">
        <v>11</v>
      </c>
      <c r="AM1375" s="4">
        <v>11</v>
      </c>
      <c r="AN1375" s="4">
        <v>0</v>
      </c>
      <c r="AO1375" s="4">
        <v>0</v>
      </c>
      <c r="AP1375" s="4">
        <v>2</v>
      </c>
      <c r="AQ1375" s="4">
        <v>2</v>
      </c>
      <c r="AR1375" s="3" t="s">
        <v>65</v>
      </c>
      <c r="AS1375" s="3" t="s">
        <v>65</v>
      </c>
      <c r="AT1375" s="3" t="s">
        <v>65</v>
      </c>
      <c r="AV1375" s="6" t="str">
        <f>HYPERLINK("http://mcgill.on.worldcat.org/oclc/632164601","Catalog Record")</f>
        <v>Catalog Record</v>
      </c>
      <c r="AW1375" s="6" t="str">
        <f>HYPERLINK("http://www.worldcat.org/oclc/632164601","WorldCat Record")</f>
        <v>WorldCat Record</v>
      </c>
      <c r="AX1375" s="3" t="s">
        <v>13590</v>
      </c>
      <c r="AY1375" s="3" t="s">
        <v>13591</v>
      </c>
      <c r="AZ1375" s="3" t="s">
        <v>13592</v>
      </c>
      <c r="BA1375" s="3" t="s">
        <v>13592</v>
      </c>
      <c r="BB1375" s="3" t="s">
        <v>13593</v>
      </c>
      <c r="BC1375" s="3" t="s">
        <v>77</v>
      </c>
      <c r="BD1375" s="3" t="s">
        <v>78</v>
      </c>
      <c r="BE1375" s="3" t="s">
        <v>13594</v>
      </c>
      <c r="BF1375" s="3" t="s">
        <v>13593</v>
      </c>
      <c r="BG1375" s="3" t="s">
        <v>13595</v>
      </c>
    </row>
    <row r="1376" spans="1:59" ht="58" x14ac:dyDescent="0.35">
      <c r="A1376" s="2" t="s">
        <v>59</v>
      </c>
      <c r="B1376" s="2" t="s">
        <v>60</v>
      </c>
      <c r="C1376" s="2" t="s">
        <v>13596</v>
      </c>
      <c r="D1376" s="2" t="s">
        <v>13597</v>
      </c>
      <c r="E1376" s="2" t="s">
        <v>13598</v>
      </c>
      <c r="G1376" s="3" t="s">
        <v>65</v>
      </c>
      <c r="I1376" s="3" t="s">
        <v>65</v>
      </c>
      <c r="J1376" s="3" t="s">
        <v>65</v>
      </c>
      <c r="K1376" s="3" t="s">
        <v>66</v>
      </c>
      <c r="L1376" s="2" t="s">
        <v>13599</v>
      </c>
      <c r="M1376" s="2" t="s">
        <v>13600</v>
      </c>
      <c r="N1376" s="3" t="s">
        <v>2210</v>
      </c>
      <c r="P1376" s="3" t="s">
        <v>140</v>
      </c>
      <c r="Q1376" s="2" t="s">
        <v>13601</v>
      </c>
      <c r="R1376" s="3" t="s">
        <v>71</v>
      </c>
      <c r="S1376" s="4">
        <v>3</v>
      </c>
      <c r="T1376" s="4">
        <v>3</v>
      </c>
      <c r="U1376" s="5" t="s">
        <v>13602</v>
      </c>
      <c r="V1376" s="5" t="s">
        <v>13602</v>
      </c>
      <c r="W1376" s="5" t="s">
        <v>72</v>
      </c>
      <c r="X1376" s="5" t="s">
        <v>72</v>
      </c>
      <c r="Y1376" s="4">
        <v>73</v>
      </c>
      <c r="Z1376" s="4">
        <v>6</v>
      </c>
      <c r="AA1376" s="4">
        <v>6</v>
      </c>
      <c r="AB1376" s="4">
        <v>2</v>
      </c>
      <c r="AC1376" s="4">
        <v>2</v>
      </c>
      <c r="AD1376" s="4">
        <v>45</v>
      </c>
      <c r="AE1376" s="4">
        <v>45</v>
      </c>
      <c r="AF1376" s="4">
        <v>0</v>
      </c>
      <c r="AG1376" s="4">
        <v>0</v>
      </c>
      <c r="AH1376" s="4">
        <v>43</v>
      </c>
      <c r="AI1376" s="4">
        <v>43</v>
      </c>
      <c r="AJ1376" s="4">
        <v>3</v>
      </c>
      <c r="AK1376" s="4">
        <v>3</v>
      </c>
      <c r="AL1376" s="4">
        <v>33</v>
      </c>
      <c r="AM1376" s="4">
        <v>33</v>
      </c>
      <c r="AN1376" s="4">
        <v>0</v>
      </c>
      <c r="AO1376" s="4">
        <v>0</v>
      </c>
      <c r="AP1376" s="4">
        <v>3</v>
      </c>
      <c r="AQ1376" s="4">
        <v>3</v>
      </c>
      <c r="AR1376" s="3" t="s">
        <v>65</v>
      </c>
      <c r="AS1376" s="3" t="s">
        <v>65</v>
      </c>
      <c r="AT1376" s="3" t="s">
        <v>209</v>
      </c>
      <c r="AU1376" s="6" t="str">
        <f>HYPERLINK("http://catalog.hathitrust.org/Record/004253404","HathiTrust Record")</f>
        <v>HathiTrust Record</v>
      </c>
      <c r="AV1376" s="6" t="str">
        <f>HYPERLINK("http://mcgill.on.worldcat.org/oclc/49697336","Catalog Record")</f>
        <v>Catalog Record</v>
      </c>
      <c r="AW1376" s="6" t="str">
        <f>HYPERLINK("http://www.worldcat.org/oclc/49697336","WorldCat Record")</f>
        <v>WorldCat Record</v>
      </c>
      <c r="AX1376" s="3" t="s">
        <v>13603</v>
      </c>
      <c r="AY1376" s="3" t="s">
        <v>13604</v>
      </c>
      <c r="AZ1376" s="3" t="s">
        <v>13605</v>
      </c>
      <c r="BA1376" s="3" t="s">
        <v>13605</v>
      </c>
      <c r="BB1376" s="3" t="s">
        <v>13606</v>
      </c>
      <c r="BC1376" s="3" t="s">
        <v>77</v>
      </c>
      <c r="BD1376" s="3" t="s">
        <v>78</v>
      </c>
      <c r="BE1376" s="3" t="s">
        <v>13607</v>
      </c>
      <c r="BF1376" s="3" t="s">
        <v>13606</v>
      </c>
      <c r="BG1376" s="3" t="s">
        <v>13608</v>
      </c>
    </row>
    <row r="1377" spans="1:59" ht="58" x14ac:dyDescent="0.35">
      <c r="A1377" s="2" t="s">
        <v>59</v>
      </c>
      <c r="B1377" s="2" t="s">
        <v>60</v>
      </c>
      <c r="C1377" s="2" t="s">
        <v>13609</v>
      </c>
      <c r="D1377" s="2" t="s">
        <v>13610</v>
      </c>
      <c r="E1377" s="2" t="s">
        <v>13611</v>
      </c>
      <c r="F1377" s="3" t="s">
        <v>13612</v>
      </c>
      <c r="G1377" s="3" t="s">
        <v>65</v>
      </c>
      <c r="I1377" s="3" t="s">
        <v>65</v>
      </c>
      <c r="J1377" s="3" t="s">
        <v>65</v>
      </c>
      <c r="K1377" s="3" t="s">
        <v>66</v>
      </c>
      <c r="L1377" s="2" t="s">
        <v>13613</v>
      </c>
      <c r="M1377" s="2" t="s">
        <v>13614</v>
      </c>
      <c r="N1377" s="3" t="s">
        <v>113</v>
      </c>
      <c r="P1377" s="3" t="s">
        <v>140</v>
      </c>
      <c r="Q1377" s="2" t="s">
        <v>13615</v>
      </c>
      <c r="R1377" s="3" t="s">
        <v>71</v>
      </c>
      <c r="S1377" s="4">
        <v>1</v>
      </c>
      <c r="T1377" s="4">
        <v>1</v>
      </c>
      <c r="U1377" s="5" t="s">
        <v>4207</v>
      </c>
      <c r="V1377" s="5" t="s">
        <v>4207</v>
      </c>
      <c r="W1377" s="5" t="s">
        <v>72</v>
      </c>
      <c r="X1377" s="5" t="s">
        <v>72</v>
      </c>
      <c r="Y1377" s="4">
        <v>9</v>
      </c>
      <c r="Z1377" s="4">
        <v>3</v>
      </c>
      <c r="AA1377" s="4">
        <v>3</v>
      </c>
      <c r="AB1377" s="4">
        <v>1</v>
      </c>
      <c r="AC1377" s="4">
        <v>1</v>
      </c>
      <c r="AD1377" s="4">
        <v>6</v>
      </c>
      <c r="AE1377" s="4">
        <v>10</v>
      </c>
      <c r="AF1377" s="4">
        <v>0</v>
      </c>
      <c r="AG1377" s="4">
        <v>0</v>
      </c>
      <c r="AH1377" s="4">
        <v>6</v>
      </c>
      <c r="AI1377" s="4">
        <v>9</v>
      </c>
      <c r="AJ1377" s="4">
        <v>1</v>
      </c>
      <c r="AK1377" s="4">
        <v>1</v>
      </c>
      <c r="AL1377" s="4">
        <v>4</v>
      </c>
      <c r="AM1377" s="4">
        <v>7</v>
      </c>
      <c r="AN1377" s="4">
        <v>0</v>
      </c>
      <c r="AO1377" s="4">
        <v>0</v>
      </c>
      <c r="AP1377" s="4">
        <v>1</v>
      </c>
      <c r="AQ1377" s="4">
        <v>1</v>
      </c>
      <c r="AR1377" s="3" t="s">
        <v>65</v>
      </c>
      <c r="AS1377" s="3" t="s">
        <v>65</v>
      </c>
      <c r="AT1377" s="3" t="s">
        <v>65</v>
      </c>
      <c r="AV1377" s="6" t="str">
        <f>HYPERLINK("http://mcgill.on.worldcat.org/oclc/746157473","Catalog Record")</f>
        <v>Catalog Record</v>
      </c>
      <c r="AW1377" s="6" t="str">
        <f>HYPERLINK("http://www.worldcat.org/oclc/746157473","WorldCat Record")</f>
        <v>WorldCat Record</v>
      </c>
      <c r="AX1377" s="3" t="s">
        <v>13616</v>
      </c>
      <c r="AY1377" s="3" t="s">
        <v>13617</v>
      </c>
      <c r="AZ1377" s="3" t="s">
        <v>13618</v>
      </c>
      <c r="BA1377" s="3" t="s">
        <v>13618</v>
      </c>
      <c r="BB1377" s="3" t="s">
        <v>13619</v>
      </c>
      <c r="BC1377" s="3" t="s">
        <v>77</v>
      </c>
      <c r="BD1377" s="3" t="s">
        <v>78</v>
      </c>
      <c r="BE1377" s="3" t="s">
        <v>13620</v>
      </c>
      <c r="BF1377" s="3" t="s">
        <v>13619</v>
      </c>
      <c r="BG1377" s="3" t="s">
        <v>13621</v>
      </c>
    </row>
    <row r="1378" spans="1:59" ht="58" x14ac:dyDescent="0.35">
      <c r="A1378" s="2" t="s">
        <v>59</v>
      </c>
      <c r="B1378" s="2" t="s">
        <v>60</v>
      </c>
      <c r="C1378" s="2" t="s">
        <v>13622</v>
      </c>
      <c r="D1378" s="2" t="s">
        <v>13623</v>
      </c>
      <c r="E1378" s="2" t="s">
        <v>13624</v>
      </c>
      <c r="G1378" s="3" t="s">
        <v>65</v>
      </c>
      <c r="I1378" s="3" t="s">
        <v>65</v>
      </c>
      <c r="J1378" s="3" t="s">
        <v>65</v>
      </c>
      <c r="K1378" s="3" t="s">
        <v>66</v>
      </c>
      <c r="M1378" s="2" t="s">
        <v>10397</v>
      </c>
      <c r="N1378" s="3" t="s">
        <v>176</v>
      </c>
      <c r="P1378" s="3" t="s">
        <v>140</v>
      </c>
      <c r="Q1378" s="2" t="s">
        <v>13625</v>
      </c>
      <c r="R1378" s="3" t="s">
        <v>71</v>
      </c>
      <c r="S1378" s="4">
        <v>0</v>
      </c>
      <c r="T1378" s="4">
        <v>0</v>
      </c>
      <c r="W1378" s="5" t="s">
        <v>72</v>
      </c>
      <c r="X1378" s="5" t="s">
        <v>72</v>
      </c>
      <c r="Y1378" s="4">
        <v>42</v>
      </c>
      <c r="Z1378" s="4">
        <v>3</v>
      </c>
      <c r="AA1378" s="4">
        <v>3</v>
      </c>
      <c r="AB1378" s="4">
        <v>1</v>
      </c>
      <c r="AC1378" s="4">
        <v>1</v>
      </c>
      <c r="AD1378" s="4">
        <v>31</v>
      </c>
      <c r="AE1378" s="4">
        <v>31</v>
      </c>
      <c r="AF1378" s="4">
        <v>0</v>
      </c>
      <c r="AG1378" s="4">
        <v>0</v>
      </c>
      <c r="AH1378" s="4">
        <v>30</v>
      </c>
      <c r="AI1378" s="4">
        <v>30</v>
      </c>
      <c r="AJ1378" s="4">
        <v>1</v>
      </c>
      <c r="AK1378" s="4">
        <v>1</v>
      </c>
      <c r="AL1378" s="4">
        <v>25</v>
      </c>
      <c r="AM1378" s="4">
        <v>25</v>
      </c>
      <c r="AN1378" s="4">
        <v>0</v>
      </c>
      <c r="AO1378" s="4">
        <v>0</v>
      </c>
      <c r="AP1378" s="4">
        <v>1</v>
      </c>
      <c r="AQ1378" s="4">
        <v>1</v>
      </c>
      <c r="AR1378" s="3" t="s">
        <v>65</v>
      </c>
      <c r="AS1378" s="3" t="s">
        <v>65</v>
      </c>
      <c r="AT1378" s="3" t="s">
        <v>65</v>
      </c>
      <c r="AV1378" s="6" t="str">
        <f>HYPERLINK("http://mcgill.on.worldcat.org/oclc/922884848","Catalog Record")</f>
        <v>Catalog Record</v>
      </c>
      <c r="AW1378" s="6" t="str">
        <f>HYPERLINK("http://www.worldcat.org/oclc/922884848","WorldCat Record")</f>
        <v>WorldCat Record</v>
      </c>
      <c r="AX1378" s="3" t="s">
        <v>13626</v>
      </c>
      <c r="AY1378" s="3" t="s">
        <v>13627</v>
      </c>
      <c r="AZ1378" s="3" t="s">
        <v>13628</v>
      </c>
      <c r="BA1378" s="3" t="s">
        <v>13628</v>
      </c>
      <c r="BB1378" s="3" t="s">
        <v>13629</v>
      </c>
      <c r="BC1378" s="3" t="s">
        <v>77</v>
      </c>
      <c r="BD1378" s="3" t="s">
        <v>78</v>
      </c>
      <c r="BE1378" s="3" t="s">
        <v>13630</v>
      </c>
      <c r="BF1378" s="3" t="s">
        <v>13629</v>
      </c>
      <c r="BG1378" s="3" t="s">
        <v>13631</v>
      </c>
    </row>
    <row r="1379" spans="1:59" ht="58" x14ac:dyDescent="0.35">
      <c r="A1379" s="2" t="s">
        <v>59</v>
      </c>
      <c r="B1379" s="2" t="s">
        <v>60</v>
      </c>
      <c r="C1379" s="2" t="s">
        <v>13632</v>
      </c>
      <c r="D1379" s="2" t="s">
        <v>13633</v>
      </c>
      <c r="E1379" s="2" t="s">
        <v>13634</v>
      </c>
      <c r="G1379" s="3" t="s">
        <v>65</v>
      </c>
      <c r="I1379" s="3" t="s">
        <v>65</v>
      </c>
      <c r="J1379" s="3" t="s">
        <v>65</v>
      </c>
      <c r="K1379" s="3" t="s">
        <v>66</v>
      </c>
      <c r="L1379" s="2" t="s">
        <v>13635</v>
      </c>
      <c r="M1379" s="2" t="s">
        <v>13636</v>
      </c>
      <c r="N1379" s="3" t="s">
        <v>68</v>
      </c>
      <c r="O1379" s="2" t="s">
        <v>235</v>
      </c>
      <c r="P1379" s="3" t="s">
        <v>140</v>
      </c>
      <c r="Q1379" s="2" t="s">
        <v>13637</v>
      </c>
      <c r="R1379" s="3" t="s">
        <v>71</v>
      </c>
      <c r="S1379" s="4">
        <v>0</v>
      </c>
      <c r="T1379" s="4">
        <v>0</v>
      </c>
      <c r="W1379" s="5" t="s">
        <v>72</v>
      </c>
      <c r="X1379" s="5" t="s">
        <v>72</v>
      </c>
      <c r="Y1379" s="4">
        <v>30</v>
      </c>
      <c r="Z1379" s="4">
        <v>2</v>
      </c>
      <c r="AA1379" s="4">
        <v>2</v>
      </c>
      <c r="AB1379" s="4">
        <v>1</v>
      </c>
      <c r="AC1379" s="4">
        <v>1</v>
      </c>
      <c r="AD1379" s="4">
        <v>24</v>
      </c>
      <c r="AE1379" s="4">
        <v>27</v>
      </c>
      <c r="AF1379" s="4">
        <v>0</v>
      </c>
      <c r="AG1379" s="4">
        <v>0</v>
      </c>
      <c r="AH1379" s="4">
        <v>23</v>
      </c>
      <c r="AI1379" s="4">
        <v>26</v>
      </c>
      <c r="AJ1379" s="4">
        <v>1</v>
      </c>
      <c r="AK1379" s="4">
        <v>1</v>
      </c>
      <c r="AL1379" s="4">
        <v>19</v>
      </c>
      <c r="AM1379" s="4">
        <v>22</v>
      </c>
      <c r="AN1379" s="4">
        <v>0</v>
      </c>
      <c r="AO1379" s="4">
        <v>0</v>
      </c>
      <c r="AP1379" s="4">
        <v>1</v>
      </c>
      <c r="AQ1379" s="4">
        <v>1</v>
      </c>
      <c r="AR1379" s="3" t="s">
        <v>65</v>
      </c>
      <c r="AS1379" s="3" t="s">
        <v>65</v>
      </c>
      <c r="AT1379" s="3" t="s">
        <v>65</v>
      </c>
      <c r="AV1379" s="6" t="str">
        <f>HYPERLINK("http://mcgill.on.worldcat.org/oclc/962034242","Catalog Record")</f>
        <v>Catalog Record</v>
      </c>
      <c r="AW1379" s="6" t="str">
        <f>HYPERLINK("http://www.worldcat.org/oclc/962034242","WorldCat Record")</f>
        <v>WorldCat Record</v>
      </c>
      <c r="AX1379" s="3" t="s">
        <v>13638</v>
      </c>
      <c r="AY1379" s="3" t="s">
        <v>13639</v>
      </c>
      <c r="AZ1379" s="3" t="s">
        <v>13640</v>
      </c>
      <c r="BA1379" s="3" t="s">
        <v>13640</v>
      </c>
      <c r="BB1379" s="3" t="s">
        <v>13641</v>
      </c>
      <c r="BC1379" s="3" t="s">
        <v>77</v>
      </c>
      <c r="BD1379" s="3" t="s">
        <v>78</v>
      </c>
      <c r="BE1379" s="3" t="s">
        <v>13642</v>
      </c>
      <c r="BF1379" s="3" t="s">
        <v>13641</v>
      </c>
      <c r="BG1379" s="3" t="s">
        <v>13643</v>
      </c>
    </row>
    <row r="1380" spans="1:59" ht="58" x14ac:dyDescent="0.35">
      <c r="A1380" s="2" t="s">
        <v>59</v>
      </c>
      <c r="B1380" s="2" t="s">
        <v>60</v>
      </c>
      <c r="C1380" s="2" t="s">
        <v>13644</v>
      </c>
      <c r="D1380" s="2" t="s">
        <v>13645</v>
      </c>
      <c r="E1380" s="2" t="s">
        <v>13646</v>
      </c>
      <c r="G1380" s="3" t="s">
        <v>65</v>
      </c>
      <c r="I1380" s="3" t="s">
        <v>65</v>
      </c>
      <c r="J1380" s="3" t="s">
        <v>65</v>
      </c>
      <c r="K1380" s="3" t="s">
        <v>66</v>
      </c>
      <c r="L1380" s="2" t="s">
        <v>13647</v>
      </c>
      <c r="M1380" s="2" t="s">
        <v>13648</v>
      </c>
      <c r="N1380" s="3" t="s">
        <v>99</v>
      </c>
      <c r="P1380" s="3" t="s">
        <v>140</v>
      </c>
      <c r="Q1380" s="2" t="s">
        <v>13649</v>
      </c>
      <c r="R1380" s="3" t="s">
        <v>71</v>
      </c>
      <c r="S1380" s="4">
        <v>2</v>
      </c>
      <c r="T1380" s="4">
        <v>2</v>
      </c>
      <c r="U1380" s="5" t="s">
        <v>13650</v>
      </c>
      <c r="V1380" s="5" t="s">
        <v>13650</v>
      </c>
      <c r="W1380" s="5" t="s">
        <v>72</v>
      </c>
      <c r="X1380" s="5" t="s">
        <v>72</v>
      </c>
      <c r="Y1380" s="4">
        <v>51</v>
      </c>
      <c r="Z1380" s="4">
        <v>4</v>
      </c>
      <c r="AA1380" s="4">
        <v>6</v>
      </c>
      <c r="AB1380" s="4">
        <v>1</v>
      </c>
      <c r="AC1380" s="4">
        <v>3</v>
      </c>
      <c r="AD1380" s="4">
        <v>35</v>
      </c>
      <c r="AE1380" s="4">
        <v>36</v>
      </c>
      <c r="AF1380" s="4">
        <v>0</v>
      </c>
      <c r="AG1380" s="4">
        <v>1</v>
      </c>
      <c r="AH1380" s="4">
        <v>33</v>
      </c>
      <c r="AI1380" s="4">
        <v>33</v>
      </c>
      <c r="AJ1380" s="4">
        <v>3</v>
      </c>
      <c r="AK1380" s="4">
        <v>4</v>
      </c>
      <c r="AL1380" s="4">
        <v>23</v>
      </c>
      <c r="AM1380" s="4">
        <v>23</v>
      </c>
      <c r="AN1380" s="4">
        <v>0</v>
      </c>
      <c r="AO1380" s="4">
        <v>0</v>
      </c>
      <c r="AP1380" s="4">
        <v>3</v>
      </c>
      <c r="AQ1380" s="4">
        <v>3</v>
      </c>
      <c r="AR1380" s="3" t="s">
        <v>65</v>
      </c>
      <c r="AS1380" s="3" t="s">
        <v>65</v>
      </c>
      <c r="AT1380" s="3" t="s">
        <v>209</v>
      </c>
      <c r="AU1380" s="6" t="str">
        <f>HYPERLINK("http://catalog.hathitrust.org/Record/005414852","HathiTrust Record")</f>
        <v>HathiTrust Record</v>
      </c>
      <c r="AV1380" s="6" t="str">
        <f>HYPERLINK("http://mcgill.on.worldcat.org/oclc/76826316","Catalog Record")</f>
        <v>Catalog Record</v>
      </c>
      <c r="AW1380" s="6" t="str">
        <f>HYPERLINK("http://www.worldcat.org/oclc/76826316","WorldCat Record")</f>
        <v>WorldCat Record</v>
      </c>
      <c r="AX1380" s="3" t="s">
        <v>13651</v>
      </c>
      <c r="AY1380" s="3" t="s">
        <v>13652</v>
      </c>
      <c r="AZ1380" s="3" t="s">
        <v>13653</v>
      </c>
      <c r="BA1380" s="3" t="s">
        <v>13653</v>
      </c>
      <c r="BB1380" s="3" t="s">
        <v>13654</v>
      </c>
      <c r="BC1380" s="3" t="s">
        <v>77</v>
      </c>
      <c r="BD1380" s="3" t="s">
        <v>78</v>
      </c>
      <c r="BE1380" s="3" t="s">
        <v>13655</v>
      </c>
      <c r="BF1380" s="3" t="s">
        <v>13654</v>
      </c>
      <c r="BG1380" s="3" t="s">
        <v>13656</v>
      </c>
    </row>
    <row r="1381" spans="1:59" ht="58" x14ac:dyDescent="0.35">
      <c r="A1381" s="2" t="s">
        <v>59</v>
      </c>
      <c r="B1381" s="2" t="s">
        <v>60</v>
      </c>
      <c r="C1381" s="2" t="s">
        <v>13657</v>
      </c>
      <c r="D1381" s="2" t="s">
        <v>13658</v>
      </c>
      <c r="E1381" s="2" t="s">
        <v>13659</v>
      </c>
      <c r="G1381" s="3" t="s">
        <v>65</v>
      </c>
      <c r="I1381" s="3" t="s">
        <v>65</v>
      </c>
      <c r="J1381" s="3" t="s">
        <v>65</v>
      </c>
      <c r="K1381" s="3" t="s">
        <v>66</v>
      </c>
      <c r="L1381" s="2" t="s">
        <v>13660</v>
      </c>
      <c r="M1381" s="2" t="s">
        <v>13661</v>
      </c>
      <c r="N1381" s="3" t="s">
        <v>3385</v>
      </c>
      <c r="P1381" s="3" t="s">
        <v>140</v>
      </c>
      <c r="Q1381" s="2" t="s">
        <v>13662</v>
      </c>
      <c r="R1381" s="3" t="s">
        <v>71</v>
      </c>
      <c r="S1381" s="4">
        <v>2</v>
      </c>
      <c r="T1381" s="4">
        <v>2</v>
      </c>
      <c r="U1381" s="5" t="s">
        <v>13650</v>
      </c>
      <c r="V1381" s="5" t="s">
        <v>13650</v>
      </c>
      <c r="W1381" s="5" t="s">
        <v>72</v>
      </c>
      <c r="X1381" s="5" t="s">
        <v>72</v>
      </c>
      <c r="Y1381" s="4">
        <v>63</v>
      </c>
      <c r="Z1381" s="4">
        <v>5</v>
      </c>
      <c r="AA1381" s="4">
        <v>5</v>
      </c>
      <c r="AB1381" s="4">
        <v>1</v>
      </c>
      <c r="AC1381" s="4">
        <v>1</v>
      </c>
      <c r="AD1381" s="4">
        <v>33</v>
      </c>
      <c r="AE1381" s="4">
        <v>33</v>
      </c>
      <c r="AF1381" s="4">
        <v>0</v>
      </c>
      <c r="AG1381" s="4">
        <v>0</v>
      </c>
      <c r="AH1381" s="4">
        <v>33</v>
      </c>
      <c r="AI1381" s="4">
        <v>33</v>
      </c>
      <c r="AJ1381" s="4">
        <v>2</v>
      </c>
      <c r="AK1381" s="4">
        <v>2</v>
      </c>
      <c r="AL1381" s="4">
        <v>26</v>
      </c>
      <c r="AM1381" s="4">
        <v>26</v>
      </c>
      <c r="AN1381" s="4">
        <v>0</v>
      </c>
      <c r="AO1381" s="4">
        <v>0</v>
      </c>
      <c r="AP1381" s="4">
        <v>2</v>
      </c>
      <c r="AQ1381" s="4">
        <v>2</v>
      </c>
      <c r="AR1381" s="3" t="s">
        <v>65</v>
      </c>
      <c r="AS1381" s="3" t="s">
        <v>65</v>
      </c>
      <c r="AT1381" s="3" t="s">
        <v>209</v>
      </c>
      <c r="AU1381" s="6" t="str">
        <f>HYPERLINK("http://catalog.hathitrust.org/Record/004086887","HathiTrust Record")</f>
        <v>HathiTrust Record</v>
      </c>
      <c r="AV1381" s="6" t="str">
        <f>HYPERLINK("http://mcgill.on.worldcat.org/oclc/43077887","Catalog Record")</f>
        <v>Catalog Record</v>
      </c>
      <c r="AW1381" s="6" t="str">
        <f>HYPERLINK("http://www.worldcat.org/oclc/43077887","WorldCat Record")</f>
        <v>WorldCat Record</v>
      </c>
      <c r="AX1381" s="3" t="s">
        <v>13663</v>
      </c>
      <c r="AY1381" s="3" t="s">
        <v>13664</v>
      </c>
      <c r="AZ1381" s="3" t="s">
        <v>13665</v>
      </c>
      <c r="BA1381" s="3" t="s">
        <v>13665</v>
      </c>
      <c r="BB1381" s="3" t="s">
        <v>13666</v>
      </c>
      <c r="BC1381" s="3" t="s">
        <v>77</v>
      </c>
      <c r="BD1381" s="3" t="s">
        <v>78</v>
      </c>
      <c r="BE1381" s="3" t="s">
        <v>13667</v>
      </c>
      <c r="BF1381" s="3" t="s">
        <v>13666</v>
      </c>
      <c r="BG1381" s="3" t="s">
        <v>13668</v>
      </c>
    </row>
    <row r="1382" spans="1:59" ht="58" x14ac:dyDescent="0.35">
      <c r="A1382" s="2" t="s">
        <v>59</v>
      </c>
      <c r="B1382" s="2" t="s">
        <v>60</v>
      </c>
      <c r="C1382" s="2" t="s">
        <v>13669</v>
      </c>
      <c r="D1382" s="2" t="s">
        <v>13670</v>
      </c>
      <c r="E1382" s="2" t="s">
        <v>13671</v>
      </c>
      <c r="G1382" s="3" t="s">
        <v>65</v>
      </c>
      <c r="I1382" s="3" t="s">
        <v>65</v>
      </c>
      <c r="J1382" s="3" t="s">
        <v>65</v>
      </c>
      <c r="K1382" s="3" t="s">
        <v>66</v>
      </c>
      <c r="L1382" s="2" t="s">
        <v>13672</v>
      </c>
      <c r="M1382" s="2" t="s">
        <v>13673</v>
      </c>
      <c r="N1382" s="3" t="s">
        <v>176</v>
      </c>
      <c r="P1382" s="3" t="s">
        <v>13674</v>
      </c>
      <c r="Q1382" s="2" t="s">
        <v>13675</v>
      </c>
      <c r="R1382" s="3" t="s">
        <v>71</v>
      </c>
      <c r="S1382" s="4">
        <v>0</v>
      </c>
      <c r="T1382" s="4">
        <v>0</v>
      </c>
      <c r="W1382" s="5" t="s">
        <v>72</v>
      </c>
      <c r="X1382" s="5" t="s">
        <v>72</v>
      </c>
      <c r="Y1382" s="4">
        <v>13</v>
      </c>
      <c r="Z1382" s="4">
        <v>1</v>
      </c>
      <c r="AA1382" s="4">
        <v>1</v>
      </c>
      <c r="AB1382" s="4">
        <v>1</v>
      </c>
      <c r="AC1382" s="4">
        <v>1</v>
      </c>
      <c r="AD1382" s="4">
        <v>5</v>
      </c>
      <c r="AE1382" s="4">
        <v>5</v>
      </c>
      <c r="AF1382" s="4">
        <v>0</v>
      </c>
      <c r="AG1382" s="4">
        <v>0</v>
      </c>
      <c r="AH1382" s="4">
        <v>5</v>
      </c>
      <c r="AI1382" s="4">
        <v>5</v>
      </c>
      <c r="AJ1382" s="4">
        <v>0</v>
      </c>
      <c r="AK1382" s="4">
        <v>0</v>
      </c>
      <c r="AL1382" s="4">
        <v>4</v>
      </c>
      <c r="AM1382" s="4">
        <v>4</v>
      </c>
      <c r="AN1382" s="4">
        <v>0</v>
      </c>
      <c r="AO1382" s="4">
        <v>0</v>
      </c>
      <c r="AP1382" s="4">
        <v>0</v>
      </c>
      <c r="AQ1382" s="4">
        <v>0</v>
      </c>
      <c r="AR1382" s="3" t="s">
        <v>65</v>
      </c>
      <c r="AS1382" s="3" t="s">
        <v>65</v>
      </c>
      <c r="AT1382" s="3" t="s">
        <v>65</v>
      </c>
      <c r="AV1382" s="6" t="str">
        <f>HYPERLINK("http://mcgill.on.worldcat.org/oclc/910085361","Catalog Record")</f>
        <v>Catalog Record</v>
      </c>
      <c r="AW1382" s="6" t="str">
        <f>HYPERLINK("http://www.worldcat.org/oclc/910085361","WorldCat Record")</f>
        <v>WorldCat Record</v>
      </c>
      <c r="AX1382" s="3" t="s">
        <v>13676</v>
      </c>
      <c r="AY1382" s="3" t="s">
        <v>13677</v>
      </c>
      <c r="AZ1382" s="3" t="s">
        <v>13678</v>
      </c>
      <c r="BA1382" s="3" t="s">
        <v>13678</v>
      </c>
      <c r="BB1382" s="3" t="s">
        <v>13679</v>
      </c>
      <c r="BC1382" s="3" t="s">
        <v>77</v>
      </c>
      <c r="BD1382" s="3" t="s">
        <v>78</v>
      </c>
      <c r="BE1382" s="3" t="s">
        <v>13680</v>
      </c>
      <c r="BF1382" s="3" t="s">
        <v>13679</v>
      </c>
      <c r="BG1382" s="3" t="s">
        <v>13681</v>
      </c>
    </row>
    <row r="1383" spans="1:59" ht="58" x14ac:dyDescent="0.35">
      <c r="A1383" s="2" t="s">
        <v>59</v>
      </c>
      <c r="B1383" s="2" t="s">
        <v>60</v>
      </c>
      <c r="C1383" s="2" t="s">
        <v>13682</v>
      </c>
      <c r="D1383" s="2" t="s">
        <v>13683</v>
      </c>
      <c r="E1383" s="2" t="s">
        <v>13684</v>
      </c>
      <c r="G1383" s="3" t="s">
        <v>65</v>
      </c>
      <c r="I1383" s="3" t="s">
        <v>65</v>
      </c>
      <c r="J1383" s="3" t="s">
        <v>65</v>
      </c>
      <c r="K1383" s="3" t="s">
        <v>66</v>
      </c>
      <c r="L1383" s="2" t="s">
        <v>13685</v>
      </c>
      <c r="M1383" s="2" t="s">
        <v>13686</v>
      </c>
      <c r="N1383" s="3" t="s">
        <v>5060</v>
      </c>
      <c r="P1383" s="3" t="s">
        <v>140</v>
      </c>
      <c r="R1383" s="3" t="s">
        <v>71</v>
      </c>
      <c r="S1383" s="4">
        <v>5</v>
      </c>
      <c r="T1383" s="4">
        <v>5</v>
      </c>
      <c r="U1383" s="5" t="s">
        <v>10465</v>
      </c>
      <c r="V1383" s="5" t="s">
        <v>10465</v>
      </c>
      <c r="W1383" s="5" t="s">
        <v>72</v>
      </c>
      <c r="X1383" s="5" t="s">
        <v>72</v>
      </c>
      <c r="Y1383" s="4">
        <v>141</v>
      </c>
      <c r="Z1383" s="4">
        <v>14</v>
      </c>
      <c r="AA1383" s="4">
        <v>16</v>
      </c>
      <c r="AB1383" s="4">
        <v>2</v>
      </c>
      <c r="AC1383" s="4">
        <v>3</v>
      </c>
      <c r="AD1383" s="4">
        <v>69</v>
      </c>
      <c r="AE1383" s="4">
        <v>72</v>
      </c>
      <c r="AF1383" s="4">
        <v>1</v>
      </c>
      <c r="AG1383" s="4">
        <v>2</v>
      </c>
      <c r="AH1383" s="4">
        <v>63</v>
      </c>
      <c r="AI1383" s="4">
        <v>65</v>
      </c>
      <c r="AJ1383" s="4">
        <v>11</v>
      </c>
      <c r="AK1383" s="4">
        <v>13</v>
      </c>
      <c r="AL1383" s="4">
        <v>36</v>
      </c>
      <c r="AM1383" s="4">
        <v>37</v>
      </c>
      <c r="AN1383" s="4">
        <v>0</v>
      </c>
      <c r="AO1383" s="4">
        <v>0</v>
      </c>
      <c r="AP1383" s="4">
        <v>11</v>
      </c>
      <c r="AQ1383" s="4">
        <v>13</v>
      </c>
      <c r="AR1383" s="3" t="s">
        <v>65</v>
      </c>
      <c r="AS1383" s="3" t="s">
        <v>65</v>
      </c>
      <c r="AT1383" s="3" t="s">
        <v>209</v>
      </c>
      <c r="AU1383" s="6" t="str">
        <f>HYPERLINK("http://catalog.hathitrust.org/Record/001226877","HathiTrust Record")</f>
        <v>HathiTrust Record</v>
      </c>
      <c r="AV1383" s="6" t="str">
        <f>HYPERLINK("http://mcgill.on.worldcat.org/oclc/181470","Catalog Record")</f>
        <v>Catalog Record</v>
      </c>
      <c r="AW1383" s="6" t="str">
        <f>HYPERLINK("http://www.worldcat.org/oclc/181470","WorldCat Record")</f>
        <v>WorldCat Record</v>
      </c>
      <c r="AX1383" s="3" t="s">
        <v>13687</v>
      </c>
      <c r="AY1383" s="3" t="s">
        <v>13688</v>
      </c>
      <c r="AZ1383" s="3" t="s">
        <v>13689</v>
      </c>
      <c r="BA1383" s="3" t="s">
        <v>13689</v>
      </c>
      <c r="BB1383" s="3" t="s">
        <v>13690</v>
      </c>
      <c r="BC1383" s="3" t="s">
        <v>77</v>
      </c>
      <c r="BD1383" s="3" t="s">
        <v>78</v>
      </c>
      <c r="BF1383" s="3" t="s">
        <v>13690</v>
      </c>
      <c r="BG1383" s="3" t="s">
        <v>13691</v>
      </c>
    </row>
    <row r="1384" spans="1:59" ht="58" x14ac:dyDescent="0.35">
      <c r="A1384" s="2" t="s">
        <v>59</v>
      </c>
      <c r="B1384" s="2" t="s">
        <v>60</v>
      </c>
      <c r="C1384" s="2" t="s">
        <v>13692</v>
      </c>
      <c r="D1384" s="2" t="s">
        <v>13693</v>
      </c>
      <c r="E1384" s="2" t="s">
        <v>13694</v>
      </c>
      <c r="G1384" s="3" t="s">
        <v>65</v>
      </c>
      <c r="I1384" s="3" t="s">
        <v>65</v>
      </c>
      <c r="J1384" s="3" t="s">
        <v>65</v>
      </c>
      <c r="K1384" s="3" t="s">
        <v>66</v>
      </c>
      <c r="L1384" s="2" t="s">
        <v>13695</v>
      </c>
      <c r="M1384" s="2" t="s">
        <v>13696</v>
      </c>
      <c r="N1384" s="3" t="s">
        <v>139</v>
      </c>
      <c r="P1384" s="3" t="s">
        <v>140</v>
      </c>
      <c r="Q1384" s="2" t="s">
        <v>13697</v>
      </c>
      <c r="R1384" s="3" t="s">
        <v>71</v>
      </c>
      <c r="S1384" s="4">
        <v>1</v>
      </c>
      <c r="T1384" s="4">
        <v>1</v>
      </c>
      <c r="U1384" s="5" t="s">
        <v>4207</v>
      </c>
      <c r="V1384" s="5" t="s">
        <v>4207</v>
      </c>
      <c r="W1384" s="5" t="s">
        <v>72</v>
      </c>
      <c r="X1384" s="5" t="s">
        <v>72</v>
      </c>
      <c r="Y1384" s="4">
        <v>42</v>
      </c>
      <c r="Z1384" s="4">
        <v>4</v>
      </c>
      <c r="AA1384" s="4">
        <v>4</v>
      </c>
      <c r="AB1384" s="4">
        <v>1</v>
      </c>
      <c r="AC1384" s="4">
        <v>1</v>
      </c>
      <c r="AD1384" s="4">
        <v>23</v>
      </c>
      <c r="AE1384" s="4">
        <v>23</v>
      </c>
      <c r="AF1384" s="4">
        <v>0</v>
      </c>
      <c r="AG1384" s="4">
        <v>0</v>
      </c>
      <c r="AH1384" s="4">
        <v>22</v>
      </c>
      <c r="AI1384" s="4">
        <v>22</v>
      </c>
      <c r="AJ1384" s="4">
        <v>1</v>
      </c>
      <c r="AK1384" s="4">
        <v>1</v>
      </c>
      <c r="AL1384" s="4">
        <v>18</v>
      </c>
      <c r="AM1384" s="4">
        <v>18</v>
      </c>
      <c r="AN1384" s="4">
        <v>0</v>
      </c>
      <c r="AO1384" s="4">
        <v>0</v>
      </c>
      <c r="AP1384" s="4">
        <v>1</v>
      </c>
      <c r="AQ1384" s="4">
        <v>1</v>
      </c>
      <c r="AR1384" s="3" t="s">
        <v>65</v>
      </c>
      <c r="AS1384" s="3" t="s">
        <v>65</v>
      </c>
      <c r="AT1384" s="3" t="s">
        <v>65</v>
      </c>
      <c r="AV1384" s="6" t="str">
        <f>HYPERLINK("http://mcgill.on.worldcat.org/oclc/826450374","Catalog Record")</f>
        <v>Catalog Record</v>
      </c>
      <c r="AW1384" s="6" t="str">
        <f>HYPERLINK("http://www.worldcat.org/oclc/826450374","WorldCat Record")</f>
        <v>WorldCat Record</v>
      </c>
      <c r="AX1384" s="3" t="s">
        <v>13698</v>
      </c>
      <c r="AY1384" s="3" t="s">
        <v>13699</v>
      </c>
      <c r="AZ1384" s="3" t="s">
        <v>13700</v>
      </c>
      <c r="BA1384" s="3" t="s">
        <v>13700</v>
      </c>
      <c r="BB1384" s="3" t="s">
        <v>13701</v>
      </c>
      <c r="BC1384" s="3" t="s">
        <v>77</v>
      </c>
      <c r="BD1384" s="3" t="s">
        <v>78</v>
      </c>
      <c r="BE1384" s="3" t="s">
        <v>13702</v>
      </c>
      <c r="BF1384" s="3" t="s">
        <v>13701</v>
      </c>
      <c r="BG1384" s="3" t="s">
        <v>13703</v>
      </c>
    </row>
    <row r="1385" spans="1:59" ht="58" x14ac:dyDescent="0.35">
      <c r="A1385" s="2" t="s">
        <v>59</v>
      </c>
      <c r="B1385" s="2" t="s">
        <v>60</v>
      </c>
      <c r="C1385" s="2" t="s">
        <v>13704</v>
      </c>
      <c r="D1385" s="2" t="s">
        <v>13705</v>
      </c>
      <c r="E1385" s="2" t="s">
        <v>13706</v>
      </c>
      <c r="G1385" s="3" t="s">
        <v>65</v>
      </c>
      <c r="I1385" s="3" t="s">
        <v>65</v>
      </c>
      <c r="J1385" s="3" t="s">
        <v>65</v>
      </c>
      <c r="K1385" s="3" t="s">
        <v>66</v>
      </c>
      <c r="L1385" s="2" t="s">
        <v>13707</v>
      </c>
      <c r="M1385" s="2" t="s">
        <v>13708</v>
      </c>
      <c r="N1385" s="3" t="s">
        <v>1196</v>
      </c>
      <c r="P1385" s="3" t="s">
        <v>69</v>
      </c>
      <c r="Q1385" s="2" t="s">
        <v>7248</v>
      </c>
      <c r="R1385" s="3" t="s">
        <v>71</v>
      </c>
      <c r="S1385" s="4">
        <v>5</v>
      </c>
      <c r="T1385" s="4">
        <v>5</v>
      </c>
      <c r="U1385" s="5" t="s">
        <v>10199</v>
      </c>
      <c r="V1385" s="5" t="s">
        <v>10199</v>
      </c>
      <c r="W1385" s="5" t="s">
        <v>72</v>
      </c>
      <c r="X1385" s="5" t="s">
        <v>72</v>
      </c>
      <c r="Y1385" s="4">
        <v>82</v>
      </c>
      <c r="Z1385" s="4">
        <v>7</v>
      </c>
      <c r="AA1385" s="4">
        <v>7</v>
      </c>
      <c r="AB1385" s="4">
        <v>1</v>
      </c>
      <c r="AC1385" s="4">
        <v>1</v>
      </c>
      <c r="AD1385" s="4">
        <v>29</v>
      </c>
      <c r="AE1385" s="4">
        <v>29</v>
      </c>
      <c r="AF1385" s="4">
        <v>0</v>
      </c>
      <c r="AG1385" s="4">
        <v>0</v>
      </c>
      <c r="AH1385" s="4">
        <v>26</v>
      </c>
      <c r="AI1385" s="4">
        <v>26</v>
      </c>
      <c r="AJ1385" s="4">
        <v>5</v>
      </c>
      <c r="AK1385" s="4">
        <v>5</v>
      </c>
      <c r="AL1385" s="4">
        <v>20</v>
      </c>
      <c r="AM1385" s="4">
        <v>20</v>
      </c>
      <c r="AN1385" s="4">
        <v>0</v>
      </c>
      <c r="AO1385" s="4">
        <v>0</v>
      </c>
      <c r="AP1385" s="4">
        <v>5</v>
      </c>
      <c r="AQ1385" s="4">
        <v>5</v>
      </c>
      <c r="AR1385" s="3" t="s">
        <v>65</v>
      </c>
      <c r="AS1385" s="3" t="s">
        <v>65</v>
      </c>
      <c r="AT1385" s="3" t="s">
        <v>209</v>
      </c>
      <c r="AU1385" s="6" t="str">
        <f>HYPERLINK("http://catalog.hathitrust.org/Record/005113202","HathiTrust Record")</f>
        <v>HathiTrust Record</v>
      </c>
      <c r="AV1385" s="6" t="str">
        <f>HYPERLINK("http://mcgill.on.worldcat.org/oclc/61702125","Catalog Record")</f>
        <v>Catalog Record</v>
      </c>
      <c r="AW1385" s="6" t="str">
        <f>HYPERLINK("http://www.worldcat.org/oclc/61702125","WorldCat Record")</f>
        <v>WorldCat Record</v>
      </c>
      <c r="AX1385" s="3" t="s">
        <v>13709</v>
      </c>
      <c r="AY1385" s="3" t="s">
        <v>13710</v>
      </c>
      <c r="AZ1385" s="3" t="s">
        <v>13711</v>
      </c>
      <c r="BA1385" s="3" t="s">
        <v>13711</v>
      </c>
      <c r="BB1385" s="3" t="s">
        <v>13712</v>
      </c>
      <c r="BC1385" s="3" t="s">
        <v>77</v>
      </c>
      <c r="BD1385" s="3" t="s">
        <v>78</v>
      </c>
      <c r="BE1385" s="3" t="s">
        <v>13713</v>
      </c>
      <c r="BF1385" s="3" t="s">
        <v>13712</v>
      </c>
      <c r="BG1385" s="3" t="s">
        <v>13714</v>
      </c>
    </row>
    <row r="1386" spans="1:59" ht="58" x14ac:dyDescent="0.35">
      <c r="A1386" s="2" t="s">
        <v>59</v>
      </c>
      <c r="B1386" s="2" t="s">
        <v>60</v>
      </c>
      <c r="C1386" s="2" t="s">
        <v>13715</v>
      </c>
      <c r="D1386" s="2" t="s">
        <v>13716</v>
      </c>
      <c r="E1386" s="2" t="s">
        <v>13717</v>
      </c>
      <c r="G1386" s="3" t="s">
        <v>65</v>
      </c>
      <c r="I1386" s="3" t="s">
        <v>65</v>
      </c>
      <c r="J1386" s="3" t="s">
        <v>65</v>
      </c>
      <c r="K1386" s="3" t="s">
        <v>66</v>
      </c>
      <c r="L1386" s="2" t="s">
        <v>13707</v>
      </c>
      <c r="M1386" s="2" t="s">
        <v>13718</v>
      </c>
      <c r="N1386" s="3" t="s">
        <v>906</v>
      </c>
      <c r="P1386" s="3" t="s">
        <v>140</v>
      </c>
      <c r="Q1386" s="2" t="s">
        <v>13719</v>
      </c>
      <c r="R1386" s="3" t="s">
        <v>71</v>
      </c>
      <c r="S1386" s="4">
        <v>7</v>
      </c>
      <c r="T1386" s="4">
        <v>7</v>
      </c>
      <c r="U1386" s="5" t="s">
        <v>8431</v>
      </c>
      <c r="V1386" s="5" t="s">
        <v>8431</v>
      </c>
      <c r="W1386" s="5" t="s">
        <v>72</v>
      </c>
      <c r="X1386" s="5" t="s">
        <v>72</v>
      </c>
      <c r="Y1386" s="4">
        <v>2</v>
      </c>
      <c r="Z1386" s="4">
        <v>1</v>
      </c>
      <c r="AA1386" s="4">
        <v>1</v>
      </c>
      <c r="AB1386" s="4">
        <v>1</v>
      </c>
      <c r="AC1386" s="4">
        <v>1</v>
      </c>
      <c r="AD1386" s="4">
        <v>0</v>
      </c>
      <c r="AE1386" s="4">
        <v>0</v>
      </c>
      <c r="AF1386" s="4">
        <v>0</v>
      </c>
      <c r="AG1386" s="4">
        <v>0</v>
      </c>
      <c r="AH1386" s="4">
        <v>0</v>
      </c>
      <c r="AI1386" s="4">
        <v>0</v>
      </c>
      <c r="AJ1386" s="4">
        <v>0</v>
      </c>
      <c r="AK1386" s="4">
        <v>0</v>
      </c>
      <c r="AL1386" s="4">
        <v>0</v>
      </c>
      <c r="AM1386" s="4">
        <v>0</v>
      </c>
      <c r="AN1386" s="4">
        <v>0</v>
      </c>
      <c r="AO1386" s="4">
        <v>0</v>
      </c>
      <c r="AP1386" s="4">
        <v>0</v>
      </c>
      <c r="AQ1386" s="4">
        <v>0</v>
      </c>
      <c r="AR1386" s="3" t="s">
        <v>65</v>
      </c>
      <c r="AS1386" s="3" t="s">
        <v>65</v>
      </c>
      <c r="AT1386" s="3" t="s">
        <v>65</v>
      </c>
      <c r="AV1386" s="6" t="str">
        <f>HYPERLINK("http://mcgill.on.worldcat.org/oclc/61534640","Catalog Record")</f>
        <v>Catalog Record</v>
      </c>
      <c r="AW1386" s="6" t="str">
        <f>HYPERLINK("http://www.worldcat.org/oclc/61534640","WorldCat Record")</f>
        <v>WorldCat Record</v>
      </c>
      <c r="AX1386" s="3" t="s">
        <v>13720</v>
      </c>
      <c r="AY1386" s="3" t="s">
        <v>13721</v>
      </c>
      <c r="AZ1386" s="3" t="s">
        <v>13722</v>
      </c>
      <c r="BA1386" s="3" t="s">
        <v>13722</v>
      </c>
      <c r="BB1386" s="3" t="s">
        <v>13723</v>
      </c>
      <c r="BC1386" s="3" t="s">
        <v>77</v>
      </c>
      <c r="BD1386" s="3" t="s">
        <v>78</v>
      </c>
      <c r="BF1386" s="3" t="s">
        <v>13723</v>
      </c>
      <c r="BG1386" s="3" t="s">
        <v>13724</v>
      </c>
    </row>
    <row r="1387" spans="1:59" ht="72.5" x14ac:dyDescent="0.35">
      <c r="A1387" s="2" t="s">
        <v>59</v>
      </c>
      <c r="B1387" s="2" t="s">
        <v>60</v>
      </c>
      <c r="C1387" s="2" t="s">
        <v>13725</v>
      </c>
      <c r="D1387" s="2" t="s">
        <v>13726</v>
      </c>
      <c r="E1387" s="2" t="s">
        <v>13727</v>
      </c>
      <c r="G1387" s="3" t="s">
        <v>65</v>
      </c>
      <c r="I1387" s="3" t="s">
        <v>65</v>
      </c>
      <c r="J1387" s="3" t="s">
        <v>65</v>
      </c>
      <c r="K1387" s="3" t="s">
        <v>66</v>
      </c>
      <c r="L1387" s="2" t="s">
        <v>13707</v>
      </c>
      <c r="M1387" s="2" t="s">
        <v>13728</v>
      </c>
      <c r="N1387" s="3" t="s">
        <v>10541</v>
      </c>
      <c r="P1387" s="3" t="s">
        <v>140</v>
      </c>
      <c r="R1387" s="3" t="s">
        <v>71</v>
      </c>
      <c r="S1387" s="4">
        <v>3</v>
      </c>
      <c r="T1387" s="4">
        <v>3</v>
      </c>
      <c r="U1387" s="5" t="s">
        <v>13729</v>
      </c>
      <c r="V1387" s="5" t="s">
        <v>13729</v>
      </c>
      <c r="W1387" s="5" t="s">
        <v>72</v>
      </c>
      <c r="X1387" s="5" t="s">
        <v>72</v>
      </c>
      <c r="Y1387" s="4">
        <v>5</v>
      </c>
      <c r="Z1387" s="4">
        <v>3</v>
      </c>
      <c r="AA1387" s="4">
        <v>16</v>
      </c>
      <c r="AB1387" s="4">
        <v>1</v>
      </c>
      <c r="AC1387" s="4">
        <v>1</v>
      </c>
      <c r="AD1387" s="4">
        <v>1</v>
      </c>
      <c r="AE1387" s="4">
        <v>7</v>
      </c>
      <c r="AF1387" s="4">
        <v>0</v>
      </c>
      <c r="AG1387" s="4">
        <v>0</v>
      </c>
      <c r="AH1387" s="4">
        <v>1</v>
      </c>
      <c r="AI1387" s="4">
        <v>3</v>
      </c>
      <c r="AJ1387" s="4">
        <v>1</v>
      </c>
      <c r="AK1387" s="4">
        <v>4</v>
      </c>
      <c r="AL1387" s="4">
        <v>1</v>
      </c>
      <c r="AM1387" s="4">
        <v>1</v>
      </c>
      <c r="AN1387" s="4">
        <v>0</v>
      </c>
      <c r="AO1387" s="4">
        <v>0</v>
      </c>
      <c r="AP1387" s="4">
        <v>1</v>
      </c>
      <c r="AQ1387" s="4">
        <v>7</v>
      </c>
      <c r="AR1387" s="3" t="s">
        <v>65</v>
      </c>
      <c r="AS1387" s="3" t="s">
        <v>65</v>
      </c>
      <c r="AT1387" s="3" t="s">
        <v>65</v>
      </c>
      <c r="AV1387" s="6" t="str">
        <f>HYPERLINK("http://mcgill.on.worldcat.org/oclc/978131243","Catalog Record")</f>
        <v>Catalog Record</v>
      </c>
      <c r="AW1387" s="6" t="str">
        <f>HYPERLINK("http://www.worldcat.org/oclc/978131243","WorldCat Record")</f>
        <v>WorldCat Record</v>
      </c>
      <c r="AX1387" s="3" t="s">
        <v>13730</v>
      </c>
      <c r="AY1387" s="3" t="s">
        <v>13731</v>
      </c>
      <c r="AZ1387" s="3" t="s">
        <v>13732</v>
      </c>
      <c r="BA1387" s="3" t="s">
        <v>13732</v>
      </c>
      <c r="BB1387" s="3" t="s">
        <v>13733</v>
      </c>
      <c r="BC1387" s="3" t="s">
        <v>77</v>
      </c>
      <c r="BD1387" s="3" t="s">
        <v>78</v>
      </c>
      <c r="BF1387" s="3" t="s">
        <v>13733</v>
      </c>
      <c r="BG1387" s="3" t="s">
        <v>13734</v>
      </c>
    </row>
    <row r="1388" spans="1:59" ht="58" x14ac:dyDescent="0.35">
      <c r="A1388" s="2" t="s">
        <v>59</v>
      </c>
      <c r="B1388" s="2" t="s">
        <v>60</v>
      </c>
      <c r="C1388" s="2" t="s">
        <v>13735</v>
      </c>
      <c r="D1388" s="2" t="s">
        <v>13736</v>
      </c>
      <c r="E1388" s="2" t="s">
        <v>13737</v>
      </c>
      <c r="G1388" s="3" t="s">
        <v>65</v>
      </c>
      <c r="I1388" s="3" t="s">
        <v>209</v>
      </c>
      <c r="J1388" s="3" t="s">
        <v>209</v>
      </c>
      <c r="K1388" s="3" t="s">
        <v>66</v>
      </c>
      <c r="L1388" s="2" t="s">
        <v>13707</v>
      </c>
      <c r="M1388" s="2" t="s">
        <v>13738</v>
      </c>
      <c r="N1388" s="3" t="s">
        <v>3994</v>
      </c>
      <c r="P1388" s="3" t="s">
        <v>69</v>
      </c>
      <c r="Q1388" s="2" t="s">
        <v>13739</v>
      </c>
      <c r="R1388" s="3" t="s">
        <v>71</v>
      </c>
      <c r="S1388" s="4">
        <v>28</v>
      </c>
      <c r="T1388" s="4">
        <v>32</v>
      </c>
      <c r="U1388" s="5" t="s">
        <v>13740</v>
      </c>
      <c r="V1388" s="5" t="s">
        <v>8515</v>
      </c>
      <c r="W1388" s="5" t="s">
        <v>72</v>
      </c>
      <c r="X1388" s="5" t="s">
        <v>72</v>
      </c>
      <c r="Y1388" s="4">
        <v>17</v>
      </c>
      <c r="Z1388" s="4">
        <v>6</v>
      </c>
      <c r="AA1388" s="4">
        <v>34</v>
      </c>
      <c r="AB1388" s="4">
        <v>1</v>
      </c>
      <c r="AC1388" s="4">
        <v>2</v>
      </c>
      <c r="AD1388" s="4">
        <v>5</v>
      </c>
      <c r="AE1388" s="4">
        <v>107</v>
      </c>
      <c r="AF1388" s="4">
        <v>0</v>
      </c>
      <c r="AG1388" s="4">
        <v>0</v>
      </c>
      <c r="AH1388" s="4">
        <v>4</v>
      </c>
      <c r="AI1388" s="4">
        <v>92</v>
      </c>
      <c r="AJ1388" s="4">
        <v>3</v>
      </c>
      <c r="AK1388" s="4">
        <v>13</v>
      </c>
      <c r="AL1388" s="4">
        <v>2</v>
      </c>
      <c r="AM1388" s="4">
        <v>48</v>
      </c>
      <c r="AN1388" s="4">
        <v>0</v>
      </c>
      <c r="AO1388" s="4">
        <v>0</v>
      </c>
      <c r="AP1388" s="4">
        <v>4</v>
      </c>
      <c r="AQ1388" s="4">
        <v>23</v>
      </c>
      <c r="AR1388" s="3" t="s">
        <v>65</v>
      </c>
      <c r="AS1388" s="3" t="s">
        <v>65</v>
      </c>
      <c r="AT1388" s="3" t="s">
        <v>65</v>
      </c>
      <c r="AV1388" s="6" t="str">
        <f>HYPERLINK("http://mcgill.on.worldcat.org/oclc/61578132","Catalog Record")</f>
        <v>Catalog Record</v>
      </c>
      <c r="AW1388" s="6" t="str">
        <f>HYPERLINK("http://www.worldcat.org/oclc/61578132","WorldCat Record")</f>
        <v>WorldCat Record</v>
      </c>
      <c r="AX1388" s="3" t="s">
        <v>13741</v>
      </c>
      <c r="AY1388" s="3" t="s">
        <v>13742</v>
      </c>
      <c r="AZ1388" s="3" t="s">
        <v>13743</v>
      </c>
      <c r="BA1388" s="3" t="s">
        <v>13743</v>
      </c>
      <c r="BB1388" s="3" t="s">
        <v>13744</v>
      </c>
      <c r="BC1388" s="3" t="s">
        <v>77</v>
      </c>
      <c r="BD1388" s="3" t="s">
        <v>78</v>
      </c>
      <c r="BF1388" s="3" t="s">
        <v>13744</v>
      </c>
      <c r="BG1388" s="3" t="s">
        <v>13745</v>
      </c>
    </row>
    <row r="1389" spans="1:59" ht="58" x14ac:dyDescent="0.35">
      <c r="A1389" s="2" t="s">
        <v>59</v>
      </c>
      <c r="B1389" s="2" t="s">
        <v>60</v>
      </c>
      <c r="C1389" s="2" t="s">
        <v>13735</v>
      </c>
      <c r="D1389" s="2" t="s">
        <v>13736</v>
      </c>
      <c r="E1389" s="2" t="s">
        <v>13737</v>
      </c>
      <c r="G1389" s="3" t="s">
        <v>65</v>
      </c>
      <c r="I1389" s="3" t="s">
        <v>209</v>
      </c>
      <c r="J1389" s="3" t="s">
        <v>209</v>
      </c>
      <c r="K1389" s="3" t="s">
        <v>66</v>
      </c>
      <c r="L1389" s="2" t="s">
        <v>13707</v>
      </c>
      <c r="M1389" s="2" t="s">
        <v>13738</v>
      </c>
      <c r="N1389" s="3" t="s">
        <v>3994</v>
      </c>
      <c r="P1389" s="3" t="s">
        <v>69</v>
      </c>
      <c r="Q1389" s="2" t="s">
        <v>13739</v>
      </c>
      <c r="R1389" s="3" t="s">
        <v>71</v>
      </c>
      <c r="S1389" s="4">
        <v>4</v>
      </c>
      <c r="T1389" s="4">
        <v>32</v>
      </c>
      <c r="U1389" s="5" t="s">
        <v>8515</v>
      </c>
      <c r="V1389" s="5" t="s">
        <v>8515</v>
      </c>
      <c r="W1389" s="5" t="s">
        <v>72</v>
      </c>
      <c r="X1389" s="5" t="s">
        <v>72</v>
      </c>
      <c r="Y1389" s="4">
        <v>17</v>
      </c>
      <c r="Z1389" s="4">
        <v>6</v>
      </c>
      <c r="AA1389" s="4">
        <v>34</v>
      </c>
      <c r="AB1389" s="4">
        <v>1</v>
      </c>
      <c r="AC1389" s="4">
        <v>2</v>
      </c>
      <c r="AD1389" s="4">
        <v>5</v>
      </c>
      <c r="AE1389" s="4">
        <v>107</v>
      </c>
      <c r="AF1389" s="4">
        <v>0</v>
      </c>
      <c r="AG1389" s="4">
        <v>0</v>
      </c>
      <c r="AH1389" s="4">
        <v>4</v>
      </c>
      <c r="AI1389" s="4">
        <v>92</v>
      </c>
      <c r="AJ1389" s="4">
        <v>3</v>
      </c>
      <c r="AK1389" s="4">
        <v>13</v>
      </c>
      <c r="AL1389" s="4">
        <v>2</v>
      </c>
      <c r="AM1389" s="4">
        <v>48</v>
      </c>
      <c r="AN1389" s="4">
        <v>0</v>
      </c>
      <c r="AO1389" s="4">
        <v>0</v>
      </c>
      <c r="AP1389" s="4">
        <v>4</v>
      </c>
      <c r="AQ1389" s="4">
        <v>23</v>
      </c>
      <c r="AR1389" s="3" t="s">
        <v>65</v>
      </c>
      <c r="AS1389" s="3" t="s">
        <v>65</v>
      </c>
      <c r="AT1389" s="3" t="s">
        <v>65</v>
      </c>
      <c r="AV1389" s="6" t="str">
        <f>HYPERLINK("http://mcgill.on.worldcat.org/oclc/61578132","Catalog Record")</f>
        <v>Catalog Record</v>
      </c>
      <c r="AW1389" s="6" t="str">
        <f>HYPERLINK("http://www.worldcat.org/oclc/61578132","WorldCat Record")</f>
        <v>WorldCat Record</v>
      </c>
      <c r="AX1389" s="3" t="s">
        <v>13741</v>
      </c>
      <c r="AY1389" s="3" t="s">
        <v>13742</v>
      </c>
      <c r="AZ1389" s="3" t="s">
        <v>13743</v>
      </c>
      <c r="BA1389" s="3" t="s">
        <v>13743</v>
      </c>
      <c r="BB1389" s="3" t="s">
        <v>13746</v>
      </c>
      <c r="BC1389" s="3" t="s">
        <v>77</v>
      </c>
      <c r="BD1389" s="3" t="s">
        <v>78</v>
      </c>
      <c r="BF1389" s="3" t="s">
        <v>13746</v>
      </c>
      <c r="BG1389" s="3" t="s">
        <v>13747</v>
      </c>
    </row>
    <row r="1390" spans="1:59" ht="58" x14ac:dyDescent="0.35">
      <c r="A1390" s="2" t="s">
        <v>59</v>
      </c>
      <c r="B1390" s="2" t="s">
        <v>60</v>
      </c>
      <c r="C1390" s="2" t="s">
        <v>13748</v>
      </c>
      <c r="D1390" s="2" t="s">
        <v>13749</v>
      </c>
      <c r="E1390" s="2" t="s">
        <v>13750</v>
      </c>
      <c r="G1390" s="3" t="s">
        <v>65</v>
      </c>
      <c r="I1390" s="3" t="s">
        <v>65</v>
      </c>
      <c r="J1390" s="3" t="s">
        <v>65</v>
      </c>
      <c r="K1390" s="3" t="s">
        <v>66</v>
      </c>
      <c r="L1390" s="2" t="s">
        <v>13707</v>
      </c>
      <c r="M1390" s="2" t="s">
        <v>13751</v>
      </c>
      <c r="N1390" s="3" t="s">
        <v>352</v>
      </c>
      <c r="P1390" s="3" t="s">
        <v>140</v>
      </c>
      <c r="Q1390" s="2" t="s">
        <v>13752</v>
      </c>
      <c r="R1390" s="3" t="s">
        <v>71</v>
      </c>
      <c r="S1390" s="4">
        <v>9</v>
      </c>
      <c r="T1390" s="4">
        <v>9</v>
      </c>
      <c r="U1390" s="5" t="s">
        <v>13753</v>
      </c>
      <c r="V1390" s="5" t="s">
        <v>13753</v>
      </c>
      <c r="W1390" s="5" t="s">
        <v>72</v>
      </c>
      <c r="X1390" s="5" t="s">
        <v>72</v>
      </c>
      <c r="Y1390" s="4">
        <v>16</v>
      </c>
      <c r="Z1390" s="4">
        <v>1</v>
      </c>
      <c r="AA1390" s="4">
        <v>1</v>
      </c>
      <c r="AB1390" s="4">
        <v>1</v>
      </c>
      <c r="AC1390" s="4">
        <v>1</v>
      </c>
      <c r="AD1390" s="4">
        <v>5</v>
      </c>
      <c r="AE1390" s="4">
        <v>5</v>
      </c>
      <c r="AF1390" s="4">
        <v>0</v>
      </c>
      <c r="AG1390" s="4">
        <v>0</v>
      </c>
      <c r="AH1390" s="4">
        <v>5</v>
      </c>
      <c r="AI1390" s="4">
        <v>5</v>
      </c>
      <c r="AJ1390" s="4">
        <v>0</v>
      </c>
      <c r="AK1390" s="4">
        <v>0</v>
      </c>
      <c r="AL1390" s="4">
        <v>3</v>
      </c>
      <c r="AM1390" s="4">
        <v>3</v>
      </c>
      <c r="AN1390" s="4">
        <v>0</v>
      </c>
      <c r="AO1390" s="4">
        <v>0</v>
      </c>
      <c r="AP1390" s="4">
        <v>0</v>
      </c>
      <c r="AQ1390" s="4">
        <v>0</v>
      </c>
      <c r="AR1390" s="3" t="s">
        <v>65</v>
      </c>
      <c r="AS1390" s="3" t="s">
        <v>65</v>
      </c>
      <c r="AT1390" s="3" t="s">
        <v>65</v>
      </c>
      <c r="AV1390" s="6" t="str">
        <f>HYPERLINK("http://mcgill.on.worldcat.org/oclc/8515241","Catalog Record")</f>
        <v>Catalog Record</v>
      </c>
      <c r="AW1390" s="6" t="str">
        <f>HYPERLINK("http://www.worldcat.org/oclc/8515241","WorldCat Record")</f>
        <v>WorldCat Record</v>
      </c>
      <c r="AX1390" s="3" t="s">
        <v>13754</v>
      </c>
      <c r="AY1390" s="3" t="s">
        <v>13755</v>
      </c>
      <c r="AZ1390" s="3" t="s">
        <v>13756</v>
      </c>
      <c r="BA1390" s="3" t="s">
        <v>13756</v>
      </c>
      <c r="BB1390" s="3" t="s">
        <v>13757</v>
      </c>
      <c r="BC1390" s="3" t="s">
        <v>77</v>
      </c>
      <c r="BD1390" s="3" t="s">
        <v>78</v>
      </c>
      <c r="BF1390" s="3" t="s">
        <v>13757</v>
      </c>
      <c r="BG1390" s="3" t="s">
        <v>13758</v>
      </c>
    </row>
    <row r="1391" spans="1:59" ht="58" x14ac:dyDescent="0.35">
      <c r="A1391" s="2" t="s">
        <v>59</v>
      </c>
      <c r="B1391" s="2" t="s">
        <v>60</v>
      </c>
      <c r="C1391" s="2" t="s">
        <v>13759</v>
      </c>
      <c r="D1391" s="2" t="s">
        <v>13760</v>
      </c>
      <c r="E1391" s="2" t="s">
        <v>13761</v>
      </c>
      <c r="G1391" s="3" t="s">
        <v>65</v>
      </c>
      <c r="I1391" s="3" t="s">
        <v>65</v>
      </c>
      <c r="J1391" s="3" t="s">
        <v>65</v>
      </c>
      <c r="K1391" s="3" t="s">
        <v>66</v>
      </c>
      <c r="L1391" s="2" t="s">
        <v>13707</v>
      </c>
      <c r="M1391" s="2" t="s">
        <v>13762</v>
      </c>
      <c r="N1391" s="3" t="s">
        <v>525</v>
      </c>
      <c r="P1391" s="3" t="s">
        <v>140</v>
      </c>
      <c r="R1391" s="3" t="s">
        <v>71</v>
      </c>
      <c r="S1391" s="4">
        <v>1</v>
      </c>
      <c r="T1391" s="4">
        <v>1</v>
      </c>
      <c r="U1391" s="5" t="s">
        <v>7117</v>
      </c>
      <c r="V1391" s="5" t="s">
        <v>7117</v>
      </c>
      <c r="W1391" s="5" t="s">
        <v>72</v>
      </c>
      <c r="X1391" s="5" t="s">
        <v>72</v>
      </c>
      <c r="Y1391" s="4">
        <v>11</v>
      </c>
      <c r="Z1391" s="4">
        <v>1</v>
      </c>
      <c r="AA1391" s="4">
        <v>3</v>
      </c>
      <c r="AB1391" s="4">
        <v>1</v>
      </c>
      <c r="AC1391" s="4">
        <v>1</v>
      </c>
      <c r="AD1391" s="4">
        <v>6</v>
      </c>
      <c r="AE1391" s="4">
        <v>17</v>
      </c>
      <c r="AF1391" s="4">
        <v>0</v>
      </c>
      <c r="AG1391" s="4">
        <v>0</v>
      </c>
      <c r="AH1391" s="4">
        <v>6</v>
      </c>
      <c r="AI1391" s="4">
        <v>16</v>
      </c>
      <c r="AJ1391" s="4">
        <v>0</v>
      </c>
      <c r="AK1391" s="4">
        <v>1</v>
      </c>
      <c r="AL1391" s="4">
        <v>5</v>
      </c>
      <c r="AM1391" s="4">
        <v>12</v>
      </c>
      <c r="AN1391" s="4">
        <v>0</v>
      </c>
      <c r="AO1391" s="4">
        <v>0</v>
      </c>
      <c r="AP1391" s="4">
        <v>0</v>
      </c>
      <c r="AQ1391" s="4">
        <v>1</v>
      </c>
      <c r="AR1391" s="3" t="s">
        <v>65</v>
      </c>
      <c r="AS1391" s="3" t="s">
        <v>65</v>
      </c>
      <c r="AT1391" s="3" t="s">
        <v>65</v>
      </c>
      <c r="AV1391" s="6" t="str">
        <f>HYPERLINK("http://mcgill.on.worldcat.org/oclc/57360974","Catalog Record")</f>
        <v>Catalog Record</v>
      </c>
      <c r="AW1391" s="6" t="str">
        <f>HYPERLINK("http://www.worldcat.org/oclc/57360974","WorldCat Record")</f>
        <v>WorldCat Record</v>
      </c>
      <c r="AX1391" s="3" t="s">
        <v>13763</v>
      </c>
      <c r="AY1391" s="3" t="s">
        <v>13764</v>
      </c>
      <c r="AZ1391" s="3" t="s">
        <v>13765</v>
      </c>
      <c r="BA1391" s="3" t="s">
        <v>13765</v>
      </c>
      <c r="BB1391" s="3" t="s">
        <v>13766</v>
      </c>
      <c r="BC1391" s="3" t="s">
        <v>77</v>
      </c>
      <c r="BD1391" s="3" t="s">
        <v>78</v>
      </c>
      <c r="BF1391" s="3" t="s">
        <v>13766</v>
      </c>
      <c r="BG1391" s="3" t="s">
        <v>13767</v>
      </c>
    </row>
    <row r="1392" spans="1:59" ht="58" x14ac:dyDescent="0.35">
      <c r="A1392" s="2" t="s">
        <v>59</v>
      </c>
      <c r="B1392" s="2" t="s">
        <v>60</v>
      </c>
      <c r="C1392" s="2" t="s">
        <v>13768</v>
      </c>
      <c r="D1392" s="2" t="s">
        <v>13769</v>
      </c>
      <c r="E1392" s="2" t="s">
        <v>13770</v>
      </c>
      <c r="G1392" s="3" t="s">
        <v>65</v>
      </c>
      <c r="I1392" s="3" t="s">
        <v>65</v>
      </c>
      <c r="J1392" s="3" t="s">
        <v>209</v>
      </c>
      <c r="K1392" s="3" t="s">
        <v>66</v>
      </c>
      <c r="L1392" s="2" t="s">
        <v>13707</v>
      </c>
      <c r="M1392" s="2" t="s">
        <v>13771</v>
      </c>
      <c r="N1392" s="3" t="s">
        <v>525</v>
      </c>
      <c r="O1392" s="2" t="s">
        <v>13772</v>
      </c>
      <c r="P1392" s="3" t="s">
        <v>140</v>
      </c>
      <c r="Q1392" s="2" t="s">
        <v>6617</v>
      </c>
      <c r="R1392" s="3" t="s">
        <v>71</v>
      </c>
      <c r="S1392" s="4">
        <v>12</v>
      </c>
      <c r="T1392" s="4">
        <v>12</v>
      </c>
      <c r="U1392" s="5" t="s">
        <v>13773</v>
      </c>
      <c r="V1392" s="5" t="s">
        <v>13773</v>
      </c>
      <c r="W1392" s="5" t="s">
        <v>72</v>
      </c>
      <c r="X1392" s="5" t="s">
        <v>72</v>
      </c>
      <c r="Y1392" s="4">
        <v>83</v>
      </c>
      <c r="Z1392" s="4">
        <v>6</v>
      </c>
      <c r="AA1392" s="4">
        <v>52</v>
      </c>
      <c r="AB1392" s="4">
        <v>1</v>
      </c>
      <c r="AC1392" s="4">
        <v>6</v>
      </c>
      <c r="AD1392" s="4">
        <v>40</v>
      </c>
      <c r="AE1392" s="4">
        <v>119</v>
      </c>
      <c r="AF1392" s="4">
        <v>0</v>
      </c>
      <c r="AG1392" s="4">
        <v>2</v>
      </c>
      <c r="AH1392" s="4">
        <v>39</v>
      </c>
      <c r="AI1392" s="4">
        <v>99</v>
      </c>
      <c r="AJ1392" s="4">
        <v>3</v>
      </c>
      <c r="AK1392" s="4">
        <v>19</v>
      </c>
      <c r="AL1392" s="4">
        <v>29</v>
      </c>
      <c r="AM1392" s="4">
        <v>57</v>
      </c>
      <c r="AN1392" s="4">
        <v>0</v>
      </c>
      <c r="AO1392" s="4">
        <v>2</v>
      </c>
      <c r="AP1392" s="4">
        <v>3</v>
      </c>
      <c r="AQ1392" s="4">
        <v>27</v>
      </c>
      <c r="AR1392" s="3" t="s">
        <v>65</v>
      </c>
      <c r="AS1392" s="3" t="s">
        <v>65</v>
      </c>
      <c r="AT1392" s="3" t="s">
        <v>209</v>
      </c>
      <c r="AU1392" s="6" t="str">
        <f>HYPERLINK("http://catalog.hathitrust.org/Record/004369641","HathiTrust Record")</f>
        <v>HathiTrust Record</v>
      </c>
      <c r="AV1392" s="6" t="str">
        <f>HYPERLINK("http://mcgill.on.worldcat.org/oclc/54473769","Catalog Record")</f>
        <v>Catalog Record</v>
      </c>
      <c r="AW1392" s="6" t="str">
        <f>HYPERLINK("http://www.worldcat.org/oclc/54473769","WorldCat Record")</f>
        <v>WorldCat Record</v>
      </c>
      <c r="AX1392" s="3" t="s">
        <v>13774</v>
      </c>
      <c r="AY1392" s="3" t="s">
        <v>13775</v>
      </c>
      <c r="AZ1392" s="3" t="s">
        <v>13776</v>
      </c>
      <c r="BA1392" s="3" t="s">
        <v>13776</v>
      </c>
      <c r="BB1392" s="3" t="s">
        <v>13777</v>
      </c>
      <c r="BC1392" s="3" t="s">
        <v>77</v>
      </c>
      <c r="BD1392" s="3" t="s">
        <v>78</v>
      </c>
      <c r="BE1392" s="3" t="s">
        <v>13778</v>
      </c>
      <c r="BF1392" s="3" t="s">
        <v>13777</v>
      </c>
      <c r="BG1392" s="3" t="s">
        <v>13779</v>
      </c>
    </row>
    <row r="1393" spans="1:59" ht="58" x14ac:dyDescent="0.35">
      <c r="A1393" s="2" t="s">
        <v>59</v>
      </c>
      <c r="B1393" s="2" t="s">
        <v>60</v>
      </c>
      <c r="C1393" s="2" t="s">
        <v>13780</v>
      </c>
      <c r="D1393" s="2" t="s">
        <v>13781</v>
      </c>
      <c r="E1393" s="2" t="s">
        <v>13782</v>
      </c>
      <c r="F1393" s="3" t="s">
        <v>10601</v>
      </c>
      <c r="G1393" s="3" t="s">
        <v>209</v>
      </c>
      <c r="I1393" s="3" t="s">
        <v>65</v>
      </c>
      <c r="J1393" s="3" t="s">
        <v>65</v>
      </c>
      <c r="K1393" s="3" t="s">
        <v>66</v>
      </c>
      <c r="L1393" s="2" t="s">
        <v>13707</v>
      </c>
      <c r="M1393" s="2" t="s">
        <v>13783</v>
      </c>
      <c r="N1393" s="3" t="s">
        <v>1196</v>
      </c>
      <c r="P1393" s="3" t="s">
        <v>140</v>
      </c>
      <c r="Q1393" s="2" t="s">
        <v>13784</v>
      </c>
      <c r="R1393" s="3" t="s">
        <v>71</v>
      </c>
      <c r="S1393" s="4">
        <v>5</v>
      </c>
      <c r="T1393" s="4">
        <v>9</v>
      </c>
      <c r="U1393" s="5" t="s">
        <v>13773</v>
      </c>
      <c r="V1393" s="5" t="s">
        <v>13773</v>
      </c>
      <c r="W1393" s="5" t="s">
        <v>72</v>
      </c>
      <c r="X1393" s="5" t="s">
        <v>72</v>
      </c>
      <c r="Y1393" s="4">
        <v>72</v>
      </c>
      <c r="Z1393" s="4">
        <v>5</v>
      </c>
      <c r="AA1393" s="4">
        <v>5</v>
      </c>
      <c r="AB1393" s="4">
        <v>1</v>
      </c>
      <c r="AC1393" s="4">
        <v>1</v>
      </c>
      <c r="AD1393" s="4">
        <v>40</v>
      </c>
      <c r="AE1393" s="4">
        <v>40</v>
      </c>
      <c r="AF1393" s="4">
        <v>0</v>
      </c>
      <c r="AG1393" s="4">
        <v>0</v>
      </c>
      <c r="AH1393" s="4">
        <v>39</v>
      </c>
      <c r="AI1393" s="4">
        <v>39</v>
      </c>
      <c r="AJ1393" s="4">
        <v>2</v>
      </c>
      <c r="AK1393" s="4">
        <v>2</v>
      </c>
      <c r="AL1393" s="4">
        <v>29</v>
      </c>
      <c r="AM1393" s="4">
        <v>29</v>
      </c>
      <c r="AN1393" s="4">
        <v>0</v>
      </c>
      <c r="AO1393" s="4">
        <v>0</v>
      </c>
      <c r="AP1393" s="4">
        <v>2</v>
      </c>
      <c r="AQ1393" s="4">
        <v>2</v>
      </c>
      <c r="AR1393" s="3" t="s">
        <v>65</v>
      </c>
      <c r="AS1393" s="3" t="s">
        <v>65</v>
      </c>
      <c r="AT1393" s="3" t="s">
        <v>65</v>
      </c>
      <c r="AV1393" s="6" t="str">
        <f>HYPERLINK("http://mcgill.on.worldcat.org/oclc/60764210","Catalog Record")</f>
        <v>Catalog Record</v>
      </c>
      <c r="AW1393" s="6" t="str">
        <f>HYPERLINK("http://www.worldcat.org/oclc/60764210","WorldCat Record")</f>
        <v>WorldCat Record</v>
      </c>
      <c r="AX1393" s="3" t="s">
        <v>13785</v>
      </c>
      <c r="AY1393" s="3" t="s">
        <v>13786</v>
      </c>
      <c r="AZ1393" s="3" t="s">
        <v>13787</v>
      </c>
      <c r="BA1393" s="3" t="s">
        <v>13787</v>
      </c>
      <c r="BB1393" s="3" t="s">
        <v>13788</v>
      </c>
      <c r="BC1393" s="3" t="s">
        <v>77</v>
      </c>
      <c r="BD1393" s="3" t="s">
        <v>78</v>
      </c>
      <c r="BE1393" s="3" t="s">
        <v>13789</v>
      </c>
      <c r="BF1393" s="3" t="s">
        <v>13788</v>
      </c>
      <c r="BG1393" s="3" t="s">
        <v>13790</v>
      </c>
    </row>
    <row r="1394" spans="1:59" ht="58" x14ac:dyDescent="0.35">
      <c r="A1394" s="2" t="s">
        <v>59</v>
      </c>
      <c r="B1394" s="2" t="s">
        <v>60</v>
      </c>
      <c r="C1394" s="2" t="s">
        <v>13780</v>
      </c>
      <c r="D1394" s="2" t="s">
        <v>13781</v>
      </c>
      <c r="E1394" s="2" t="s">
        <v>13782</v>
      </c>
      <c r="F1394" s="3" t="s">
        <v>10617</v>
      </c>
      <c r="G1394" s="3" t="s">
        <v>209</v>
      </c>
      <c r="I1394" s="3" t="s">
        <v>65</v>
      </c>
      <c r="J1394" s="3" t="s">
        <v>65</v>
      </c>
      <c r="K1394" s="3" t="s">
        <v>66</v>
      </c>
      <c r="L1394" s="2" t="s">
        <v>13707</v>
      </c>
      <c r="M1394" s="2" t="s">
        <v>13783</v>
      </c>
      <c r="N1394" s="3" t="s">
        <v>1196</v>
      </c>
      <c r="P1394" s="3" t="s">
        <v>140</v>
      </c>
      <c r="Q1394" s="2" t="s">
        <v>13784</v>
      </c>
      <c r="R1394" s="3" t="s">
        <v>71</v>
      </c>
      <c r="S1394" s="4">
        <v>4</v>
      </c>
      <c r="T1394" s="4">
        <v>9</v>
      </c>
      <c r="U1394" s="5" t="s">
        <v>13773</v>
      </c>
      <c r="V1394" s="5" t="s">
        <v>13773</v>
      </c>
      <c r="W1394" s="5" t="s">
        <v>72</v>
      </c>
      <c r="X1394" s="5" t="s">
        <v>72</v>
      </c>
      <c r="Y1394" s="4">
        <v>72</v>
      </c>
      <c r="Z1394" s="4">
        <v>5</v>
      </c>
      <c r="AA1394" s="4">
        <v>5</v>
      </c>
      <c r="AB1394" s="4">
        <v>1</v>
      </c>
      <c r="AC1394" s="4">
        <v>1</v>
      </c>
      <c r="AD1394" s="4">
        <v>40</v>
      </c>
      <c r="AE1394" s="4">
        <v>40</v>
      </c>
      <c r="AF1394" s="4">
        <v>0</v>
      </c>
      <c r="AG1394" s="4">
        <v>0</v>
      </c>
      <c r="AH1394" s="4">
        <v>39</v>
      </c>
      <c r="AI1394" s="4">
        <v>39</v>
      </c>
      <c r="AJ1394" s="4">
        <v>2</v>
      </c>
      <c r="AK1394" s="4">
        <v>2</v>
      </c>
      <c r="AL1394" s="4">
        <v>29</v>
      </c>
      <c r="AM1394" s="4">
        <v>29</v>
      </c>
      <c r="AN1394" s="4">
        <v>0</v>
      </c>
      <c r="AO1394" s="4">
        <v>0</v>
      </c>
      <c r="AP1394" s="4">
        <v>2</v>
      </c>
      <c r="AQ1394" s="4">
        <v>2</v>
      </c>
      <c r="AR1394" s="3" t="s">
        <v>65</v>
      </c>
      <c r="AS1394" s="3" t="s">
        <v>65</v>
      </c>
      <c r="AT1394" s="3" t="s">
        <v>65</v>
      </c>
      <c r="AV1394" s="6" t="str">
        <f>HYPERLINK("http://mcgill.on.worldcat.org/oclc/60764210","Catalog Record")</f>
        <v>Catalog Record</v>
      </c>
      <c r="AW1394" s="6" t="str">
        <f>HYPERLINK("http://www.worldcat.org/oclc/60764210","WorldCat Record")</f>
        <v>WorldCat Record</v>
      </c>
      <c r="AX1394" s="3" t="s">
        <v>13785</v>
      </c>
      <c r="AY1394" s="3" t="s">
        <v>13786</v>
      </c>
      <c r="AZ1394" s="3" t="s">
        <v>13787</v>
      </c>
      <c r="BA1394" s="3" t="s">
        <v>13787</v>
      </c>
      <c r="BB1394" s="3" t="s">
        <v>13791</v>
      </c>
      <c r="BC1394" s="3" t="s">
        <v>77</v>
      </c>
      <c r="BD1394" s="3" t="s">
        <v>78</v>
      </c>
      <c r="BE1394" s="3" t="s">
        <v>13789</v>
      </c>
      <c r="BF1394" s="3" t="s">
        <v>13791</v>
      </c>
      <c r="BG1394" s="3" t="s">
        <v>13792</v>
      </c>
    </row>
    <row r="1395" spans="1:59" ht="58" x14ac:dyDescent="0.35">
      <c r="A1395" s="2" t="s">
        <v>59</v>
      </c>
      <c r="B1395" s="2" t="s">
        <v>60</v>
      </c>
      <c r="C1395" s="2" t="s">
        <v>13793</v>
      </c>
      <c r="D1395" s="2" t="s">
        <v>13794</v>
      </c>
      <c r="E1395" s="2" t="s">
        <v>13795</v>
      </c>
      <c r="G1395" s="3" t="s">
        <v>65</v>
      </c>
      <c r="I1395" s="3" t="s">
        <v>65</v>
      </c>
      <c r="J1395" s="3" t="s">
        <v>65</v>
      </c>
      <c r="K1395" s="3" t="s">
        <v>66</v>
      </c>
      <c r="L1395" s="2" t="s">
        <v>13796</v>
      </c>
      <c r="M1395" s="2" t="s">
        <v>13797</v>
      </c>
      <c r="N1395" s="3" t="s">
        <v>164</v>
      </c>
      <c r="P1395" s="3" t="s">
        <v>140</v>
      </c>
      <c r="Q1395" s="2" t="s">
        <v>13798</v>
      </c>
      <c r="R1395" s="3" t="s">
        <v>71</v>
      </c>
      <c r="S1395" s="4">
        <v>0</v>
      </c>
      <c r="T1395" s="4">
        <v>0</v>
      </c>
      <c r="W1395" s="5" t="s">
        <v>72</v>
      </c>
      <c r="X1395" s="5" t="s">
        <v>72</v>
      </c>
      <c r="Y1395" s="4">
        <v>54</v>
      </c>
      <c r="Z1395" s="4">
        <v>4</v>
      </c>
      <c r="AA1395" s="4">
        <v>4</v>
      </c>
      <c r="AB1395" s="4">
        <v>1</v>
      </c>
      <c r="AC1395" s="4">
        <v>1</v>
      </c>
      <c r="AD1395" s="4">
        <v>37</v>
      </c>
      <c r="AE1395" s="4">
        <v>39</v>
      </c>
      <c r="AF1395" s="4">
        <v>0</v>
      </c>
      <c r="AG1395" s="4">
        <v>0</v>
      </c>
      <c r="AH1395" s="4">
        <v>35</v>
      </c>
      <c r="AI1395" s="4">
        <v>37</v>
      </c>
      <c r="AJ1395" s="4">
        <v>1</v>
      </c>
      <c r="AK1395" s="4">
        <v>1</v>
      </c>
      <c r="AL1395" s="4">
        <v>28</v>
      </c>
      <c r="AM1395" s="4">
        <v>30</v>
      </c>
      <c r="AN1395" s="4">
        <v>0</v>
      </c>
      <c r="AO1395" s="4">
        <v>0</v>
      </c>
      <c r="AP1395" s="4">
        <v>1</v>
      </c>
      <c r="AQ1395" s="4">
        <v>1</v>
      </c>
      <c r="AR1395" s="3" t="s">
        <v>65</v>
      </c>
      <c r="AS1395" s="3" t="s">
        <v>65</v>
      </c>
      <c r="AT1395" s="3" t="s">
        <v>65</v>
      </c>
      <c r="AV1395" s="6" t="str">
        <f>HYPERLINK("http://mcgill.on.worldcat.org/oclc/904449206","Catalog Record")</f>
        <v>Catalog Record</v>
      </c>
      <c r="AW1395" s="6" t="str">
        <f>HYPERLINK("http://www.worldcat.org/oclc/904449206","WorldCat Record")</f>
        <v>WorldCat Record</v>
      </c>
      <c r="AX1395" s="3" t="s">
        <v>13799</v>
      </c>
      <c r="AY1395" s="3" t="s">
        <v>13800</v>
      </c>
      <c r="AZ1395" s="3" t="s">
        <v>13801</v>
      </c>
      <c r="BA1395" s="3" t="s">
        <v>13801</v>
      </c>
      <c r="BB1395" s="3" t="s">
        <v>13802</v>
      </c>
      <c r="BC1395" s="3" t="s">
        <v>77</v>
      </c>
      <c r="BD1395" s="3" t="s">
        <v>78</v>
      </c>
      <c r="BE1395" s="3" t="s">
        <v>13803</v>
      </c>
      <c r="BF1395" s="3" t="s">
        <v>13802</v>
      </c>
      <c r="BG1395" s="3" t="s">
        <v>13804</v>
      </c>
    </row>
    <row r="1396" spans="1:59" ht="58" x14ac:dyDescent="0.35">
      <c r="A1396" s="2" t="s">
        <v>59</v>
      </c>
      <c r="B1396" s="2" t="s">
        <v>60</v>
      </c>
      <c r="C1396" s="2" t="s">
        <v>13805</v>
      </c>
      <c r="D1396" s="2" t="s">
        <v>13806</v>
      </c>
      <c r="E1396" s="2" t="s">
        <v>13807</v>
      </c>
      <c r="G1396" s="3" t="s">
        <v>65</v>
      </c>
      <c r="I1396" s="3" t="s">
        <v>65</v>
      </c>
      <c r="J1396" s="3" t="s">
        <v>65</v>
      </c>
      <c r="K1396" s="3" t="s">
        <v>66</v>
      </c>
      <c r="L1396" s="2" t="s">
        <v>13808</v>
      </c>
      <c r="M1396" s="2" t="s">
        <v>13809</v>
      </c>
      <c r="N1396" s="3" t="s">
        <v>68</v>
      </c>
      <c r="O1396" s="2" t="s">
        <v>13810</v>
      </c>
      <c r="P1396" s="3" t="s">
        <v>140</v>
      </c>
      <c r="Q1396" s="2" t="s">
        <v>13811</v>
      </c>
      <c r="R1396" s="3" t="s">
        <v>71</v>
      </c>
      <c r="S1396" s="4">
        <v>0</v>
      </c>
      <c r="T1396" s="4">
        <v>0</v>
      </c>
      <c r="W1396" s="5" t="s">
        <v>72</v>
      </c>
      <c r="X1396" s="5" t="s">
        <v>72</v>
      </c>
      <c r="Y1396" s="4">
        <v>20</v>
      </c>
      <c r="Z1396" s="4">
        <v>2</v>
      </c>
      <c r="AA1396" s="4">
        <v>2</v>
      </c>
      <c r="AB1396" s="4">
        <v>1</v>
      </c>
      <c r="AC1396" s="4">
        <v>1</v>
      </c>
      <c r="AD1396" s="4">
        <v>16</v>
      </c>
      <c r="AE1396" s="4">
        <v>16</v>
      </c>
      <c r="AF1396" s="4">
        <v>0</v>
      </c>
      <c r="AG1396" s="4">
        <v>0</v>
      </c>
      <c r="AH1396" s="4">
        <v>15</v>
      </c>
      <c r="AI1396" s="4">
        <v>15</v>
      </c>
      <c r="AJ1396" s="4">
        <v>1</v>
      </c>
      <c r="AK1396" s="4">
        <v>1</v>
      </c>
      <c r="AL1396" s="4">
        <v>13</v>
      </c>
      <c r="AM1396" s="4">
        <v>13</v>
      </c>
      <c r="AN1396" s="4">
        <v>0</v>
      </c>
      <c r="AO1396" s="4">
        <v>0</v>
      </c>
      <c r="AP1396" s="4">
        <v>1</v>
      </c>
      <c r="AQ1396" s="4">
        <v>1</v>
      </c>
      <c r="AR1396" s="3" t="s">
        <v>65</v>
      </c>
      <c r="AS1396" s="3" t="s">
        <v>65</v>
      </c>
      <c r="AT1396" s="3" t="s">
        <v>65</v>
      </c>
      <c r="AV1396" s="6" t="str">
        <f>HYPERLINK("http://mcgill.on.worldcat.org/oclc/964621327","Catalog Record")</f>
        <v>Catalog Record</v>
      </c>
      <c r="AW1396" s="6" t="str">
        <f>HYPERLINK("http://www.worldcat.org/oclc/964621327","WorldCat Record")</f>
        <v>WorldCat Record</v>
      </c>
      <c r="AX1396" s="3" t="s">
        <v>13812</v>
      </c>
      <c r="AY1396" s="3" t="s">
        <v>13813</v>
      </c>
      <c r="AZ1396" s="3" t="s">
        <v>13814</v>
      </c>
      <c r="BA1396" s="3" t="s">
        <v>13814</v>
      </c>
      <c r="BB1396" s="3" t="s">
        <v>13815</v>
      </c>
      <c r="BC1396" s="3" t="s">
        <v>77</v>
      </c>
      <c r="BD1396" s="3" t="s">
        <v>78</v>
      </c>
      <c r="BE1396" s="3" t="s">
        <v>13816</v>
      </c>
      <c r="BF1396" s="3" t="s">
        <v>13815</v>
      </c>
      <c r="BG1396" s="3" t="s">
        <v>13817</v>
      </c>
    </row>
    <row r="1397" spans="1:59" ht="58" x14ac:dyDescent="0.35">
      <c r="A1397" s="2" t="s">
        <v>59</v>
      </c>
      <c r="B1397" s="2" t="s">
        <v>60</v>
      </c>
      <c r="C1397" s="2" t="s">
        <v>13818</v>
      </c>
      <c r="D1397" s="2" t="s">
        <v>13819</v>
      </c>
      <c r="E1397" s="2" t="s">
        <v>13820</v>
      </c>
      <c r="G1397" s="3" t="s">
        <v>65</v>
      </c>
      <c r="I1397" s="3" t="s">
        <v>65</v>
      </c>
      <c r="J1397" s="3" t="s">
        <v>65</v>
      </c>
      <c r="K1397" s="3" t="s">
        <v>66</v>
      </c>
      <c r="M1397" s="2" t="s">
        <v>13821</v>
      </c>
      <c r="N1397" s="3" t="s">
        <v>1085</v>
      </c>
      <c r="P1397" s="3" t="s">
        <v>140</v>
      </c>
      <c r="Q1397" s="2" t="s">
        <v>13822</v>
      </c>
      <c r="R1397" s="3" t="s">
        <v>71</v>
      </c>
      <c r="S1397" s="4">
        <v>3</v>
      </c>
      <c r="T1397" s="4">
        <v>3</v>
      </c>
      <c r="U1397" s="5" t="s">
        <v>882</v>
      </c>
      <c r="V1397" s="5" t="s">
        <v>882</v>
      </c>
      <c r="W1397" s="5" t="s">
        <v>72</v>
      </c>
      <c r="X1397" s="5" t="s">
        <v>72</v>
      </c>
      <c r="Y1397" s="4">
        <v>101</v>
      </c>
      <c r="Z1397" s="4">
        <v>7</v>
      </c>
      <c r="AA1397" s="4">
        <v>8</v>
      </c>
      <c r="AB1397" s="4">
        <v>1</v>
      </c>
      <c r="AC1397" s="4">
        <v>1</v>
      </c>
      <c r="AD1397" s="4">
        <v>52</v>
      </c>
      <c r="AE1397" s="4">
        <v>54</v>
      </c>
      <c r="AF1397" s="4">
        <v>0</v>
      </c>
      <c r="AG1397" s="4">
        <v>0</v>
      </c>
      <c r="AH1397" s="4">
        <v>49</v>
      </c>
      <c r="AI1397" s="4">
        <v>51</v>
      </c>
      <c r="AJ1397" s="4">
        <v>5</v>
      </c>
      <c r="AK1397" s="4">
        <v>6</v>
      </c>
      <c r="AL1397" s="4">
        <v>39</v>
      </c>
      <c r="AM1397" s="4">
        <v>40</v>
      </c>
      <c r="AN1397" s="4">
        <v>0</v>
      </c>
      <c r="AO1397" s="4">
        <v>0</v>
      </c>
      <c r="AP1397" s="4">
        <v>5</v>
      </c>
      <c r="AQ1397" s="4">
        <v>6</v>
      </c>
      <c r="AR1397" s="3" t="s">
        <v>65</v>
      </c>
      <c r="AS1397" s="3" t="s">
        <v>65</v>
      </c>
      <c r="AT1397" s="3" t="s">
        <v>65</v>
      </c>
      <c r="AV1397" s="6" t="str">
        <f>HYPERLINK("http://mcgill.on.worldcat.org/oclc/38458194","Catalog Record")</f>
        <v>Catalog Record</v>
      </c>
      <c r="AW1397" s="6" t="str">
        <f>HYPERLINK("http://www.worldcat.org/oclc/38458194","WorldCat Record")</f>
        <v>WorldCat Record</v>
      </c>
      <c r="AX1397" s="3" t="s">
        <v>13823</v>
      </c>
      <c r="AY1397" s="3" t="s">
        <v>13824</v>
      </c>
      <c r="AZ1397" s="3" t="s">
        <v>13825</v>
      </c>
      <c r="BA1397" s="3" t="s">
        <v>13825</v>
      </c>
      <c r="BB1397" s="3" t="s">
        <v>13826</v>
      </c>
      <c r="BC1397" s="3" t="s">
        <v>77</v>
      </c>
      <c r="BD1397" s="3" t="s">
        <v>78</v>
      </c>
      <c r="BE1397" s="3" t="s">
        <v>13827</v>
      </c>
      <c r="BF1397" s="3" t="s">
        <v>13826</v>
      </c>
      <c r="BG1397" s="3" t="s">
        <v>13828</v>
      </c>
    </row>
    <row r="1398" spans="1:59" ht="58" x14ac:dyDescent="0.35">
      <c r="A1398" s="2" t="s">
        <v>59</v>
      </c>
      <c r="B1398" s="2" t="s">
        <v>60</v>
      </c>
      <c r="C1398" s="2" t="s">
        <v>13829</v>
      </c>
      <c r="D1398" s="2" t="s">
        <v>13830</v>
      </c>
      <c r="E1398" s="2" t="s">
        <v>13831</v>
      </c>
      <c r="G1398" s="3" t="s">
        <v>65</v>
      </c>
      <c r="I1398" s="3" t="s">
        <v>65</v>
      </c>
      <c r="J1398" s="3" t="s">
        <v>65</v>
      </c>
      <c r="K1398" s="3" t="s">
        <v>66</v>
      </c>
      <c r="L1398" s="2" t="s">
        <v>13808</v>
      </c>
      <c r="M1398" s="2" t="s">
        <v>13832</v>
      </c>
      <c r="N1398" s="3" t="s">
        <v>126</v>
      </c>
      <c r="O1398" s="2" t="s">
        <v>13833</v>
      </c>
      <c r="P1398" s="3" t="s">
        <v>69</v>
      </c>
      <c r="Q1398" s="2" t="s">
        <v>13834</v>
      </c>
      <c r="R1398" s="3" t="s">
        <v>71</v>
      </c>
      <c r="S1398" s="4">
        <v>0</v>
      </c>
      <c r="T1398" s="4">
        <v>0</v>
      </c>
      <c r="W1398" s="5" t="s">
        <v>72</v>
      </c>
      <c r="X1398" s="5" t="s">
        <v>72</v>
      </c>
      <c r="Y1398" s="4">
        <v>56</v>
      </c>
      <c r="Z1398" s="4">
        <v>6</v>
      </c>
      <c r="AA1398" s="4">
        <v>6</v>
      </c>
      <c r="AB1398" s="4">
        <v>2</v>
      </c>
      <c r="AC1398" s="4">
        <v>2</v>
      </c>
      <c r="AD1398" s="4">
        <v>24</v>
      </c>
      <c r="AE1398" s="4">
        <v>24</v>
      </c>
      <c r="AF1398" s="4">
        <v>0</v>
      </c>
      <c r="AG1398" s="4">
        <v>0</v>
      </c>
      <c r="AH1398" s="4">
        <v>23</v>
      </c>
      <c r="AI1398" s="4">
        <v>23</v>
      </c>
      <c r="AJ1398" s="4">
        <v>2</v>
      </c>
      <c r="AK1398" s="4">
        <v>2</v>
      </c>
      <c r="AL1398" s="4">
        <v>18</v>
      </c>
      <c r="AM1398" s="4">
        <v>18</v>
      </c>
      <c r="AN1398" s="4">
        <v>0</v>
      </c>
      <c r="AO1398" s="4">
        <v>0</v>
      </c>
      <c r="AP1398" s="4">
        <v>2</v>
      </c>
      <c r="AQ1398" s="4">
        <v>2</v>
      </c>
      <c r="AR1398" s="3" t="s">
        <v>65</v>
      </c>
      <c r="AS1398" s="3" t="s">
        <v>65</v>
      </c>
      <c r="AT1398" s="3" t="s">
        <v>65</v>
      </c>
      <c r="AV1398" s="6" t="str">
        <f>HYPERLINK("http://mcgill.on.worldcat.org/oclc/751831736","Catalog Record")</f>
        <v>Catalog Record</v>
      </c>
      <c r="AW1398" s="6" t="str">
        <f>HYPERLINK("http://www.worldcat.org/oclc/751831736","WorldCat Record")</f>
        <v>WorldCat Record</v>
      </c>
      <c r="AX1398" s="3" t="s">
        <v>13835</v>
      </c>
      <c r="AY1398" s="3" t="s">
        <v>13836</v>
      </c>
      <c r="AZ1398" s="3" t="s">
        <v>13837</v>
      </c>
      <c r="BA1398" s="3" t="s">
        <v>13837</v>
      </c>
      <c r="BB1398" s="3" t="s">
        <v>13838</v>
      </c>
      <c r="BC1398" s="3" t="s">
        <v>77</v>
      </c>
      <c r="BD1398" s="3" t="s">
        <v>78</v>
      </c>
      <c r="BE1398" s="3" t="s">
        <v>13839</v>
      </c>
      <c r="BF1398" s="3" t="s">
        <v>13838</v>
      </c>
      <c r="BG1398" s="3" t="s">
        <v>13840</v>
      </c>
    </row>
    <row r="1399" spans="1:59" ht="58" x14ac:dyDescent="0.35">
      <c r="A1399" s="2" t="s">
        <v>59</v>
      </c>
      <c r="B1399" s="2" t="s">
        <v>60</v>
      </c>
      <c r="C1399" s="2" t="s">
        <v>13841</v>
      </c>
      <c r="D1399" s="2" t="s">
        <v>13842</v>
      </c>
      <c r="E1399" s="2" t="s">
        <v>13843</v>
      </c>
      <c r="F1399" s="3" t="s">
        <v>245</v>
      </c>
      <c r="G1399" s="3" t="s">
        <v>209</v>
      </c>
      <c r="I1399" s="3" t="s">
        <v>65</v>
      </c>
      <c r="J1399" s="3" t="s">
        <v>209</v>
      </c>
      <c r="K1399" s="3" t="s">
        <v>66</v>
      </c>
      <c r="L1399" s="2" t="s">
        <v>13707</v>
      </c>
      <c r="M1399" s="2" t="s">
        <v>13844</v>
      </c>
      <c r="N1399" s="3" t="s">
        <v>1085</v>
      </c>
      <c r="P1399" s="3" t="s">
        <v>140</v>
      </c>
      <c r="Q1399" s="2" t="s">
        <v>13845</v>
      </c>
      <c r="R1399" s="3" t="s">
        <v>71</v>
      </c>
      <c r="S1399" s="4">
        <v>14</v>
      </c>
      <c r="T1399" s="4">
        <v>25</v>
      </c>
      <c r="U1399" s="5" t="s">
        <v>13846</v>
      </c>
      <c r="V1399" s="5" t="s">
        <v>13846</v>
      </c>
      <c r="W1399" s="5" t="s">
        <v>72</v>
      </c>
      <c r="X1399" s="5" t="s">
        <v>72</v>
      </c>
      <c r="Y1399" s="4">
        <v>68</v>
      </c>
      <c r="Z1399" s="4">
        <v>7</v>
      </c>
      <c r="AA1399" s="4">
        <v>52</v>
      </c>
      <c r="AB1399" s="4">
        <v>1</v>
      </c>
      <c r="AC1399" s="4">
        <v>6</v>
      </c>
      <c r="AD1399" s="4">
        <v>43</v>
      </c>
      <c r="AE1399" s="4">
        <v>119</v>
      </c>
      <c r="AF1399" s="4">
        <v>0</v>
      </c>
      <c r="AG1399" s="4">
        <v>2</v>
      </c>
      <c r="AH1399" s="4">
        <v>39</v>
      </c>
      <c r="AI1399" s="4">
        <v>99</v>
      </c>
      <c r="AJ1399" s="4">
        <v>5</v>
      </c>
      <c r="AK1399" s="4">
        <v>19</v>
      </c>
      <c r="AL1399" s="4">
        <v>31</v>
      </c>
      <c r="AM1399" s="4">
        <v>57</v>
      </c>
      <c r="AN1399" s="4">
        <v>0</v>
      </c>
      <c r="AO1399" s="4">
        <v>2</v>
      </c>
      <c r="AP1399" s="4">
        <v>5</v>
      </c>
      <c r="AQ1399" s="4">
        <v>27</v>
      </c>
      <c r="AR1399" s="3" t="s">
        <v>65</v>
      </c>
      <c r="AS1399" s="3" t="s">
        <v>65</v>
      </c>
      <c r="AT1399" s="3" t="s">
        <v>65</v>
      </c>
      <c r="AV1399" s="6" t="str">
        <f>HYPERLINK("http://mcgill.on.worldcat.org/oclc/36047271","Catalog Record")</f>
        <v>Catalog Record</v>
      </c>
      <c r="AW1399" s="6" t="str">
        <f>HYPERLINK("http://www.worldcat.org/oclc/36047271","WorldCat Record")</f>
        <v>WorldCat Record</v>
      </c>
      <c r="AX1399" s="3" t="s">
        <v>13774</v>
      </c>
      <c r="AY1399" s="3" t="s">
        <v>13847</v>
      </c>
      <c r="AZ1399" s="3" t="s">
        <v>13848</v>
      </c>
      <c r="BA1399" s="3" t="s">
        <v>13848</v>
      </c>
      <c r="BB1399" s="3" t="s">
        <v>13849</v>
      </c>
      <c r="BC1399" s="3" t="s">
        <v>77</v>
      </c>
      <c r="BD1399" s="3" t="s">
        <v>78</v>
      </c>
      <c r="BE1399" s="3" t="s">
        <v>13850</v>
      </c>
      <c r="BF1399" s="3" t="s">
        <v>13849</v>
      </c>
      <c r="BG1399" s="3" t="s">
        <v>13851</v>
      </c>
    </row>
    <row r="1400" spans="1:59" ht="58" x14ac:dyDescent="0.35">
      <c r="A1400" s="2" t="s">
        <v>59</v>
      </c>
      <c r="B1400" s="2" t="s">
        <v>60</v>
      </c>
      <c r="C1400" s="2" t="s">
        <v>13841</v>
      </c>
      <c r="D1400" s="2" t="s">
        <v>13842</v>
      </c>
      <c r="E1400" s="2" t="s">
        <v>13843</v>
      </c>
      <c r="F1400" s="3" t="s">
        <v>258</v>
      </c>
      <c r="G1400" s="3" t="s">
        <v>209</v>
      </c>
      <c r="I1400" s="3" t="s">
        <v>65</v>
      </c>
      <c r="J1400" s="3" t="s">
        <v>209</v>
      </c>
      <c r="K1400" s="3" t="s">
        <v>66</v>
      </c>
      <c r="L1400" s="2" t="s">
        <v>13707</v>
      </c>
      <c r="M1400" s="2" t="s">
        <v>13844</v>
      </c>
      <c r="N1400" s="3" t="s">
        <v>1085</v>
      </c>
      <c r="P1400" s="3" t="s">
        <v>140</v>
      </c>
      <c r="Q1400" s="2" t="s">
        <v>13845</v>
      </c>
      <c r="R1400" s="3" t="s">
        <v>71</v>
      </c>
      <c r="S1400" s="4">
        <v>11</v>
      </c>
      <c r="T1400" s="4">
        <v>25</v>
      </c>
      <c r="U1400" s="5" t="s">
        <v>13852</v>
      </c>
      <c r="V1400" s="5" t="s">
        <v>13846</v>
      </c>
      <c r="W1400" s="5" t="s">
        <v>72</v>
      </c>
      <c r="X1400" s="5" t="s">
        <v>72</v>
      </c>
      <c r="Y1400" s="4">
        <v>68</v>
      </c>
      <c r="Z1400" s="4">
        <v>7</v>
      </c>
      <c r="AA1400" s="4">
        <v>52</v>
      </c>
      <c r="AB1400" s="4">
        <v>1</v>
      </c>
      <c r="AC1400" s="4">
        <v>6</v>
      </c>
      <c r="AD1400" s="4">
        <v>43</v>
      </c>
      <c r="AE1400" s="4">
        <v>119</v>
      </c>
      <c r="AF1400" s="4">
        <v>0</v>
      </c>
      <c r="AG1400" s="4">
        <v>2</v>
      </c>
      <c r="AH1400" s="4">
        <v>39</v>
      </c>
      <c r="AI1400" s="4">
        <v>99</v>
      </c>
      <c r="AJ1400" s="4">
        <v>5</v>
      </c>
      <c r="AK1400" s="4">
        <v>19</v>
      </c>
      <c r="AL1400" s="4">
        <v>31</v>
      </c>
      <c r="AM1400" s="4">
        <v>57</v>
      </c>
      <c r="AN1400" s="4">
        <v>0</v>
      </c>
      <c r="AO1400" s="4">
        <v>2</v>
      </c>
      <c r="AP1400" s="4">
        <v>5</v>
      </c>
      <c r="AQ1400" s="4">
        <v>27</v>
      </c>
      <c r="AR1400" s="3" t="s">
        <v>65</v>
      </c>
      <c r="AS1400" s="3" t="s">
        <v>65</v>
      </c>
      <c r="AT1400" s="3" t="s">
        <v>65</v>
      </c>
      <c r="AV1400" s="6" t="str">
        <f>HYPERLINK("http://mcgill.on.worldcat.org/oclc/36047271","Catalog Record")</f>
        <v>Catalog Record</v>
      </c>
      <c r="AW1400" s="6" t="str">
        <f>HYPERLINK("http://www.worldcat.org/oclc/36047271","WorldCat Record")</f>
        <v>WorldCat Record</v>
      </c>
      <c r="AX1400" s="3" t="s">
        <v>13774</v>
      </c>
      <c r="AY1400" s="3" t="s">
        <v>13847</v>
      </c>
      <c r="AZ1400" s="3" t="s">
        <v>13848</v>
      </c>
      <c r="BA1400" s="3" t="s">
        <v>13848</v>
      </c>
      <c r="BB1400" s="3" t="s">
        <v>13853</v>
      </c>
      <c r="BC1400" s="3" t="s">
        <v>77</v>
      </c>
      <c r="BD1400" s="3" t="s">
        <v>78</v>
      </c>
      <c r="BE1400" s="3" t="s">
        <v>13850</v>
      </c>
      <c r="BF1400" s="3" t="s">
        <v>13853</v>
      </c>
      <c r="BG1400" s="3" t="s">
        <v>13854</v>
      </c>
    </row>
    <row r="1401" spans="1:59" ht="58" x14ac:dyDescent="0.35">
      <c r="A1401" s="2" t="s">
        <v>59</v>
      </c>
      <c r="B1401" s="2" t="s">
        <v>60</v>
      </c>
      <c r="C1401" s="2" t="s">
        <v>13855</v>
      </c>
      <c r="D1401" s="2" t="s">
        <v>13856</v>
      </c>
      <c r="E1401" s="2" t="s">
        <v>13857</v>
      </c>
      <c r="G1401" s="3" t="s">
        <v>65</v>
      </c>
      <c r="I1401" s="3" t="s">
        <v>65</v>
      </c>
      <c r="J1401" s="3" t="s">
        <v>65</v>
      </c>
      <c r="K1401" s="3" t="s">
        <v>66</v>
      </c>
      <c r="L1401" s="2" t="s">
        <v>13858</v>
      </c>
      <c r="M1401" s="2" t="s">
        <v>13859</v>
      </c>
      <c r="N1401" s="3" t="s">
        <v>479</v>
      </c>
      <c r="P1401" s="3" t="s">
        <v>140</v>
      </c>
      <c r="Q1401" s="2" t="s">
        <v>13860</v>
      </c>
      <c r="R1401" s="3" t="s">
        <v>71</v>
      </c>
      <c r="S1401" s="4">
        <v>2</v>
      </c>
      <c r="T1401" s="4">
        <v>2</v>
      </c>
      <c r="U1401" s="5" t="s">
        <v>13773</v>
      </c>
      <c r="V1401" s="5" t="s">
        <v>13773</v>
      </c>
      <c r="W1401" s="5" t="s">
        <v>72</v>
      </c>
      <c r="X1401" s="5" t="s">
        <v>72</v>
      </c>
      <c r="Y1401" s="4">
        <v>79</v>
      </c>
      <c r="Z1401" s="4">
        <v>8</v>
      </c>
      <c r="AA1401" s="4">
        <v>9</v>
      </c>
      <c r="AB1401" s="4">
        <v>1</v>
      </c>
      <c r="AC1401" s="4">
        <v>2</v>
      </c>
      <c r="AD1401" s="4">
        <v>46</v>
      </c>
      <c r="AE1401" s="4">
        <v>46</v>
      </c>
      <c r="AF1401" s="4">
        <v>0</v>
      </c>
      <c r="AG1401" s="4">
        <v>0</v>
      </c>
      <c r="AH1401" s="4">
        <v>43</v>
      </c>
      <c r="AI1401" s="4">
        <v>43</v>
      </c>
      <c r="AJ1401" s="4">
        <v>5</v>
      </c>
      <c r="AK1401" s="4">
        <v>5</v>
      </c>
      <c r="AL1401" s="4">
        <v>32</v>
      </c>
      <c r="AM1401" s="4">
        <v>32</v>
      </c>
      <c r="AN1401" s="4">
        <v>0</v>
      </c>
      <c r="AO1401" s="4">
        <v>0</v>
      </c>
      <c r="AP1401" s="4">
        <v>5</v>
      </c>
      <c r="AQ1401" s="4">
        <v>5</v>
      </c>
      <c r="AR1401" s="3" t="s">
        <v>65</v>
      </c>
      <c r="AS1401" s="3" t="s">
        <v>65</v>
      </c>
      <c r="AT1401" s="3" t="s">
        <v>209</v>
      </c>
      <c r="AU1401" s="6" t="str">
        <f>HYPERLINK("http://catalog.hathitrust.org/Record/005668418","HathiTrust Record")</f>
        <v>HathiTrust Record</v>
      </c>
      <c r="AV1401" s="6" t="str">
        <f>HYPERLINK("http://mcgill.on.worldcat.org/oclc/209327722","Catalog Record")</f>
        <v>Catalog Record</v>
      </c>
      <c r="AW1401" s="6" t="str">
        <f>HYPERLINK("http://www.worldcat.org/oclc/209327722","WorldCat Record")</f>
        <v>WorldCat Record</v>
      </c>
      <c r="AX1401" s="3" t="s">
        <v>13861</v>
      </c>
      <c r="AY1401" s="3" t="s">
        <v>13862</v>
      </c>
      <c r="AZ1401" s="3" t="s">
        <v>13863</v>
      </c>
      <c r="BA1401" s="3" t="s">
        <v>13863</v>
      </c>
      <c r="BB1401" s="3" t="s">
        <v>13864</v>
      </c>
      <c r="BC1401" s="3" t="s">
        <v>77</v>
      </c>
      <c r="BD1401" s="3" t="s">
        <v>78</v>
      </c>
      <c r="BE1401" s="3" t="s">
        <v>13865</v>
      </c>
      <c r="BF1401" s="3" t="s">
        <v>13864</v>
      </c>
      <c r="BG1401" s="3" t="s">
        <v>13866</v>
      </c>
    </row>
    <row r="1402" spans="1:59" ht="58" x14ac:dyDescent="0.35">
      <c r="A1402" s="2" t="s">
        <v>59</v>
      </c>
      <c r="B1402" s="2" t="s">
        <v>60</v>
      </c>
      <c r="C1402" s="2" t="s">
        <v>13867</v>
      </c>
      <c r="D1402" s="2" t="s">
        <v>13868</v>
      </c>
      <c r="E1402" s="2" t="s">
        <v>13869</v>
      </c>
      <c r="G1402" s="3" t="s">
        <v>65</v>
      </c>
      <c r="I1402" s="3" t="s">
        <v>65</v>
      </c>
      <c r="J1402" s="3" t="s">
        <v>65</v>
      </c>
      <c r="K1402" s="3" t="s">
        <v>66</v>
      </c>
      <c r="L1402" s="2" t="s">
        <v>1137</v>
      </c>
      <c r="M1402" s="2" t="s">
        <v>13870</v>
      </c>
      <c r="N1402" s="3" t="s">
        <v>2460</v>
      </c>
      <c r="P1402" s="3" t="s">
        <v>69</v>
      </c>
      <c r="R1402" s="3" t="s">
        <v>71</v>
      </c>
      <c r="S1402" s="4">
        <v>20</v>
      </c>
      <c r="T1402" s="4">
        <v>20</v>
      </c>
      <c r="U1402" s="5" t="s">
        <v>13871</v>
      </c>
      <c r="V1402" s="5" t="s">
        <v>13871</v>
      </c>
      <c r="W1402" s="5" t="s">
        <v>72</v>
      </c>
      <c r="X1402" s="5" t="s">
        <v>72</v>
      </c>
      <c r="Y1402" s="4">
        <v>330</v>
      </c>
      <c r="Z1402" s="4">
        <v>24</v>
      </c>
      <c r="AA1402" s="4">
        <v>25</v>
      </c>
      <c r="AB1402" s="4">
        <v>1</v>
      </c>
      <c r="AC1402" s="4">
        <v>2</v>
      </c>
      <c r="AD1402" s="4">
        <v>90</v>
      </c>
      <c r="AE1402" s="4">
        <v>92</v>
      </c>
      <c r="AF1402" s="4">
        <v>0</v>
      </c>
      <c r="AG1402" s="4">
        <v>0</v>
      </c>
      <c r="AH1402" s="4">
        <v>84</v>
      </c>
      <c r="AI1402" s="4">
        <v>86</v>
      </c>
      <c r="AJ1402" s="4">
        <v>11</v>
      </c>
      <c r="AK1402" s="4">
        <v>11</v>
      </c>
      <c r="AL1402" s="4">
        <v>49</v>
      </c>
      <c r="AM1402" s="4">
        <v>50</v>
      </c>
      <c r="AN1402" s="4">
        <v>0</v>
      </c>
      <c r="AO1402" s="4">
        <v>0</v>
      </c>
      <c r="AP1402" s="4">
        <v>13</v>
      </c>
      <c r="AQ1402" s="4">
        <v>13</v>
      </c>
      <c r="AR1402" s="3" t="s">
        <v>65</v>
      </c>
      <c r="AS1402" s="3" t="s">
        <v>65</v>
      </c>
      <c r="AT1402" s="3" t="s">
        <v>65</v>
      </c>
      <c r="AV1402" s="6" t="str">
        <f>HYPERLINK("http://mcgill.on.worldcat.org/oclc/17842351","Catalog Record")</f>
        <v>Catalog Record</v>
      </c>
      <c r="AW1402" s="6" t="str">
        <f>HYPERLINK("http://www.worldcat.org/oclc/17842351","WorldCat Record")</f>
        <v>WorldCat Record</v>
      </c>
      <c r="AX1402" s="3" t="s">
        <v>13872</v>
      </c>
      <c r="AY1402" s="3" t="s">
        <v>13873</v>
      </c>
      <c r="AZ1402" s="3" t="s">
        <v>13874</v>
      </c>
      <c r="BA1402" s="3" t="s">
        <v>13874</v>
      </c>
      <c r="BB1402" s="3" t="s">
        <v>13875</v>
      </c>
      <c r="BC1402" s="3" t="s">
        <v>77</v>
      </c>
      <c r="BD1402" s="3" t="s">
        <v>78</v>
      </c>
      <c r="BE1402" s="3" t="s">
        <v>13876</v>
      </c>
      <c r="BF1402" s="3" t="s">
        <v>13875</v>
      </c>
      <c r="BG1402" s="3" t="s">
        <v>13877</v>
      </c>
    </row>
    <row r="1403" spans="1:59" ht="58" x14ac:dyDescent="0.35">
      <c r="A1403" s="2" t="s">
        <v>59</v>
      </c>
      <c r="B1403" s="2" t="s">
        <v>60</v>
      </c>
      <c r="C1403" s="2" t="s">
        <v>13878</v>
      </c>
      <c r="D1403" s="2" t="s">
        <v>13879</v>
      </c>
      <c r="E1403" s="2" t="s">
        <v>13880</v>
      </c>
      <c r="G1403" s="3" t="s">
        <v>65</v>
      </c>
      <c r="I1403" s="3" t="s">
        <v>65</v>
      </c>
      <c r="J1403" s="3" t="s">
        <v>65</v>
      </c>
      <c r="K1403" s="3" t="s">
        <v>66</v>
      </c>
      <c r="M1403" s="2" t="s">
        <v>4296</v>
      </c>
      <c r="N1403" s="3" t="s">
        <v>221</v>
      </c>
      <c r="P1403" s="3" t="s">
        <v>140</v>
      </c>
      <c r="Q1403" s="2" t="s">
        <v>13881</v>
      </c>
      <c r="R1403" s="3" t="s">
        <v>71</v>
      </c>
      <c r="S1403" s="4">
        <v>6</v>
      </c>
      <c r="T1403" s="4">
        <v>6</v>
      </c>
      <c r="U1403" s="5" t="s">
        <v>13773</v>
      </c>
      <c r="V1403" s="5" t="s">
        <v>13773</v>
      </c>
      <c r="W1403" s="5" t="s">
        <v>72</v>
      </c>
      <c r="X1403" s="5" t="s">
        <v>72</v>
      </c>
      <c r="Y1403" s="4">
        <v>81</v>
      </c>
      <c r="Z1403" s="4">
        <v>7</v>
      </c>
      <c r="AA1403" s="4">
        <v>7</v>
      </c>
      <c r="AB1403" s="4">
        <v>1</v>
      </c>
      <c r="AC1403" s="4">
        <v>1</v>
      </c>
      <c r="AD1403" s="4">
        <v>37</v>
      </c>
      <c r="AE1403" s="4">
        <v>37</v>
      </c>
      <c r="AF1403" s="4">
        <v>0</v>
      </c>
      <c r="AG1403" s="4">
        <v>0</v>
      </c>
      <c r="AH1403" s="4">
        <v>35</v>
      </c>
      <c r="AI1403" s="4">
        <v>35</v>
      </c>
      <c r="AJ1403" s="4">
        <v>4</v>
      </c>
      <c r="AK1403" s="4">
        <v>4</v>
      </c>
      <c r="AL1403" s="4">
        <v>25</v>
      </c>
      <c r="AM1403" s="4">
        <v>25</v>
      </c>
      <c r="AN1403" s="4">
        <v>0</v>
      </c>
      <c r="AO1403" s="4">
        <v>0</v>
      </c>
      <c r="AP1403" s="4">
        <v>4</v>
      </c>
      <c r="AQ1403" s="4">
        <v>4</v>
      </c>
      <c r="AR1403" s="3" t="s">
        <v>65</v>
      </c>
      <c r="AS1403" s="3" t="s">
        <v>65</v>
      </c>
      <c r="AT1403" s="3" t="s">
        <v>65</v>
      </c>
      <c r="AV1403" s="6" t="str">
        <f>HYPERLINK("http://mcgill.on.worldcat.org/oclc/82148703","Catalog Record")</f>
        <v>Catalog Record</v>
      </c>
      <c r="AW1403" s="6" t="str">
        <f>HYPERLINK("http://www.worldcat.org/oclc/82148703","WorldCat Record")</f>
        <v>WorldCat Record</v>
      </c>
      <c r="AX1403" s="3" t="s">
        <v>13882</v>
      </c>
      <c r="AY1403" s="3" t="s">
        <v>13883</v>
      </c>
      <c r="AZ1403" s="3" t="s">
        <v>13884</v>
      </c>
      <c r="BA1403" s="3" t="s">
        <v>13884</v>
      </c>
      <c r="BB1403" s="3" t="s">
        <v>13885</v>
      </c>
      <c r="BC1403" s="3" t="s">
        <v>77</v>
      </c>
      <c r="BD1403" s="3" t="s">
        <v>78</v>
      </c>
      <c r="BE1403" s="3" t="s">
        <v>13886</v>
      </c>
      <c r="BF1403" s="3" t="s">
        <v>13885</v>
      </c>
      <c r="BG1403" s="3" t="s">
        <v>13887</v>
      </c>
    </row>
    <row r="1404" spans="1:59" ht="58" x14ac:dyDescent="0.35">
      <c r="A1404" s="2" t="s">
        <v>59</v>
      </c>
      <c r="B1404" s="2" t="s">
        <v>60</v>
      </c>
      <c r="C1404" s="2" t="s">
        <v>13888</v>
      </c>
      <c r="D1404" s="2" t="s">
        <v>13889</v>
      </c>
      <c r="E1404" s="2" t="s">
        <v>13890</v>
      </c>
      <c r="G1404" s="3" t="s">
        <v>65</v>
      </c>
      <c r="I1404" s="3" t="s">
        <v>65</v>
      </c>
      <c r="J1404" s="3" t="s">
        <v>65</v>
      </c>
      <c r="K1404" s="3" t="s">
        <v>66</v>
      </c>
      <c r="L1404" s="2" t="s">
        <v>13891</v>
      </c>
      <c r="M1404" s="2" t="s">
        <v>9779</v>
      </c>
      <c r="N1404" s="3" t="s">
        <v>126</v>
      </c>
      <c r="O1404" s="2" t="s">
        <v>365</v>
      </c>
      <c r="P1404" s="3" t="s">
        <v>140</v>
      </c>
      <c r="Q1404" s="2" t="s">
        <v>13892</v>
      </c>
      <c r="R1404" s="3" t="s">
        <v>71</v>
      </c>
      <c r="S1404" s="4">
        <v>0</v>
      </c>
      <c r="T1404" s="4">
        <v>0</v>
      </c>
      <c r="W1404" s="5" t="s">
        <v>72</v>
      </c>
      <c r="X1404" s="5" t="s">
        <v>72</v>
      </c>
      <c r="Y1404" s="4">
        <v>35</v>
      </c>
      <c r="Z1404" s="4">
        <v>5</v>
      </c>
      <c r="AA1404" s="4">
        <v>5</v>
      </c>
      <c r="AB1404" s="4">
        <v>1</v>
      </c>
      <c r="AC1404" s="4">
        <v>1</v>
      </c>
      <c r="AD1404" s="4">
        <v>28</v>
      </c>
      <c r="AE1404" s="4">
        <v>28</v>
      </c>
      <c r="AF1404" s="4">
        <v>0</v>
      </c>
      <c r="AG1404" s="4">
        <v>0</v>
      </c>
      <c r="AH1404" s="4">
        <v>27</v>
      </c>
      <c r="AI1404" s="4">
        <v>27</v>
      </c>
      <c r="AJ1404" s="4">
        <v>2</v>
      </c>
      <c r="AK1404" s="4">
        <v>2</v>
      </c>
      <c r="AL1404" s="4">
        <v>21</v>
      </c>
      <c r="AM1404" s="4">
        <v>21</v>
      </c>
      <c r="AN1404" s="4">
        <v>0</v>
      </c>
      <c r="AO1404" s="4">
        <v>0</v>
      </c>
      <c r="AP1404" s="4">
        <v>2</v>
      </c>
      <c r="AQ1404" s="4">
        <v>2</v>
      </c>
      <c r="AR1404" s="3" t="s">
        <v>65</v>
      </c>
      <c r="AS1404" s="3" t="s">
        <v>65</v>
      </c>
      <c r="AT1404" s="3" t="s">
        <v>65</v>
      </c>
      <c r="AV1404" s="6" t="str">
        <f>HYPERLINK("http://mcgill.on.worldcat.org/oclc/813909920","Catalog Record")</f>
        <v>Catalog Record</v>
      </c>
      <c r="AW1404" s="6" t="str">
        <f>HYPERLINK("http://www.worldcat.org/oclc/813909920","WorldCat Record")</f>
        <v>WorldCat Record</v>
      </c>
      <c r="AX1404" s="3" t="s">
        <v>13893</v>
      </c>
      <c r="AY1404" s="3" t="s">
        <v>13894</v>
      </c>
      <c r="AZ1404" s="3" t="s">
        <v>13895</v>
      </c>
      <c r="BA1404" s="3" t="s">
        <v>13895</v>
      </c>
      <c r="BB1404" s="3" t="s">
        <v>13896</v>
      </c>
      <c r="BC1404" s="3" t="s">
        <v>77</v>
      </c>
      <c r="BD1404" s="3" t="s">
        <v>78</v>
      </c>
      <c r="BE1404" s="3" t="s">
        <v>13897</v>
      </c>
      <c r="BF1404" s="3" t="s">
        <v>13896</v>
      </c>
      <c r="BG1404" s="3" t="s">
        <v>13898</v>
      </c>
    </row>
    <row r="1405" spans="1:59" ht="58" x14ac:dyDescent="0.35">
      <c r="A1405" s="2" t="s">
        <v>59</v>
      </c>
      <c r="B1405" s="2" t="s">
        <v>60</v>
      </c>
      <c r="C1405" s="2" t="s">
        <v>13899</v>
      </c>
      <c r="D1405" s="2" t="s">
        <v>13900</v>
      </c>
      <c r="E1405" s="2" t="s">
        <v>13901</v>
      </c>
      <c r="G1405" s="3" t="s">
        <v>65</v>
      </c>
      <c r="I1405" s="3" t="s">
        <v>65</v>
      </c>
      <c r="J1405" s="3" t="s">
        <v>65</v>
      </c>
      <c r="K1405" s="3" t="s">
        <v>66</v>
      </c>
      <c r="L1405" s="2" t="s">
        <v>13902</v>
      </c>
      <c r="M1405" s="2" t="s">
        <v>13903</v>
      </c>
      <c r="N1405" s="3" t="s">
        <v>152</v>
      </c>
      <c r="P1405" s="3" t="s">
        <v>140</v>
      </c>
      <c r="Q1405" s="2" t="s">
        <v>13904</v>
      </c>
      <c r="R1405" s="3" t="s">
        <v>71</v>
      </c>
      <c r="S1405" s="4">
        <v>0</v>
      </c>
      <c r="T1405" s="4">
        <v>0</v>
      </c>
      <c r="U1405" s="5" t="s">
        <v>2061</v>
      </c>
      <c r="V1405" s="5" t="s">
        <v>2061</v>
      </c>
      <c r="W1405" s="5" t="s">
        <v>72</v>
      </c>
      <c r="X1405" s="5" t="s">
        <v>72</v>
      </c>
      <c r="Y1405" s="4">
        <v>53</v>
      </c>
      <c r="Z1405" s="4">
        <v>5</v>
      </c>
      <c r="AA1405" s="4">
        <v>5</v>
      </c>
      <c r="AB1405" s="4">
        <v>1</v>
      </c>
      <c r="AC1405" s="4">
        <v>1</v>
      </c>
      <c r="AD1405" s="4">
        <v>33</v>
      </c>
      <c r="AE1405" s="4">
        <v>33</v>
      </c>
      <c r="AF1405" s="4">
        <v>0</v>
      </c>
      <c r="AG1405" s="4">
        <v>0</v>
      </c>
      <c r="AH1405" s="4">
        <v>32</v>
      </c>
      <c r="AI1405" s="4">
        <v>32</v>
      </c>
      <c r="AJ1405" s="4">
        <v>2</v>
      </c>
      <c r="AK1405" s="4">
        <v>2</v>
      </c>
      <c r="AL1405" s="4">
        <v>26</v>
      </c>
      <c r="AM1405" s="4">
        <v>26</v>
      </c>
      <c r="AN1405" s="4">
        <v>0</v>
      </c>
      <c r="AO1405" s="4">
        <v>0</v>
      </c>
      <c r="AP1405" s="4">
        <v>2</v>
      </c>
      <c r="AQ1405" s="4">
        <v>2</v>
      </c>
      <c r="AR1405" s="3" t="s">
        <v>65</v>
      </c>
      <c r="AS1405" s="3" t="s">
        <v>65</v>
      </c>
      <c r="AT1405" s="3" t="s">
        <v>65</v>
      </c>
      <c r="AV1405" s="6" t="str">
        <f>HYPERLINK("http://mcgill.on.worldcat.org/oclc/846460160","Catalog Record")</f>
        <v>Catalog Record</v>
      </c>
      <c r="AW1405" s="6" t="str">
        <f>HYPERLINK("http://www.worldcat.org/oclc/846460160","WorldCat Record")</f>
        <v>WorldCat Record</v>
      </c>
      <c r="AX1405" s="3" t="s">
        <v>13905</v>
      </c>
      <c r="AY1405" s="3" t="s">
        <v>13906</v>
      </c>
      <c r="AZ1405" s="3" t="s">
        <v>13907</v>
      </c>
      <c r="BA1405" s="3" t="s">
        <v>13907</v>
      </c>
      <c r="BB1405" s="3" t="s">
        <v>13908</v>
      </c>
      <c r="BC1405" s="3" t="s">
        <v>77</v>
      </c>
      <c r="BD1405" s="3" t="s">
        <v>78</v>
      </c>
      <c r="BE1405" s="3" t="s">
        <v>13909</v>
      </c>
      <c r="BF1405" s="3" t="s">
        <v>13908</v>
      </c>
      <c r="BG1405" s="3" t="s">
        <v>13910</v>
      </c>
    </row>
    <row r="1406" spans="1:59" ht="58" x14ac:dyDescent="0.35">
      <c r="A1406" s="2" t="s">
        <v>59</v>
      </c>
      <c r="B1406" s="2" t="s">
        <v>60</v>
      </c>
      <c r="C1406" s="2" t="s">
        <v>13911</v>
      </c>
      <c r="D1406" s="2" t="s">
        <v>13912</v>
      </c>
      <c r="E1406" s="2" t="s">
        <v>13913</v>
      </c>
      <c r="G1406" s="3" t="s">
        <v>65</v>
      </c>
      <c r="I1406" s="3" t="s">
        <v>65</v>
      </c>
      <c r="J1406" s="3" t="s">
        <v>65</v>
      </c>
      <c r="K1406" s="3" t="s">
        <v>66</v>
      </c>
      <c r="L1406" s="2" t="s">
        <v>13914</v>
      </c>
      <c r="M1406" s="2" t="s">
        <v>9779</v>
      </c>
      <c r="N1406" s="3" t="s">
        <v>126</v>
      </c>
      <c r="O1406" s="2" t="s">
        <v>3829</v>
      </c>
      <c r="P1406" s="3" t="s">
        <v>140</v>
      </c>
      <c r="Q1406" s="2" t="s">
        <v>13915</v>
      </c>
      <c r="R1406" s="3" t="s">
        <v>71</v>
      </c>
      <c r="S1406" s="4">
        <v>0</v>
      </c>
      <c r="T1406" s="4">
        <v>0</v>
      </c>
      <c r="W1406" s="5" t="s">
        <v>72</v>
      </c>
      <c r="X1406" s="5" t="s">
        <v>72</v>
      </c>
      <c r="Y1406" s="4">
        <v>40</v>
      </c>
      <c r="Z1406" s="4">
        <v>4</v>
      </c>
      <c r="AA1406" s="4">
        <v>4</v>
      </c>
      <c r="AB1406" s="4">
        <v>1</v>
      </c>
      <c r="AC1406" s="4">
        <v>1</v>
      </c>
      <c r="AD1406" s="4">
        <v>28</v>
      </c>
      <c r="AE1406" s="4">
        <v>28</v>
      </c>
      <c r="AF1406" s="4">
        <v>0</v>
      </c>
      <c r="AG1406" s="4">
        <v>0</v>
      </c>
      <c r="AH1406" s="4">
        <v>27</v>
      </c>
      <c r="AI1406" s="4">
        <v>27</v>
      </c>
      <c r="AJ1406" s="4">
        <v>2</v>
      </c>
      <c r="AK1406" s="4">
        <v>2</v>
      </c>
      <c r="AL1406" s="4">
        <v>22</v>
      </c>
      <c r="AM1406" s="4">
        <v>22</v>
      </c>
      <c r="AN1406" s="4">
        <v>0</v>
      </c>
      <c r="AO1406" s="4">
        <v>0</v>
      </c>
      <c r="AP1406" s="4">
        <v>2</v>
      </c>
      <c r="AQ1406" s="4">
        <v>2</v>
      </c>
      <c r="AR1406" s="3" t="s">
        <v>65</v>
      </c>
      <c r="AS1406" s="3" t="s">
        <v>65</v>
      </c>
      <c r="AT1406" s="3" t="s">
        <v>65</v>
      </c>
      <c r="AV1406" s="6" t="str">
        <f>HYPERLINK("http://mcgill.on.worldcat.org/oclc/744284148","Catalog Record")</f>
        <v>Catalog Record</v>
      </c>
      <c r="AW1406" s="6" t="str">
        <f>HYPERLINK("http://www.worldcat.org/oclc/744284148","WorldCat Record")</f>
        <v>WorldCat Record</v>
      </c>
      <c r="AX1406" s="3" t="s">
        <v>13916</v>
      </c>
      <c r="AY1406" s="3" t="s">
        <v>13917</v>
      </c>
      <c r="AZ1406" s="3" t="s">
        <v>13918</v>
      </c>
      <c r="BA1406" s="3" t="s">
        <v>13918</v>
      </c>
      <c r="BB1406" s="3" t="s">
        <v>13919</v>
      </c>
      <c r="BC1406" s="3" t="s">
        <v>77</v>
      </c>
      <c r="BD1406" s="3" t="s">
        <v>78</v>
      </c>
      <c r="BE1406" s="3" t="s">
        <v>13920</v>
      </c>
      <c r="BF1406" s="3" t="s">
        <v>13919</v>
      </c>
      <c r="BG1406" s="3" t="s">
        <v>13921</v>
      </c>
    </row>
    <row r="1407" spans="1:59" ht="58" x14ac:dyDescent="0.35">
      <c r="A1407" s="2" t="s">
        <v>59</v>
      </c>
      <c r="B1407" s="2" t="s">
        <v>60</v>
      </c>
      <c r="C1407" s="2" t="s">
        <v>13922</v>
      </c>
      <c r="D1407" s="2" t="s">
        <v>13923</v>
      </c>
      <c r="E1407" s="2" t="s">
        <v>13924</v>
      </c>
      <c r="G1407" s="3" t="s">
        <v>65</v>
      </c>
      <c r="I1407" s="3" t="s">
        <v>65</v>
      </c>
      <c r="J1407" s="3" t="s">
        <v>65</v>
      </c>
      <c r="K1407" s="3" t="s">
        <v>66</v>
      </c>
      <c r="L1407" s="2" t="s">
        <v>13925</v>
      </c>
      <c r="M1407" s="2" t="s">
        <v>8633</v>
      </c>
      <c r="N1407" s="3" t="s">
        <v>68</v>
      </c>
      <c r="P1407" s="3" t="s">
        <v>69</v>
      </c>
      <c r="Q1407" s="2" t="s">
        <v>1197</v>
      </c>
      <c r="R1407" s="3" t="s">
        <v>71</v>
      </c>
      <c r="S1407" s="4">
        <v>0</v>
      </c>
      <c r="T1407" s="4">
        <v>0</v>
      </c>
      <c r="W1407" s="5" t="s">
        <v>72</v>
      </c>
      <c r="X1407" s="5" t="s">
        <v>72</v>
      </c>
      <c r="Y1407" s="4">
        <v>103</v>
      </c>
      <c r="Z1407" s="4">
        <v>14</v>
      </c>
      <c r="AA1407" s="4">
        <v>84</v>
      </c>
      <c r="AB1407" s="4">
        <v>2</v>
      </c>
      <c r="AC1407" s="4">
        <v>16</v>
      </c>
      <c r="AD1407" s="4">
        <v>62</v>
      </c>
      <c r="AE1407" s="4">
        <v>121</v>
      </c>
      <c r="AF1407" s="4">
        <v>1</v>
      </c>
      <c r="AG1407" s="4">
        <v>8</v>
      </c>
      <c r="AH1407" s="4">
        <v>54</v>
      </c>
      <c r="AI1407" s="4">
        <v>82</v>
      </c>
      <c r="AJ1407" s="4">
        <v>10</v>
      </c>
      <c r="AK1407" s="4">
        <v>24</v>
      </c>
      <c r="AL1407" s="4">
        <v>40</v>
      </c>
      <c r="AM1407" s="4">
        <v>48</v>
      </c>
      <c r="AN1407" s="4">
        <v>0</v>
      </c>
      <c r="AO1407" s="4">
        <v>0</v>
      </c>
      <c r="AP1407" s="4">
        <v>9</v>
      </c>
      <c r="AQ1407" s="4">
        <v>46</v>
      </c>
      <c r="AR1407" s="3" t="s">
        <v>209</v>
      </c>
      <c r="AS1407" s="3" t="s">
        <v>65</v>
      </c>
      <c r="AT1407" s="3" t="s">
        <v>65</v>
      </c>
      <c r="AV1407" s="6" t="str">
        <f>HYPERLINK("http://mcgill.on.worldcat.org/oclc/936977955","Catalog Record")</f>
        <v>Catalog Record</v>
      </c>
      <c r="AW1407" s="6" t="str">
        <f>HYPERLINK("http://www.worldcat.org/oclc/936977955","WorldCat Record")</f>
        <v>WorldCat Record</v>
      </c>
      <c r="AX1407" s="3" t="s">
        <v>13926</v>
      </c>
      <c r="AY1407" s="3" t="s">
        <v>13927</v>
      </c>
      <c r="AZ1407" s="3" t="s">
        <v>13928</v>
      </c>
      <c r="BA1407" s="3" t="s">
        <v>13928</v>
      </c>
      <c r="BB1407" s="3" t="s">
        <v>13929</v>
      </c>
      <c r="BC1407" s="3" t="s">
        <v>77</v>
      </c>
      <c r="BD1407" s="3" t="s">
        <v>78</v>
      </c>
      <c r="BE1407" s="3" t="s">
        <v>13930</v>
      </c>
      <c r="BF1407" s="3" t="s">
        <v>13929</v>
      </c>
      <c r="BG1407" s="3" t="s">
        <v>13931</v>
      </c>
    </row>
    <row r="1408" spans="1:59" ht="58" x14ac:dyDescent="0.35">
      <c r="A1408" s="2" t="s">
        <v>59</v>
      </c>
      <c r="B1408" s="2" t="s">
        <v>60</v>
      </c>
      <c r="C1408" s="2" t="s">
        <v>13932</v>
      </c>
      <c r="D1408" s="2" t="s">
        <v>13933</v>
      </c>
      <c r="E1408" s="2" t="s">
        <v>13934</v>
      </c>
      <c r="G1408" s="3" t="s">
        <v>65</v>
      </c>
      <c r="I1408" s="3" t="s">
        <v>65</v>
      </c>
      <c r="J1408" s="3" t="s">
        <v>65</v>
      </c>
      <c r="K1408" s="3" t="s">
        <v>66</v>
      </c>
      <c r="M1408" s="2" t="s">
        <v>13935</v>
      </c>
      <c r="N1408" s="3" t="s">
        <v>221</v>
      </c>
      <c r="P1408" s="3" t="s">
        <v>69</v>
      </c>
      <c r="Q1408" s="2" t="s">
        <v>13936</v>
      </c>
      <c r="R1408" s="3" t="s">
        <v>71</v>
      </c>
      <c r="S1408" s="4">
        <v>3</v>
      </c>
      <c r="T1408" s="4">
        <v>3</v>
      </c>
      <c r="U1408" s="5" t="s">
        <v>4357</v>
      </c>
      <c r="V1408" s="5" t="s">
        <v>4357</v>
      </c>
      <c r="W1408" s="5" t="s">
        <v>72</v>
      </c>
      <c r="X1408" s="5" t="s">
        <v>72</v>
      </c>
      <c r="Y1408" s="4">
        <v>188</v>
      </c>
      <c r="Z1408" s="4">
        <v>16</v>
      </c>
      <c r="AA1408" s="4">
        <v>16</v>
      </c>
      <c r="AB1408" s="4">
        <v>1</v>
      </c>
      <c r="AC1408" s="4">
        <v>1</v>
      </c>
      <c r="AD1408" s="4">
        <v>70</v>
      </c>
      <c r="AE1408" s="4">
        <v>71</v>
      </c>
      <c r="AF1408" s="4">
        <v>0</v>
      </c>
      <c r="AG1408" s="4">
        <v>0</v>
      </c>
      <c r="AH1408" s="4">
        <v>62</v>
      </c>
      <c r="AI1408" s="4">
        <v>63</v>
      </c>
      <c r="AJ1408" s="4">
        <v>12</v>
      </c>
      <c r="AK1408" s="4">
        <v>12</v>
      </c>
      <c r="AL1408" s="4">
        <v>36</v>
      </c>
      <c r="AM1408" s="4">
        <v>36</v>
      </c>
      <c r="AN1408" s="4">
        <v>0</v>
      </c>
      <c r="AO1408" s="4">
        <v>0</v>
      </c>
      <c r="AP1408" s="4">
        <v>13</v>
      </c>
      <c r="AQ1408" s="4">
        <v>13</v>
      </c>
      <c r="AR1408" s="3" t="s">
        <v>65</v>
      </c>
      <c r="AS1408" s="3" t="s">
        <v>65</v>
      </c>
      <c r="AT1408" s="3" t="s">
        <v>209</v>
      </c>
      <c r="AU1408" s="6" t="str">
        <f>HYPERLINK("http://catalog.hathitrust.org/Record/005679488","HathiTrust Record")</f>
        <v>HathiTrust Record</v>
      </c>
      <c r="AV1408" s="6" t="str">
        <f>HYPERLINK("http://mcgill.on.worldcat.org/oclc/123797168","Catalog Record")</f>
        <v>Catalog Record</v>
      </c>
      <c r="AW1408" s="6" t="str">
        <f>HYPERLINK("http://www.worldcat.org/oclc/123797168","WorldCat Record")</f>
        <v>WorldCat Record</v>
      </c>
      <c r="AX1408" s="3" t="s">
        <v>13937</v>
      </c>
      <c r="AY1408" s="3" t="s">
        <v>13938</v>
      </c>
      <c r="AZ1408" s="3" t="s">
        <v>13939</v>
      </c>
      <c r="BA1408" s="3" t="s">
        <v>13939</v>
      </c>
      <c r="BB1408" s="3" t="s">
        <v>13940</v>
      </c>
      <c r="BC1408" s="3" t="s">
        <v>77</v>
      </c>
      <c r="BD1408" s="3" t="s">
        <v>78</v>
      </c>
      <c r="BE1408" s="3" t="s">
        <v>13941</v>
      </c>
      <c r="BF1408" s="3" t="s">
        <v>13940</v>
      </c>
      <c r="BG1408" s="3" t="s">
        <v>13942</v>
      </c>
    </row>
    <row r="1409" spans="1:59" ht="58" x14ac:dyDescent="0.35">
      <c r="A1409" s="2" t="s">
        <v>59</v>
      </c>
      <c r="B1409" s="2" t="s">
        <v>60</v>
      </c>
      <c r="C1409" s="2" t="s">
        <v>13943</v>
      </c>
      <c r="D1409" s="2" t="s">
        <v>13944</v>
      </c>
      <c r="E1409" s="2" t="s">
        <v>13945</v>
      </c>
      <c r="G1409" s="3" t="s">
        <v>65</v>
      </c>
      <c r="I1409" s="3" t="s">
        <v>65</v>
      </c>
      <c r="J1409" s="3" t="s">
        <v>65</v>
      </c>
      <c r="K1409" s="3" t="s">
        <v>66</v>
      </c>
      <c r="L1409" s="2" t="s">
        <v>13946</v>
      </c>
      <c r="M1409" s="2" t="s">
        <v>13947</v>
      </c>
      <c r="N1409" s="3" t="s">
        <v>863</v>
      </c>
      <c r="P1409" s="3" t="s">
        <v>69</v>
      </c>
      <c r="R1409" s="3" t="s">
        <v>71</v>
      </c>
      <c r="S1409" s="4">
        <v>13</v>
      </c>
      <c r="T1409" s="4">
        <v>13</v>
      </c>
      <c r="U1409" s="5" t="s">
        <v>785</v>
      </c>
      <c r="V1409" s="5" t="s">
        <v>785</v>
      </c>
      <c r="W1409" s="5" t="s">
        <v>72</v>
      </c>
      <c r="X1409" s="5" t="s">
        <v>72</v>
      </c>
      <c r="Y1409" s="4">
        <v>327</v>
      </c>
      <c r="Z1409" s="4">
        <v>20</v>
      </c>
      <c r="AA1409" s="4">
        <v>20</v>
      </c>
      <c r="AB1409" s="4">
        <v>1</v>
      </c>
      <c r="AC1409" s="4">
        <v>1</v>
      </c>
      <c r="AD1409" s="4">
        <v>108</v>
      </c>
      <c r="AE1409" s="4">
        <v>108</v>
      </c>
      <c r="AF1409" s="4">
        <v>0</v>
      </c>
      <c r="AG1409" s="4">
        <v>0</v>
      </c>
      <c r="AH1409" s="4">
        <v>101</v>
      </c>
      <c r="AI1409" s="4">
        <v>101</v>
      </c>
      <c r="AJ1409" s="4">
        <v>14</v>
      </c>
      <c r="AK1409" s="4">
        <v>14</v>
      </c>
      <c r="AL1409" s="4">
        <v>54</v>
      </c>
      <c r="AM1409" s="4">
        <v>54</v>
      </c>
      <c r="AN1409" s="4">
        <v>0</v>
      </c>
      <c r="AO1409" s="4">
        <v>0</v>
      </c>
      <c r="AP1409" s="4">
        <v>14</v>
      </c>
      <c r="AQ1409" s="4">
        <v>14</v>
      </c>
      <c r="AR1409" s="3" t="s">
        <v>65</v>
      </c>
      <c r="AS1409" s="3" t="s">
        <v>65</v>
      </c>
      <c r="AT1409" s="3" t="s">
        <v>65</v>
      </c>
      <c r="AV1409" s="6" t="str">
        <f>HYPERLINK("http://mcgill.on.worldcat.org/oclc/24107821","Catalog Record")</f>
        <v>Catalog Record</v>
      </c>
      <c r="AW1409" s="6" t="str">
        <f>HYPERLINK("http://www.worldcat.org/oclc/24107821","WorldCat Record")</f>
        <v>WorldCat Record</v>
      </c>
      <c r="AX1409" s="3" t="s">
        <v>13948</v>
      </c>
      <c r="AY1409" s="3" t="s">
        <v>13949</v>
      </c>
      <c r="AZ1409" s="3" t="s">
        <v>13950</v>
      </c>
      <c r="BA1409" s="3" t="s">
        <v>13950</v>
      </c>
      <c r="BB1409" s="3" t="s">
        <v>13951</v>
      </c>
      <c r="BC1409" s="3" t="s">
        <v>77</v>
      </c>
      <c r="BD1409" s="3" t="s">
        <v>78</v>
      </c>
      <c r="BE1409" s="3" t="s">
        <v>13952</v>
      </c>
      <c r="BF1409" s="3" t="s">
        <v>13951</v>
      </c>
      <c r="BG1409" s="3" t="s">
        <v>13953</v>
      </c>
    </row>
    <row r="1410" spans="1:59" ht="58" x14ac:dyDescent="0.35">
      <c r="A1410" s="2" t="s">
        <v>59</v>
      </c>
      <c r="B1410" s="2" t="s">
        <v>60</v>
      </c>
      <c r="C1410" s="2" t="s">
        <v>13954</v>
      </c>
      <c r="D1410" s="2" t="s">
        <v>13955</v>
      </c>
      <c r="E1410" s="2" t="s">
        <v>13956</v>
      </c>
      <c r="G1410" s="3" t="s">
        <v>65</v>
      </c>
      <c r="I1410" s="3" t="s">
        <v>65</v>
      </c>
      <c r="J1410" s="3" t="s">
        <v>65</v>
      </c>
      <c r="K1410" s="3" t="s">
        <v>66</v>
      </c>
      <c r="L1410" s="2" t="s">
        <v>13946</v>
      </c>
      <c r="M1410" s="2" t="s">
        <v>13957</v>
      </c>
      <c r="N1410" s="3" t="s">
        <v>4688</v>
      </c>
      <c r="P1410" s="3" t="s">
        <v>69</v>
      </c>
      <c r="R1410" s="3" t="s">
        <v>71</v>
      </c>
      <c r="S1410" s="4">
        <v>10</v>
      </c>
      <c r="T1410" s="4">
        <v>10</v>
      </c>
      <c r="U1410" s="5" t="s">
        <v>785</v>
      </c>
      <c r="V1410" s="5" t="s">
        <v>785</v>
      </c>
      <c r="W1410" s="5" t="s">
        <v>72</v>
      </c>
      <c r="X1410" s="5" t="s">
        <v>72</v>
      </c>
      <c r="Y1410" s="4">
        <v>281</v>
      </c>
      <c r="Z1410" s="4">
        <v>19</v>
      </c>
      <c r="AA1410" s="4">
        <v>19</v>
      </c>
      <c r="AB1410" s="4">
        <v>1</v>
      </c>
      <c r="AC1410" s="4">
        <v>1</v>
      </c>
      <c r="AD1410" s="4">
        <v>106</v>
      </c>
      <c r="AE1410" s="4">
        <v>107</v>
      </c>
      <c r="AF1410" s="4">
        <v>0</v>
      </c>
      <c r="AG1410" s="4">
        <v>0</v>
      </c>
      <c r="AH1410" s="4">
        <v>99</v>
      </c>
      <c r="AI1410" s="4">
        <v>100</v>
      </c>
      <c r="AJ1410" s="4">
        <v>13</v>
      </c>
      <c r="AK1410" s="4">
        <v>13</v>
      </c>
      <c r="AL1410" s="4">
        <v>53</v>
      </c>
      <c r="AM1410" s="4">
        <v>53</v>
      </c>
      <c r="AN1410" s="4">
        <v>0</v>
      </c>
      <c r="AO1410" s="4">
        <v>0</v>
      </c>
      <c r="AP1410" s="4">
        <v>15</v>
      </c>
      <c r="AQ1410" s="4">
        <v>15</v>
      </c>
      <c r="AR1410" s="3" t="s">
        <v>65</v>
      </c>
      <c r="AS1410" s="3" t="s">
        <v>65</v>
      </c>
      <c r="AT1410" s="3" t="s">
        <v>209</v>
      </c>
      <c r="AU1410" s="6" t="str">
        <f>HYPERLINK("http://catalog.hathitrust.org/Record/000470353","HathiTrust Record")</f>
        <v>HathiTrust Record</v>
      </c>
      <c r="AV1410" s="6" t="str">
        <f>HYPERLINK("http://mcgill.on.worldcat.org/oclc/10323844","Catalog Record")</f>
        <v>Catalog Record</v>
      </c>
      <c r="AW1410" s="6" t="str">
        <f>HYPERLINK("http://www.worldcat.org/oclc/10323844","WorldCat Record")</f>
        <v>WorldCat Record</v>
      </c>
      <c r="AX1410" s="3" t="s">
        <v>13958</v>
      </c>
      <c r="AY1410" s="3" t="s">
        <v>13959</v>
      </c>
      <c r="AZ1410" s="3" t="s">
        <v>13960</v>
      </c>
      <c r="BA1410" s="3" t="s">
        <v>13960</v>
      </c>
      <c r="BB1410" s="3" t="s">
        <v>13961</v>
      </c>
      <c r="BC1410" s="3" t="s">
        <v>77</v>
      </c>
      <c r="BD1410" s="3" t="s">
        <v>78</v>
      </c>
      <c r="BE1410" s="3" t="s">
        <v>13962</v>
      </c>
      <c r="BF1410" s="3" t="s">
        <v>13961</v>
      </c>
      <c r="BG1410" s="3" t="s">
        <v>13963</v>
      </c>
    </row>
    <row r="1411" spans="1:59" ht="58" x14ac:dyDescent="0.35">
      <c r="A1411" s="2" t="s">
        <v>59</v>
      </c>
      <c r="B1411" s="2" t="s">
        <v>60</v>
      </c>
      <c r="C1411" s="2" t="s">
        <v>13964</v>
      </c>
      <c r="D1411" s="2" t="s">
        <v>13965</v>
      </c>
      <c r="E1411" s="2" t="s">
        <v>13966</v>
      </c>
      <c r="G1411" s="3" t="s">
        <v>65</v>
      </c>
      <c r="I1411" s="3" t="s">
        <v>65</v>
      </c>
      <c r="J1411" s="3" t="s">
        <v>65</v>
      </c>
      <c r="K1411" s="3" t="s">
        <v>66</v>
      </c>
      <c r="M1411" s="2" t="s">
        <v>13967</v>
      </c>
      <c r="N1411" s="3" t="s">
        <v>164</v>
      </c>
      <c r="P1411" s="3" t="s">
        <v>69</v>
      </c>
      <c r="Q1411" s="2" t="s">
        <v>13968</v>
      </c>
      <c r="R1411" s="3" t="s">
        <v>71</v>
      </c>
      <c r="S1411" s="4">
        <v>1</v>
      </c>
      <c r="T1411" s="4">
        <v>1</v>
      </c>
      <c r="U1411" s="5" t="s">
        <v>785</v>
      </c>
      <c r="V1411" s="5" t="s">
        <v>785</v>
      </c>
      <c r="W1411" s="5" t="s">
        <v>72</v>
      </c>
      <c r="X1411" s="5" t="s">
        <v>72</v>
      </c>
      <c r="Y1411" s="4">
        <v>146</v>
      </c>
      <c r="Z1411" s="4">
        <v>13</v>
      </c>
      <c r="AA1411" s="4">
        <v>13</v>
      </c>
      <c r="AB1411" s="4">
        <v>1</v>
      </c>
      <c r="AC1411" s="4">
        <v>1</v>
      </c>
      <c r="AD1411" s="4">
        <v>61</v>
      </c>
      <c r="AE1411" s="4">
        <v>61</v>
      </c>
      <c r="AF1411" s="4">
        <v>0</v>
      </c>
      <c r="AG1411" s="4">
        <v>0</v>
      </c>
      <c r="AH1411" s="4">
        <v>56</v>
      </c>
      <c r="AI1411" s="4">
        <v>56</v>
      </c>
      <c r="AJ1411" s="4">
        <v>10</v>
      </c>
      <c r="AK1411" s="4">
        <v>10</v>
      </c>
      <c r="AL1411" s="4">
        <v>35</v>
      </c>
      <c r="AM1411" s="4">
        <v>35</v>
      </c>
      <c r="AN1411" s="4">
        <v>0</v>
      </c>
      <c r="AO1411" s="4">
        <v>0</v>
      </c>
      <c r="AP1411" s="4">
        <v>10</v>
      </c>
      <c r="AQ1411" s="4">
        <v>10</v>
      </c>
      <c r="AR1411" s="3" t="s">
        <v>65</v>
      </c>
      <c r="AS1411" s="3" t="s">
        <v>65</v>
      </c>
      <c r="AT1411" s="3" t="s">
        <v>65</v>
      </c>
      <c r="AV1411" s="6" t="str">
        <f>HYPERLINK("http://mcgill.on.worldcat.org/oclc/878953786","Catalog Record")</f>
        <v>Catalog Record</v>
      </c>
      <c r="AW1411" s="6" t="str">
        <f>HYPERLINK("http://www.worldcat.org/oclc/878953786","WorldCat Record")</f>
        <v>WorldCat Record</v>
      </c>
      <c r="AX1411" s="3" t="s">
        <v>13969</v>
      </c>
      <c r="AY1411" s="3" t="s">
        <v>13970</v>
      </c>
      <c r="AZ1411" s="3" t="s">
        <v>13971</v>
      </c>
      <c r="BA1411" s="3" t="s">
        <v>13971</v>
      </c>
      <c r="BB1411" s="3" t="s">
        <v>13972</v>
      </c>
      <c r="BC1411" s="3" t="s">
        <v>77</v>
      </c>
      <c r="BD1411" s="3" t="s">
        <v>78</v>
      </c>
      <c r="BE1411" s="3" t="s">
        <v>13973</v>
      </c>
      <c r="BF1411" s="3" t="s">
        <v>13972</v>
      </c>
      <c r="BG1411" s="3" t="s">
        <v>13974</v>
      </c>
    </row>
    <row r="1412" spans="1:59" ht="58" x14ac:dyDescent="0.35">
      <c r="A1412" s="2" t="s">
        <v>59</v>
      </c>
      <c r="B1412" s="2" t="s">
        <v>60</v>
      </c>
      <c r="C1412" s="2" t="s">
        <v>13975</v>
      </c>
      <c r="D1412" s="2" t="s">
        <v>13976</v>
      </c>
      <c r="E1412" s="2" t="s">
        <v>13977</v>
      </c>
      <c r="F1412" s="3" t="s">
        <v>245</v>
      </c>
      <c r="G1412" s="3" t="s">
        <v>209</v>
      </c>
      <c r="I1412" s="3" t="s">
        <v>65</v>
      </c>
      <c r="J1412" s="3" t="s">
        <v>65</v>
      </c>
      <c r="K1412" s="3" t="s">
        <v>66</v>
      </c>
      <c r="L1412" s="2" t="s">
        <v>4726</v>
      </c>
      <c r="M1412" s="2" t="s">
        <v>10140</v>
      </c>
      <c r="N1412" s="3" t="s">
        <v>126</v>
      </c>
      <c r="P1412" s="3" t="s">
        <v>13978</v>
      </c>
      <c r="Q1412" s="2" t="s">
        <v>13979</v>
      </c>
      <c r="R1412" s="3" t="s">
        <v>71</v>
      </c>
      <c r="S1412" s="4">
        <v>0</v>
      </c>
      <c r="T1412" s="4">
        <v>0</v>
      </c>
      <c r="W1412" s="5" t="s">
        <v>72</v>
      </c>
      <c r="X1412" s="5" t="s">
        <v>72</v>
      </c>
      <c r="Y1412" s="4">
        <v>9</v>
      </c>
      <c r="Z1412" s="4">
        <v>1</v>
      </c>
      <c r="AA1412" s="4">
        <v>1</v>
      </c>
      <c r="AB1412" s="4">
        <v>1</v>
      </c>
      <c r="AC1412" s="4">
        <v>1</v>
      </c>
      <c r="AD1412" s="4">
        <v>3</v>
      </c>
      <c r="AE1412" s="4">
        <v>3</v>
      </c>
      <c r="AF1412" s="4">
        <v>0</v>
      </c>
      <c r="AG1412" s="4">
        <v>0</v>
      </c>
      <c r="AH1412" s="4">
        <v>3</v>
      </c>
      <c r="AI1412" s="4">
        <v>3</v>
      </c>
      <c r="AJ1412" s="4">
        <v>0</v>
      </c>
      <c r="AK1412" s="4">
        <v>0</v>
      </c>
      <c r="AL1412" s="4">
        <v>2</v>
      </c>
      <c r="AM1412" s="4">
        <v>2</v>
      </c>
      <c r="AN1412" s="4">
        <v>0</v>
      </c>
      <c r="AO1412" s="4">
        <v>0</v>
      </c>
      <c r="AP1412" s="4">
        <v>0</v>
      </c>
      <c r="AQ1412" s="4">
        <v>0</v>
      </c>
      <c r="AR1412" s="3" t="s">
        <v>65</v>
      </c>
      <c r="AS1412" s="3" t="s">
        <v>65</v>
      </c>
      <c r="AT1412" s="3" t="s">
        <v>65</v>
      </c>
      <c r="AV1412" s="6" t="str">
        <f>HYPERLINK("http://mcgill.on.worldcat.org/oclc/746660242","Catalog Record")</f>
        <v>Catalog Record</v>
      </c>
      <c r="AW1412" s="6" t="str">
        <f>HYPERLINK("http://www.worldcat.org/oclc/746660242","WorldCat Record")</f>
        <v>WorldCat Record</v>
      </c>
      <c r="AX1412" s="3" t="s">
        <v>13980</v>
      </c>
      <c r="AY1412" s="3" t="s">
        <v>13981</v>
      </c>
      <c r="AZ1412" s="3" t="s">
        <v>13982</v>
      </c>
      <c r="BA1412" s="3" t="s">
        <v>13982</v>
      </c>
      <c r="BB1412" s="3" t="s">
        <v>13983</v>
      </c>
      <c r="BC1412" s="3" t="s">
        <v>77</v>
      </c>
      <c r="BD1412" s="3" t="s">
        <v>78</v>
      </c>
      <c r="BE1412" s="3" t="s">
        <v>13984</v>
      </c>
      <c r="BF1412" s="3" t="s">
        <v>13983</v>
      </c>
      <c r="BG1412" s="3" t="s">
        <v>13985</v>
      </c>
    </row>
    <row r="1413" spans="1:59" ht="58" x14ac:dyDescent="0.35">
      <c r="A1413" s="2" t="s">
        <v>59</v>
      </c>
      <c r="B1413" s="2" t="s">
        <v>60</v>
      </c>
      <c r="C1413" s="2" t="s">
        <v>13975</v>
      </c>
      <c r="D1413" s="2" t="s">
        <v>13976</v>
      </c>
      <c r="E1413" s="2" t="s">
        <v>13977</v>
      </c>
      <c r="F1413" s="3" t="s">
        <v>258</v>
      </c>
      <c r="G1413" s="3" t="s">
        <v>209</v>
      </c>
      <c r="I1413" s="3" t="s">
        <v>65</v>
      </c>
      <c r="J1413" s="3" t="s">
        <v>65</v>
      </c>
      <c r="K1413" s="3" t="s">
        <v>66</v>
      </c>
      <c r="L1413" s="2" t="s">
        <v>4726</v>
      </c>
      <c r="M1413" s="2" t="s">
        <v>10140</v>
      </c>
      <c r="N1413" s="3" t="s">
        <v>126</v>
      </c>
      <c r="P1413" s="3" t="s">
        <v>13978</v>
      </c>
      <c r="Q1413" s="2" t="s">
        <v>13979</v>
      </c>
      <c r="R1413" s="3" t="s">
        <v>71</v>
      </c>
      <c r="S1413" s="4">
        <v>0</v>
      </c>
      <c r="T1413" s="4">
        <v>0</v>
      </c>
      <c r="W1413" s="5" t="s">
        <v>72</v>
      </c>
      <c r="X1413" s="5" t="s">
        <v>72</v>
      </c>
      <c r="Y1413" s="4">
        <v>9</v>
      </c>
      <c r="Z1413" s="4">
        <v>1</v>
      </c>
      <c r="AA1413" s="4">
        <v>1</v>
      </c>
      <c r="AB1413" s="4">
        <v>1</v>
      </c>
      <c r="AC1413" s="4">
        <v>1</v>
      </c>
      <c r="AD1413" s="4">
        <v>3</v>
      </c>
      <c r="AE1413" s="4">
        <v>3</v>
      </c>
      <c r="AF1413" s="4">
        <v>0</v>
      </c>
      <c r="AG1413" s="4">
        <v>0</v>
      </c>
      <c r="AH1413" s="4">
        <v>3</v>
      </c>
      <c r="AI1413" s="4">
        <v>3</v>
      </c>
      <c r="AJ1413" s="4">
        <v>0</v>
      </c>
      <c r="AK1413" s="4">
        <v>0</v>
      </c>
      <c r="AL1413" s="4">
        <v>2</v>
      </c>
      <c r="AM1413" s="4">
        <v>2</v>
      </c>
      <c r="AN1413" s="4">
        <v>0</v>
      </c>
      <c r="AO1413" s="4">
        <v>0</v>
      </c>
      <c r="AP1413" s="4">
        <v>0</v>
      </c>
      <c r="AQ1413" s="4">
        <v>0</v>
      </c>
      <c r="AR1413" s="3" t="s">
        <v>65</v>
      </c>
      <c r="AS1413" s="3" t="s">
        <v>65</v>
      </c>
      <c r="AT1413" s="3" t="s">
        <v>65</v>
      </c>
      <c r="AV1413" s="6" t="str">
        <f>HYPERLINK("http://mcgill.on.worldcat.org/oclc/746660242","Catalog Record")</f>
        <v>Catalog Record</v>
      </c>
      <c r="AW1413" s="6" t="str">
        <f>HYPERLINK("http://www.worldcat.org/oclc/746660242","WorldCat Record")</f>
        <v>WorldCat Record</v>
      </c>
      <c r="AX1413" s="3" t="s">
        <v>13980</v>
      </c>
      <c r="AY1413" s="3" t="s">
        <v>13981</v>
      </c>
      <c r="AZ1413" s="3" t="s">
        <v>13982</v>
      </c>
      <c r="BA1413" s="3" t="s">
        <v>13982</v>
      </c>
      <c r="BB1413" s="3" t="s">
        <v>13986</v>
      </c>
      <c r="BC1413" s="3" t="s">
        <v>77</v>
      </c>
      <c r="BD1413" s="3" t="s">
        <v>78</v>
      </c>
      <c r="BE1413" s="3" t="s">
        <v>13984</v>
      </c>
      <c r="BF1413" s="3" t="s">
        <v>13986</v>
      </c>
      <c r="BG1413" s="3" t="s">
        <v>13987</v>
      </c>
    </row>
    <row r="1414" spans="1:59" ht="58" x14ac:dyDescent="0.35">
      <c r="A1414" s="2" t="s">
        <v>59</v>
      </c>
      <c r="B1414" s="2" t="s">
        <v>60</v>
      </c>
      <c r="C1414" s="2" t="s">
        <v>13988</v>
      </c>
      <c r="D1414" s="2" t="s">
        <v>13989</v>
      </c>
      <c r="E1414" s="2" t="s">
        <v>13990</v>
      </c>
      <c r="G1414" s="3" t="s">
        <v>65</v>
      </c>
      <c r="I1414" s="3" t="s">
        <v>65</v>
      </c>
      <c r="J1414" s="3" t="s">
        <v>65</v>
      </c>
      <c r="K1414" s="3" t="s">
        <v>66</v>
      </c>
      <c r="L1414" s="2" t="s">
        <v>13991</v>
      </c>
      <c r="M1414" s="2" t="s">
        <v>13992</v>
      </c>
      <c r="N1414" s="3" t="s">
        <v>5439</v>
      </c>
      <c r="P1414" s="3" t="s">
        <v>69</v>
      </c>
      <c r="R1414" s="3" t="s">
        <v>71</v>
      </c>
      <c r="S1414" s="4">
        <v>10</v>
      </c>
      <c r="T1414" s="4">
        <v>10</v>
      </c>
      <c r="U1414" s="5" t="s">
        <v>13993</v>
      </c>
      <c r="V1414" s="5" t="s">
        <v>13993</v>
      </c>
      <c r="W1414" s="5" t="s">
        <v>72</v>
      </c>
      <c r="X1414" s="5" t="s">
        <v>72</v>
      </c>
      <c r="Y1414" s="4">
        <v>513</v>
      </c>
      <c r="Z1414" s="4">
        <v>27</v>
      </c>
      <c r="AA1414" s="4">
        <v>28</v>
      </c>
      <c r="AB1414" s="4">
        <v>1</v>
      </c>
      <c r="AC1414" s="4">
        <v>2</v>
      </c>
      <c r="AD1414" s="4">
        <v>111</v>
      </c>
      <c r="AE1414" s="4">
        <v>112</v>
      </c>
      <c r="AF1414" s="4">
        <v>0</v>
      </c>
      <c r="AG1414" s="4">
        <v>1</v>
      </c>
      <c r="AH1414" s="4">
        <v>102</v>
      </c>
      <c r="AI1414" s="4">
        <v>102</v>
      </c>
      <c r="AJ1414" s="4">
        <v>16</v>
      </c>
      <c r="AK1414" s="4">
        <v>17</v>
      </c>
      <c r="AL1414" s="4">
        <v>54</v>
      </c>
      <c r="AM1414" s="4">
        <v>54</v>
      </c>
      <c r="AN1414" s="4">
        <v>0</v>
      </c>
      <c r="AO1414" s="4">
        <v>0</v>
      </c>
      <c r="AP1414" s="4">
        <v>17</v>
      </c>
      <c r="AQ1414" s="4">
        <v>18</v>
      </c>
      <c r="AR1414" s="3" t="s">
        <v>65</v>
      </c>
      <c r="AS1414" s="3" t="s">
        <v>65</v>
      </c>
      <c r="AT1414" s="3" t="s">
        <v>209</v>
      </c>
      <c r="AU1414" s="6" t="str">
        <f>HYPERLINK("http://catalog.hathitrust.org/Record/001219684","HathiTrust Record")</f>
        <v>HathiTrust Record</v>
      </c>
      <c r="AV1414" s="6" t="str">
        <f>HYPERLINK("http://mcgill.on.worldcat.org/oclc/1836630","Catalog Record")</f>
        <v>Catalog Record</v>
      </c>
      <c r="AW1414" s="6" t="str">
        <f>HYPERLINK("http://www.worldcat.org/oclc/1836630","WorldCat Record")</f>
        <v>WorldCat Record</v>
      </c>
      <c r="AX1414" s="3" t="s">
        <v>13994</v>
      </c>
      <c r="AY1414" s="3" t="s">
        <v>13995</v>
      </c>
      <c r="AZ1414" s="3" t="s">
        <v>13996</v>
      </c>
      <c r="BA1414" s="3" t="s">
        <v>13996</v>
      </c>
      <c r="BB1414" s="3" t="s">
        <v>13997</v>
      </c>
      <c r="BC1414" s="3" t="s">
        <v>77</v>
      </c>
      <c r="BD1414" s="3" t="s">
        <v>78</v>
      </c>
      <c r="BF1414" s="3" t="s">
        <v>13997</v>
      </c>
      <c r="BG1414" s="3" t="s">
        <v>13998</v>
      </c>
    </row>
    <row r="1415" spans="1:59" ht="58" x14ac:dyDescent="0.35">
      <c r="A1415" s="2" t="s">
        <v>59</v>
      </c>
      <c r="B1415" s="2" t="s">
        <v>60</v>
      </c>
      <c r="C1415" s="2" t="s">
        <v>13999</v>
      </c>
      <c r="D1415" s="2" t="s">
        <v>14000</v>
      </c>
      <c r="E1415" s="2" t="s">
        <v>14001</v>
      </c>
      <c r="G1415" s="3" t="s">
        <v>65</v>
      </c>
      <c r="I1415" s="3" t="s">
        <v>65</v>
      </c>
      <c r="J1415" s="3" t="s">
        <v>65</v>
      </c>
      <c r="K1415" s="3" t="s">
        <v>66</v>
      </c>
      <c r="L1415" s="2" t="s">
        <v>13707</v>
      </c>
      <c r="M1415" s="2" t="s">
        <v>14002</v>
      </c>
      <c r="N1415" s="3" t="s">
        <v>14003</v>
      </c>
      <c r="P1415" s="3" t="s">
        <v>8835</v>
      </c>
      <c r="Q1415" s="2" t="s">
        <v>14004</v>
      </c>
      <c r="R1415" s="3" t="s">
        <v>71</v>
      </c>
      <c r="S1415" s="4">
        <v>2</v>
      </c>
      <c r="T1415" s="4">
        <v>2</v>
      </c>
      <c r="U1415" s="5" t="s">
        <v>13993</v>
      </c>
      <c r="V1415" s="5" t="s">
        <v>13993</v>
      </c>
      <c r="W1415" s="5" t="s">
        <v>72</v>
      </c>
      <c r="X1415" s="5" t="s">
        <v>72</v>
      </c>
      <c r="Y1415" s="4">
        <v>47</v>
      </c>
      <c r="Z1415" s="4">
        <v>3</v>
      </c>
      <c r="AA1415" s="4">
        <v>9</v>
      </c>
      <c r="AB1415" s="4">
        <v>1</v>
      </c>
      <c r="AC1415" s="4">
        <v>2</v>
      </c>
      <c r="AD1415" s="4">
        <v>18</v>
      </c>
      <c r="AE1415" s="4">
        <v>44</v>
      </c>
      <c r="AF1415" s="4">
        <v>0</v>
      </c>
      <c r="AG1415" s="4">
        <v>0</v>
      </c>
      <c r="AH1415" s="4">
        <v>16</v>
      </c>
      <c r="AI1415" s="4">
        <v>40</v>
      </c>
      <c r="AJ1415" s="4">
        <v>1</v>
      </c>
      <c r="AK1415" s="4">
        <v>3</v>
      </c>
      <c r="AL1415" s="4">
        <v>12</v>
      </c>
      <c r="AM1415" s="4">
        <v>28</v>
      </c>
      <c r="AN1415" s="4">
        <v>0</v>
      </c>
      <c r="AO1415" s="4">
        <v>0</v>
      </c>
      <c r="AP1415" s="4">
        <v>1</v>
      </c>
      <c r="AQ1415" s="4">
        <v>4</v>
      </c>
      <c r="AR1415" s="3" t="s">
        <v>65</v>
      </c>
      <c r="AS1415" s="3" t="s">
        <v>65</v>
      </c>
      <c r="AT1415" s="3" t="s">
        <v>65</v>
      </c>
      <c r="AV1415" s="6" t="str">
        <f>HYPERLINK("http://mcgill.on.worldcat.org/oclc/9105435","Catalog Record")</f>
        <v>Catalog Record</v>
      </c>
      <c r="AW1415" s="6" t="str">
        <f>HYPERLINK("http://www.worldcat.org/oclc/9105435","WorldCat Record")</f>
        <v>WorldCat Record</v>
      </c>
      <c r="AX1415" s="3" t="s">
        <v>14005</v>
      </c>
      <c r="AY1415" s="3" t="s">
        <v>14006</v>
      </c>
      <c r="AZ1415" s="3" t="s">
        <v>14007</v>
      </c>
      <c r="BA1415" s="3" t="s">
        <v>14007</v>
      </c>
      <c r="BB1415" s="3" t="s">
        <v>14008</v>
      </c>
      <c r="BC1415" s="3" t="s">
        <v>77</v>
      </c>
      <c r="BD1415" s="3" t="s">
        <v>78</v>
      </c>
      <c r="BF1415" s="3" t="s">
        <v>14008</v>
      </c>
      <c r="BG1415" s="3" t="s">
        <v>14009</v>
      </c>
    </row>
    <row r="1416" spans="1:59" ht="58" x14ac:dyDescent="0.35">
      <c r="A1416" s="2" t="s">
        <v>59</v>
      </c>
      <c r="B1416" s="2" t="s">
        <v>60</v>
      </c>
      <c r="C1416" s="2" t="s">
        <v>14010</v>
      </c>
      <c r="D1416" s="2" t="s">
        <v>14011</v>
      </c>
      <c r="E1416" s="2" t="s">
        <v>14012</v>
      </c>
      <c r="G1416" s="3" t="s">
        <v>65</v>
      </c>
      <c r="I1416" s="3" t="s">
        <v>65</v>
      </c>
      <c r="J1416" s="3" t="s">
        <v>65</v>
      </c>
      <c r="K1416" s="3" t="s">
        <v>66</v>
      </c>
      <c r="M1416" s="2" t="s">
        <v>14013</v>
      </c>
      <c r="N1416" s="3" t="s">
        <v>139</v>
      </c>
      <c r="P1416" s="3" t="s">
        <v>8835</v>
      </c>
      <c r="Q1416" s="2" t="s">
        <v>2269</v>
      </c>
      <c r="R1416" s="3" t="s">
        <v>71</v>
      </c>
      <c r="S1416" s="4">
        <v>0</v>
      </c>
      <c r="T1416" s="4">
        <v>0</v>
      </c>
      <c r="W1416" s="5" t="s">
        <v>72</v>
      </c>
      <c r="X1416" s="5" t="s">
        <v>72</v>
      </c>
      <c r="Y1416" s="4">
        <v>43</v>
      </c>
      <c r="Z1416" s="4">
        <v>4</v>
      </c>
      <c r="AA1416" s="4">
        <v>4</v>
      </c>
      <c r="AB1416" s="4">
        <v>1</v>
      </c>
      <c r="AC1416" s="4">
        <v>1</v>
      </c>
      <c r="AD1416" s="4">
        <v>21</v>
      </c>
      <c r="AE1416" s="4">
        <v>21</v>
      </c>
      <c r="AF1416" s="4">
        <v>0</v>
      </c>
      <c r="AG1416" s="4">
        <v>0</v>
      </c>
      <c r="AH1416" s="4">
        <v>20</v>
      </c>
      <c r="AI1416" s="4">
        <v>20</v>
      </c>
      <c r="AJ1416" s="4">
        <v>1</v>
      </c>
      <c r="AK1416" s="4">
        <v>1</v>
      </c>
      <c r="AL1416" s="4">
        <v>17</v>
      </c>
      <c r="AM1416" s="4">
        <v>17</v>
      </c>
      <c r="AN1416" s="4">
        <v>0</v>
      </c>
      <c r="AO1416" s="4">
        <v>0</v>
      </c>
      <c r="AP1416" s="4">
        <v>1</v>
      </c>
      <c r="AQ1416" s="4">
        <v>1</v>
      </c>
      <c r="AR1416" s="3" t="s">
        <v>65</v>
      </c>
      <c r="AS1416" s="3" t="s">
        <v>65</v>
      </c>
      <c r="AT1416" s="3" t="s">
        <v>65</v>
      </c>
      <c r="AV1416" s="6" t="str">
        <f>HYPERLINK("http://mcgill.on.worldcat.org/oclc/828626476","Catalog Record")</f>
        <v>Catalog Record</v>
      </c>
      <c r="AW1416" s="6" t="str">
        <f>HYPERLINK("http://www.worldcat.org/oclc/828626476","WorldCat Record")</f>
        <v>WorldCat Record</v>
      </c>
      <c r="AX1416" s="3" t="s">
        <v>14014</v>
      </c>
      <c r="AY1416" s="3" t="s">
        <v>14015</v>
      </c>
      <c r="AZ1416" s="3" t="s">
        <v>14016</v>
      </c>
      <c r="BA1416" s="3" t="s">
        <v>14016</v>
      </c>
      <c r="BB1416" s="3" t="s">
        <v>14017</v>
      </c>
      <c r="BC1416" s="3" t="s">
        <v>77</v>
      </c>
      <c r="BD1416" s="3" t="s">
        <v>78</v>
      </c>
      <c r="BE1416" s="3" t="s">
        <v>14018</v>
      </c>
      <c r="BF1416" s="3" t="s">
        <v>14017</v>
      </c>
      <c r="BG1416" s="3" t="s">
        <v>14019</v>
      </c>
    </row>
    <row r="1417" spans="1:59" ht="58" x14ac:dyDescent="0.35">
      <c r="A1417" s="2" t="s">
        <v>59</v>
      </c>
      <c r="B1417" s="2" t="s">
        <v>60</v>
      </c>
      <c r="C1417" s="2" t="s">
        <v>14020</v>
      </c>
      <c r="D1417" s="2" t="s">
        <v>14021</v>
      </c>
      <c r="E1417" s="2" t="s">
        <v>14022</v>
      </c>
      <c r="G1417" s="3" t="s">
        <v>65</v>
      </c>
      <c r="I1417" s="3" t="s">
        <v>209</v>
      </c>
      <c r="J1417" s="3" t="s">
        <v>65</v>
      </c>
      <c r="K1417" s="3" t="s">
        <v>66</v>
      </c>
      <c r="L1417" s="2" t="s">
        <v>13707</v>
      </c>
      <c r="M1417" s="2" t="s">
        <v>14023</v>
      </c>
      <c r="N1417" s="3" t="s">
        <v>1967</v>
      </c>
      <c r="P1417" s="3" t="s">
        <v>69</v>
      </c>
      <c r="Q1417" s="2" t="s">
        <v>14024</v>
      </c>
      <c r="R1417" s="3" t="s">
        <v>71</v>
      </c>
      <c r="S1417" s="4">
        <v>7</v>
      </c>
      <c r="T1417" s="4">
        <v>23</v>
      </c>
      <c r="U1417" s="5" t="s">
        <v>13871</v>
      </c>
      <c r="V1417" s="5" t="s">
        <v>13871</v>
      </c>
      <c r="W1417" s="5" t="s">
        <v>72</v>
      </c>
      <c r="X1417" s="5" t="s">
        <v>72</v>
      </c>
      <c r="Y1417" s="4">
        <v>222</v>
      </c>
      <c r="Z1417" s="4">
        <v>9</v>
      </c>
      <c r="AA1417" s="4">
        <v>12</v>
      </c>
      <c r="AB1417" s="4">
        <v>1</v>
      </c>
      <c r="AC1417" s="4">
        <v>1</v>
      </c>
      <c r="AD1417" s="4">
        <v>75</v>
      </c>
      <c r="AE1417" s="4">
        <v>76</v>
      </c>
      <c r="AF1417" s="4">
        <v>0</v>
      </c>
      <c r="AG1417" s="4">
        <v>0</v>
      </c>
      <c r="AH1417" s="4">
        <v>67</v>
      </c>
      <c r="AI1417" s="4">
        <v>68</v>
      </c>
      <c r="AJ1417" s="4">
        <v>3</v>
      </c>
      <c r="AK1417" s="4">
        <v>4</v>
      </c>
      <c r="AL1417" s="4">
        <v>44</v>
      </c>
      <c r="AM1417" s="4">
        <v>45</v>
      </c>
      <c r="AN1417" s="4">
        <v>0</v>
      </c>
      <c r="AO1417" s="4">
        <v>0</v>
      </c>
      <c r="AP1417" s="4">
        <v>6</v>
      </c>
      <c r="AQ1417" s="4">
        <v>7</v>
      </c>
      <c r="AR1417" s="3" t="s">
        <v>65</v>
      </c>
      <c r="AS1417" s="3" t="s">
        <v>65</v>
      </c>
      <c r="AT1417" s="3" t="s">
        <v>65</v>
      </c>
      <c r="AV1417" s="6" t="str">
        <f>HYPERLINK("http://mcgill.on.worldcat.org/oclc/53336687","Catalog Record")</f>
        <v>Catalog Record</v>
      </c>
      <c r="AW1417" s="6" t="str">
        <f>HYPERLINK("http://www.worldcat.org/oclc/53336687","WorldCat Record")</f>
        <v>WorldCat Record</v>
      </c>
      <c r="AX1417" s="3" t="s">
        <v>14025</v>
      </c>
      <c r="AY1417" s="3" t="s">
        <v>14026</v>
      </c>
      <c r="AZ1417" s="3" t="s">
        <v>14027</v>
      </c>
      <c r="BA1417" s="3" t="s">
        <v>14027</v>
      </c>
      <c r="BB1417" s="3" t="s">
        <v>14028</v>
      </c>
      <c r="BC1417" s="3" t="s">
        <v>77</v>
      </c>
      <c r="BD1417" s="3" t="s">
        <v>78</v>
      </c>
      <c r="BE1417" s="3" t="s">
        <v>14029</v>
      </c>
      <c r="BF1417" s="3" t="s">
        <v>14028</v>
      </c>
      <c r="BG1417" s="3" t="s">
        <v>14030</v>
      </c>
    </row>
    <row r="1418" spans="1:59" ht="58" x14ac:dyDescent="0.35">
      <c r="A1418" s="2" t="s">
        <v>59</v>
      </c>
      <c r="B1418" s="2" t="s">
        <v>60</v>
      </c>
      <c r="C1418" s="2" t="s">
        <v>14020</v>
      </c>
      <c r="D1418" s="2" t="s">
        <v>14021</v>
      </c>
      <c r="E1418" s="2" t="s">
        <v>14022</v>
      </c>
      <c r="G1418" s="3" t="s">
        <v>65</v>
      </c>
      <c r="I1418" s="3" t="s">
        <v>209</v>
      </c>
      <c r="J1418" s="3" t="s">
        <v>65</v>
      </c>
      <c r="K1418" s="3" t="s">
        <v>66</v>
      </c>
      <c r="L1418" s="2" t="s">
        <v>13707</v>
      </c>
      <c r="M1418" s="2" t="s">
        <v>14023</v>
      </c>
      <c r="N1418" s="3" t="s">
        <v>1967</v>
      </c>
      <c r="P1418" s="3" t="s">
        <v>69</v>
      </c>
      <c r="Q1418" s="2" t="s">
        <v>14024</v>
      </c>
      <c r="R1418" s="3" t="s">
        <v>71</v>
      </c>
      <c r="S1418" s="4">
        <v>13</v>
      </c>
      <c r="T1418" s="4">
        <v>23</v>
      </c>
      <c r="U1418" s="5" t="s">
        <v>14031</v>
      </c>
      <c r="V1418" s="5" t="s">
        <v>13871</v>
      </c>
      <c r="W1418" s="5" t="s">
        <v>72</v>
      </c>
      <c r="X1418" s="5" t="s">
        <v>72</v>
      </c>
      <c r="Y1418" s="4">
        <v>222</v>
      </c>
      <c r="Z1418" s="4">
        <v>9</v>
      </c>
      <c r="AA1418" s="4">
        <v>12</v>
      </c>
      <c r="AB1418" s="4">
        <v>1</v>
      </c>
      <c r="AC1418" s="4">
        <v>1</v>
      </c>
      <c r="AD1418" s="4">
        <v>75</v>
      </c>
      <c r="AE1418" s="4">
        <v>76</v>
      </c>
      <c r="AF1418" s="4">
        <v>0</v>
      </c>
      <c r="AG1418" s="4">
        <v>0</v>
      </c>
      <c r="AH1418" s="4">
        <v>67</v>
      </c>
      <c r="AI1418" s="4">
        <v>68</v>
      </c>
      <c r="AJ1418" s="4">
        <v>3</v>
      </c>
      <c r="AK1418" s="4">
        <v>4</v>
      </c>
      <c r="AL1418" s="4">
        <v>44</v>
      </c>
      <c r="AM1418" s="4">
        <v>45</v>
      </c>
      <c r="AN1418" s="4">
        <v>0</v>
      </c>
      <c r="AO1418" s="4">
        <v>0</v>
      </c>
      <c r="AP1418" s="4">
        <v>6</v>
      </c>
      <c r="AQ1418" s="4">
        <v>7</v>
      </c>
      <c r="AR1418" s="3" t="s">
        <v>65</v>
      </c>
      <c r="AS1418" s="3" t="s">
        <v>65</v>
      </c>
      <c r="AT1418" s="3" t="s">
        <v>65</v>
      </c>
      <c r="AV1418" s="6" t="str">
        <f>HYPERLINK("http://mcgill.on.worldcat.org/oclc/53336687","Catalog Record")</f>
        <v>Catalog Record</v>
      </c>
      <c r="AW1418" s="6" t="str">
        <f>HYPERLINK("http://www.worldcat.org/oclc/53336687","WorldCat Record")</f>
        <v>WorldCat Record</v>
      </c>
      <c r="AX1418" s="3" t="s">
        <v>14025</v>
      </c>
      <c r="AY1418" s="3" t="s">
        <v>14026</v>
      </c>
      <c r="AZ1418" s="3" t="s">
        <v>14027</v>
      </c>
      <c r="BA1418" s="3" t="s">
        <v>14027</v>
      </c>
      <c r="BB1418" s="3" t="s">
        <v>14032</v>
      </c>
      <c r="BC1418" s="3" t="s">
        <v>77</v>
      </c>
      <c r="BD1418" s="3" t="s">
        <v>78</v>
      </c>
      <c r="BE1418" s="3" t="s">
        <v>14029</v>
      </c>
      <c r="BF1418" s="3" t="s">
        <v>14032</v>
      </c>
      <c r="BG1418" s="3" t="s">
        <v>14033</v>
      </c>
    </row>
    <row r="1419" spans="1:59" ht="58" x14ac:dyDescent="0.35">
      <c r="A1419" s="2" t="s">
        <v>59</v>
      </c>
      <c r="B1419" s="2" t="s">
        <v>60</v>
      </c>
      <c r="C1419" s="2" t="s">
        <v>14020</v>
      </c>
      <c r="D1419" s="2" t="s">
        <v>14021</v>
      </c>
      <c r="E1419" s="2" t="s">
        <v>14022</v>
      </c>
      <c r="G1419" s="3" t="s">
        <v>65</v>
      </c>
      <c r="I1419" s="3" t="s">
        <v>209</v>
      </c>
      <c r="J1419" s="3" t="s">
        <v>65</v>
      </c>
      <c r="K1419" s="3" t="s">
        <v>66</v>
      </c>
      <c r="L1419" s="2" t="s">
        <v>13707</v>
      </c>
      <c r="M1419" s="2" t="s">
        <v>14023</v>
      </c>
      <c r="N1419" s="3" t="s">
        <v>1967</v>
      </c>
      <c r="P1419" s="3" t="s">
        <v>69</v>
      </c>
      <c r="Q1419" s="2" t="s">
        <v>14024</v>
      </c>
      <c r="R1419" s="3" t="s">
        <v>71</v>
      </c>
      <c r="S1419" s="4">
        <v>3</v>
      </c>
      <c r="T1419" s="4">
        <v>23</v>
      </c>
      <c r="U1419" s="5" t="s">
        <v>14034</v>
      </c>
      <c r="V1419" s="5" t="s">
        <v>13871</v>
      </c>
      <c r="W1419" s="5" t="s">
        <v>72</v>
      </c>
      <c r="X1419" s="5" t="s">
        <v>72</v>
      </c>
      <c r="Y1419" s="4">
        <v>222</v>
      </c>
      <c r="Z1419" s="4">
        <v>9</v>
      </c>
      <c r="AA1419" s="4">
        <v>12</v>
      </c>
      <c r="AB1419" s="4">
        <v>1</v>
      </c>
      <c r="AC1419" s="4">
        <v>1</v>
      </c>
      <c r="AD1419" s="4">
        <v>75</v>
      </c>
      <c r="AE1419" s="4">
        <v>76</v>
      </c>
      <c r="AF1419" s="4">
        <v>0</v>
      </c>
      <c r="AG1419" s="4">
        <v>0</v>
      </c>
      <c r="AH1419" s="4">
        <v>67</v>
      </c>
      <c r="AI1419" s="4">
        <v>68</v>
      </c>
      <c r="AJ1419" s="4">
        <v>3</v>
      </c>
      <c r="AK1419" s="4">
        <v>4</v>
      </c>
      <c r="AL1419" s="4">
        <v>44</v>
      </c>
      <c r="AM1419" s="4">
        <v>45</v>
      </c>
      <c r="AN1419" s="4">
        <v>0</v>
      </c>
      <c r="AO1419" s="4">
        <v>0</v>
      </c>
      <c r="AP1419" s="4">
        <v>6</v>
      </c>
      <c r="AQ1419" s="4">
        <v>7</v>
      </c>
      <c r="AR1419" s="3" t="s">
        <v>65</v>
      </c>
      <c r="AS1419" s="3" t="s">
        <v>65</v>
      </c>
      <c r="AT1419" s="3" t="s">
        <v>65</v>
      </c>
      <c r="AV1419" s="6" t="str">
        <f>HYPERLINK("http://mcgill.on.worldcat.org/oclc/53336687","Catalog Record")</f>
        <v>Catalog Record</v>
      </c>
      <c r="AW1419" s="6" t="str">
        <f>HYPERLINK("http://www.worldcat.org/oclc/53336687","WorldCat Record")</f>
        <v>WorldCat Record</v>
      </c>
      <c r="AX1419" s="3" t="s">
        <v>14025</v>
      </c>
      <c r="AY1419" s="3" t="s">
        <v>14026</v>
      </c>
      <c r="AZ1419" s="3" t="s">
        <v>14027</v>
      </c>
      <c r="BA1419" s="3" t="s">
        <v>14027</v>
      </c>
      <c r="BB1419" s="3" t="s">
        <v>14035</v>
      </c>
      <c r="BC1419" s="3" t="s">
        <v>77</v>
      </c>
      <c r="BD1419" s="3" t="s">
        <v>78</v>
      </c>
      <c r="BE1419" s="3" t="s">
        <v>14029</v>
      </c>
      <c r="BF1419" s="3" t="s">
        <v>14035</v>
      </c>
      <c r="BG1419" s="3" t="s">
        <v>14036</v>
      </c>
    </row>
    <row r="1420" spans="1:59" ht="58" x14ac:dyDescent="0.35">
      <c r="A1420" s="2" t="s">
        <v>59</v>
      </c>
      <c r="B1420" s="2" t="s">
        <v>60</v>
      </c>
      <c r="C1420" s="2" t="s">
        <v>14037</v>
      </c>
      <c r="D1420" s="2" t="s">
        <v>14038</v>
      </c>
      <c r="E1420" s="2" t="s">
        <v>14039</v>
      </c>
      <c r="G1420" s="3" t="s">
        <v>65</v>
      </c>
      <c r="I1420" s="3" t="s">
        <v>65</v>
      </c>
      <c r="J1420" s="3" t="s">
        <v>65</v>
      </c>
      <c r="K1420" s="3" t="s">
        <v>66</v>
      </c>
      <c r="L1420" s="2" t="s">
        <v>14040</v>
      </c>
      <c r="M1420" s="2" t="s">
        <v>13541</v>
      </c>
      <c r="N1420" s="3" t="s">
        <v>113</v>
      </c>
      <c r="P1420" s="3" t="s">
        <v>7374</v>
      </c>
      <c r="Q1420" s="2" t="s">
        <v>14041</v>
      </c>
      <c r="R1420" s="3" t="s">
        <v>71</v>
      </c>
      <c r="S1420" s="4">
        <v>0</v>
      </c>
      <c r="T1420" s="4">
        <v>0</v>
      </c>
      <c r="W1420" s="5" t="s">
        <v>72</v>
      </c>
      <c r="X1420" s="5" t="s">
        <v>72</v>
      </c>
      <c r="Y1420" s="4">
        <v>52</v>
      </c>
      <c r="Z1420" s="4">
        <v>3</v>
      </c>
      <c r="AA1420" s="4">
        <v>3</v>
      </c>
      <c r="AB1420" s="4">
        <v>1</v>
      </c>
      <c r="AC1420" s="4">
        <v>1</v>
      </c>
      <c r="AD1420" s="4">
        <v>36</v>
      </c>
      <c r="AE1420" s="4">
        <v>36</v>
      </c>
      <c r="AF1420" s="4">
        <v>0</v>
      </c>
      <c r="AG1420" s="4">
        <v>0</v>
      </c>
      <c r="AH1420" s="4">
        <v>35</v>
      </c>
      <c r="AI1420" s="4">
        <v>35</v>
      </c>
      <c r="AJ1420" s="4">
        <v>1</v>
      </c>
      <c r="AK1420" s="4">
        <v>1</v>
      </c>
      <c r="AL1420" s="4">
        <v>26</v>
      </c>
      <c r="AM1420" s="4">
        <v>26</v>
      </c>
      <c r="AN1420" s="4">
        <v>0</v>
      </c>
      <c r="AO1420" s="4">
        <v>0</v>
      </c>
      <c r="AP1420" s="4">
        <v>1</v>
      </c>
      <c r="AQ1420" s="4">
        <v>1</v>
      </c>
      <c r="AR1420" s="3" t="s">
        <v>65</v>
      </c>
      <c r="AS1420" s="3" t="s">
        <v>65</v>
      </c>
      <c r="AT1420" s="3" t="s">
        <v>65</v>
      </c>
      <c r="AV1420" s="6" t="str">
        <f>HYPERLINK("http://mcgill.on.worldcat.org/oclc/662402595","Catalog Record")</f>
        <v>Catalog Record</v>
      </c>
      <c r="AW1420" s="6" t="str">
        <f>HYPERLINK("http://www.worldcat.org/oclc/662402595","WorldCat Record")</f>
        <v>WorldCat Record</v>
      </c>
      <c r="AX1420" s="3" t="s">
        <v>14042</v>
      </c>
      <c r="AY1420" s="3" t="s">
        <v>14043</v>
      </c>
      <c r="AZ1420" s="3" t="s">
        <v>14044</v>
      </c>
      <c r="BA1420" s="3" t="s">
        <v>14044</v>
      </c>
      <c r="BB1420" s="3" t="s">
        <v>14045</v>
      </c>
      <c r="BC1420" s="3" t="s">
        <v>77</v>
      </c>
      <c r="BD1420" s="3" t="s">
        <v>78</v>
      </c>
      <c r="BE1420" s="3" t="s">
        <v>14046</v>
      </c>
      <c r="BF1420" s="3" t="s">
        <v>14045</v>
      </c>
      <c r="BG1420" s="3" t="s">
        <v>14047</v>
      </c>
    </row>
    <row r="1421" spans="1:59" ht="58" x14ac:dyDescent="0.35">
      <c r="A1421" s="2" t="s">
        <v>59</v>
      </c>
      <c r="B1421" s="2" t="s">
        <v>60</v>
      </c>
      <c r="C1421" s="2" t="s">
        <v>14048</v>
      </c>
      <c r="D1421" s="2" t="s">
        <v>14049</v>
      </c>
      <c r="E1421" s="2" t="s">
        <v>14050</v>
      </c>
      <c r="G1421" s="3" t="s">
        <v>65</v>
      </c>
      <c r="I1421" s="3" t="s">
        <v>65</v>
      </c>
      <c r="J1421" s="3" t="s">
        <v>65</v>
      </c>
      <c r="K1421" s="3" t="s">
        <v>66</v>
      </c>
      <c r="L1421" s="2" t="s">
        <v>13707</v>
      </c>
      <c r="M1421" s="2" t="s">
        <v>14051</v>
      </c>
      <c r="N1421" s="3" t="s">
        <v>113</v>
      </c>
      <c r="P1421" s="3" t="s">
        <v>140</v>
      </c>
      <c r="Q1421" s="2" t="s">
        <v>2269</v>
      </c>
      <c r="R1421" s="3" t="s">
        <v>71</v>
      </c>
      <c r="S1421" s="4">
        <v>1</v>
      </c>
      <c r="T1421" s="4">
        <v>1</v>
      </c>
      <c r="W1421" s="5" t="s">
        <v>72</v>
      </c>
      <c r="X1421" s="5" t="s">
        <v>72</v>
      </c>
      <c r="Y1421" s="4">
        <v>30</v>
      </c>
      <c r="Z1421" s="4">
        <v>5</v>
      </c>
      <c r="AA1421" s="4">
        <v>5</v>
      </c>
      <c r="AB1421" s="4">
        <v>1</v>
      </c>
      <c r="AC1421" s="4">
        <v>1</v>
      </c>
      <c r="AD1421" s="4">
        <v>16</v>
      </c>
      <c r="AE1421" s="4">
        <v>16</v>
      </c>
      <c r="AF1421" s="4">
        <v>0</v>
      </c>
      <c r="AG1421" s="4">
        <v>0</v>
      </c>
      <c r="AH1421" s="4">
        <v>16</v>
      </c>
      <c r="AI1421" s="4">
        <v>16</v>
      </c>
      <c r="AJ1421" s="4">
        <v>2</v>
      </c>
      <c r="AK1421" s="4">
        <v>2</v>
      </c>
      <c r="AL1421" s="4">
        <v>13</v>
      </c>
      <c r="AM1421" s="4">
        <v>13</v>
      </c>
      <c r="AN1421" s="4">
        <v>0</v>
      </c>
      <c r="AO1421" s="4">
        <v>0</v>
      </c>
      <c r="AP1421" s="4">
        <v>2</v>
      </c>
      <c r="AQ1421" s="4">
        <v>2</v>
      </c>
      <c r="AR1421" s="3" t="s">
        <v>65</v>
      </c>
      <c r="AS1421" s="3" t="s">
        <v>65</v>
      </c>
      <c r="AT1421" s="3" t="s">
        <v>65</v>
      </c>
      <c r="AV1421" s="6" t="str">
        <f>HYPERLINK("http://mcgill.on.worldcat.org/oclc/724302729","Catalog Record")</f>
        <v>Catalog Record</v>
      </c>
      <c r="AW1421" s="6" t="str">
        <f>HYPERLINK("http://www.worldcat.org/oclc/724302729","WorldCat Record")</f>
        <v>WorldCat Record</v>
      </c>
      <c r="AX1421" s="3" t="s">
        <v>14052</v>
      </c>
      <c r="AY1421" s="3" t="s">
        <v>14053</v>
      </c>
      <c r="AZ1421" s="3" t="s">
        <v>14054</v>
      </c>
      <c r="BA1421" s="3" t="s">
        <v>14054</v>
      </c>
      <c r="BB1421" s="3" t="s">
        <v>14055</v>
      </c>
      <c r="BC1421" s="3" t="s">
        <v>77</v>
      </c>
      <c r="BD1421" s="3" t="s">
        <v>106</v>
      </c>
      <c r="BE1421" s="3" t="s">
        <v>14056</v>
      </c>
      <c r="BF1421" s="3" t="s">
        <v>14055</v>
      </c>
      <c r="BG1421" s="3" t="s">
        <v>14057</v>
      </c>
    </row>
    <row r="1422" spans="1:59" ht="58" x14ac:dyDescent="0.35">
      <c r="A1422" s="2" t="s">
        <v>59</v>
      </c>
      <c r="B1422" s="2" t="s">
        <v>60</v>
      </c>
      <c r="C1422" s="2" t="s">
        <v>14058</v>
      </c>
      <c r="D1422" s="2" t="s">
        <v>14059</v>
      </c>
      <c r="E1422" s="2" t="s">
        <v>14060</v>
      </c>
      <c r="G1422" s="3" t="s">
        <v>65</v>
      </c>
      <c r="I1422" s="3" t="s">
        <v>65</v>
      </c>
      <c r="J1422" s="3" t="s">
        <v>65</v>
      </c>
      <c r="K1422" s="3" t="s">
        <v>66</v>
      </c>
      <c r="L1422" s="2" t="s">
        <v>13707</v>
      </c>
      <c r="M1422" s="2" t="s">
        <v>14061</v>
      </c>
      <c r="N1422" s="3" t="s">
        <v>863</v>
      </c>
      <c r="P1422" s="3" t="s">
        <v>140</v>
      </c>
      <c r="Q1422" s="2" t="s">
        <v>14062</v>
      </c>
      <c r="R1422" s="3" t="s">
        <v>71</v>
      </c>
      <c r="S1422" s="4">
        <v>10</v>
      </c>
      <c r="T1422" s="4">
        <v>10</v>
      </c>
      <c r="U1422" s="5" t="s">
        <v>14063</v>
      </c>
      <c r="V1422" s="5" t="s">
        <v>14063</v>
      </c>
      <c r="W1422" s="5" t="s">
        <v>72</v>
      </c>
      <c r="X1422" s="5" t="s">
        <v>72</v>
      </c>
      <c r="Y1422" s="4">
        <v>4</v>
      </c>
      <c r="Z1422" s="4">
        <v>1</v>
      </c>
      <c r="AA1422" s="4">
        <v>1</v>
      </c>
      <c r="AB1422" s="4">
        <v>1</v>
      </c>
      <c r="AC1422" s="4">
        <v>1</v>
      </c>
      <c r="AD1422" s="4">
        <v>1</v>
      </c>
      <c r="AE1422" s="4">
        <v>1</v>
      </c>
      <c r="AF1422" s="4">
        <v>0</v>
      </c>
      <c r="AG1422" s="4">
        <v>0</v>
      </c>
      <c r="AH1422" s="4">
        <v>1</v>
      </c>
      <c r="AI1422" s="4">
        <v>1</v>
      </c>
      <c r="AJ1422" s="4">
        <v>0</v>
      </c>
      <c r="AK1422" s="4">
        <v>0</v>
      </c>
      <c r="AL1422" s="4">
        <v>1</v>
      </c>
      <c r="AM1422" s="4">
        <v>1</v>
      </c>
      <c r="AN1422" s="4">
        <v>0</v>
      </c>
      <c r="AO1422" s="4">
        <v>0</v>
      </c>
      <c r="AP1422" s="4">
        <v>0</v>
      </c>
      <c r="AQ1422" s="4">
        <v>0</v>
      </c>
      <c r="AR1422" s="3" t="s">
        <v>65</v>
      </c>
      <c r="AS1422" s="3" t="s">
        <v>65</v>
      </c>
      <c r="AT1422" s="3" t="s">
        <v>209</v>
      </c>
      <c r="AU1422" s="6" t="str">
        <f>HYPERLINK("http://catalog.hathitrust.org/Record/002618285","HathiTrust Record")</f>
        <v>HathiTrust Record</v>
      </c>
      <c r="AV1422" s="6" t="str">
        <f>HYPERLINK("http://mcgill.on.worldcat.org/oclc/61556453","Catalog Record")</f>
        <v>Catalog Record</v>
      </c>
      <c r="AW1422" s="6" t="str">
        <f>HYPERLINK("http://www.worldcat.org/oclc/61556453","WorldCat Record")</f>
        <v>WorldCat Record</v>
      </c>
      <c r="AX1422" s="3" t="s">
        <v>14064</v>
      </c>
      <c r="AY1422" s="3" t="s">
        <v>14065</v>
      </c>
      <c r="AZ1422" s="3" t="s">
        <v>14066</v>
      </c>
      <c r="BA1422" s="3" t="s">
        <v>14066</v>
      </c>
      <c r="BB1422" s="3" t="s">
        <v>14067</v>
      </c>
      <c r="BC1422" s="3" t="s">
        <v>77</v>
      </c>
      <c r="BD1422" s="3" t="s">
        <v>78</v>
      </c>
      <c r="BE1422" s="3" t="s">
        <v>14068</v>
      </c>
      <c r="BF1422" s="3" t="s">
        <v>14067</v>
      </c>
      <c r="BG1422" s="3" t="s">
        <v>14069</v>
      </c>
    </row>
    <row r="1423" spans="1:59" ht="58" x14ac:dyDescent="0.35">
      <c r="A1423" s="2" t="s">
        <v>59</v>
      </c>
      <c r="B1423" s="2" t="s">
        <v>60</v>
      </c>
      <c r="C1423" s="2" t="s">
        <v>14070</v>
      </c>
      <c r="D1423" s="2" t="s">
        <v>14071</v>
      </c>
      <c r="E1423" s="2" t="s">
        <v>14072</v>
      </c>
      <c r="G1423" s="3" t="s">
        <v>65</v>
      </c>
      <c r="I1423" s="3" t="s">
        <v>65</v>
      </c>
      <c r="J1423" s="3" t="s">
        <v>209</v>
      </c>
      <c r="K1423" s="3" t="s">
        <v>66</v>
      </c>
      <c r="L1423" s="2" t="s">
        <v>13707</v>
      </c>
      <c r="M1423" s="2" t="s">
        <v>14073</v>
      </c>
      <c r="N1423" s="3" t="s">
        <v>4688</v>
      </c>
      <c r="P1423" s="3" t="s">
        <v>69</v>
      </c>
      <c r="Q1423" s="2" t="s">
        <v>9516</v>
      </c>
      <c r="R1423" s="3" t="s">
        <v>71</v>
      </c>
      <c r="S1423" s="4">
        <v>25</v>
      </c>
      <c r="T1423" s="4">
        <v>25</v>
      </c>
      <c r="U1423" s="5" t="s">
        <v>14074</v>
      </c>
      <c r="V1423" s="5" t="s">
        <v>14074</v>
      </c>
      <c r="W1423" s="5" t="s">
        <v>72</v>
      </c>
      <c r="X1423" s="5" t="s">
        <v>72</v>
      </c>
      <c r="Y1423" s="4">
        <v>250</v>
      </c>
      <c r="Z1423" s="4">
        <v>19</v>
      </c>
      <c r="AA1423" s="4">
        <v>25</v>
      </c>
      <c r="AB1423" s="4">
        <v>1</v>
      </c>
      <c r="AC1423" s="4">
        <v>1</v>
      </c>
      <c r="AD1423" s="4">
        <v>54</v>
      </c>
      <c r="AE1423" s="4">
        <v>71</v>
      </c>
      <c r="AF1423" s="4">
        <v>0</v>
      </c>
      <c r="AG1423" s="4">
        <v>0</v>
      </c>
      <c r="AH1423" s="4">
        <v>47</v>
      </c>
      <c r="AI1423" s="4">
        <v>62</v>
      </c>
      <c r="AJ1423" s="4">
        <v>6</v>
      </c>
      <c r="AK1423" s="4">
        <v>8</v>
      </c>
      <c r="AL1423" s="4">
        <v>29</v>
      </c>
      <c r="AM1423" s="4">
        <v>34</v>
      </c>
      <c r="AN1423" s="4">
        <v>0</v>
      </c>
      <c r="AO1423" s="4">
        <v>5</v>
      </c>
      <c r="AP1423" s="4">
        <v>11</v>
      </c>
      <c r="AQ1423" s="4">
        <v>13</v>
      </c>
      <c r="AR1423" s="3" t="s">
        <v>65</v>
      </c>
      <c r="AS1423" s="3" t="s">
        <v>65</v>
      </c>
      <c r="AT1423" s="3" t="s">
        <v>209</v>
      </c>
      <c r="AU1423" s="6" t="str">
        <f>HYPERLINK("http://catalog.hathitrust.org/Record/007968350","HathiTrust Record")</f>
        <v>HathiTrust Record</v>
      </c>
      <c r="AV1423" s="6" t="str">
        <f>HYPERLINK("http://mcgill.on.worldcat.org/oclc/11971793","Catalog Record")</f>
        <v>Catalog Record</v>
      </c>
      <c r="AW1423" s="6" t="str">
        <f>HYPERLINK("http://www.worldcat.org/oclc/11971793","WorldCat Record")</f>
        <v>WorldCat Record</v>
      </c>
      <c r="AX1423" s="3" t="s">
        <v>14075</v>
      </c>
      <c r="AY1423" s="3" t="s">
        <v>14076</v>
      </c>
      <c r="AZ1423" s="3" t="s">
        <v>14077</v>
      </c>
      <c r="BA1423" s="3" t="s">
        <v>14077</v>
      </c>
      <c r="BB1423" s="3" t="s">
        <v>14078</v>
      </c>
      <c r="BC1423" s="3" t="s">
        <v>77</v>
      </c>
      <c r="BD1423" s="3" t="s">
        <v>78</v>
      </c>
      <c r="BE1423" s="3" t="s">
        <v>14079</v>
      </c>
      <c r="BF1423" s="3" t="s">
        <v>14078</v>
      </c>
      <c r="BG1423" s="3" t="s">
        <v>14080</v>
      </c>
    </row>
    <row r="1424" spans="1:59" ht="58" x14ac:dyDescent="0.35">
      <c r="A1424" s="2" t="s">
        <v>59</v>
      </c>
      <c r="B1424" s="2" t="s">
        <v>60</v>
      </c>
      <c r="C1424" s="2" t="s">
        <v>14081</v>
      </c>
      <c r="D1424" s="2" t="s">
        <v>14082</v>
      </c>
      <c r="E1424" s="2" t="s">
        <v>14083</v>
      </c>
      <c r="G1424" s="3" t="s">
        <v>65</v>
      </c>
      <c r="I1424" s="3" t="s">
        <v>65</v>
      </c>
      <c r="J1424" s="3" t="s">
        <v>65</v>
      </c>
      <c r="K1424" s="3" t="s">
        <v>66</v>
      </c>
      <c r="L1424" s="2" t="s">
        <v>13707</v>
      </c>
      <c r="M1424" s="2" t="s">
        <v>14084</v>
      </c>
      <c r="N1424" s="3" t="s">
        <v>1967</v>
      </c>
      <c r="P1424" s="3" t="s">
        <v>69</v>
      </c>
      <c r="Q1424" s="2" t="s">
        <v>14085</v>
      </c>
      <c r="R1424" s="3" t="s">
        <v>71</v>
      </c>
      <c r="S1424" s="4">
        <v>11</v>
      </c>
      <c r="T1424" s="4">
        <v>11</v>
      </c>
      <c r="U1424" s="5" t="s">
        <v>14086</v>
      </c>
      <c r="V1424" s="5" t="s">
        <v>14086</v>
      </c>
      <c r="W1424" s="5" t="s">
        <v>72</v>
      </c>
      <c r="X1424" s="5" t="s">
        <v>72</v>
      </c>
      <c r="Y1424" s="4">
        <v>392</v>
      </c>
      <c r="Z1424" s="4">
        <v>25</v>
      </c>
      <c r="AA1424" s="4">
        <v>31</v>
      </c>
      <c r="AB1424" s="4">
        <v>2</v>
      </c>
      <c r="AC1424" s="4">
        <v>4</v>
      </c>
      <c r="AD1424" s="4">
        <v>102</v>
      </c>
      <c r="AE1424" s="4">
        <v>108</v>
      </c>
      <c r="AF1424" s="4">
        <v>1</v>
      </c>
      <c r="AG1424" s="4">
        <v>2</v>
      </c>
      <c r="AH1424" s="4">
        <v>92</v>
      </c>
      <c r="AI1424" s="4">
        <v>94</v>
      </c>
      <c r="AJ1424" s="4">
        <v>13</v>
      </c>
      <c r="AK1424" s="4">
        <v>15</v>
      </c>
      <c r="AL1424" s="4">
        <v>52</v>
      </c>
      <c r="AM1424" s="4">
        <v>53</v>
      </c>
      <c r="AN1424" s="4">
        <v>0</v>
      </c>
      <c r="AO1424" s="4">
        <v>0</v>
      </c>
      <c r="AP1424" s="4">
        <v>15</v>
      </c>
      <c r="AQ1424" s="4">
        <v>19</v>
      </c>
      <c r="AR1424" s="3" t="s">
        <v>65</v>
      </c>
      <c r="AS1424" s="3" t="s">
        <v>65</v>
      </c>
      <c r="AT1424" s="3" t="s">
        <v>209</v>
      </c>
      <c r="AU1424" s="6" t="str">
        <f>HYPERLINK("http://catalog.hathitrust.org/Record/004355790","HathiTrust Record")</f>
        <v>HathiTrust Record</v>
      </c>
      <c r="AV1424" s="6" t="str">
        <f>HYPERLINK("http://mcgill.on.worldcat.org/oclc/52773811","Catalog Record")</f>
        <v>Catalog Record</v>
      </c>
      <c r="AW1424" s="6" t="str">
        <f>HYPERLINK("http://www.worldcat.org/oclc/52773811","WorldCat Record")</f>
        <v>WorldCat Record</v>
      </c>
      <c r="AX1424" s="3" t="s">
        <v>14087</v>
      </c>
      <c r="AY1424" s="3" t="s">
        <v>14088</v>
      </c>
      <c r="AZ1424" s="3" t="s">
        <v>14089</v>
      </c>
      <c r="BA1424" s="3" t="s">
        <v>14089</v>
      </c>
      <c r="BB1424" s="3" t="s">
        <v>14090</v>
      </c>
      <c r="BC1424" s="3" t="s">
        <v>77</v>
      </c>
      <c r="BD1424" s="3" t="s">
        <v>78</v>
      </c>
      <c r="BE1424" s="3" t="s">
        <v>14091</v>
      </c>
      <c r="BF1424" s="3" t="s">
        <v>14090</v>
      </c>
      <c r="BG1424" s="3" t="s">
        <v>14092</v>
      </c>
    </row>
    <row r="1425" spans="1:59" ht="58" x14ac:dyDescent="0.35">
      <c r="A1425" s="2" t="s">
        <v>59</v>
      </c>
      <c r="B1425" s="2" t="s">
        <v>60</v>
      </c>
      <c r="C1425" s="2" t="s">
        <v>14093</v>
      </c>
      <c r="D1425" s="2" t="s">
        <v>14094</v>
      </c>
      <c r="E1425" s="2" t="s">
        <v>14095</v>
      </c>
      <c r="G1425" s="3" t="s">
        <v>65</v>
      </c>
      <c r="I1425" s="3" t="s">
        <v>65</v>
      </c>
      <c r="J1425" s="3" t="s">
        <v>209</v>
      </c>
      <c r="K1425" s="3" t="s">
        <v>66</v>
      </c>
      <c r="L1425" s="2" t="s">
        <v>13707</v>
      </c>
      <c r="M1425" s="2" t="s">
        <v>14096</v>
      </c>
      <c r="N1425" s="3" t="s">
        <v>479</v>
      </c>
      <c r="P1425" s="3" t="s">
        <v>69</v>
      </c>
      <c r="Q1425" s="2" t="s">
        <v>9163</v>
      </c>
      <c r="R1425" s="3" t="s">
        <v>71</v>
      </c>
      <c r="S1425" s="4">
        <v>21</v>
      </c>
      <c r="T1425" s="4">
        <v>21</v>
      </c>
      <c r="U1425" s="5" t="s">
        <v>14097</v>
      </c>
      <c r="V1425" s="5" t="s">
        <v>14097</v>
      </c>
      <c r="W1425" s="5" t="s">
        <v>72</v>
      </c>
      <c r="X1425" s="5" t="s">
        <v>72</v>
      </c>
      <c r="Y1425" s="4">
        <v>68</v>
      </c>
      <c r="Z1425" s="4">
        <v>6</v>
      </c>
      <c r="AA1425" s="4">
        <v>25</v>
      </c>
      <c r="AB1425" s="4">
        <v>1</v>
      </c>
      <c r="AC1425" s="4">
        <v>1</v>
      </c>
      <c r="AD1425" s="4">
        <v>6</v>
      </c>
      <c r="AE1425" s="4">
        <v>71</v>
      </c>
      <c r="AF1425" s="4">
        <v>0</v>
      </c>
      <c r="AG1425" s="4">
        <v>0</v>
      </c>
      <c r="AH1425" s="4">
        <v>5</v>
      </c>
      <c r="AI1425" s="4">
        <v>62</v>
      </c>
      <c r="AJ1425" s="4">
        <v>2</v>
      </c>
      <c r="AK1425" s="4">
        <v>8</v>
      </c>
      <c r="AL1425" s="4">
        <v>3</v>
      </c>
      <c r="AM1425" s="4">
        <v>34</v>
      </c>
      <c r="AN1425" s="4">
        <v>5</v>
      </c>
      <c r="AO1425" s="4">
        <v>5</v>
      </c>
      <c r="AP1425" s="4">
        <v>2</v>
      </c>
      <c r="AQ1425" s="4">
        <v>13</v>
      </c>
      <c r="AR1425" s="3" t="s">
        <v>65</v>
      </c>
      <c r="AS1425" s="3" t="s">
        <v>65</v>
      </c>
      <c r="AT1425" s="3" t="s">
        <v>209</v>
      </c>
      <c r="AU1425" s="6" t="str">
        <f>HYPERLINK("http://catalog.hathitrust.org/Record/012262953","HathiTrust Record")</f>
        <v>HathiTrust Record</v>
      </c>
      <c r="AV1425" s="6" t="str">
        <f>HYPERLINK("http://mcgill.on.worldcat.org/oclc/192027143","Catalog Record")</f>
        <v>Catalog Record</v>
      </c>
      <c r="AW1425" s="6" t="str">
        <f>HYPERLINK("http://www.worldcat.org/oclc/192027143","WorldCat Record")</f>
        <v>WorldCat Record</v>
      </c>
      <c r="AX1425" s="3" t="s">
        <v>14075</v>
      </c>
      <c r="AY1425" s="3" t="s">
        <v>14098</v>
      </c>
      <c r="AZ1425" s="3" t="s">
        <v>14099</v>
      </c>
      <c r="BA1425" s="3" t="s">
        <v>14099</v>
      </c>
      <c r="BB1425" s="3" t="s">
        <v>14100</v>
      </c>
      <c r="BC1425" s="3" t="s">
        <v>77</v>
      </c>
      <c r="BD1425" s="3" t="s">
        <v>78</v>
      </c>
      <c r="BE1425" s="3" t="s">
        <v>14101</v>
      </c>
      <c r="BF1425" s="3" t="s">
        <v>14100</v>
      </c>
      <c r="BG1425" s="3" t="s">
        <v>14102</v>
      </c>
    </row>
    <row r="1426" spans="1:59" ht="58" x14ac:dyDescent="0.35">
      <c r="A1426" s="2" t="s">
        <v>59</v>
      </c>
      <c r="B1426" s="2" t="s">
        <v>60</v>
      </c>
      <c r="C1426" s="2" t="s">
        <v>14103</v>
      </c>
      <c r="D1426" s="2" t="s">
        <v>14104</v>
      </c>
      <c r="E1426" s="2" t="s">
        <v>14105</v>
      </c>
      <c r="F1426" s="3" t="s">
        <v>14106</v>
      </c>
      <c r="G1426" s="3" t="s">
        <v>209</v>
      </c>
      <c r="I1426" s="3" t="s">
        <v>65</v>
      </c>
      <c r="J1426" s="3" t="s">
        <v>65</v>
      </c>
      <c r="K1426" s="3" t="s">
        <v>66</v>
      </c>
      <c r="L1426" s="2" t="s">
        <v>13707</v>
      </c>
      <c r="M1426" s="2" t="s">
        <v>14107</v>
      </c>
      <c r="N1426" s="3" t="s">
        <v>364</v>
      </c>
      <c r="P1426" s="3" t="s">
        <v>69</v>
      </c>
      <c r="R1426" s="3" t="s">
        <v>71</v>
      </c>
      <c r="S1426" s="4">
        <v>13</v>
      </c>
      <c r="T1426" s="4">
        <v>13</v>
      </c>
      <c r="U1426" s="5" t="s">
        <v>14074</v>
      </c>
      <c r="V1426" s="5" t="s">
        <v>14074</v>
      </c>
      <c r="W1426" s="5" t="s">
        <v>72</v>
      </c>
      <c r="X1426" s="5" t="s">
        <v>72</v>
      </c>
      <c r="Y1426" s="4">
        <v>19</v>
      </c>
      <c r="Z1426" s="4">
        <v>2</v>
      </c>
      <c r="AA1426" s="4">
        <v>5</v>
      </c>
      <c r="AB1426" s="4">
        <v>2</v>
      </c>
      <c r="AC1426" s="4">
        <v>2</v>
      </c>
      <c r="AD1426" s="4">
        <v>7</v>
      </c>
      <c r="AE1426" s="4">
        <v>20</v>
      </c>
      <c r="AF1426" s="4">
        <v>0</v>
      </c>
      <c r="AG1426" s="4">
        <v>0</v>
      </c>
      <c r="AH1426" s="4">
        <v>7</v>
      </c>
      <c r="AI1426" s="4">
        <v>18</v>
      </c>
      <c r="AJ1426" s="4">
        <v>0</v>
      </c>
      <c r="AK1426" s="4">
        <v>2</v>
      </c>
      <c r="AL1426" s="4">
        <v>6</v>
      </c>
      <c r="AM1426" s="4">
        <v>18</v>
      </c>
      <c r="AN1426" s="4">
        <v>0</v>
      </c>
      <c r="AO1426" s="4">
        <v>0</v>
      </c>
      <c r="AP1426" s="4">
        <v>0</v>
      </c>
      <c r="AQ1426" s="4">
        <v>2</v>
      </c>
      <c r="AR1426" s="3" t="s">
        <v>65</v>
      </c>
      <c r="AS1426" s="3" t="s">
        <v>65</v>
      </c>
      <c r="AT1426" s="3" t="s">
        <v>209</v>
      </c>
      <c r="AU1426" s="6" t="str">
        <f>HYPERLINK("http://catalog.hathitrust.org/Record/010646538","HathiTrust Record")</f>
        <v>HathiTrust Record</v>
      </c>
      <c r="AV1426" s="6" t="str">
        <f>HYPERLINK("http://mcgill.on.worldcat.org/oclc/47637376","Catalog Record")</f>
        <v>Catalog Record</v>
      </c>
      <c r="AW1426" s="6" t="str">
        <f>HYPERLINK("http://www.worldcat.org/oclc/47637376","WorldCat Record")</f>
        <v>WorldCat Record</v>
      </c>
      <c r="AX1426" s="3" t="s">
        <v>14108</v>
      </c>
      <c r="AY1426" s="3" t="s">
        <v>14109</v>
      </c>
      <c r="AZ1426" s="3" t="s">
        <v>14110</v>
      </c>
      <c r="BA1426" s="3" t="s">
        <v>14110</v>
      </c>
      <c r="BB1426" s="3" t="s">
        <v>14111</v>
      </c>
      <c r="BC1426" s="3" t="s">
        <v>77</v>
      </c>
      <c r="BD1426" s="3" t="s">
        <v>78</v>
      </c>
      <c r="BE1426" s="3" t="s">
        <v>14112</v>
      </c>
      <c r="BF1426" s="3" t="s">
        <v>14111</v>
      </c>
      <c r="BG1426" s="3" t="s">
        <v>14113</v>
      </c>
    </row>
    <row r="1427" spans="1:59" ht="58" x14ac:dyDescent="0.35">
      <c r="A1427" s="2" t="s">
        <v>59</v>
      </c>
      <c r="B1427" s="2" t="s">
        <v>60</v>
      </c>
      <c r="C1427" s="2" t="s">
        <v>14114</v>
      </c>
      <c r="D1427" s="2" t="s">
        <v>14115</v>
      </c>
      <c r="E1427" s="2" t="s">
        <v>14116</v>
      </c>
      <c r="G1427" s="3" t="s">
        <v>65</v>
      </c>
      <c r="I1427" s="3" t="s">
        <v>209</v>
      </c>
      <c r="J1427" s="3" t="s">
        <v>65</v>
      </c>
      <c r="K1427" s="3" t="s">
        <v>66</v>
      </c>
      <c r="L1427" s="2" t="s">
        <v>13707</v>
      </c>
      <c r="M1427" s="2" t="s">
        <v>14117</v>
      </c>
      <c r="N1427" s="3" t="s">
        <v>2210</v>
      </c>
      <c r="P1427" s="3" t="s">
        <v>69</v>
      </c>
      <c r="Q1427" s="2" t="s">
        <v>7248</v>
      </c>
      <c r="R1427" s="3" t="s">
        <v>71</v>
      </c>
      <c r="S1427" s="4">
        <v>11</v>
      </c>
      <c r="T1427" s="4">
        <v>23</v>
      </c>
      <c r="U1427" s="5" t="s">
        <v>14118</v>
      </c>
      <c r="V1427" s="5" t="s">
        <v>14119</v>
      </c>
      <c r="W1427" s="5" t="s">
        <v>72</v>
      </c>
      <c r="X1427" s="5" t="s">
        <v>72</v>
      </c>
      <c r="Y1427" s="4">
        <v>68</v>
      </c>
      <c r="Z1427" s="4">
        <v>8</v>
      </c>
      <c r="AA1427" s="4">
        <v>8</v>
      </c>
      <c r="AB1427" s="4">
        <v>3</v>
      </c>
      <c r="AC1427" s="4">
        <v>3</v>
      </c>
      <c r="AD1427" s="4">
        <v>13</v>
      </c>
      <c r="AE1427" s="4">
        <v>13</v>
      </c>
      <c r="AF1427" s="4">
        <v>0</v>
      </c>
      <c r="AG1427" s="4">
        <v>0</v>
      </c>
      <c r="AH1427" s="4">
        <v>11</v>
      </c>
      <c r="AI1427" s="4">
        <v>11</v>
      </c>
      <c r="AJ1427" s="4">
        <v>1</v>
      </c>
      <c r="AK1427" s="4">
        <v>1</v>
      </c>
      <c r="AL1427" s="4">
        <v>12</v>
      </c>
      <c r="AM1427" s="4">
        <v>12</v>
      </c>
      <c r="AN1427" s="4">
        <v>0</v>
      </c>
      <c r="AO1427" s="4">
        <v>0</v>
      </c>
      <c r="AP1427" s="4">
        <v>2</v>
      </c>
      <c r="AQ1427" s="4">
        <v>2</v>
      </c>
      <c r="AR1427" s="3" t="s">
        <v>65</v>
      </c>
      <c r="AS1427" s="3" t="s">
        <v>65</v>
      </c>
      <c r="AT1427" s="3" t="s">
        <v>65</v>
      </c>
      <c r="AV1427" s="6" t="str">
        <f>HYPERLINK("http://mcgill.on.worldcat.org/oclc/50271299","Catalog Record")</f>
        <v>Catalog Record</v>
      </c>
      <c r="AW1427" s="6" t="str">
        <f>HYPERLINK("http://www.worldcat.org/oclc/50271299","WorldCat Record")</f>
        <v>WorldCat Record</v>
      </c>
      <c r="AX1427" s="3" t="s">
        <v>14120</v>
      </c>
      <c r="AY1427" s="3" t="s">
        <v>14121</v>
      </c>
      <c r="AZ1427" s="3" t="s">
        <v>14122</v>
      </c>
      <c r="BA1427" s="3" t="s">
        <v>14122</v>
      </c>
      <c r="BB1427" s="3" t="s">
        <v>14123</v>
      </c>
      <c r="BC1427" s="3" t="s">
        <v>77</v>
      </c>
      <c r="BD1427" s="3" t="s">
        <v>78</v>
      </c>
      <c r="BE1427" s="3" t="s">
        <v>14124</v>
      </c>
      <c r="BF1427" s="3" t="s">
        <v>14123</v>
      </c>
      <c r="BG1427" s="3" t="s">
        <v>14125</v>
      </c>
    </row>
    <row r="1428" spans="1:59" ht="58" x14ac:dyDescent="0.35">
      <c r="A1428" s="2" t="s">
        <v>59</v>
      </c>
      <c r="B1428" s="2" t="s">
        <v>60</v>
      </c>
      <c r="C1428" s="2" t="s">
        <v>14114</v>
      </c>
      <c r="D1428" s="2" t="s">
        <v>14115</v>
      </c>
      <c r="E1428" s="2" t="s">
        <v>14116</v>
      </c>
      <c r="G1428" s="3" t="s">
        <v>65</v>
      </c>
      <c r="I1428" s="3" t="s">
        <v>209</v>
      </c>
      <c r="J1428" s="3" t="s">
        <v>65</v>
      </c>
      <c r="K1428" s="3" t="s">
        <v>66</v>
      </c>
      <c r="L1428" s="2" t="s">
        <v>13707</v>
      </c>
      <c r="M1428" s="2" t="s">
        <v>14117</v>
      </c>
      <c r="N1428" s="3" t="s">
        <v>2210</v>
      </c>
      <c r="P1428" s="3" t="s">
        <v>69</v>
      </c>
      <c r="Q1428" s="2" t="s">
        <v>7248</v>
      </c>
      <c r="R1428" s="3" t="s">
        <v>71</v>
      </c>
      <c r="S1428" s="4">
        <v>12</v>
      </c>
      <c r="T1428" s="4">
        <v>23</v>
      </c>
      <c r="U1428" s="5" t="s">
        <v>14119</v>
      </c>
      <c r="V1428" s="5" t="s">
        <v>14119</v>
      </c>
      <c r="W1428" s="5" t="s">
        <v>72</v>
      </c>
      <c r="X1428" s="5" t="s">
        <v>72</v>
      </c>
      <c r="Y1428" s="4">
        <v>68</v>
      </c>
      <c r="Z1428" s="4">
        <v>8</v>
      </c>
      <c r="AA1428" s="4">
        <v>8</v>
      </c>
      <c r="AB1428" s="4">
        <v>3</v>
      </c>
      <c r="AC1428" s="4">
        <v>3</v>
      </c>
      <c r="AD1428" s="4">
        <v>13</v>
      </c>
      <c r="AE1428" s="4">
        <v>13</v>
      </c>
      <c r="AF1428" s="4">
        <v>0</v>
      </c>
      <c r="AG1428" s="4">
        <v>0</v>
      </c>
      <c r="AH1428" s="4">
        <v>11</v>
      </c>
      <c r="AI1428" s="4">
        <v>11</v>
      </c>
      <c r="AJ1428" s="4">
        <v>1</v>
      </c>
      <c r="AK1428" s="4">
        <v>1</v>
      </c>
      <c r="AL1428" s="4">
        <v>12</v>
      </c>
      <c r="AM1428" s="4">
        <v>12</v>
      </c>
      <c r="AN1428" s="4">
        <v>0</v>
      </c>
      <c r="AO1428" s="4">
        <v>0</v>
      </c>
      <c r="AP1428" s="4">
        <v>2</v>
      </c>
      <c r="AQ1428" s="4">
        <v>2</v>
      </c>
      <c r="AR1428" s="3" t="s">
        <v>65</v>
      </c>
      <c r="AS1428" s="3" t="s">
        <v>65</v>
      </c>
      <c r="AT1428" s="3" t="s">
        <v>65</v>
      </c>
      <c r="AV1428" s="6" t="str">
        <f>HYPERLINK("http://mcgill.on.worldcat.org/oclc/50271299","Catalog Record")</f>
        <v>Catalog Record</v>
      </c>
      <c r="AW1428" s="6" t="str">
        <f>HYPERLINK("http://www.worldcat.org/oclc/50271299","WorldCat Record")</f>
        <v>WorldCat Record</v>
      </c>
      <c r="AX1428" s="3" t="s">
        <v>14120</v>
      </c>
      <c r="AY1428" s="3" t="s">
        <v>14121</v>
      </c>
      <c r="AZ1428" s="3" t="s">
        <v>14122</v>
      </c>
      <c r="BA1428" s="3" t="s">
        <v>14122</v>
      </c>
      <c r="BB1428" s="3" t="s">
        <v>14126</v>
      </c>
      <c r="BC1428" s="3" t="s">
        <v>77</v>
      </c>
      <c r="BD1428" s="3" t="s">
        <v>78</v>
      </c>
      <c r="BE1428" s="3" t="s">
        <v>14124</v>
      </c>
      <c r="BF1428" s="3" t="s">
        <v>14126</v>
      </c>
      <c r="BG1428" s="3" t="s">
        <v>14127</v>
      </c>
    </row>
    <row r="1429" spans="1:59" ht="58" x14ac:dyDescent="0.35">
      <c r="A1429" s="2" t="s">
        <v>59</v>
      </c>
      <c r="B1429" s="2" t="s">
        <v>60</v>
      </c>
      <c r="C1429" s="2" t="s">
        <v>14128</v>
      </c>
      <c r="D1429" s="2" t="s">
        <v>14129</v>
      </c>
      <c r="E1429" s="2" t="s">
        <v>14130</v>
      </c>
      <c r="G1429" s="3" t="s">
        <v>65</v>
      </c>
      <c r="I1429" s="3" t="s">
        <v>65</v>
      </c>
      <c r="J1429" s="3" t="s">
        <v>65</v>
      </c>
      <c r="K1429" s="3" t="s">
        <v>66</v>
      </c>
      <c r="L1429" s="2" t="s">
        <v>13707</v>
      </c>
      <c r="M1429" s="2" t="s">
        <v>14131</v>
      </c>
      <c r="N1429" s="3" t="s">
        <v>1196</v>
      </c>
      <c r="O1429" s="2" t="s">
        <v>14132</v>
      </c>
      <c r="P1429" s="3" t="s">
        <v>69</v>
      </c>
      <c r="Q1429" s="2" t="s">
        <v>14133</v>
      </c>
      <c r="R1429" s="3" t="s">
        <v>71</v>
      </c>
      <c r="S1429" s="4">
        <v>10</v>
      </c>
      <c r="T1429" s="4">
        <v>10</v>
      </c>
      <c r="U1429" s="5" t="s">
        <v>14134</v>
      </c>
      <c r="V1429" s="5" t="s">
        <v>14134</v>
      </c>
      <c r="W1429" s="5" t="s">
        <v>72</v>
      </c>
      <c r="X1429" s="5" t="s">
        <v>72</v>
      </c>
      <c r="Y1429" s="4">
        <v>81</v>
      </c>
      <c r="Z1429" s="4">
        <v>10</v>
      </c>
      <c r="AA1429" s="4">
        <v>96</v>
      </c>
      <c r="AB1429" s="4">
        <v>1</v>
      </c>
      <c r="AC1429" s="4">
        <v>17</v>
      </c>
      <c r="AD1429" s="4">
        <v>46</v>
      </c>
      <c r="AE1429" s="4">
        <v>105</v>
      </c>
      <c r="AF1429" s="4">
        <v>0</v>
      </c>
      <c r="AG1429" s="4">
        <v>8</v>
      </c>
      <c r="AH1429" s="4">
        <v>40</v>
      </c>
      <c r="AI1429" s="4">
        <v>70</v>
      </c>
      <c r="AJ1429" s="4">
        <v>8</v>
      </c>
      <c r="AK1429" s="4">
        <v>22</v>
      </c>
      <c r="AL1429" s="4">
        <v>26</v>
      </c>
      <c r="AM1429" s="4">
        <v>37</v>
      </c>
      <c r="AN1429" s="4">
        <v>0</v>
      </c>
      <c r="AO1429" s="4">
        <v>0</v>
      </c>
      <c r="AP1429" s="4">
        <v>8</v>
      </c>
      <c r="AQ1429" s="4">
        <v>43</v>
      </c>
      <c r="AR1429" s="3" t="s">
        <v>65</v>
      </c>
      <c r="AS1429" s="3" t="s">
        <v>65</v>
      </c>
      <c r="AT1429" s="3" t="s">
        <v>209</v>
      </c>
      <c r="AU1429" s="6" t="str">
        <f>HYPERLINK("http://catalog.hathitrust.org/Record/005067807","HathiTrust Record")</f>
        <v>HathiTrust Record</v>
      </c>
      <c r="AV1429" s="6" t="str">
        <f>HYPERLINK("http://mcgill.on.worldcat.org/oclc/61193970","Catalog Record")</f>
        <v>Catalog Record</v>
      </c>
      <c r="AW1429" s="6" t="str">
        <f>HYPERLINK("http://www.worldcat.org/oclc/61193970","WorldCat Record")</f>
        <v>WorldCat Record</v>
      </c>
      <c r="AX1429" s="3" t="s">
        <v>14135</v>
      </c>
      <c r="AY1429" s="3" t="s">
        <v>14136</v>
      </c>
      <c r="AZ1429" s="3" t="s">
        <v>14137</v>
      </c>
      <c r="BA1429" s="3" t="s">
        <v>14137</v>
      </c>
      <c r="BB1429" s="3" t="s">
        <v>14138</v>
      </c>
      <c r="BC1429" s="3" t="s">
        <v>77</v>
      </c>
      <c r="BD1429" s="3" t="s">
        <v>78</v>
      </c>
      <c r="BE1429" s="3" t="s">
        <v>14139</v>
      </c>
      <c r="BF1429" s="3" t="s">
        <v>14138</v>
      </c>
      <c r="BG1429" s="3" t="s">
        <v>14140</v>
      </c>
    </row>
    <row r="1430" spans="1:59" ht="72.5" x14ac:dyDescent="0.35">
      <c r="A1430" s="2" t="s">
        <v>59</v>
      </c>
      <c r="B1430" s="2" t="s">
        <v>60</v>
      </c>
      <c r="C1430" s="2" t="s">
        <v>14141</v>
      </c>
      <c r="D1430" s="2" t="s">
        <v>14142</v>
      </c>
      <c r="E1430" s="2" t="s">
        <v>14143</v>
      </c>
      <c r="G1430" s="3" t="s">
        <v>65</v>
      </c>
      <c r="I1430" s="3" t="s">
        <v>65</v>
      </c>
      <c r="J1430" s="3" t="s">
        <v>65</v>
      </c>
      <c r="K1430" s="3" t="s">
        <v>66</v>
      </c>
      <c r="L1430" s="2" t="s">
        <v>13707</v>
      </c>
      <c r="M1430" s="2" t="s">
        <v>14144</v>
      </c>
      <c r="N1430" s="3" t="s">
        <v>1085</v>
      </c>
      <c r="P1430" s="3" t="s">
        <v>69</v>
      </c>
      <c r="R1430" s="3" t="s">
        <v>71</v>
      </c>
      <c r="S1430" s="4">
        <v>42</v>
      </c>
      <c r="T1430" s="4">
        <v>42</v>
      </c>
      <c r="U1430" s="5" t="s">
        <v>14145</v>
      </c>
      <c r="V1430" s="5" t="s">
        <v>14145</v>
      </c>
      <c r="W1430" s="5" t="s">
        <v>72</v>
      </c>
      <c r="X1430" s="5" t="s">
        <v>72</v>
      </c>
      <c r="Y1430" s="4">
        <v>35</v>
      </c>
      <c r="Z1430" s="4">
        <v>6</v>
      </c>
      <c r="AA1430" s="4">
        <v>14</v>
      </c>
      <c r="AB1430" s="4">
        <v>1</v>
      </c>
      <c r="AC1430" s="4">
        <v>1</v>
      </c>
      <c r="AD1430" s="4">
        <v>18</v>
      </c>
      <c r="AE1430" s="4">
        <v>28</v>
      </c>
      <c r="AF1430" s="4">
        <v>0</v>
      </c>
      <c r="AG1430" s="4">
        <v>0</v>
      </c>
      <c r="AH1430" s="4">
        <v>16</v>
      </c>
      <c r="AI1430" s="4">
        <v>21</v>
      </c>
      <c r="AJ1430" s="4">
        <v>4</v>
      </c>
      <c r="AK1430" s="4">
        <v>7</v>
      </c>
      <c r="AL1430" s="4">
        <v>6</v>
      </c>
      <c r="AM1430" s="4">
        <v>8</v>
      </c>
      <c r="AN1430" s="4">
        <v>0</v>
      </c>
      <c r="AO1430" s="4">
        <v>0</v>
      </c>
      <c r="AP1430" s="4">
        <v>4</v>
      </c>
      <c r="AQ1430" s="4">
        <v>10</v>
      </c>
      <c r="AR1430" s="3" t="s">
        <v>65</v>
      </c>
      <c r="AS1430" s="3" t="s">
        <v>65</v>
      </c>
      <c r="AT1430" s="3" t="s">
        <v>209</v>
      </c>
      <c r="AU1430" s="6" t="str">
        <f>HYPERLINK("http://catalog.hathitrust.org/Record/003067118","HathiTrust Record")</f>
        <v>HathiTrust Record</v>
      </c>
      <c r="AV1430" s="6" t="str">
        <f>HYPERLINK("http://mcgill.on.worldcat.org/oclc/428068484","Catalog Record")</f>
        <v>Catalog Record</v>
      </c>
      <c r="AW1430" s="6" t="str">
        <f>HYPERLINK("http://www.worldcat.org/oclc/428068484","WorldCat Record")</f>
        <v>WorldCat Record</v>
      </c>
      <c r="AX1430" s="3" t="s">
        <v>14146</v>
      </c>
      <c r="AY1430" s="3" t="s">
        <v>14147</v>
      </c>
      <c r="AZ1430" s="3" t="s">
        <v>14148</v>
      </c>
      <c r="BA1430" s="3" t="s">
        <v>14148</v>
      </c>
      <c r="BB1430" s="3" t="s">
        <v>14149</v>
      </c>
      <c r="BC1430" s="3" t="s">
        <v>77</v>
      </c>
      <c r="BD1430" s="3" t="s">
        <v>14150</v>
      </c>
      <c r="BE1430" s="3" t="s">
        <v>14151</v>
      </c>
      <c r="BF1430" s="3" t="s">
        <v>14149</v>
      </c>
      <c r="BG1430" s="3" t="s">
        <v>14152</v>
      </c>
    </row>
    <row r="1431" spans="1:59" ht="58" x14ac:dyDescent="0.35">
      <c r="A1431" s="2" t="s">
        <v>59</v>
      </c>
      <c r="B1431" s="2" t="s">
        <v>60</v>
      </c>
      <c r="C1431" s="2" t="s">
        <v>14153</v>
      </c>
      <c r="D1431" s="2" t="s">
        <v>14154</v>
      </c>
      <c r="E1431" s="2" t="s">
        <v>14155</v>
      </c>
      <c r="G1431" s="3" t="s">
        <v>65</v>
      </c>
      <c r="I1431" s="3" t="s">
        <v>209</v>
      </c>
      <c r="J1431" s="3" t="s">
        <v>209</v>
      </c>
      <c r="K1431" s="3" t="s">
        <v>66</v>
      </c>
      <c r="L1431" s="2" t="s">
        <v>13707</v>
      </c>
      <c r="M1431" s="2" t="s">
        <v>14156</v>
      </c>
      <c r="N1431" s="3" t="s">
        <v>5439</v>
      </c>
      <c r="P1431" s="3" t="s">
        <v>69</v>
      </c>
      <c r="R1431" s="3" t="s">
        <v>71</v>
      </c>
      <c r="S1431" s="4">
        <v>5</v>
      </c>
      <c r="T1431" s="4">
        <v>14</v>
      </c>
      <c r="U1431" s="5" t="s">
        <v>11785</v>
      </c>
      <c r="V1431" s="5" t="s">
        <v>11785</v>
      </c>
      <c r="W1431" s="5" t="s">
        <v>72</v>
      </c>
      <c r="X1431" s="5" t="s">
        <v>72</v>
      </c>
      <c r="Y1431" s="4">
        <v>523</v>
      </c>
      <c r="Z1431" s="4">
        <v>22</v>
      </c>
      <c r="AA1431" s="4">
        <v>47</v>
      </c>
      <c r="AB1431" s="4">
        <v>1</v>
      </c>
      <c r="AC1431" s="4">
        <v>4</v>
      </c>
      <c r="AD1431" s="4">
        <v>103</v>
      </c>
      <c r="AE1431" s="4">
        <v>139</v>
      </c>
      <c r="AF1431" s="4">
        <v>0</v>
      </c>
      <c r="AG1431" s="4">
        <v>1</v>
      </c>
      <c r="AH1431" s="4">
        <v>91</v>
      </c>
      <c r="AI1431" s="4">
        <v>114</v>
      </c>
      <c r="AJ1431" s="4">
        <v>10</v>
      </c>
      <c r="AK1431" s="4">
        <v>23</v>
      </c>
      <c r="AL1431" s="4">
        <v>50</v>
      </c>
      <c r="AM1431" s="4">
        <v>60</v>
      </c>
      <c r="AN1431" s="4">
        <v>0</v>
      </c>
      <c r="AO1431" s="4">
        <v>0</v>
      </c>
      <c r="AP1431" s="4">
        <v>16</v>
      </c>
      <c r="AQ1431" s="4">
        <v>32</v>
      </c>
      <c r="AR1431" s="3" t="s">
        <v>65</v>
      </c>
      <c r="AS1431" s="3" t="s">
        <v>65</v>
      </c>
      <c r="AT1431" s="3" t="s">
        <v>209</v>
      </c>
      <c r="AU1431" s="6" t="str">
        <f>HYPERLINK("http://catalog.hathitrust.org/Record/004463137","HathiTrust Record")</f>
        <v>HathiTrust Record</v>
      </c>
      <c r="AV1431" s="6" t="str">
        <f>HYPERLINK("http://mcgill.on.worldcat.org/oclc/345296","Catalog Record")</f>
        <v>Catalog Record</v>
      </c>
      <c r="AW1431" s="6" t="str">
        <f>HYPERLINK("http://www.worldcat.org/oclc/345296","WorldCat Record")</f>
        <v>WorldCat Record</v>
      </c>
      <c r="AX1431" s="3" t="s">
        <v>14157</v>
      </c>
      <c r="AY1431" s="3" t="s">
        <v>14158</v>
      </c>
      <c r="AZ1431" s="3" t="s">
        <v>14159</v>
      </c>
      <c r="BA1431" s="3" t="s">
        <v>14159</v>
      </c>
      <c r="BB1431" s="3" t="s">
        <v>14160</v>
      </c>
      <c r="BC1431" s="3" t="s">
        <v>77</v>
      </c>
      <c r="BD1431" s="3" t="s">
        <v>78</v>
      </c>
      <c r="BF1431" s="3" t="s">
        <v>14160</v>
      </c>
      <c r="BG1431" s="3" t="s">
        <v>14161</v>
      </c>
    </row>
    <row r="1432" spans="1:59" ht="58" x14ac:dyDescent="0.35">
      <c r="A1432" s="2" t="s">
        <v>59</v>
      </c>
      <c r="B1432" s="2" t="s">
        <v>60</v>
      </c>
      <c r="C1432" s="2" t="s">
        <v>14153</v>
      </c>
      <c r="D1432" s="2" t="s">
        <v>14154</v>
      </c>
      <c r="E1432" s="2" t="s">
        <v>14155</v>
      </c>
      <c r="G1432" s="3" t="s">
        <v>65</v>
      </c>
      <c r="I1432" s="3" t="s">
        <v>209</v>
      </c>
      <c r="J1432" s="3" t="s">
        <v>209</v>
      </c>
      <c r="K1432" s="3" t="s">
        <v>66</v>
      </c>
      <c r="L1432" s="2" t="s">
        <v>13707</v>
      </c>
      <c r="M1432" s="2" t="s">
        <v>14156</v>
      </c>
      <c r="N1432" s="3" t="s">
        <v>5439</v>
      </c>
      <c r="P1432" s="3" t="s">
        <v>69</v>
      </c>
      <c r="R1432" s="3" t="s">
        <v>71</v>
      </c>
      <c r="S1432" s="4">
        <v>9</v>
      </c>
      <c r="T1432" s="4">
        <v>14</v>
      </c>
      <c r="U1432" s="5" t="s">
        <v>14162</v>
      </c>
      <c r="V1432" s="5" t="s">
        <v>11785</v>
      </c>
      <c r="W1432" s="5" t="s">
        <v>72</v>
      </c>
      <c r="X1432" s="5" t="s">
        <v>72</v>
      </c>
      <c r="Y1432" s="4">
        <v>523</v>
      </c>
      <c r="Z1432" s="4">
        <v>22</v>
      </c>
      <c r="AA1432" s="4">
        <v>47</v>
      </c>
      <c r="AB1432" s="4">
        <v>1</v>
      </c>
      <c r="AC1432" s="4">
        <v>4</v>
      </c>
      <c r="AD1432" s="4">
        <v>103</v>
      </c>
      <c r="AE1432" s="4">
        <v>139</v>
      </c>
      <c r="AF1432" s="4">
        <v>0</v>
      </c>
      <c r="AG1432" s="4">
        <v>1</v>
      </c>
      <c r="AH1432" s="4">
        <v>91</v>
      </c>
      <c r="AI1432" s="4">
        <v>114</v>
      </c>
      <c r="AJ1432" s="4">
        <v>10</v>
      </c>
      <c r="AK1432" s="4">
        <v>23</v>
      </c>
      <c r="AL1432" s="4">
        <v>50</v>
      </c>
      <c r="AM1432" s="4">
        <v>60</v>
      </c>
      <c r="AN1432" s="4">
        <v>0</v>
      </c>
      <c r="AO1432" s="4">
        <v>0</v>
      </c>
      <c r="AP1432" s="4">
        <v>16</v>
      </c>
      <c r="AQ1432" s="4">
        <v>32</v>
      </c>
      <c r="AR1432" s="3" t="s">
        <v>65</v>
      </c>
      <c r="AS1432" s="3" t="s">
        <v>65</v>
      </c>
      <c r="AT1432" s="3" t="s">
        <v>209</v>
      </c>
      <c r="AU1432" s="6" t="str">
        <f>HYPERLINK("http://catalog.hathitrust.org/Record/004463137","HathiTrust Record")</f>
        <v>HathiTrust Record</v>
      </c>
      <c r="AV1432" s="6" t="str">
        <f>HYPERLINK("http://mcgill.on.worldcat.org/oclc/345296","Catalog Record")</f>
        <v>Catalog Record</v>
      </c>
      <c r="AW1432" s="6" t="str">
        <f>HYPERLINK("http://www.worldcat.org/oclc/345296","WorldCat Record")</f>
        <v>WorldCat Record</v>
      </c>
      <c r="AX1432" s="3" t="s">
        <v>14157</v>
      </c>
      <c r="AY1432" s="3" t="s">
        <v>14158</v>
      </c>
      <c r="AZ1432" s="3" t="s">
        <v>14159</v>
      </c>
      <c r="BA1432" s="3" t="s">
        <v>14159</v>
      </c>
      <c r="BB1432" s="3" t="s">
        <v>14163</v>
      </c>
      <c r="BC1432" s="3" t="s">
        <v>77</v>
      </c>
      <c r="BD1432" s="3" t="s">
        <v>78</v>
      </c>
      <c r="BF1432" s="3" t="s">
        <v>14163</v>
      </c>
      <c r="BG1432" s="3" t="s">
        <v>14164</v>
      </c>
    </row>
    <row r="1433" spans="1:59" ht="58" x14ac:dyDescent="0.35">
      <c r="A1433" s="2" t="s">
        <v>59</v>
      </c>
      <c r="B1433" s="2" t="s">
        <v>60</v>
      </c>
      <c r="C1433" s="2" t="s">
        <v>14165</v>
      </c>
      <c r="D1433" s="2" t="s">
        <v>14166</v>
      </c>
      <c r="E1433" s="2" t="s">
        <v>14167</v>
      </c>
      <c r="G1433" s="3" t="s">
        <v>65</v>
      </c>
      <c r="I1433" s="3" t="s">
        <v>65</v>
      </c>
      <c r="J1433" s="3" t="s">
        <v>209</v>
      </c>
      <c r="K1433" s="3" t="s">
        <v>66</v>
      </c>
      <c r="L1433" s="2" t="s">
        <v>13707</v>
      </c>
      <c r="M1433" s="2" t="s">
        <v>14168</v>
      </c>
      <c r="N1433" s="3" t="s">
        <v>1173</v>
      </c>
      <c r="P1433" s="3" t="s">
        <v>69</v>
      </c>
      <c r="R1433" s="3" t="s">
        <v>71</v>
      </c>
      <c r="S1433" s="4">
        <v>6</v>
      </c>
      <c r="T1433" s="4">
        <v>6</v>
      </c>
      <c r="U1433" s="5" t="s">
        <v>11520</v>
      </c>
      <c r="V1433" s="5" t="s">
        <v>11520</v>
      </c>
      <c r="W1433" s="5" t="s">
        <v>72</v>
      </c>
      <c r="X1433" s="5" t="s">
        <v>72</v>
      </c>
      <c r="Y1433" s="4">
        <v>473</v>
      </c>
      <c r="Z1433" s="4">
        <v>33</v>
      </c>
      <c r="AA1433" s="4">
        <v>47</v>
      </c>
      <c r="AB1433" s="4">
        <v>1</v>
      </c>
      <c r="AC1433" s="4">
        <v>4</v>
      </c>
      <c r="AD1433" s="4">
        <v>113</v>
      </c>
      <c r="AE1433" s="4">
        <v>139</v>
      </c>
      <c r="AF1433" s="4">
        <v>0</v>
      </c>
      <c r="AG1433" s="4">
        <v>1</v>
      </c>
      <c r="AH1433" s="4">
        <v>97</v>
      </c>
      <c r="AI1433" s="4">
        <v>114</v>
      </c>
      <c r="AJ1433" s="4">
        <v>19</v>
      </c>
      <c r="AK1433" s="4">
        <v>23</v>
      </c>
      <c r="AL1433" s="4">
        <v>48</v>
      </c>
      <c r="AM1433" s="4">
        <v>60</v>
      </c>
      <c r="AN1433" s="4">
        <v>0</v>
      </c>
      <c r="AO1433" s="4">
        <v>0</v>
      </c>
      <c r="AP1433" s="4">
        <v>23</v>
      </c>
      <c r="AQ1433" s="4">
        <v>32</v>
      </c>
      <c r="AR1433" s="3" t="s">
        <v>65</v>
      </c>
      <c r="AS1433" s="3" t="s">
        <v>65</v>
      </c>
      <c r="AT1433" s="3" t="s">
        <v>209</v>
      </c>
      <c r="AU1433" s="6" t="str">
        <f>HYPERLINK("http://catalog.hathitrust.org/Record/001219696","HathiTrust Record")</f>
        <v>HathiTrust Record</v>
      </c>
      <c r="AV1433" s="6" t="str">
        <f>HYPERLINK("http://mcgill.on.worldcat.org/oclc/209274","Catalog Record")</f>
        <v>Catalog Record</v>
      </c>
      <c r="AW1433" s="6" t="str">
        <f>HYPERLINK("http://www.worldcat.org/oclc/209274","WorldCat Record")</f>
        <v>WorldCat Record</v>
      </c>
      <c r="AX1433" s="3" t="s">
        <v>14157</v>
      </c>
      <c r="AY1433" s="3" t="s">
        <v>14169</v>
      </c>
      <c r="AZ1433" s="3" t="s">
        <v>14170</v>
      </c>
      <c r="BA1433" s="3" t="s">
        <v>14170</v>
      </c>
      <c r="BB1433" s="3" t="s">
        <v>14171</v>
      </c>
      <c r="BC1433" s="3" t="s">
        <v>77</v>
      </c>
      <c r="BD1433" s="3" t="s">
        <v>78</v>
      </c>
      <c r="BE1433" s="3" t="s">
        <v>14172</v>
      </c>
      <c r="BF1433" s="3" t="s">
        <v>14171</v>
      </c>
      <c r="BG1433" s="3" t="s">
        <v>14173</v>
      </c>
    </row>
    <row r="1434" spans="1:59" ht="58" x14ac:dyDescent="0.35">
      <c r="A1434" s="2" t="s">
        <v>59</v>
      </c>
      <c r="B1434" s="2" t="s">
        <v>60</v>
      </c>
      <c r="C1434" s="2" t="s">
        <v>14174</v>
      </c>
      <c r="D1434" s="2" t="s">
        <v>14175</v>
      </c>
      <c r="E1434" s="2" t="s">
        <v>14176</v>
      </c>
      <c r="G1434" s="3" t="s">
        <v>65</v>
      </c>
      <c r="I1434" s="3" t="s">
        <v>209</v>
      </c>
      <c r="J1434" s="3" t="s">
        <v>65</v>
      </c>
      <c r="K1434" s="3" t="s">
        <v>66</v>
      </c>
      <c r="L1434" s="2" t="s">
        <v>13707</v>
      </c>
      <c r="M1434" s="2" t="s">
        <v>14177</v>
      </c>
      <c r="N1434" s="3" t="s">
        <v>1109</v>
      </c>
      <c r="P1434" s="3" t="s">
        <v>69</v>
      </c>
      <c r="R1434" s="3" t="s">
        <v>71</v>
      </c>
      <c r="S1434" s="4">
        <v>6</v>
      </c>
      <c r="T1434" s="4">
        <v>17</v>
      </c>
      <c r="U1434" s="5" t="s">
        <v>14178</v>
      </c>
      <c r="V1434" s="5" t="s">
        <v>14178</v>
      </c>
      <c r="W1434" s="5" t="s">
        <v>72</v>
      </c>
      <c r="X1434" s="5" t="s">
        <v>72</v>
      </c>
      <c r="Y1434" s="4">
        <v>471</v>
      </c>
      <c r="Z1434" s="4">
        <v>34</v>
      </c>
      <c r="AA1434" s="4">
        <v>34</v>
      </c>
      <c r="AB1434" s="4">
        <v>2</v>
      </c>
      <c r="AC1434" s="4">
        <v>2</v>
      </c>
      <c r="AD1434" s="4">
        <v>115</v>
      </c>
      <c r="AE1434" s="4">
        <v>115</v>
      </c>
      <c r="AF1434" s="4">
        <v>1</v>
      </c>
      <c r="AG1434" s="4">
        <v>1</v>
      </c>
      <c r="AH1434" s="4">
        <v>97</v>
      </c>
      <c r="AI1434" s="4">
        <v>97</v>
      </c>
      <c r="AJ1434" s="4">
        <v>18</v>
      </c>
      <c r="AK1434" s="4">
        <v>18</v>
      </c>
      <c r="AL1434" s="4">
        <v>52</v>
      </c>
      <c r="AM1434" s="4">
        <v>52</v>
      </c>
      <c r="AN1434" s="4">
        <v>0</v>
      </c>
      <c r="AO1434" s="4">
        <v>0</v>
      </c>
      <c r="AP1434" s="4">
        <v>25</v>
      </c>
      <c r="AQ1434" s="4">
        <v>25</v>
      </c>
      <c r="AR1434" s="3" t="s">
        <v>65</v>
      </c>
      <c r="AS1434" s="3" t="s">
        <v>65</v>
      </c>
      <c r="AT1434" s="3" t="s">
        <v>65</v>
      </c>
      <c r="AV1434" s="6" t="str">
        <f>HYPERLINK("http://mcgill.on.worldcat.org/oclc/1094784","Catalog Record")</f>
        <v>Catalog Record</v>
      </c>
      <c r="AW1434" s="6" t="str">
        <f>HYPERLINK("http://www.worldcat.org/oclc/1094784","WorldCat Record")</f>
        <v>WorldCat Record</v>
      </c>
      <c r="AX1434" s="3" t="s">
        <v>14179</v>
      </c>
      <c r="AY1434" s="3" t="s">
        <v>14180</v>
      </c>
      <c r="AZ1434" s="3" t="s">
        <v>14181</v>
      </c>
      <c r="BA1434" s="3" t="s">
        <v>14181</v>
      </c>
      <c r="BB1434" s="3" t="s">
        <v>14182</v>
      </c>
      <c r="BC1434" s="3" t="s">
        <v>77</v>
      </c>
      <c r="BD1434" s="3" t="s">
        <v>78</v>
      </c>
      <c r="BE1434" s="3" t="s">
        <v>14183</v>
      </c>
      <c r="BF1434" s="3" t="s">
        <v>14182</v>
      </c>
      <c r="BG1434" s="3" t="s">
        <v>14184</v>
      </c>
    </row>
    <row r="1435" spans="1:59" ht="58" x14ac:dyDescent="0.35">
      <c r="A1435" s="2" t="s">
        <v>59</v>
      </c>
      <c r="B1435" s="2" t="s">
        <v>60</v>
      </c>
      <c r="C1435" s="2" t="s">
        <v>14174</v>
      </c>
      <c r="D1435" s="2" t="s">
        <v>14175</v>
      </c>
      <c r="E1435" s="2" t="s">
        <v>14176</v>
      </c>
      <c r="G1435" s="3" t="s">
        <v>65</v>
      </c>
      <c r="I1435" s="3" t="s">
        <v>209</v>
      </c>
      <c r="J1435" s="3" t="s">
        <v>65</v>
      </c>
      <c r="K1435" s="3" t="s">
        <v>66</v>
      </c>
      <c r="L1435" s="2" t="s">
        <v>13707</v>
      </c>
      <c r="M1435" s="2" t="s">
        <v>14177</v>
      </c>
      <c r="N1435" s="3" t="s">
        <v>1109</v>
      </c>
      <c r="P1435" s="3" t="s">
        <v>69</v>
      </c>
      <c r="R1435" s="3" t="s">
        <v>71</v>
      </c>
      <c r="S1435" s="4">
        <v>11</v>
      </c>
      <c r="T1435" s="4">
        <v>17</v>
      </c>
      <c r="U1435" s="5" t="s">
        <v>14185</v>
      </c>
      <c r="V1435" s="5" t="s">
        <v>14178</v>
      </c>
      <c r="W1435" s="5" t="s">
        <v>72</v>
      </c>
      <c r="X1435" s="5" t="s">
        <v>72</v>
      </c>
      <c r="Y1435" s="4">
        <v>471</v>
      </c>
      <c r="Z1435" s="4">
        <v>34</v>
      </c>
      <c r="AA1435" s="4">
        <v>34</v>
      </c>
      <c r="AB1435" s="4">
        <v>2</v>
      </c>
      <c r="AC1435" s="4">
        <v>2</v>
      </c>
      <c r="AD1435" s="4">
        <v>115</v>
      </c>
      <c r="AE1435" s="4">
        <v>115</v>
      </c>
      <c r="AF1435" s="4">
        <v>1</v>
      </c>
      <c r="AG1435" s="4">
        <v>1</v>
      </c>
      <c r="AH1435" s="4">
        <v>97</v>
      </c>
      <c r="AI1435" s="4">
        <v>97</v>
      </c>
      <c r="AJ1435" s="4">
        <v>18</v>
      </c>
      <c r="AK1435" s="4">
        <v>18</v>
      </c>
      <c r="AL1435" s="4">
        <v>52</v>
      </c>
      <c r="AM1435" s="4">
        <v>52</v>
      </c>
      <c r="AN1435" s="4">
        <v>0</v>
      </c>
      <c r="AO1435" s="4">
        <v>0</v>
      </c>
      <c r="AP1435" s="4">
        <v>25</v>
      </c>
      <c r="AQ1435" s="4">
        <v>25</v>
      </c>
      <c r="AR1435" s="3" t="s">
        <v>65</v>
      </c>
      <c r="AS1435" s="3" t="s">
        <v>65</v>
      </c>
      <c r="AT1435" s="3" t="s">
        <v>65</v>
      </c>
      <c r="AV1435" s="6" t="str">
        <f>HYPERLINK("http://mcgill.on.worldcat.org/oclc/1094784","Catalog Record")</f>
        <v>Catalog Record</v>
      </c>
      <c r="AW1435" s="6" t="str">
        <f>HYPERLINK("http://www.worldcat.org/oclc/1094784","WorldCat Record")</f>
        <v>WorldCat Record</v>
      </c>
      <c r="AX1435" s="3" t="s">
        <v>14179</v>
      </c>
      <c r="AY1435" s="3" t="s">
        <v>14180</v>
      </c>
      <c r="AZ1435" s="3" t="s">
        <v>14181</v>
      </c>
      <c r="BA1435" s="3" t="s">
        <v>14181</v>
      </c>
      <c r="BB1435" s="3" t="s">
        <v>14186</v>
      </c>
      <c r="BC1435" s="3" t="s">
        <v>77</v>
      </c>
      <c r="BD1435" s="3" t="s">
        <v>78</v>
      </c>
      <c r="BE1435" s="3" t="s">
        <v>14183</v>
      </c>
      <c r="BF1435" s="3" t="s">
        <v>14186</v>
      </c>
      <c r="BG1435" s="3" t="s">
        <v>14187</v>
      </c>
    </row>
    <row r="1436" spans="1:59" ht="58" x14ac:dyDescent="0.35">
      <c r="A1436" s="2" t="s">
        <v>59</v>
      </c>
      <c r="B1436" s="2" t="s">
        <v>60</v>
      </c>
      <c r="C1436" s="2" t="s">
        <v>14188</v>
      </c>
      <c r="D1436" s="2" t="s">
        <v>14189</v>
      </c>
      <c r="E1436" s="2" t="s">
        <v>14190</v>
      </c>
      <c r="F1436" s="3" t="s">
        <v>792</v>
      </c>
      <c r="G1436" s="3" t="s">
        <v>209</v>
      </c>
      <c r="I1436" s="3" t="s">
        <v>65</v>
      </c>
      <c r="J1436" s="3" t="s">
        <v>65</v>
      </c>
      <c r="K1436" s="3" t="s">
        <v>66</v>
      </c>
      <c r="L1436" s="2" t="s">
        <v>13707</v>
      </c>
      <c r="M1436" s="2" t="s">
        <v>14191</v>
      </c>
      <c r="N1436" s="3" t="s">
        <v>770</v>
      </c>
      <c r="P1436" s="3" t="s">
        <v>69</v>
      </c>
      <c r="R1436" s="3" t="s">
        <v>71</v>
      </c>
      <c r="S1436" s="4">
        <v>6</v>
      </c>
      <c r="T1436" s="4">
        <v>40</v>
      </c>
      <c r="U1436" s="5" t="s">
        <v>14192</v>
      </c>
      <c r="V1436" s="5" t="s">
        <v>11326</v>
      </c>
      <c r="W1436" s="5" t="s">
        <v>72</v>
      </c>
      <c r="X1436" s="5" t="s">
        <v>72</v>
      </c>
      <c r="Y1436" s="4">
        <v>297</v>
      </c>
      <c r="Z1436" s="4">
        <v>18</v>
      </c>
      <c r="AA1436" s="4">
        <v>18</v>
      </c>
      <c r="AB1436" s="4">
        <v>1</v>
      </c>
      <c r="AC1436" s="4">
        <v>1</v>
      </c>
      <c r="AD1436" s="4">
        <v>89</v>
      </c>
      <c r="AE1436" s="4">
        <v>89</v>
      </c>
      <c r="AF1436" s="4">
        <v>0</v>
      </c>
      <c r="AG1436" s="4">
        <v>0</v>
      </c>
      <c r="AH1436" s="4">
        <v>83</v>
      </c>
      <c r="AI1436" s="4">
        <v>83</v>
      </c>
      <c r="AJ1436" s="4">
        <v>10</v>
      </c>
      <c r="AK1436" s="4">
        <v>10</v>
      </c>
      <c r="AL1436" s="4">
        <v>48</v>
      </c>
      <c r="AM1436" s="4">
        <v>48</v>
      </c>
      <c r="AN1436" s="4">
        <v>0</v>
      </c>
      <c r="AO1436" s="4">
        <v>0</v>
      </c>
      <c r="AP1436" s="4">
        <v>10</v>
      </c>
      <c r="AQ1436" s="4">
        <v>10</v>
      </c>
      <c r="AR1436" s="3" t="s">
        <v>65</v>
      </c>
      <c r="AS1436" s="3" t="s">
        <v>65</v>
      </c>
      <c r="AT1436" s="3" t="s">
        <v>209</v>
      </c>
      <c r="AU1436" s="6" t="str">
        <f>HYPERLINK("http://catalog.hathitrust.org/Record/002581192","HathiTrust Record")</f>
        <v>HathiTrust Record</v>
      </c>
      <c r="AV1436" s="6" t="str">
        <f>HYPERLINK("http://mcgill.on.worldcat.org/oclc/21197888","Catalog Record")</f>
        <v>Catalog Record</v>
      </c>
      <c r="AW1436" s="6" t="str">
        <f>HYPERLINK("http://www.worldcat.org/oclc/21197888","WorldCat Record")</f>
        <v>WorldCat Record</v>
      </c>
      <c r="AX1436" s="3" t="s">
        <v>14193</v>
      </c>
      <c r="AY1436" s="3" t="s">
        <v>14194</v>
      </c>
      <c r="AZ1436" s="3" t="s">
        <v>14195</v>
      </c>
      <c r="BA1436" s="3" t="s">
        <v>14195</v>
      </c>
      <c r="BB1436" s="3" t="s">
        <v>14196</v>
      </c>
      <c r="BC1436" s="3" t="s">
        <v>77</v>
      </c>
      <c r="BD1436" s="3" t="s">
        <v>78</v>
      </c>
      <c r="BE1436" s="3" t="s">
        <v>14197</v>
      </c>
      <c r="BF1436" s="3" t="s">
        <v>14196</v>
      </c>
      <c r="BG1436" s="3" t="s">
        <v>14198</v>
      </c>
    </row>
    <row r="1437" spans="1:59" ht="58" x14ac:dyDescent="0.35">
      <c r="A1437" s="2" t="s">
        <v>59</v>
      </c>
      <c r="B1437" s="2" t="s">
        <v>60</v>
      </c>
      <c r="C1437" s="2" t="s">
        <v>14188</v>
      </c>
      <c r="D1437" s="2" t="s">
        <v>14189</v>
      </c>
      <c r="E1437" s="2" t="s">
        <v>14190</v>
      </c>
      <c r="F1437" s="3" t="s">
        <v>258</v>
      </c>
      <c r="G1437" s="3" t="s">
        <v>209</v>
      </c>
      <c r="I1437" s="3" t="s">
        <v>65</v>
      </c>
      <c r="J1437" s="3" t="s">
        <v>65</v>
      </c>
      <c r="K1437" s="3" t="s">
        <v>66</v>
      </c>
      <c r="L1437" s="2" t="s">
        <v>13707</v>
      </c>
      <c r="M1437" s="2" t="s">
        <v>14191</v>
      </c>
      <c r="N1437" s="3" t="s">
        <v>770</v>
      </c>
      <c r="P1437" s="3" t="s">
        <v>69</v>
      </c>
      <c r="R1437" s="3" t="s">
        <v>71</v>
      </c>
      <c r="S1437" s="4">
        <v>10</v>
      </c>
      <c r="T1437" s="4">
        <v>40</v>
      </c>
      <c r="U1437" s="5" t="s">
        <v>11326</v>
      </c>
      <c r="V1437" s="5" t="s">
        <v>11326</v>
      </c>
      <c r="W1437" s="5" t="s">
        <v>72</v>
      </c>
      <c r="X1437" s="5" t="s">
        <v>72</v>
      </c>
      <c r="Y1437" s="4">
        <v>297</v>
      </c>
      <c r="Z1437" s="4">
        <v>18</v>
      </c>
      <c r="AA1437" s="4">
        <v>18</v>
      </c>
      <c r="AB1437" s="4">
        <v>1</v>
      </c>
      <c r="AC1437" s="4">
        <v>1</v>
      </c>
      <c r="AD1437" s="4">
        <v>89</v>
      </c>
      <c r="AE1437" s="4">
        <v>89</v>
      </c>
      <c r="AF1437" s="4">
        <v>0</v>
      </c>
      <c r="AG1437" s="4">
        <v>0</v>
      </c>
      <c r="AH1437" s="4">
        <v>83</v>
      </c>
      <c r="AI1437" s="4">
        <v>83</v>
      </c>
      <c r="AJ1437" s="4">
        <v>10</v>
      </c>
      <c r="AK1437" s="4">
        <v>10</v>
      </c>
      <c r="AL1437" s="4">
        <v>48</v>
      </c>
      <c r="AM1437" s="4">
        <v>48</v>
      </c>
      <c r="AN1437" s="4">
        <v>0</v>
      </c>
      <c r="AO1437" s="4">
        <v>0</v>
      </c>
      <c r="AP1437" s="4">
        <v>10</v>
      </c>
      <c r="AQ1437" s="4">
        <v>10</v>
      </c>
      <c r="AR1437" s="3" t="s">
        <v>65</v>
      </c>
      <c r="AS1437" s="3" t="s">
        <v>65</v>
      </c>
      <c r="AT1437" s="3" t="s">
        <v>209</v>
      </c>
      <c r="AU1437" s="6" t="str">
        <f>HYPERLINK("http://catalog.hathitrust.org/Record/002581192","HathiTrust Record")</f>
        <v>HathiTrust Record</v>
      </c>
      <c r="AV1437" s="6" t="str">
        <f>HYPERLINK("http://mcgill.on.worldcat.org/oclc/21197888","Catalog Record")</f>
        <v>Catalog Record</v>
      </c>
      <c r="AW1437" s="6" t="str">
        <f>HYPERLINK("http://www.worldcat.org/oclc/21197888","WorldCat Record")</f>
        <v>WorldCat Record</v>
      </c>
      <c r="AX1437" s="3" t="s">
        <v>14193</v>
      </c>
      <c r="AY1437" s="3" t="s">
        <v>14194</v>
      </c>
      <c r="AZ1437" s="3" t="s">
        <v>14195</v>
      </c>
      <c r="BA1437" s="3" t="s">
        <v>14195</v>
      </c>
      <c r="BB1437" s="3" t="s">
        <v>14199</v>
      </c>
      <c r="BC1437" s="3" t="s">
        <v>77</v>
      </c>
      <c r="BD1437" s="3" t="s">
        <v>78</v>
      </c>
      <c r="BE1437" s="3" t="s">
        <v>14197</v>
      </c>
      <c r="BF1437" s="3" t="s">
        <v>14199</v>
      </c>
      <c r="BG1437" s="3" t="s">
        <v>14200</v>
      </c>
    </row>
    <row r="1438" spans="1:59" ht="58" x14ac:dyDescent="0.35">
      <c r="A1438" s="2" t="s">
        <v>59</v>
      </c>
      <c r="B1438" s="2" t="s">
        <v>60</v>
      </c>
      <c r="C1438" s="2" t="s">
        <v>14188</v>
      </c>
      <c r="D1438" s="2" t="s">
        <v>14189</v>
      </c>
      <c r="E1438" s="2" t="s">
        <v>14190</v>
      </c>
      <c r="F1438" s="3" t="s">
        <v>245</v>
      </c>
      <c r="G1438" s="3" t="s">
        <v>209</v>
      </c>
      <c r="I1438" s="3" t="s">
        <v>65</v>
      </c>
      <c r="J1438" s="3" t="s">
        <v>65</v>
      </c>
      <c r="K1438" s="3" t="s">
        <v>66</v>
      </c>
      <c r="L1438" s="2" t="s">
        <v>13707</v>
      </c>
      <c r="M1438" s="2" t="s">
        <v>14191</v>
      </c>
      <c r="N1438" s="3" t="s">
        <v>770</v>
      </c>
      <c r="P1438" s="3" t="s">
        <v>69</v>
      </c>
      <c r="R1438" s="3" t="s">
        <v>71</v>
      </c>
      <c r="S1438" s="4">
        <v>12</v>
      </c>
      <c r="T1438" s="4">
        <v>40</v>
      </c>
      <c r="U1438" s="5" t="s">
        <v>11326</v>
      </c>
      <c r="V1438" s="5" t="s">
        <v>11326</v>
      </c>
      <c r="W1438" s="5" t="s">
        <v>72</v>
      </c>
      <c r="X1438" s="5" t="s">
        <v>72</v>
      </c>
      <c r="Y1438" s="4">
        <v>297</v>
      </c>
      <c r="Z1438" s="4">
        <v>18</v>
      </c>
      <c r="AA1438" s="4">
        <v>18</v>
      </c>
      <c r="AB1438" s="4">
        <v>1</v>
      </c>
      <c r="AC1438" s="4">
        <v>1</v>
      </c>
      <c r="AD1438" s="4">
        <v>89</v>
      </c>
      <c r="AE1438" s="4">
        <v>89</v>
      </c>
      <c r="AF1438" s="4">
        <v>0</v>
      </c>
      <c r="AG1438" s="4">
        <v>0</v>
      </c>
      <c r="AH1438" s="4">
        <v>83</v>
      </c>
      <c r="AI1438" s="4">
        <v>83</v>
      </c>
      <c r="AJ1438" s="4">
        <v>10</v>
      </c>
      <c r="AK1438" s="4">
        <v>10</v>
      </c>
      <c r="AL1438" s="4">
        <v>48</v>
      </c>
      <c r="AM1438" s="4">
        <v>48</v>
      </c>
      <c r="AN1438" s="4">
        <v>0</v>
      </c>
      <c r="AO1438" s="4">
        <v>0</v>
      </c>
      <c r="AP1438" s="4">
        <v>10</v>
      </c>
      <c r="AQ1438" s="4">
        <v>10</v>
      </c>
      <c r="AR1438" s="3" t="s">
        <v>65</v>
      </c>
      <c r="AS1438" s="3" t="s">
        <v>65</v>
      </c>
      <c r="AT1438" s="3" t="s">
        <v>209</v>
      </c>
      <c r="AU1438" s="6" t="str">
        <f>HYPERLINK("http://catalog.hathitrust.org/Record/002581192","HathiTrust Record")</f>
        <v>HathiTrust Record</v>
      </c>
      <c r="AV1438" s="6" t="str">
        <f>HYPERLINK("http://mcgill.on.worldcat.org/oclc/21197888","Catalog Record")</f>
        <v>Catalog Record</v>
      </c>
      <c r="AW1438" s="6" t="str">
        <f>HYPERLINK("http://www.worldcat.org/oclc/21197888","WorldCat Record")</f>
        <v>WorldCat Record</v>
      </c>
      <c r="AX1438" s="3" t="s">
        <v>14193</v>
      </c>
      <c r="AY1438" s="3" t="s">
        <v>14194</v>
      </c>
      <c r="AZ1438" s="3" t="s">
        <v>14195</v>
      </c>
      <c r="BA1438" s="3" t="s">
        <v>14195</v>
      </c>
      <c r="BB1438" s="3" t="s">
        <v>14201</v>
      </c>
      <c r="BC1438" s="3" t="s">
        <v>77</v>
      </c>
      <c r="BD1438" s="3" t="s">
        <v>78</v>
      </c>
      <c r="BE1438" s="3" t="s">
        <v>14197</v>
      </c>
      <c r="BF1438" s="3" t="s">
        <v>14201</v>
      </c>
      <c r="BG1438" s="3" t="s">
        <v>14202</v>
      </c>
    </row>
    <row r="1439" spans="1:59" ht="58" x14ac:dyDescent="0.35">
      <c r="A1439" s="2" t="s">
        <v>59</v>
      </c>
      <c r="B1439" s="2" t="s">
        <v>60</v>
      </c>
      <c r="C1439" s="2" t="s">
        <v>14188</v>
      </c>
      <c r="D1439" s="2" t="s">
        <v>14189</v>
      </c>
      <c r="E1439" s="2" t="s">
        <v>14190</v>
      </c>
      <c r="F1439" s="3" t="s">
        <v>1071</v>
      </c>
      <c r="G1439" s="3" t="s">
        <v>209</v>
      </c>
      <c r="I1439" s="3" t="s">
        <v>65</v>
      </c>
      <c r="J1439" s="3" t="s">
        <v>65</v>
      </c>
      <c r="K1439" s="3" t="s">
        <v>66</v>
      </c>
      <c r="L1439" s="2" t="s">
        <v>13707</v>
      </c>
      <c r="M1439" s="2" t="s">
        <v>14191</v>
      </c>
      <c r="N1439" s="3" t="s">
        <v>770</v>
      </c>
      <c r="P1439" s="3" t="s">
        <v>69</v>
      </c>
      <c r="R1439" s="3" t="s">
        <v>71</v>
      </c>
      <c r="S1439" s="4">
        <v>3</v>
      </c>
      <c r="T1439" s="4">
        <v>40</v>
      </c>
      <c r="U1439" s="5" t="s">
        <v>14192</v>
      </c>
      <c r="V1439" s="5" t="s">
        <v>11326</v>
      </c>
      <c r="W1439" s="5" t="s">
        <v>72</v>
      </c>
      <c r="X1439" s="5" t="s">
        <v>72</v>
      </c>
      <c r="Y1439" s="4">
        <v>297</v>
      </c>
      <c r="Z1439" s="4">
        <v>18</v>
      </c>
      <c r="AA1439" s="4">
        <v>18</v>
      </c>
      <c r="AB1439" s="4">
        <v>1</v>
      </c>
      <c r="AC1439" s="4">
        <v>1</v>
      </c>
      <c r="AD1439" s="4">
        <v>89</v>
      </c>
      <c r="AE1439" s="4">
        <v>89</v>
      </c>
      <c r="AF1439" s="4">
        <v>0</v>
      </c>
      <c r="AG1439" s="4">
        <v>0</v>
      </c>
      <c r="AH1439" s="4">
        <v>83</v>
      </c>
      <c r="AI1439" s="4">
        <v>83</v>
      </c>
      <c r="AJ1439" s="4">
        <v>10</v>
      </c>
      <c r="AK1439" s="4">
        <v>10</v>
      </c>
      <c r="AL1439" s="4">
        <v>48</v>
      </c>
      <c r="AM1439" s="4">
        <v>48</v>
      </c>
      <c r="AN1439" s="4">
        <v>0</v>
      </c>
      <c r="AO1439" s="4">
        <v>0</v>
      </c>
      <c r="AP1439" s="4">
        <v>10</v>
      </c>
      <c r="AQ1439" s="4">
        <v>10</v>
      </c>
      <c r="AR1439" s="3" t="s">
        <v>65</v>
      </c>
      <c r="AS1439" s="3" t="s">
        <v>65</v>
      </c>
      <c r="AT1439" s="3" t="s">
        <v>209</v>
      </c>
      <c r="AU1439" s="6" t="str">
        <f>HYPERLINK("http://catalog.hathitrust.org/Record/002581192","HathiTrust Record")</f>
        <v>HathiTrust Record</v>
      </c>
      <c r="AV1439" s="6" t="str">
        <f>HYPERLINK("http://mcgill.on.worldcat.org/oclc/21197888","Catalog Record")</f>
        <v>Catalog Record</v>
      </c>
      <c r="AW1439" s="6" t="str">
        <f>HYPERLINK("http://www.worldcat.org/oclc/21197888","WorldCat Record")</f>
        <v>WorldCat Record</v>
      </c>
      <c r="AX1439" s="3" t="s">
        <v>14193</v>
      </c>
      <c r="AY1439" s="3" t="s">
        <v>14194</v>
      </c>
      <c r="AZ1439" s="3" t="s">
        <v>14195</v>
      </c>
      <c r="BA1439" s="3" t="s">
        <v>14195</v>
      </c>
      <c r="BB1439" s="3" t="s">
        <v>14203</v>
      </c>
      <c r="BC1439" s="3" t="s">
        <v>77</v>
      </c>
      <c r="BD1439" s="3" t="s">
        <v>78</v>
      </c>
      <c r="BE1439" s="3" t="s">
        <v>14197</v>
      </c>
      <c r="BF1439" s="3" t="s">
        <v>14203</v>
      </c>
      <c r="BG1439" s="3" t="s">
        <v>14204</v>
      </c>
    </row>
    <row r="1440" spans="1:59" ht="58" x14ac:dyDescent="0.35">
      <c r="A1440" s="2" t="s">
        <v>59</v>
      </c>
      <c r="B1440" s="2" t="s">
        <v>60</v>
      </c>
      <c r="C1440" s="2" t="s">
        <v>14188</v>
      </c>
      <c r="D1440" s="2" t="s">
        <v>14189</v>
      </c>
      <c r="E1440" s="2" t="s">
        <v>14190</v>
      </c>
      <c r="F1440" s="3" t="s">
        <v>255</v>
      </c>
      <c r="G1440" s="3" t="s">
        <v>209</v>
      </c>
      <c r="I1440" s="3" t="s">
        <v>65</v>
      </c>
      <c r="J1440" s="3" t="s">
        <v>65</v>
      </c>
      <c r="K1440" s="3" t="s">
        <v>66</v>
      </c>
      <c r="L1440" s="2" t="s">
        <v>13707</v>
      </c>
      <c r="M1440" s="2" t="s">
        <v>14191</v>
      </c>
      <c r="N1440" s="3" t="s">
        <v>770</v>
      </c>
      <c r="P1440" s="3" t="s">
        <v>69</v>
      </c>
      <c r="R1440" s="3" t="s">
        <v>71</v>
      </c>
      <c r="S1440" s="4">
        <v>9</v>
      </c>
      <c r="T1440" s="4">
        <v>40</v>
      </c>
      <c r="U1440" s="5" t="s">
        <v>14205</v>
      </c>
      <c r="V1440" s="5" t="s">
        <v>11326</v>
      </c>
      <c r="W1440" s="5" t="s">
        <v>72</v>
      </c>
      <c r="X1440" s="5" t="s">
        <v>72</v>
      </c>
      <c r="Y1440" s="4">
        <v>297</v>
      </c>
      <c r="Z1440" s="4">
        <v>18</v>
      </c>
      <c r="AA1440" s="4">
        <v>18</v>
      </c>
      <c r="AB1440" s="4">
        <v>1</v>
      </c>
      <c r="AC1440" s="4">
        <v>1</v>
      </c>
      <c r="AD1440" s="4">
        <v>89</v>
      </c>
      <c r="AE1440" s="4">
        <v>89</v>
      </c>
      <c r="AF1440" s="4">
        <v>0</v>
      </c>
      <c r="AG1440" s="4">
        <v>0</v>
      </c>
      <c r="AH1440" s="4">
        <v>83</v>
      </c>
      <c r="AI1440" s="4">
        <v>83</v>
      </c>
      <c r="AJ1440" s="4">
        <v>10</v>
      </c>
      <c r="AK1440" s="4">
        <v>10</v>
      </c>
      <c r="AL1440" s="4">
        <v>48</v>
      </c>
      <c r="AM1440" s="4">
        <v>48</v>
      </c>
      <c r="AN1440" s="4">
        <v>0</v>
      </c>
      <c r="AO1440" s="4">
        <v>0</v>
      </c>
      <c r="AP1440" s="4">
        <v>10</v>
      </c>
      <c r="AQ1440" s="4">
        <v>10</v>
      </c>
      <c r="AR1440" s="3" t="s">
        <v>65</v>
      </c>
      <c r="AS1440" s="3" t="s">
        <v>65</v>
      </c>
      <c r="AT1440" s="3" t="s">
        <v>209</v>
      </c>
      <c r="AU1440" s="6" t="str">
        <f>HYPERLINK("http://catalog.hathitrust.org/Record/002581192","HathiTrust Record")</f>
        <v>HathiTrust Record</v>
      </c>
      <c r="AV1440" s="6" t="str">
        <f>HYPERLINK("http://mcgill.on.worldcat.org/oclc/21197888","Catalog Record")</f>
        <v>Catalog Record</v>
      </c>
      <c r="AW1440" s="6" t="str">
        <f>HYPERLINK("http://www.worldcat.org/oclc/21197888","WorldCat Record")</f>
        <v>WorldCat Record</v>
      </c>
      <c r="AX1440" s="3" t="s">
        <v>14193</v>
      </c>
      <c r="AY1440" s="3" t="s">
        <v>14194</v>
      </c>
      <c r="AZ1440" s="3" t="s">
        <v>14195</v>
      </c>
      <c r="BA1440" s="3" t="s">
        <v>14195</v>
      </c>
      <c r="BB1440" s="3" t="s">
        <v>14206</v>
      </c>
      <c r="BC1440" s="3" t="s">
        <v>77</v>
      </c>
      <c r="BD1440" s="3" t="s">
        <v>78</v>
      </c>
      <c r="BE1440" s="3" t="s">
        <v>14197</v>
      </c>
      <c r="BF1440" s="3" t="s">
        <v>14206</v>
      </c>
      <c r="BG1440" s="3" t="s">
        <v>14207</v>
      </c>
    </row>
    <row r="1441" spans="1:59" ht="58" x14ac:dyDescent="0.35">
      <c r="A1441" s="2" t="s">
        <v>59</v>
      </c>
      <c r="B1441" s="2" t="s">
        <v>60</v>
      </c>
      <c r="C1441" s="2" t="s">
        <v>14208</v>
      </c>
      <c r="D1441" s="2" t="s">
        <v>14209</v>
      </c>
      <c r="E1441" s="2" t="s">
        <v>14210</v>
      </c>
      <c r="G1441" s="3" t="s">
        <v>65</v>
      </c>
      <c r="I1441" s="3" t="s">
        <v>65</v>
      </c>
      <c r="J1441" s="3" t="s">
        <v>65</v>
      </c>
      <c r="K1441" s="3" t="s">
        <v>66</v>
      </c>
      <c r="L1441" s="2" t="s">
        <v>13707</v>
      </c>
      <c r="M1441" s="2" t="s">
        <v>14211</v>
      </c>
      <c r="N1441" s="3" t="s">
        <v>577</v>
      </c>
      <c r="O1441" s="2" t="s">
        <v>14212</v>
      </c>
      <c r="P1441" s="3" t="s">
        <v>69</v>
      </c>
      <c r="Q1441" s="2" t="s">
        <v>14213</v>
      </c>
      <c r="R1441" s="3" t="s">
        <v>71</v>
      </c>
      <c r="S1441" s="4">
        <v>27</v>
      </c>
      <c r="T1441" s="4">
        <v>27</v>
      </c>
      <c r="U1441" s="5" t="s">
        <v>14214</v>
      </c>
      <c r="V1441" s="5" t="s">
        <v>14214</v>
      </c>
      <c r="W1441" s="5" t="s">
        <v>72</v>
      </c>
      <c r="X1441" s="5" t="s">
        <v>72</v>
      </c>
      <c r="Y1441" s="4">
        <v>115</v>
      </c>
      <c r="Z1441" s="4">
        <v>7</v>
      </c>
      <c r="AA1441" s="4">
        <v>17</v>
      </c>
      <c r="AB1441" s="4">
        <v>1</v>
      </c>
      <c r="AC1441" s="4">
        <v>1</v>
      </c>
      <c r="AD1441" s="4">
        <v>34</v>
      </c>
      <c r="AE1441" s="4">
        <v>87</v>
      </c>
      <c r="AF1441" s="4">
        <v>0</v>
      </c>
      <c r="AG1441" s="4">
        <v>0</v>
      </c>
      <c r="AH1441" s="4">
        <v>31</v>
      </c>
      <c r="AI1441" s="4">
        <v>80</v>
      </c>
      <c r="AJ1441" s="4">
        <v>4</v>
      </c>
      <c r="AK1441" s="4">
        <v>10</v>
      </c>
      <c r="AL1441" s="4">
        <v>17</v>
      </c>
      <c r="AM1441" s="4">
        <v>45</v>
      </c>
      <c r="AN1441" s="4">
        <v>0</v>
      </c>
      <c r="AO1441" s="4">
        <v>0</v>
      </c>
      <c r="AP1441" s="4">
        <v>5</v>
      </c>
      <c r="AQ1441" s="4">
        <v>11</v>
      </c>
      <c r="AR1441" s="3" t="s">
        <v>65</v>
      </c>
      <c r="AS1441" s="3" t="s">
        <v>65</v>
      </c>
      <c r="AT1441" s="3" t="s">
        <v>65</v>
      </c>
      <c r="AV1441" s="6" t="str">
        <f>HYPERLINK("http://mcgill.on.worldcat.org/oclc/3415358","Catalog Record")</f>
        <v>Catalog Record</v>
      </c>
      <c r="AW1441" s="6" t="str">
        <f>HYPERLINK("http://www.worldcat.org/oclc/3415358","WorldCat Record")</f>
        <v>WorldCat Record</v>
      </c>
      <c r="AX1441" s="3" t="s">
        <v>14215</v>
      </c>
      <c r="AY1441" s="3" t="s">
        <v>14216</v>
      </c>
      <c r="AZ1441" s="3" t="s">
        <v>14217</v>
      </c>
      <c r="BA1441" s="3" t="s">
        <v>14217</v>
      </c>
      <c r="BB1441" s="3" t="s">
        <v>14218</v>
      </c>
      <c r="BC1441" s="3" t="s">
        <v>77</v>
      </c>
      <c r="BD1441" s="3" t="s">
        <v>106</v>
      </c>
      <c r="BE1441" s="3" t="s">
        <v>14219</v>
      </c>
      <c r="BF1441" s="3" t="s">
        <v>14218</v>
      </c>
      <c r="BG1441" s="3" t="s">
        <v>14220</v>
      </c>
    </row>
    <row r="1442" spans="1:59" ht="58" x14ac:dyDescent="0.35">
      <c r="A1442" s="2" t="s">
        <v>59</v>
      </c>
      <c r="B1442" s="2" t="s">
        <v>60</v>
      </c>
      <c r="C1442" s="2" t="s">
        <v>14221</v>
      </c>
      <c r="D1442" s="2" t="s">
        <v>14222</v>
      </c>
      <c r="E1442" s="2" t="s">
        <v>14223</v>
      </c>
      <c r="F1442" s="3" t="s">
        <v>245</v>
      </c>
      <c r="G1442" s="3" t="s">
        <v>209</v>
      </c>
      <c r="I1442" s="3" t="s">
        <v>65</v>
      </c>
      <c r="J1442" s="3" t="s">
        <v>65</v>
      </c>
      <c r="K1442" s="3" t="s">
        <v>66</v>
      </c>
      <c r="L1442" s="2" t="s">
        <v>13808</v>
      </c>
      <c r="M1442" s="2" t="s">
        <v>14224</v>
      </c>
      <c r="N1442" s="3" t="s">
        <v>188</v>
      </c>
      <c r="P1442" s="3" t="s">
        <v>69</v>
      </c>
      <c r="Q1442" s="2" t="s">
        <v>14225</v>
      </c>
      <c r="R1442" s="3" t="s">
        <v>71</v>
      </c>
      <c r="S1442" s="4">
        <v>2</v>
      </c>
      <c r="T1442" s="4">
        <v>3</v>
      </c>
      <c r="U1442" s="5" t="s">
        <v>14226</v>
      </c>
      <c r="V1442" s="5" t="s">
        <v>14227</v>
      </c>
      <c r="W1442" s="5" t="s">
        <v>72</v>
      </c>
      <c r="X1442" s="5" t="s">
        <v>72</v>
      </c>
      <c r="Y1442" s="4">
        <v>181</v>
      </c>
      <c r="Z1442" s="4">
        <v>11</v>
      </c>
      <c r="AA1442" s="4">
        <v>11</v>
      </c>
      <c r="AB1442" s="4">
        <v>1</v>
      </c>
      <c r="AC1442" s="4">
        <v>1</v>
      </c>
      <c r="AD1442" s="4">
        <v>64</v>
      </c>
      <c r="AE1442" s="4">
        <v>64</v>
      </c>
      <c r="AF1442" s="4">
        <v>0</v>
      </c>
      <c r="AG1442" s="4">
        <v>0</v>
      </c>
      <c r="AH1442" s="4">
        <v>59</v>
      </c>
      <c r="AI1442" s="4">
        <v>59</v>
      </c>
      <c r="AJ1442" s="4">
        <v>6</v>
      </c>
      <c r="AK1442" s="4">
        <v>6</v>
      </c>
      <c r="AL1442" s="4">
        <v>38</v>
      </c>
      <c r="AM1442" s="4">
        <v>38</v>
      </c>
      <c r="AN1442" s="4">
        <v>0</v>
      </c>
      <c r="AO1442" s="4">
        <v>0</v>
      </c>
      <c r="AP1442" s="4">
        <v>7</v>
      </c>
      <c r="AQ1442" s="4">
        <v>7</v>
      </c>
      <c r="AR1442" s="3" t="s">
        <v>65</v>
      </c>
      <c r="AS1442" s="3" t="s">
        <v>65</v>
      </c>
      <c r="AT1442" s="3" t="s">
        <v>65</v>
      </c>
      <c r="AV1442" s="6" t="str">
        <f>HYPERLINK("http://mcgill.on.worldcat.org/oclc/946906964","Catalog Record")</f>
        <v>Catalog Record</v>
      </c>
      <c r="AW1442" s="6" t="str">
        <f>HYPERLINK("http://www.worldcat.org/oclc/946906964","WorldCat Record")</f>
        <v>WorldCat Record</v>
      </c>
      <c r="AX1442" s="3" t="s">
        <v>14228</v>
      </c>
      <c r="AY1442" s="3" t="s">
        <v>14229</v>
      </c>
      <c r="AZ1442" s="3" t="s">
        <v>14230</v>
      </c>
      <c r="BA1442" s="3" t="s">
        <v>14230</v>
      </c>
      <c r="BB1442" s="3" t="s">
        <v>14231</v>
      </c>
      <c r="BC1442" s="3" t="s">
        <v>77</v>
      </c>
      <c r="BD1442" s="3" t="s">
        <v>78</v>
      </c>
      <c r="BE1442" s="3" t="s">
        <v>14232</v>
      </c>
      <c r="BF1442" s="3" t="s">
        <v>14231</v>
      </c>
      <c r="BG1442" s="3" t="s">
        <v>14233</v>
      </c>
    </row>
    <row r="1443" spans="1:59" ht="58" x14ac:dyDescent="0.35">
      <c r="A1443" s="2" t="s">
        <v>59</v>
      </c>
      <c r="B1443" s="2" t="s">
        <v>60</v>
      </c>
      <c r="C1443" s="2" t="s">
        <v>14221</v>
      </c>
      <c r="D1443" s="2" t="s">
        <v>14222</v>
      </c>
      <c r="E1443" s="2" t="s">
        <v>14223</v>
      </c>
      <c r="F1443" s="3" t="s">
        <v>258</v>
      </c>
      <c r="G1443" s="3" t="s">
        <v>209</v>
      </c>
      <c r="I1443" s="3" t="s">
        <v>65</v>
      </c>
      <c r="J1443" s="3" t="s">
        <v>65</v>
      </c>
      <c r="K1443" s="3" t="s">
        <v>66</v>
      </c>
      <c r="L1443" s="2" t="s">
        <v>13808</v>
      </c>
      <c r="M1443" s="2" t="s">
        <v>14224</v>
      </c>
      <c r="N1443" s="3" t="s">
        <v>188</v>
      </c>
      <c r="P1443" s="3" t="s">
        <v>69</v>
      </c>
      <c r="Q1443" s="2" t="s">
        <v>14225</v>
      </c>
      <c r="R1443" s="3" t="s">
        <v>71</v>
      </c>
      <c r="S1443" s="4">
        <v>1</v>
      </c>
      <c r="T1443" s="4">
        <v>3</v>
      </c>
      <c r="U1443" s="5" t="s">
        <v>14227</v>
      </c>
      <c r="V1443" s="5" t="s">
        <v>14227</v>
      </c>
      <c r="W1443" s="5" t="s">
        <v>72</v>
      </c>
      <c r="X1443" s="5" t="s">
        <v>72</v>
      </c>
      <c r="Y1443" s="4">
        <v>181</v>
      </c>
      <c r="Z1443" s="4">
        <v>11</v>
      </c>
      <c r="AA1443" s="4">
        <v>11</v>
      </c>
      <c r="AB1443" s="4">
        <v>1</v>
      </c>
      <c r="AC1443" s="4">
        <v>1</v>
      </c>
      <c r="AD1443" s="4">
        <v>64</v>
      </c>
      <c r="AE1443" s="4">
        <v>64</v>
      </c>
      <c r="AF1443" s="4">
        <v>0</v>
      </c>
      <c r="AG1443" s="4">
        <v>0</v>
      </c>
      <c r="AH1443" s="4">
        <v>59</v>
      </c>
      <c r="AI1443" s="4">
        <v>59</v>
      </c>
      <c r="AJ1443" s="4">
        <v>6</v>
      </c>
      <c r="AK1443" s="4">
        <v>6</v>
      </c>
      <c r="AL1443" s="4">
        <v>38</v>
      </c>
      <c r="AM1443" s="4">
        <v>38</v>
      </c>
      <c r="AN1443" s="4">
        <v>0</v>
      </c>
      <c r="AO1443" s="4">
        <v>0</v>
      </c>
      <c r="AP1443" s="4">
        <v>7</v>
      </c>
      <c r="AQ1443" s="4">
        <v>7</v>
      </c>
      <c r="AR1443" s="3" t="s">
        <v>65</v>
      </c>
      <c r="AS1443" s="3" t="s">
        <v>65</v>
      </c>
      <c r="AT1443" s="3" t="s">
        <v>65</v>
      </c>
      <c r="AV1443" s="6" t="str">
        <f>HYPERLINK("http://mcgill.on.worldcat.org/oclc/946906964","Catalog Record")</f>
        <v>Catalog Record</v>
      </c>
      <c r="AW1443" s="6" t="str">
        <f>HYPERLINK("http://www.worldcat.org/oclc/946906964","WorldCat Record")</f>
        <v>WorldCat Record</v>
      </c>
      <c r="AX1443" s="3" t="s">
        <v>14228</v>
      </c>
      <c r="AY1443" s="3" t="s">
        <v>14229</v>
      </c>
      <c r="AZ1443" s="3" t="s">
        <v>14230</v>
      </c>
      <c r="BA1443" s="3" t="s">
        <v>14230</v>
      </c>
      <c r="BB1443" s="3" t="s">
        <v>14234</v>
      </c>
      <c r="BC1443" s="3" t="s">
        <v>77</v>
      </c>
      <c r="BD1443" s="3" t="s">
        <v>78</v>
      </c>
      <c r="BE1443" s="3" t="s">
        <v>14232</v>
      </c>
      <c r="BF1443" s="3" t="s">
        <v>14234</v>
      </c>
      <c r="BG1443" s="3" t="s">
        <v>14235</v>
      </c>
    </row>
    <row r="1444" spans="1:59" ht="58" x14ac:dyDescent="0.35">
      <c r="A1444" s="2" t="s">
        <v>59</v>
      </c>
      <c r="B1444" s="2" t="s">
        <v>60</v>
      </c>
      <c r="C1444" s="2" t="s">
        <v>14236</v>
      </c>
      <c r="D1444" s="2" t="s">
        <v>14237</v>
      </c>
      <c r="E1444" s="2" t="s">
        <v>14238</v>
      </c>
      <c r="F1444" s="3" t="s">
        <v>490</v>
      </c>
      <c r="G1444" s="3" t="s">
        <v>209</v>
      </c>
      <c r="I1444" s="3" t="s">
        <v>65</v>
      </c>
      <c r="J1444" s="3" t="s">
        <v>65</v>
      </c>
      <c r="K1444" s="3" t="s">
        <v>66</v>
      </c>
      <c r="L1444" s="2" t="s">
        <v>13707</v>
      </c>
      <c r="M1444" s="2" t="s">
        <v>14239</v>
      </c>
      <c r="N1444" s="3" t="s">
        <v>2750</v>
      </c>
      <c r="O1444" s="2" t="s">
        <v>526</v>
      </c>
      <c r="P1444" s="3" t="s">
        <v>69</v>
      </c>
      <c r="R1444" s="3" t="s">
        <v>71</v>
      </c>
      <c r="S1444" s="4">
        <v>21</v>
      </c>
      <c r="T1444" s="4">
        <v>36</v>
      </c>
      <c r="U1444" s="5" t="s">
        <v>1335</v>
      </c>
      <c r="V1444" s="5" t="s">
        <v>1335</v>
      </c>
      <c r="W1444" s="5" t="s">
        <v>72</v>
      </c>
      <c r="X1444" s="5" t="s">
        <v>72</v>
      </c>
      <c r="Y1444" s="4">
        <v>393</v>
      </c>
      <c r="Z1444" s="4">
        <v>29</v>
      </c>
      <c r="AA1444" s="4">
        <v>29</v>
      </c>
      <c r="AB1444" s="4">
        <v>1</v>
      </c>
      <c r="AC1444" s="4">
        <v>1</v>
      </c>
      <c r="AD1444" s="4">
        <v>107</v>
      </c>
      <c r="AE1444" s="4">
        <v>107</v>
      </c>
      <c r="AF1444" s="4">
        <v>0</v>
      </c>
      <c r="AG1444" s="4">
        <v>0</v>
      </c>
      <c r="AH1444" s="4">
        <v>95</v>
      </c>
      <c r="AI1444" s="4">
        <v>95</v>
      </c>
      <c r="AJ1444" s="4">
        <v>17</v>
      </c>
      <c r="AK1444" s="4">
        <v>17</v>
      </c>
      <c r="AL1444" s="4">
        <v>53</v>
      </c>
      <c r="AM1444" s="4">
        <v>53</v>
      </c>
      <c r="AN1444" s="4">
        <v>0</v>
      </c>
      <c r="AO1444" s="4">
        <v>0</v>
      </c>
      <c r="AP1444" s="4">
        <v>21</v>
      </c>
      <c r="AQ1444" s="4">
        <v>21</v>
      </c>
      <c r="AR1444" s="3" t="s">
        <v>65</v>
      </c>
      <c r="AS1444" s="3" t="s">
        <v>65</v>
      </c>
      <c r="AT1444" s="3" t="s">
        <v>209</v>
      </c>
      <c r="AU1444" s="6" t="str">
        <f>HYPERLINK("http://catalog.hathitrust.org/Record/000270338","HathiTrust Record")</f>
        <v>HathiTrust Record</v>
      </c>
      <c r="AV1444" s="6" t="str">
        <f>HYPERLINK("http://mcgill.on.worldcat.org/oclc/1230521","Catalog Record")</f>
        <v>Catalog Record</v>
      </c>
      <c r="AW1444" s="6" t="str">
        <f>HYPERLINK("http://www.worldcat.org/oclc/1230521","WorldCat Record")</f>
        <v>WorldCat Record</v>
      </c>
      <c r="AX1444" s="3" t="s">
        <v>14240</v>
      </c>
      <c r="AY1444" s="3" t="s">
        <v>14241</v>
      </c>
      <c r="AZ1444" s="3" t="s">
        <v>14242</v>
      </c>
      <c r="BA1444" s="3" t="s">
        <v>14242</v>
      </c>
      <c r="BB1444" s="3" t="s">
        <v>14243</v>
      </c>
      <c r="BC1444" s="3" t="s">
        <v>77</v>
      </c>
      <c r="BD1444" s="3" t="s">
        <v>78</v>
      </c>
      <c r="BE1444" s="3" t="s">
        <v>14244</v>
      </c>
      <c r="BF1444" s="3" t="s">
        <v>14243</v>
      </c>
      <c r="BG1444" s="3" t="s">
        <v>14245</v>
      </c>
    </row>
    <row r="1445" spans="1:59" ht="58" x14ac:dyDescent="0.35">
      <c r="A1445" s="2" t="s">
        <v>59</v>
      </c>
      <c r="B1445" s="2" t="s">
        <v>60</v>
      </c>
      <c r="C1445" s="2" t="s">
        <v>14236</v>
      </c>
      <c r="D1445" s="2" t="s">
        <v>14237</v>
      </c>
      <c r="E1445" s="2" t="s">
        <v>14238</v>
      </c>
      <c r="F1445" s="3" t="s">
        <v>503</v>
      </c>
      <c r="G1445" s="3" t="s">
        <v>209</v>
      </c>
      <c r="I1445" s="3" t="s">
        <v>65</v>
      </c>
      <c r="J1445" s="3" t="s">
        <v>65</v>
      </c>
      <c r="K1445" s="3" t="s">
        <v>66</v>
      </c>
      <c r="L1445" s="2" t="s">
        <v>13707</v>
      </c>
      <c r="M1445" s="2" t="s">
        <v>14239</v>
      </c>
      <c r="N1445" s="3" t="s">
        <v>2750</v>
      </c>
      <c r="O1445" s="2" t="s">
        <v>526</v>
      </c>
      <c r="P1445" s="3" t="s">
        <v>69</v>
      </c>
      <c r="R1445" s="3" t="s">
        <v>71</v>
      </c>
      <c r="S1445" s="4">
        <v>15</v>
      </c>
      <c r="T1445" s="4">
        <v>36</v>
      </c>
      <c r="U1445" s="5" t="s">
        <v>14246</v>
      </c>
      <c r="V1445" s="5" t="s">
        <v>1335</v>
      </c>
      <c r="W1445" s="5" t="s">
        <v>72</v>
      </c>
      <c r="X1445" s="5" t="s">
        <v>72</v>
      </c>
      <c r="Y1445" s="4">
        <v>393</v>
      </c>
      <c r="Z1445" s="4">
        <v>29</v>
      </c>
      <c r="AA1445" s="4">
        <v>29</v>
      </c>
      <c r="AB1445" s="4">
        <v>1</v>
      </c>
      <c r="AC1445" s="4">
        <v>1</v>
      </c>
      <c r="AD1445" s="4">
        <v>107</v>
      </c>
      <c r="AE1445" s="4">
        <v>107</v>
      </c>
      <c r="AF1445" s="4">
        <v>0</v>
      </c>
      <c r="AG1445" s="4">
        <v>0</v>
      </c>
      <c r="AH1445" s="4">
        <v>95</v>
      </c>
      <c r="AI1445" s="4">
        <v>95</v>
      </c>
      <c r="AJ1445" s="4">
        <v>17</v>
      </c>
      <c r="AK1445" s="4">
        <v>17</v>
      </c>
      <c r="AL1445" s="4">
        <v>53</v>
      </c>
      <c r="AM1445" s="4">
        <v>53</v>
      </c>
      <c r="AN1445" s="4">
        <v>0</v>
      </c>
      <c r="AO1445" s="4">
        <v>0</v>
      </c>
      <c r="AP1445" s="4">
        <v>21</v>
      </c>
      <c r="AQ1445" s="4">
        <v>21</v>
      </c>
      <c r="AR1445" s="3" t="s">
        <v>65</v>
      </c>
      <c r="AS1445" s="3" t="s">
        <v>65</v>
      </c>
      <c r="AT1445" s="3" t="s">
        <v>209</v>
      </c>
      <c r="AU1445" s="6" t="str">
        <f>HYPERLINK("http://catalog.hathitrust.org/Record/000270338","HathiTrust Record")</f>
        <v>HathiTrust Record</v>
      </c>
      <c r="AV1445" s="6" t="str">
        <f>HYPERLINK("http://mcgill.on.worldcat.org/oclc/1230521","Catalog Record")</f>
        <v>Catalog Record</v>
      </c>
      <c r="AW1445" s="6" t="str">
        <f>HYPERLINK("http://www.worldcat.org/oclc/1230521","WorldCat Record")</f>
        <v>WorldCat Record</v>
      </c>
      <c r="AX1445" s="3" t="s">
        <v>14240</v>
      </c>
      <c r="AY1445" s="3" t="s">
        <v>14241</v>
      </c>
      <c r="AZ1445" s="3" t="s">
        <v>14242</v>
      </c>
      <c r="BA1445" s="3" t="s">
        <v>14242</v>
      </c>
      <c r="BB1445" s="3" t="s">
        <v>14247</v>
      </c>
      <c r="BC1445" s="3" t="s">
        <v>77</v>
      </c>
      <c r="BD1445" s="3" t="s">
        <v>78</v>
      </c>
      <c r="BE1445" s="3" t="s">
        <v>14244</v>
      </c>
      <c r="BF1445" s="3" t="s">
        <v>14247</v>
      </c>
      <c r="BG1445" s="3" t="s">
        <v>14248</v>
      </c>
    </row>
    <row r="1446" spans="1:59" ht="58" x14ac:dyDescent="0.35">
      <c r="A1446" s="2" t="s">
        <v>59</v>
      </c>
      <c r="B1446" s="2" t="s">
        <v>60</v>
      </c>
      <c r="C1446" s="2" t="s">
        <v>14249</v>
      </c>
      <c r="D1446" s="2" t="s">
        <v>14250</v>
      </c>
      <c r="E1446" s="2" t="s">
        <v>14251</v>
      </c>
      <c r="F1446" s="3" t="s">
        <v>255</v>
      </c>
      <c r="G1446" s="3" t="s">
        <v>209</v>
      </c>
      <c r="I1446" s="3" t="s">
        <v>65</v>
      </c>
      <c r="J1446" s="3" t="s">
        <v>65</v>
      </c>
      <c r="K1446" s="3" t="s">
        <v>66</v>
      </c>
      <c r="L1446" s="2" t="s">
        <v>13707</v>
      </c>
      <c r="M1446" s="2" t="s">
        <v>14252</v>
      </c>
      <c r="N1446" s="3" t="s">
        <v>1196</v>
      </c>
      <c r="O1446" s="2" t="s">
        <v>6567</v>
      </c>
      <c r="P1446" s="3" t="s">
        <v>69</v>
      </c>
      <c r="R1446" s="3" t="s">
        <v>71</v>
      </c>
      <c r="S1446" s="4">
        <v>4</v>
      </c>
      <c r="T1446" s="4">
        <v>9</v>
      </c>
      <c r="U1446" s="5" t="s">
        <v>14253</v>
      </c>
      <c r="V1446" s="5" t="s">
        <v>14253</v>
      </c>
      <c r="W1446" s="5" t="s">
        <v>72</v>
      </c>
      <c r="X1446" s="5" t="s">
        <v>72</v>
      </c>
      <c r="Y1446" s="4">
        <v>49</v>
      </c>
      <c r="Z1446" s="4">
        <v>5</v>
      </c>
      <c r="AA1446" s="4">
        <v>8</v>
      </c>
      <c r="AB1446" s="4">
        <v>1</v>
      </c>
      <c r="AC1446" s="4">
        <v>3</v>
      </c>
      <c r="AD1446" s="4">
        <v>17</v>
      </c>
      <c r="AE1446" s="4">
        <v>23</v>
      </c>
      <c r="AF1446" s="4">
        <v>0</v>
      </c>
      <c r="AG1446" s="4">
        <v>0</v>
      </c>
      <c r="AH1446" s="4">
        <v>14</v>
      </c>
      <c r="AI1446" s="4">
        <v>19</v>
      </c>
      <c r="AJ1446" s="4">
        <v>2</v>
      </c>
      <c r="AK1446" s="4">
        <v>2</v>
      </c>
      <c r="AL1446" s="4">
        <v>12</v>
      </c>
      <c r="AM1446" s="4">
        <v>15</v>
      </c>
      <c r="AN1446" s="4">
        <v>0</v>
      </c>
      <c r="AO1446" s="4">
        <v>0</v>
      </c>
      <c r="AP1446" s="4">
        <v>3</v>
      </c>
      <c r="AQ1446" s="4">
        <v>4</v>
      </c>
      <c r="AR1446" s="3" t="s">
        <v>65</v>
      </c>
      <c r="AS1446" s="3" t="s">
        <v>65</v>
      </c>
      <c r="AT1446" s="3" t="s">
        <v>65</v>
      </c>
      <c r="AV1446" s="6" t="str">
        <f>HYPERLINK("http://mcgill.on.worldcat.org/oclc/62888034","Catalog Record")</f>
        <v>Catalog Record</v>
      </c>
      <c r="AW1446" s="6" t="str">
        <f>HYPERLINK("http://www.worldcat.org/oclc/62888034","WorldCat Record")</f>
        <v>WorldCat Record</v>
      </c>
      <c r="AX1446" s="3" t="s">
        <v>14254</v>
      </c>
      <c r="AY1446" s="3" t="s">
        <v>14255</v>
      </c>
      <c r="AZ1446" s="3" t="s">
        <v>14256</v>
      </c>
      <c r="BA1446" s="3" t="s">
        <v>14256</v>
      </c>
      <c r="BB1446" s="3" t="s">
        <v>14257</v>
      </c>
      <c r="BC1446" s="3" t="s">
        <v>77</v>
      </c>
      <c r="BD1446" s="3" t="s">
        <v>78</v>
      </c>
      <c r="BE1446" s="3" t="s">
        <v>14258</v>
      </c>
      <c r="BF1446" s="3" t="s">
        <v>14257</v>
      </c>
      <c r="BG1446" s="3" t="s">
        <v>14259</v>
      </c>
    </row>
    <row r="1447" spans="1:59" ht="58" x14ac:dyDescent="0.35">
      <c r="A1447" s="2" t="s">
        <v>59</v>
      </c>
      <c r="B1447" s="2" t="s">
        <v>60</v>
      </c>
      <c r="C1447" s="2" t="s">
        <v>14249</v>
      </c>
      <c r="D1447" s="2" t="s">
        <v>14250</v>
      </c>
      <c r="E1447" s="2" t="s">
        <v>14251</v>
      </c>
      <c r="F1447" s="3" t="s">
        <v>258</v>
      </c>
      <c r="G1447" s="3" t="s">
        <v>209</v>
      </c>
      <c r="I1447" s="3" t="s">
        <v>65</v>
      </c>
      <c r="J1447" s="3" t="s">
        <v>65</v>
      </c>
      <c r="K1447" s="3" t="s">
        <v>66</v>
      </c>
      <c r="L1447" s="2" t="s">
        <v>13707</v>
      </c>
      <c r="M1447" s="2" t="s">
        <v>14252</v>
      </c>
      <c r="N1447" s="3" t="s">
        <v>1196</v>
      </c>
      <c r="O1447" s="2" t="s">
        <v>6567</v>
      </c>
      <c r="P1447" s="3" t="s">
        <v>69</v>
      </c>
      <c r="R1447" s="3" t="s">
        <v>71</v>
      </c>
      <c r="S1447" s="4">
        <v>4</v>
      </c>
      <c r="T1447" s="4">
        <v>9</v>
      </c>
      <c r="U1447" s="5" t="s">
        <v>14253</v>
      </c>
      <c r="V1447" s="5" t="s">
        <v>14253</v>
      </c>
      <c r="W1447" s="5" t="s">
        <v>72</v>
      </c>
      <c r="X1447" s="5" t="s">
        <v>72</v>
      </c>
      <c r="Y1447" s="4">
        <v>49</v>
      </c>
      <c r="Z1447" s="4">
        <v>5</v>
      </c>
      <c r="AA1447" s="4">
        <v>8</v>
      </c>
      <c r="AB1447" s="4">
        <v>1</v>
      </c>
      <c r="AC1447" s="4">
        <v>3</v>
      </c>
      <c r="AD1447" s="4">
        <v>17</v>
      </c>
      <c r="AE1447" s="4">
        <v>23</v>
      </c>
      <c r="AF1447" s="4">
        <v>0</v>
      </c>
      <c r="AG1447" s="4">
        <v>0</v>
      </c>
      <c r="AH1447" s="4">
        <v>14</v>
      </c>
      <c r="AI1447" s="4">
        <v>19</v>
      </c>
      <c r="AJ1447" s="4">
        <v>2</v>
      </c>
      <c r="AK1447" s="4">
        <v>2</v>
      </c>
      <c r="AL1447" s="4">
        <v>12</v>
      </c>
      <c r="AM1447" s="4">
        <v>15</v>
      </c>
      <c r="AN1447" s="4">
        <v>0</v>
      </c>
      <c r="AO1447" s="4">
        <v>0</v>
      </c>
      <c r="AP1447" s="4">
        <v>3</v>
      </c>
      <c r="AQ1447" s="4">
        <v>4</v>
      </c>
      <c r="AR1447" s="3" t="s">
        <v>65</v>
      </c>
      <c r="AS1447" s="3" t="s">
        <v>65</v>
      </c>
      <c r="AT1447" s="3" t="s">
        <v>65</v>
      </c>
      <c r="AV1447" s="6" t="str">
        <f>HYPERLINK("http://mcgill.on.worldcat.org/oclc/62888034","Catalog Record")</f>
        <v>Catalog Record</v>
      </c>
      <c r="AW1447" s="6" t="str">
        <f>HYPERLINK("http://www.worldcat.org/oclc/62888034","WorldCat Record")</f>
        <v>WorldCat Record</v>
      </c>
      <c r="AX1447" s="3" t="s">
        <v>14254</v>
      </c>
      <c r="AY1447" s="3" t="s">
        <v>14255</v>
      </c>
      <c r="AZ1447" s="3" t="s">
        <v>14256</v>
      </c>
      <c r="BA1447" s="3" t="s">
        <v>14256</v>
      </c>
      <c r="BB1447" s="3" t="s">
        <v>14260</v>
      </c>
      <c r="BC1447" s="3" t="s">
        <v>77</v>
      </c>
      <c r="BD1447" s="3" t="s">
        <v>78</v>
      </c>
      <c r="BE1447" s="3" t="s">
        <v>14258</v>
      </c>
      <c r="BF1447" s="3" t="s">
        <v>14260</v>
      </c>
      <c r="BG1447" s="3" t="s">
        <v>14261</v>
      </c>
    </row>
    <row r="1448" spans="1:59" ht="58" x14ac:dyDescent="0.35">
      <c r="A1448" s="2" t="s">
        <v>59</v>
      </c>
      <c r="B1448" s="2" t="s">
        <v>60</v>
      </c>
      <c r="C1448" s="2" t="s">
        <v>14249</v>
      </c>
      <c r="D1448" s="2" t="s">
        <v>14250</v>
      </c>
      <c r="E1448" s="2" t="s">
        <v>14251</v>
      </c>
      <c r="F1448" s="3" t="s">
        <v>245</v>
      </c>
      <c r="G1448" s="3" t="s">
        <v>209</v>
      </c>
      <c r="I1448" s="3" t="s">
        <v>65</v>
      </c>
      <c r="J1448" s="3" t="s">
        <v>65</v>
      </c>
      <c r="K1448" s="3" t="s">
        <v>66</v>
      </c>
      <c r="L1448" s="2" t="s">
        <v>13707</v>
      </c>
      <c r="M1448" s="2" t="s">
        <v>14252</v>
      </c>
      <c r="N1448" s="3" t="s">
        <v>1196</v>
      </c>
      <c r="O1448" s="2" t="s">
        <v>6567</v>
      </c>
      <c r="P1448" s="3" t="s">
        <v>69</v>
      </c>
      <c r="R1448" s="3" t="s">
        <v>71</v>
      </c>
      <c r="S1448" s="4">
        <v>1</v>
      </c>
      <c r="T1448" s="4">
        <v>9</v>
      </c>
      <c r="U1448" s="5" t="s">
        <v>14262</v>
      </c>
      <c r="V1448" s="5" t="s">
        <v>14253</v>
      </c>
      <c r="W1448" s="5" t="s">
        <v>72</v>
      </c>
      <c r="X1448" s="5" t="s">
        <v>72</v>
      </c>
      <c r="Y1448" s="4">
        <v>49</v>
      </c>
      <c r="Z1448" s="4">
        <v>5</v>
      </c>
      <c r="AA1448" s="4">
        <v>8</v>
      </c>
      <c r="AB1448" s="4">
        <v>1</v>
      </c>
      <c r="AC1448" s="4">
        <v>3</v>
      </c>
      <c r="AD1448" s="4">
        <v>17</v>
      </c>
      <c r="AE1448" s="4">
        <v>23</v>
      </c>
      <c r="AF1448" s="4">
        <v>0</v>
      </c>
      <c r="AG1448" s="4">
        <v>0</v>
      </c>
      <c r="AH1448" s="4">
        <v>14</v>
      </c>
      <c r="AI1448" s="4">
        <v>19</v>
      </c>
      <c r="AJ1448" s="4">
        <v>2</v>
      </c>
      <c r="AK1448" s="4">
        <v>2</v>
      </c>
      <c r="AL1448" s="4">
        <v>12</v>
      </c>
      <c r="AM1448" s="4">
        <v>15</v>
      </c>
      <c r="AN1448" s="4">
        <v>0</v>
      </c>
      <c r="AO1448" s="4">
        <v>0</v>
      </c>
      <c r="AP1448" s="4">
        <v>3</v>
      </c>
      <c r="AQ1448" s="4">
        <v>4</v>
      </c>
      <c r="AR1448" s="3" t="s">
        <v>65</v>
      </c>
      <c r="AS1448" s="3" t="s">
        <v>65</v>
      </c>
      <c r="AT1448" s="3" t="s">
        <v>65</v>
      </c>
      <c r="AV1448" s="6" t="str">
        <f>HYPERLINK("http://mcgill.on.worldcat.org/oclc/62888034","Catalog Record")</f>
        <v>Catalog Record</v>
      </c>
      <c r="AW1448" s="6" t="str">
        <f>HYPERLINK("http://www.worldcat.org/oclc/62888034","WorldCat Record")</f>
        <v>WorldCat Record</v>
      </c>
      <c r="AX1448" s="3" t="s">
        <v>14254</v>
      </c>
      <c r="AY1448" s="3" t="s">
        <v>14255</v>
      </c>
      <c r="AZ1448" s="3" t="s">
        <v>14256</v>
      </c>
      <c r="BA1448" s="3" t="s">
        <v>14256</v>
      </c>
      <c r="BB1448" s="3" t="s">
        <v>14263</v>
      </c>
      <c r="BC1448" s="3" t="s">
        <v>77</v>
      </c>
      <c r="BD1448" s="3" t="s">
        <v>78</v>
      </c>
      <c r="BE1448" s="3" t="s">
        <v>14258</v>
      </c>
      <c r="BF1448" s="3" t="s">
        <v>14263</v>
      </c>
      <c r="BG1448" s="3" t="s">
        <v>14264</v>
      </c>
    </row>
    <row r="1449" spans="1:59" ht="58" x14ac:dyDescent="0.35">
      <c r="A1449" s="2" t="s">
        <v>59</v>
      </c>
      <c r="B1449" s="2" t="s">
        <v>60</v>
      </c>
      <c r="C1449" s="2" t="s">
        <v>14265</v>
      </c>
      <c r="D1449" s="2" t="s">
        <v>14266</v>
      </c>
      <c r="E1449" s="2" t="s">
        <v>14267</v>
      </c>
      <c r="G1449" s="3" t="s">
        <v>65</v>
      </c>
      <c r="I1449" s="3" t="s">
        <v>65</v>
      </c>
      <c r="J1449" s="3" t="s">
        <v>65</v>
      </c>
      <c r="K1449" s="3" t="s">
        <v>66</v>
      </c>
      <c r="L1449" s="2" t="s">
        <v>13707</v>
      </c>
      <c r="M1449" s="2" t="s">
        <v>14268</v>
      </c>
      <c r="N1449" s="3" t="s">
        <v>99</v>
      </c>
      <c r="O1449" s="2" t="s">
        <v>14269</v>
      </c>
      <c r="P1449" s="3" t="s">
        <v>69</v>
      </c>
      <c r="Q1449" s="2" t="s">
        <v>14270</v>
      </c>
      <c r="R1449" s="3" t="s">
        <v>71</v>
      </c>
      <c r="S1449" s="4">
        <v>5</v>
      </c>
      <c r="T1449" s="4">
        <v>5</v>
      </c>
      <c r="U1449" s="5" t="s">
        <v>14271</v>
      </c>
      <c r="V1449" s="5" t="s">
        <v>14271</v>
      </c>
      <c r="W1449" s="5" t="s">
        <v>72</v>
      </c>
      <c r="X1449" s="5" t="s">
        <v>72</v>
      </c>
      <c r="Y1449" s="4">
        <v>55</v>
      </c>
      <c r="Z1449" s="4">
        <v>7</v>
      </c>
      <c r="AA1449" s="4">
        <v>7</v>
      </c>
      <c r="AB1449" s="4">
        <v>1</v>
      </c>
      <c r="AC1449" s="4">
        <v>1</v>
      </c>
      <c r="AD1449" s="4">
        <v>33</v>
      </c>
      <c r="AE1449" s="4">
        <v>33</v>
      </c>
      <c r="AF1449" s="4">
        <v>0</v>
      </c>
      <c r="AG1449" s="4">
        <v>0</v>
      </c>
      <c r="AH1449" s="4">
        <v>31</v>
      </c>
      <c r="AI1449" s="4">
        <v>31</v>
      </c>
      <c r="AJ1449" s="4">
        <v>4</v>
      </c>
      <c r="AK1449" s="4">
        <v>4</v>
      </c>
      <c r="AL1449" s="4">
        <v>23</v>
      </c>
      <c r="AM1449" s="4">
        <v>23</v>
      </c>
      <c r="AN1449" s="4">
        <v>0</v>
      </c>
      <c r="AO1449" s="4">
        <v>0</v>
      </c>
      <c r="AP1449" s="4">
        <v>4</v>
      </c>
      <c r="AQ1449" s="4">
        <v>4</v>
      </c>
      <c r="AR1449" s="3" t="s">
        <v>65</v>
      </c>
      <c r="AS1449" s="3" t="s">
        <v>65</v>
      </c>
      <c r="AT1449" s="3" t="s">
        <v>65</v>
      </c>
      <c r="AV1449" s="6" t="str">
        <f>HYPERLINK("http://mcgill.on.worldcat.org/oclc/83594995","Catalog Record")</f>
        <v>Catalog Record</v>
      </c>
      <c r="AW1449" s="6" t="str">
        <f>HYPERLINK("http://www.worldcat.org/oclc/83594995","WorldCat Record")</f>
        <v>WorldCat Record</v>
      </c>
      <c r="AX1449" s="3" t="s">
        <v>14272</v>
      </c>
      <c r="AY1449" s="3" t="s">
        <v>14273</v>
      </c>
      <c r="AZ1449" s="3" t="s">
        <v>14274</v>
      </c>
      <c r="BA1449" s="3" t="s">
        <v>14274</v>
      </c>
      <c r="BB1449" s="3" t="s">
        <v>14275</v>
      </c>
      <c r="BC1449" s="3" t="s">
        <v>77</v>
      </c>
      <c r="BD1449" s="3" t="s">
        <v>78</v>
      </c>
      <c r="BE1449" s="3" t="s">
        <v>14276</v>
      </c>
      <c r="BF1449" s="3" t="s">
        <v>14275</v>
      </c>
      <c r="BG1449" s="3" t="s">
        <v>14277</v>
      </c>
    </row>
    <row r="1450" spans="1:59" ht="101.5" x14ac:dyDescent="0.35">
      <c r="A1450" s="2" t="s">
        <v>59</v>
      </c>
      <c r="B1450" s="2" t="s">
        <v>60</v>
      </c>
      <c r="C1450" s="2" t="s">
        <v>14278</v>
      </c>
      <c r="D1450" s="2" t="s">
        <v>14279</v>
      </c>
      <c r="E1450" s="2" t="s">
        <v>14280</v>
      </c>
      <c r="G1450" s="3" t="s">
        <v>65</v>
      </c>
      <c r="I1450" s="3" t="s">
        <v>65</v>
      </c>
      <c r="J1450" s="3" t="s">
        <v>65</v>
      </c>
      <c r="K1450" s="3" t="s">
        <v>66</v>
      </c>
      <c r="L1450" s="2" t="s">
        <v>13707</v>
      </c>
      <c r="M1450" s="2" t="s">
        <v>14281</v>
      </c>
      <c r="N1450" s="3" t="s">
        <v>2210</v>
      </c>
      <c r="P1450" s="3" t="s">
        <v>69</v>
      </c>
      <c r="R1450" s="3" t="s">
        <v>71</v>
      </c>
      <c r="S1450" s="4">
        <v>5</v>
      </c>
      <c r="T1450" s="4">
        <v>5</v>
      </c>
      <c r="U1450" s="5" t="s">
        <v>14246</v>
      </c>
      <c r="V1450" s="5" t="s">
        <v>14246</v>
      </c>
      <c r="W1450" s="5" t="s">
        <v>72</v>
      </c>
      <c r="X1450" s="5" t="s">
        <v>72</v>
      </c>
      <c r="Y1450" s="4">
        <v>231</v>
      </c>
      <c r="Z1450" s="4">
        <v>9</v>
      </c>
      <c r="AA1450" s="4">
        <v>14</v>
      </c>
      <c r="AB1450" s="4">
        <v>1</v>
      </c>
      <c r="AC1450" s="4">
        <v>1</v>
      </c>
      <c r="AD1450" s="4">
        <v>83</v>
      </c>
      <c r="AE1450" s="4">
        <v>84</v>
      </c>
      <c r="AF1450" s="4">
        <v>0</v>
      </c>
      <c r="AG1450" s="4">
        <v>0</v>
      </c>
      <c r="AH1450" s="4">
        <v>77</v>
      </c>
      <c r="AI1450" s="4">
        <v>78</v>
      </c>
      <c r="AJ1450" s="4">
        <v>7</v>
      </c>
      <c r="AK1450" s="4">
        <v>8</v>
      </c>
      <c r="AL1450" s="4">
        <v>50</v>
      </c>
      <c r="AM1450" s="4">
        <v>51</v>
      </c>
      <c r="AN1450" s="4">
        <v>0</v>
      </c>
      <c r="AO1450" s="4">
        <v>0</v>
      </c>
      <c r="AP1450" s="4">
        <v>7</v>
      </c>
      <c r="AQ1450" s="4">
        <v>8</v>
      </c>
      <c r="AR1450" s="3" t="s">
        <v>65</v>
      </c>
      <c r="AS1450" s="3" t="s">
        <v>65</v>
      </c>
      <c r="AT1450" s="3" t="s">
        <v>209</v>
      </c>
      <c r="AU1450" s="6" t="str">
        <f>HYPERLINK("http://catalog.hathitrust.org/Record/004303492","HathiTrust Record")</f>
        <v>HathiTrust Record</v>
      </c>
      <c r="AV1450" s="6" t="str">
        <f>HYPERLINK("http://mcgill.on.worldcat.org/oclc/50251926","Catalog Record")</f>
        <v>Catalog Record</v>
      </c>
      <c r="AW1450" s="6" t="str">
        <f>HYPERLINK("http://www.worldcat.org/oclc/50251926","WorldCat Record")</f>
        <v>WorldCat Record</v>
      </c>
      <c r="AX1450" s="3" t="s">
        <v>14282</v>
      </c>
      <c r="AY1450" s="3" t="s">
        <v>14283</v>
      </c>
      <c r="AZ1450" s="3" t="s">
        <v>14284</v>
      </c>
      <c r="BA1450" s="3" t="s">
        <v>14284</v>
      </c>
      <c r="BB1450" s="3" t="s">
        <v>14285</v>
      </c>
      <c r="BC1450" s="3" t="s">
        <v>77</v>
      </c>
      <c r="BD1450" s="3" t="s">
        <v>78</v>
      </c>
      <c r="BE1450" s="3" t="s">
        <v>14286</v>
      </c>
      <c r="BF1450" s="3" t="s">
        <v>14285</v>
      </c>
      <c r="BG1450" s="3" t="s">
        <v>14287</v>
      </c>
    </row>
    <row r="1451" spans="1:59" ht="58" x14ac:dyDescent="0.35">
      <c r="A1451" s="2" t="s">
        <v>59</v>
      </c>
      <c r="B1451" s="2" t="s">
        <v>60</v>
      </c>
      <c r="C1451" s="2" t="s">
        <v>14288</v>
      </c>
      <c r="D1451" s="2" t="s">
        <v>14289</v>
      </c>
      <c r="E1451" s="2" t="s">
        <v>14290</v>
      </c>
      <c r="G1451" s="3" t="s">
        <v>65</v>
      </c>
      <c r="I1451" s="3" t="s">
        <v>65</v>
      </c>
      <c r="J1451" s="3" t="s">
        <v>65</v>
      </c>
      <c r="K1451" s="3" t="s">
        <v>66</v>
      </c>
      <c r="L1451" s="2" t="s">
        <v>13707</v>
      </c>
      <c r="M1451" s="2" t="s">
        <v>14291</v>
      </c>
      <c r="N1451" s="3" t="s">
        <v>2750</v>
      </c>
      <c r="P1451" s="3" t="s">
        <v>69</v>
      </c>
      <c r="R1451" s="3" t="s">
        <v>71</v>
      </c>
      <c r="S1451" s="4">
        <v>34</v>
      </c>
      <c r="T1451" s="4">
        <v>34</v>
      </c>
      <c r="U1451" s="5" t="s">
        <v>14292</v>
      </c>
      <c r="V1451" s="5" t="s">
        <v>14292</v>
      </c>
      <c r="W1451" s="5" t="s">
        <v>72</v>
      </c>
      <c r="X1451" s="5" t="s">
        <v>72</v>
      </c>
      <c r="Y1451" s="4">
        <v>30</v>
      </c>
      <c r="Z1451" s="4">
        <v>4</v>
      </c>
      <c r="AA1451" s="4">
        <v>21</v>
      </c>
      <c r="AB1451" s="4">
        <v>1</v>
      </c>
      <c r="AC1451" s="4">
        <v>2</v>
      </c>
      <c r="AD1451" s="4">
        <v>10</v>
      </c>
      <c r="AE1451" s="4">
        <v>84</v>
      </c>
      <c r="AF1451" s="4">
        <v>0</v>
      </c>
      <c r="AG1451" s="4">
        <v>0</v>
      </c>
      <c r="AH1451" s="4">
        <v>10</v>
      </c>
      <c r="AI1451" s="4">
        <v>78</v>
      </c>
      <c r="AJ1451" s="4">
        <v>2</v>
      </c>
      <c r="AK1451" s="4">
        <v>11</v>
      </c>
      <c r="AL1451" s="4">
        <v>6</v>
      </c>
      <c r="AM1451" s="4">
        <v>45</v>
      </c>
      <c r="AN1451" s="4">
        <v>3</v>
      </c>
      <c r="AO1451" s="4">
        <v>3</v>
      </c>
      <c r="AP1451" s="4">
        <v>2</v>
      </c>
      <c r="AQ1451" s="4">
        <v>12</v>
      </c>
      <c r="AR1451" s="3" t="s">
        <v>65</v>
      </c>
      <c r="AS1451" s="3" t="s">
        <v>65</v>
      </c>
      <c r="AT1451" s="3" t="s">
        <v>209</v>
      </c>
      <c r="AU1451" s="6" t="str">
        <f>HYPERLINK("http://catalog.hathitrust.org/Record/102122801","HathiTrust Record")</f>
        <v>HathiTrust Record</v>
      </c>
      <c r="AV1451" s="6" t="str">
        <f>HYPERLINK("http://mcgill.on.worldcat.org/oclc/1892545","Catalog Record")</f>
        <v>Catalog Record</v>
      </c>
      <c r="AW1451" s="6" t="str">
        <f>HYPERLINK("http://www.worldcat.org/oclc/1892545","WorldCat Record")</f>
        <v>WorldCat Record</v>
      </c>
      <c r="AX1451" s="3" t="s">
        <v>14293</v>
      </c>
      <c r="AY1451" s="3" t="s">
        <v>14294</v>
      </c>
      <c r="AZ1451" s="3" t="s">
        <v>14295</v>
      </c>
      <c r="BA1451" s="3" t="s">
        <v>14295</v>
      </c>
      <c r="BB1451" s="3" t="s">
        <v>14296</v>
      </c>
      <c r="BC1451" s="3" t="s">
        <v>77</v>
      </c>
      <c r="BD1451" s="3" t="s">
        <v>78</v>
      </c>
      <c r="BF1451" s="3" t="s">
        <v>14296</v>
      </c>
      <c r="BG1451" s="3" t="s">
        <v>14297</v>
      </c>
    </row>
    <row r="1452" spans="1:59" ht="58" x14ac:dyDescent="0.35">
      <c r="A1452" s="2" t="s">
        <v>59</v>
      </c>
      <c r="B1452" s="2" t="s">
        <v>60</v>
      </c>
      <c r="C1452" s="2" t="s">
        <v>14298</v>
      </c>
      <c r="D1452" s="2" t="s">
        <v>14299</v>
      </c>
      <c r="E1452" s="2" t="s">
        <v>14300</v>
      </c>
      <c r="G1452" s="3" t="s">
        <v>65</v>
      </c>
      <c r="I1452" s="3" t="s">
        <v>65</v>
      </c>
      <c r="J1452" s="3" t="s">
        <v>65</v>
      </c>
      <c r="K1452" s="3" t="s">
        <v>66</v>
      </c>
      <c r="L1452" s="2" t="s">
        <v>13808</v>
      </c>
      <c r="M1452" s="2" t="s">
        <v>14301</v>
      </c>
      <c r="N1452" s="3" t="s">
        <v>68</v>
      </c>
      <c r="P1452" s="3" t="s">
        <v>69</v>
      </c>
      <c r="Q1452" s="2" t="s">
        <v>14302</v>
      </c>
      <c r="R1452" s="3" t="s">
        <v>71</v>
      </c>
      <c r="S1452" s="4">
        <v>0</v>
      </c>
      <c r="T1452" s="4">
        <v>0</v>
      </c>
      <c r="W1452" s="5" t="s">
        <v>72</v>
      </c>
      <c r="X1452" s="5" t="s">
        <v>72</v>
      </c>
      <c r="Y1452" s="4">
        <v>192</v>
      </c>
      <c r="Z1452" s="4">
        <v>14</v>
      </c>
      <c r="AA1452" s="4">
        <v>20</v>
      </c>
      <c r="AB1452" s="4">
        <v>1</v>
      </c>
      <c r="AC1452" s="4">
        <v>1</v>
      </c>
      <c r="AD1452" s="4">
        <v>61</v>
      </c>
      <c r="AE1452" s="4">
        <v>83</v>
      </c>
      <c r="AF1452" s="4">
        <v>0</v>
      </c>
      <c r="AG1452" s="4">
        <v>0</v>
      </c>
      <c r="AH1452" s="4">
        <v>57</v>
      </c>
      <c r="AI1452" s="4">
        <v>76</v>
      </c>
      <c r="AJ1452" s="4">
        <v>7</v>
      </c>
      <c r="AK1452" s="4">
        <v>9</v>
      </c>
      <c r="AL1452" s="4">
        <v>36</v>
      </c>
      <c r="AM1452" s="4">
        <v>50</v>
      </c>
      <c r="AN1452" s="4">
        <v>0</v>
      </c>
      <c r="AO1452" s="4">
        <v>0</v>
      </c>
      <c r="AP1452" s="4">
        <v>7</v>
      </c>
      <c r="AQ1452" s="4">
        <v>11</v>
      </c>
      <c r="AR1452" s="3" t="s">
        <v>65</v>
      </c>
      <c r="AS1452" s="3" t="s">
        <v>65</v>
      </c>
      <c r="AT1452" s="3" t="s">
        <v>65</v>
      </c>
      <c r="AV1452" s="6" t="str">
        <f>HYPERLINK("http://mcgill.on.worldcat.org/oclc/922970880","Catalog Record")</f>
        <v>Catalog Record</v>
      </c>
      <c r="AW1452" s="6" t="str">
        <f>HYPERLINK("http://www.worldcat.org/oclc/922970880","WorldCat Record")</f>
        <v>WorldCat Record</v>
      </c>
      <c r="AX1452" s="3" t="s">
        <v>14303</v>
      </c>
      <c r="AY1452" s="3" t="s">
        <v>14304</v>
      </c>
      <c r="AZ1452" s="3" t="s">
        <v>14305</v>
      </c>
      <c r="BA1452" s="3" t="s">
        <v>14305</v>
      </c>
      <c r="BB1452" s="3" t="s">
        <v>14306</v>
      </c>
      <c r="BC1452" s="3" t="s">
        <v>77</v>
      </c>
      <c r="BD1452" s="3" t="s">
        <v>78</v>
      </c>
      <c r="BE1452" s="3" t="s">
        <v>14307</v>
      </c>
      <c r="BF1452" s="3" t="s">
        <v>14306</v>
      </c>
      <c r="BG1452" s="3" t="s">
        <v>14308</v>
      </c>
    </row>
    <row r="1453" spans="1:59" ht="58" x14ac:dyDescent="0.35">
      <c r="A1453" s="2" t="s">
        <v>59</v>
      </c>
      <c r="B1453" s="2" t="s">
        <v>60</v>
      </c>
      <c r="C1453" s="2" t="s">
        <v>14309</v>
      </c>
      <c r="D1453" s="2" t="s">
        <v>14310</v>
      </c>
      <c r="E1453" s="2" t="s">
        <v>14311</v>
      </c>
      <c r="F1453" s="3" t="s">
        <v>245</v>
      </c>
      <c r="G1453" s="3" t="s">
        <v>209</v>
      </c>
      <c r="I1453" s="3" t="s">
        <v>65</v>
      </c>
      <c r="J1453" s="3" t="s">
        <v>65</v>
      </c>
      <c r="K1453" s="3" t="s">
        <v>66</v>
      </c>
      <c r="L1453" s="2" t="s">
        <v>13707</v>
      </c>
      <c r="M1453" s="2" t="s">
        <v>14312</v>
      </c>
      <c r="N1453" s="3" t="s">
        <v>863</v>
      </c>
      <c r="P1453" s="3" t="s">
        <v>69</v>
      </c>
      <c r="R1453" s="3" t="s">
        <v>71</v>
      </c>
      <c r="S1453" s="4">
        <v>18</v>
      </c>
      <c r="T1453" s="4">
        <v>18</v>
      </c>
      <c r="U1453" s="5" t="s">
        <v>1335</v>
      </c>
      <c r="V1453" s="5" t="s">
        <v>1335</v>
      </c>
      <c r="W1453" s="5" t="s">
        <v>72</v>
      </c>
      <c r="X1453" s="5" t="s">
        <v>72</v>
      </c>
      <c r="Y1453" s="4">
        <v>265</v>
      </c>
      <c r="Z1453" s="4">
        <v>19</v>
      </c>
      <c r="AA1453" s="4">
        <v>25</v>
      </c>
      <c r="AB1453" s="4">
        <v>2</v>
      </c>
      <c r="AC1453" s="4">
        <v>4</v>
      </c>
      <c r="AD1453" s="4">
        <v>96</v>
      </c>
      <c r="AE1453" s="4">
        <v>102</v>
      </c>
      <c r="AF1453" s="4">
        <v>1</v>
      </c>
      <c r="AG1453" s="4">
        <v>1</v>
      </c>
      <c r="AH1453" s="4">
        <v>88</v>
      </c>
      <c r="AI1453" s="4">
        <v>91</v>
      </c>
      <c r="AJ1453" s="4">
        <v>12</v>
      </c>
      <c r="AK1453" s="4">
        <v>13</v>
      </c>
      <c r="AL1453" s="4">
        <v>52</v>
      </c>
      <c r="AM1453" s="4">
        <v>53</v>
      </c>
      <c r="AN1453" s="4">
        <v>0</v>
      </c>
      <c r="AO1453" s="4">
        <v>0</v>
      </c>
      <c r="AP1453" s="4">
        <v>13</v>
      </c>
      <c r="AQ1453" s="4">
        <v>16</v>
      </c>
      <c r="AR1453" s="3" t="s">
        <v>65</v>
      </c>
      <c r="AS1453" s="3" t="s">
        <v>65</v>
      </c>
      <c r="AT1453" s="3" t="s">
        <v>65</v>
      </c>
      <c r="AV1453" s="6" t="str">
        <f>HYPERLINK("http://mcgill.on.worldcat.org/oclc/23902132","Catalog Record")</f>
        <v>Catalog Record</v>
      </c>
      <c r="AW1453" s="6" t="str">
        <f>HYPERLINK("http://www.worldcat.org/oclc/23902132","WorldCat Record")</f>
        <v>WorldCat Record</v>
      </c>
      <c r="AX1453" s="3" t="s">
        <v>14313</v>
      </c>
      <c r="AY1453" s="3" t="s">
        <v>14314</v>
      </c>
      <c r="AZ1453" s="3" t="s">
        <v>14315</v>
      </c>
      <c r="BA1453" s="3" t="s">
        <v>14315</v>
      </c>
      <c r="BB1453" s="3" t="s">
        <v>14316</v>
      </c>
      <c r="BC1453" s="3" t="s">
        <v>77</v>
      </c>
      <c r="BD1453" s="3" t="s">
        <v>106</v>
      </c>
      <c r="BE1453" s="3" t="s">
        <v>14317</v>
      </c>
      <c r="BF1453" s="3" t="s">
        <v>14316</v>
      </c>
      <c r="BG1453" s="3" t="s">
        <v>14318</v>
      </c>
    </row>
    <row r="1454" spans="1:59" ht="72.5" x14ac:dyDescent="0.35">
      <c r="A1454" s="2" t="s">
        <v>59</v>
      </c>
      <c r="B1454" s="2" t="s">
        <v>60</v>
      </c>
      <c r="C1454" s="2" t="s">
        <v>14319</v>
      </c>
      <c r="D1454" s="2" t="s">
        <v>14320</v>
      </c>
      <c r="E1454" s="2" t="s">
        <v>14321</v>
      </c>
      <c r="G1454" s="3" t="s">
        <v>65</v>
      </c>
      <c r="I1454" s="3" t="s">
        <v>65</v>
      </c>
      <c r="J1454" s="3" t="s">
        <v>65</v>
      </c>
      <c r="K1454" s="3" t="s">
        <v>66</v>
      </c>
      <c r="M1454" s="2" t="s">
        <v>14322</v>
      </c>
      <c r="N1454" s="3" t="s">
        <v>2750</v>
      </c>
      <c r="P1454" s="3" t="s">
        <v>69</v>
      </c>
      <c r="Q1454" s="2" t="s">
        <v>14323</v>
      </c>
      <c r="R1454" s="3" t="s">
        <v>71</v>
      </c>
      <c r="S1454" s="4">
        <v>11</v>
      </c>
      <c r="T1454" s="4">
        <v>11</v>
      </c>
      <c r="U1454" s="5" t="s">
        <v>14324</v>
      </c>
      <c r="V1454" s="5" t="s">
        <v>14324</v>
      </c>
      <c r="W1454" s="5" t="s">
        <v>72</v>
      </c>
      <c r="X1454" s="5" t="s">
        <v>72</v>
      </c>
      <c r="Y1454" s="4">
        <v>311</v>
      </c>
      <c r="Z1454" s="4">
        <v>22</v>
      </c>
      <c r="AA1454" s="4">
        <v>23</v>
      </c>
      <c r="AB1454" s="4">
        <v>3</v>
      </c>
      <c r="AC1454" s="4">
        <v>4</v>
      </c>
      <c r="AD1454" s="4">
        <v>100</v>
      </c>
      <c r="AE1454" s="4">
        <v>100</v>
      </c>
      <c r="AF1454" s="4">
        <v>1</v>
      </c>
      <c r="AG1454" s="4">
        <v>1</v>
      </c>
      <c r="AH1454" s="4">
        <v>93</v>
      </c>
      <c r="AI1454" s="4">
        <v>93</v>
      </c>
      <c r="AJ1454" s="4">
        <v>14</v>
      </c>
      <c r="AK1454" s="4">
        <v>14</v>
      </c>
      <c r="AL1454" s="4">
        <v>46</v>
      </c>
      <c r="AM1454" s="4">
        <v>46</v>
      </c>
      <c r="AN1454" s="4">
        <v>0</v>
      </c>
      <c r="AO1454" s="4">
        <v>0</v>
      </c>
      <c r="AP1454" s="4">
        <v>16</v>
      </c>
      <c r="AQ1454" s="4">
        <v>16</v>
      </c>
      <c r="AR1454" s="3" t="s">
        <v>65</v>
      </c>
      <c r="AS1454" s="3" t="s">
        <v>65</v>
      </c>
      <c r="AT1454" s="3" t="s">
        <v>65</v>
      </c>
      <c r="AU1454" s="6" t="str">
        <f>HYPERLINK("http://catalog.hathitrust.org/Record/000026879","HathiTrust Record")</f>
        <v>HathiTrust Record</v>
      </c>
      <c r="AV1454" s="6" t="str">
        <f>HYPERLINK("http://mcgill.on.worldcat.org/oclc/1256959","Catalog Record")</f>
        <v>Catalog Record</v>
      </c>
      <c r="AW1454" s="6" t="str">
        <f>HYPERLINK("http://www.worldcat.org/oclc/1256959","WorldCat Record")</f>
        <v>WorldCat Record</v>
      </c>
      <c r="AX1454" s="3" t="s">
        <v>14325</v>
      </c>
      <c r="AY1454" s="3" t="s">
        <v>14326</v>
      </c>
      <c r="AZ1454" s="3" t="s">
        <v>14327</v>
      </c>
      <c r="BA1454" s="3" t="s">
        <v>14327</v>
      </c>
      <c r="BB1454" s="3" t="s">
        <v>14328</v>
      </c>
      <c r="BC1454" s="3" t="s">
        <v>77</v>
      </c>
      <c r="BD1454" s="3" t="s">
        <v>78</v>
      </c>
      <c r="BE1454" s="3" t="s">
        <v>14329</v>
      </c>
      <c r="BF1454" s="3" t="s">
        <v>14328</v>
      </c>
      <c r="BG1454" s="3" t="s">
        <v>14330</v>
      </c>
    </row>
    <row r="1455" spans="1:59" ht="58" x14ac:dyDescent="0.35">
      <c r="A1455" s="2" t="s">
        <v>59</v>
      </c>
      <c r="B1455" s="2" t="s">
        <v>60</v>
      </c>
      <c r="C1455" s="2" t="s">
        <v>14331</v>
      </c>
      <c r="D1455" s="2" t="s">
        <v>14332</v>
      </c>
      <c r="E1455" s="2" t="s">
        <v>14333</v>
      </c>
      <c r="G1455" s="3" t="s">
        <v>65</v>
      </c>
      <c r="I1455" s="3" t="s">
        <v>65</v>
      </c>
      <c r="J1455" s="3" t="s">
        <v>65</v>
      </c>
      <c r="K1455" s="3" t="s">
        <v>66</v>
      </c>
      <c r="M1455" s="2" t="s">
        <v>14334</v>
      </c>
      <c r="N1455" s="3" t="s">
        <v>176</v>
      </c>
      <c r="P1455" s="3" t="s">
        <v>69</v>
      </c>
      <c r="Q1455" s="2" t="s">
        <v>14335</v>
      </c>
      <c r="R1455" s="3" t="s">
        <v>71</v>
      </c>
      <c r="S1455" s="4">
        <v>2</v>
      </c>
      <c r="T1455" s="4">
        <v>2</v>
      </c>
      <c r="U1455" s="5" t="s">
        <v>7917</v>
      </c>
      <c r="V1455" s="5" t="s">
        <v>7917</v>
      </c>
      <c r="W1455" s="5" t="s">
        <v>72</v>
      </c>
      <c r="X1455" s="5" t="s">
        <v>72</v>
      </c>
      <c r="Y1455" s="4">
        <v>180</v>
      </c>
      <c r="Z1455" s="4">
        <v>14</v>
      </c>
      <c r="AA1455" s="4">
        <v>24</v>
      </c>
      <c r="AB1455" s="4">
        <v>1</v>
      </c>
      <c r="AC1455" s="4">
        <v>6</v>
      </c>
      <c r="AD1455" s="4">
        <v>73</v>
      </c>
      <c r="AE1455" s="4">
        <v>90</v>
      </c>
      <c r="AF1455" s="4">
        <v>0</v>
      </c>
      <c r="AG1455" s="4">
        <v>3</v>
      </c>
      <c r="AH1455" s="4">
        <v>67</v>
      </c>
      <c r="AI1455" s="4">
        <v>80</v>
      </c>
      <c r="AJ1455" s="4">
        <v>6</v>
      </c>
      <c r="AK1455" s="4">
        <v>13</v>
      </c>
      <c r="AL1455" s="4">
        <v>45</v>
      </c>
      <c r="AM1455" s="4">
        <v>49</v>
      </c>
      <c r="AN1455" s="4">
        <v>0</v>
      </c>
      <c r="AO1455" s="4">
        <v>0</v>
      </c>
      <c r="AP1455" s="4">
        <v>8</v>
      </c>
      <c r="AQ1455" s="4">
        <v>15</v>
      </c>
      <c r="AR1455" s="3" t="s">
        <v>65</v>
      </c>
      <c r="AS1455" s="3" t="s">
        <v>65</v>
      </c>
      <c r="AT1455" s="3" t="s">
        <v>65</v>
      </c>
      <c r="AV1455" s="6" t="str">
        <f>HYPERLINK("http://mcgill.on.worldcat.org/oclc/914221316","Catalog Record")</f>
        <v>Catalog Record</v>
      </c>
      <c r="AW1455" s="6" t="str">
        <f>HYPERLINK("http://www.worldcat.org/oclc/914221316","WorldCat Record")</f>
        <v>WorldCat Record</v>
      </c>
      <c r="AX1455" s="3" t="s">
        <v>14336</v>
      </c>
      <c r="AY1455" s="3" t="s">
        <v>14337</v>
      </c>
      <c r="AZ1455" s="3" t="s">
        <v>14338</v>
      </c>
      <c r="BA1455" s="3" t="s">
        <v>14338</v>
      </c>
      <c r="BB1455" s="3" t="s">
        <v>14339</v>
      </c>
      <c r="BC1455" s="3" t="s">
        <v>77</v>
      </c>
      <c r="BD1455" s="3" t="s">
        <v>78</v>
      </c>
      <c r="BE1455" s="3" t="s">
        <v>14340</v>
      </c>
      <c r="BF1455" s="3" t="s">
        <v>14339</v>
      </c>
      <c r="BG1455" s="3" t="s">
        <v>14341</v>
      </c>
    </row>
    <row r="1456" spans="1:59" ht="58" x14ac:dyDescent="0.35">
      <c r="A1456" s="2" t="s">
        <v>59</v>
      </c>
      <c r="B1456" s="2" t="s">
        <v>60</v>
      </c>
      <c r="C1456" s="2" t="s">
        <v>14342</v>
      </c>
      <c r="D1456" s="2" t="s">
        <v>14343</v>
      </c>
      <c r="E1456" s="2" t="s">
        <v>14344</v>
      </c>
      <c r="G1456" s="3" t="s">
        <v>65</v>
      </c>
      <c r="I1456" s="3" t="s">
        <v>65</v>
      </c>
      <c r="J1456" s="3" t="s">
        <v>65</v>
      </c>
      <c r="K1456" s="3" t="s">
        <v>66</v>
      </c>
      <c r="L1456" s="2" t="s">
        <v>14345</v>
      </c>
      <c r="M1456" s="2" t="s">
        <v>14346</v>
      </c>
      <c r="N1456" s="3" t="s">
        <v>188</v>
      </c>
      <c r="P1456" s="3" t="s">
        <v>69</v>
      </c>
      <c r="Q1456" s="2" t="s">
        <v>14347</v>
      </c>
      <c r="R1456" s="3" t="s">
        <v>71</v>
      </c>
      <c r="S1456" s="4">
        <v>1</v>
      </c>
      <c r="T1456" s="4">
        <v>1</v>
      </c>
      <c r="U1456" s="5" t="s">
        <v>10199</v>
      </c>
      <c r="V1456" s="5" t="s">
        <v>10199</v>
      </c>
      <c r="W1456" s="5" t="s">
        <v>72</v>
      </c>
      <c r="X1456" s="5" t="s">
        <v>72</v>
      </c>
      <c r="Y1456" s="4">
        <v>140</v>
      </c>
      <c r="Z1456" s="4">
        <v>13</v>
      </c>
      <c r="AA1456" s="4">
        <v>13</v>
      </c>
      <c r="AB1456" s="4">
        <v>1</v>
      </c>
      <c r="AC1456" s="4">
        <v>1</v>
      </c>
      <c r="AD1456" s="4">
        <v>63</v>
      </c>
      <c r="AE1456" s="4">
        <v>63</v>
      </c>
      <c r="AF1456" s="4">
        <v>0</v>
      </c>
      <c r="AG1456" s="4">
        <v>0</v>
      </c>
      <c r="AH1456" s="4">
        <v>56</v>
      </c>
      <c r="AI1456" s="4">
        <v>56</v>
      </c>
      <c r="AJ1456" s="4">
        <v>10</v>
      </c>
      <c r="AK1456" s="4">
        <v>10</v>
      </c>
      <c r="AL1456" s="4">
        <v>36</v>
      </c>
      <c r="AM1456" s="4">
        <v>36</v>
      </c>
      <c r="AN1456" s="4">
        <v>0</v>
      </c>
      <c r="AO1456" s="4">
        <v>0</v>
      </c>
      <c r="AP1456" s="4">
        <v>11</v>
      </c>
      <c r="AQ1456" s="4">
        <v>11</v>
      </c>
      <c r="AR1456" s="3" t="s">
        <v>65</v>
      </c>
      <c r="AS1456" s="3" t="s">
        <v>65</v>
      </c>
      <c r="AT1456" s="3" t="s">
        <v>65</v>
      </c>
      <c r="AV1456" s="6" t="str">
        <f>HYPERLINK("http://mcgill.on.worldcat.org/oclc/979568303","Catalog Record")</f>
        <v>Catalog Record</v>
      </c>
      <c r="AW1456" s="6" t="str">
        <f>HYPERLINK("http://www.worldcat.org/oclc/979568303","WorldCat Record")</f>
        <v>WorldCat Record</v>
      </c>
      <c r="AX1456" s="3" t="s">
        <v>14348</v>
      </c>
      <c r="AY1456" s="3" t="s">
        <v>14349</v>
      </c>
      <c r="AZ1456" s="3" t="s">
        <v>14350</v>
      </c>
      <c r="BA1456" s="3" t="s">
        <v>14350</v>
      </c>
      <c r="BB1456" s="3" t="s">
        <v>14351</v>
      </c>
      <c r="BC1456" s="3" t="s">
        <v>77</v>
      </c>
      <c r="BD1456" s="3" t="s">
        <v>78</v>
      </c>
      <c r="BE1456" s="3" t="s">
        <v>14352</v>
      </c>
      <c r="BF1456" s="3" t="s">
        <v>14351</v>
      </c>
      <c r="BG1456" s="3" t="s">
        <v>14353</v>
      </c>
    </row>
    <row r="1457" spans="1:59" ht="58" x14ac:dyDescent="0.35">
      <c r="A1457" s="2" t="s">
        <v>59</v>
      </c>
      <c r="B1457" s="2" t="s">
        <v>60</v>
      </c>
      <c r="C1457" s="2" t="s">
        <v>14354</v>
      </c>
      <c r="D1457" s="2" t="s">
        <v>14355</v>
      </c>
      <c r="E1457" s="2" t="s">
        <v>14356</v>
      </c>
      <c r="G1457" s="3" t="s">
        <v>65</v>
      </c>
      <c r="I1457" s="3" t="s">
        <v>65</v>
      </c>
      <c r="J1457" s="3" t="s">
        <v>209</v>
      </c>
      <c r="K1457" s="3" t="s">
        <v>66</v>
      </c>
      <c r="L1457" s="2" t="s">
        <v>14357</v>
      </c>
      <c r="M1457" s="2" t="s">
        <v>14358</v>
      </c>
      <c r="N1457" s="3" t="s">
        <v>3448</v>
      </c>
      <c r="P1457" s="3" t="s">
        <v>69</v>
      </c>
      <c r="R1457" s="3" t="s">
        <v>71</v>
      </c>
      <c r="S1457" s="4">
        <v>8</v>
      </c>
      <c r="T1457" s="4">
        <v>8</v>
      </c>
      <c r="U1457" s="5" t="s">
        <v>14359</v>
      </c>
      <c r="V1457" s="5" t="s">
        <v>14359</v>
      </c>
      <c r="W1457" s="5" t="s">
        <v>72</v>
      </c>
      <c r="X1457" s="5" t="s">
        <v>72</v>
      </c>
      <c r="Y1457" s="4">
        <v>217</v>
      </c>
      <c r="Z1457" s="4">
        <v>16</v>
      </c>
      <c r="AA1457" s="4">
        <v>38</v>
      </c>
      <c r="AB1457" s="4">
        <v>1</v>
      </c>
      <c r="AC1457" s="4">
        <v>2</v>
      </c>
      <c r="AD1457" s="4">
        <v>46</v>
      </c>
      <c r="AE1457" s="4">
        <v>113</v>
      </c>
      <c r="AF1457" s="4">
        <v>0</v>
      </c>
      <c r="AG1457" s="4">
        <v>1</v>
      </c>
      <c r="AH1457" s="4">
        <v>37</v>
      </c>
      <c r="AI1457" s="4">
        <v>92</v>
      </c>
      <c r="AJ1457" s="4">
        <v>8</v>
      </c>
      <c r="AK1457" s="4">
        <v>19</v>
      </c>
      <c r="AL1457" s="4">
        <v>16</v>
      </c>
      <c r="AM1457" s="4">
        <v>52</v>
      </c>
      <c r="AN1457" s="4">
        <v>0</v>
      </c>
      <c r="AO1457" s="4">
        <v>0</v>
      </c>
      <c r="AP1457" s="4">
        <v>13</v>
      </c>
      <c r="AQ1457" s="4">
        <v>26</v>
      </c>
      <c r="AR1457" s="3" t="s">
        <v>65</v>
      </c>
      <c r="AS1457" s="3" t="s">
        <v>65</v>
      </c>
      <c r="AT1457" s="3" t="s">
        <v>209</v>
      </c>
      <c r="AU1457" s="6" t="str">
        <f>HYPERLINK("http://catalog.hathitrust.org/Record/007968249","HathiTrust Record")</f>
        <v>HathiTrust Record</v>
      </c>
      <c r="AV1457" s="6" t="str">
        <f>HYPERLINK("http://mcgill.on.worldcat.org/oclc/348288","Catalog Record")</f>
        <v>Catalog Record</v>
      </c>
      <c r="AW1457" s="6" t="str">
        <f>HYPERLINK("http://www.worldcat.org/oclc/348288","WorldCat Record")</f>
        <v>WorldCat Record</v>
      </c>
      <c r="AX1457" s="3" t="s">
        <v>14360</v>
      </c>
      <c r="AY1457" s="3" t="s">
        <v>14361</v>
      </c>
      <c r="AZ1457" s="3" t="s">
        <v>14362</v>
      </c>
      <c r="BA1457" s="3" t="s">
        <v>14362</v>
      </c>
      <c r="BB1457" s="3" t="s">
        <v>14363</v>
      </c>
      <c r="BC1457" s="3" t="s">
        <v>77</v>
      </c>
      <c r="BD1457" s="3" t="s">
        <v>78</v>
      </c>
      <c r="BE1457" s="3" t="s">
        <v>14364</v>
      </c>
      <c r="BF1457" s="3" t="s">
        <v>14363</v>
      </c>
      <c r="BG1457" s="3" t="s">
        <v>14365</v>
      </c>
    </row>
    <row r="1458" spans="1:59" ht="58" x14ac:dyDescent="0.35">
      <c r="A1458" s="2" t="s">
        <v>59</v>
      </c>
      <c r="B1458" s="2" t="s">
        <v>60</v>
      </c>
      <c r="C1458" s="2" t="s">
        <v>14366</v>
      </c>
      <c r="D1458" s="2" t="s">
        <v>14367</v>
      </c>
      <c r="E1458" s="2" t="s">
        <v>14368</v>
      </c>
      <c r="G1458" s="3" t="s">
        <v>65</v>
      </c>
      <c r="I1458" s="3" t="s">
        <v>65</v>
      </c>
      <c r="J1458" s="3" t="s">
        <v>65</v>
      </c>
      <c r="K1458" s="3" t="s">
        <v>66</v>
      </c>
      <c r="L1458" s="2" t="s">
        <v>14369</v>
      </c>
      <c r="M1458" s="2" t="s">
        <v>14370</v>
      </c>
      <c r="N1458" s="3" t="s">
        <v>10551</v>
      </c>
      <c r="P1458" s="3" t="s">
        <v>69</v>
      </c>
      <c r="R1458" s="3" t="s">
        <v>71</v>
      </c>
      <c r="S1458" s="4">
        <v>10</v>
      </c>
      <c r="T1458" s="4">
        <v>10</v>
      </c>
      <c r="U1458" s="5" t="s">
        <v>14292</v>
      </c>
      <c r="V1458" s="5" t="s">
        <v>14292</v>
      </c>
      <c r="W1458" s="5" t="s">
        <v>72</v>
      </c>
      <c r="X1458" s="5" t="s">
        <v>72</v>
      </c>
      <c r="Y1458" s="4">
        <v>196</v>
      </c>
      <c r="Z1458" s="4">
        <v>7</v>
      </c>
      <c r="AA1458" s="4">
        <v>20</v>
      </c>
      <c r="AB1458" s="4">
        <v>1</v>
      </c>
      <c r="AC1458" s="4">
        <v>2</v>
      </c>
      <c r="AD1458" s="4">
        <v>52</v>
      </c>
      <c r="AE1458" s="4">
        <v>93</v>
      </c>
      <c r="AF1458" s="4">
        <v>0</v>
      </c>
      <c r="AG1458" s="4">
        <v>1</v>
      </c>
      <c r="AH1458" s="4">
        <v>47</v>
      </c>
      <c r="AI1458" s="4">
        <v>78</v>
      </c>
      <c r="AJ1458" s="4">
        <v>2</v>
      </c>
      <c r="AK1458" s="4">
        <v>12</v>
      </c>
      <c r="AL1458" s="4">
        <v>33</v>
      </c>
      <c r="AM1458" s="4">
        <v>46</v>
      </c>
      <c r="AN1458" s="4">
        <v>5</v>
      </c>
      <c r="AO1458" s="4">
        <v>5</v>
      </c>
      <c r="AP1458" s="4">
        <v>4</v>
      </c>
      <c r="AQ1458" s="4">
        <v>15</v>
      </c>
      <c r="AR1458" s="3" t="s">
        <v>65</v>
      </c>
      <c r="AS1458" s="3" t="s">
        <v>65</v>
      </c>
      <c r="AT1458" s="3" t="s">
        <v>65</v>
      </c>
      <c r="AU1458" s="6" t="str">
        <f>HYPERLINK("http://catalog.hathitrust.org/Record/001806660","HathiTrust Record")</f>
        <v>HathiTrust Record</v>
      </c>
      <c r="AV1458" s="6" t="str">
        <f>HYPERLINK("http://mcgill.on.worldcat.org/oclc/41455383","Catalog Record")</f>
        <v>Catalog Record</v>
      </c>
      <c r="AW1458" s="6" t="str">
        <f>HYPERLINK("http://www.worldcat.org/oclc/41455383","WorldCat Record")</f>
        <v>WorldCat Record</v>
      </c>
      <c r="AX1458" s="3" t="s">
        <v>14371</v>
      </c>
      <c r="AY1458" s="3" t="s">
        <v>14372</v>
      </c>
      <c r="AZ1458" s="3" t="s">
        <v>14373</v>
      </c>
      <c r="BA1458" s="3" t="s">
        <v>14373</v>
      </c>
      <c r="BB1458" s="3" t="s">
        <v>14374</v>
      </c>
      <c r="BC1458" s="3" t="s">
        <v>77</v>
      </c>
      <c r="BD1458" s="3" t="s">
        <v>78</v>
      </c>
      <c r="BF1458" s="3" t="s">
        <v>14374</v>
      </c>
      <c r="BG1458" s="3" t="s">
        <v>14375</v>
      </c>
    </row>
    <row r="1459" spans="1:59" ht="58" x14ac:dyDescent="0.35">
      <c r="A1459" s="2" t="s">
        <v>59</v>
      </c>
      <c r="B1459" s="2" t="s">
        <v>60</v>
      </c>
      <c r="C1459" s="2" t="s">
        <v>14376</v>
      </c>
      <c r="D1459" s="2" t="s">
        <v>14377</v>
      </c>
      <c r="E1459" s="2" t="s">
        <v>14378</v>
      </c>
      <c r="G1459" s="3" t="s">
        <v>65</v>
      </c>
      <c r="I1459" s="3" t="s">
        <v>209</v>
      </c>
      <c r="J1459" s="3" t="s">
        <v>65</v>
      </c>
      <c r="K1459" s="3" t="s">
        <v>66</v>
      </c>
      <c r="L1459" s="2" t="s">
        <v>1107</v>
      </c>
      <c r="M1459" s="2" t="s">
        <v>492</v>
      </c>
      <c r="N1459" s="3" t="s">
        <v>493</v>
      </c>
      <c r="P1459" s="3" t="s">
        <v>69</v>
      </c>
      <c r="R1459" s="3" t="s">
        <v>71</v>
      </c>
      <c r="S1459" s="4">
        <v>11</v>
      </c>
      <c r="T1459" s="4">
        <v>35</v>
      </c>
      <c r="U1459" s="5" t="s">
        <v>13871</v>
      </c>
      <c r="V1459" s="5" t="s">
        <v>14379</v>
      </c>
      <c r="W1459" s="5" t="s">
        <v>72</v>
      </c>
      <c r="X1459" s="5" t="s">
        <v>72</v>
      </c>
      <c r="Y1459" s="4">
        <v>880</v>
      </c>
      <c r="Z1459" s="4">
        <v>40</v>
      </c>
      <c r="AA1459" s="4">
        <v>48</v>
      </c>
      <c r="AB1459" s="4">
        <v>1</v>
      </c>
      <c r="AC1459" s="4">
        <v>2</v>
      </c>
      <c r="AD1459" s="4">
        <v>114</v>
      </c>
      <c r="AE1459" s="4">
        <v>126</v>
      </c>
      <c r="AF1459" s="4">
        <v>0</v>
      </c>
      <c r="AG1459" s="4">
        <v>1</v>
      </c>
      <c r="AH1459" s="4">
        <v>94</v>
      </c>
      <c r="AI1459" s="4">
        <v>103</v>
      </c>
      <c r="AJ1459" s="4">
        <v>15</v>
      </c>
      <c r="AK1459" s="4">
        <v>19</v>
      </c>
      <c r="AL1459" s="4">
        <v>52</v>
      </c>
      <c r="AM1459" s="4">
        <v>55</v>
      </c>
      <c r="AN1459" s="4">
        <v>0</v>
      </c>
      <c r="AO1459" s="4">
        <v>0</v>
      </c>
      <c r="AP1459" s="4">
        <v>24</v>
      </c>
      <c r="AQ1459" s="4">
        <v>30</v>
      </c>
      <c r="AR1459" s="3" t="s">
        <v>65</v>
      </c>
      <c r="AS1459" s="3" t="s">
        <v>65</v>
      </c>
      <c r="AT1459" s="3" t="s">
        <v>209</v>
      </c>
      <c r="AU1459" s="6" t="str">
        <f>HYPERLINK("http://catalog.hathitrust.org/Record/001219723","HathiTrust Record")</f>
        <v>HathiTrust Record</v>
      </c>
      <c r="AV1459" s="6" t="str">
        <f>HYPERLINK("http://mcgill.on.worldcat.org/oclc/343931","Catalog Record")</f>
        <v>Catalog Record</v>
      </c>
      <c r="AW1459" s="6" t="str">
        <f>HYPERLINK("http://www.worldcat.org/oclc/343931","WorldCat Record")</f>
        <v>WorldCat Record</v>
      </c>
      <c r="AX1459" s="3" t="s">
        <v>14380</v>
      </c>
      <c r="AY1459" s="3" t="s">
        <v>14381</v>
      </c>
      <c r="AZ1459" s="3" t="s">
        <v>14382</v>
      </c>
      <c r="BA1459" s="3" t="s">
        <v>14382</v>
      </c>
      <c r="BB1459" s="3" t="s">
        <v>14383</v>
      </c>
      <c r="BC1459" s="3" t="s">
        <v>77</v>
      </c>
      <c r="BD1459" s="3" t="s">
        <v>78</v>
      </c>
      <c r="BF1459" s="3" t="s">
        <v>14383</v>
      </c>
      <c r="BG1459" s="3" t="s">
        <v>14384</v>
      </c>
    </row>
    <row r="1460" spans="1:59" ht="58" x14ac:dyDescent="0.35">
      <c r="A1460" s="2" t="s">
        <v>59</v>
      </c>
      <c r="B1460" s="2" t="s">
        <v>60</v>
      </c>
      <c r="C1460" s="2" t="s">
        <v>14376</v>
      </c>
      <c r="D1460" s="2" t="s">
        <v>14377</v>
      </c>
      <c r="E1460" s="2" t="s">
        <v>14378</v>
      </c>
      <c r="G1460" s="3" t="s">
        <v>65</v>
      </c>
      <c r="I1460" s="3" t="s">
        <v>209</v>
      </c>
      <c r="J1460" s="3" t="s">
        <v>65</v>
      </c>
      <c r="K1460" s="3" t="s">
        <v>66</v>
      </c>
      <c r="L1460" s="2" t="s">
        <v>1107</v>
      </c>
      <c r="M1460" s="2" t="s">
        <v>492</v>
      </c>
      <c r="N1460" s="3" t="s">
        <v>493</v>
      </c>
      <c r="P1460" s="3" t="s">
        <v>69</v>
      </c>
      <c r="R1460" s="3" t="s">
        <v>71</v>
      </c>
      <c r="S1460" s="4">
        <v>12</v>
      </c>
      <c r="T1460" s="4">
        <v>35</v>
      </c>
      <c r="U1460" s="5" t="s">
        <v>14385</v>
      </c>
      <c r="V1460" s="5" t="s">
        <v>14379</v>
      </c>
      <c r="W1460" s="5" t="s">
        <v>72</v>
      </c>
      <c r="X1460" s="5" t="s">
        <v>72</v>
      </c>
      <c r="Y1460" s="4">
        <v>880</v>
      </c>
      <c r="Z1460" s="4">
        <v>40</v>
      </c>
      <c r="AA1460" s="4">
        <v>48</v>
      </c>
      <c r="AB1460" s="4">
        <v>1</v>
      </c>
      <c r="AC1460" s="4">
        <v>2</v>
      </c>
      <c r="AD1460" s="4">
        <v>114</v>
      </c>
      <c r="AE1460" s="4">
        <v>126</v>
      </c>
      <c r="AF1460" s="4">
        <v>0</v>
      </c>
      <c r="AG1460" s="4">
        <v>1</v>
      </c>
      <c r="AH1460" s="4">
        <v>94</v>
      </c>
      <c r="AI1460" s="4">
        <v>103</v>
      </c>
      <c r="AJ1460" s="4">
        <v>15</v>
      </c>
      <c r="AK1460" s="4">
        <v>19</v>
      </c>
      <c r="AL1460" s="4">
        <v>52</v>
      </c>
      <c r="AM1460" s="4">
        <v>55</v>
      </c>
      <c r="AN1460" s="4">
        <v>0</v>
      </c>
      <c r="AO1460" s="4">
        <v>0</v>
      </c>
      <c r="AP1460" s="4">
        <v>24</v>
      </c>
      <c r="AQ1460" s="4">
        <v>30</v>
      </c>
      <c r="AR1460" s="3" t="s">
        <v>65</v>
      </c>
      <c r="AS1460" s="3" t="s">
        <v>65</v>
      </c>
      <c r="AT1460" s="3" t="s">
        <v>209</v>
      </c>
      <c r="AU1460" s="6" t="str">
        <f>HYPERLINK("http://catalog.hathitrust.org/Record/001219723","HathiTrust Record")</f>
        <v>HathiTrust Record</v>
      </c>
      <c r="AV1460" s="6" t="str">
        <f>HYPERLINK("http://mcgill.on.worldcat.org/oclc/343931","Catalog Record")</f>
        <v>Catalog Record</v>
      </c>
      <c r="AW1460" s="6" t="str">
        <f>HYPERLINK("http://www.worldcat.org/oclc/343931","WorldCat Record")</f>
        <v>WorldCat Record</v>
      </c>
      <c r="AX1460" s="3" t="s">
        <v>14380</v>
      </c>
      <c r="AY1460" s="3" t="s">
        <v>14381</v>
      </c>
      <c r="AZ1460" s="3" t="s">
        <v>14382</v>
      </c>
      <c r="BA1460" s="3" t="s">
        <v>14382</v>
      </c>
      <c r="BB1460" s="3" t="s">
        <v>14386</v>
      </c>
      <c r="BC1460" s="3" t="s">
        <v>77</v>
      </c>
      <c r="BD1460" s="3" t="s">
        <v>78</v>
      </c>
      <c r="BF1460" s="3" t="s">
        <v>14386</v>
      </c>
      <c r="BG1460" s="3" t="s">
        <v>14387</v>
      </c>
    </row>
    <row r="1461" spans="1:59" ht="58" x14ac:dyDescent="0.35">
      <c r="A1461" s="2" t="s">
        <v>59</v>
      </c>
      <c r="B1461" s="2" t="s">
        <v>60</v>
      </c>
      <c r="C1461" s="2" t="s">
        <v>14376</v>
      </c>
      <c r="D1461" s="2" t="s">
        <v>14377</v>
      </c>
      <c r="E1461" s="2" t="s">
        <v>14378</v>
      </c>
      <c r="G1461" s="3" t="s">
        <v>65</v>
      </c>
      <c r="I1461" s="3" t="s">
        <v>209</v>
      </c>
      <c r="J1461" s="3" t="s">
        <v>65</v>
      </c>
      <c r="K1461" s="3" t="s">
        <v>66</v>
      </c>
      <c r="L1461" s="2" t="s">
        <v>1107</v>
      </c>
      <c r="M1461" s="2" t="s">
        <v>492</v>
      </c>
      <c r="N1461" s="3" t="s">
        <v>493</v>
      </c>
      <c r="P1461" s="3" t="s">
        <v>69</v>
      </c>
      <c r="R1461" s="3" t="s">
        <v>71</v>
      </c>
      <c r="S1461" s="4">
        <v>12</v>
      </c>
      <c r="T1461" s="4">
        <v>35</v>
      </c>
      <c r="U1461" s="5" t="s">
        <v>14379</v>
      </c>
      <c r="V1461" s="5" t="s">
        <v>14379</v>
      </c>
      <c r="W1461" s="5" t="s">
        <v>72</v>
      </c>
      <c r="X1461" s="5" t="s">
        <v>72</v>
      </c>
      <c r="Y1461" s="4">
        <v>880</v>
      </c>
      <c r="Z1461" s="4">
        <v>40</v>
      </c>
      <c r="AA1461" s="4">
        <v>48</v>
      </c>
      <c r="AB1461" s="4">
        <v>1</v>
      </c>
      <c r="AC1461" s="4">
        <v>2</v>
      </c>
      <c r="AD1461" s="4">
        <v>114</v>
      </c>
      <c r="AE1461" s="4">
        <v>126</v>
      </c>
      <c r="AF1461" s="4">
        <v>0</v>
      </c>
      <c r="AG1461" s="4">
        <v>1</v>
      </c>
      <c r="AH1461" s="4">
        <v>94</v>
      </c>
      <c r="AI1461" s="4">
        <v>103</v>
      </c>
      <c r="AJ1461" s="4">
        <v>15</v>
      </c>
      <c r="AK1461" s="4">
        <v>19</v>
      </c>
      <c r="AL1461" s="4">
        <v>52</v>
      </c>
      <c r="AM1461" s="4">
        <v>55</v>
      </c>
      <c r="AN1461" s="4">
        <v>0</v>
      </c>
      <c r="AO1461" s="4">
        <v>0</v>
      </c>
      <c r="AP1461" s="4">
        <v>24</v>
      </c>
      <c r="AQ1461" s="4">
        <v>30</v>
      </c>
      <c r="AR1461" s="3" t="s">
        <v>65</v>
      </c>
      <c r="AS1461" s="3" t="s">
        <v>65</v>
      </c>
      <c r="AT1461" s="3" t="s">
        <v>209</v>
      </c>
      <c r="AU1461" s="6" t="str">
        <f>HYPERLINK("http://catalog.hathitrust.org/Record/001219723","HathiTrust Record")</f>
        <v>HathiTrust Record</v>
      </c>
      <c r="AV1461" s="6" t="str">
        <f>HYPERLINK("http://mcgill.on.worldcat.org/oclc/343931","Catalog Record")</f>
        <v>Catalog Record</v>
      </c>
      <c r="AW1461" s="6" t="str">
        <f>HYPERLINK("http://www.worldcat.org/oclc/343931","WorldCat Record")</f>
        <v>WorldCat Record</v>
      </c>
      <c r="AX1461" s="3" t="s">
        <v>14380</v>
      </c>
      <c r="AY1461" s="3" t="s">
        <v>14381</v>
      </c>
      <c r="AZ1461" s="3" t="s">
        <v>14382</v>
      </c>
      <c r="BA1461" s="3" t="s">
        <v>14382</v>
      </c>
      <c r="BB1461" s="3" t="s">
        <v>14388</v>
      </c>
      <c r="BC1461" s="3" t="s">
        <v>77</v>
      </c>
      <c r="BD1461" s="3" t="s">
        <v>78</v>
      </c>
      <c r="BF1461" s="3" t="s">
        <v>14388</v>
      </c>
      <c r="BG1461" s="3" t="s">
        <v>14389</v>
      </c>
    </row>
    <row r="1462" spans="1:59" ht="58" x14ac:dyDescent="0.35">
      <c r="A1462" s="2" t="s">
        <v>59</v>
      </c>
      <c r="B1462" s="2" t="s">
        <v>60</v>
      </c>
      <c r="C1462" s="2" t="s">
        <v>14390</v>
      </c>
      <c r="D1462" s="2" t="s">
        <v>14391</v>
      </c>
      <c r="E1462" s="2" t="s">
        <v>14392</v>
      </c>
      <c r="G1462" s="3" t="s">
        <v>65</v>
      </c>
      <c r="I1462" s="3" t="s">
        <v>65</v>
      </c>
      <c r="J1462" s="3" t="s">
        <v>65</v>
      </c>
      <c r="K1462" s="3" t="s">
        <v>66</v>
      </c>
      <c r="L1462" s="2" t="s">
        <v>14393</v>
      </c>
      <c r="M1462" s="2" t="s">
        <v>14394</v>
      </c>
      <c r="N1462" s="3" t="s">
        <v>164</v>
      </c>
      <c r="P1462" s="3" t="s">
        <v>140</v>
      </c>
      <c r="Q1462" s="2" t="s">
        <v>14395</v>
      </c>
      <c r="R1462" s="3" t="s">
        <v>71</v>
      </c>
      <c r="S1462" s="4">
        <v>0</v>
      </c>
      <c r="T1462" s="4">
        <v>0</v>
      </c>
      <c r="W1462" s="5" t="s">
        <v>72</v>
      </c>
      <c r="X1462" s="5" t="s">
        <v>72</v>
      </c>
      <c r="Y1462" s="4">
        <v>40</v>
      </c>
      <c r="Z1462" s="4">
        <v>4</v>
      </c>
      <c r="AA1462" s="4">
        <v>4</v>
      </c>
      <c r="AB1462" s="4">
        <v>1</v>
      </c>
      <c r="AC1462" s="4">
        <v>1</v>
      </c>
      <c r="AD1462" s="4">
        <v>28</v>
      </c>
      <c r="AE1462" s="4">
        <v>28</v>
      </c>
      <c r="AF1462" s="4">
        <v>0</v>
      </c>
      <c r="AG1462" s="4">
        <v>0</v>
      </c>
      <c r="AH1462" s="4">
        <v>27</v>
      </c>
      <c r="AI1462" s="4">
        <v>27</v>
      </c>
      <c r="AJ1462" s="4">
        <v>1</v>
      </c>
      <c r="AK1462" s="4">
        <v>1</v>
      </c>
      <c r="AL1462" s="4">
        <v>22</v>
      </c>
      <c r="AM1462" s="4">
        <v>22</v>
      </c>
      <c r="AN1462" s="4">
        <v>0</v>
      </c>
      <c r="AO1462" s="4">
        <v>0</v>
      </c>
      <c r="AP1462" s="4">
        <v>1</v>
      </c>
      <c r="AQ1462" s="4">
        <v>1</v>
      </c>
      <c r="AR1462" s="3" t="s">
        <v>65</v>
      </c>
      <c r="AS1462" s="3" t="s">
        <v>65</v>
      </c>
      <c r="AT1462" s="3" t="s">
        <v>65</v>
      </c>
      <c r="AV1462" s="6" t="str">
        <f>HYPERLINK("http://mcgill.on.worldcat.org/oclc/934435499","Catalog Record")</f>
        <v>Catalog Record</v>
      </c>
      <c r="AW1462" s="6" t="str">
        <f>HYPERLINK("http://www.worldcat.org/oclc/934435499","WorldCat Record")</f>
        <v>WorldCat Record</v>
      </c>
      <c r="AX1462" s="3" t="s">
        <v>14396</v>
      </c>
      <c r="AY1462" s="3" t="s">
        <v>14397</v>
      </c>
      <c r="AZ1462" s="3" t="s">
        <v>14398</v>
      </c>
      <c r="BA1462" s="3" t="s">
        <v>14398</v>
      </c>
      <c r="BB1462" s="3" t="s">
        <v>14399</v>
      </c>
      <c r="BC1462" s="3" t="s">
        <v>77</v>
      </c>
      <c r="BD1462" s="3" t="s">
        <v>78</v>
      </c>
      <c r="BE1462" s="3" t="s">
        <v>14400</v>
      </c>
      <c r="BF1462" s="3" t="s">
        <v>14399</v>
      </c>
      <c r="BG1462" s="3" t="s">
        <v>14401</v>
      </c>
    </row>
    <row r="1463" spans="1:59" ht="58" x14ac:dyDescent="0.35">
      <c r="A1463" s="2" t="s">
        <v>59</v>
      </c>
      <c r="B1463" s="2" t="s">
        <v>60</v>
      </c>
      <c r="C1463" s="2" t="s">
        <v>14402</v>
      </c>
      <c r="D1463" s="2" t="s">
        <v>14403</v>
      </c>
      <c r="E1463" s="2" t="s">
        <v>14404</v>
      </c>
      <c r="G1463" s="3" t="s">
        <v>65</v>
      </c>
      <c r="I1463" s="3" t="s">
        <v>65</v>
      </c>
      <c r="J1463" s="3" t="s">
        <v>65</v>
      </c>
      <c r="K1463" s="3" t="s">
        <v>66</v>
      </c>
      <c r="L1463" s="2" t="s">
        <v>14405</v>
      </c>
      <c r="M1463" s="2" t="s">
        <v>14406</v>
      </c>
      <c r="N1463" s="3" t="s">
        <v>126</v>
      </c>
      <c r="O1463" s="2" t="s">
        <v>365</v>
      </c>
      <c r="P1463" s="3" t="s">
        <v>140</v>
      </c>
      <c r="Q1463" s="2" t="s">
        <v>14407</v>
      </c>
      <c r="R1463" s="3" t="s">
        <v>71</v>
      </c>
      <c r="S1463" s="4">
        <v>0</v>
      </c>
      <c r="T1463" s="4">
        <v>0</v>
      </c>
      <c r="W1463" s="5" t="s">
        <v>72</v>
      </c>
      <c r="X1463" s="5" t="s">
        <v>72</v>
      </c>
      <c r="Y1463" s="4">
        <v>41</v>
      </c>
      <c r="Z1463" s="4">
        <v>5</v>
      </c>
      <c r="AA1463" s="4">
        <v>5</v>
      </c>
      <c r="AB1463" s="4">
        <v>1</v>
      </c>
      <c r="AC1463" s="4">
        <v>1</v>
      </c>
      <c r="AD1463" s="4">
        <v>28</v>
      </c>
      <c r="AE1463" s="4">
        <v>28</v>
      </c>
      <c r="AF1463" s="4">
        <v>0</v>
      </c>
      <c r="AG1463" s="4">
        <v>0</v>
      </c>
      <c r="AH1463" s="4">
        <v>27</v>
      </c>
      <c r="AI1463" s="4">
        <v>27</v>
      </c>
      <c r="AJ1463" s="4">
        <v>2</v>
      </c>
      <c r="AK1463" s="4">
        <v>2</v>
      </c>
      <c r="AL1463" s="4">
        <v>21</v>
      </c>
      <c r="AM1463" s="4">
        <v>21</v>
      </c>
      <c r="AN1463" s="4">
        <v>0</v>
      </c>
      <c r="AO1463" s="4">
        <v>0</v>
      </c>
      <c r="AP1463" s="4">
        <v>2</v>
      </c>
      <c r="AQ1463" s="4">
        <v>2</v>
      </c>
      <c r="AR1463" s="3" t="s">
        <v>65</v>
      </c>
      <c r="AS1463" s="3" t="s">
        <v>65</v>
      </c>
      <c r="AT1463" s="3" t="s">
        <v>65</v>
      </c>
      <c r="AV1463" s="6" t="str">
        <f>HYPERLINK("http://mcgill.on.worldcat.org/oclc/775411066","Catalog Record")</f>
        <v>Catalog Record</v>
      </c>
      <c r="AW1463" s="6" t="str">
        <f>HYPERLINK("http://www.worldcat.org/oclc/775411066","WorldCat Record")</f>
        <v>WorldCat Record</v>
      </c>
      <c r="AX1463" s="3" t="s">
        <v>14408</v>
      </c>
      <c r="AY1463" s="3" t="s">
        <v>14409</v>
      </c>
      <c r="AZ1463" s="3" t="s">
        <v>14410</v>
      </c>
      <c r="BA1463" s="3" t="s">
        <v>14410</v>
      </c>
      <c r="BB1463" s="3" t="s">
        <v>14411</v>
      </c>
      <c r="BC1463" s="3" t="s">
        <v>77</v>
      </c>
      <c r="BD1463" s="3" t="s">
        <v>78</v>
      </c>
      <c r="BE1463" s="3" t="s">
        <v>14412</v>
      </c>
      <c r="BF1463" s="3" t="s">
        <v>14411</v>
      </c>
      <c r="BG1463" s="3" t="s">
        <v>14413</v>
      </c>
    </row>
    <row r="1464" spans="1:59" ht="58" x14ac:dyDescent="0.35">
      <c r="A1464" s="2" t="s">
        <v>59</v>
      </c>
      <c r="B1464" s="2" t="s">
        <v>60</v>
      </c>
      <c r="C1464" s="2" t="s">
        <v>14414</v>
      </c>
      <c r="D1464" s="2" t="s">
        <v>14415</v>
      </c>
      <c r="E1464" s="2" t="s">
        <v>14416</v>
      </c>
      <c r="G1464" s="3" t="s">
        <v>65</v>
      </c>
      <c r="I1464" s="3" t="s">
        <v>65</v>
      </c>
      <c r="J1464" s="3" t="s">
        <v>65</v>
      </c>
      <c r="K1464" s="3" t="s">
        <v>66</v>
      </c>
      <c r="L1464" s="2" t="s">
        <v>1107</v>
      </c>
      <c r="M1464" s="2" t="s">
        <v>14417</v>
      </c>
      <c r="N1464" s="3" t="s">
        <v>352</v>
      </c>
      <c r="P1464" s="3" t="s">
        <v>69</v>
      </c>
      <c r="Q1464" s="2" t="s">
        <v>14418</v>
      </c>
      <c r="R1464" s="3" t="s">
        <v>71</v>
      </c>
      <c r="S1464" s="4">
        <v>5</v>
      </c>
      <c r="T1464" s="4">
        <v>5</v>
      </c>
      <c r="U1464" s="5" t="s">
        <v>1068</v>
      </c>
      <c r="V1464" s="5" t="s">
        <v>1068</v>
      </c>
      <c r="W1464" s="5" t="s">
        <v>72</v>
      </c>
      <c r="X1464" s="5" t="s">
        <v>72</v>
      </c>
      <c r="Y1464" s="4">
        <v>338</v>
      </c>
      <c r="Z1464" s="4">
        <v>21</v>
      </c>
      <c r="AA1464" s="4">
        <v>36</v>
      </c>
      <c r="AB1464" s="4">
        <v>2</v>
      </c>
      <c r="AC1464" s="4">
        <v>4</v>
      </c>
      <c r="AD1464" s="4">
        <v>103</v>
      </c>
      <c r="AE1464" s="4">
        <v>116</v>
      </c>
      <c r="AF1464" s="4">
        <v>1</v>
      </c>
      <c r="AG1464" s="4">
        <v>1</v>
      </c>
      <c r="AH1464" s="4">
        <v>92</v>
      </c>
      <c r="AI1464" s="4">
        <v>97</v>
      </c>
      <c r="AJ1464" s="4">
        <v>15</v>
      </c>
      <c r="AK1464" s="4">
        <v>19</v>
      </c>
      <c r="AL1464" s="4">
        <v>55</v>
      </c>
      <c r="AM1464" s="4">
        <v>57</v>
      </c>
      <c r="AN1464" s="4">
        <v>0</v>
      </c>
      <c r="AO1464" s="4">
        <v>0</v>
      </c>
      <c r="AP1464" s="4">
        <v>15</v>
      </c>
      <c r="AQ1464" s="4">
        <v>26</v>
      </c>
      <c r="AR1464" s="3" t="s">
        <v>65</v>
      </c>
      <c r="AS1464" s="3" t="s">
        <v>209</v>
      </c>
      <c r="AT1464" s="3" t="s">
        <v>65</v>
      </c>
      <c r="AU1464" s="6" t="str">
        <f>HYPERLINK("http://catalog.hathitrust.org/Record/001219724","HathiTrust Record")</f>
        <v>HathiTrust Record</v>
      </c>
      <c r="AV1464" s="6" t="str">
        <f>HYPERLINK("http://mcgill.on.worldcat.org/oclc/347537","Catalog Record")</f>
        <v>Catalog Record</v>
      </c>
      <c r="AW1464" s="6" t="str">
        <f>HYPERLINK("http://www.worldcat.org/oclc/347537","WorldCat Record")</f>
        <v>WorldCat Record</v>
      </c>
      <c r="AX1464" s="3" t="s">
        <v>14419</v>
      </c>
      <c r="AY1464" s="3" t="s">
        <v>14420</v>
      </c>
      <c r="AZ1464" s="3" t="s">
        <v>14421</v>
      </c>
      <c r="BA1464" s="3" t="s">
        <v>14421</v>
      </c>
      <c r="BB1464" s="3" t="s">
        <v>14422</v>
      </c>
      <c r="BC1464" s="3" t="s">
        <v>77</v>
      </c>
      <c r="BD1464" s="3" t="s">
        <v>78</v>
      </c>
      <c r="BE1464" s="3" t="s">
        <v>14423</v>
      </c>
      <c r="BF1464" s="3" t="s">
        <v>14422</v>
      </c>
      <c r="BG1464" s="3" t="s">
        <v>14424</v>
      </c>
    </row>
    <row r="1465" spans="1:59" ht="58" x14ac:dyDescent="0.35">
      <c r="A1465" s="2" t="s">
        <v>59</v>
      </c>
      <c r="B1465" s="2" t="s">
        <v>60</v>
      </c>
      <c r="C1465" s="2" t="s">
        <v>14425</v>
      </c>
      <c r="D1465" s="2" t="s">
        <v>14426</v>
      </c>
      <c r="E1465" s="2" t="s">
        <v>14427</v>
      </c>
      <c r="F1465" s="3" t="s">
        <v>245</v>
      </c>
      <c r="G1465" s="3" t="s">
        <v>209</v>
      </c>
      <c r="I1465" s="3" t="s">
        <v>65</v>
      </c>
      <c r="J1465" s="3" t="s">
        <v>65</v>
      </c>
      <c r="K1465" s="3" t="s">
        <v>66</v>
      </c>
      <c r="M1465" s="2" t="s">
        <v>14428</v>
      </c>
      <c r="N1465" s="3" t="s">
        <v>99</v>
      </c>
      <c r="P1465" s="3" t="s">
        <v>140</v>
      </c>
      <c r="Q1465" s="2" t="s">
        <v>14429</v>
      </c>
      <c r="R1465" s="3" t="s">
        <v>71</v>
      </c>
      <c r="S1465" s="4">
        <v>4</v>
      </c>
      <c r="T1465" s="4">
        <v>6</v>
      </c>
      <c r="U1465" s="5" t="s">
        <v>8542</v>
      </c>
      <c r="V1465" s="5" t="s">
        <v>8542</v>
      </c>
      <c r="W1465" s="5" t="s">
        <v>72</v>
      </c>
      <c r="X1465" s="5" t="s">
        <v>72</v>
      </c>
      <c r="Y1465" s="4">
        <v>63</v>
      </c>
      <c r="Z1465" s="4">
        <v>5</v>
      </c>
      <c r="AA1465" s="4">
        <v>5</v>
      </c>
      <c r="AB1465" s="4">
        <v>1</v>
      </c>
      <c r="AC1465" s="4">
        <v>1</v>
      </c>
      <c r="AD1465" s="4">
        <v>39</v>
      </c>
      <c r="AE1465" s="4">
        <v>39</v>
      </c>
      <c r="AF1465" s="4">
        <v>0</v>
      </c>
      <c r="AG1465" s="4">
        <v>0</v>
      </c>
      <c r="AH1465" s="4">
        <v>38</v>
      </c>
      <c r="AI1465" s="4">
        <v>38</v>
      </c>
      <c r="AJ1465" s="4">
        <v>3</v>
      </c>
      <c r="AK1465" s="4">
        <v>3</v>
      </c>
      <c r="AL1465" s="4">
        <v>27</v>
      </c>
      <c r="AM1465" s="4">
        <v>27</v>
      </c>
      <c r="AN1465" s="4">
        <v>0</v>
      </c>
      <c r="AO1465" s="4">
        <v>0</v>
      </c>
      <c r="AP1465" s="4">
        <v>3</v>
      </c>
      <c r="AQ1465" s="4">
        <v>3</v>
      </c>
      <c r="AR1465" s="3" t="s">
        <v>65</v>
      </c>
      <c r="AS1465" s="3" t="s">
        <v>65</v>
      </c>
      <c r="AT1465" s="3" t="s">
        <v>209</v>
      </c>
      <c r="AU1465" s="6" t="str">
        <f>HYPERLINK("http://catalog.hathitrust.org/Record/005571433","HathiTrust Record")</f>
        <v>HathiTrust Record</v>
      </c>
      <c r="AV1465" s="6" t="str">
        <f>HYPERLINK("http://mcgill.on.worldcat.org/oclc/133430759","Catalog Record")</f>
        <v>Catalog Record</v>
      </c>
      <c r="AW1465" s="6" t="str">
        <f>HYPERLINK("http://www.worldcat.org/oclc/133430759","WorldCat Record")</f>
        <v>WorldCat Record</v>
      </c>
      <c r="AX1465" s="3" t="s">
        <v>14430</v>
      </c>
      <c r="AY1465" s="3" t="s">
        <v>14431</v>
      </c>
      <c r="AZ1465" s="3" t="s">
        <v>14432</v>
      </c>
      <c r="BA1465" s="3" t="s">
        <v>14432</v>
      </c>
      <c r="BB1465" s="3" t="s">
        <v>14433</v>
      </c>
      <c r="BC1465" s="3" t="s">
        <v>77</v>
      </c>
      <c r="BD1465" s="3" t="s">
        <v>78</v>
      </c>
      <c r="BE1465" s="3" t="s">
        <v>14434</v>
      </c>
      <c r="BF1465" s="3" t="s">
        <v>14433</v>
      </c>
      <c r="BG1465" s="3" t="s">
        <v>14435</v>
      </c>
    </row>
    <row r="1466" spans="1:59" ht="58" x14ac:dyDescent="0.35">
      <c r="A1466" s="2" t="s">
        <v>59</v>
      </c>
      <c r="B1466" s="2" t="s">
        <v>60</v>
      </c>
      <c r="C1466" s="2" t="s">
        <v>14425</v>
      </c>
      <c r="D1466" s="2" t="s">
        <v>14426</v>
      </c>
      <c r="E1466" s="2" t="s">
        <v>14427</v>
      </c>
      <c r="F1466" s="3" t="s">
        <v>258</v>
      </c>
      <c r="G1466" s="3" t="s">
        <v>209</v>
      </c>
      <c r="I1466" s="3" t="s">
        <v>65</v>
      </c>
      <c r="J1466" s="3" t="s">
        <v>65</v>
      </c>
      <c r="K1466" s="3" t="s">
        <v>66</v>
      </c>
      <c r="M1466" s="2" t="s">
        <v>14428</v>
      </c>
      <c r="N1466" s="3" t="s">
        <v>99</v>
      </c>
      <c r="P1466" s="3" t="s">
        <v>140</v>
      </c>
      <c r="Q1466" s="2" t="s">
        <v>14429</v>
      </c>
      <c r="R1466" s="3" t="s">
        <v>71</v>
      </c>
      <c r="S1466" s="4">
        <v>2</v>
      </c>
      <c r="T1466" s="4">
        <v>6</v>
      </c>
      <c r="U1466" s="5" t="s">
        <v>8542</v>
      </c>
      <c r="V1466" s="5" t="s">
        <v>8542</v>
      </c>
      <c r="W1466" s="5" t="s">
        <v>72</v>
      </c>
      <c r="X1466" s="5" t="s">
        <v>72</v>
      </c>
      <c r="Y1466" s="4">
        <v>63</v>
      </c>
      <c r="Z1466" s="4">
        <v>5</v>
      </c>
      <c r="AA1466" s="4">
        <v>5</v>
      </c>
      <c r="AB1466" s="4">
        <v>1</v>
      </c>
      <c r="AC1466" s="4">
        <v>1</v>
      </c>
      <c r="AD1466" s="4">
        <v>39</v>
      </c>
      <c r="AE1466" s="4">
        <v>39</v>
      </c>
      <c r="AF1466" s="4">
        <v>0</v>
      </c>
      <c r="AG1466" s="4">
        <v>0</v>
      </c>
      <c r="AH1466" s="4">
        <v>38</v>
      </c>
      <c r="AI1466" s="4">
        <v>38</v>
      </c>
      <c r="AJ1466" s="4">
        <v>3</v>
      </c>
      <c r="AK1466" s="4">
        <v>3</v>
      </c>
      <c r="AL1466" s="4">
        <v>27</v>
      </c>
      <c r="AM1466" s="4">
        <v>27</v>
      </c>
      <c r="AN1466" s="4">
        <v>0</v>
      </c>
      <c r="AO1466" s="4">
        <v>0</v>
      </c>
      <c r="AP1466" s="4">
        <v>3</v>
      </c>
      <c r="AQ1466" s="4">
        <v>3</v>
      </c>
      <c r="AR1466" s="3" t="s">
        <v>65</v>
      </c>
      <c r="AS1466" s="3" t="s">
        <v>65</v>
      </c>
      <c r="AT1466" s="3" t="s">
        <v>209</v>
      </c>
      <c r="AU1466" s="6" t="str">
        <f>HYPERLINK("http://catalog.hathitrust.org/Record/005571433","HathiTrust Record")</f>
        <v>HathiTrust Record</v>
      </c>
      <c r="AV1466" s="6" t="str">
        <f>HYPERLINK("http://mcgill.on.worldcat.org/oclc/133430759","Catalog Record")</f>
        <v>Catalog Record</v>
      </c>
      <c r="AW1466" s="6" t="str">
        <f>HYPERLINK("http://www.worldcat.org/oclc/133430759","WorldCat Record")</f>
        <v>WorldCat Record</v>
      </c>
      <c r="AX1466" s="3" t="s">
        <v>14430</v>
      </c>
      <c r="AY1466" s="3" t="s">
        <v>14431</v>
      </c>
      <c r="AZ1466" s="3" t="s">
        <v>14432</v>
      </c>
      <c r="BA1466" s="3" t="s">
        <v>14432</v>
      </c>
      <c r="BB1466" s="3" t="s">
        <v>14436</v>
      </c>
      <c r="BC1466" s="3" t="s">
        <v>77</v>
      </c>
      <c r="BD1466" s="3" t="s">
        <v>78</v>
      </c>
      <c r="BE1466" s="3" t="s">
        <v>14434</v>
      </c>
      <c r="BF1466" s="3" t="s">
        <v>14436</v>
      </c>
      <c r="BG1466" s="3" t="s">
        <v>14437</v>
      </c>
    </row>
    <row r="1467" spans="1:59" ht="58" x14ac:dyDescent="0.35">
      <c r="A1467" s="2" t="s">
        <v>59</v>
      </c>
      <c r="B1467" s="2" t="s">
        <v>60</v>
      </c>
      <c r="C1467" s="2" t="s">
        <v>14438</v>
      </c>
      <c r="D1467" s="2" t="s">
        <v>14439</v>
      </c>
      <c r="E1467" s="2" t="s">
        <v>14440</v>
      </c>
      <c r="G1467" s="3" t="s">
        <v>65</v>
      </c>
      <c r="I1467" s="3" t="s">
        <v>65</v>
      </c>
      <c r="J1467" s="3" t="s">
        <v>65</v>
      </c>
      <c r="K1467" s="3" t="s">
        <v>66</v>
      </c>
      <c r="L1467" s="2" t="s">
        <v>14441</v>
      </c>
      <c r="M1467" s="2" t="s">
        <v>14442</v>
      </c>
      <c r="N1467" s="3" t="s">
        <v>126</v>
      </c>
      <c r="P1467" s="3" t="s">
        <v>140</v>
      </c>
      <c r="Q1467" s="2" t="s">
        <v>14443</v>
      </c>
      <c r="R1467" s="3" t="s">
        <v>71</v>
      </c>
      <c r="S1467" s="4">
        <v>1</v>
      </c>
      <c r="T1467" s="4">
        <v>1</v>
      </c>
      <c r="U1467" s="5" t="s">
        <v>4511</v>
      </c>
      <c r="V1467" s="5" t="s">
        <v>4511</v>
      </c>
      <c r="W1467" s="5" t="s">
        <v>72</v>
      </c>
      <c r="X1467" s="5" t="s">
        <v>72</v>
      </c>
      <c r="Y1467" s="4">
        <v>36</v>
      </c>
      <c r="Z1467" s="4">
        <v>5</v>
      </c>
      <c r="AA1467" s="4">
        <v>5</v>
      </c>
      <c r="AB1467" s="4">
        <v>1</v>
      </c>
      <c r="AC1467" s="4">
        <v>1</v>
      </c>
      <c r="AD1467" s="4">
        <v>25</v>
      </c>
      <c r="AE1467" s="4">
        <v>25</v>
      </c>
      <c r="AF1467" s="4">
        <v>0</v>
      </c>
      <c r="AG1467" s="4">
        <v>0</v>
      </c>
      <c r="AH1467" s="4">
        <v>24</v>
      </c>
      <c r="AI1467" s="4">
        <v>24</v>
      </c>
      <c r="AJ1467" s="4">
        <v>2</v>
      </c>
      <c r="AK1467" s="4">
        <v>2</v>
      </c>
      <c r="AL1467" s="4">
        <v>19</v>
      </c>
      <c r="AM1467" s="4">
        <v>19</v>
      </c>
      <c r="AN1467" s="4">
        <v>0</v>
      </c>
      <c r="AO1467" s="4">
        <v>0</v>
      </c>
      <c r="AP1467" s="4">
        <v>2</v>
      </c>
      <c r="AQ1467" s="4">
        <v>2</v>
      </c>
      <c r="AR1467" s="3" t="s">
        <v>65</v>
      </c>
      <c r="AS1467" s="3" t="s">
        <v>65</v>
      </c>
      <c r="AT1467" s="3" t="s">
        <v>65</v>
      </c>
      <c r="AV1467" s="6" t="str">
        <f>HYPERLINK("http://mcgill.on.worldcat.org/oclc/822016494","Catalog Record")</f>
        <v>Catalog Record</v>
      </c>
      <c r="AW1467" s="6" t="str">
        <f>HYPERLINK("http://www.worldcat.org/oclc/822016494","WorldCat Record")</f>
        <v>WorldCat Record</v>
      </c>
      <c r="AX1467" s="3" t="s">
        <v>14444</v>
      </c>
      <c r="AY1467" s="3" t="s">
        <v>14445</v>
      </c>
      <c r="AZ1467" s="3" t="s">
        <v>14446</v>
      </c>
      <c r="BA1467" s="3" t="s">
        <v>14446</v>
      </c>
      <c r="BB1467" s="3" t="s">
        <v>14447</v>
      </c>
      <c r="BC1467" s="3" t="s">
        <v>77</v>
      </c>
      <c r="BD1467" s="3" t="s">
        <v>78</v>
      </c>
      <c r="BE1467" s="3" t="s">
        <v>14448</v>
      </c>
      <c r="BF1467" s="3" t="s">
        <v>14447</v>
      </c>
      <c r="BG1467" s="3" t="s">
        <v>14449</v>
      </c>
    </row>
    <row r="1468" spans="1:59" ht="58" x14ac:dyDescent="0.35">
      <c r="A1468" s="2" t="s">
        <v>59</v>
      </c>
      <c r="B1468" s="2" t="s">
        <v>60</v>
      </c>
      <c r="C1468" s="2" t="s">
        <v>14450</v>
      </c>
      <c r="D1468" s="2" t="s">
        <v>14451</v>
      </c>
      <c r="E1468" s="2" t="s">
        <v>14452</v>
      </c>
      <c r="G1468" s="3" t="s">
        <v>65</v>
      </c>
      <c r="I1468" s="3" t="s">
        <v>65</v>
      </c>
      <c r="J1468" s="3" t="s">
        <v>65</v>
      </c>
      <c r="K1468" s="3" t="s">
        <v>66</v>
      </c>
      <c r="L1468" s="2" t="s">
        <v>14453</v>
      </c>
      <c r="M1468" s="2" t="s">
        <v>14454</v>
      </c>
      <c r="N1468" s="3" t="s">
        <v>955</v>
      </c>
      <c r="P1468" s="3" t="s">
        <v>69</v>
      </c>
      <c r="Q1468" s="2" t="s">
        <v>10272</v>
      </c>
      <c r="R1468" s="3" t="s">
        <v>71</v>
      </c>
      <c r="S1468" s="4">
        <v>13</v>
      </c>
      <c r="T1468" s="4">
        <v>13</v>
      </c>
      <c r="U1468" s="5" t="s">
        <v>14455</v>
      </c>
      <c r="V1468" s="5" t="s">
        <v>14455</v>
      </c>
      <c r="W1468" s="5" t="s">
        <v>72</v>
      </c>
      <c r="X1468" s="5" t="s">
        <v>72</v>
      </c>
      <c r="Y1468" s="4">
        <v>353</v>
      </c>
      <c r="Z1468" s="4">
        <v>29</v>
      </c>
      <c r="AA1468" s="4">
        <v>35</v>
      </c>
      <c r="AB1468" s="4">
        <v>2</v>
      </c>
      <c r="AC1468" s="4">
        <v>3</v>
      </c>
      <c r="AD1468" s="4">
        <v>94</v>
      </c>
      <c r="AE1468" s="4">
        <v>119</v>
      </c>
      <c r="AF1468" s="4">
        <v>1</v>
      </c>
      <c r="AG1468" s="4">
        <v>2</v>
      </c>
      <c r="AH1468" s="4">
        <v>79</v>
      </c>
      <c r="AI1468" s="4">
        <v>102</v>
      </c>
      <c r="AJ1468" s="4">
        <v>17</v>
      </c>
      <c r="AK1468" s="4">
        <v>20</v>
      </c>
      <c r="AL1468" s="4">
        <v>38</v>
      </c>
      <c r="AM1468" s="4">
        <v>50</v>
      </c>
      <c r="AN1468" s="4">
        <v>0</v>
      </c>
      <c r="AO1468" s="4">
        <v>0</v>
      </c>
      <c r="AP1468" s="4">
        <v>22</v>
      </c>
      <c r="AQ1468" s="4">
        <v>28</v>
      </c>
      <c r="AR1468" s="3" t="s">
        <v>65</v>
      </c>
      <c r="AS1468" s="3" t="s">
        <v>65</v>
      </c>
      <c r="AT1468" s="3" t="s">
        <v>65</v>
      </c>
      <c r="AV1468" s="6" t="str">
        <f>HYPERLINK("http://mcgill.on.worldcat.org/oclc/6761963","Catalog Record")</f>
        <v>Catalog Record</v>
      </c>
      <c r="AW1468" s="6" t="str">
        <f>HYPERLINK("http://www.worldcat.org/oclc/6761963","WorldCat Record")</f>
        <v>WorldCat Record</v>
      </c>
      <c r="AX1468" s="3" t="s">
        <v>14456</v>
      </c>
      <c r="AY1468" s="3" t="s">
        <v>14457</v>
      </c>
      <c r="AZ1468" s="3" t="s">
        <v>14458</v>
      </c>
      <c r="BA1468" s="3" t="s">
        <v>14458</v>
      </c>
      <c r="BB1468" s="3" t="s">
        <v>14459</v>
      </c>
      <c r="BC1468" s="3" t="s">
        <v>77</v>
      </c>
      <c r="BD1468" s="3" t="s">
        <v>78</v>
      </c>
      <c r="BE1468" s="3" t="s">
        <v>14460</v>
      </c>
      <c r="BF1468" s="3" t="s">
        <v>14459</v>
      </c>
      <c r="BG1468" s="3" t="s">
        <v>14461</v>
      </c>
    </row>
    <row r="1469" spans="1:59" ht="58" x14ac:dyDescent="0.35">
      <c r="A1469" s="2" t="s">
        <v>59</v>
      </c>
      <c r="B1469" s="2" t="s">
        <v>60</v>
      </c>
      <c r="C1469" s="2" t="s">
        <v>14462</v>
      </c>
      <c r="D1469" s="2" t="s">
        <v>14463</v>
      </c>
      <c r="E1469" s="2" t="s">
        <v>14464</v>
      </c>
      <c r="G1469" s="3" t="s">
        <v>65</v>
      </c>
      <c r="I1469" s="3" t="s">
        <v>65</v>
      </c>
      <c r="J1469" s="3" t="s">
        <v>65</v>
      </c>
      <c r="K1469" s="3" t="s">
        <v>66</v>
      </c>
      <c r="L1469" s="2" t="s">
        <v>14465</v>
      </c>
      <c r="M1469" s="2" t="s">
        <v>14466</v>
      </c>
      <c r="N1469" s="3" t="s">
        <v>479</v>
      </c>
      <c r="P1469" s="3" t="s">
        <v>69</v>
      </c>
      <c r="R1469" s="3" t="s">
        <v>71</v>
      </c>
      <c r="S1469" s="4">
        <v>3</v>
      </c>
      <c r="T1469" s="4">
        <v>3</v>
      </c>
      <c r="U1469" s="5" t="s">
        <v>211</v>
      </c>
      <c r="V1469" s="5" t="s">
        <v>211</v>
      </c>
      <c r="W1469" s="5" t="s">
        <v>72</v>
      </c>
      <c r="X1469" s="5" t="s">
        <v>72</v>
      </c>
      <c r="Y1469" s="4">
        <v>159</v>
      </c>
      <c r="Z1469" s="4">
        <v>13</v>
      </c>
      <c r="AA1469" s="4">
        <v>18</v>
      </c>
      <c r="AB1469" s="4">
        <v>1</v>
      </c>
      <c r="AC1469" s="4">
        <v>4</v>
      </c>
      <c r="AD1469" s="4">
        <v>79</v>
      </c>
      <c r="AE1469" s="4">
        <v>83</v>
      </c>
      <c r="AF1469" s="4">
        <v>0</v>
      </c>
      <c r="AG1469" s="4">
        <v>1</v>
      </c>
      <c r="AH1469" s="4">
        <v>75</v>
      </c>
      <c r="AI1469" s="4">
        <v>77</v>
      </c>
      <c r="AJ1469" s="4">
        <v>10</v>
      </c>
      <c r="AK1469" s="4">
        <v>12</v>
      </c>
      <c r="AL1469" s="4">
        <v>46</v>
      </c>
      <c r="AM1469" s="4">
        <v>47</v>
      </c>
      <c r="AN1469" s="4">
        <v>0</v>
      </c>
      <c r="AO1469" s="4">
        <v>0</v>
      </c>
      <c r="AP1469" s="4">
        <v>10</v>
      </c>
      <c r="AQ1469" s="4">
        <v>13</v>
      </c>
      <c r="AR1469" s="3" t="s">
        <v>65</v>
      </c>
      <c r="AS1469" s="3" t="s">
        <v>65</v>
      </c>
      <c r="AT1469" s="3" t="s">
        <v>65</v>
      </c>
      <c r="AV1469" s="6" t="str">
        <f>HYPERLINK("http://mcgill.on.worldcat.org/oclc/213408629","Catalog Record")</f>
        <v>Catalog Record</v>
      </c>
      <c r="AW1469" s="6" t="str">
        <f>HYPERLINK("http://www.worldcat.org/oclc/213408629","WorldCat Record")</f>
        <v>WorldCat Record</v>
      </c>
      <c r="AX1469" s="3" t="s">
        <v>14467</v>
      </c>
      <c r="AY1469" s="3" t="s">
        <v>14468</v>
      </c>
      <c r="AZ1469" s="3" t="s">
        <v>14469</v>
      </c>
      <c r="BA1469" s="3" t="s">
        <v>14469</v>
      </c>
      <c r="BB1469" s="3" t="s">
        <v>14470</v>
      </c>
      <c r="BC1469" s="3" t="s">
        <v>77</v>
      </c>
      <c r="BD1469" s="3" t="s">
        <v>78</v>
      </c>
      <c r="BE1469" s="3" t="s">
        <v>14471</v>
      </c>
      <c r="BF1469" s="3" t="s">
        <v>14470</v>
      </c>
      <c r="BG1469" s="3" t="s">
        <v>14472</v>
      </c>
    </row>
    <row r="1470" spans="1:59" ht="58" x14ac:dyDescent="0.35">
      <c r="A1470" s="2" t="s">
        <v>59</v>
      </c>
      <c r="B1470" s="2" t="s">
        <v>60</v>
      </c>
      <c r="C1470" s="2" t="s">
        <v>14473</v>
      </c>
      <c r="D1470" s="2" t="s">
        <v>14474</v>
      </c>
      <c r="E1470" s="2" t="s">
        <v>14475</v>
      </c>
      <c r="G1470" s="3" t="s">
        <v>65</v>
      </c>
      <c r="I1470" s="3" t="s">
        <v>65</v>
      </c>
      <c r="J1470" s="3" t="s">
        <v>65</v>
      </c>
      <c r="K1470" s="3" t="s">
        <v>66</v>
      </c>
      <c r="L1470" s="2" t="s">
        <v>14476</v>
      </c>
      <c r="M1470" s="2" t="s">
        <v>14477</v>
      </c>
      <c r="N1470" s="3" t="s">
        <v>552</v>
      </c>
      <c r="P1470" s="3" t="s">
        <v>616</v>
      </c>
      <c r="Q1470" s="2" t="s">
        <v>14478</v>
      </c>
      <c r="R1470" s="3" t="s">
        <v>71</v>
      </c>
      <c r="S1470" s="4">
        <v>2</v>
      </c>
      <c r="T1470" s="4">
        <v>2</v>
      </c>
      <c r="U1470" s="5" t="s">
        <v>14479</v>
      </c>
      <c r="V1470" s="5" t="s">
        <v>14479</v>
      </c>
      <c r="W1470" s="5" t="s">
        <v>72</v>
      </c>
      <c r="X1470" s="5" t="s">
        <v>72</v>
      </c>
      <c r="Y1470" s="4">
        <v>53</v>
      </c>
      <c r="Z1470" s="4">
        <v>6</v>
      </c>
      <c r="AA1470" s="4">
        <v>8</v>
      </c>
      <c r="AB1470" s="4">
        <v>1</v>
      </c>
      <c r="AC1470" s="4">
        <v>3</v>
      </c>
      <c r="AD1470" s="4">
        <v>28</v>
      </c>
      <c r="AE1470" s="4">
        <v>31</v>
      </c>
      <c r="AF1470" s="4">
        <v>0</v>
      </c>
      <c r="AG1470" s="4">
        <v>2</v>
      </c>
      <c r="AH1470" s="4">
        <v>26</v>
      </c>
      <c r="AI1470" s="4">
        <v>28</v>
      </c>
      <c r="AJ1470" s="4">
        <v>4</v>
      </c>
      <c r="AK1470" s="4">
        <v>6</v>
      </c>
      <c r="AL1470" s="4">
        <v>19</v>
      </c>
      <c r="AM1470" s="4">
        <v>20</v>
      </c>
      <c r="AN1470" s="4">
        <v>0</v>
      </c>
      <c r="AO1470" s="4">
        <v>0</v>
      </c>
      <c r="AP1470" s="4">
        <v>4</v>
      </c>
      <c r="AQ1470" s="4">
        <v>5</v>
      </c>
      <c r="AR1470" s="3" t="s">
        <v>65</v>
      </c>
      <c r="AS1470" s="3" t="s">
        <v>65</v>
      </c>
      <c r="AT1470" s="3" t="s">
        <v>209</v>
      </c>
      <c r="AU1470" s="6" t="str">
        <f>HYPERLINK("http://catalog.hathitrust.org/Record/004276700","HathiTrust Record")</f>
        <v>HathiTrust Record</v>
      </c>
      <c r="AV1470" s="6" t="str">
        <f>HYPERLINK("http://mcgill.on.worldcat.org/oclc/38056263","Catalog Record")</f>
        <v>Catalog Record</v>
      </c>
      <c r="AW1470" s="6" t="str">
        <f>HYPERLINK("http://www.worldcat.org/oclc/38056263","WorldCat Record")</f>
        <v>WorldCat Record</v>
      </c>
      <c r="AX1470" s="3" t="s">
        <v>14480</v>
      </c>
      <c r="AY1470" s="3" t="s">
        <v>14481</v>
      </c>
      <c r="AZ1470" s="3" t="s">
        <v>14482</v>
      </c>
      <c r="BA1470" s="3" t="s">
        <v>14482</v>
      </c>
      <c r="BB1470" s="3" t="s">
        <v>14483</v>
      </c>
      <c r="BC1470" s="3" t="s">
        <v>77</v>
      </c>
      <c r="BD1470" s="3" t="s">
        <v>78</v>
      </c>
      <c r="BE1470" s="3" t="s">
        <v>14484</v>
      </c>
      <c r="BF1470" s="3" t="s">
        <v>14483</v>
      </c>
      <c r="BG1470" s="3" t="s">
        <v>14485</v>
      </c>
    </row>
    <row r="1471" spans="1:59" ht="72.5" x14ac:dyDescent="0.35">
      <c r="A1471" s="2" t="s">
        <v>59</v>
      </c>
      <c r="B1471" s="2" t="s">
        <v>60</v>
      </c>
      <c r="C1471" s="2" t="s">
        <v>14486</v>
      </c>
      <c r="D1471" s="2" t="s">
        <v>14487</v>
      </c>
      <c r="E1471" s="2" t="s">
        <v>14488</v>
      </c>
      <c r="G1471" s="3" t="s">
        <v>65</v>
      </c>
      <c r="I1471" s="3" t="s">
        <v>65</v>
      </c>
      <c r="J1471" s="3" t="s">
        <v>65</v>
      </c>
      <c r="K1471" s="3" t="s">
        <v>66</v>
      </c>
      <c r="M1471" s="2" t="s">
        <v>14489</v>
      </c>
      <c r="N1471" s="3" t="s">
        <v>525</v>
      </c>
      <c r="P1471" s="3" t="s">
        <v>616</v>
      </c>
      <c r="Q1471" s="2" t="s">
        <v>14490</v>
      </c>
      <c r="R1471" s="3" t="s">
        <v>71</v>
      </c>
      <c r="S1471" s="4">
        <v>6</v>
      </c>
      <c r="T1471" s="4">
        <v>6</v>
      </c>
      <c r="U1471" s="5" t="s">
        <v>14491</v>
      </c>
      <c r="V1471" s="5" t="s">
        <v>14491</v>
      </c>
      <c r="W1471" s="5" t="s">
        <v>72</v>
      </c>
      <c r="X1471" s="5" t="s">
        <v>72</v>
      </c>
      <c r="Y1471" s="4">
        <v>140</v>
      </c>
      <c r="Z1471" s="4">
        <v>13</v>
      </c>
      <c r="AA1471" s="4">
        <v>17</v>
      </c>
      <c r="AB1471" s="4">
        <v>1</v>
      </c>
      <c r="AC1471" s="4">
        <v>4</v>
      </c>
      <c r="AD1471" s="4">
        <v>75</v>
      </c>
      <c r="AE1471" s="4">
        <v>79</v>
      </c>
      <c r="AF1471" s="4">
        <v>0</v>
      </c>
      <c r="AG1471" s="4">
        <v>3</v>
      </c>
      <c r="AH1471" s="4">
        <v>70</v>
      </c>
      <c r="AI1471" s="4">
        <v>72</v>
      </c>
      <c r="AJ1471" s="4">
        <v>11</v>
      </c>
      <c r="AK1471" s="4">
        <v>15</v>
      </c>
      <c r="AL1471" s="4">
        <v>44</v>
      </c>
      <c r="AM1471" s="4">
        <v>44</v>
      </c>
      <c r="AN1471" s="4">
        <v>0</v>
      </c>
      <c r="AO1471" s="4">
        <v>0</v>
      </c>
      <c r="AP1471" s="4">
        <v>11</v>
      </c>
      <c r="AQ1471" s="4">
        <v>14</v>
      </c>
      <c r="AR1471" s="3" t="s">
        <v>65</v>
      </c>
      <c r="AS1471" s="3" t="s">
        <v>65</v>
      </c>
      <c r="AT1471" s="3" t="s">
        <v>209</v>
      </c>
      <c r="AU1471" s="6" t="str">
        <f>HYPERLINK("http://catalog.hathitrust.org/Record/005272376","HathiTrust Record")</f>
        <v>HathiTrust Record</v>
      </c>
      <c r="AV1471" s="6" t="str">
        <f>HYPERLINK("http://mcgill.on.worldcat.org/oclc/56933344","Catalog Record")</f>
        <v>Catalog Record</v>
      </c>
      <c r="AW1471" s="6" t="str">
        <f>HYPERLINK("http://www.worldcat.org/oclc/56933344","WorldCat Record")</f>
        <v>WorldCat Record</v>
      </c>
      <c r="AX1471" s="3" t="s">
        <v>14492</v>
      </c>
      <c r="AY1471" s="3" t="s">
        <v>14493</v>
      </c>
      <c r="AZ1471" s="3" t="s">
        <v>14494</v>
      </c>
      <c r="BA1471" s="3" t="s">
        <v>14494</v>
      </c>
      <c r="BB1471" s="3" t="s">
        <v>14495</v>
      </c>
      <c r="BC1471" s="3" t="s">
        <v>77</v>
      </c>
      <c r="BD1471" s="3" t="s">
        <v>78</v>
      </c>
      <c r="BE1471" s="3" t="s">
        <v>14496</v>
      </c>
      <c r="BF1471" s="3" t="s">
        <v>14495</v>
      </c>
      <c r="BG1471" s="3" t="s">
        <v>14497</v>
      </c>
    </row>
    <row r="1472" spans="1:59" ht="174" x14ac:dyDescent="0.35">
      <c r="A1472" s="2" t="s">
        <v>59</v>
      </c>
      <c r="B1472" s="2" t="s">
        <v>60</v>
      </c>
      <c r="C1472" s="2" t="s">
        <v>14498</v>
      </c>
      <c r="D1472" s="2" t="s">
        <v>14499</v>
      </c>
      <c r="E1472" s="2" t="s">
        <v>14500</v>
      </c>
      <c r="G1472" s="3" t="s">
        <v>65</v>
      </c>
      <c r="I1472" s="3" t="s">
        <v>65</v>
      </c>
      <c r="J1472" s="3" t="s">
        <v>65</v>
      </c>
      <c r="K1472" s="3" t="s">
        <v>66</v>
      </c>
      <c r="L1472" s="2" t="s">
        <v>14501</v>
      </c>
      <c r="M1472" s="2" t="s">
        <v>14502</v>
      </c>
      <c r="N1472" s="3" t="s">
        <v>126</v>
      </c>
      <c r="P1472" s="3" t="s">
        <v>4819</v>
      </c>
      <c r="Q1472" s="2" t="s">
        <v>14503</v>
      </c>
      <c r="R1472" s="3" t="s">
        <v>71</v>
      </c>
      <c r="S1472" s="4">
        <v>0</v>
      </c>
      <c r="T1472" s="4">
        <v>0</v>
      </c>
      <c r="W1472" s="5" t="s">
        <v>72</v>
      </c>
      <c r="X1472" s="5" t="s">
        <v>72</v>
      </c>
      <c r="Y1472" s="4">
        <v>19</v>
      </c>
      <c r="Z1472" s="4">
        <v>1</v>
      </c>
      <c r="AA1472" s="4">
        <v>1</v>
      </c>
      <c r="AB1472" s="4">
        <v>1</v>
      </c>
      <c r="AC1472" s="4">
        <v>1</v>
      </c>
      <c r="AD1472" s="4">
        <v>11</v>
      </c>
      <c r="AE1472" s="4">
        <v>11</v>
      </c>
      <c r="AF1472" s="4">
        <v>0</v>
      </c>
      <c r="AG1472" s="4">
        <v>0</v>
      </c>
      <c r="AH1472" s="4">
        <v>11</v>
      </c>
      <c r="AI1472" s="4">
        <v>11</v>
      </c>
      <c r="AJ1472" s="4">
        <v>0</v>
      </c>
      <c r="AK1472" s="4">
        <v>0</v>
      </c>
      <c r="AL1472" s="4">
        <v>8</v>
      </c>
      <c r="AM1472" s="4">
        <v>8</v>
      </c>
      <c r="AN1472" s="4">
        <v>0</v>
      </c>
      <c r="AO1472" s="4">
        <v>0</v>
      </c>
      <c r="AP1472" s="4">
        <v>0</v>
      </c>
      <c r="AQ1472" s="4">
        <v>0</v>
      </c>
      <c r="AR1472" s="3" t="s">
        <v>65</v>
      </c>
      <c r="AS1472" s="3" t="s">
        <v>65</v>
      </c>
      <c r="AT1472" s="3" t="s">
        <v>65</v>
      </c>
      <c r="AV1472" s="6" t="str">
        <f>HYPERLINK("http://mcgill.on.worldcat.org/oclc/771946812","Catalog Record")</f>
        <v>Catalog Record</v>
      </c>
      <c r="AW1472" s="6" t="str">
        <f>HYPERLINK("http://www.worldcat.org/oclc/771946812","WorldCat Record")</f>
        <v>WorldCat Record</v>
      </c>
      <c r="AX1472" s="3" t="s">
        <v>14504</v>
      </c>
      <c r="AY1472" s="3" t="s">
        <v>14505</v>
      </c>
      <c r="AZ1472" s="3" t="s">
        <v>14506</v>
      </c>
      <c r="BA1472" s="3" t="s">
        <v>14506</v>
      </c>
      <c r="BB1472" s="3" t="s">
        <v>14507</v>
      </c>
      <c r="BC1472" s="3" t="s">
        <v>77</v>
      </c>
      <c r="BD1472" s="3" t="s">
        <v>78</v>
      </c>
      <c r="BE1472" s="3" t="s">
        <v>14508</v>
      </c>
      <c r="BF1472" s="3" t="s">
        <v>14507</v>
      </c>
      <c r="BG1472" s="3" t="s">
        <v>14509</v>
      </c>
    </row>
    <row r="1473" spans="1:59" ht="58" x14ac:dyDescent="0.35">
      <c r="A1473" s="2" t="s">
        <v>59</v>
      </c>
      <c r="B1473" s="2" t="s">
        <v>60</v>
      </c>
      <c r="C1473" s="2" t="s">
        <v>14510</v>
      </c>
      <c r="D1473" s="2" t="s">
        <v>14511</v>
      </c>
      <c r="E1473" s="2" t="s">
        <v>14512</v>
      </c>
      <c r="G1473" s="3" t="s">
        <v>65</v>
      </c>
      <c r="I1473" s="3" t="s">
        <v>65</v>
      </c>
      <c r="J1473" s="3" t="s">
        <v>65</v>
      </c>
      <c r="K1473" s="3" t="s">
        <v>66</v>
      </c>
      <c r="L1473" s="2" t="s">
        <v>1586</v>
      </c>
      <c r="M1473" s="2" t="s">
        <v>14513</v>
      </c>
      <c r="N1473" s="3" t="s">
        <v>113</v>
      </c>
      <c r="P1473" s="3" t="s">
        <v>69</v>
      </c>
      <c r="Q1473" s="2" t="s">
        <v>14514</v>
      </c>
      <c r="R1473" s="3" t="s">
        <v>71</v>
      </c>
      <c r="S1473" s="4">
        <v>0</v>
      </c>
      <c r="T1473" s="4">
        <v>0</v>
      </c>
      <c r="W1473" s="5" t="s">
        <v>72</v>
      </c>
      <c r="X1473" s="5" t="s">
        <v>72</v>
      </c>
      <c r="Y1473" s="4">
        <v>73</v>
      </c>
      <c r="Z1473" s="4">
        <v>12</v>
      </c>
      <c r="AA1473" s="4">
        <v>82</v>
      </c>
      <c r="AB1473" s="4">
        <v>1</v>
      </c>
      <c r="AC1473" s="4">
        <v>14</v>
      </c>
      <c r="AD1473" s="4">
        <v>45</v>
      </c>
      <c r="AE1473" s="4">
        <v>116</v>
      </c>
      <c r="AF1473" s="4">
        <v>0</v>
      </c>
      <c r="AG1473" s="4">
        <v>8</v>
      </c>
      <c r="AH1473" s="4">
        <v>38</v>
      </c>
      <c r="AI1473" s="4">
        <v>77</v>
      </c>
      <c r="AJ1473" s="4">
        <v>10</v>
      </c>
      <c r="AK1473" s="4">
        <v>23</v>
      </c>
      <c r="AL1473" s="4">
        <v>26</v>
      </c>
      <c r="AM1473" s="4">
        <v>43</v>
      </c>
      <c r="AN1473" s="4">
        <v>0</v>
      </c>
      <c r="AO1473" s="4">
        <v>0</v>
      </c>
      <c r="AP1473" s="4">
        <v>10</v>
      </c>
      <c r="AQ1473" s="4">
        <v>44</v>
      </c>
      <c r="AR1473" s="3" t="s">
        <v>65</v>
      </c>
      <c r="AS1473" s="3" t="s">
        <v>65</v>
      </c>
      <c r="AT1473" s="3" t="s">
        <v>65</v>
      </c>
      <c r="AV1473" s="6" t="str">
        <f>HYPERLINK("http://mcgill.on.worldcat.org/oclc/674941498","Catalog Record")</f>
        <v>Catalog Record</v>
      </c>
      <c r="AW1473" s="6" t="str">
        <f>HYPERLINK("http://www.worldcat.org/oclc/674941498","WorldCat Record")</f>
        <v>WorldCat Record</v>
      </c>
      <c r="AX1473" s="3" t="s">
        <v>14515</v>
      </c>
      <c r="AY1473" s="3" t="s">
        <v>14516</v>
      </c>
      <c r="AZ1473" s="3" t="s">
        <v>14517</v>
      </c>
      <c r="BA1473" s="3" t="s">
        <v>14517</v>
      </c>
      <c r="BB1473" s="3" t="s">
        <v>14518</v>
      </c>
      <c r="BC1473" s="3" t="s">
        <v>77</v>
      </c>
      <c r="BD1473" s="3" t="s">
        <v>78</v>
      </c>
      <c r="BE1473" s="3" t="s">
        <v>14519</v>
      </c>
      <c r="BF1473" s="3" t="s">
        <v>14518</v>
      </c>
      <c r="BG1473" s="3" t="s">
        <v>14520</v>
      </c>
    </row>
    <row r="1474" spans="1:59" ht="58" x14ac:dyDescent="0.35">
      <c r="A1474" s="2" t="s">
        <v>59</v>
      </c>
      <c r="B1474" s="2" t="s">
        <v>60</v>
      </c>
      <c r="C1474" s="2" t="s">
        <v>14521</v>
      </c>
      <c r="D1474" s="2" t="s">
        <v>14522</v>
      </c>
      <c r="E1474" s="2" t="s">
        <v>14523</v>
      </c>
      <c r="G1474" s="3" t="s">
        <v>65</v>
      </c>
      <c r="I1474" s="3" t="s">
        <v>65</v>
      </c>
      <c r="J1474" s="3" t="s">
        <v>65</v>
      </c>
      <c r="K1474" s="3" t="s">
        <v>66</v>
      </c>
      <c r="L1474" s="2" t="s">
        <v>14524</v>
      </c>
      <c r="M1474" s="2" t="s">
        <v>14525</v>
      </c>
      <c r="N1474" s="3" t="s">
        <v>2460</v>
      </c>
      <c r="P1474" s="3" t="s">
        <v>69</v>
      </c>
      <c r="Q1474" s="2" t="s">
        <v>14526</v>
      </c>
      <c r="R1474" s="3" t="s">
        <v>71</v>
      </c>
      <c r="S1474" s="4">
        <v>6</v>
      </c>
      <c r="T1474" s="4">
        <v>6</v>
      </c>
      <c r="U1474" s="5" t="s">
        <v>14527</v>
      </c>
      <c r="V1474" s="5" t="s">
        <v>14527</v>
      </c>
      <c r="W1474" s="5" t="s">
        <v>72</v>
      </c>
      <c r="X1474" s="5" t="s">
        <v>72</v>
      </c>
      <c r="Y1474" s="4">
        <v>4</v>
      </c>
      <c r="Z1474" s="4">
        <v>4</v>
      </c>
      <c r="AA1474" s="4">
        <v>6</v>
      </c>
      <c r="AB1474" s="4">
        <v>1</v>
      </c>
      <c r="AC1474" s="4">
        <v>1</v>
      </c>
      <c r="AD1474" s="4">
        <v>2</v>
      </c>
      <c r="AE1474" s="4">
        <v>23</v>
      </c>
      <c r="AF1474" s="4">
        <v>0</v>
      </c>
      <c r="AG1474" s="4">
        <v>0</v>
      </c>
      <c r="AH1474" s="4">
        <v>2</v>
      </c>
      <c r="AI1474" s="4">
        <v>22</v>
      </c>
      <c r="AJ1474" s="4">
        <v>2</v>
      </c>
      <c r="AK1474" s="4">
        <v>3</v>
      </c>
      <c r="AL1474" s="4">
        <v>1</v>
      </c>
      <c r="AM1474" s="4">
        <v>19</v>
      </c>
      <c r="AN1474" s="4">
        <v>0</v>
      </c>
      <c r="AO1474" s="4">
        <v>0</v>
      </c>
      <c r="AP1474" s="4">
        <v>2</v>
      </c>
      <c r="AQ1474" s="4">
        <v>3</v>
      </c>
      <c r="AR1474" s="3" t="s">
        <v>65</v>
      </c>
      <c r="AS1474" s="3" t="s">
        <v>65</v>
      </c>
      <c r="AT1474" s="3" t="s">
        <v>65</v>
      </c>
      <c r="AV1474" s="6" t="str">
        <f>HYPERLINK("http://mcgill.on.worldcat.org/oclc/427941120","Catalog Record")</f>
        <v>Catalog Record</v>
      </c>
      <c r="AW1474" s="6" t="str">
        <f>HYPERLINK("http://www.worldcat.org/oclc/427941120","WorldCat Record")</f>
        <v>WorldCat Record</v>
      </c>
      <c r="AX1474" s="3" t="s">
        <v>14528</v>
      </c>
      <c r="AY1474" s="3" t="s">
        <v>14529</v>
      </c>
      <c r="AZ1474" s="3" t="s">
        <v>14530</v>
      </c>
      <c r="BA1474" s="3" t="s">
        <v>14530</v>
      </c>
      <c r="BB1474" s="3" t="s">
        <v>14531</v>
      </c>
      <c r="BC1474" s="3" t="s">
        <v>77</v>
      </c>
      <c r="BD1474" s="3" t="s">
        <v>78</v>
      </c>
      <c r="BF1474" s="3" t="s">
        <v>14531</v>
      </c>
      <c r="BG1474" s="3" t="s">
        <v>14532</v>
      </c>
    </row>
    <row r="1475" spans="1:59" ht="58" x14ac:dyDescent="0.35">
      <c r="A1475" s="2" t="s">
        <v>59</v>
      </c>
      <c r="B1475" s="2" t="s">
        <v>60</v>
      </c>
      <c r="C1475" s="2" t="s">
        <v>14533</v>
      </c>
      <c r="D1475" s="2" t="s">
        <v>14534</v>
      </c>
      <c r="E1475" s="2" t="s">
        <v>14535</v>
      </c>
      <c r="G1475" s="3" t="s">
        <v>65</v>
      </c>
      <c r="I1475" s="3" t="s">
        <v>65</v>
      </c>
      <c r="J1475" s="3" t="s">
        <v>65</v>
      </c>
      <c r="K1475" s="3" t="s">
        <v>66</v>
      </c>
      <c r="L1475" s="2" t="s">
        <v>14536</v>
      </c>
      <c r="M1475" s="2" t="s">
        <v>14537</v>
      </c>
      <c r="N1475" s="3" t="s">
        <v>615</v>
      </c>
      <c r="P1475" s="3" t="s">
        <v>69</v>
      </c>
      <c r="Q1475" s="2" t="s">
        <v>11142</v>
      </c>
      <c r="R1475" s="3" t="s">
        <v>71</v>
      </c>
      <c r="S1475" s="4">
        <v>15</v>
      </c>
      <c r="T1475" s="4">
        <v>15</v>
      </c>
      <c r="U1475" s="5" t="s">
        <v>4007</v>
      </c>
      <c r="V1475" s="5" t="s">
        <v>4007</v>
      </c>
      <c r="W1475" s="5" t="s">
        <v>72</v>
      </c>
      <c r="X1475" s="5" t="s">
        <v>72</v>
      </c>
      <c r="Y1475" s="4">
        <v>656</v>
      </c>
      <c r="Z1475" s="4">
        <v>36</v>
      </c>
      <c r="AA1475" s="4">
        <v>38</v>
      </c>
      <c r="AB1475" s="4">
        <v>3</v>
      </c>
      <c r="AC1475" s="4">
        <v>3</v>
      </c>
      <c r="AD1475" s="4">
        <v>115</v>
      </c>
      <c r="AE1475" s="4">
        <v>117</v>
      </c>
      <c r="AF1475" s="4">
        <v>1</v>
      </c>
      <c r="AG1475" s="4">
        <v>1</v>
      </c>
      <c r="AH1475" s="4">
        <v>101</v>
      </c>
      <c r="AI1475" s="4">
        <v>101</v>
      </c>
      <c r="AJ1475" s="4">
        <v>17</v>
      </c>
      <c r="AK1475" s="4">
        <v>18</v>
      </c>
      <c r="AL1475" s="4">
        <v>53</v>
      </c>
      <c r="AM1475" s="4">
        <v>53</v>
      </c>
      <c r="AN1475" s="4">
        <v>0</v>
      </c>
      <c r="AO1475" s="4">
        <v>0</v>
      </c>
      <c r="AP1475" s="4">
        <v>20</v>
      </c>
      <c r="AQ1475" s="4">
        <v>22</v>
      </c>
      <c r="AR1475" s="3" t="s">
        <v>65</v>
      </c>
      <c r="AS1475" s="3" t="s">
        <v>65</v>
      </c>
      <c r="AT1475" s="3" t="s">
        <v>65</v>
      </c>
      <c r="AV1475" s="6" t="str">
        <f>HYPERLINK("http://mcgill.on.worldcat.org/oclc/10533251","Catalog Record")</f>
        <v>Catalog Record</v>
      </c>
      <c r="AW1475" s="6" t="str">
        <f>HYPERLINK("http://www.worldcat.org/oclc/10533251","WorldCat Record")</f>
        <v>WorldCat Record</v>
      </c>
      <c r="AX1475" s="3" t="s">
        <v>14538</v>
      </c>
      <c r="AY1475" s="3" t="s">
        <v>14539</v>
      </c>
      <c r="AZ1475" s="3" t="s">
        <v>14540</v>
      </c>
      <c r="BA1475" s="3" t="s">
        <v>14540</v>
      </c>
      <c r="BB1475" s="3" t="s">
        <v>14541</v>
      </c>
      <c r="BC1475" s="3" t="s">
        <v>77</v>
      </c>
      <c r="BD1475" s="3" t="s">
        <v>78</v>
      </c>
      <c r="BE1475" s="3" t="s">
        <v>14542</v>
      </c>
      <c r="BF1475" s="3" t="s">
        <v>14541</v>
      </c>
      <c r="BG1475" s="3" t="s">
        <v>14543</v>
      </c>
    </row>
    <row r="1476" spans="1:59" ht="58" x14ac:dyDescent="0.35">
      <c r="A1476" s="2" t="s">
        <v>59</v>
      </c>
      <c r="B1476" s="2" t="s">
        <v>60</v>
      </c>
      <c r="C1476" s="2" t="s">
        <v>14544</v>
      </c>
      <c r="D1476" s="2" t="s">
        <v>14545</v>
      </c>
      <c r="E1476" s="2" t="s">
        <v>14546</v>
      </c>
      <c r="G1476" s="3" t="s">
        <v>65</v>
      </c>
      <c r="I1476" s="3" t="s">
        <v>65</v>
      </c>
      <c r="J1476" s="3" t="s">
        <v>65</v>
      </c>
      <c r="K1476" s="3" t="s">
        <v>66</v>
      </c>
      <c r="L1476" s="2" t="s">
        <v>11271</v>
      </c>
      <c r="M1476" s="2" t="s">
        <v>14547</v>
      </c>
      <c r="N1476" s="3" t="s">
        <v>247</v>
      </c>
      <c r="P1476" s="3" t="s">
        <v>69</v>
      </c>
      <c r="Q1476" s="2" t="s">
        <v>14548</v>
      </c>
      <c r="R1476" s="3" t="s">
        <v>71</v>
      </c>
      <c r="S1476" s="4">
        <v>27</v>
      </c>
      <c r="T1476" s="4">
        <v>27</v>
      </c>
      <c r="U1476" s="5" t="s">
        <v>14178</v>
      </c>
      <c r="V1476" s="5" t="s">
        <v>14178</v>
      </c>
      <c r="W1476" s="5" t="s">
        <v>72</v>
      </c>
      <c r="X1476" s="5" t="s">
        <v>72</v>
      </c>
      <c r="Y1476" s="4">
        <v>360</v>
      </c>
      <c r="Z1476" s="4">
        <v>24</v>
      </c>
      <c r="AA1476" s="4">
        <v>32</v>
      </c>
      <c r="AB1476" s="4">
        <v>1</v>
      </c>
      <c r="AC1476" s="4">
        <v>3</v>
      </c>
      <c r="AD1476" s="4">
        <v>105</v>
      </c>
      <c r="AE1476" s="4">
        <v>111</v>
      </c>
      <c r="AF1476" s="4">
        <v>0</v>
      </c>
      <c r="AG1476" s="4">
        <v>0</v>
      </c>
      <c r="AH1476" s="4">
        <v>96</v>
      </c>
      <c r="AI1476" s="4">
        <v>98</v>
      </c>
      <c r="AJ1476" s="4">
        <v>15</v>
      </c>
      <c r="AK1476" s="4">
        <v>16</v>
      </c>
      <c r="AL1476" s="4">
        <v>53</v>
      </c>
      <c r="AM1476" s="4">
        <v>53</v>
      </c>
      <c r="AN1476" s="4">
        <v>0</v>
      </c>
      <c r="AO1476" s="4">
        <v>0</v>
      </c>
      <c r="AP1476" s="4">
        <v>16</v>
      </c>
      <c r="AQ1476" s="4">
        <v>21</v>
      </c>
      <c r="AR1476" s="3" t="s">
        <v>65</v>
      </c>
      <c r="AS1476" s="3" t="s">
        <v>65</v>
      </c>
      <c r="AT1476" s="3" t="s">
        <v>209</v>
      </c>
      <c r="AU1476" s="6" t="str">
        <f>HYPERLINK("http://catalog.hathitrust.org/Record/002799758","HathiTrust Record")</f>
        <v>HathiTrust Record</v>
      </c>
      <c r="AV1476" s="6" t="str">
        <f>HYPERLINK("http://mcgill.on.worldcat.org/oclc/28067117","Catalog Record")</f>
        <v>Catalog Record</v>
      </c>
      <c r="AW1476" s="6" t="str">
        <f>HYPERLINK("http://www.worldcat.org/oclc/28067117","WorldCat Record")</f>
        <v>WorldCat Record</v>
      </c>
      <c r="AX1476" s="3" t="s">
        <v>14549</v>
      </c>
      <c r="AY1476" s="3" t="s">
        <v>14550</v>
      </c>
      <c r="AZ1476" s="3" t="s">
        <v>14551</v>
      </c>
      <c r="BA1476" s="3" t="s">
        <v>14551</v>
      </c>
      <c r="BB1476" s="3" t="s">
        <v>14552</v>
      </c>
      <c r="BC1476" s="3" t="s">
        <v>77</v>
      </c>
      <c r="BD1476" s="3" t="s">
        <v>78</v>
      </c>
      <c r="BE1476" s="3" t="s">
        <v>14553</v>
      </c>
      <c r="BF1476" s="3" t="s">
        <v>14552</v>
      </c>
      <c r="BG1476" s="3" t="s">
        <v>14554</v>
      </c>
    </row>
    <row r="1477" spans="1:59" ht="58" x14ac:dyDescent="0.35">
      <c r="A1477" s="2" t="s">
        <v>59</v>
      </c>
      <c r="B1477" s="2" t="s">
        <v>60</v>
      </c>
      <c r="C1477" s="2" t="s">
        <v>14555</v>
      </c>
      <c r="D1477" s="2" t="s">
        <v>14556</v>
      </c>
      <c r="E1477" s="2" t="s">
        <v>14557</v>
      </c>
      <c r="G1477" s="3" t="s">
        <v>65</v>
      </c>
      <c r="I1477" s="3" t="s">
        <v>65</v>
      </c>
      <c r="J1477" s="3" t="s">
        <v>65</v>
      </c>
      <c r="K1477" s="3" t="s">
        <v>66</v>
      </c>
      <c r="M1477" s="2" t="s">
        <v>14558</v>
      </c>
      <c r="N1477" s="3" t="s">
        <v>552</v>
      </c>
      <c r="O1477" s="2" t="s">
        <v>654</v>
      </c>
      <c r="P1477" s="3" t="s">
        <v>140</v>
      </c>
      <c r="Q1477" s="2" t="s">
        <v>14559</v>
      </c>
      <c r="R1477" s="3" t="s">
        <v>71</v>
      </c>
      <c r="S1477" s="4">
        <v>3</v>
      </c>
      <c r="T1477" s="4">
        <v>3</v>
      </c>
      <c r="U1477" s="5" t="s">
        <v>14379</v>
      </c>
      <c r="V1477" s="5" t="s">
        <v>14379</v>
      </c>
      <c r="W1477" s="5" t="s">
        <v>72</v>
      </c>
      <c r="X1477" s="5" t="s">
        <v>72</v>
      </c>
      <c r="Y1477" s="4">
        <v>84</v>
      </c>
      <c r="Z1477" s="4">
        <v>8</v>
      </c>
      <c r="AA1477" s="4">
        <v>8</v>
      </c>
      <c r="AB1477" s="4">
        <v>1</v>
      </c>
      <c r="AC1477" s="4">
        <v>1</v>
      </c>
      <c r="AD1477" s="4">
        <v>41</v>
      </c>
      <c r="AE1477" s="4">
        <v>41</v>
      </c>
      <c r="AF1477" s="4">
        <v>0</v>
      </c>
      <c r="AG1477" s="4">
        <v>0</v>
      </c>
      <c r="AH1477" s="4">
        <v>38</v>
      </c>
      <c r="AI1477" s="4">
        <v>38</v>
      </c>
      <c r="AJ1477" s="4">
        <v>5</v>
      </c>
      <c r="AK1477" s="4">
        <v>5</v>
      </c>
      <c r="AL1477" s="4">
        <v>31</v>
      </c>
      <c r="AM1477" s="4">
        <v>31</v>
      </c>
      <c r="AN1477" s="4">
        <v>0</v>
      </c>
      <c r="AO1477" s="4">
        <v>0</v>
      </c>
      <c r="AP1477" s="4">
        <v>5</v>
      </c>
      <c r="AQ1477" s="4">
        <v>5</v>
      </c>
      <c r="AR1477" s="3" t="s">
        <v>65</v>
      </c>
      <c r="AS1477" s="3" t="s">
        <v>65</v>
      </c>
      <c r="AT1477" s="3" t="s">
        <v>209</v>
      </c>
      <c r="AU1477" s="6" t="str">
        <f>HYPERLINK("http://catalog.hathitrust.org/Record/003290398","HathiTrust Record")</f>
        <v>HathiTrust Record</v>
      </c>
      <c r="AV1477" s="6" t="str">
        <f>HYPERLINK("http://mcgill.on.worldcat.org/oclc/37974779","Catalog Record")</f>
        <v>Catalog Record</v>
      </c>
      <c r="AW1477" s="6" t="str">
        <f>HYPERLINK("http://www.worldcat.org/oclc/37974779","WorldCat Record")</f>
        <v>WorldCat Record</v>
      </c>
      <c r="AX1477" s="3" t="s">
        <v>14560</v>
      </c>
      <c r="AY1477" s="3" t="s">
        <v>14561</v>
      </c>
      <c r="AZ1477" s="3" t="s">
        <v>14562</v>
      </c>
      <c r="BA1477" s="3" t="s">
        <v>14562</v>
      </c>
      <c r="BB1477" s="3" t="s">
        <v>14563</v>
      </c>
      <c r="BC1477" s="3" t="s">
        <v>77</v>
      </c>
      <c r="BD1477" s="3" t="s">
        <v>78</v>
      </c>
      <c r="BE1477" s="3" t="s">
        <v>14564</v>
      </c>
      <c r="BF1477" s="3" t="s">
        <v>14563</v>
      </c>
      <c r="BG1477" s="3" t="s">
        <v>14565</v>
      </c>
    </row>
    <row r="1478" spans="1:59" ht="58" x14ac:dyDescent="0.35">
      <c r="A1478" s="2" t="s">
        <v>59</v>
      </c>
      <c r="B1478" s="2" t="s">
        <v>60</v>
      </c>
      <c r="C1478" s="2" t="s">
        <v>14566</v>
      </c>
      <c r="D1478" s="2" t="s">
        <v>14567</v>
      </c>
      <c r="E1478" s="2" t="s">
        <v>14568</v>
      </c>
      <c r="G1478" s="3" t="s">
        <v>65</v>
      </c>
      <c r="I1478" s="3" t="s">
        <v>65</v>
      </c>
      <c r="J1478" s="3" t="s">
        <v>65</v>
      </c>
      <c r="K1478" s="3" t="s">
        <v>66</v>
      </c>
      <c r="M1478" s="2" t="s">
        <v>14569</v>
      </c>
      <c r="N1478" s="3" t="s">
        <v>1122</v>
      </c>
      <c r="P1478" s="3" t="s">
        <v>69</v>
      </c>
      <c r="R1478" s="3" t="s">
        <v>71</v>
      </c>
      <c r="S1478" s="4">
        <v>4</v>
      </c>
      <c r="T1478" s="4">
        <v>4</v>
      </c>
      <c r="U1478" s="5" t="s">
        <v>4007</v>
      </c>
      <c r="V1478" s="5" t="s">
        <v>4007</v>
      </c>
      <c r="W1478" s="5" t="s">
        <v>72</v>
      </c>
      <c r="X1478" s="5" t="s">
        <v>72</v>
      </c>
      <c r="Y1478" s="4">
        <v>442</v>
      </c>
      <c r="Z1478" s="4">
        <v>29</v>
      </c>
      <c r="AA1478" s="4">
        <v>115</v>
      </c>
      <c r="AB1478" s="4">
        <v>3</v>
      </c>
      <c r="AC1478" s="4">
        <v>20</v>
      </c>
      <c r="AD1478" s="4">
        <v>98</v>
      </c>
      <c r="AE1478" s="4">
        <v>149</v>
      </c>
      <c r="AF1478" s="4">
        <v>0</v>
      </c>
      <c r="AG1478" s="4">
        <v>8</v>
      </c>
      <c r="AH1478" s="4">
        <v>86</v>
      </c>
      <c r="AI1478" s="4">
        <v>109</v>
      </c>
      <c r="AJ1478" s="4">
        <v>13</v>
      </c>
      <c r="AK1478" s="4">
        <v>23</v>
      </c>
      <c r="AL1478" s="4">
        <v>54</v>
      </c>
      <c r="AM1478" s="4">
        <v>60</v>
      </c>
      <c r="AN1478" s="4">
        <v>0</v>
      </c>
      <c r="AO1478" s="4">
        <v>0</v>
      </c>
      <c r="AP1478" s="4">
        <v>17</v>
      </c>
      <c r="AQ1478" s="4">
        <v>47</v>
      </c>
      <c r="AR1478" s="3" t="s">
        <v>65</v>
      </c>
      <c r="AS1478" s="3" t="s">
        <v>65</v>
      </c>
      <c r="AT1478" s="3" t="s">
        <v>65</v>
      </c>
      <c r="AV1478" s="6" t="str">
        <f>HYPERLINK("http://mcgill.on.worldcat.org/oclc/262429412","Catalog Record")</f>
        <v>Catalog Record</v>
      </c>
      <c r="AW1478" s="6" t="str">
        <f>HYPERLINK("http://www.worldcat.org/oclc/262429412","WorldCat Record")</f>
        <v>WorldCat Record</v>
      </c>
      <c r="AX1478" s="3" t="s">
        <v>14570</v>
      </c>
      <c r="AY1478" s="3" t="s">
        <v>14571</v>
      </c>
      <c r="AZ1478" s="3" t="s">
        <v>14572</v>
      </c>
      <c r="BA1478" s="3" t="s">
        <v>14572</v>
      </c>
      <c r="BB1478" s="3" t="s">
        <v>14573</v>
      </c>
      <c r="BC1478" s="3" t="s">
        <v>77</v>
      </c>
      <c r="BD1478" s="3" t="s">
        <v>78</v>
      </c>
      <c r="BE1478" s="3" t="s">
        <v>14574</v>
      </c>
      <c r="BF1478" s="3" t="s">
        <v>14573</v>
      </c>
      <c r="BG1478" s="3" t="s">
        <v>14575</v>
      </c>
    </row>
    <row r="1479" spans="1:59" ht="58" x14ac:dyDescent="0.35">
      <c r="A1479" s="2" t="s">
        <v>59</v>
      </c>
      <c r="B1479" s="2" t="s">
        <v>60</v>
      </c>
      <c r="C1479" s="2" t="s">
        <v>14576</v>
      </c>
      <c r="D1479" s="2" t="s">
        <v>14577</v>
      </c>
      <c r="E1479" s="2" t="s">
        <v>14578</v>
      </c>
      <c r="G1479" s="3" t="s">
        <v>65</v>
      </c>
      <c r="I1479" s="3" t="s">
        <v>65</v>
      </c>
      <c r="J1479" s="3" t="s">
        <v>65</v>
      </c>
      <c r="K1479" s="3" t="s">
        <v>66</v>
      </c>
      <c r="L1479" s="2" t="s">
        <v>14579</v>
      </c>
      <c r="M1479" s="2" t="s">
        <v>14580</v>
      </c>
      <c r="N1479" s="3" t="s">
        <v>906</v>
      </c>
      <c r="P1479" s="3" t="s">
        <v>69</v>
      </c>
      <c r="R1479" s="3" t="s">
        <v>71</v>
      </c>
      <c r="S1479" s="4">
        <v>23</v>
      </c>
      <c r="T1479" s="4">
        <v>23</v>
      </c>
      <c r="U1479" s="5" t="s">
        <v>14581</v>
      </c>
      <c r="V1479" s="5" t="s">
        <v>14581</v>
      </c>
      <c r="W1479" s="5" t="s">
        <v>72</v>
      </c>
      <c r="X1479" s="5" t="s">
        <v>72</v>
      </c>
      <c r="Y1479" s="4">
        <v>682</v>
      </c>
      <c r="Z1479" s="4">
        <v>41</v>
      </c>
      <c r="AA1479" s="4">
        <v>54</v>
      </c>
      <c r="AB1479" s="4">
        <v>2</v>
      </c>
      <c r="AC1479" s="4">
        <v>6</v>
      </c>
      <c r="AD1479" s="4">
        <v>133</v>
      </c>
      <c r="AE1479" s="4">
        <v>141</v>
      </c>
      <c r="AF1479" s="4">
        <v>1</v>
      </c>
      <c r="AG1479" s="4">
        <v>3</v>
      </c>
      <c r="AH1479" s="4">
        <v>110</v>
      </c>
      <c r="AI1479" s="4">
        <v>112</v>
      </c>
      <c r="AJ1479" s="4">
        <v>23</v>
      </c>
      <c r="AK1479" s="4">
        <v>25</v>
      </c>
      <c r="AL1479" s="4">
        <v>59</v>
      </c>
      <c r="AM1479" s="4">
        <v>60</v>
      </c>
      <c r="AN1479" s="4">
        <v>0</v>
      </c>
      <c r="AO1479" s="4">
        <v>0</v>
      </c>
      <c r="AP1479" s="4">
        <v>30</v>
      </c>
      <c r="AQ1479" s="4">
        <v>36</v>
      </c>
      <c r="AR1479" s="3" t="s">
        <v>65</v>
      </c>
      <c r="AS1479" s="3" t="s">
        <v>65</v>
      </c>
      <c r="AT1479" s="3" t="s">
        <v>65</v>
      </c>
      <c r="AV1479" s="6" t="str">
        <f>HYPERLINK("http://mcgill.on.worldcat.org/oclc/5100825","Catalog Record")</f>
        <v>Catalog Record</v>
      </c>
      <c r="AW1479" s="6" t="str">
        <f>HYPERLINK("http://www.worldcat.org/oclc/5100825","WorldCat Record")</f>
        <v>WorldCat Record</v>
      </c>
      <c r="AX1479" s="3" t="s">
        <v>14582</v>
      </c>
      <c r="AY1479" s="3" t="s">
        <v>14583</v>
      </c>
      <c r="AZ1479" s="3" t="s">
        <v>14584</v>
      </c>
      <c r="BA1479" s="3" t="s">
        <v>14584</v>
      </c>
      <c r="BB1479" s="3" t="s">
        <v>14585</v>
      </c>
      <c r="BC1479" s="3" t="s">
        <v>77</v>
      </c>
      <c r="BD1479" s="3" t="s">
        <v>78</v>
      </c>
      <c r="BE1479" s="3" t="s">
        <v>14586</v>
      </c>
      <c r="BF1479" s="3" t="s">
        <v>14585</v>
      </c>
      <c r="BG1479" s="3" t="s">
        <v>14587</v>
      </c>
    </row>
    <row r="1480" spans="1:59" ht="58" x14ac:dyDescent="0.35">
      <c r="A1480" s="2" t="s">
        <v>59</v>
      </c>
      <c r="B1480" s="2" t="s">
        <v>60</v>
      </c>
      <c r="C1480" s="2" t="s">
        <v>14588</v>
      </c>
      <c r="D1480" s="2" t="s">
        <v>14589</v>
      </c>
      <c r="E1480" s="2" t="s">
        <v>14590</v>
      </c>
      <c r="G1480" s="3" t="s">
        <v>65</v>
      </c>
      <c r="I1480" s="3" t="s">
        <v>65</v>
      </c>
      <c r="J1480" s="3" t="s">
        <v>65</v>
      </c>
      <c r="K1480" s="3" t="s">
        <v>66</v>
      </c>
      <c r="L1480" s="2" t="s">
        <v>14591</v>
      </c>
      <c r="M1480" s="2" t="s">
        <v>14592</v>
      </c>
      <c r="N1480" s="3" t="s">
        <v>113</v>
      </c>
      <c r="P1480" s="3" t="s">
        <v>69</v>
      </c>
      <c r="R1480" s="3" t="s">
        <v>71</v>
      </c>
      <c r="S1480" s="4">
        <v>2</v>
      </c>
      <c r="T1480" s="4">
        <v>2</v>
      </c>
      <c r="U1480" s="5" t="s">
        <v>14178</v>
      </c>
      <c r="V1480" s="5" t="s">
        <v>14178</v>
      </c>
      <c r="W1480" s="5" t="s">
        <v>72</v>
      </c>
      <c r="X1480" s="5" t="s">
        <v>72</v>
      </c>
      <c r="Y1480" s="4">
        <v>175</v>
      </c>
      <c r="Z1480" s="4">
        <v>18</v>
      </c>
      <c r="AA1480" s="4">
        <v>83</v>
      </c>
      <c r="AB1480" s="4">
        <v>1</v>
      </c>
      <c r="AC1480" s="4">
        <v>14</v>
      </c>
      <c r="AD1480" s="4">
        <v>84</v>
      </c>
      <c r="AE1480" s="4">
        <v>133</v>
      </c>
      <c r="AF1480" s="4">
        <v>0</v>
      </c>
      <c r="AG1480" s="4">
        <v>8</v>
      </c>
      <c r="AH1480" s="4">
        <v>75</v>
      </c>
      <c r="AI1480" s="4">
        <v>97</v>
      </c>
      <c r="AJ1480" s="4">
        <v>12</v>
      </c>
      <c r="AK1480" s="4">
        <v>24</v>
      </c>
      <c r="AL1480" s="4">
        <v>50</v>
      </c>
      <c r="AM1480" s="4">
        <v>57</v>
      </c>
      <c r="AN1480" s="4">
        <v>0</v>
      </c>
      <c r="AO1480" s="4">
        <v>0</v>
      </c>
      <c r="AP1480" s="4">
        <v>14</v>
      </c>
      <c r="AQ1480" s="4">
        <v>44</v>
      </c>
      <c r="AR1480" s="3" t="s">
        <v>65</v>
      </c>
      <c r="AS1480" s="3" t="s">
        <v>65</v>
      </c>
      <c r="AT1480" s="3" t="s">
        <v>65</v>
      </c>
      <c r="AV1480" s="6" t="str">
        <f>HYPERLINK("http://mcgill.on.worldcat.org/oclc/441946005","Catalog Record")</f>
        <v>Catalog Record</v>
      </c>
      <c r="AW1480" s="6" t="str">
        <f>HYPERLINK("http://www.worldcat.org/oclc/441946005","WorldCat Record")</f>
        <v>WorldCat Record</v>
      </c>
      <c r="AX1480" s="3" t="s">
        <v>14593</v>
      </c>
      <c r="AY1480" s="3" t="s">
        <v>14594</v>
      </c>
      <c r="AZ1480" s="3" t="s">
        <v>14595</v>
      </c>
      <c r="BA1480" s="3" t="s">
        <v>14595</v>
      </c>
      <c r="BB1480" s="3" t="s">
        <v>14596</v>
      </c>
      <c r="BC1480" s="3" t="s">
        <v>77</v>
      </c>
      <c r="BD1480" s="3" t="s">
        <v>78</v>
      </c>
      <c r="BE1480" s="3" t="s">
        <v>14597</v>
      </c>
      <c r="BF1480" s="3" t="s">
        <v>14596</v>
      </c>
      <c r="BG1480" s="3" t="s">
        <v>14598</v>
      </c>
    </row>
    <row r="1481" spans="1:59" ht="58" x14ac:dyDescent="0.35">
      <c r="A1481" s="2" t="s">
        <v>59</v>
      </c>
      <c r="B1481" s="2" t="s">
        <v>60</v>
      </c>
      <c r="C1481" s="2" t="s">
        <v>14599</v>
      </c>
      <c r="D1481" s="2" t="s">
        <v>14600</v>
      </c>
      <c r="E1481" s="2" t="s">
        <v>14601</v>
      </c>
      <c r="G1481" s="3" t="s">
        <v>65</v>
      </c>
      <c r="I1481" s="3" t="s">
        <v>65</v>
      </c>
      <c r="J1481" s="3" t="s">
        <v>65</v>
      </c>
      <c r="K1481" s="3" t="s">
        <v>66</v>
      </c>
      <c r="L1481" s="2" t="s">
        <v>14602</v>
      </c>
      <c r="M1481" s="2" t="s">
        <v>14603</v>
      </c>
      <c r="N1481" s="3" t="s">
        <v>1895</v>
      </c>
      <c r="P1481" s="3" t="s">
        <v>69</v>
      </c>
      <c r="Q1481" s="2" t="s">
        <v>14604</v>
      </c>
      <c r="R1481" s="3" t="s">
        <v>71</v>
      </c>
      <c r="S1481" s="4">
        <v>19</v>
      </c>
      <c r="T1481" s="4">
        <v>19</v>
      </c>
      <c r="U1481" s="5" t="s">
        <v>4007</v>
      </c>
      <c r="V1481" s="5" t="s">
        <v>4007</v>
      </c>
      <c r="W1481" s="5" t="s">
        <v>72</v>
      </c>
      <c r="X1481" s="5" t="s">
        <v>72</v>
      </c>
      <c r="Y1481" s="4">
        <v>295</v>
      </c>
      <c r="Z1481" s="4">
        <v>17</v>
      </c>
      <c r="AA1481" s="4">
        <v>18</v>
      </c>
      <c r="AB1481" s="4">
        <v>1</v>
      </c>
      <c r="AC1481" s="4">
        <v>2</v>
      </c>
      <c r="AD1481" s="4">
        <v>106</v>
      </c>
      <c r="AE1481" s="4">
        <v>107</v>
      </c>
      <c r="AF1481" s="4">
        <v>0</v>
      </c>
      <c r="AG1481" s="4">
        <v>1</v>
      </c>
      <c r="AH1481" s="4">
        <v>100</v>
      </c>
      <c r="AI1481" s="4">
        <v>101</v>
      </c>
      <c r="AJ1481" s="4">
        <v>11</v>
      </c>
      <c r="AK1481" s="4">
        <v>12</v>
      </c>
      <c r="AL1481" s="4">
        <v>56</v>
      </c>
      <c r="AM1481" s="4">
        <v>56</v>
      </c>
      <c r="AN1481" s="4">
        <v>0</v>
      </c>
      <c r="AO1481" s="4">
        <v>0</v>
      </c>
      <c r="AP1481" s="4">
        <v>12</v>
      </c>
      <c r="AQ1481" s="4">
        <v>13</v>
      </c>
      <c r="AR1481" s="3" t="s">
        <v>65</v>
      </c>
      <c r="AS1481" s="3" t="s">
        <v>209</v>
      </c>
      <c r="AT1481" s="3" t="s">
        <v>65</v>
      </c>
      <c r="AU1481" s="6" t="str">
        <f>HYPERLINK("http://catalog.hathitrust.org/Record/003312824","HathiTrust Record")</f>
        <v>HathiTrust Record</v>
      </c>
      <c r="AV1481" s="6" t="str">
        <f>HYPERLINK("http://mcgill.on.worldcat.org/oclc/38043094","Catalog Record")</f>
        <v>Catalog Record</v>
      </c>
      <c r="AW1481" s="6" t="str">
        <f>HYPERLINK("http://www.worldcat.org/oclc/38043094","WorldCat Record")</f>
        <v>WorldCat Record</v>
      </c>
      <c r="AX1481" s="3" t="s">
        <v>14605</v>
      </c>
      <c r="AY1481" s="3" t="s">
        <v>14606</v>
      </c>
      <c r="AZ1481" s="3" t="s">
        <v>14607</v>
      </c>
      <c r="BA1481" s="3" t="s">
        <v>14607</v>
      </c>
      <c r="BB1481" s="3" t="s">
        <v>14608</v>
      </c>
      <c r="BC1481" s="3" t="s">
        <v>77</v>
      </c>
      <c r="BD1481" s="3" t="s">
        <v>78</v>
      </c>
      <c r="BE1481" s="3" t="s">
        <v>14609</v>
      </c>
      <c r="BF1481" s="3" t="s">
        <v>14608</v>
      </c>
      <c r="BG1481" s="3" t="s">
        <v>14610</v>
      </c>
    </row>
    <row r="1482" spans="1:59" ht="87" x14ac:dyDescent="0.35">
      <c r="A1482" s="2" t="s">
        <v>59</v>
      </c>
      <c r="B1482" s="2" t="s">
        <v>60</v>
      </c>
      <c r="C1482" s="2" t="s">
        <v>14611</v>
      </c>
      <c r="D1482" s="2" t="s">
        <v>14612</v>
      </c>
      <c r="E1482" s="2" t="s">
        <v>14613</v>
      </c>
      <c r="G1482" s="3" t="s">
        <v>65</v>
      </c>
      <c r="I1482" s="3" t="s">
        <v>65</v>
      </c>
      <c r="J1482" s="3" t="s">
        <v>65</v>
      </c>
      <c r="K1482" s="3" t="s">
        <v>66</v>
      </c>
      <c r="L1482" s="2" t="s">
        <v>14614</v>
      </c>
      <c r="M1482" s="2" t="s">
        <v>14615</v>
      </c>
      <c r="N1482" s="3" t="s">
        <v>126</v>
      </c>
      <c r="P1482" s="3" t="s">
        <v>616</v>
      </c>
      <c r="Q1482" s="2" t="s">
        <v>14616</v>
      </c>
      <c r="R1482" s="3" t="s">
        <v>71</v>
      </c>
      <c r="S1482" s="4">
        <v>0</v>
      </c>
      <c r="T1482" s="4">
        <v>0</v>
      </c>
      <c r="W1482" s="5" t="s">
        <v>72</v>
      </c>
      <c r="X1482" s="5" t="s">
        <v>72</v>
      </c>
      <c r="Y1482" s="4">
        <v>61</v>
      </c>
      <c r="Z1482" s="4">
        <v>4</v>
      </c>
      <c r="AA1482" s="4">
        <v>7</v>
      </c>
      <c r="AB1482" s="4">
        <v>1</v>
      </c>
      <c r="AC1482" s="4">
        <v>3</v>
      </c>
      <c r="AD1482" s="4">
        <v>29</v>
      </c>
      <c r="AE1482" s="4">
        <v>32</v>
      </c>
      <c r="AF1482" s="4">
        <v>0</v>
      </c>
      <c r="AG1482" s="4">
        <v>1</v>
      </c>
      <c r="AH1482" s="4">
        <v>27</v>
      </c>
      <c r="AI1482" s="4">
        <v>29</v>
      </c>
      <c r="AJ1482" s="4">
        <v>2</v>
      </c>
      <c r="AK1482" s="4">
        <v>4</v>
      </c>
      <c r="AL1482" s="4">
        <v>25</v>
      </c>
      <c r="AM1482" s="4">
        <v>25</v>
      </c>
      <c r="AN1482" s="4">
        <v>0</v>
      </c>
      <c r="AO1482" s="4">
        <v>0</v>
      </c>
      <c r="AP1482" s="4">
        <v>2</v>
      </c>
      <c r="AQ1482" s="4">
        <v>3</v>
      </c>
      <c r="AR1482" s="3" t="s">
        <v>65</v>
      </c>
      <c r="AS1482" s="3" t="s">
        <v>65</v>
      </c>
      <c r="AT1482" s="3" t="s">
        <v>65</v>
      </c>
      <c r="AV1482" s="6" t="str">
        <f>HYPERLINK("http://mcgill.on.worldcat.org/oclc/760888309","Catalog Record")</f>
        <v>Catalog Record</v>
      </c>
      <c r="AW1482" s="6" t="str">
        <f>HYPERLINK("http://www.worldcat.org/oclc/760888309","WorldCat Record")</f>
        <v>WorldCat Record</v>
      </c>
      <c r="AX1482" s="3" t="s">
        <v>14617</v>
      </c>
      <c r="AY1482" s="3" t="s">
        <v>14618</v>
      </c>
      <c r="AZ1482" s="3" t="s">
        <v>14619</v>
      </c>
      <c r="BA1482" s="3" t="s">
        <v>14619</v>
      </c>
      <c r="BB1482" s="3" t="s">
        <v>14620</v>
      </c>
      <c r="BC1482" s="3" t="s">
        <v>77</v>
      </c>
      <c r="BD1482" s="3" t="s">
        <v>78</v>
      </c>
      <c r="BE1482" s="3" t="s">
        <v>14621</v>
      </c>
      <c r="BF1482" s="3" t="s">
        <v>14620</v>
      </c>
      <c r="BG1482" s="3" t="s">
        <v>14622</v>
      </c>
    </row>
    <row r="1483" spans="1:59" ht="58" x14ac:dyDescent="0.35">
      <c r="A1483" s="2" t="s">
        <v>59</v>
      </c>
      <c r="B1483" s="2" t="s">
        <v>60</v>
      </c>
      <c r="C1483" s="2" t="s">
        <v>14623</v>
      </c>
      <c r="D1483" s="2" t="s">
        <v>14624</v>
      </c>
      <c r="E1483" s="2" t="s">
        <v>14625</v>
      </c>
      <c r="G1483" s="3" t="s">
        <v>65</v>
      </c>
      <c r="I1483" s="3" t="s">
        <v>65</v>
      </c>
      <c r="J1483" s="3" t="s">
        <v>65</v>
      </c>
      <c r="K1483" s="3" t="s">
        <v>66</v>
      </c>
      <c r="L1483" s="2" t="s">
        <v>10222</v>
      </c>
      <c r="M1483" s="2" t="s">
        <v>14626</v>
      </c>
      <c r="N1483" s="3" t="s">
        <v>14627</v>
      </c>
      <c r="P1483" s="3" t="s">
        <v>69</v>
      </c>
      <c r="R1483" s="3" t="s">
        <v>71</v>
      </c>
      <c r="S1483" s="4">
        <v>16</v>
      </c>
      <c r="T1483" s="4">
        <v>16</v>
      </c>
      <c r="U1483" s="5" t="s">
        <v>14063</v>
      </c>
      <c r="V1483" s="5" t="s">
        <v>14063</v>
      </c>
      <c r="W1483" s="5" t="s">
        <v>72</v>
      </c>
      <c r="X1483" s="5" t="s">
        <v>72</v>
      </c>
      <c r="Y1483" s="4">
        <v>117</v>
      </c>
      <c r="Z1483" s="4">
        <v>8</v>
      </c>
      <c r="AA1483" s="4">
        <v>38</v>
      </c>
      <c r="AB1483" s="4">
        <v>1</v>
      </c>
      <c r="AC1483" s="4">
        <v>2</v>
      </c>
      <c r="AD1483" s="4">
        <v>34</v>
      </c>
      <c r="AE1483" s="4">
        <v>123</v>
      </c>
      <c r="AF1483" s="4">
        <v>0</v>
      </c>
      <c r="AG1483" s="4">
        <v>1</v>
      </c>
      <c r="AH1483" s="4">
        <v>32</v>
      </c>
      <c r="AI1483" s="4">
        <v>103</v>
      </c>
      <c r="AJ1483" s="4">
        <v>3</v>
      </c>
      <c r="AK1483" s="4">
        <v>21</v>
      </c>
      <c r="AL1483" s="4">
        <v>26</v>
      </c>
      <c r="AM1483" s="4">
        <v>56</v>
      </c>
      <c r="AN1483" s="4">
        <v>0</v>
      </c>
      <c r="AO1483" s="4">
        <v>0</v>
      </c>
      <c r="AP1483" s="4">
        <v>3</v>
      </c>
      <c r="AQ1483" s="4">
        <v>27</v>
      </c>
      <c r="AR1483" s="3" t="s">
        <v>65</v>
      </c>
      <c r="AS1483" s="3" t="s">
        <v>65</v>
      </c>
      <c r="AT1483" s="3" t="s">
        <v>209</v>
      </c>
      <c r="AU1483" s="6" t="str">
        <f>HYPERLINK("http://catalog.hathitrust.org/Record/001004035","HathiTrust Record")</f>
        <v>HathiTrust Record</v>
      </c>
      <c r="AV1483" s="6" t="str">
        <f>HYPERLINK("http://mcgill.on.worldcat.org/oclc/2481260","Catalog Record")</f>
        <v>Catalog Record</v>
      </c>
      <c r="AW1483" s="6" t="str">
        <f>HYPERLINK("http://www.worldcat.org/oclc/2481260","WorldCat Record")</f>
        <v>WorldCat Record</v>
      </c>
      <c r="AX1483" s="3" t="s">
        <v>14628</v>
      </c>
      <c r="AY1483" s="3" t="s">
        <v>14629</v>
      </c>
      <c r="AZ1483" s="3" t="s">
        <v>14630</v>
      </c>
      <c r="BA1483" s="3" t="s">
        <v>14630</v>
      </c>
      <c r="BB1483" s="3" t="s">
        <v>14631</v>
      </c>
      <c r="BC1483" s="3" t="s">
        <v>77</v>
      </c>
      <c r="BD1483" s="3" t="s">
        <v>78</v>
      </c>
      <c r="BF1483" s="3" t="s">
        <v>14631</v>
      </c>
      <c r="BG1483" s="3" t="s">
        <v>14632</v>
      </c>
    </row>
    <row r="1484" spans="1:59" ht="58" x14ac:dyDescent="0.35">
      <c r="A1484" s="2" t="s">
        <v>59</v>
      </c>
      <c r="B1484" s="2" t="s">
        <v>60</v>
      </c>
      <c r="C1484" s="2" t="s">
        <v>14633</v>
      </c>
      <c r="D1484" s="2" t="s">
        <v>14634</v>
      </c>
      <c r="E1484" s="2" t="s">
        <v>14635</v>
      </c>
      <c r="G1484" s="3" t="s">
        <v>65</v>
      </c>
      <c r="I1484" s="3" t="s">
        <v>65</v>
      </c>
      <c r="J1484" s="3" t="s">
        <v>65</v>
      </c>
      <c r="K1484" s="3" t="s">
        <v>66</v>
      </c>
      <c r="L1484" s="2" t="s">
        <v>449</v>
      </c>
      <c r="M1484" s="2" t="s">
        <v>653</v>
      </c>
      <c r="N1484" s="3" t="s">
        <v>113</v>
      </c>
      <c r="O1484" s="2" t="s">
        <v>654</v>
      </c>
      <c r="P1484" s="3" t="s">
        <v>140</v>
      </c>
      <c r="Q1484" s="2" t="s">
        <v>14636</v>
      </c>
      <c r="R1484" s="3" t="s">
        <v>71</v>
      </c>
      <c r="S1484" s="4">
        <v>0</v>
      </c>
      <c r="T1484" s="4">
        <v>0</v>
      </c>
      <c r="W1484" s="5" t="s">
        <v>72</v>
      </c>
      <c r="X1484" s="5" t="s">
        <v>72</v>
      </c>
      <c r="Y1484" s="4">
        <v>60</v>
      </c>
      <c r="Z1484" s="4">
        <v>5</v>
      </c>
      <c r="AA1484" s="4">
        <v>5</v>
      </c>
      <c r="AB1484" s="4">
        <v>1</v>
      </c>
      <c r="AC1484" s="4">
        <v>1</v>
      </c>
      <c r="AD1484" s="4">
        <v>43</v>
      </c>
      <c r="AE1484" s="4">
        <v>43</v>
      </c>
      <c r="AF1484" s="4">
        <v>0</v>
      </c>
      <c r="AG1484" s="4">
        <v>0</v>
      </c>
      <c r="AH1484" s="4">
        <v>42</v>
      </c>
      <c r="AI1484" s="4">
        <v>42</v>
      </c>
      <c r="AJ1484" s="4">
        <v>2</v>
      </c>
      <c r="AK1484" s="4">
        <v>2</v>
      </c>
      <c r="AL1484" s="4">
        <v>32</v>
      </c>
      <c r="AM1484" s="4">
        <v>32</v>
      </c>
      <c r="AN1484" s="4">
        <v>0</v>
      </c>
      <c r="AO1484" s="4">
        <v>0</v>
      </c>
      <c r="AP1484" s="4">
        <v>2</v>
      </c>
      <c r="AQ1484" s="4">
        <v>2</v>
      </c>
      <c r="AR1484" s="3" t="s">
        <v>65</v>
      </c>
      <c r="AS1484" s="3" t="s">
        <v>65</v>
      </c>
      <c r="AT1484" s="3" t="s">
        <v>65</v>
      </c>
      <c r="AV1484" s="6" t="str">
        <f>HYPERLINK("http://mcgill.on.worldcat.org/oclc/649311211","Catalog Record")</f>
        <v>Catalog Record</v>
      </c>
      <c r="AW1484" s="6" t="str">
        <f>HYPERLINK("http://www.worldcat.org/oclc/649311211","WorldCat Record")</f>
        <v>WorldCat Record</v>
      </c>
      <c r="AX1484" s="3" t="s">
        <v>14637</v>
      </c>
      <c r="AY1484" s="3" t="s">
        <v>14638</v>
      </c>
      <c r="AZ1484" s="3" t="s">
        <v>14639</v>
      </c>
      <c r="BA1484" s="3" t="s">
        <v>14639</v>
      </c>
      <c r="BB1484" s="3" t="s">
        <v>14640</v>
      </c>
      <c r="BC1484" s="3" t="s">
        <v>77</v>
      </c>
      <c r="BD1484" s="3" t="s">
        <v>78</v>
      </c>
      <c r="BE1484" s="3" t="s">
        <v>14641</v>
      </c>
      <c r="BF1484" s="3" t="s">
        <v>14640</v>
      </c>
      <c r="BG1484" s="3" t="s">
        <v>14642</v>
      </c>
    </row>
    <row r="1485" spans="1:59" ht="72.5" x14ac:dyDescent="0.35">
      <c r="A1485" s="2" t="s">
        <v>59</v>
      </c>
      <c r="B1485" s="2" t="s">
        <v>60</v>
      </c>
      <c r="C1485" s="2" t="s">
        <v>14643</v>
      </c>
      <c r="D1485" s="2" t="s">
        <v>14644</v>
      </c>
      <c r="E1485" s="2" t="s">
        <v>14645</v>
      </c>
      <c r="G1485" s="3" t="s">
        <v>65</v>
      </c>
      <c r="I1485" s="3" t="s">
        <v>65</v>
      </c>
      <c r="J1485" s="3" t="s">
        <v>65</v>
      </c>
      <c r="K1485" s="3" t="s">
        <v>66</v>
      </c>
      <c r="M1485" s="2" t="s">
        <v>14646</v>
      </c>
      <c r="N1485" s="3" t="s">
        <v>99</v>
      </c>
      <c r="P1485" s="3" t="s">
        <v>140</v>
      </c>
      <c r="Q1485" s="2" t="s">
        <v>14647</v>
      </c>
      <c r="R1485" s="3" t="s">
        <v>71</v>
      </c>
      <c r="S1485" s="4">
        <v>3</v>
      </c>
      <c r="T1485" s="4">
        <v>3</v>
      </c>
      <c r="U1485" s="5" t="s">
        <v>1335</v>
      </c>
      <c r="V1485" s="5" t="s">
        <v>1335</v>
      </c>
      <c r="W1485" s="5" t="s">
        <v>72</v>
      </c>
      <c r="X1485" s="5" t="s">
        <v>72</v>
      </c>
      <c r="Y1485" s="4">
        <v>42</v>
      </c>
      <c r="Z1485" s="4">
        <v>1</v>
      </c>
      <c r="AA1485" s="4">
        <v>3</v>
      </c>
      <c r="AB1485" s="4">
        <v>1</v>
      </c>
      <c r="AC1485" s="4">
        <v>1</v>
      </c>
      <c r="AD1485" s="4">
        <v>26</v>
      </c>
      <c r="AE1485" s="4">
        <v>27</v>
      </c>
      <c r="AF1485" s="4">
        <v>0</v>
      </c>
      <c r="AG1485" s="4">
        <v>0</v>
      </c>
      <c r="AH1485" s="4">
        <v>24</v>
      </c>
      <c r="AI1485" s="4">
        <v>25</v>
      </c>
      <c r="AJ1485" s="4">
        <v>0</v>
      </c>
      <c r="AK1485" s="4">
        <v>1</v>
      </c>
      <c r="AL1485" s="4">
        <v>19</v>
      </c>
      <c r="AM1485" s="4">
        <v>20</v>
      </c>
      <c r="AN1485" s="4">
        <v>0</v>
      </c>
      <c r="AO1485" s="4">
        <v>0</v>
      </c>
      <c r="AP1485" s="4">
        <v>0</v>
      </c>
      <c r="AQ1485" s="4">
        <v>1</v>
      </c>
      <c r="AR1485" s="3" t="s">
        <v>65</v>
      </c>
      <c r="AS1485" s="3" t="s">
        <v>65</v>
      </c>
      <c r="AT1485" s="3" t="s">
        <v>65</v>
      </c>
      <c r="AV1485" s="6" t="str">
        <f>HYPERLINK("http://mcgill.on.worldcat.org/oclc/167762099","Catalog Record")</f>
        <v>Catalog Record</v>
      </c>
      <c r="AW1485" s="6" t="str">
        <f>HYPERLINK("http://www.worldcat.org/oclc/167762099","WorldCat Record")</f>
        <v>WorldCat Record</v>
      </c>
      <c r="AX1485" s="3" t="s">
        <v>14648</v>
      </c>
      <c r="AY1485" s="3" t="s">
        <v>14649</v>
      </c>
      <c r="AZ1485" s="3" t="s">
        <v>14650</v>
      </c>
      <c r="BA1485" s="3" t="s">
        <v>14650</v>
      </c>
      <c r="BB1485" s="3" t="s">
        <v>14651</v>
      </c>
      <c r="BC1485" s="3" t="s">
        <v>77</v>
      </c>
      <c r="BD1485" s="3" t="s">
        <v>78</v>
      </c>
      <c r="BE1485" s="3" t="s">
        <v>14652</v>
      </c>
      <c r="BF1485" s="3" t="s">
        <v>14651</v>
      </c>
      <c r="BG1485" s="3" t="s">
        <v>14653</v>
      </c>
    </row>
    <row r="1486" spans="1:59" ht="58" x14ac:dyDescent="0.35">
      <c r="A1486" s="2" t="s">
        <v>59</v>
      </c>
      <c r="B1486" s="2" t="s">
        <v>60</v>
      </c>
      <c r="C1486" s="2" t="s">
        <v>14654</v>
      </c>
      <c r="D1486" s="2" t="s">
        <v>14655</v>
      </c>
      <c r="E1486" s="2" t="s">
        <v>14656</v>
      </c>
      <c r="G1486" s="3" t="s">
        <v>65</v>
      </c>
      <c r="I1486" s="3" t="s">
        <v>65</v>
      </c>
      <c r="J1486" s="3" t="s">
        <v>65</v>
      </c>
      <c r="K1486" s="3" t="s">
        <v>66</v>
      </c>
      <c r="L1486" s="2" t="s">
        <v>14657</v>
      </c>
      <c r="M1486" s="2" t="s">
        <v>14658</v>
      </c>
      <c r="N1486" s="3" t="s">
        <v>152</v>
      </c>
      <c r="P1486" s="3" t="s">
        <v>69</v>
      </c>
      <c r="Q1486" s="2" t="s">
        <v>14659</v>
      </c>
      <c r="R1486" s="3" t="s">
        <v>71</v>
      </c>
      <c r="S1486" s="4">
        <v>0</v>
      </c>
      <c r="T1486" s="4">
        <v>0</v>
      </c>
      <c r="W1486" s="5" t="s">
        <v>72</v>
      </c>
      <c r="X1486" s="5" t="s">
        <v>72</v>
      </c>
      <c r="Y1486" s="4">
        <v>17</v>
      </c>
      <c r="Z1486" s="4">
        <v>1</v>
      </c>
      <c r="AA1486" s="4">
        <v>1</v>
      </c>
      <c r="AB1486" s="4">
        <v>1</v>
      </c>
      <c r="AC1486" s="4">
        <v>1</v>
      </c>
      <c r="AD1486" s="4">
        <v>2</v>
      </c>
      <c r="AE1486" s="4">
        <v>2</v>
      </c>
      <c r="AF1486" s="4">
        <v>0</v>
      </c>
      <c r="AG1486" s="4">
        <v>0</v>
      </c>
      <c r="AH1486" s="4">
        <v>2</v>
      </c>
      <c r="AI1486" s="4">
        <v>2</v>
      </c>
      <c r="AJ1486" s="4">
        <v>0</v>
      </c>
      <c r="AK1486" s="4">
        <v>0</v>
      </c>
      <c r="AL1486" s="4">
        <v>2</v>
      </c>
      <c r="AM1486" s="4">
        <v>2</v>
      </c>
      <c r="AN1486" s="4">
        <v>0</v>
      </c>
      <c r="AO1486" s="4">
        <v>0</v>
      </c>
      <c r="AP1486" s="4">
        <v>0</v>
      </c>
      <c r="AQ1486" s="4">
        <v>0</v>
      </c>
      <c r="AR1486" s="3" t="s">
        <v>65</v>
      </c>
      <c r="AS1486" s="3" t="s">
        <v>65</v>
      </c>
      <c r="AT1486" s="3" t="s">
        <v>65</v>
      </c>
      <c r="AV1486" s="6" t="str">
        <f>HYPERLINK("http://mcgill.on.worldcat.org/oclc/876283296","Catalog Record")</f>
        <v>Catalog Record</v>
      </c>
      <c r="AW1486" s="6" t="str">
        <f>HYPERLINK("http://www.worldcat.org/oclc/876283296","WorldCat Record")</f>
        <v>WorldCat Record</v>
      </c>
      <c r="AX1486" s="3" t="s">
        <v>14660</v>
      </c>
      <c r="AY1486" s="3" t="s">
        <v>14661</v>
      </c>
      <c r="AZ1486" s="3" t="s">
        <v>14662</v>
      </c>
      <c r="BA1486" s="3" t="s">
        <v>14662</v>
      </c>
      <c r="BB1486" s="3" t="s">
        <v>14663</v>
      </c>
      <c r="BC1486" s="3" t="s">
        <v>77</v>
      </c>
      <c r="BD1486" s="3" t="s">
        <v>78</v>
      </c>
      <c r="BE1486" s="3" t="s">
        <v>14664</v>
      </c>
      <c r="BF1486" s="3" t="s">
        <v>14663</v>
      </c>
      <c r="BG1486" s="3" t="s">
        <v>14665</v>
      </c>
    </row>
    <row r="1487" spans="1:59" ht="58" x14ac:dyDescent="0.35">
      <c r="A1487" s="2" t="s">
        <v>59</v>
      </c>
      <c r="B1487" s="2" t="s">
        <v>60</v>
      </c>
      <c r="C1487" s="2" t="s">
        <v>14666</v>
      </c>
      <c r="D1487" s="2" t="s">
        <v>14667</v>
      </c>
      <c r="E1487" s="2" t="s">
        <v>14668</v>
      </c>
      <c r="G1487" s="3" t="s">
        <v>65</v>
      </c>
      <c r="I1487" s="3" t="s">
        <v>65</v>
      </c>
      <c r="J1487" s="3" t="s">
        <v>65</v>
      </c>
      <c r="K1487" s="3" t="s">
        <v>66</v>
      </c>
      <c r="L1487" s="2" t="s">
        <v>14669</v>
      </c>
      <c r="M1487" s="2" t="s">
        <v>14670</v>
      </c>
      <c r="N1487" s="3" t="s">
        <v>188</v>
      </c>
      <c r="P1487" s="3" t="s">
        <v>140</v>
      </c>
      <c r="Q1487" s="2" t="s">
        <v>14671</v>
      </c>
      <c r="R1487" s="3" t="s">
        <v>71</v>
      </c>
      <c r="S1487" s="4">
        <v>0</v>
      </c>
      <c r="T1487" s="4">
        <v>0</v>
      </c>
      <c r="W1487" s="5" t="s">
        <v>72</v>
      </c>
      <c r="X1487" s="5" t="s">
        <v>72</v>
      </c>
      <c r="Y1487" s="4">
        <v>39</v>
      </c>
      <c r="Z1487" s="4">
        <v>1</v>
      </c>
      <c r="AA1487" s="4">
        <v>1</v>
      </c>
      <c r="AB1487" s="4">
        <v>1</v>
      </c>
      <c r="AC1487" s="4">
        <v>1</v>
      </c>
      <c r="AD1487" s="4">
        <v>26</v>
      </c>
      <c r="AE1487" s="4">
        <v>26</v>
      </c>
      <c r="AF1487" s="4">
        <v>0</v>
      </c>
      <c r="AG1487" s="4">
        <v>0</v>
      </c>
      <c r="AH1487" s="4">
        <v>24</v>
      </c>
      <c r="AI1487" s="4">
        <v>24</v>
      </c>
      <c r="AJ1487" s="4">
        <v>0</v>
      </c>
      <c r="AK1487" s="4">
        <v>0</v>
      </c>
      <c r="AL1487" s="4">
        <v>23</v>
      </c>
      <c r="AM1487" s="4">
        <v>23</v>
      </c>
      <c r="AN1487" s="4">
        <v>0</v>
      </c>
      <c r="AO1487" s="4">
        <v>0</v>
      </c>
      <c r="AP1487" s="4">
        <v>0</v>
      </c>
      <c r="AQ1487" s="4">
        <v>0</v>
      </c>
      <c r="AR1487" s="3" t="s">
        <v>65</v>
      </c>
      <c r="AS1487" s="3" t="s">
        <v>65</v>
      </c>
      <c r="AT1487" s="3" t="s">
        <v>65</v>
      </c>
      <c r="AV1487" s="6" t="str">
        <f>HYPERLINK("http://mcgill.on.worldcat.org/oclc/992800394","Catalog Record")</f>
        <v>Catalog Record</v>
      </c>
      <c r="AW1487" s="6" t="str">
        <f>HYPERLINK("http://www.worldcat.org/oclc/992800394","WorldCat Record")</f>
        <v>WorldCat Record</v>
      </c>
      <c r="AX1487" s="3" t="s">
        <v>14672</v>
      </c>
      <c r="AY1487" s="3" t="s">
        <v>14673</v>
      </c>
      <c r="AZ1487" s="3" t="s">
        <v>14674</v>
      </c>
      <c r="BA1487" s="3" t="s">
        <v>14674</v>
      </c>
      <c r="BB1487" s="3" t="s">
        <v>14675</v>
      </c>
      <c r="BC1487" s="3" t="s">
        <v>77</v>
      </c>
      <c r="BD1487" s="3" t="s">
        <v>78</v>
      </c>
      <c r="BE1487" s="3" t="s">
        <v>14676</v>
      </c>
      <c r="BF1487" s="3" t="s">
        <v>14675</v>
      </c>
      <c r="BG1487" s="3" t="s">
        <v>14677</v>
      </c>
    </row>
    <row r="1488" spans="1:59" ht="58" x14ac:dyDescent="0.35">
      <c r="A1488" s="2" t="s">
        <v>59</v>
      </c>
      <c r="B1488" s="2" t="s">
        <v>60</v>
      </c>
      <c r="C1488" s="2" t="s">
        <v>14678</v>
      </c>
      <c r="D1488" s="2" t="s">
        <v>14679</v>
      </c>
      <c r="E1488" s="2" t="s">
        <v>14680</v>
      </c>
      <c r="G1488" s="3" t="s">
        <v>65</v>
      </c>
      <c r="I1488" s="3" t="s">
        <v>65</v>
      </c>
      <c r="J1488" s="3" t="s">
        <v>65</v>
      </c>
      <c r="K1488" s="3" t="s">
        <v>66</v>
      </c>
      <c r="L1488" s="2" t="s">
        <v>14681</v>
      </c>
      <c r="M1488" s="2" t="s">
        <v>14682</v>
      </c>
      <c r="N1488" s="3" t="s">
        <v>1944</v>
      </c>
      <c r="P1488" s="3" t="s">
        <v>140</v>
      </c>
      <c r="Q1488" s="2" t="s">
        <v>14683</v>
      </c>
      <c r="R1488" s="3" t="s">
        <v>71</v>
      </c>
      <c r="S1488" s="4">
        <v>3</v>
      </c>
      <c r="T1488" s="4">
        <v>3</v>
      </c>
      <c r="U1488" s="5" t="s">
        <v>14684</v>
      </c>
      <c r="V1488" s="5" t="s">
        <v>14684</v>
      </c>
      <c r="W1488" s="5" t="s">
        <v>72</v>
      </c>
      <c r="X1488" s="5" t="s">
        <v>72</v>
      </c>
      <c r="Y1488" s="4">
        <v>48</v>
      </c>
      <c r="Z1488" s="4">
        <v>3</v>
      </c>
      <c r="AA1488" s="4">
        <v>3</v>
      </c>
      <c r="AB1488" s="4">
        <v>1</v>
      </c>
      <c r="AC1488" s="4">
        <v>1</v>
      </c>
      <c r="AD1488" s="4">
        <v>28</v>
      </c>
      <c r="AE1488" s="4">
        <v>28</v>
      </c>
      <c r="AF1488" s="4">
        <v>0</v>
      </c>
      <c r="AG1488" s="4">
        <v>0</v>
      </c>
      <c r="AH1488" s="4">
        <v>27</v>
      </c>
      <c r="AI1488" s="4">
        <v>27</v>
      </c>
      <c r="AJ1488" s="4">
        <v>1</v>
      </c>
      <c r="AK1488" s="4">
        <v>1</v>
      </c>
      <c r="AL1488" s="4">
        <v>23</v>
      </c>
      <c r="AM1488" s="4">
        <v>23</v>
      </c>
      <c r="AN1488" s="4">
        <v>0</v>
      </c>
      <c r="AO1488" s="4">
        <v>0</v>
      </c>
      <c r="AP1488" s="4">
        <v>1</v>
      </c>
      <c r="AQ1488" s="4">
        <v>1</v>
      </c>
      <c r="AR1488" s="3" t="s">
        <v>65</v>
      </c>
      <c r="AS1488" s="3" t="s">
        <v>65</v>
      </c>
      <c r="AT1488" s="3" t="s">
        <v>209</v>
      </c>
      <c r="AU1488" s="6" t="str">
        <f>HYPERLINK("http://catalog.hathitrust.org/Record/004196171","HathiTrust Record")</f>
        <v>HathiTrust Record</v>
      </c>
      <c r="AV1488" s="6" t="str">
        <f>HYPERLINK("http://mcgill.on.worldcat.org/oclc/45820167","Catalog Record")</f>
        <v>Catalog Record</v>
      </c>
      <c r="AW1488" s="6" t="str">
        <f>HYPERLINK("http://www.worldcat.org/oclc/45820167","WorldCat Record")</f>
        <v>WorldCat Record</v>
      </c>
      <c r="AX1488" s="3" t="s">
        <v>14685</v>
      </c>
      <c r="AY1488" s="3" t="s">
        <v>14686</v>
      </c>
      <c r="AZ1488" s="3" t="s">
        <v>14687</v>
      </c>
      <c r="BA1488" s="3" t="s">
        <v>14687</v>
      </c>
      <c r="BB1488" s="3" t="s">
        <v>14688</v>
      </c>
      <c r="BC1488" s="3" t="s">
        <v>77</v>
      </c>
      <c r="BD1488" s="3" t="s">
        <v>78</v>
      </c>
      <c r="BE1488" s="3" t="s">
        <v>14689</v>
      </c>
      <c r="BF1488" s="3" t="s">
        <v>14688</v>
      </c>
      <c r="BG1488" s="3" t="s">
        <v>14690</v>
      </c>
    </row>
    <row r="1489" spans="1:59" ht="58" x14ac:dyDescent="0.35">
      <c r="A1489" s="2" t="s">
        <v>59</v>
      </c>
      <c r="B1489" s="2" t="s">
        <v>60</v>
      </c>
      <c r="C1489" s="2" t="s">
        <v>14691</v>
      </c>
      <c r="D1489" s="2" t="s">
        <v>14692</v>
      </c>
      <c r="E1489" s="2" t="s">
        <v>14693</v>
      </c>
      <c r="G1489" s="3" t="s">
        <v>65</v>
      </c>
      <c r="I1489" s="3" t="s">
        <v>65</v>
      </c>
      <c r="J1489" s="3" t="s">
        <v>65</v>
      </c>
      <c r="K1489" s="3" t="s">
        <v>66</v>
      </c>
      <c r="L1489" s="2" t="s">
        <v>14694</v>
      </c>
      <c r="M1489" s="2" t="s">
        <v>14695</v>
      </c>
      <c r="N1489" s="3" t="s">
        <v>1109</v>
      </c>
      <c r="P1489" s="3" t="s">
        <v>140</v>
      </c>
      <c r="Q1489" s="2" t="s">
        <v>14696</v>
      </c>
      <c r="R1489" s="3" t="s">
        <v>71</v>
      </c>
      <c r="S1489" s="4">
        <v>2</v>
      </c>
      <c r="T1489" s="4">
        <v>2</v>
      </c>
      <c r="U1489" s="5" t="s">
        <v>14697</v>
      </c>
      <c r="V1489" s="5" t="s">
        <v>14697</v>
      </c>
      <c r="W1489" s="5" t="s">
        <v>72</v>
      </c>
      <c r="X1489" s="5" t="s">
        <v>72</v>
      </c>
      <c r="Y1489" s="4">
        <v>10</v>
      </c>
      <c r="Z1489" s="4">
        <v>1</v>
      </c>
      <c r="AA1489" s="4">
        <v>1</v>
      </c>
      <c r="AB1489" s="4">
        <v>1</v>
      </c>
      <c r="AC1489" s="4">
        <v>1</v>
      </c>
      <c r="AD1489" s="4">
        <v>8</v>
      </c>
      <c r="AE1489" s="4">
        <v>8</v>
      </c>
      <c r="AF1489" s="4">
        <v>0</v>
      </c>
      <c r="AG1489" s="4">
        <v>0</v>
      </c>
      <c r="AH1489" s="4">
        <v>7</v>
      </c>
      <c r="AI1489" s="4">
        <v>7</v>
      </c>
      <c r="AJ1489" s="4">
        <v>0</v>
      </c>
      <c r="AK1489" s="4">
        <v>0</v>
      </c>
      <c r="AL1489" s="4">
        <v>6</v>
      </c>
      <c r="AM1489" s="4">
        <v>6</v>
      </c>
      <c r="AN1489" s="4">
        <v>0</v>
      </c>
      <c r="AO1489" s="4">
        <v>0</v>
      </c>
      <c r="AP1489" s="4">
        <v>0</v>
      </c>
      <c r="AQ1489" s="4">
        <v>0</v>
      </c>
      <c r="AR1489" s="3" t="s">
        <v>65</v>
      </c>
      <c r="AS1489" s="3" t="s">
        <v>65</v>
      </c>
      <c r="AT1489" s="3" t="s">
        <v>209</v>
      </c>
      <c r="AU1489" s="6" t="str">
        <f>HYPERLINK("http://catalog.hathitrust.org/Record/000705647","HathiTrust Record")</f>
        <v>HathiTrust Record</v>
      </c>
      <c r="AV1489" s="6" t="str">
        <f>HYPERLINK("http://mcgill.on.worldcat.org/oclc/2222990","Catalog Record")</f>
        <v>Catalog Record</v>
      </c>
      <c r="AW1489" s="6" t="str">
        <f>HYPERLINK("http://www.worldcat.org/oclc/2222990","WorldCat Record")</f>
        <v>WorldCat Record</v>
      </c>
      <c r="AX1489" s="3" t="s">
        <v>14698</v>
      </c>
      <c r="AY1489" s="3" t="s">
        <v>14699</v>
      </c>
      <c r="AZ1489" s="3" t="s">
        <v>14700</v>
      </c>
      <c r="BA1489" s="3" t="s">
        <v>14700</v>
      </c>
      <c r="BB1489" s="3" t="s">
        <v>14701</v>
      </c>
      <c r="BC1489" s="3" t="s">
        <v>77</v>
      </c>
      <c r="BD1489" s="3" t="s">
        <v>78</v>
      </c>
      <c r="BF1489" s="3" t="s">
        <v>14701</v>
      </c>
      <c r="BG1489" s="3" t="s">
        <v>14702</v>
      </c>
    </row>
    <row r="1490" spans="1:59" ht="58" x14ac:dyDescent="0.35">
      <c r="A1490" s="2" t="s">
        <v>59</v>
      </c>
      <c r="B1490" s="2" t="s">
        <v>60</v>
      </c>
      <c r="C1490" s="2" t="s">
        <v>14703</v>
      </c>
      <c r="D1490" s="2" t="s">
        <v>14704</v>
      </c>
      <c r="E1490" s="2" t="s">
        <v>14705</v>
      </c>
      <c r="G1490" s="3" t="s">
        <v>65</v>
      </c>
      <c r="I1490" s="3" t="s">
        <v>65</v>
      </c>
      <c r="J1490" s="3" t="s">
        <v>65</v>
      </c>
      <c r="K1490" s="3" t="s">
        <v>66</v>
      </c>
      <c r="M1490" s="2" t="s">
        <v>14706</v>
      </c>
      <c r="N1490" s="3" t="s">
        <v>126</v>
      </c>
      <c r="P1490" s="3" t="s">
        <v>140</v>
      </c>
      <c r="Q1490" s="2" t="s">
        <v>14707</v>
      </c>
      <c r="R1490" s="3" t="s">
        <v>71</v>
      </c>
      <c r="S1490" s="4">
        <v>0</v>
      </c>
      <c r="T1490" s="4">
        <v>0</v>
      </c>
      <c r="W1490" s="5" t="s">
        <v>72</v>
      </c>
      <c r="X1490" s="5" t="s">
        <v>72</v>
      </c>
      <c r="Y1490" s="4">
        <v>32</v>
      </c>
      <c r="Z1490" s="4">
        <v>3</v>
      </c>
      <c r="AA1490" s="4">
        <v>3</v>
      </c>
      <c r="AB1490" s="4">
        <v>1</v>
      </c>
      <c r="AC1490" s="4">
        <v>1</v>
      </c>
      <c r="AD1490" s="4">
        <v>23</v>
      </c>
      <c r="AE1490" s="4">
        <v>23</v>
      </c>
      <c r="AF1490" s="4">
        <v>0</v>
      </c>
      <c r="AG1490" s="4">
        <v>0</v>
      </c>
      <c r="AH1490" s="4">
        <v>22</v>
      </c>
      <c r="AI1490" s="4">
        <v>22</v>
      </c>
      <c r="AJ1490" s="4">
        <v>1</v>
      </c>
      <c r="AK1490" s="4">
        <v>1</v>
      </c>
      <c r="AL1490" s="4">
        <v>20</v>
      </c>
      <c r="AM1490" s="4">
        <v>20</v>
      </c>
      <c r="AN1490" s="4">
        <v>0</v>
      </c>
      <c r="AO1490" s="4">
        <v>0</v>
      </c>
      <c r="AP1490" s="4">
        <v>1</v>
      </c>
      <c r="AQ1490" s="4">
        <v>1</v>
      </c>
      <c r="AR1490" s="3" t="s">
        <v>65</v>
      </c>
      <c r="AS1490" s="3" t="s">
        <v>65</v>
      </c>
      <c r="AT1490" s="3" t="s">
        <v>65</v>
      </c>
      <c r="AV1490" s="6" t="str">
        <f>HYPERLINK("http://mcgill.on.worldcat.org/oclc/794703470","Catalog Record")</f>
        <v>Catalog Record</v>
      </c>
      <c r="AW1490" s="6" t="str">
        <f>HYPERLINK("http://www.worldcat.org/oclc/794703470","WorldCat Record")</f>
        <v>WorldCat Record</v>
      </c>
      <c r="AX1490" s="3" t="s">
        <v>14708</v>
      </c>
      <c r="AY1490" s="3" t="s">
        <v>14709</v>
      </c>
      <c r="AZ1490" s="3" t="s">
        <v>14710</v>
      </c>
      <c r="BA1490" s="3" t="s">
        <v>14710</v>
      </c>
      <c r="BB1490" s="3" t="s">
        <v>14711</v>
      </c>
      <c r="BC1490" s="3" t="s">
        <v>77</v>
      </c>
      <c r="BD1490" s="3" t="s">
        <v>78</v>
      </c>
      <c r="BE1490" s="3" t="s">
        <v>14712</v>
      </c>
      <c r="BF1490" s="3" t="s">
        <v>14711</v>
      </c>
      <c r="BG1490" s="3" t="s">
        <v>14713</v>
      </c>
    </row>
    <row r="1491" spans="1:59" ht="58" x14ac:dyDescent="0.35">
      <c r="A1491" s="2" t="s">
        <v>59</v>
      </c>
      <c r="B1491" s="2" t="s">
        <v>60</v>
      </c>
      <c r="C1491" s="2" t="s">
        <v>14714</v>
      </c>
      <c r="D1491" s="2" t="s">
        <v>14715</v>
      </c>
      <c r="E1491" s="2" t="s">
        <v>14716</v>
      </c>
      <c r="G1491" s="3" t="s">
        <v>65</v>
      </c>
      <c r="I1491" s="3" t="s">
        <v>65</v>
      </c>
      <c r="J1491" s="3" t="s">
        <v>65</v>
      </c>
      <c r="K1491" s="3" t="s">
        <v>66</v>
      </c>
      <c r="L1491" s="2" t="s">
        <v>14717</v>
      </c>
      <c r="M1491" s="2" t="s">
        <v>14718</v>
      </c>
      <c r="N1491" s="3" t="s">
        <v>86</v>
      </c>
      <c r="O1491" s="2" t="s">
        <v>235</v>
      </c>
      <c r="P1491" s="3" t="s">
        <v>140</v>
      </c>
      <c r="Q1491" s="2" t="s">
        <v>14719</v>
      </c>
      <c r="R1491" s="3" t="s">
        <v>71</v>
      </c>
      <c r="S1491" s="4">
        <v>0</v>
      </c>
      <c r="T1491" s="4">
        <v>0</v>
      </c>
      <c r="W1491" s="5" t="s">
        <v>14720</v>
      </c>
      <c r="X1491" s="5" t="s">
        <v>14720</v>
      </c>
      <c r="Y1491" s="4">
        <v>43</v>
      </c>
      <c r="Z1491" s="4">
        <v>2</v>
      </c>
      <c r="AA1491" s="4">
        <v>2</v>
      </c>
      <c r="AB1491" s="4">
        <v>1</v>
      </c>
      <c r="AC1491" s="4">
        <v>1</v>
      </c>
      <c r="AD1491" s="4">
        <v>32</v>
      </c>
      <c r="AE1491" s="4">
        <v>32</v>
      </c>
      <c r="AF1491" s="4">
        <v>0</v>
      </c>
      <c r="AG1491" s="4">
        <v>0</v>
      </c>
      <c r="AH1491" s="4">
        <v>31</v>
      </c>
      <c r="AI1491" s="4">
        <v>31</v>
      </c>
      <c r="AJ1491" s="4">
        <v>1</v>
      </c>
      <c r="AK1491" s="4">
        <v>1</v>
      </c>
      <c r="AL1491" s="4">
        <v>23</v>
      </c>
      <c r="AM1491" s="4">
        <v>23</v>
      </c>
      <c r="AN1491" s="4">
        <v>0</v>
      </c>
      <c r="AO1491" s="4">
        <v>0</v>
      </c>
      <c r="AP1491" s="4">
        <v>1</v>
      </c>
      <c r="AQ1491" s="4">
        <v>1</v>
      </c>
      <c r="AR1491" s="3" t="s">
        <v>65</v>
      </c>
      <c r="AS1491" s="3" t="s">
        <v>65</v>
      </c>
      <c r="AT1491" s="3" t="s">
        <v>65</v>
      </c>
      <c r="AV1491" s="6" t="str">
        <f>HYPERLINK("http://mcgill.on.worldcat.org/oclc/1046967122","Catalog Record")</f>
        <v>Catalog Record</v>
      </c>
      <c r="AW1491" s="6" t="str">
        <f>HYPERLINK("http://www.worldcat.org/oclc/1046967122","WorldCat Record")</f>
        <v>WorldCat Record</v>
      </c>
      <c r="AX1491" s="3" t="s">
        <v>14721</v>
      </c>
      <c r="AY1491" s="3" t="s">
        <v>14722</v>
      </c>
      <c r="AZ1491" s="3" t="s">
        <v>14723</v>
      </c>
      <c r="BA1491" s="3" t="s">
        <v>14723</v>
      </c>
      <c r="BB1491" s="3" t="s">
        <v>14724</v>
      </c>
      <c r="BC1491" s="3" t="s">
        <v>77</v>
      </c>
      <c r="BD1491" s="3" t="s">
        <v>78</v>
      </c>
      <c r="BE1491" s="3" t="s">
        <v>14725</v>
      </c>
      <c r="BF1491" s="3" t="s">
        <v>14724</v>
      </c>
      <c r="BG1491" s="3" t="s">
        <v>14726</v>
      </c>
    </row>
    <row r="1492" spans="1:59" ht="58" x14ac:dyDescent="0.35">
      <c r="A1492" s="2" t="s">
        <v>59</v>
      </c>
      <c r="B1492" s="2" t="s">
        <v>60</v>
      </c>
      <c r="C1492" s="2" t="s">
        <v>14727</v>
      </c>
      <c r="D1492" s="2" t="s">
        <v>14728</v>
      </c>
      <c r="E1492" s="2" t="s">
        <v>14729</v>
      </c>
      <c r="G1492" s="3" t="s">
        <v>65</v>
      </c>
      <c r="I1492" s="3" t="s">
        <v>65</v>
      </c>
      <c r="J1492" s="3" t="s">
        <v>65</v>
      </c>
      <c r="K1492" s="3" t="s">
        <v>66</v>
      </c>
      <c r="L1492" s="2" t="s">
        <v>14730</v>
      </c>
      <c r="M1492" s="2" t="s">
        <v>14731</v>
      </c>
      <c r="N1492" s="3" t="s">
        <v>214</v>
      </c>
      <c r="P1492" s="3" t="s">
        <v>140</v>
      </c>
      <c r="Q1492" s="2" t="s">
        <v>14732</v>
      </c>
      <c r="R1492" s="3" t="s">
        <v>71</v>
      </c>
      <c r="S1492" s="4">
        <v>6</v>
      </c>
      <c r="T1492" s="4">
        <v>6</v>
      </c>
      <c r="U1492" s="5" t="s">
        <v>14733</v>
      </c>
      <c r="V1492" s="5" t="s">
        <v>14733</v>
      </c>
      <c r="W1492" s="5" t="s">
        <v>72</v>
      </c>
      <c r="X1492" s="5" t="s">
        <v>72</v>
      </c>
      <c r="Y1492" s="4">
        <v>42</v>
      </c>
      <c r="Z1492" s="4">
        <v>2</v>
      </c>
      <c r="AA1492" s="4">
        <v>2</v>
      </c>
      <c r="AB1492" s="4">
        <v>1</v>
      </c>
      <c r="AC1492" s="4">
        <v>1</v>
      </c>
      <c r="AD1492" s="4">
        <v>27</v>
      </c>
      <c r="AE1492" s="4">
        <v>28</v>
      </c>
      <c r="AF1492" s="4">
        <v>0</v>
      </c>
      <c r="AG1492" s="4">
        <v>0</v>
      </c>
      <c r="AH1492" s="4">
        <v>26</v>
      </c>
      <c r="AI1492" s="4">
        <v>26</v>
      </c>
      <c r="AJ1492" s="4">
        <v>1</v>
      </c>
      <c r="AK1492" s="4">
        <v>1</v>
      </c>
      <c r="AL1492" s="4">
        <v>20</v>
      </c>
      <c r="AM1492" s="4">
        <v>21</v>
      </c>
      <c r="AN1492" s="4">
        <v>0</v>
      </c>
      <c r="AO1492" s="4">
        <v>0</v>
      </c>
      <c r="AP1492" s="4">
        <v>1</v>
      </c>
      <c r="AQ1492" s="4">
        <v>1</v>
      </c>
      <c r="AR1492" s="3" t="s">
        <v>65</v>
      </c>
      <c r="AS1492" s="3" t="s">
        <v>65</v>
      </c>
      <c r="AT1492" s="3" t="s">
        <v>209</v>
      </c>
      <c r="AU1492" s="6" t="str">
        <f>HYPERLINK("http://catalog.hathitrust.org/Record/006680485","HathiTrust Record")</f>
        <v>HathiTrust Record</v>
      </c>
      <c r="AV1492" s="6" t="str">
        <f>HYPERLINK("http://mcgill.on.worldcat.org/oclc/11233862","Catalog Record")</f>
        <v>Catalog Record</v>
      </c>
      <c r="AW1492" s="6" t="str">
        <f>HYPERLINK("http://www.worldcat.org/oclc/11233862","WorldCat Record")</f>
        <v>WorldCat Record</v>
      </c>
      <c r="AX1492" s="3" t="s">
        <v>14734</v>
      </c>
      <c r="AY1492" s="3" t="s">
        <v>14735</v>
      </c>
      <c r="AZ1492" s="3" t="s">
        <v>14736</v>
      </c>
      <c r="BA1492" s="3" t="s">
        <v>14736</v>
      </c>
      <c r="BB1492" s="3" t="s">
        <v>14737</v>
      </c>
      <c r="BC1492" s="3" t="s">
        <v>77</v>
      </c>
      <c r="BD1492" s="3" t="s">
        <v>78</v>
      </c>
      <c r="BF1492" s="3" t="s">
        <v>14737</v>
      </c>
      <c r="BG1492" s="3" t="s">
        <v>14738</v>
      </c>
    </row>
    <row r="1493" spans="1:59" ht="58" x14ac:dyDescent="0.35">
      <c r="A1493" s="2" t="s">
        <v>59</v>
      </c>
      <c r="B1493" s="2" t="s">
        <v>60</v>
      </c>
      <c r="C1493" s="2" t="s">
        <v>14739</v>
      </c>
      <c r="D1493" s="2" t="s">
        <v>14740</v>
      </c>
      <c r="E1493" s="2" t="s">
        <v>14741</v>
      </c>
      <c r="G1493" s="3" t="s">
        <v>65</v>
      </c>
      <c r="I1493" s="3" t="s">
        <v>65</v>
      </c>
      <c r="J1493" s="3" t="s">
        <v>65</v>
      </c>
      <c r="K1493" s="3" t="s">
        <v>66</v>
      </c>
      <c r="L1493" s="2" t="s">
        <v>14742</v>
      </c>
      <c r="M1493" s="2" t="s">
        <v>14743</v>
      </c>
      <c r="N1493" s="3" t="s">
        <v>176</v>
      </c>
      <c r="P1493" s="3" t="s">
        <v>140</v>
      </c>
      <c r="Q1493" s="2" t="s">
        <v>14744</v>
      </c>
      <c r="R1493" s="3" t="s">
        <v>71</v>
      </c>
      <c r="S1493" s="4">
        <v>0</v>
      </c>
      <c r="T1493" s="4">
        <v>0</v>
      </c>
      <c r="W1493" s="5" t="s">
        <v>72</v>
      </c>
      <c r="X1493" s="5" t="s">
        <v>72</v>
      </c>
      <c r="Y1493" s="4">
        <v>43</v>
      </c>
      <c r="Z1493" s="4">
        <v>3</v>
      </c>
      <c r="AA1493" s="4">
        <v>3</v>
      </c>
      <c r="AB1493" s="4">
        <v>1</v>
      </c>
      <c r="AC1493" s="4">
        <v>1</v>
      </c>
      <c r="AD1493" s="4">
        <v>25</v>
      </c>
      <c r="AE1493" s="4">
        <v>25</v>
      </c>
      <c r="AF1493" s="4">
        <v>0</v>
      </c>
      <c r="AG1493" s="4">
        <v>0</v>
      </c>
      <c r="AH1493" s="4">
        <v>24</v>
      </c>
      <c r="AI1493" s="4">
        <v>24</v>
      </c>
      <c r="AJ1493" s="4">
        <v>1</v>
      </c>
      <c r="AK1493" s="4">
        <v>1</v>
      </c>
      <c r="AL1493" s="4">
        <v>20</v>
      </c>
      <c r="AM1493" s="4">
        <v>20</v>
      </c>
      <c r="AN1493" s="4">
        <v>0</v>
      </c>
      <c r="AO1493" s="4">
        <v>0</v>
      </c>
      <c r="AP1493" s="4">
        <v>1</v>
      </c>
      <c r="AQ1493" s="4">
        <v>1</v>
      </c>
      <c r="AR1493" s="3" t="s">
        <v>65</v>
      </c>
      <c r="AS1493" s="3" t="s">
        <v>65</v>
      </c>
      <c r="AT1493" s="3" t="s">
        <v>65</v>
      </c>
      <c r="AV1493" s="6" t="str">
        <f>HYPERLINK("http://mcgill.on.worldcat.org/oclc/908024070","Catalog Record")</f>
        <v>Catalog Record</v>
      </c>
      <c r="AW1493" s="6" t="str">
        <f>HYPERLINK("http://www.worldcat.org/oclc/908024070","WorldCat Record")</f>
        <v>WorldCat Record</v>
      </c>
      <c r="AX1493" s="3" t="s">
        <v>14745</v>
      </c>
      <c r="AY1493" s="3" t="s">
        <v>14746</v>
      </c>
      <c r="AZ1493" s="3" t="s">
        <v>14747</v>
      </c>
      <c r="BA1493" s="3" t="s">
        <v>14747</v>
      </c>
      <c r="BB1493" s="3" t="s">
        <v>14748</v>
      </c>
      <c r="BC1493" s="3" t="s">
        <v>77</v>
      </c>
      <c r="BD1493" s="3" t="s">
        <v>78</v>
      </c>
      <c r="BE1493" s="3" t="s">
        <v>14749</v>
      </c>
      <c r="BF1493" s="3" t="s">
        <v>14748</v>
      </c>
      <c r="BG1493" s="3" t="s">
        <v>14750</v>
      </c>
    </row>
    <row r="1494" spans="1:59" ht="58" x14ac:dyDescent="0.35">
      <c r="A1494" s="2" t="s">
        <v>59</v>
      </c>
      <c r="B1494" s="2" t="s">
        <v>60</v>
      </c>
      <c r="C1494" s="2" t="s">
        <v>14751</v>
      </c>
      <c r="D1494" s="2" t="s">
        <v>14752</v>
      </c>
      <c r="E1494" s="2" t="s">
        <v>14753</v>
      </c>
      <c r="G1494" s="3" t="s">
        <v>65</v>
      </c>
      <c r="I1494" s="3" t="s">
        <v>65</v>
      </c>
      <c r="J1494" s="3" t="s">
        <v>65</v>
      </c>
      <c r="K1494" s="3" t="s">
        <v>66</v>
      </c>
      <c r="L1494" s="2" t="s">
        <v>14754</v>
      </c>
      <c r="M1494" s="2" t="s">
        <v>14755</v>
      </c>
      <c r="N1494" s="3" t="s">
        <v>8188</v>
      </c>
      <c r="P1494" s="3" t="s">
        <v>69</v>
      </c>
      <c r="Q1494" s="2" t="s">
        <v>14756</v>
      </c>
      <c r="R1494" s="3" t="s">
        <v>71</v>
      </c>
      <c r="S1494" s="4">
        <v>28</v>
      </c>
      <c r="T1494" s="4">
        <v>28</v>
      </c>
      <c r="U1494" s="5" t="s">
        <v>10901</v>
      </c>
      <c r="V1494" s="5" t="s">
        <v>10901</v>
      </c>
      <c r="W1494" s="5" t="s">
        <v>72</v>
      </c>
      <c r="X1494" s="5" t="s">
        <v>72</v>
      </c>
      <c r="Y1494" s="4">
        <v>304</v>
      </c>
      <c r="Z1494" s="4">
        <v>23</v>
      </c>
      <c r="AA1494" s="4">
        <v>24</v>
      </c>
      <c r="AB1494" s="4">
        <v>2</v>
      </c>
      <c r="AC1494" s="4">
        <v>3</v>
      </c>
      <c r="AD1494" s="4">
        <v>106</v>
      </c>
      <c r="AE1494" s="4">
        <v>107</v>
      </c>
      <c r="AF1494" s="4">
        <v>1</v>
      </c>
      <c r="AG1494" s="4">
        <v>2</v>
      </c>
      <c r="AH1494" s="4">
        <v>96</v>
      </c>
      <c r="AI1494" s="4">
        <v>96</v>
      </c>
      <c r="AJ1494" s="4">
        <v>17</v>
      </c>
      <c r="AK1494" s="4">
        <v>18</v>
      </c>
      <c r="AL1494" s="4">
        <v>55</v>
      </c>
      <c r="AM1494" s="4">
        <v>55</v>
      </c>
      <c r="AN1494" s="4">
        <v>0</v>
      </c>
      <c r="AO1494" s="4">
        <v>0</v>
      </c>
      <c r="AP1494" s="4">
        <v>18</v>
      </c>
      <c r="AQ1494" s="4">
        <v>18</v>
      </c>
      <c r="AR1494" s="3" t="s">
        <v>65</v>
      </c>
      <c r="AS1494" s="3" t="s">
        <v>65</v>
      </c>
      <c r="AT1494" s="3" t="s">
        <v>209</v>
      </c>
      <c r="AU1494" s="6" t="str">
        <f>HYPERLINK("http://catalog.hathitrust.org/Record/000875660","HathiTrust Record")</f>
        <v>HathiTrust Record</v>
      </c>
      <c r="AV1494" s="6" t="str">
        <f>HYPERLINK("http://mcgill.on.worldcat.org/oclc/14932009","Catalog Record")</f>
        <v>Catalog Record</v>
      </c>
      <c r="AW1494" s="6" t="str">
        <f>HYPERLINK("http://www.worldcat.org/oclc/14932009","WorldCat Record")</f>
        <v>WorldCat Record</v>
      </c>
      <c r="AX1494" s="3" t="s">
        <v>14757</v>
      </c>
      <c r="AY1494" s="3" t="s">
        <v>14758</v>
      </c>
      <c r="AZ1494" s="3" t="s">
        <v>14759</v>
      </c>
      <c r="BA1494" s="3" t="s">
        <v>14759</v>
      </c>
      <c r="BB1494" s="3" t="s">
        <v>14760</v>
      </c>
      <c r="BC1494" s="3" t="s">
        <v>77</v>
      </c>
      <c r="BD1494" s="3" t="s">
        <v>78</v>
      </c>
      <c r="BE1494" s="3" t="s">
        <v>14761</v>
      </c>
      <c r="BF1494" s="3" t="s">
        <v>14760</v>
      </c>
      <c r="BG1494" s="3" t="s">
        <v>14762</v>
      </c>
    </row>
    <row r="1495" spans="1:59" ht="58" x14ac:dyDescent="0.35">
      <c r="A1495" s="2" t="s">
        <v>59</v>
      </c>
      <c r="B1495" s="2" t="s">
        <v>60</v>
      </c>
      <c r="C1495" s="2" t="s">
        <v>14763</v>
      </c>
      <c r="D1495" s="2" t="s">
        <v>14764</v>
      </c>
      <c r="E1495" s="2" t="s">
        <v>14765</v>
      </c>
      <c r="G1495" s="3" t="s">
        <v>65</v>
      </c>
      <c r="I1495" s="3" t="s">
        <v>65</v>
      </c>
      <c r="J1495" s="3" t="s">
        <v>65</v>
      </c>
      <c r="K1495" s="3" t="s">
        <v>66</v>
      </c>
      <c r="L1495" s="2" t="s">
        <v>8032</v>
      </c>
      <c r="M1495" s="2" t="s">
        <v>3305</v>
      </c>
      <c r="N1495" s="3" t="s">
        <v>139</v>
      </c>
      <c r="O1495" s="2" t="s">
        <v>365</v>
      </c>
      <c r="P1495" s="3" t="s">
        <v>140</v>
      </c>
      <c r="Q1495" s="2" t="s">
        <v>14766</v>
      </c>
      <c r="R1495" s="3" t="s">
        <v>71</v>
      </c>
      <c r="S1495" s="4">
        <v>0</v>
      </c>
      <c r="T1495" s="4">
        <v>0</v>
      </c>
      <c r="W1495" s="5" t="s">
        <v>72</v>
      </c>
      <c r="X1495" s="5" t="s">
        <v>72</v>
      </c>
      <c r="Y1495" s="4">
        <v>50</v>
      </c>
      <c r="Z1495" s="4">
        <v>4</v>
      </c>
      <c r="AA1495" s="4">
        <v>4</v>
      </c>
      <c r="AB1495" s="4">
        <v>1</v>
      </c>
      <c r="AC1495" s="4">
        <v>1</v>
      </c>
      <c r="AD1495" s="4">
        <v>32</v>
      </c>
      <c r="AE1495" s="4">
        <v>34</v>
      </c>
      <c r="AF1495" s="4">
        <v>0</v>
      </c>
      <c r="AG1495" s="4">
        <v>0</v>
      </c>
      <c r="AH1495" s="4">
        <v>31</v>
      </c>
      <c r="AI1495" s="4">
        <v>33</v>
      </c>
      <c r="AJ1495" s="4">
        <v>2</v>
      </c>
      <c r="AK1495" s="4">
        <v>2</v>
      </c>
      <c r="AL1495" s="4">
        <v>25</v>
      </c>
      <c r="AM1495" s="4">
        <v>26</v>
      </c>
      <c r="AN1495" s="4">
        <v>0</v>
      </c>
      <c r="AO1495" s="4">
        <v>0</v>
      </c>
      <c r="AP1495" s="4">
        <v>2</v>
      </c>
      <c r="AQ1495" s="4">
        <v>2</v>
      </c>
      <c r="AR1495" s="3" t="s">
        <v>65</v>
      </c>
      <c r="AS1495" s="3" t="s">
        <v>65</v>
      </c>
      <c r="AT1495" s="3" t="s">
        <v>65</v>
      </c>
      <c r="AV1495" s="6" t="str">
        <f>HYPERLINK("http://mcgill.on.worldcat.org/oclc/813927207","Catalog Record")</f>
        <v>Catalog Record</v>
      </c>
      <c r="AW1495" s="6" t="str">
        <f>HYPERLINK("http://www.worldcat.org/oclc/813927207","WorldCat Record")</f>
        <v>WorldCat Record</v>
      </c>
      <c r="AX1495" s="3" t="s">
        <v>14767</v>
      </c>
      <c r="AY1495" s="3" t="s">
        <v>14768</v>
      </c>
      <c r="AZ1495" s="3" t="s">
        <v>14769</v>
      </c>
      <c r="BA1495" s="3" t="s">
        <v>14769</v>
      </c>
      <c r="BB1495" s="3" t="s">
        <v>14770</v>
      </c>
      <c r="BC1495" s="3" t="s">
        <v>77</v>
      </c>
      <c r="BD1495" s="3" t="s">
        <v>78</v>
      </c>
      <c r="BE1495" s="3" t="s">
        <v>14771</v>
      </c>
      <c r="BF1495" s="3" t="s">
        <v>14770</v>
      </c>
      <c r="BG1495" s="3" t="s">
        <v>14772</v>
      </c>
    </row>
    <row r="1496" spans="1:59" ht="58" x14ac:dyDescent="0.35">
      <c r="A1496" s="2" t="s">
        <v>59</v>
      </c>
      <c r="B1496" s="2" t="s">
        <v>60</v>
      </c>
      <c r="C1496" s="2" t="s">
        <v>14773</v>
      </c>
      <c r="D1496" s="2" t="s">
        <v>14774</v>
      </c>
      <c r="E1496" s="2" t="s">
        <v>14775</v>
      </c>
      <c r="G1496" s="3" t="s">
        <v>65</v>
      </c>
      <c r="I1496" s="3" t="s">
        <v>65</v>
      </c>
      <c r="J1496" s="3" t="s">
        <v>65</v>
      </c>
      <c r="K1496" s="3" t="s">
        <v>66</v>
      </c>
      <c r="L1496" s="2" t="s">
        <v>14776</v>
      </c>
      <c r="M1496" s="2" t="s">
        <v>14777</v>
      </c>
      <c r="N1496" s="3" t="s">
        <v>1967</v>
      </c>
      <c r="P1496" s="3" t="s">
        <v>616</v>
      </c>
      <c r="Q1496" s="2" t="s">
        <v>14778</v>
      </c>
      <c r="R1496" s="3" t="s">
        <v>71</v>
      </c>
      <c r="S1496" s="4">
        <v>2</v>
      </c>
      <c r="T1496" s="4">
        <v>2</v>
      </c>
      <c r="U1496" s="5" t="s">
        <v>14779</v>
      </c>
      <c r="V1496" s="5" t="s">
        <v>14779</v>
      </c>
      <c r="W1496" s="5" t="s">
        <v>72</v>
      </c>
      <c r="X1496" s="5" t="s">
        <v>72</v>
      </c>
      <c r="Y1496" s="4">
        <v>24</v>
      </c>
      <c r="Z1496" s="4">
        <v>4</v>
      </c>
      <c r="AA1496" s="4">
        <v>5</v>
      </c>
      <c r="AB1496" s="4">
        <v>2</v>
      </c>
      <c r="AC1496" s="4">
        <v>3</v>
      </c>
      <c r="AD1496" s="4">
        <v>5</v>
      </c>
      <c r="AE1496" s="4">
        <v>6</v>
      </c>
      <c r="AF1496" s="4">
        <v>0</v>
      </c>
      <c r="AG1496" s="4">
        <v>1</v>
      </c>
      <c r="AH1496" s="4">
        <v>5</v>
      </c>
      <c r="AI1496" s="4">
        <v>5</v>
      </c>
      <c r="AJ1496" s="4">
        <v>1</v>
      </c>
      <c r="AK1496" s="4">
        <v>2</v>
      </c>
      <c r="AL1496" s="4">
        <v>4</v>
      </c>
      <c r="AM1496" s="4">
        <v>4</v>
      </c>
      <c r="AN1496" s="4">
        <v>0</v>
      </c>
      <c r="AO1496" s="4">
        <v>0</v>
      </c>
      <c r="AP1496" s="4">
        <v>1</v>
      </c>
      <c r="AQ1496" s="4">
        <v>1</v>
      </c>
      <c r="AR1496" s="3" t="s">
        <v>65</v>
      </c>
      <c r="AS1496" s="3" t="s">
        <v>65</v>
      </c>
      <c r="AT1496" s="3" t="s">
        <v>65</v>
      </c>
      <c r="AV1496" s="6" t="str">
        <f>HYPERLINK("http://mcgill.on.worldcat.org/oclc/55622283","Catalog Record")</f>
        <v>Catalog Record</v>
      </c>
      <c r="AW1496" s="6" t="str">
        <f>HYPERLINK("http://www.worldcat.org/oclc/55622283","WorldCat Record")</f>
        <v>WorldCat Record</v>
      </c>
      <c r="AX1496" s="3" t="s">
        <v>14780</v>
      </c>
      <c r="AY1496" s="3" t="s">
        <v>14781</v>
      </c>
      <c r="AZ1496" s="3" t="s">
        <v>14782</v>
      </c>
      <c r="BA1496" s="3" t="s">
        <v>14782</v>
      </c>
      <c r="BB1496" s="3" t="s">
        <v>14783</v>
      </c>
      <c r="BC1496" s="3" t="s">
        <v>77</v>
      </c>
      <c r="BD1496" s="3" t="s">
        <v>78</v>
      </c>
      <c r="BE1496" s="3" t="s">
        <v>14784</v>
      </c>
      <c r="BF1496" s="3" t="s">
        <v>14783</v>
      </c>
      <c r="BG1496" s="3" t="s">
        <v>14785</v>
      </c>
    </row>
    <row r="1497" spans="1:59" ht="58" x14ac:dyDescent="0.35">
      <c r="A1497" s="2" t="s">
        <v>59</v>
      </c>
      <c r="B1497" s="2" t="s">
        <v>60</v>
      </c>
      <c r="C1497" s="2" t="s">
        <v>14786</v>
      </c>
      <c r="D1497" s="2" t="s">
        <v>14787</v>
      </c>
      <c r="E1497" s="2" t="s">
        <v>14788</v>
      </c>
      <c r="G1497" s="3" t="s">
        <v>65</v>
      </c>
      <c r="I1497" s="3" t="s">
        <v>65</v>
      </c>
      <c r="J1497" s="3" t="s">
        <v>65</v>
      </c>
      <c r="K1497" s="3" t="s">
        <v>66</v>
      </c>
      <c r="L1497" s="2" t="s">
        <v>14789</v>
      </c>
      <c r="M1497" s="2" t="s">
        <v>14790</v>
      </c>
      <c r="N1497" s="3" t="s">
        <v>139</v>
      </c>
      <c r="P1497" s="3" t="s">
        <v>69</v>
      </c>
      <c r="Q1497" s="2" t="s">
        <v>14791</v>
      </c>
      <c r="R1497" s="3" t="s">
        <v>71</v>
      </c>
      <c r="S1497" s="4">
        <v>0</v>
      </c>
      <c r="T1497" s="4">
        <v>0</v>
      </c>
      <c r="W1497" s="5" t="s">
        <v>72</v>
      </c>
      <c r="X1497" s="5" t="s">
        <v>72</v>
      </c>
      <c r="Y1497" s="4">
        <v>110</v>
      </c>
      <c r="Z1497" s="4">
        <v>8</v>
      </c>
      <c r="AA1497" s="4">
        <v>8</v>
      </c>
      <c r="AB1497" s="4">
        <v>1</v>
      </c>
      <c r="AC1497" s="4">
        <v>1</v>
      </c>
      <c r="AD1497" s="4">
        <v>58</v>
      </c>
      <c r="AE1497" s="4">
        <v>58</v>
      </c>
      <c r="AF1497" s="4">
        <v>0</v>
      </c>
      <c r="AG1497" s="4">
        <v>0</v>
      </c>
      <c r="AH1497" s="4">
        <v>55</v>
      </c>
      <c r="AI1497" s="4">
        <v>55</v>
      </c>
      <c r="AJ1497" s="4">
        <v>6</v>
      </c>
      <c r="AK1497" s="4">
        <v>6</v>
      </c>
      <c r="AL1497" s="4">
        <v>35</v>
      </c>
      <c r="AM1497" s="4">
        <v>35</v>
      </c>
      <c r="AN1497" s="4">
        <v>0</v>
      </c>
      <c r="AO1497" s="4">
        <v>0</v>
      </c>
      <c r="AP1497" s="4">
        <v>6</v>
      </c>
      <c r="AQ1497" s="4">
        <v>6</v>
      </c>
      <c r="AR1497" s="3" t="s">
        <v>65</v>
      </c>
      <c r="AS1497" s="3" t="s">
        <v>65</v>
      </c>
      <c r="AT1497" s="3" t="s">
        <v>65</v>
      </c>
      <c r="AV1497" s="6" t="str">
        <f>HYPERLINK("http://mcgill.on.worldcat.org/oclc/769010723","Catalog Record")</f>
        <v>Catalog Record</v>
      </c>
      <c r="AW1497" s="6" t="str">
        <f>HYPERLINK("http://www.worldcat.org/oclc/769010723","WorldCat Record")</f>
        <v>WorldCat Record</v>
      </c>
      <c r="AX1497" s="3" t="s">
        <v>14792</v>
      </c>
      <c r="AY1497" s="3" t="s">
        <v>14793</v>
      </c>
      <c r="AZ1497" s="3" t="s">
        <v>14794</v>
      </c>
      <c r="BA1497" s="3" t="s">
        <v>14794</v>
      </c>
      <c r="BB1497" s="3" t="s">
        <v>14795</v>
      </c>
      <c r="BC1497" s="3" t="s">
        <v>77</v>
      </c>
      <c r="BD1497" s="3" t="s">
        <v>78</v>
      </c>
      <c r="BE1497" s="3" t="s">
        <v>14796</v>
      </c>
      <c r="BF1497" s="3" t="s">
        <v>14795</v>
      </c>
      <c r="BG1497" s="3" t="s">
        <v>14797</v>
      </c>
    </row>
    <row r="1498" spans="1:59" ht="58" x14ac:dyDescent="0.35">
      <c r="A1498" s="2" t="s">
        <v>59</v>
      </c>
      <c r="B1498" s="2" t="s">
        <v>60</v>
      </c>
      <c r="C1498" s="2" t="s">
        <v>14798</v>
      </c>
      <c r="D1498" s="2" t="s">
        <v>14799</v>
      </c>
      <c r="E1498" s="2" t="s">
        <v>14800</v>
      </c>
      <c r="G1498" s="3" t="s">
        <v>65</v>
      </c>
      <c r="I1498" s="3" t="s">
        <v>65</v>
      </c>
      <c r="J1498" s="3" t="s">
        <v>65</v>
      </c>
      <c r="K1498" s="3" t="s">
        <v>66</v>
      </c>
      <c r="L1498" s="2" t="s">
        <v>14801</v>
      </c>
      <c r="M1498" s="2" t="s">
        <v>14802</v>
      </c>
      <c r="N1498" s="3" t="s">
        <v>1895</v>
      </c>
      <c r="P1498" s="3" t="s">
        <v>140</v>
      </c>
      <c r="Q1498" s="2" t="s">
        <v>14803</v>
      </c>
      <c r="R1498" s="3" t="s">
        <v>71</v>
      </c>
      <c r="S1498" s="4">
        <v>8</v>
      </c>
      <c r="T1498" s="4">
        <v>8</v>
      </c>
      <c r="U1498" s="5" t="s">
        <v>14779</v>
      </c>
      <c r="V1498" s="5" t="s">
        <v>14779</v>
      </c>
      <c r="W1498" s="5" t="s">
        <v>72</v>
      </c>
      <c r="X1498" s="5" t="s">
        <v>72</v>
      </c>
      <c r="Y1498" s="4">
        <v>119</v>
      </c>
      <c r="Z1498" s="4">
        <v>6</v>
      </c>
      <c r="AA1498" s="4">
        <v>6</v>
      </c>
      <c r="AB1498" s="4">
        <v>2</v>
      </c>
      <c r="AC1498" s="4">
        <v>2</v>
      </c>
      <c r="AD1498" s="4">
        <v>49</v>
      </c>
      <c r="AE1498" s="4">
        <v>49</v>
      </c>
      <c r="AF1498" s="4">
        <v>0</v>
      </c>
      <c r="AG1498" s="4">
        <v>0</v>
      </c>
      <c r="AH1498" s="4">
        <v>47</v>
      </c>
      <c r="AI1498" s="4">
        <v>47</v>
      </c>
      <c r="AJ1498" s="4">
        <v>3</v>
      </c>
      <c r="AK1498" s="4">
        <v>3</v>
      </c>
      <c r="AL1498" s="4">
        <v>35</v>
      </c>
      <c r="AM1498" s="4">
        <v>35</v>
      </c>
      <c r="AN1498" s="4">
        <v>0</v>
      </c>
      <c r="AO1498" s="4">
        <v>0</v>
      </c>
      <c r="AP1498" s="4">
        <v>3</v>
      </c>
      <c r="AQ1498" s="4">
        <v>3</v>
      </c>
      <c r="AR1498" s="3" t="s">
        <v>65</v>
      </c>
      <c r="AS1498" s="3" t="s">
        <v>65</v>
      </c>
      <c r="AT1498" s="3" t="s">
        <v>65</v>
      </c>
      <c r="AV1498" s="6" t="str">
        <f>HYPERLINK("http://mcgill.on.worldcat.org/oclc/40482557","Catalog Record")</f>
        <v>Catalog Record</v>
      </c>
      <c r="AW1498" s="6" t="str">
        <f>HYPERLINK("http://www.worldcat.org/oclc/40482557","WorldCat Record")</f>
        <v>WorldCat Record</v>
      </c>
      <c r="AX1498" s="3" t="s">
        <v>14804</v>
      </c>
      <c r="AY1498" s="3" t="s">
        <v>14805</v>
      </c>
      <c r="AZ1498" s="3" t="s">
        <v>14806</v>
      </c>
      <c r="BA1498" s="3" t="s">
        <v>14806</v>
      </c>
      <c r="BB1498" s="3" t="s">
        <v>14807</v>
      </c>
      <c r="BC1498" s="3" t="s">
        <v>77</v>
      </c>
      <c r="BD1498" s="3" t="s">
        <v>78</v>
      </c>
      <c r="BE1498" s="3" t="s">
        <v>14808</v>
      </c>
      <c r="BF1498" s="3" t="s">
        <v>14807</v>
      </c>
      <c r="BG1498" s="3" t="s">
        <v>14809</v>
      </c>
    </row>
    <row r="1499" spans="1:59" ht="58" x14ac:dyDescent="0.35">
      <c r="A1499" s="2" t="s">
        <v>59</v>
      </c>
      <c r="B1499" s="2" t="s">
        <v>60</v>
      </c>
      <c r="C1499" s="2" t="s">
        <v>14810</v>
      </c>
      <c r="D1499" s="2" t="s">
        <v>14811</v>
      </c>
      <c r="E1499" s="2" t="s">
        <v>14812</v>
      </c>
      <c r="G1499" s="3" t="s">
        <v>65</v>
      </c>
      <c r="I1499" s="3" t="s">
        <v>65</v>
      </c>
      <c r="J1499" s="3" t="s">
        <v>65</v>
      </c>
      <c r="K1499" s="3" t="s">
        <v>66</v>
      </c>
      <c r="L1499" s="2" t="s">
        <v>14813</v>
      </c>
      <c r="M1499" s="2" t="s">
        <v>14814</v>
      </c>
      <c r="N1499" s="3" t="s">
        <v>14815</v>
      </c>
      <c r="P1499" s="3" t="s">
        <v>140</v>
      </c>
      <c r="R1499" s="3" t="s">
        <v>71</v>
      </c>
      <c r="S1499" s="4">
        <v>3</v>
      </c>
      <c r="T1499" s="4">
        <v>3</v>
      </c>
      <c r="U1499" s="5" t="s">
        <v>14779</v>
      </c>
      <c r="V1499" s="5" t="s">
        <v>14779</v>
      </c>
      <c r="W1499" s="5" t="s">
        <v>72</v>
      </c>
      <c r="X1499" s="5" t="s">
        <v>72</v>
      </c>
      <c r="Y1499" s="4">
        <v>21</v>
      </c>
      <c r="Z1499" s="4">
        <v>1</v>
      </c>
      <c r="AA1499" s="4">
        <v>3</v>
      </c>
      <c r="AB1499" s="4">
        <v>1</v>
      </c>
      <c r="AC1499" s="4">
        <v>1</v>
      </c>
      <c r="AD1499" s="4">
        <v>12</v>
      </c>
      <c r="AE1499" s="4">
        <v>34</v>
      </c>
      <c r="AF1499" s="4">
        <v>0</v>
      </c>
      <c r="AG1499" s="4">
        <v>0</v>
      </c>
      <c r="AH1499" s="4">
        <v>11</v>
      </c>
      <c r="AI1499" s="4">
        <v>33</v>
      </c>
      <c r="AJ1499" s="4">
        <v>0</v>
      </c>
      <c r="AK1499" s="4">
        <v>2</v>
      </c>
      <c r="AL1499" s="4">
        <v>10</v>
      </c>
      <c r="AM1499" s="4">
        <v>21</v>
      </c>
      <c r="AN1499" s="4">
        <v>0</v>
      </c>
      <c r="AO1499" s="4">
        <v>0</v>
      </c>
      <c r="AP1499" s="4">
        <v>0</v>
      </c>
      <c r="AQ1499" s="4">
        <v>2</v>
      </c>
      <c r="AR1499" s="3" t="s">
        <v>65</v>
      </c>
      <c r="AS1499" s="3" t="s">
        <v>65</v>
      </c>
      <c r="AT1499" s="3" t="s">
        <v>65</v>
      </c>
      <c r="AU1499" s="6" t="str">
        <f>HYPERLINK("http://catalog.hathitrust.org/Record/011822524","HathiTrust Record")</f>
        <v>HathiTrust Record</v>
      </c>
      <c r="AV1499" s="6" t="str">
        <f>HYPERLINK("http://mcgill.on.worldcat.org/oclc/6866462","Catalog Record")</f>
        <v>Catalog Record</v>
      </c>
      <c r="AW1499" s="6" t="str">
        <f>HYPERLINK("http://www.worldcat.org/oclc/6866462","WorldCat Record")</f>
        <v>WorldCat Record</v>
      </c>
      <c r="AX1499" s="3" t="s">
        <v>14816</v>
      </c>
      <c r="AY1499" s="3" t="s">
        <v>14817</v>
      </c>
      <c r="AZ1499" s="3" t="s">
        <v>14818</v>
      </c>
      <c r="BA1499" s="3" t="s">
        <v>14818</v>
      </c>
      <c r="BB1499" s="3" t="s">
        <v>14819</v>
      </c>
      <c r="BC1499" s="3" t="s">
        <v>77</v>
      </c>
      <c r="BD1499" s="3" t="s">
        <v>78</v>
      </c>
      <c r="BF1499" s="3" t="s">
        <v>14819</v>
      </c>
      <c r="BG1499" s="3" t="s">
        <v>14820</v>
      </c>
    </row>
    <row r="1500" spans="1:59" ht="58" x14ac:dyDescent="0.35">
      <c r="A1500" s="2" t="s">
        <v>59</v>
      </c>
      <c r="B1500" s="2" t="s">
        <v>60</v>
      </c>
      <c r="C1500" s="2" t="s">
        <v>14821</v>
      </c>
      <c r="D1500" s="2" t="s">
        <v>14822</v>
      </c>
      <c r="E1500" s="2" t="s">
        <v>14823</v>
      </c>
      <c r="F1500" s="3" t="s">
        <v>3103</v>
      </c>
      <c r="G1500" s="3" t="s">
        <v>209</v>
      </c>
      <c r="I1500" s="3" t="s">
        <v>65</v>
      </c>
      <c r="J1500" s="3" t="s">
        <v>65</v>
      </c>
      <c r="K1500" s="3" t="s">
        <v>66</v>
      </c>
      <c r="L1500" s="2" t="s">
        <v>14754</v>
      </c>
      <c r="M1500" s="2" t="s">
        <v>14824</v>
      </c>
      <c r="N1500" s="3" t="s">
        <v>11262</v>
      </c>
      <c r="P1500" s="3" t="s">
        <v>140</v>
      </c>
      <c r="Q1500" s="2" t="s">
        <v>14825</v>
      </c>
      <c r="R1500" s="3" t="s">
        <v>71</v>
      </c>
      <c r="S1500" s="4">
        <v>2</v>
      </c>
      <c r="T1500" s="4">
        <v>3</v>
      </c>
      <c r="U1500" s="5" t="s">
        <v>14779</v>
      </c>
      <c r="V1500" s="5" t="s">
        <v>14779</v>
      </c>
      <c r="W1500" s="5" t="s">
        <v>72</v>
      </c>
      <c r="X1500" s="5" t="s">
        <v>72</v>
      </c>
      <c r="Y1500" s="4">
        <v>186</v>
      </c>
      <c r="Z1500" s="4">
        <v>16</v>
      </c>
      <c r="AA1500" s="4">
        <v>16</v>
      </c>
      <c r="AB1500" s="4">
        <v>1</v>
      </c>
      <c r="AC1500" s="4">
        <v>1</v>
      </c>
      <c r="AD1500" s="4">
        <v>79</v>
      </c>
      <c r="AE1500" s="4">
        <v>79</v>
      </c>
      <c r="AF1500" s="4">
        <v>0</v>
      </c>
      <c r="AG1500" s="4">
        <v>0</v>
      </c>
      <c r="AH1500" s="4">
        <v>72</v>
      </c>
      <c r="AI1500" s="4">
        <v>72</v>
      </c>
      <c r="AJ1500" s="4">
        <v>9</v>
      </c>
      <c r="AK1500" s="4">
        <v>9</v>
      </c>
      <c r="AL1500" s="4">
        <v>46</v>
      </c>
      <c r="AM1500" s="4">
        <v>46</v>
      </c>
      <c r="AN1500" s="4">
        <v>0</v>
      </c>
      <c r="AO1500" s="4">
        <v>0</v>
      </c>
      <c r="AP1500" s="4">
        <v>11</v>
      </c>
      <c r="AQ1500" s="4">
        <v>11</v>
      </c>
      <c r="AR1500" s="3" t="s">
        <v>65</v>
      </c>
      <c r="AS1500" s="3" t="s">
        <v>65</v>
      </c>
      <c r="AT1500" s="3" t="s">
        <v>209</v>
      </c>
      <c r="AU1500" s="6" t="str">
        <f>HYPERLINK("http://catalog.hathitrust.org/Record/007126391","HathiTrust Record")</f>
        <v>HathiTrust Record</v>
      </c>
      <c r="AV1500" s="6" t="str">
        <f>HYPERLINK("http://mcgill.on.worldcat.org/oclc/1015923","Catalog Record")</f>
        <v>Catalog Record</v>
      </c>
      <c r="AW1500" s="6" t="str">
        <f>HYPERLINK("http://www.worldcat.org/oclc/1015923","WorldCat Record")</f>
        <v>WorldCat Record</v>
      </c>
      <c r="AX1500" s="3" t="s">
        <v>14826</v>
      </c>
      <c r="AY1500" s="3" t="s">
        <v>14827</v>
      </c>
      <c r="AZ1500" s="3" t="s">
        <v>14828</v>
      </c>
      <c r="BA1500" s="3" t="s">
        <v>14828</v>
      </c>
      <c r="BB1500" s="3" t="s">
        <v>14829</v>
      </c>
      <c r="BC1500" s="3" t="s">
        <v>77</v>
      </c>
      <c r="BD1500" s="3" t="s">
        <v>78</v>
      </c>
      <c r="BF1500" s="3" t="s">
        <v>14829</v>
      </c>
      <c r="BG1500" s="3" t="s">
        <v>14830</v>
      </c>
    </row>
    <row r="1501" spans="1:59" ht="58" x14ac:dyDescent="0.35">
      <c r="A1501" s="2" t="s">
        <v>59</v>
      </c>
      <c r="B1501" s="2" t="s">
        <v>60</v>
      </c>
      <c r="C1501" s="2" t="s">
        <v>14821</v>
      </c>
      <c r="D1501" s="2" t="s">
        <v>14822</v>
      </c>
      <c r="E1501" s="2" t="s">
        <v>14823</v>
      </c>
      <c r="F1501" s="3" t="s">
        <v>490</v>
      </c>
      <c r="G1501" s="3" t="s">
        <v>209</v>
      </c>
      <c r="I1501" s="3" t="s">
        <v>65</v>
      </c>
      <c r="J1501" s="3" t="s">
        <v>65</v>
      </c>
      <c r="K1501" s="3" t="s">
        <v>66</v>
      </c>
      <c r="L1501" s="2" t="s">
        <v>14754</v>
      </c>
      <c r="M1501" s="2" t="s">
        <v>14824</v>
      </c>
      <c r="N1501" s="3" t="s">
        <v>11262</v>
      </c>
      <c r="P1501" s="3" t="s">
        <v>140</v>
      </c>
      <c r="Q1501" s="2" t="s">
        <v>14825</v>
      </c>
      <c r="R1501" s="3" t="s">
        <v>71</v>
      </c>
      <c r="S1501" s="4">
        <v>1</v>
      </c>
      <c r="T1501" s="4">
        <v>3</v>
      </c>
      <c r="U1501" s="5" t="s">
        <v>14831</v>
      </c>
      <c r="V1501" s="5" t="s">
        <v>14779</v>
      </c>
      <c r="W1501" s="5" t="s">
        <v>72</v>
      </c>
      <c r="X1501" s="5" t="s">
        <v>72</v>
      </c>
      <c r="Y1501" s="4">
        <v>186</v>
      </c>
      <c r="Z1501" s="4">
        <v>16</v>
      </c>
      <c r="AA1501" s="4">
        <v>16</v>
      </c>
      <c r="AB1501" s="4">
        <v>1</v>
      </c>
      <c r="AC1501" s="4">
        <v>1</v>
      </c>
      <c r="AD1501" s="4">
        <v>79</v>
      </c>
      <c r="AE1501" s="4">
        <v>79</v>
      </c>
      <c r="AF1501" s="4">
        <v>0</v>
      </c>
      <c r="AG1501" s="4">
        <v>0</v>
      </c>
      <c r="AH1501" s="4">
        <v>72</v>
      </c>
      <c r="AI1501" s="4">
        <v>72</v>
      </c>
      <c r="AJ1501" s="4">
        <v>9</v>
      </c>
      <c r="AK1501" s="4">
        <v>9</v>
      </c>
      <c r="AL1501" s="4">
        <v>46</v>
      </c>
      <c r="AM1501" s="4">
        <v>46</v>
      </c>
      <c r="AN1501" s="4">
        <v>0</v>
      </c>
      <c r="AO1501" s="4">
        <v>0</v>
      </c>
      <c r="AP1501" s="4">
        <v>11</v>
      </c>
      <c r="AQ1501" s="4">
        <v>11</v>
      </c>
      <c r="AR1501" s="3" t="s">
        <v>65</v>
      </c>
      <c r="AS1501" s="3" t="s">
        <v>65</v>
      </c>
      <c r="AT1501" s="3" t="s">
        <v>209</v>
      </c>
      <c r="AU1501" s="6" t="str">
        <f>HYPERLINK("http://catalog.hathitrust.org/Record/007126391","HathiTrust Record")</f>
        <v>HathiTrust Record</v>
      </c>
      <c r="AV1501" s="6" t="str">
        <f>HYPERLINK("http://mcgill.on.worldcat.org/oclc/1015923","Catalog Record")</f>
        <v>Catalog Record</v>
      </c>
      <c r="AW1501" s="6" t="str">
        <f>HYPERLINK("http://www.worldcat.org/oclc/1015923","WorldCat Record")</f>
        <v>WorldCat Record</v>
      </c>
      <c r="AX1501" s="3" t="s">
        <v>14826</v>
      </c>
      <c r="AY1501" s="3" t="s">
        <v>14827</v>
      </c>
      <c r="AZ1501" s="3" t="s">
        <v>14828</v>
      </c>
      <c r="BA1501" s="3" t="s">
        <v>14828</v>
      </c>
      <c r="BB1501" s="3" t="s">
        <v>14832</v>
      </c>
      <c r="BC1501" s="3" t="s">
        <v>77</v>
      </c>
      <c r="BD1501" s="3" t="s">
        <v>78</v>
      </c>
      <c r="BF1501" s="3" t="s">
        <v>14832</v>
      </c>
      <c r="BG1501" s="3" t="s">
        <v>14833</v>
      </c>
    </row>
    <row r="1502" spans="1:59" ht="58" x14ac:dyDescent="0.35">
      <c r="A1502" s="2" t="s">
        <v>59</v>
      </c>
      <c r="B1502" s="2" t="s">
        <v>60</v>
      </c>
      <c r="C1502" s="2" t="s">
        <v>14821</v>
      </c>
      <c r="D1502" s="2" t="s">
        <v>14822</v>
      </c>
      <c r="E1502" s="2" t="s">
        <v>14823</v>
      </c>
      <c r="F1502" s="3" t="s">
        <v>503</v>
      </c>
      <c r="G1502" s="3" t="s">
        <v>209</v>
      </c>
      <c r="I1502" s="3" t="s">
        <v>65</v>
      </c>
      <c r="J1502" s="3" t="s">
        <v>65</v>
      </c>
      <c r="K1502" s="3" t="s">
        <v>66</v>
      </c>
      <c r="L1502" s="2" t="s">
        <v>14754</v>
      </c>
      <c r="M1502" s="2" t="s">
        <v>14824</v>
      </c>
      <c r="N1502" s="3" t="s">
        <v>11262</v>
      </c>
      <c r="P1502" s="3" t="s">
        <v>140</v>
      </c>
      <c r="Q1502" s="2" t="s">
        <v>14825</v>
      </c>
      <c r="R1502" s="3" t="s">
        <v>71</v>
      </c>
      <c r="S1502" s="4">
        <v>0</v>
      </c>
      <c r="T1502" s="4">
        <v>3</v>
      </c>
      <c r="V1502" s="5" t="s">
        <v>14779</v>
      </c>
      <c r="W1502" s="5" t="s">
        <v>72</v>
      </c>
      <c r="X1502" s="5" t="s">
        <v>72</v>
      </c>
      <c r="Y1502" s="4">
        <v>186</v>
      </c>
      <c r="Z1502" s="4">
        <v>16</v>
      </c>
      <c r="AA1502" s="4">
        <v>16</v>
      </c>
      <c r="AB1502" s="4">
        <v>1</v>
      </c>
      <c r="AC1502" s="4">
        <v>1</v>
      </c>
      <c r="AD1502" s="4">
        <v>79</v>
      </c>
      <c r="AE1502" s="4">
        <v>79</v>
      </c>
      <c r="AF1502" s="4">
        <v>0</v>
      </c>
      <c r="AG1502" s="4">
        <v>0</v>
      </c>
      <c r="AH1502" s="4">
        <v>72</v>
      </c>
      <c r="AI1502" s="4">
        <v>72</v>
      </c>
      <c r="AJ1502" s="4">
        <v>9</v>
      </c>
      <c r="AK1502" s="4">
        <v>9</v>
      </c>
      <c r="AL1502" s="4">
        <v>46</v>
      </c>
      <c r="AM1502" s="4">
        <v>46</v>
      </c>
      <c r="AN1502" s="4">
        <v>0</v>
      </c>
      <c r="AO1502" s="4">
        <v>0</v>
      </c>
      <c r="AP1502" s="4">
        <v>11</v>
      </c>
      <c r="AQ1502" s="4">
        <v>11</v>
      </c>
      <c r="AR1502" s="3" t="s">
        <v>65</v>
      </c>
      <c r="AS1502" s="3" t="s">
        <v>65</v>
      </c>
      <c r="AT1502" s="3" t="s">
        <v>209</v>
      </c>
      <c r="AU1502" s="6" t="str">
        <f>HYPERLINK("http://catalog.hathitrust.org/Record/007126391","HathiTrust Record")</f>
        <v>HathiTrust Record</v>
      </c>
      <c r="AV1502" s="6" t="str">
        <f>HYPERLINK("http://mcgill.on.worldcat.org/oclc/1015923","Catalog Record")</f>
        <v>Catalog Record</v>
      </c>
      <c r="AW1502" s="6" t="str">
        <f>HYPERLINK("http://www.worldcat.org/oclc/1015923","WorldCat Record")</f>
        <v>WorldCat Record</v>
      </c>
      <c r="AX1502" s="3" t="s">
        <v>14826</v>
      </c>
      <c r="AY1502" s="3" t="s">
        <v>14827</v>
      </c>
      <c r="AZ1502" s="3" t="s">
        <v>14828</v>
      </c>
      <c r="BA1502" s="3" t="s">
        <v>14828</v>
      </c>
      <c r="BB1502" s="3" t="s">
        <v>14834</v>
      </c>
      <c r="BC1502" s="3" t="s">
        <v>77</v>
      </c>
      <c r="BD1502" s="3" t="s">
        <v>78</v>
      </c>
      <c r="BF1502" s="3" t="s">
        <v>14834</v>
      </c>
      <c r="BG1502" s="3" t="s">
        <v>14835</v>
      </c>
    </row>
    <row r="1503" spans="1:59" ht="72.5" x14ac:dyDescent="0.35">
      <c r="A1503" s="2" t="s">
        <v>59</v>
      </c>
      <c r="B1503" s="2" t="s">
        <v>60</v>
      </c>
      <c r="C1503" s="2" t="s">
        <v>14836</v>
      </c>
      <c r="D1503" s="2" t="s">
        <v>14837</v>
      </c>
      <c r="E1503" s="2" t="s">
        <v>14838</v>
      </c>
      <c r="G1503" s="3" t="s">
        <v>65</v>
      </c>
      <c r="I1503" s="3" t="s">
        <v>65</v>
      </c>
      <c r="J1503" s="3" t="s">
        <v>65</v>
      </c>
      <c r="K1503" s="3" t="s">
        <v>66</v>
      </c>
      <c r="L1503" s="2" t="s">
        <v>14839</v>
      </c>
      <c r="M1503" s="2" t="s">
        <v>14840</v>
      </c>
      <c r="N1503" s="3" t="s">
        <v>2210</v>
      </c>
      <c r="P1503" s="3" t="s">
        <v>69</v>
      </c>
      <c r="Q1503" s="2" t="s">
        <v>14841</v>
      </c>
      <c r="R1503" s="3" t="s">
        <v>71</v>
      </c>
      <c r="S1503" s="4">
        <v>5</v>
      </c>
      <c r="T1503" s="4">
        <v>5</v>
      </c>
      <c r="U1503" s="5" t="s">
        <v>14842</v>
      </c>
      <c r="V1503" s="5" t="s">
        <v>14842</v>
      </c>
      <c r="W1503" s="5" t="s">
        <v>72</v>
      </c>
      <c r="X1503" s="5" t="s">
        <v>72</v>
      </c>
      <c r="Y1503" s="4">
        <v>175</v>
      </c>
      <c r="Z1503" s="4">
        <v>15</v>
      </c>
      <c r="AA1503" s="4">
        <v>25</v>
      </c>
      <c r="AB1503" s="4">
        <v>2</v>
      </c>
      <c r="AC1503" s="4">
        <v>2</v>
      </c>
      <c r="AD1503" s="4">
        <v>83</v>
      </c>
      <c r="AE1503" s="4">
        <v>86</v>
      </c>
      <c r="AF1503" s="4">
        <v>0</v>
      </c>
      <c r="AG1503" s="4">
        <v>0</v>
      </c>
      <c r="AH1503" s="4">
        <v>78</v>
      </c>
      <c r="AI1503" s="4">
        <v>78</v>
      </c>
      <c r="AJ1503" s="4">
        <v>8</v>
      </c>
      <c r="AK1503" s="4">
        <v>9</v>
      </c>
      <c r="AL1503" s="4">
        <v>45</v>
      </c>
      <c r="AM1503" s="4">
        <v>45</v>
      </c>
      <c r="AN1503" s="4">
        <v>0</v>
      </c>
      <c r="AO1503" s="4">
        <v>0</v>
      </c>
      <c r="AP1503" s="4">
        <v>9</v>
      </c>
      <c r="AQ1503" s="4">
        <v>12</v>
      </c>
      <c r="AR1503" s="3" t="s">
        <v>65</v>
      </c>
      <c r="AS1503" s="3" t="s">
        <v>65</v>
      </c>
      <c r="AT1503" s="3" t="s">
        <v>209</v>
      </c>
      <c r="AU1503" s="6" t="str">
        <f>HYPERLINK("http://catalog.hathitrust.org/Record/003784149","HathiTrust Record")</f>
        <v>HathiTrust Record</v>
      </c>
      <c r="AV1503" s="6" t="str">
        <f>HYPERLINK("http://mcgill.on.worldcat.org/oclc/49260879","Catalog Record")</f>
        <v>Catalog Record</v>
      </c>
      <c r="AW1503" s="6" t="str">
        <f>HYPERLINK("http://www.worldcat.org/oclc/49260879","WorldCat Record")</f>
        <v>WorldCat Record</v>
      </c>
      <c r="AX1503" s="3" t="s">
        <v>14843</v>
      </c>
      <c r="AY1503" s="3" t="s">
        <v>14844</v>
      </c>
      <c r="AZ1503" s="3" t="s">
        <v>14845</v>
      </c>
      <c r="BA1503" s="3" t="s">
        <v>14845</v>
      </c>
      <c r="BB1503" s="3" t="s">
        <v>14846</v>
      </c>
      <c r="BC1503" s="3" t="s">
        <v>77</v>
      </c>
      <c r="BD1503" s="3" t="s">
        <v>106</v>
      </c>
      <c r="BE1503" s="3" t="s">
        <v>14847</v>
      </c>
      <c r="BF1503" s="3" t="s">
        <v>14846</v>
      </c>
      <c r="BG1503" s="3" t="s">
        <v>14848</v>
      </c>
    </row>
    <row r="1504" spans="1:59" ht="72.5" x14ac:dyDescent="0.35">
      <c r="A1504" s="2" t="s">
        <v>59</v>
      </c>
      <c r="B1504" s="2" t="s">
        <v>60</v>
      </c>
      <c r="C1504" s="2" t="s">
        <v>14849</v>
      </c>
      <c r="D1504" s="2" t="s">
        <v>14850</v>
      </c>
      <c r="E1504" s="2" t="s">
        <v>14851</v>
      </c>
      <c r="G1504" s="3" t="s">
        <v>65</v>
      </c>
      <c r="I1504" s="3" t="s">
        <v>65</v>
      </c>
      <c r="J1504" s="3" t="s">
        <v>65</v>
      </c>
      <c r="K1504" s="3" t="s">
        <v>66</v>
      </c>
      <c r="L1504" s="2" t="s">
        <v>14852</v>
      </c>
      <c r="M1504" s="2" t="s">
        <v>14853</v>
      </c>
      <c r="N1504" s="3" t="s">
        <v>86</v>
      </c>
      <c r="O1504" s="2" t="s">
        <v>14854</v>
      </c>
      <c r="P1504" s="3" t="s">
        <v>69</v>
      </c>
      <c r="Q1504" s="2" t="s">
        <v>14855</v>
      </c>
      <c r="R1504" s="3" t="s">
        <v>71</v>
      </c>
      <c r="S1504" s="4">
        <v>0</v>
      </c>
      <c r="T1504" s="4">
        <v>0</v>
      </c>
      <c r="W1504" s="5" t="s">
        <v>72</v>
      </c>
      <c r="X1504" s="5" t="s">
        <v>72</v>
      </c>
      <c r="Y1504" s="4">
        <v>70</v>
      </c>
      <c r="Z1504" s="4">
        <v>7</v>
      </c>
      <c r="AA1504" s="4">
        <v>8</v>
      </c>
      <c r="AB1504" s="4">
        <v>1</v>
      </c>
      <c r="AC1504" s="4">
        <v>1</v>
      </c>
      <c r="AD1504" s="4">
        <v>40</v>
      </c>
      <c r="AE1504" s="4">
        <v>41</v>
      </c>
      <c r="AF1504" s="4">
        <v>0</v>
      </c>
      <c r="AG1504" s="4">
        <v>0</v>
      </c>
      <c r="AH1504" s="4">
        <v>36</v>
      </c>
      <c r="AI1504" s="4">
        <v>37</v>
      </c>
      <c r="AJ1504" s="4">
        <v>5</v>
      </c>
      <c r="AK1504" s="4">
        <v>6</v>
      </c>
      <c r="AL1504" s="4">
        <v>22</v>
      </c>
      <c r="AM1504" s="4">
        <v>22</v>
      </c>
      <c r="AN1504" s="4">
        <v>0</v>
      </c>
      <c r="AO1504" s="4">
        <v>0</v>
      </c>
      <c r="AP1504" s="4">
        <v>5</v>
      </c>
      <c r="AQ1504" s="4">
        <v>6</v>
      </c>
      <c r="AR1504" s="3" t="s">
        <v>209</v>
      </c>
      <c r="AS1504" s="3" t="s">
        <v>65</v>
      </c>
      <c r="AT1504" s="3" t="s">
        <v>65</v>
      </c>
      <c r="AV1504" s="6" t="str">
        <f>HYPERLINK("http://mcgill.on.worldcat.org/oclc/1011561259","Catalog Record")</f>
        <v>Catalog Record</v>
      </c>
      <c r="AW1504" s="6" t="str">
        <f>HYPERLINK("http://www.worldcat.org/oclc/1011561259","WorldCat Record")</f>
        <v>WorldCat Record</v>
      </c>
      <c r="AX1504" s="3" t="s">
        <v>14856</v>
      </c>
      <c r="AY1504" s="3" t="s">
        <v>14857</v>
      </c>
      <c r="AZ1504" s="3" t="s">
        <v>14858</v>
      </c>
      <c r="BA1504" s="3" t="s">
        <v>14858</v>
      </c>
      <c r="BB1504" s="3" t="s">
        <v>14859</v>
      </c>
      <c r="BC1504" s="3" t="s">
        <v>77</v>
      </c>
      <c r="BD1504" s="3" t="s">
        <v>78</v>
      </c>
      <c r="BE1504" s="3" t="s">
        <v>14860</v>
      </c>
      <c r="BF1504" s="3" t="s">
        <v>14859</v>
      </c>
      <c r="BG1504" s="3" t="s">
        <v>14861</v>
      </c>
    </row>
    <row r="1505" spans="1:59" ht="58" x14ac:dyDescent="0.35">
      <c r="A1505" s="2" t="s">
        <v>59</v>
      </c>
      <c r="B1505" s="2" t="s">
        <v>60</v>
      </c>
      <c r="C1505" s="2" t="s">
        <v>14862</v>
      </c>
      <c r="D1505" s="2" t="s">
        <v>14863</v>
      </c>
      <c r="E1505" s="2" t="s">
        <v>14864</v>
      </c>
      <c r="G1505" s="3" t="s">
        <v>65</v>
      </c>
      <c r="I1505" s="3" t="s">
        <v>65</v>
      </c>
      <c r="J1505" s="3" t="s">
        <v>65</v>
      </c>
      <c r="K1505" s="3" t="s">
        <v>66</v>
      </c>
      <c r="L1505" s="2" t="s">
        <v>14865</v>
      </c>
      <c r="M1505" s="2" t="s">
        <v>14706</v>
      </c>
      <c r="N1505" s="3" t="s">
        <v>126</v>
      </c>
      <c r="P1505" s="3" t="s">
        <v>140</v>
      </c>
      <c r="Q1505" s="2" t="s">
        <v>14866</v>
      </c>
      <c r="R1505" s="3" t="s">
        <v>71</v>
      </c>
      <c r="S1505" s="4">
        <v>0</v>
      </c>
      <c r="T1505" s="4">
        <v>0</v>
      </c>
      <c r="W1505" s="5" t="s">
        <v>72</v>
      </c>
      <c r="X1505" s="5" t="s">
        <v>72</v>
      </c>
      <c r="Y1505" s="4">
        <v>17</v>
      </c>
      <c r="Z1505" s="4">
        <v>1</v>
      </c>
      <c r="AA1505" s="4">
        <v>3</v>
      </c>
      <c r="AB1505" s="4">
        <v>1</v>
      </c>
      <c r="AC1505" s="4">
        <v>1</v>
      </c>
      <c r="AD1505" s="4">
        <v>1</v>
      </c>
      <c r="AE1505" s="4">
        <v>24</v>
      </c>
      <c r="AF1505" s="4">
        <v>0</v>
      </c>
      <c r="AG1505" s="4">
        <v>0</v>
      </c>
      <c r="AH1505" s="4">
        <v>1</v>
      </c>
      <c r="AI1505" s="4">
        <v>23</v>
      </c>
      <c r="AJ1505" s="4">
        <v>0</v>
      </c>
      <c r="AK1505" s="4">
        <v>1</v>
      </c>
      <c r="AL1505" s="4">
        <v>1</v>
      </c>
      <c r="AM1505" s="4">
        <v>20</v>
      </c>
      <c r="AN1505" s="4">
        <v>0</v>
      </c>
      <c r="AO1505" s="4">
        <v>0</v>
      </c>
      <c r="AP1505" s="4">
        <v>0</v>
      </c>
      <c r="AQ1505" s="4">
        <v>1</v>
      </c>
      <c r="AR1505" s="3" t="s">
        <v>65</v>
      </c>
      <c r="AS1505" s="3" t="s">
        <v>65</v>
      </c>
      <c r="AT1505" s="3" t="s">
        <v>65</v>
      </c>
      <c r="AV1505" s="6" t="str">
        <f>HYPERLINK("http://mcgill.on.worldcat.org/oclc/775640658","Catalog Record")</f>
        <v>Catalog Record</v>
      </c>
      <c r="AW1505" s="6" t="str">
        <f>HYPERLINK("http://www.worldcat.org/oclc/775640658","WorldCat Record")</f>
        <v>WorldCat Record</v>
      </c>
      <c r="AX1505" s="3" t="s">
        <v>14867</v>
      </c>
      <c r="AY1505" s="3" t="s">
        <v>14868</v>
      </c>
      <c r="AZ1505" s="3" t="s">
        <v>14869</v>
      </c>
      <c r="BA1505" s="3" t="s">
        <v>14869</v>
      </c>
      <c r="BB1505" s="3" t="s">
        <v>14870</v>
      </c>
      <c r="BC1505" s="3" t="s">
        <v>77</v>
      </c>
      <c r="BD1505" s="3" t="s">
        <v>78</v>
      </c>
      <c r="BE1505" s="3" t="s">
        <v>14871</v>
      </c>
      <c r="BF1505" s="3" t="s">
        <v>14870</v>
      </c>
      <c r="BG1505" s="3" t="s">
        <v>14872</v>
      </c>
    </row>
    <row r="1506" spans="1:59" ht="58" x14ac:dyDescent="0.35">
      <c r="A1506" s="2" t="s">
        <v>59</v>
      </c>
      <c r="B1506" s="2" t="s">
        <v>60</v>
      </c>
      <c r="C1506" s="2" t="s">
        <v>14873</v>
      </c>
      <c r="D1506" s="2" t="s">
        <v>14874</v>
      </c>
      <c r="E1506" s="2" t="s">
        <v>14875</v>
      </c>
      <c r="G1506" s="3" t="s">
        <v>65</v>
      </c>
      <c r="I1506" s="3" t="s">
        <v>65</v>
      </c>
      <c r="J1506" s="3" t="s">
        <v>65</v>
      </c>
      <c r="K1506" s="3" t="s">
        <v>66</v>
      </c>
      <c r="L1506" s="2" t="s">
        <v>14876</v>
      </c>
      <c r="M1506" s="2" t="s">
        <v>14877</v>
      </c>
      <c r="N1506" s="3" t="s">
        <v>221</v>
      </c>
      <c r="O1506" s="2" t="s">
        <v>526</v>
      </c>
      <c r="P1506" s="3" t="s">
        <v>69</v>
      </c>
      <c r="R1506" s="3" t="s">
        <v>71</v>
      </c>
      <c r="S1506" s="4">
        <v>7</v>
      </c>
      <c r="T1506" s="4">
        <v>7</v>
      </c>
      <c r="U1506" s="5" t="s">
        <v>14878</v>
      </c>
      <c r="V1506" s="5" t="s">
        <v>14878</v>
      </c>
      <c r="W1506" s="5" t="s">
        <v>72</v>
      </c>
      <c r="X1506" s="5" t="s">
        <v>72</v>
      </c>
      <c r="Y1506" s="4">
        <v>150</v>
      </c>
      <c r="Z1506" s="4">
        <v>8</v>
      </c>
      <c r="AA1506" s="4">
        <v>15</v>
      </c>
      <c r="AB1506" s="4">
        <v>1</v>
      </c>
      <c r="AC1506" s="4">
        <v>2</v>
      </c>
      <c r="AD1506" s="4">
        <v>66</v>
      </c>
      <c r="AE1506" s="4">
        <v>83</v>
      </c>
      <c r="AF1506" s="4">
        <v>0</v>
      </c>
      <c r="AG1506" s="4">
        <v>1</v>
      </c>
      <c r="AH1506" s="4">
        <v>63</v>
      </c>
      <c r="AI1506" s="4">
        <v>78</v>
      </c>
      <c r="AJ1506" s="4">
        <v>5</v>
      </c>
      <c r="AK1506" s="4">
        <v>10</v>
      </c>
      <c r="AL1506" s="4">
        <v>40</v>
      </c>
      <c r="AM1506" s="4">
        <v>50</v>
      </c>
      <c r="AN1506" s="4">
        <v>0</v>
      </c>
      <c r="AO1506" s="4">
        <v>0</v>
      </c>
      <c r="AP1506" s="4">
        <v>5</v>
      </c>
      <c r="AQ1506" s="4">
        <v>10</v>
      </c>
      <c r="AR1506" s="3" t="s">
        <v>65</v>
      </c>
      <c r="AS1506" s="3" t="s">
        <v>65</v>
      </c>
      <c r="AT1506" s="3" t="s">
        <v>65</v>
      </c>
      <c r="AV1506" s="6" t="str">
        <f>HYPERLINK("http://mcgill.on.worldcat.org/oclc/70292122","Catalog Record")</f>
        <v>Catalog Record</v>
      </c>
      <c r="AW1506" s="6" t="str">
        <f>HYPERLINK("http://www.worldcat.org/oclc/70292122","WorldCat Record")</f>
        <v>WorldCat Record</v>
      </c>
      <c r="AX1506" s="3" t="s">
        <v>14879</v>
      </c>
      <c r="AY1506" s="3" t="s">
        <v>14880</v>
      </c>
      <c r="AZ1506" s="3" t="s">
        <v>14881</v>
      </c>
      <c r="BA1506" s="3" t="s">
        <v>14881</v>
      </c>
      <c r="BB1506" s="3" t="s">
        <v>14882</v>
      </c>
      <c r="BC1506" s="3" t="s">
        <v>77</v>
      </c>
      <c r="BD1506" s="3" t="s">
        <v>78</v>
      </c>
      <c r="BE1506" s="3" t="s">
        <v>14883</v>
      </c>
      <c r="BF1506" s="3" t="s">
        <v>14882</v>
      </c>
      <c r="BG1506" s="3" t="s">
        <v>14884</v>
      </c>
    </row>
    <row r="1507" spans="1:59" ht="72.5" x14ac:dyDescent="0.35">
      <c r="A1507" s="2" t="s">
        <v>59</v>
      </c>
      <c r="B1507" s="2" t="s">
        <v>60</v>
      </c>
      <c r="C1507" s="2" t="s">
        <v>14885</v>
      </c>
      <c r="D1507" s="2" t="s">
        <v>14886</v>
      </c>
      <c r="E1507" s="2" t="s">
        <v>14887</v>
      </c>
      <c r="F1507" s="3" t="s">
        <v>10611</v>
      </c>
      <c r="G1507" s="3" t="s">
        <v>209</v>
      </c>
      <c r="I1507" s="3" t="s">
        <v>65</v>
      </c>
      <c r="J1507" s="3" t="s">
        <v>65</v>
      </c>
      <c r="K1507" s="3" t="s">
        <v>66</v>
      </c>
      <c r="L1507" s="2" t="s">
        <v>14888</v>
      </c>
      <c r="M1507" s="2" t="s">
        <v>14889</v>
      </c>
      <c r="N1507" s="3" t="s">
        <v>552</v>
      </c>
      <c r="P1507" s="3" t="s">
        <v>140</v>
      </c>
      <c r="Q1507" s="2" t="s">
        <v>14890</v>
      </c>
      <c r="R1507" s="3" t="s">
        <v>71</v>
      </c>
      <c r="S1507" s="4">
        <v>0</v>
      </c>
      <c r="T1507" s="4">
        <v>1</v>
      </c>
      <c r="V1507" s="5" t="s">
        <v>14891</v>
      </c>
      <c r="W1507" s="5" t="s">
        <v>72</v>
      </c>
      <c r="X1507" s="5" t="s">
        <v>72</v>
      </c>
      <c r="Y1507" s="4">
        <v>54</v>
      </c>
      <c r="Z1507" s="4">
        <v>1</v>
      </c>
      <c r="AA1507" s="4">
        <v>1</v>
      </c>
      <c r="AB1507" s="4">
        <v>1</v>
      </c>
      <c r="AC1507" s="4">
        <v>1</v>
      </c>
      <c r="AD1507" s="4">
        <v>21</v>
      </c>
      <c r="AE1507" s="4">
        <v>21</v>
      </c>
      <c r="AF1507" s="4">
        <v>0</v>
      </c>
      <c r="AG1507" s="4">
        <v>0</v>
      </c>
      <c r="AH1507" s="4">
        <v>21</v>
      </c>
      <c r="AI1507" s="4">
        <v>21</v>
      </c>
      <c r="AJ1507" s="4">
        <v>0</v>
      </c>
      <c r="AK1507" s="4">
        <v>0</v>
      </c>
      <c r="AL1507" s="4">
        <v>18</v>
      </c>
      <c r="AM1507" s="4">
        <v>18</v>
      </c>
      <c r="AN1507" s="4">
        <v>0</v>
      </c>
      <c r="AO1507" s="4">
        <v>0</v>
      </c>
      <c r="AP1507" s="4">
        <v>0</v>
      </c>
      <c r="AQ1507" s="4">
        <v>0</v>
      </c>
      <c r="AR1507" s="3" t="s">
        <v>65</v>
      </c>
      <c r="AS1507" s="3" t="s">
        <v>65</v>
      </c>
      <c r="AT1507" s="3" t="s">
        <v>209</v>
      </c>
      <c r="AU1507" s="6" t="str">
        <f t="shared" ref="AU1507:AU1512" si="21">HYPERLINK("http://catalog.hathitrust.org/Record/003265551","HathiTrust Record")</f>
        <v>HathiTrust Record</v>
      </c>
      <c r="AV1507" s="6" t="str">
        <f t="shared" ref="AV1507:AV1512" si="22">HYPERLINK("http://mcgill.on.worldcat.org/oclc/38257022","Catalog Record")</f>
        <v>Catalog Record</v>
      </c>
      <c r="AW1507" s="6" t="str">
        <f t="shared" ref="AW1507:AW1512" si="23">HYPERLINK("http://www.worldcat.org/oclc/38257022","WorldCat Record")</f>
        <v>WorldCat Record</v>
      </c>
      <c r="AX1507" s="3" t="s">
        <v>14892</v>
      </c>
      <c r="AY1507" s="3" t="s">
        <v>14893</v>
      </c>
      <c r="AZ1507" s="3" t="s">
        <v>14894</v>
      </c>
      <c r="BA1507" s="3" t="s">
        <v>14894</v>
      </c>
      <c r="BB1507" s="3" t="s">
        <v>14895</v>
      </c>
      <c r="BC1507" s="3" t="s">
        <v>77</v>
      </c>
      <c r="BD1507" s="3" t="s">
        <v>78</v>
      </c>
      <c r="BE1507" s="3" t="s">
        <v>14896</v>
      </c>
      <c r="BF1507" s="3" t="s">
        <v>14895</v>
      </c>
      <c r="BG1507" s="3" t="s">
        <v>14897</v>
      </c>
    </row>
    <row r="1508" spans="1:59" ht="72.5" x14ac:dyDescent="0.35">
      <c r="A1508" s="2" t="s">
        <v>59</v>
      </c>
      <c r="B1508" s="2" t="s">
        <v>60</v>
      </c>
      <c r="C1508" s="2" t="s">
        <v>14885</v>
      </c>
      <c r="D1508" s="2" t="s">
        <v>14886</v>
      </c>
      <c r="E1508" s="2" t="s">
        <v>14887</v>
      </c>
      <c r="F1508" s="3" t="s">
        <v>10601</v>
      </c>
      <c r="G1508" s="3" t="s">
        <v>209</v>
      </c>
      <c r="I1508" s="3" t="s">
        <v>65</v>
      </c>
      <c r="J1508" s="3" t="s">
        <v>65</v>
      </c>
      <c r="K1508" s="3" t="s">
        <v>66</v>
      </c>
      <c r="L1508" s="2" t="s">
        <v>14888</v>
      </c>
      <c r="M1508" s="2" t="s">
        <v>14889</v>
      </c>
      <c r="N1508" s="3" t="s">
        <v>552</v>
      </c>
      <c r="P1508" s="3" t="s">
        <v>140</v>
      </c>
      <c r="Q1508" s="2" t="s">
        <v>14890</v>
      </c>
      <c r="R1508" s="3" t="s">
        <v>71</v>
      </c>
      <c r="S1508" s="4">
        <v>0</v>
      </c>
      <c r="T1508" s="4">
        <v>1</v>
      </c>
      <c r="V1508" s="5" t="s">
        <v>14891</v>
      </c>
      <c r="W1508" s="5" t="s">
        <v>72</v>
      </c>
      <c r="X1508" s="5" t="s">
        <v>72</v>
      </c>
      <c r="Y1508" s="4">
        <v>54</v>
      </c>
      <c r="Z1508" s="4">
        <v>1</v>
      </c>
      <c r="AA1508" s="4">
        <v>1</v>
      </c>
      <c r="AB1508" s="4">
        <v>1</v>
      </c>
      <c r="AC1508" s="4">
        <v>1</v>
      </c>
      <c r="AD1508" s="4">
        <v>21</v>
      </c>
      <c r="AE1508" s="4">
        <v>21</v>
      </c>
      <c r="AF1508" s="4">
        <v>0</v>
      </c>
      <c r="AG1508" s="4">
        <v>0</v>
      </c>
      <c r="AH1508" s="4">
        <v>21</v>
      </c>
      <c r="AI1508" s="4">
        <v>21</v>
      </c>
      <c r="AJ1508" s="4">
        <v>0</v>
      </c>
      <c r="AK1508" s="4">
        <v>0</v>
      </c>
      <c r="AL1508" s="4">
        <v>18</v>
      </c>
      <c r="AM1508" s="4">
        <v>18</v>
      </c>
      <c r="AN1508" s="4">
        <v>0</v>
      </c>
      <c r="AO1508" s="4">
        <v>0</v>
      </c>
      <c r="AP1508" s="4">
        <v>0</v>
      </c>
      <c r="AQ1508" s="4">
        <v>0</v>
      </c>
      <c r="AR1508" s="3" t="s">
        <v>65</v>
      </c>
      <c r="AS1508" s="3" t="s">
        <v>65</v>
      </c>
      <c r="AT1508" s="3" t="s">
        <v>209</v>
      </c>
      <c r="AU1508" s="6" t="str">
        <f t="shared" si="21"/>
        <v>HathiTrust Record</v>
      </c>
      <c r="AV1508" s="6" t="str">
        <f t="shared" si="22"/>
        <v>Catalog Record</v>
      </c>
      <c r="AW1508" s="6" t="str">
        <f t="shared" si="23"/>
        <v>WorldCat Record</v>
      </c>
      <c r="AX1508" s="3" t="s">
        <v>14892</v>
      </c>
      <c r="AY1508" s="3" t="s">
        <v>14893</v>
      </c>
      <c r="AZ1508" s="3" t="s">
        <v>14894</v>
      </c>
      <c r="BA1508" s="3" t="s">
        <v>14894</v>
      </c>
      <c r="BB1508" s="3" t="s">
        <v>14898</v>
      </c>
      <c r="BC1508" s="3" t="s">
        <v>77</v>
      </c>
      <c r="BD1508" s="3" t="s">
        <v>78</v>
      </c>
      <c r="BE1508" s="3" t="s">
        <v>14896</v>
      </c>
      <c r="BF1508" s="3" t="s">
        <v>14898</v>
      </c>
      <c r="BG1508" s="3" t="s">
        <v>14899</v>
      </c>
    </row>
    <row r="1509" spans="1:59" ht="72.5" x14ac:dyDescent="0.35">
      <c r="A1509" s="2" t="s">
        <v>59</v>
      </c>
      <c r="B1509" s="2" t="s">
        <v>60</v>
      </c>
      <c r="C1509" s="2" t="s">
        <v>14885</v>
      </c>
      <c r="D1509" s="2" t="s">
        <v>14886</v>
      </c>
      <c r="E1509" s="2" t="s">
        <v>14887</v>
      </c>
      <c r="F1509" s="3" t="s">
        <v>14900</v>
      </c>
      <c r="G1509" s="3" t="s">
        <v>209</v>
      </c>
      <c r="I1509" s="3" t="s">
        <v>65</v>
      </c>
      <c r="J1509" s="3" t="s">
        <v>65</v>
      </c>
      <c r="K1509" s="3" t="s">
        <v>66</v>
      </c>
      <c r="L1509" s="2" t="s">
        <v>14888</v>
      </c>
      <c r="M1509" s="2" t="s">
        <v>14889</v>
      </c>
      <c r="N1509" s="3" t="s">
        <v>552</v>
      </c>
      <c r="P1509" s="3" t="s">
        <v>140</v>
      </c>
      <c r="Q1509" s="2" t="s">
        <v>14890</v>
      </c>
      <c r="R1509" s="3" t="s">
        <v>71</v>
      </c>
      <c r="S1509" s="4">
        <v>0</v>
      </c>
      <c r="T1509" s="4">
        <v>1</v>
      </c>
      <c r="V1509" s="5" t="s">
        <v>14891</v>
      </c>
      <c r="W1509" s="5" t="s">
        <v>72</v>
      </c>
      <c r="X1509" s="5" t="s">
        <v>72</v>
      </c>
      <c r="Y1509" s="4">
        <v>54</v>
      </c>
      <c r="Z1509" s="4">
        <v>1</v>
      </c>
      <c r="AA1509" s="4">
        <v>1</v>
      </c>
      <c r="AB1509" s="4">
        <v>1</v>
      </c>
      <c r="AC1509" s="4">
        <v>1</v>
      </c>
      <c r="AD1509" s="4">
        <v>21</v>
      </c>
      <c r="AE1509" s="4">
        <v>21</v>
      </c>
      <c r="AF1509" s="4">
        <v>0</v>
      </c>
      <c r="AG1509" s="4">
        <v>0</v>
      </c>
      <c r="AH1509" s="4">
        <v>21</v>
      </c>
      <c r="AI1509" s="4">
        <v>21</v>
      </c>
      <c r="AJ1509" s="4">
        <v>0</v>
      </c>
      <c r="AK1509" s="4">
        <v>0</v>
      </c>
      <c r="AL1509" s="4">
        <v>18</v>
      </c>
      <c r="AM1509" s="4">
        <v>18</v>
      </c>
      <c r="AN1509" s="4">
        <v>0</v>
      </c>
      <c r="AO1509" s="4">
        <v>0</v>
      </c>
      <c r="AP1509" s="4">
        <v>0</v>
      </c>
      <c r="AQ1509" s="4">
        <v>0</v>
      </c>
      <c r="AR1509" s="3" t="s">
        <v>65</v>
      </c>
      <c r="AS1509" s="3" t="s">
        <v>65</v>
      </c>
      <c r="AT1509" s="3" t="s">
        <v>209</v>
      </c>
      <c r="AU1509" s="6" t="str">
        <f t="shared" si="21"/>
        <v>HathiTrust Record</v>
      </c>
      <c r="AV1509" s="6" t="str">
        <f t="shared" si="22"/>
        <v>Catalog Record</v>
      </c>
      <c r="AW1509" s="6" t="str">
        <f t="shared" si="23"/>
        <v>WorldCat Record</v>
      </c>
      <c r="AX1509" s="3" t="s">
        <v>14892</v>
      </c>
      <c r="AY1509" s="3" t="s">
        <v>14893</v>
      </c>
      <c r="AZ1509" s="3" t="s">
        <v>14894</v>
      </c>
      <c r="BA1509" s="3" t="s">
        <v>14894</v>
      </c>
      <c r="BB1509" s="3" t="s">
        <v>14901</v>
      </c>
      <c r="BC1509" s="3" t="s">
        <v>77</v>
      </c>
      <c r="BD1509" s="3" t="s">
        <v>78</v>
      </c>
      <c r="BE1509" s="3" t="s">
        <v>14896</v>
      </c>
      <c r="BF1509" s="3" t="s">
        <v>14901</v>
      </c>
      <c r="BG1509" s="3" t="s">
        <v>14902</v>
      </c>
    </row>
    <row r="1510" spans="1:59" ht="72.5" x14ac:dyDescent="0.35">
      <c r="A1510" s="2" t="s">
        <v>59</v>
      </c>
      <c r="B1510" s="2" t="s">
        <v>60</v>
      </c>
      <c r="C1510" s="2" t="s">
        <v>14885</v>
      </c>
      <c r="D1510" s="2" t="s">
        <v>14886</v>
      </c>
      <c r="E1510" s="2" t="s">
        <v>14887</v>
      </c>
      <c r="F1510" s="3" t="s">
        <v>10614</v>
      </c>
      <c r="G1510" s="3" t="s">
        <v>209</v>
      </c>
      <c r="I1510" s="3" t="s">
        <v>65</v>
      </c>
      <c r="J1510" s="3" t="s">
        <v>65</v>
      </c>
      <c r="K1510" s="3" t="s">
        <v>66</v>
      </c>
      <c r="L1510" s="2" t="s">
        <v>14888</v>
      </c>
      <c r="M1510" s="2" t="s">
        <v>14889</v>
      </c>
      <c r="N1510" s="3" t="s">
        <v>552</v>
      </c>
      <c r="P1510" s="3" t="s">
        <v>140</v>
      </c>
      <c r="Q1510" s="2" t="s">
        <v>14890</v>
      </c>
      <c r="R1510" s="3" t="s">
        <v>71</v>
      </c>
      <c r="S1510" s="4">
        <v>0</v>
      </c>
      <c r="T1510" s="4">
        <v>1</v>
      </c>
      <c r="V1510" s="5" t="s">
        <v>14891</v>
      </c>
      <c r="W1510" s="5" t="s">
        <v>72</v>
      </c>
      <c r="X1510" s="5" t="s">
        <v>72</v>
      </c>
      <c r="Y1510" s="4">
        <v>54</v>
      </c>
      <c r="Z1510" s="4">
        <v>1</v>
      </c>
      <c r="AA1510" s="4">
        <v>1</v>
      </c>
      <c r="AB1510" s="4">
        <v>1</v>
      </c>
      <c r="AC1510" s="4">
        <v>1</v>
      </c>
      <c r="AD1510" s="4">
        <v>21</v>
      </c>
      <c r="AE1510" s="4">
        <v>21</v>
      </c>
      <c r="AF1510" s="4">
        <v>0</v>
      </c>
      <c r="AG1510" s="4">
        <v>0</v>
      </c>
      <c r="AH1510" s="4">
        <v>21</v>
      </c>
      <c r="AI1510" s="4">
        <v>21</v>
      </c>
      <c r="AJ1510" s="4">
        <v>0</v>
      </c>
      <c r="AK1510" s="4">
        <v>0</v>
      </c>
      <c r="AL1510" s="4">
        <v>18</v>
      </c>
      <c r="AM1510" s="4">
        <v>18</v>
      </c>
      <c r="AN1510" s="4">
        <v>0</v>
      </c>
      <c r="AO1510" s="4">
        <v>0</v>
      </c>
      <c r="AP1510" s="4">
        <v>0</v>
      </c>
      <c r="AQ1510" s="4">
        <v>0</v>
      </c>
      <c r="AR1510" s="3" t="s">
        <v>65</v>
      </c>
      <c r="AS1510" s="3" t="s">
        <v>65</v>
      </c>
      <c r="AT1510" s="3" t="s">
        <v>209</v>
      </c>
      <c r="AU1510" s="6" t="str">
        <f t="shared" si="21"/>
        <v>HathiTrust Record</v>
      </c>
      <c r="AV1510" s="6" t="str">
        <f t="shared" si="22"/>
        <v>Catalog Record</v>
      </c>
      <c r="AW1510" s="6" t="str">
        <f t="shared" si="23"/>
        <v>WorldCat Record</v>
      </c>
      <c r="AX1510" s="3" t="s">
        <v>14892</v>
      </c>
      <c r="AY1510" s="3" t="s">
        <v>14893</v>
      </c>
      <c r="AZ1510" s="3" t="s">
        <v>14894</v>
      </c>
      <c r="BA1510" s="3" t="s">
        <v>14894</v>
      </c>
      <c r="BB1510" s="3" t="s">
        <v>14903</v>
      </c>
      <c r="BC1510" s="3" t="s">
        <v>77</v>
      </c>
      <c r="BD1510" s="3" t="s">
        <v>78</v>
      </c>
      <c r="BE1510" s="3" t="s">
        <v>14896</v>
      </c>
      <c r="BF1510" s="3" t="s">
        <v>14903</v>
      </c>
      <c r="BG1510" s="3" t="s">
        <v>14904</v>
      </c>
    </row>
    <row r="1511" spans="1:59" ht="72.5" x14ac:dyDescent="0.35">
      <c r="A1511" s="2" t="s">
        <v>59</v>
      </c>
      <c r="B1511" s="2" t="s">
        <v>60</v>
      </c>
      <c r="C1511" s="2" t="s">
        <v>14885</v>
      </c>
      <c r="D1511" s="2" t="s">
        <v>14886</v>
      </c>
      <c r="E1511" s="2" t="s">
        <v>14887</v>
      </c>
      <c r="F1511" s="3" t="s">
        <v>14905</v>
      </c>
      <c r="G1511" s="3" t="s">
        <v>209</v>
      </c>
      <c r="I1511" s="3" t="s">
        <v>65</v>
      </c>
      <c r="J1511" s="3" t="s">
        <v>65</v>
      </c>
      <c r="K1511" s="3" t="s">
        <v>66</v>
      </c>
      <c r="L1511" s="2" t="s">
        <v>14888</v>
      </c>
      <c r="M1511" s="2" t="s">
        <v>14889</v>
      </c>
      <c r="N1511" s="3" t="s">
        <v>552</v>
      </c>
      <c r="P1511" s="3" t="s">
        <v>140</v>
      </c>
      <c r="Q1511" s="2" t="s">
        <v>14890</v>
      </c>
      <c r="R1511" s="3" t="s">
        <v>71</v>
      </c>
      <c r="S1511" s="4">
        <v>0</v>
      </c>
      <c r="T1511" s="4">
        <v>1</v>
      </c>
      <c r="V1511" s="5" t="s">
        <v>14891</v>
      </c>
      <c r="W1511" s="5" t="s">
        <v>72</v>
      </c>
      <c r="X1511" s="5" t="s">
        <v>72</v>
      </c>
      <c r="Y1511" s="4">
        <v>54</v>
      </c>
      <c r="Z1511" s="4">
        <v>1</v>
      </c>
      <c r="AA1511" s="4">
        <v>1</v>
      </c>
      <c r="AB1511" s="4">
        <v>1</v>
      </c>
      <c r="AC1511" s="4">
        <v>1</v>
      </c>
      <c r="AD1511" s="4">
        <v>21</v>
      </c>
      <c r="AE1511" s="4">
        <v>21</v>
      </c>
      <c r="AF1511" s="4">
        <v>0</v>
      </c>
      <c r="AG1511" s="4">
        <v>0</v>
      </c>
      <c r="AH1511" s="4">
        <v>21</v>
      </c>
      <c r="AI1511" s="4">
        <v>21</v>
      </c>
      <c r="AJ1511" s="4">
        <v>0</v>
      </c>
      <c r="AK1511" s="4">
        <v>0</v>
      </c>
      <c r="AL1511" s="4">
        <v>18</v>
      </c>
      <c r="AM1511" s="4">
        <v>18</v>
      </c>
      <c r="AN1511" s="4">
        <v>0</v>
      </c>
      <c r="AO1511" s="4">
        <v>0</v>
      </c>
      <c r="AP1511" s="4">
        <v>0</v>
      </c>
      <c r="AQ1511" s="4">
        <v>0</v>
      </c>
      <c r="AR1511" s="3" t="s">
        <v>65</v>
      </c>
      <c r="AS1511" s="3" t="s">
        <v>65</v>
      </c>
      <c r="AT1511" s="3" t="s">
        <v>209</v>
      </c>
      <c r="AU1511" s="6" t="str">
        <f t="shared" si="21"/>
        <v>HathiTrust Record</v>
      </c>
      <c r="AV1511" s="6" t="str">
        <f t="shared" si="22"/>
        <v>Catalog Record</v>
      </c>
      <c r="AW1511" s="6" t="str">
        <f t="shared" si="23"/>
        <v>WorldCat Record</v>
      </c>
      <c r="AX1511" s="3" t="s">
        <v>14892</v>
      </c>
      <c r="AY1511" s="3" t="s">
        <v>14893</v>
      </c>
      <c r="AZ1511" s="3" t="s">
        <v>14894</v>
      </c>
      <c r="BA1511" s="3" t="s">
        <v>14894</v>
      </c>
      <c r="BB1511" s="3" t="s">
        <v>14906</v>
      </c>
      <c r="BC1511" s="3" t="s">
        <v>77</v>
      </c>
      <c r="BD1511" s="3" t="s">
        <v>78</v>
      </c>
      <c r="BE1511" s="3" t="s">
        <v>14896</v>
      </c>
      <c r="BF1511" s="3" t="s">
        <v>14906</v>
      </c>
      <c r="BG1511" s="3" t="s">
        <v>14907</v>
      </c>
    </row>
    <row r="1512" spans="1:59" ht="72.5" x14ac:dyDescent="0.35">
      <c r="A1512" s="2" t="s">
        <v>59</v>
      </c>
      <c r="B1512" s="2" t="s">
        <v>60</v>
      </c>
      <c r="C1512" s="2" t="s">
        <v>14885</v>
      </c>
      <c r="D1512" s="2" t="s">
        <v>14886</v>
      </c>
      <c r="E1512" s="2" t="s">
        <v>14887</v>
      </c>
      <c r="F1512" s="3" t="s">
        <v>10617</v>
      </c>
      <c r="G1512" s="3" t="s">
        <v>209</v>
      </c>
      <c r="I1512" s="3" t="s">
        <v>65</v>
      </c>
      <c r="J1512" s="3" t="s">
        <v>65</v>
      </c>
      <c r="K1512" s="3" t="s">
        <v>66</v>
      </c>
      <c r="L1512" s="2" t="s">
        <v>14888</v>
      </c>
      <c r="M1512" s="2" t="s">
        <v>14889</v>
      </c>
      <c r="N1512" s="3" t="s">
        <v>552</v>
      </c>
      <c r="P1512" s="3" t="s">
        <v>140</v>
      </c>
      <c r="Q1512" s="2" t="s">
        <v>14890</v>
      </c>
      <c r="R1512" s="3" t="s">
        <v>71</v>
      </c>
      <c r="S1512" s="4">
        <v>1</v>
      </c>
      <c r="T1512" s="4">
        <v>1</v>
      </c>
      <c r="U1512" s="5" t="s">
        <v>14891</v>
      </c>
      <c r="V1512" s="5" t="s">
        <v>14891</v>
      </c>
      <c r="W1512" s="5" t="s">
        <v>72</v>
      </c>
      <c r="X1512" s="5" t="s">
        <v>72</v>
      </c>
      <c r="Y1512" s="4">
        <v>54</v>
      </c>
      <c r="Z1512" s="4">
        <v>1</v>
      </c>
      <c r="AA1512" s="4">
        <v>1</v>
      </c>
      <c r="AB1512" s="4">
        <v>1</v>
      </c>
      <c r="AC1512" s="4">
        <v>1</v>
      </c>
      <c r="AD1512" s="4">
        <v>21</v>
      </c>
      <c r="AE1512" s="4">
        <v>21</v>
      </c>
      <c r="AF1512" s="4">
        <v>0</v>
      </c>
      <c r="AG1512" s="4">
        <v>0</v>
      </c>
      <c r="AH1512" s="4">
        <v>21</v>
      </c>
      <c r="AI1512" s="4">
        <v>21</v>
      </c>
      <c r="AJ1512" s="4">
        <v>0</v>
      </c>
      <c r="AK1512" s="4">
        <v>0</v>
      </c>
      <c r="AL1512" s="4">
        <v>18</v>
      </c>
      <c r="AM1512" s="4">
        <v>18</v>
      </c>
      <c r="AN1512" s="4">
        <v>0</v>
      </c>
      <c r="AO1512" s="4">
        <v>0</v>
      </c>
      <c r="AP1512" s="4">
        <v>0</v>
      </c>
      <c r="AQ1512" s="4">
        <v>0</v>
      </c>
      <c r="AR1512" s="3" t="s">
        <v>65</v>
      </c>
      <c r="AS1512" s="3" t="s">
        <v>65</v>
      </c>
      <c r="AT1512" s="3" t="s">
        <v>209</v>
      </c>
      <c r="AU1512" s="6" t="str">
        <f t="shared" si="21"/>
        <v>HathiTrust Record</v>
      </c>
      <c r="AV1512" s="6" t="str">
        <f t="shared" si="22"/>
        <v>Catalog Record</v>
      </c>
      <c r="AW1512" s="6" t="str">
        <f t="shared" si="23"/>
        <v>WorldCat Record</v>
      </c>
      <c r="AX1512" s="3" t="s">
        <v>14892</v>
      </c>
      <c r="AY1512" s="3" t="s">
        <v>14893</v>
      </c>
      <c r="AZ1512" s="3" t="s">
        <v>14894</v>
      </c>
      <c r="BA1512" s="3" t="s">
        <v>14894</v>
      </c>
      <c r="BB1512" s="3" t="s">
        <v>14908</v>
      </c>
      <c r="BC1512" s="3" t="s">
        <v>77</v>
      </c>
      <c r="BD1512" s="3" t="s">
        <v>78</v>
      </c>
      <c r="BE1512" s="3" t="s">
        <v>14896</v>
      </c>
      <c r="BF1512" s="3" t="s">
        <v>14908</v>
      </c>
      <c r="BG1512" s="3" t="s">
        <v>14909</v>
      </c>
    </row>
    <row r="1513" spans="1:59" ht="72.5" x14ac:dyDescent="0.35">
      <c r="A1513" s="2" t="s">
        <v>59</v>
      </c>
      <c r="B1513" s="2" t="s">
        <v>60</v>
      </c>
      <c r="C1513" s="2" t="s">
        <v>14910</v>
      </c>
      <c r="D1513" s="2" t="s">
        <v>14911</v>
      </c>
      <c r="E1513" s="2" t="s">
        <v>14912</v>
      </c>
      <c r="F1513" s="3" t="s">
        <v>10617</v>
      </c>
      <c r="G1513" s="3" t="s">
        <v>209</v>
      </c>
      <c r="I1513" s="3" t="s">
        <v>65</v>
      </c>
      <c r="J1513" s="3" t="s">
        <v>65</v>
      </c>
      <c r="K1513" s="3" t="s">
        <v>66</v>
      </c>
      <c r="L1513" s="2" t="s">
        <v>14888</v>
      </c>
      <c r="M1513" s="2" t="s">
        <v>14913</v>
      </c>
      <c r="N1513" s="3" t="s">
        <v>1196</v>
      </c>
      <c r="P1513" s="3" t="s">
        <v>140</v>
      </c>
      <c r="Q1513" s="2" t="s">
        <v>14914</v>
      </c>
      <c r="R1513" s="3" t="s">
        <v>71</v>
      </c>
      <c r="S1513" s="4">
        <v>3</v>
      </c>
      <c r="T1513" s="4">
        <v>8</v>
      </c>
      <c r="U1513" s="5" t="s">
        <v>14915</v>
      </c>
      <c r="V1513" s="5" t="s">
        <v>5225</v>
      </c>
      <c r="W1513" s="5" t="s">
        <v>72</v>
      </c>
      <c r="X1513" s="5" t="s">
        <v>72</v>
      </c>
      <c r="Y1513" s="4">
        <v>22</v>
      </c>
      <c r="Z1513" s="4">
        <v>1</v>
      </c>
      <c r="AA1513" s="4">
        <v>1</v>
      </c>
      <c r="AB1513" s="4">
        <v>1</v>
      </c>
      <c r="AC1513" s="4">
        <v>1</v>
      </c>
      <c r="AD1513" s="4">
        <v>12</v>
      </c>
      <c r="AE1513" s="4">
        <v>12</v>
      </c>
      <c r="AF1513" s="4">
        <v>0</v>
      </c>
      <c r="AG1513" s="4">
        <v>0</v>
      </c>
      <c r="AH1513" s="4">
        <v>12</v>
      </c>
      <c r="AI1513" s="4">
        <v>12</v>
      </c>
      <c r="AJ1513" s="4">
        <v>0</v>
      </c>
      <c r="AK1513" s="4">
        <v>0</v>
      </c>
      <c r="AL1513" s="4">
        <v>10</v>
      </c>
      <c r="AM1513" s="4">
        <v>10</v>
      </c>
      <c r="AN1513" s="4">
        <v>0</v>
      </c>
      <c r="AO1513" s="4">
        <v>0</v>
      </c>
      <c r="AP1513" s="4">
        <v>0</v>
      </c>
      <c r="AQ1513" s="4">
        <v>0</v>
      </c>
      <c r="AR1513" s="3" t="s">
        <v>65</v>
      </c>
      <c r="AS1513" s="3" t="s">
        <v>65</v>
      </c>
      <c r="AT1513" s="3" t="s">
        <v>209</v>
      </c>
      <c r="AU1513" s="6" t="str">
        <f>HYPERLINK("http://catalog.hathitrust.org/Record/005071084","HathiTrust Record")</f>
        <v>HathiTrust Record</v>
      </c>
      <c r="AV1513" s="6" t="str">
        <f>HYPERLINK("http://mcgill.on.worldcat.org/oclc/60814475","Catalog Record")</f>
        <v>Catalog Record</v>
      </c>
      <c r="AW1513" s="6" t="str">
        <f>HYPERLINK("http://www.worldcat.org/oclc/60814475","WorldCat Record")</f>
        <v>WorldCat Record</v>
      </c>
      <c r="AX1513" s="3" t="s">
        <v>14916</v>
      </c>
      <c r="AY1513" s="3" t="s">
        <v>14917</v>
      </c>
      <c r="AZ1513" s="3" t="s">
        <v>14918</v>
      </c>
      <c r="BA1513" s="3" t="s">
        <v>14918</v>
      </c>
      <c r="BB1513" s="3" t="s">
        <v>14919</v>
      </c>
      <c r="BC1513" s="3" t="s">
        <v>77</v>
      </c>
      <c r="BD1513" s="3" t="s">
        <v>78</v>
      </c>
      <c r="BF1513" s="3" t="s">
        <v>14919</v>
      </c>
      <c r="BG1513" s="3" t="s">
        <v>14920</v>
      </c>
    </row>
    <row r="1514" spans="1:59" ht="72.5" x14ac:dyDescent="0.35">
      <c r="A1514" s="2" t="s">
        <v>59</v>
      </c>
      <c r="B1514" s="2" t="s">
        <v>60</v>
      </c>
      <c r="C1514" s="2" t="s">
        <v>14910</v>
      </c>
      <c r="D1514" s="2" t="s">
        <v>14911</v>
      </c>
      <c r="E1514" s="2" t="s">
        <v>14912</v>
      </c>
      <c r="F1514" s="3" t="s">
        <v>10614</v>
      </c>
      <c r="G1514" s="3" t="s">
        <v>209</v>
      </c>
      <c r="I1514" s="3" t="s">
        <v>65</v>
      </c>
      <c r="J1514" s="3" t="s">
        <v>65</v>
      </c>
      <c r="K1514" s="3" t="s">
        <v>66</v>
      </c>
      <c r="L1514" s="2" t="s">
        <v>14888</v>
      </c>
      <c r="M1514" s="2" t="s">
        <v>14913</v>
      </c>
      <c r="N1514" s="3" t="s">
        <v>1196</v>
      </c>
      <c r="P1514" s="3" t="s">
        <v>140</v>
      </c>
      <c r="Q1514" s="2" t="s">
        <v>14914</v>
      </c>
      <c r="R1514" s="3" t="s">
        <v>71</v>
      </c>
      <c r="S1514" s="4">
        <v>3</v>
      </c>
      <c r="T1514" s="4">
        <v>8</v>
      </c>
      <c r="U1514" s="5" t="s">
        <v>14921</v>
      </c>
      <c r="V1514" s="5" t="s">
        <v>5225</v>
      </c>
      <c r="W1514" s="5" t="s">
        <v>72</v>
      </c>
      <c r="X1514" s="5" t="s">
        <v>72</v>
      </c>
      <c r="Y1514" s="4">
        <v>22</v>
      </c>
      <c r="Z1514" s="4">
        <v>1</v>
      </c>
      <c r="AA1514" s="4">
        <v>1</v>
      </c>
      <c r="AB1514" s="4">
        <v>1</v>
      </c>
      <c r="AC1514" s="4">
        <v>1</v>
      </c>
      <c r="AD1514" s="4">
        <v>12</v>
      </c>
      <c r="AE1514" s="4">
        <v>12</v>
      </c>
      <c r="AF1514" s="4">
        <v>0</v>
      </c>
      <c r="AG1514" s="4">
        <v>0</v>
      </c>
      <c r="AH1514" s="4">
        <v>12</v>
      </c>
      <c r="AI1514" s="4">
        <v>12</v>
      </c>
      <c r="AJ1514" s="4">
        <v>0</v>
      </c>
      <c r="AK1514" s="4">
        <v>0</v>
      </c>
      <c r="AL1514" s="4">
        <v>10</v>
      </c>
      <c r="AM1514" s="4">
        <v>10</v>
      </c>
      <c r="AN1514" s="4">
        <v>0</v>
      </c>
      <c r="AO1514" s="4">
        <v>0</v>
      </c>
      <c r="AP1514" s="4">
        <v>0</v>
      </c>
      <c r="AQ1514" s="4">
        <v>0</v>
      </c>
      <c r="AR1514" s="3" t="s">
        <v>65</v>
      </c>
      <c r="AS1514" s="3" t="s">
        <v>65</v>
      </c>
      <c r="AT1514" s="3" t="s">
        <v>209</v>
      </c>
      <c r="AU1514" s="6" t="str">
        <f>HYPERLINK("http://catalog.hathitrust.org/Record/005071084","HathiTrust Record")</f>
        <v>HathiTrust Record</v>
      </c>
      <c r="AV1514" s="6" t="str">
        <f>HYPERLINK("http://mcgill.on.worldcat.org/oclc/60814475","Catalog Record")</f>
        <v>Catalog Record</v>
      </c>
      <c r="AW1514" s="6" t="str">
        <f>HYPERLINK("http://www.worldcat.org/oclc/60814475","WorldCat Record")</f>
        <v>WorldCat Record</v>
      </c>
      <c r="AX1514" s="3" t="s">
        <v>14916</v>
      </c>
      <c r="AY1514" s="3" t="s">
        <v>14917</v>
      </c>
      <c r="AZ1514" s="3" t="s">
        <v>14918</v>
      </c>
      <c r="BA1514" s="3" t="s">
        <v>14918</v>
      </c>
      <c r="BB1514" s="3" t="s">
        <v>14922</v>
      </c>
      <c r="BC1514" s="3" t="s">
        <v>77</v>
      </c>
      <c r="BD1514" s="3" t="s">
        <v>78</v>
      </c>
      <c r="BF1514" s="3" t="s">
        <v>14922</v>
      </c>
      <c r="BG1514" s="3" t="s">
        <v>14923</v>
      </c>
    </row>
    <row r="1515" spans="1:59" ht="72.5" x14ac:dyDescent="0.35">
      <c r="A1515" s="2" t="s">
        <v>59</v>
      </c>
      <c r="B1515" s="2" t="s">
        <v>60</v>
      </c>
      <c r="C1515" s="2" t="s">
        <v>14910</v>
      </c>
      <c r="D1515" s="2" t="s">
        <v>14911</v>
      </c>
      <c r="E1515" s="2" t="s">
        <v>14912</v>
      </c>
      <c r="F1515" s="3" t="s">
        <v>10601</v>
      </c>
      <c r="G1515" s="3" t="s">
        <v>209</v>
      </c>
      <c r="I1515" s="3" t="s">
        <v>65</v>
      </c>
      <c r="J1515" s="3" t="s">
        <v>65</v>
      </c>
      <c r="K1515" s="3" t="s">
        <v>66</v>
      </c>
      <c r="L1515" s="2" t="s">
        <v>14888</v>
      </c>
      <c r="M1515" s="2" t="s">
        <v>14913</v>
      </c>
      <c r="N1515" s="3" t="s">
        <v>1196</v>
      </c>
      <c r="P1515" s="3" t="s">
        <v>140</v>
      </c>
      <c r="Q1515" s="2" t="s">
        <v>14914</v>
      </c>
      <c r="R1515" s="3" t="s">
        <v>71</v>
      </c>
      <c r="S1515" s="4">
        <v>2</v>
      </c>
      <c r="T1515" s="4">
        <v>8</v>
      </c>
      <c r="U1515" s="5" t="s">
        <v>5225</v>
      </c>
      <c r="V1515" s="5" t="s">
        <v>5225</v>
      </c>
      <c r="W1515" s="5" t="s">
        <v>72</v>
      </c>
      <c r="X1515" s="5" t="s">
        <v>72</v>
      </c>
      <c r="Y1515" s="4">
        <v>22</v>
      </c>
      <c r="Z1515" s="4">
        <v>1</v>
      </c>
      <c r="AA1515" s="4">
        <v>1</v>
      </c>
      <c r="AB1515" s="4">
        <v>1</v>
      </c>
      <c r="AC1515" s="4">
        <v>1</v>
      </c>
      <c r="AD1515" s="4">
        <v>12</v>
      </c>
      <c r="AE1515" s="4">
        <v>12</v>
      </c>
      <c r="AF1515" s="4">
        <v>0</v>
      </c>
      <c r="AG1515" s="4">
        <v>0</v>
      </c>
      <c r="AH1515" s="4">
        <v>12</v>
      </c>
      <c r="AI1515" s="4">
        <v>12</v>
      </c>
      <c r="AJ1515" s="4">
        <v>0</v>
      </c>
      <c r="AK1515" s="4">
        <v>0</v>
      </c>
      <c r="AL1515" s="4">
        <v>10</v>
      </c>
      <c r="AM1515" s="4">
        <v>10</v>
      </c>
      <c r="AN1515" s="4">
        <v>0</v>
      </c>
      <c r="AO1515" s="4">
        <v>0</v>
      </c>
      <c r="AP1515" s="4">
        <v>0</v>
      </c>
      <c r="AQ1515" s="4">
        <v>0</v>
      </c>
      <c r="AR1515" s="3" t="s">
        <v>65</v>
      </c>
      <c r="AS1515" s="3" t="s">
        <v>65</v>
      </c>
      <c r="AT1515" s="3" t="s">
        <v>209</v>
      </c>
      <c r="AU1515" s="6" t="str">
        <f>HYPERLINK("http://catalog.hathitrust.org/Record/005071084","HathiTrust Record")</f>
        <v>HathiTrust Record</v>
      </c>
      <c r="AV1515" s="6" t="str">
        <f>HYPERLINK("http://mcgill.on.worldcat.org/oclc/60814475","Catalog Record")</f>
        <v>Catalog Record</v>
      </c>
      <c r="AW1515" s="6" t="str">
        <f>HYPERLINK("http://www.worldcat.org/oclc/60814475","WorldCat Record")</f>
        <v>WorldCat Record</v>
      </c>
      <c r="AX1515" s="3" t="s">
        <v>14916</v>
      </c>
      <c r="AY1515" s="3" t="s">
        <v>14917</v>
      </c>
      <c r="AZ1515" s="3" t="s">
        <v>14918</v>
      </c>
      <c r="BA1515" s="3" t="s">
        <v>14918</v>
      </c>
      <c r="BB1515" s="3" t="s">
        <v>14924</v>
      </c>
      <c r="BC1515" s="3" t="s">
        <v>77</v>
      </c>
      <c r="BD1515" s="3" t="s">
        <v>78</v>
      </c>
      <c r="BF1515" s="3" t="s">
        <v>14924</v>
      </c>
      <c r="BG1515" s="3" t="s">
        <v>14925</v>
      </c>
    </row>
    <row r="1516" spans="1:59" ht="72.5" x14ac:dyDescent="0.35">
      <c r="A1516" s="2" t="s">
        <v>59</v>
      </c>
      <c r="B1516" s="2" t="s">
        <v>60</v>
      </c>
      <c r="C1516" s="2" t="s">
        <v>14926</v>
      </c>
      <c r="D1516" s="2" t="s">
        <v>14927</v>
      </c>
      <c r="E1516" s="2" t="s">
        <v>14928</v>
      </c>
      <c r="F1516" s="3" t="s">
        <v>10617</v>
      </c>
      <c r="G1516" s="3" t="s">
        <v>209</v>
      </c>
      <c r="I1516" s="3" t="s">
        <v>65</v>
      </c>
      <c r="J1516" s="3" t="s">
        <v>65</v>
      </c>
      <c r="K1516" s="3" t="s">
        <v>66</v>
      </c>
      <c r="L1516" s="2" t="s">
        <v>14888</v>
      </c>
      <c r="M1516" s="2" t="s">
        <v>14929</v>
      </c>
      <c r="N1516" s="3" t="s">
        <v>139</v>
      </c>
      <c r="P1516" s="3" t="s">
        <v>140</v>
      </c>
      <c r="Q1516" s="2" t="s">
        <v>14930</v>
      </c>
      <c r="R1516" s="3" t="s">
        <v>71</v>
      </c>
      <c r="S1516" s="4">
        <v>0</v>
      </c>
      <c r="T1516" s="4">
        <v>0</v>
      </c>
      <c r="W1516" s="5" t="s">
        <v>72</v>
      </c>
      <c r="X1516" s="5" t="s">
        <v>72</v>
      </c>
      <c r="Y1516" s="4">
        <v>31</v>
      </c>
      <c r="Z1516" s="4">
        <v>2</v>
      </c>
      <c r="AA1516" s="4">
        <v>2</v>
      </c>
      <c r="AB1516" s="4">
        <v>1</v>
      </c>
      <c r="AC1516" s="4">
        <v>1</v>
      </c>
      <c r="AD1516" s="4">
        <v>17</v>
      </c>
      <c r="AE1516" s="4">
        <v>17</v>
      </c>
      <c r="AF1516" s="4">
        <v>0</v>
      </c>
      <c r="AG1516" s="4">
        <v>0</v>
      </c>
      <c r="AH1516" s="4">
        <v>17</v>
      </c>
      <c r="AI1516" s="4">
        <v>17</v>
      </c>
      <c r="AJ1516" s="4">
        <v>1</v>
      </c>
      <c r="AK1516" s="4">
        <v>1</v>
      </c>
      <c r="AL1516" s="4">
        <v>12</v>
      </c>
      <c r="AM1516" s="4">
        <v>12</v>
      </c>
      <c r="AN1516" s="4">
        <v>0</v>
      </c>
      <c r="AO1516" s="4">
        <v>0</v>
      </c>
      <c r="AP1516" s="4">
        <v>1</v>
      </c>
      <c r="AQ1516" s="4">
        <v>1</v>
      </c>
      <c r="AR1516" s="3" t="s">
        <v>65</v>
      </c>
      <c r="AS1516" s="3" t="s">
        <v>65</v>
      </c>
      <c r="AT1516" s="3" t="s">
        <v>65</v>
      </c>
      <c r="AV1516" s="6" t="str">
        <f>HYPERLINK("http://mcgill.on.worldcat.org/oclc/815380599","Catalog Record")</f>
        <v>Catalog Record</v>
      </c>
      <c r="AW1516" s="6" t="str">
        <f>HYPERLINK("http://www.worldcat.org/oclc/815380599","WorldCat Record")</f>
        <v>WorldCat Record</v>
      </c>
      <c r="AX1516" s="3" t="s">
        <v>14931</v>
      </c>
      <c r="AY1516" s="3" t="s">
        <v>14932</v>
      </c>
      <c r="AZ1516" s="3" t="s">
        <v>14933</v>
      </c>
      <c r="BA1516" s="3" t="s">
        <v>14933</v>
      </c>
      <c r="BB1516" s="3" t="s">
        <v>14934</v>
      </c>
      <c r="BC1516" s="3" t="s">
        <v>77</v>
      </c>
      <c r="BD1516" s="3" t="s">
        <v>78</v>
      </c>
      <c r="BE1516" s="3" t="s">
        <v>14935</v>
      </c>
      <c r="BF1516" s="3" t="s">
        <v>14934</v>
      </c>
      <c r="BG1516" s="3" t="s">
        <v>14936</v>
      </c>
    </row>
    <row r="1517" spans="1:59" ht="72.5" x14ac:dyDescent="0.35">
      <c r="A1517" s="2" t="s">
        <v>59</v>
      </c>
      <c r="B1517" s="2" t="s">
        <v>60</v>
      </c>
      <c r="C1517" s="2" t="s">
        <v>14926</v>
      </c>
      <c r="D1517" s="2" t="s">
        <v>14927</v>
      </c>
      <c r="E1517" s="2" t="s">
        <v>14928</v>
      </c>
      <c r="F1517" s="3" t="s">
        <v>10601</v>
      </c>
      <c r="G1517" s="3" t="s">
        <v>209</v>
      </c>
      <c r="I1517" s="3" t="s">
        <v>65</v>
      </c>
      <c r="J1517" s="3" t="s">
        <v>65</v>
      </c>
      <c r="K1517" s="3" t="s">
        <v>66</v>
      </c>
      <c r="L1517" s="2" t="s">
        <v>14888</v>
      </c>
      <c r="M1517" s="2" t="s">
        <v>14929</v>
      </c>
      <c r="N1517" s="3" t="s">
        <v>139</v>
      </c>
      <c r="P1517" s="3" t="s">
        <v>140</v>
      </c>
      <c r="Q1517" s="2" t="s">
        <v>14930</v>
      </c>
      <c r="R1517" s="3" t="s">
        <v>71</v>
      </c>
      <c r="S1517" s="4">
        <v>0</v>
      </c>
      <c r="T1517" s="4">
        <v>0</v>
      </c>
      <c r="W1517" s="5" t="s">
        <v>72</v>
      </c>
      <c r="X1517" s="5" t="s">
        <v>72</v>
      </c>
      <c r="Y1517" s="4">
        <v>31</v>
      </c>
      <c r="Z1517" s="4">
        <v>2</v>
      </c>
      <c r="AA1517" s="4">
        <v>2</v>
      </c>
      <c r="AB1517" s="4">
        <v>1</v>
      </c>
      <c r="AC1517" s="4">
        <v>1</v>
      </c>
      <c r="AD1517" s="4">
        <v>17</v>
      </c>
      <c r="AE1517" s="4">
        <v>17</v>
      </c>
      <c r="AF1517" s="4">
        <v>0</v>
      </c>
      <c r="AG1517" s="4">
        <v>0</v>
      </c>
      <c r="AH1517" s="4">
        <v>17</v>
      </c>
      <c r="AI1517" s="4">
        <v>17</v>
      </c>
      <c r="AJ1517" s="4">
        <v>1</v>
      </c>
      <c r="AK1517" s="4">
        <v>1</v>
      </c>
      <c r="AL1517" s="4">
        <v>12</v>
      </c>
      <c r="AM1517" s="4">
        <v>12</v>
      </c>
      <c r="AN1517" s="4">
        <v>0</v>
      </c>
      <c r="AO1517" s="4">
        <v>0</v>
      </c>
      <c r="AP1517" s="4">
        <v>1</v>
      </c>
      <c r="AQ1517" s="4">
        <v>1</v>
      </c>
      <c r="AR1517" s="3" t="s">
        <v>65</v>
      </c>
      <c r="AS1517" s="3" t="s">
        <v>65</v>
      </c>
      <c r="AT1517" s="3" t="s">
        <v>65</v>
      </c>
      <c r="AV1517" s="6" t="str">
        <f>HYPERLINK("http://mcgill.on.worldcat.org/oclc/815380599","Catalog Record")</f>
        <v>Catalog Record</v>
      </c>
      <c r="AW1517" s="6" t="str">
        <f>HYPERLINK("http://www.worldcat.org/oclc/815380599","WorldCat Record")</f>
        <v>WorldCat Record</v>
      </c>
      <c r="AX1517" s="3" t="s">
        <v>14931</v>
      </c>
      <c r="AY1517" s="3" t="s">
        <v>14932</v>
      </c>
      <c r="AZ1517" s="3" t="s">
        <v>14933</v>
      </c>
      <c r="BA1517" s="3" t="s">
        <v>14933</v>
      </c>
      <c r="BB1517" s="3" t="s">
        <v>14937</v>
      </c>
      <c r="BC1517" s="3" t="s">
        <v>77</v>
      </c>
      <c r="BD1517" s="3" t="s">
        <v>78</v>
      </c>
      <c r="BE1517" s="3" t="s">
        <v>14935</v>
      </c>
      <c r="BF1517" s="3" t="s">
        <v>14937</v>
      </c>
      <c r="BG1517" s="3" t="s">
        <v>14938</v>
      </c>
    </row>
    <row r="1518" spans="1:59" ht="72.5" x14ac:dyDescent="0.35">
      <c r="A1518" s="2" t="s">
        <v>59</v>
      </c>
      <c r="B1518" s="2" t="s">
        <v>60</v>
      </c>
      <c r="C1518" s="2" t="s">
        <v>14939</v>
      </c>
      <c r="D1518" s="2" t="s">
        <v>14940</v>
      </c>
      <c r="E1518" s="2" t="s">
        <v>14941</v>
      </c>
      <c r="F1518" s="3" t="s">
        <v>10601</v>
      </c>
      <c r="G1518" s="3" t="s">
        <v>209</v>
      </c>
      <c r="I1518" s="3" t="s">
        <v>65</v>
      </c>
      <c r="J1518" s="3" t="s">
        <v>65</v>
      </c>
      <c r="K1518" s="3" t="s">
        <v>66</v>
      </c>
      <c r="L1518" s="2" t="s">
        <v>14888</v>
      </c>
      <c r="M1518" s="2" t="s">
        <v>14942</v>
      </c>
      <c r="N1518" s="3" t="s">
        <v>126</v>
      </c>
      <c r="P1518" s="3" t="s">
        <v>140</v>
      </c>
      <c r="Q1518" s="2" t="s">
        <v>14943</v>
      </c>
      <c r="R1518" s="3" t="s">
        <v>71</v>
      </c>
      <c r="S1518" s="4">
        <v>0</v>
      </c>
      <c r="T1518" s="4">
        <v>0</v>
      </c>
      <c r="W1518" s="5" t="s">
        <v>72</v>
      </c>
      <c r="X1518" s="5" t="s">
        <v>72</v>
      </c>
      <c r="Y1518" s="4">
        <v>15</v>
      </c>
      <c r="Z1518" s="4">
        <v>2</v>
      </c>
      <c r="AA1518" s="4">
        <v>2</v>
      </c>
      <c r="AB1518" s="4">
        <v>1</v>
      </c>
      <c r="AC1518" s="4">
        <v>1</v>
      </c>
      <c r="AD1518" s="4">
        <v>9</v>
      </c>
      <c r="AE1518" s="4">
        <v>9</v>
      </c>
      <c r="AF1518" s="4">
        <v>0</v>
      </c>
      <c r="AG1518" s="4">
        <v>0</v>
      </c>
      <c r="AH1518" s="4">
        <v>9</v>
      </c>
      <c r="AI1518" s="4">
        <v>9</v>
      </c>
      <c r="AJ1518" s="4">
        <v>1</v>
      </c>
      <c r="AK1518" s="4">
        <v>1</v>
      </c>
      <c r="AL1518" s="4">
        <v>6</v>
      </c>
      <c r="AM1518" s="4">
        <v>6</v>
      </c>
      <c r="AN1518" s="4">
        <v>0</v>
      </c>
      <c r="AO1518" s="4">
        <v>0</v>
      </c>
      <c r="AP1518" s="4">
        <v>1</v>
      </c>
      <c r="AQ1518" s="4">
        <v>1</v>
      </c>
      <c r="AR1518" s="3" t="s">
        <v>65</v>
      </c>
      <c r="AS1518" s="3" t="s">
        <v>65</v>
      </c>
      <c r="AT1518" s="3" t="s">
        <v>65</v>
      </c>
      <c r="AV1518" s="6" t="str">
        <f>HYPERLINK("http://mcgill.on.worldcat.org/oclc/776893978","Catalog Record")</f>
        <v>Catalog Record</v>
      </c>
      <c r="AW1518" s="6" t="str">
        <f>HYPERLINK("http://www.worldcat.org/oclc/776893978","WorldCat Record")</f>
        <v>WorldCat Record</v>
      </c>
      <c r="AX1518" s="3" t="s">
        <v>14944</v>
      </c>
      <c r="AY1518" s="3" t="s">
        <v>14945</v>
      </c>
      <c r="AZ1518" s="3" t="s">
        <v>14946</v>
      </c>
      <c r="BA1518" s="3" t="s">
        <v>14946</v>
      </c>
      <c r="BB1518" s="3" t="s">
        <v>14947</v>
      </c>
      <c r="BC1518" s="3" t="s">
        <v>77</v>
      </c>
      <c r="BD1518" s="3" t="s">
        <v>78</v>
      </c>
      <c r="BE1518" s="3" t="s">
        <v>14948</v>
      </c>
      <c r="BF1518" s="3" t="s">
        <v>14947</v>
      </c>
      <c r="BG1518" s="3" t="s">
        <v>14949</v>
      </c>
    </row>
    <row r="1519" spans="1:59" ht="72.5" x14ac:dyDescent="0.35">
      <c r="A1519" s="2" t="s">
        <v>59</v>
      </c>
      <c r="B1519" s="2" t="s">
        <v>60</v>
      </c>
      <c r="C1519" s="2" t="s">
        <v>14939</v>
      </c>
      <c r="D1519" s="2" t="s">
        <v>14940</v>
      </c>
      <c r="E1519" s="2" t="s">
        <v>14941</v>
      </c>
      <c r="F1519" s="3" t="s">
        <v>10617</v>
      </c>
      <c r="G1519" s="3" t="s">
        <v>209</v>
      </c>
      <c r="I1519" s="3" t="s">
        <v>65</v>
      </c>
      <c r="J1519" s="3" t="s">
        <v>65</v>
      </c>
      <c r="K1519" s="3" t="s">
        <v>66</v>
      </c>
      <c r="L1519" s="2" t="s">
        <v>14888</v>
      </c>
      <c r="M1519" s="2" t="s">
        <v>14942</v>
      </c>
      <c r="N1519" s="3" t="s">
        <v>126</v>
      </c>
      <c r="P1519" s="3" t="s">
        <v>140</v>
      </c>
      <c r="Q1519" s="2" t="s">
        <v>14943</v>
      </c>
      <c r="R1519" s="3" t="s">
        <v>71</v>
      </c>
      <c r="S1519" s="4">
        <v>0</v>
      </c>
      <c r="T1519" s="4">
        <v>0</v>
      </c>
      <c r="W1519" s="5" t="s">
        <v>72</v>
      </c>
      <c r="X1519" s="5" t="s">
        <v>72</v>
      </c>
      <c r="Y1519" s="4">
        <v>15</v>
      </c>
      <c r="Z1519" s="4">
        <v>2</v>
      </c>
      <c r="AA1519" s="4">
        <v>2</v>
      </c>
      <c r="AB1519" s="4">
        <v>1</v>
      </c>
      <c r="AC1519" s="4">
        <v>1</v>
      </c>
      <c r="AD1519" s="4">
        <v>9</v>
      </c>
      <c r="AE1519" s="4">
        <v>9</v>
      </c>
      <c r="AF1519" s="4">
        <v>0</v>
      </c>
      <c r="AG1519" s="4">
        <v>0</v>
      </c>
      <c r="AH1519" s="4">
        <v>9</v>
      </c>
      <c r="AI1519" s="4">
        <v>9</v>
      </c>
      <c r="AJ1519" s="4">
        <v>1</v>
      </c>
      <c r="AK1519" s="4">
        <v>1</v>
      </c>
      <c r="AL1519" s="4">
        <v>6</v>
      </c>
      <c r="AM1519" s="4">
        <v>6</v>
      </c>
      <c r="AN1519" s="4">
        <v>0</v>
      </c>
      <c r="AO1519" s="4">
        <v>0</v>
      </c>
      <c r="AP1519" s="4">
        <v>1</v>
      </c>
      <c r="AQ1519" s="4">
        <v>1</v>
      </c>
      <c r="AR1519" s="3" t="s">
        <v>65</v>
      </c>
      <c r="AS1519" s="3" t="s">
        <v>65</v>
      </c>
      <c r="AT1519" s="3" t="s">
        <v>65</v>
      </c>
      <c r="AV1519" s="6" t="str">
        <f>HYPERLINK("http://mcgill.on.worldcat.org/oclc/776893978","Catalog Record")</f>
        <v>Catalog Record</v>
      </c>
      <c r="AW1519" s="6" t="str">
        <f>HYPERLINK("http://www.worldcat.org/oclc/776893978","WorldCat Record")</f>
        <v>WorldCat Record</v>
      </c>
      <c r="AX1519" s="3" t="s">
        <v>14944</v>
      </c>
      <c r="AY1519" s="3" t="s">
        <v>14945</v>
      </c>
      <c r="AZ1519" s="3" t="s">
        <v>14946</v>
      </c>
      <c r="BA1519" s="3" t="s">
        <v>14946</v>
      </c>
      <c r="BB1519" s="3" t="s">
        <v>14950</v>
      </c>
      <c r="BC1519" s="3" t="s">
        <v>77</v>
      </c>
      <c r="BD1519" s="3" t="s">
        <v>78</v>
      </c>
      <c r="BE1519" s="3" t="s">
        <v>14948</v>
      </c>
      <c r="BF1519" s="3" t="s">
        <v>14950</v>
      </c>
      <c r="BG1519" s="3" t="s">
        <v>14951</v>
      </c>
    </row>
    <row r="1520" spans="1:59" ht="58" x14ac:dyDescent="0.35">
      <c r="A1520" s="2" t="s">
        <v>59</v>
      </c>
      <c r="B1520" s="2" t="s">
        <v>60</v>
      </c>
      <c r="C1520" s="2" t="s">
        <v>14952</v>
      </c>
      <c r="D1520" s="2" t="s">
        <v>14953</v>
      </c>
      <c r="E1520" s="2" t="s">
        <v>14954</v>
      </c>
      <c r="F1520" s="3" t="s">
        <v>258</v>
      </c>
      <c r="G1520" s="3" t="s">
        <v>209</v>
      </c>
      <c r="I1520" s="3" t="s">
        <v>65</v>
      </c>
      <c r="J1520" s="3" t="s">
        <v>65</v>
      </c>
      <c r="K1520" s="3" t="s">
        <v>66</v>
      </c>
      <c r="L1520" s="2" t="s">
        <v>14888</v>
      </c>
      <c r="M1520" s="2" t="s">
        <v>14955</v>
      </c>
      <c r="N1520" s="3" t="s">
        <v>14003</v>
      </c>
      <c r="P1520" s="3" t="s">
        <v>69</v>
      </c>
      <c r="R1520" s="3" t="s">
        <v>71</v>
      </c>
      <c r="S1520" s="4">
        <v>5</v>
      </c>
      <c r="T1520" s="4">
        <v>7</v>
      </c>
      <c r="U1520" s="5" t="s">
        <v>14956</v>
      </c>
      <c r="V1520" s="5" t="s">
        <v>14956</v>
      </c>
      <c r="W1520" s="5" t="s">
        <v>72</v>
      </c>
      <c r="X1520" s="5" t="s">
        <v>72</v>
      </c>
      <c r="Y1520" s="4">
        <v>122</v>
      </c>
      <c r="Z1520" s="4">
        <v>5</v>
      </c>
      <c r="AA1520" s="4">
        <v>17</v>
      </c>
      <c r="AB1520" s="4">
        <v>1</v>
      </c>
      <c r="AC1520" s="4">
        <v>2</v>
      </c>
      <c r="AD1520" s="4">
        <v>48</v>
      </c>
      <c r="AE1520" s="4">
        <v>100</v>
      </c>
      <c r="AF1520" s="4">
        <v>0</v>
      </c>
      <c r="AG1520" s="4">
        <v>0</v>
      </c>
      <c r="AH1520" s="4">
        <v>48</v>
      </c>
      <c r="AI1520" s="4">
        <v>90</v>
      </c>
      <c r="AJ1520" s="4">
        <v>3</v>
      </c>
      <c r="AK1520" s="4">
        <v>10</v>
      </c>
      <c r="AL1520" s="4">
        <v>26</v>
      </c>
      <c r="AM1520" s="4">
        <v>53</v>
      </c>
      <c r="AN1520" s="4">
        <v>0</v>
      </c>
      <c r="AO1520" s="4">
        <v>0</v>
      </c>
      <c r="AP1520" s="4">
        <v>3</v>
      </c>
      <c r="AQ1520" s="4">
        <v>12</v>
      </c>
      <c r="AR1520" s="3" t="s">
        <v>65</v>
      </c>
      <c r="AS1520" s="3" t="s">
        <v>65</v>
      </c>
      <c r="AT1520" s="3" t="s">
        <v>209</v>
      </c>
      <c r="AU1520" s="6" t="str">
        <f>HYPERLINK("http://catalog.hathitrust.org/Record/001015761","HathiTrust Record")</f>
        <v>HathiTrust Record</v>
      </c>
      <c r="AV1520" s="6" t="str">
        <f>HYPERLINK("http://mcgill.on.worldcat.org/oclc/1004250","Catalog Record")</f>
        <v>Catalog Record</v>
      </c>
      <c r="AW1520" s="6" t="str">
        <f>HYPERLINK("http://www.worldcat.org/oclc/1004250","WorldCat Record")</f>
        <v>WorldCat Record</v>
      </c>
      <c r="AX1520" s="3" t="s">
        <v>14957</v>
      </c>
      <c r="AY1520" s="3" t="s">
        <v>14958</v>
      </c>
      <c r="AZ1520" s="3" t="s">
        <v>14959</v>
      </c>
      <c r="BA1520" s="3" t="s">
        <v>14959</v>
      </c>
      <c r="BB1520" s="3" t="s">
        <v>14960</v>
      </c>
      <c r="BC1520" s="3" t="s">
        <v>77</v>
      </c>
      <c r="BD1520" s="3" t="s">
        <v>78</v>
      </c>
      <c r="BF1520" s="3" t="s">
        <v>14960</v>
      </c>
      <c r="BG1520" s="3" t="s">
        <v>14961</v>
      </c>
    </row>
    <row r="1521" spans="1:59" ht="58" x14ac:dyDescent="0.35">
      <c r="A1521" s="2" t="s">
        <v>59</v>
      </c>
      <c r="B1521" s="2" t="s">
        <v>60</v>
      </c>
      <c r="C1521" s="2" t="s">
        <v>14952</v>
      </c>
      <c r="D1521" s="2" t="s">
        <v>14953</v>
      </c>
      <c r="E1521" s="2" t="s">
        <v>14954</v>
      </c>
      <c r="F1521" s="3" t="s">
        <v>245</v>
      </c>
      <c r="G1521" s="3" t="s">
        <v>209</v>
      </c>
      <c r="I1521" s="3" t="s">
        <v>65</v>
      </c>
      <c r="J1521" s="3" t="s">
        <v>65</v>
      </c>
      <c r="K1521" s="3" t="s">
        <v>66</v>
      </c>
      <c r="L1521" s="2" t="s">
        <v>14888</v>
      </c>
      <c r="M1521" s="2" t="s">
        <v>14955</v>
      </c>
      <c r="N1521" s="3" t="s">
        <v>14003</v>
      </c>
      <c r="P1521" s="3" t="s">
        <v>69</v>
      </c>
      <c r="R1521" s="3" t="s">
        <v>71</v>
      </c>
      <c r="S1521" s="4">
        <v>2</v>
      </c>
      <c r="T1521" s="4">
        <v>7</v>
      </c>
      <c r="U1521" s="5" t="s">
        <v>14962</v>
      </c>
      <c r="V1521" s="5" t="s">
        <v>14956</v>
      </c>
      <c r="W1521" s="5" t="s">
        <v>72</v>
      </c>
      <c r="X1521" s="5" t="s">
        <v>72</v>
      </c>
      <c r="Y1521" s="4">
        <v>122</v>
      </c>
      <c r="Z1521" s="4">
        <v>5</v>
      </c>
      <c r="AA1521" s="4">
        <v>17</v>
      </c>
      <c r="AB1521" s="4">
        <v>1</v>
      </c>
      <c r="AC1521" s="4">
        <v>2</v>
      </c>
      <c r="AD1521" s="4">
        <v>48</v>
      </c>
      <c r="AE1521" s="4">
        <v>100</v>
      </c>
      <c r="AF1521" s="4">
        <v>0</v>
      </c>
      <c r="AG1521" s="4">
        <v>0</v>
      </c>
      <c r="AH1521" s="4">
        <v>48</v>
      </c>
      <c r="AI1521" s="4">
        <v>90</v>
      </c>
      <c r="AJ1521" s="4">
        <v>3</v>
      </c>
      <c r="AK1521" s="4">
        <v>10</v>
      </c>
      <c r="AL1521" s="4">
        <v>26</v>
      </c>
      <c r="AM1521" s="4">
        <v>53</v>
      </c>
      <c r="AN1521" s="4">
        <v>0</v>
      </c>
      <c r="AO1521" s="4">
        <v>0</v>
      </c>
      <c r="AP1521" s="4">
        <v>3</v>
      </c>
      <c r="AQ1521" s="4">
        <v>12</v>
      </c>
      <c r="AR1521" s="3" t="s">
        <v>65</v>
      </c>
      <c r="AS1521" s="3" t="s">
        <v>65</v>
      </c>
      <c r="AT1521" s="3" t="s">
        <v>209</v>
      </c>
      <c r="AU1521" s="6" t="str">
        <f>HYPERLINK("http://catalog.hathitrust.org/Record/001015761","HathiTrust Record")</f>
        <v>HathiTrust Record</v>
      </c>
      <c r="AV1521" s="6" t="str">
        <f>HYPERLINK("http://mcgill.on.worldcat.org/oclc/1004250","Catalog Record")</f>
        <v>Catalog Record</v>
      </c>
      <c r="AW1521" s="6" t="str">
        <f>HYPERLINK("http://www.worldcat.org/oclc/1004250","WorldCat Record")</f>
        <v>WorldCat Record</v>
      </c>
      <c r="AX1521" s="3" t="s">
        <v>14957</v>
      </c>
      <c r="AY1521" s="3" t="s">
        <v>14958</v>
      </c>
      <c r="AZ1521" s="3" t="s">
        <v>14959</v>
      </c>
      <c r="BA1521" s="3" t="s">
        <v>14959</v>
      </c>
      <c r="BB1521" s="3" t="s">
        <v>14963</v>
      </c>
      <c r="BC1521" s="3" t="s">
        <v>77</v>
      </c>
      <c r="BD1521" s="3" t="s">
        <v>78</v>
      </c>
      <c r="BF1521" s="3" t="s">
        <v>14963</v>
      </c>
      <c r="BG1521" s="3" t="s">
        <v>14964</v>
      </c>
    </row>
    <row r="1522" spans="1:59" ht="58" x14ac:dyDescent="0.35">
      <c r="A1522" s="2" t="s">
        <v>59</v>
      </c>
      <c r="B1522" s="2" t="s">
        <v>60</v>
      </c>
      <c r="C1522" s="2" t="s">
        <v>14965</v>
      </c>
      <c r="D1522" s="2" t="s">
        <v>14966</v>
      </c>
      <c r="E1522" s="2" t="s">
        <v>14967</v>
      </c>
      <c r="G1522" s="3" t="s">
        <v>65</v>
      </c>
      <c r="I1522" s="3" t="s">
        <v>65</v>
      </c>
      <c r="J1522" s="3" t="s">
        <v>65</v>
      </c>
      <c r="K1522" s="3" t="s">
        <v>66</v>
      </c>
      <c r="L1522" s="2" t="s">
        <v>14888</v>
      </c>
      <c r="M1522" s="2" t="s">
        <v>14968</v>
      </c>
      <c r="N1522" s="3" t="s">
        <v>1967</v>
      </c>
      <c r="P1522" s="3" t="s">
        <v>69</v>
      </c>
      <c r="Q1522" s="2" t="s">
        <v>14969</v>
      </c>
      <c r="R1522" s="3" t="s">
        <v>71</v>
      </c>
      <c r="S1522" s="4">
        <v>11</v>
      </c>
      <c r="T1522" s="4">
        <v>11</v>
      </c>
      <c r="U1522" s="5" t="s">
        <v>13091</v>
      </c>
      <c r="V1522" s="5" t="s">
        <v>13091</v>
      </c>
      <c r="W1522" s="5" t="s">
        <v>72</v>
      </c>
      <c r="X1522" s="5" t="s">
        <v>72</v>
      </c>
      <c r="Y1522" s="4">
        <v>94</v>
      </c>
      <c r="Z1522" s="4">
        <v>19</v>
      </c>
      <c r="AA1522" s="4">
        <v>19</v>
      </c>
      <c r="AB1522" s="4">
        <v>3</v>
      </c>
      <c r="AC1522" s="4">
        <v>3</v>
      </c>
      <c r="AD1522" s="4">
        <v>55</v>
      </c>
      <c r="AE1522" s="4">
        <v>55</v>
      </c>
      <c r="AF1522" s="4">
        <v>1</v>
      </c>
      <c r="AG1522" s="4">
        <v>1</v>
      </c>
      <c r="AH1522" s="4">
        <v>44</v>
      </c>
      <c r="AI1522" s="4">
        <v>44</v>
      </c>
      <c r="AJ1522" s="4">
        <v>10</v>
      </c>
      <c r="AK1522" s="4">
        <v>10</v>
      </c>
      <c r="AL1522" s="4">
        <v>33</v>
      </c>
      <c r="AM1522" s="4">
        <v>33</v>
      </c>
      <c r="AN1522" s="4">
        <v>0</v>
      </c>
      <c r="AO1522" s="4">
        <v>0</v>
      </c>
      <c r="AP1522" s="4">
        <v>13</v>
      </c>
      <c r="AQ1522" s="4">
        <v>13</v>
      </c>
      <c r="AR1522" s="3" t="s">
        <v>209</v>
      </c>
      <c r="AS1522" s="3" t="s">
        <v>65</v>
      </c>
      <c r="AT1522" s="3" t="s">
        <v>65</v>
      </c>
      <c r="AV1522" s="6" t="str">
        <f>HYPERLINK("http://mcgill.on.worldcat.org/oclc/50185956","Catalog Record")</f>
        <v>Catalog Record</v>
      </c>
      <c r="AW1522" s="6" t="str">
        <f>HYPERLINK("http://www.worldcat.org/oclc/50185956","WorldCat Record")</f>
        <v>WorldCat Record</v>
      </c>
      <c r="AX1522" s="3" t="s">
        <v>14970</v>
      </c>
      <c r="AY1522" s="3" t="s">
        <v>14971</v>
      </c>
      <c r="AZ1522" s="3" t="s">
        <v>14972</v>
      </c>
      <c r="BA1522" s="3" t="s">
        <v>14972</v>
      </c>
      <c r="BB1522" s="3" t="s">
        <v>14973</v>
      </c>
      <c r="BC1522" s="3" t="s">
        <v>77</v>
      </c>
      <c r="BD1522" s="3" t="s">
        <v>78</v>
      </c>
      <c r="BE1522" s="3" t="s">
        <v>14974</v>
      </c>
      <c r="BF1522" s="3" t="s">
        <v>14973</v>
      </c>
      <c r="BG1522" s="3" t="s">
        <v>14975</v>
      </c>
    </row>
    <row r="1523" spans="1:59" ht="58" x14ac:dyDescent="0.35">
      <c r="A1523" s="2" t="s">
        <v>59</v>
      </c>
      <c r="B1523" s="2" t="s">
        <v>60</v>
      </c>
      <c r="C1523" s="2" t="s">
        <v>14976</v>
      </c>
      <c r="D1523" s="2" t="s">
        <v>14977</v>
      </c>
      <c r="E1523" s="2" t="s">
        <v>14978</v>
      </c>
      <c r="G1523" s="3" t="s">
        <v>65</v>
      </c>
      <c r="I1523" s="3" t="s">
        <v>65</v>
      </c>
      <c r="J1523" s="3" t="s">
        <v>209</v>
      </c>
      <c r="K1523" s="3" t="s">
        <v>66</v>
      </c>
      <c r="L1523" s="2" t="s">
        <v>14888</v>
      </c>
      <c r="M1523" s="2" t="s">
        <v>14979</v>
      </c>
      <c r="N1523" s="3" t="s">
        <v>1967</v>
      </c>
      <c r="P1523" s="3" t="s">
        <v>69</v>
      </c>
      <c r="Q1523" s="2" t="s">
        <v>14980</v>
      </c>
      <c r="R1523" s="3" t="s">
        <v>71</v>
      </c>
      <c r="S1523" s="4">
        <v>13</v>
      </c>
      <c r="T1523" s="4">
        <v>13</v>
      </c>
      <c r="U1523" s="5" t="s">
        <v>14981</v>
      </c>
      <c r="V1523" s="5" t="s">
        <v>14981</v>
      </c>
      <c r="W1523" s="5" t="s">
        <v>72</v>
      </c>
      <c r="X1523" s="5" t="s">
        <v>72</v>
      </c>
      <c r="Y1523" s="4">
        <v>106</v>
      </c>
      <c r="Z1523" s="4">
        <v>11</v>
      </c>
      <c r="AA1523" s="4">
        <v>125</v>
      </c>
      <c r="AB1523" s="4">
        <v>1</v>
      </c>
      <c r="AC1523" s="4">
        <v>23</v>
      </c>
      <c r="AD1523" s="4">
        <v>50</v>
      </c>
      <c r="AE1523" s="4">
        <v>163</v>
      </c>
      <c r="AF1523" s="4">
        <v>0</v>
      </c>
      <c r="AG1523" s="4">
        <v>9</v>
      </c>
      <c r="AH1523" s="4">
        <v>46</v>
      </c>
      <c r="AI1523" s="4">
        <v>112</v>
      </c>
      <c r="AJ1523" s="4">
        <v>6</v>
      </c>
      <c r="AK1523" s="4">
        <v>29</v>
      </c>
      <c r="AL1523" s="4">
        <v>33</v>
      </c>
      <c r="AM1523" s="4">
        <v>62</v>
      </c>
      <c r="AN1523" s="4">
        <v>0</v>
      </c>
      <c r="AO1523" s="4">
        <v>0</v>
      </c>
      <c r="AP1523" s="4">
        <v>7</v>
      </c>
      <c r="AQ1523" s="4">
        <v>57</v>
      </c>
      <c r="AR1523" s="3" t="s">
        <v>65</v>
      </c>
      <c r="AS1523" s="3" t="s">
        <v>65</v>
      </c>
      <c r="AT1523" s="3" t="s">
        <v>209</v>
      </c>
      <c r="AU1523" s="6" t="str">
        <f>HYPERLINK("http://catalog.hathitrust.org/Record/004339525","HathiTrust Record")</f>
        <v>HathiTrust Record</v>
      </c>
      <c r="AV1523" s="6" t="str">
        <f>HYPERLINK("http://mcgill.on.worldcat.org/oclc/59372884","Catalog Record")</f>
        <v>Catalog Record</v>
      </c>
      <c r="AW1523" s="6" t="str">
        <f>HYPERLINK("http://www.worldcat.org/oclc/59372884","WorldCat Record")</f>
        <v>WorldCat Record</v>
      </c>
      <c r="AX1523" s="3" t="s">
        <v>14982</v>
      </c>
      <c r="AY1523" s="3" t="s">
        <v>14983</v>
      </c>
      <c r="AZ1523" s="3" t="s">
        <v>14984</v>
      </c>
      <c r="BA1523" s="3" t="s">
        <v>14984</v>
      </c>
      <c r="BB1523" s="3" t="s">
        <v>14985</v>
      </c>
      <c r="BC1523" s="3" t="s">
        <v>77</v>
      </c>
      <c r="BD1523" s="3" t="s">
        <v>78</v>
      </c>
      <c r="BE1523" s="3" t="s">
        <v>14986</v>
      </c>
      <c r="BF1523" s="3" t="s">
        <v>14985</v>
      </c>
      <c r="BG1523" s="3" t="s">
        <v>14987</v>
      </c>
    </row>
    <row r="1524" spans="1:59" ht="58" x14ac:dyDescent="0.35">
      <c r="A1524" s="2" t="s">
        <v>59</v>
      </c>
      <c r="B1524" s="2" t="s">
        <v>60</v>
      </c>
      <c r="C1524" s="2" t="s">
        <v>14988</v>
      </c>
      <c r="D1524" s="2" t="s">
        <v>14989</v>
      </c>
      <c r="E1524" s="2" t="s">
        <v>14990</v>
      </c>
      <c r="G1524" s="3" t="s">
        <v>65</v>
      </c>
      <c r="I1524" s="3" t="s">
        <v>65</v>
      </c>
      <c r="J1524" s="3" t="s">
        <v>65</v>
      </c>
      <c r="K1524" s="3" t="s">
        <v>66</v>
      </c>
      <c r="L1524" s="2" t="s">
        <v>14888</v>
      </c>
      <c r="M1524" s="2" t="s">
        <v>14991</v>
      </c>
      <c r="N1524" s="3" t="s">
        <v>99</v>
      </c>
      <c r="P1524" s="3" t="s">
        <v>69</v>
      </c>
      <c r="Q1524" s="2" t="s">
        <v>14992</v>
      </c>
      <c r="R1524" s="3" t="s">
        <v>71</v>
      </c>
      <c r="S1524" s="4">
        <v>3</v>
      </c>
      <c r="T1524" s="4">
        <v>3</v>
      </c>
      <c r="U1524" s="5" t="s">
        <v>7026</v>
      </c>
      <c r="V1524" s="5" t="s">
        <v>7026</v>
      </c>
      <c r="W1524" s="5" t="s">
        <v>72</v>
      </c>
      <c r="X1524" s="5" t="s">
        <v>72</v>
      </c>
      <c r="Y1524" s="4">
        <v>138</v>
      </c>
      <c r="Z1524" s="4">
        <v>15</v>
      </c>
      <c r="AA1524" s="4">
        <v>16</v>
      </c>
      <c r="AB1524" s="4">
        <v>1</v>
      </c>
      <c r="AC1524" s="4">
        <v>1</v>
      </c>
      <c r="AD1524" s="4">
        <v>58</v>
      </c>
      <c r="AE1524" s="4">
        <v>59</v>
      </c>
      <c r="AF1524" s="4">
        <v>0</v>
      </c>
      <c r="AG1524" s="4">
        <v>0</v>
      </c>
      <c r="AH1524" s="4">
        <v>55</v>
      </c>
      <c r="AI1524" s="4">
        <v>55</v>
      </c>
      <c r="AJ1524" s="4">
        <v>9</v>
      </c>
      <c r="AK1524" s="4">
        <v>10</v>
      </c>
      <c r="AL1524" s="4">
        <v>36</v>
      </c>
      <c r="AM1524" s="4">
        <v>36</v>
      </c>
      <c r="AN1524" s="4">
        <v>0</v>
      </c>
      <c r="AO1524" s="4">
        <v>0</v>
      </c>
      <c r="AP1524" s="4">
        <v>10</v>
      </c>
      <c r="AQ1524" s="4">
        <v>11</v>
      </c>
      <c r="AR1524" s="3" t="s">
        <v>65</v>
      </c>
      <c r="AS1524" s="3" t="s">
        <v>65</v>
      </c>
      <c r="AT1524" s="3" t="s">
        <v>209</v>
      </c>
      <c r="AU1524" s="6" t="str">
        <f>HYPERLINK("http://catalog.hathitrust.org/Record/005234314","HathiTrust Record")</f>
        <v>HathiTrust Record</v>
      </c>
      <c r="AV1524" s="6" t="str">
        <f>HYPERLINK("http://mcgill.on.worldcat.org/oclc/60513829","Catalog Record")</f>
        <v>Catalog Record</v>
      </c>
      <c r="AW1524" s="6" t="str">
        <f>HYPERLINK("http://www.worldcat.org/oclc/60513829","WorldCat Record")</f>
        <v>WorldCat Record</v>
      </c>
      <c r="AX1524" s="3" t="s">
        <v>14993</v>
      </c>
      <c r="AY1524" s="3" t="s">
        <v>14994</v>
      </c>
      <c r="AZ1524" s="3" t="s">
        <v>14995</v>
      </c>
      <c r="BA1524" s="3" t="s">
        <v>14995</v>
      </c>
      <c r="BB1524" s="3" t="s">
        <v>14996</v>
      </c>
      <c r="BC1524" s="3" t="s">
        <v>77</v>
      </c>
      <c r="BD1524" s="3" t="s">
        <v>78</v>
      </c>
      <c r="BE1524" s="3" t="s">
        <v>14997</v>
      </c>
      <c r="BF1524" s="3" t="s">
        <v>14996</v>
      </c>
      <c r="BG1524" s="3" t="s">
        <v>14998</v>
      </c>
    </row>
    <row r="1525" spans="1:59" ht="58" x14ac:dyDescent="0.35">
      <c r="A1525" s="2" t="s">
        <v>59</v>
      </c>
      <c r="B1525" s="2" t="s">
        <v>60</v>
      </c>
      <c r="C1525" s="2" t="s">
        <v>14999</v>
      </c>
      <c r="D1525" s="2" t="s">
        <v>15000</v>
      </c>
      <c r="E1525" s="2" t="s">
        <v>15001</v>
      </c>
      <c r="G1525" s="3" t="s">
        <v>65</v>
      </c>
      <c r="I1525" s="3" t="s">
        <v>65</v>
      </c>
      <c r="J1525" s="3" t="s">
        <v>209</v>
      </c>
      <c r="K1525" s="3" t="s">
        <v>66</v>
      </c>
      <c r="L1525" s="2" t="s">
        <v>14888</v>
      </c>
      <c r="M1525" s="2" t="s">
        <v>15002</v>
      </c>
      <c r="N1525" s="3" t="s">
        <v>5060</v>
      </c>
      <c r="O1525" s="2" t="s">
        <v>365</v>
      </c>
      <c r="P1525" s="3" t="s">
        <v>140</v>
      </c>
      <c r="Q1525" s="2" t="s">
        <v>15003</v>
      </c>
      <c r="R1525" s="3" t="s">
        <v>71</v>
      </c>
      <c r="S1525" s="4">
        <v>12</v>
      </c>
      <c r="T1525" s="4">
        <v>12</v>
      </c>
      <c r="U1525" s="5" t="s">
        <v>14956</v>
      </c>
      <c r="V1525" s="5" t="s">
        <v>14956</v>
      </c>
      <c r="W1525" s="5" t="s">
        <v>72</v>
      </c>
      <c r="X1525" s="5" t="s">
        <v>72</v>
      </c>
      <c r="Y1525" s="4">
        <v>24</v>
      </c>
      <c r="Z1525" s="4">
        <v>2</v>
      </c>
      <c r="AA1525" s="4">
        <v>21</v>
      </c>
      <c r="AB1525" s="4">
        <v>1</v>
      </c>
      <c r="AC1525" s="4">
        <v>2</v>
      </c>
      <c r="AD1525" s="4">
        <v>9</v>
      </c>
      <c r="AE1525" s="4">
        <v>82</v>
      </c>
      <c r="AF1525" s="4">
        <v>0</v>
      </c>
      <c r="AG1525" s="4">
        <v>0</v>
      </c>
      <c r="AH1525" s="4">
        <v>8</v>
      </c>
      <c r="AI1525" s="4">
        <v>72</v>
      </c>
      <c r="AJ1525" s="4">
        <v>1</v>
      </c>
      <c r="AK1525" s="4">
        <v>12</v>
      </c>
      <c r="AL1525" s="4">
        <v>8</v>
      </c>
      <c r="AM1525" s="4">
        <v>46</v>
      </c>
      <c r="AN1525" s="4">
        <v>2</v>
      </c>
      <c r="AO1525" s="4">
        <v>2</v>
      </c>
      <c r="AP1525" s="4">
        <v>1</v>
      </c>
      <c r="AQ1525" s="4">
        <v>14</v>
      </c>
      <c r="AR1525" s="3" t="s">
        <v>65</v>
      </c>
      <c r="AS1525" s="3" t="s">
        <v>65</v>
      </c>
      <c r="AT1525" s="3" t="s">
        <v>209</v>
      </c>
      <c r="AU1525" s="6" t="str">
        <f>HYPERLINK("http://catalog.hathitrust.org/Record/003023264","HathiTrust Record")</f>
        <v>HathiTrust Record</v>
      </c>
      <c r="AV1525" s="6" t="str">
        <f>HYPERLINK("http://mcgill.on.worldcat.org/oclc/34069505","Catalog Record")</f>
        <v>Catalog Record</v>
      </c>
      <c r="AW1525" s="6" t="str">
        <f>HYPERLINK("http://www.worldcat.org/oclc/34069505","WorldCat Record")</f>
        <v>WorldCat Record</v>
      </c>
      <c r="AX1525" s="3" t="s">
        <v>15004</v>
      </c>
      <c r="AY1525" s="3" t="s">
        <v>15005</v>
      </c>
      <c r="AZ1525" s="3" t="s">
        <v>15006</v>
      </c>
      <c r="BA1525" s="3" t="s">
        <v>15006</v>
      </c>
      <c r="BB1525" s="3" t="s">
        <v>15007</v>
      </c>
      <c r="BC1525" s="3" t="s">
        <v>77</v>
      </c>
      <c r="BD1525" s="3" t="s">
        <v>78</v>
      </c>
      <c r="BF1525" s="3" t="s">
        <v>15007</v>
      </c>
      <c r="BG1525" s="3" t="s">
        <v>15008</v>
      </c>
    </row>
    <row r="1526" spans="1:59" ht="58" x14ac:dyDescent="0.35">
      <c r="A1526" s="2" t="s">
        <v>59</v>
      </c>
      <c r="B1526" s="2" t="s">
        <v>60</v>
      </c>
      <c r="C1526" s="2" t="s">
        <v>15009</v>
      </c>
      <c r="D1526" s="2" t="s">
        <v>15010</v>
      </c>
      <c r="E1526" s="2" t="s">
        <v>15011</v>
      </c>
      <c r="G1526" s="3" t="s">
        <v>65</v>
      </c>
      <c r="I1526" s="3" t="s">
        <v>65</v>
      </c>
      <c r="J1526" s="3" t="s">
        <v>65</v>
      </c>
      <c r="K1526" s="3" t="s">
        <v>66</v>
      </c>
      <c r="L1526" s="2" t="s">
        <v>14888</v>
      </c>
      <c r="M1526" s="2" t="s">
        <v>15012</v>
      </c>
      <c r="N1526" s="3" t="s">
        <v>311</v>
      </c>
      <c r="P1526" s="3" t="s">
        <v>69</v>
      </c>
      <c r="R1526" s="3" t="s">
        <v>71</v>
      </c>
      <c r="S1526" s="4">
        <v>16</v>
      </c>
      <c r="T1526" s="4">
        <v>16</v>
      </c>
      <c r="U1526" s="5" t="s">
        <v>15013</v>
      </c>
      <c r="V1526" s="5" t="s">
        <v>15013</v>
      </c>
      <c r="W1526" s="5" t="s">
        <v>72</v>
      </c>
      <c r="X1526" s="5" t="s">
        <v>72</v>
      </c>
      <c r="Y1526" s="4">
        <v>335</v>
      </c>
      <c r="Z1526" s="4">
        <v>28</v>
      </c>
      <c r="AA1526" s="4">
        <v>28</v>
      </c>
      <c r="AB1526" s="4">
        <v>2</v>
      </c>
      <c r="AC1526" s="4">
        <v>2</v>
      </c>
      <c r="AD1526" s="4">
        <v>108</v>
      </c>
      <c r="AE1526" s="4">
        <v>108</v>
      </c>
      <c r="AF1526" s="4">
        <v>1</v>
      </c>
      <c r="AG1526" s="4">
        <v>1</v>
      </c>
      <c r="AH1526" s="4">
        <v>94</v>
      </c>
      <c r="AI1526" s="4">
        <v>94</v>
      </c>
      <c r="AJ1526" s="4">
        <v>18</v>
      </c>
      <c r="AK1526" s="4">
        <v>18</v>
      </c>
      <c r="AL1526" s="4">
        <v>53</v>
      </c>
      <c r="AM1526" s="4">
        <v>53</v>
      </c>
      <c r="AN1526" s="4">
        <v>0</v>
      </c>
      <c r="AO1526" s="4">
        <v>0</v>
      </c>
      <c r="AP1526" s="4">
        <v>21</v>
      </c>
      <c r="AQ1526" s="4">
        <v>21</v>
      </c>
      <c r="AR1526" s="3" t="s">
        <v>65</v>
      </c>
      <c r="AS1526" s="3" t="s">
        <v>65</v>
      </c>
      <c r="AT1526" s="3" t="s">
        <v>209</v>
      </c>
      <c r="AU1526" s="6" t="str">
        <f>HYPERLINK("http://catalog.hathitrust.org/Record/001218477","HathiTrust Record")</f>
        <v>HathiTrust Record</v>
      </c>
      <c r="AV1526" s="6" t="str">
        <f>HYPERLINK("http://mcgill.on.worldcat.org/oclc/997190","Catalog Record")</f>
        <v>Catalog Record</v>
      </c>
      <c r="AW1526" s="6" t="str">
        <f>HYPERLINK("http://www.worldcat.org/oclc/997190","WorldCat Record")</f>
        <v>WorldCat Record</v>
      </c>
      <c r="AX1526" s="3" t="s">
        <v>15014</v>
      </c>
      <c r="AY1526" s="3" t="s">
        <v>15015</v>
      </c>
      <c r="AZ1526" s="3" t="s">
        <v>15016</v>
      </c>
      <c r="BA1526" s="3" t="s">
        <v>15016</v>
      </c>
      <c r="BB1526" s="3" t="s">
        <v>15017</v>
      </c>
      <c r="BC1526" s="3" t="s">
        <v>77</v>
      </c>
      <c r="BD1526" s="3" t="s">
        <v>78</v>
      </c>
      <c r="BF1526" s="3" t="s">
        <v>15017</v>
      </c>
      <c r="BG1526" s="3" t="s">
        <v>15018</v>
      </c>
    </row>
    <row r="1527" spans="1:59" ht="58" x14ac:dyDescent="0.35">
      <c r="A1527" s="2" t="s">
        <v>59</v>
      </c>
      <c r="B1527" s="2" t="s">
        <v>60</v>
      </c>
      <c r="C1527" s="2" t="s">
        <v>15019</v>
      </c>
      <c r="D1527" s="2" t="s">
        <v>15020</v>
      </c>
      <c r="E1527" s="2" t="s">
        <v>15021</v>
      </c>
      <c r="G1527" s="3" t="s">
        <v>65</v>
      </c>
      <c r="I1527" s="3" t="s">
        <v>65</v>
      </c>
      <c r="J1527" s="3" t="s">
        <v>65</v>
      </c>
      <c r="K1527" s="3" t="s">
        <v>66</v>
      </c>
      <c r="L1527" s="2" t="s">
        <v>15022</v>
      </c>
      <c r="M1527" s="2" t="s">
        <v>15023</v>
      </c>
      <c r="N1527" s="3" t="s">
        <v>1967</v>
      </c>
      <c r="P1527" s="3" t="s">
        <v>140</v>
      </c>
      <c r="Q1527" s="2" t="s">
        <v>15024</v>
      </c>
      <c r="R1527" s="3" t="s">
        <v>71</v>
      </c>
      <c r="S1527" s="4">
        <v>2</v>
      </c>
      <c r="T1527" s="4">
        <v>2</v>
      </c>
      <c r="U1527" s="5" t="s">
        <v>101</v>
      </c>
      <c r="V1527" s="5" t="s">
        <v>101</v>
      </c>
      <c r="W1527" s="5" t="s">
        <v>72</v>
      </c>
      <c r="X1527" s="5" t="s">
        <v>72</v>
      </c>
      <c r="Y1527" s="4">
        <v>52</v>
      </c>
      <c r="Z1527" s="4">
        <v>4</v>
      </c>
      <c r="AA1527" s="4">
        <v>4</v>
      </c>
      <c r="AB1527" s="4">
        <v>1</v>
      </c>
      <c r="AC1527" s="4">
        <v>1</v>
      </c>
      <c r="AD1527" s="4">
        <v>31</v>
      </c>
      <c r="AE1527" s="4">
        <v>31</v>
      </c>
      <c r="AF1527" s="4">
        <v>0</v>
      </c>
      <c r="AG1527" s="4">
        <v>0</v>
      </c>
      <c r="AH1527" s="4">
        <v>30</v>
      </c>
      <c r="AI1527" s="4">
        <v>30</v>
      </c>
      <c r="AJ1527" s="4">
        <v>2</v>
      </c>
      <c r="AK1527" s="4">
        <v>2</v>
      </c>
      <c r="AL1527" s="4">
        <v>22</v>
      </c>
      <c r="AM1527" s="4">
        <v>22</v>
      </c>
      <c r="AN1527" s="4">
        <v>0</v>
      </c>
      <c r="AO1527" s="4">
        <v>0</v>
      </c>
      <c r="AP1527" s="4">
        <v>2</v>
      </c>
      <c r="AQ1527" s="4">
        <v>2</v>
      </c>
      <c r="AR1527" s="3" t="s">
        <v>65</v>
      </c>
      <c r="AS1527" s="3" t="s">
        <v>65</v>
      </c>
      <c r="AT1527" s="3" t="s">
        <v>209</v>
      </c>
      <c r="AU1527" s="6" t="str">
        <f>HYPERLINK("http://catalog.hathitrust.org/Record/004321460","HathiTrust Record")</f>
        <v>HathiTrust Record</v>
      </c>
      <c r="AV1527" s="6" t="str">
        <f>HYPERLINK("http://mcgill.on.worldcat.org/oclc/52746402","Catalog Record")</f>
        <v>Catalog Record</v>
      </c>
      <c r="AW1527" s="6" t="str">
        <f>HYPERLINK("http://www.worldcat.org/oclc/52746402","WorldCat Record")</f>
        <v>WorldCat Record</v>
      </c>
      <c r="AX1527" s="3" t="s">
        <v>15025</v>
      </c>
      <c r="AY1527" s="3" t="s">
        <v>15026</v>
      </c>
      <c r="AZ1527" s="3" t="s">
        <v>15027</v>
      </c>
      <c r="BA1527" s="3" t="s">
        <v>15027</v>
      </c>
      <c r="BB1527" s="3" t="s">
        <v>15028</v>
      </c>
      <c r="BC1527" s="3" t="s">
        <v>77</v>
      </c>
      <c r="BD1527" s="3" t="s">
        <v>78</v>
      </c>
      <c r="BE1527" s="3" t="s">
        <v>15029</v>
      </c>
      <c r="BF1527" s="3" t="s">
        <v>15028</v>
      </c>
      <c r="BG1527" s="3" t="s">
        <v>15030</v>
      </c>
    </row>
    <row r="1528" spans="1:59" ht="58" x14ac:dyDescent="0.35">
      <c r="A1528" s="2" t="s">
        <v>59</v>
      </c>
      <c r="B1528" s="2" t="s">
        <v>60</v>
      </c>
      <c r="C1528" s="2" t="s">
        <v>15031</v>
      </c>
      <c r="D1528" s="2" t="s">
        <v>15032</v>
      </c>
      <c r="E1528" s="2" t="s">
        <v>15033</v>
      </c>
      <c r="G1528" s="3" t="s">
        <v>65</v>
      </c>
      <c r="I1528" s="3" t="s">
        <v>65</v>
      </c>
      <c r="J1528" s="3" t="s">
        <v>65</v>
      </c>
      <c r="K1528" s="3" t="s">
        <v>66</v>
      </c>
      <c r="L1528" s="2" t="s">
        <v>15034</v>
      </c>
      <c r="M1528" s="2" t="s">
        <v>15035</v>
      </c>
      <c r="N1528" s="3" t="s">
        <v>4688</v>
      </c>
      <c r="P1528" s="3" t="s">
        <v>69</v>
      </c>
      <c r="Q1528" s="2" t="s">
        <v>15036</v>
      </c>
      <c r="R1528" s="3" t="s">
        <v>71</v>
      </c>
      <c r="S1528" s="4">
        <v>23</v>
      </c>
      <c r="T1528" s="4">
        <v>23</v>
      </c>
      <c r="U1528" s="5" t="s">
        <v>11600</v>
      </c>
      <c r="V1528" s="5" t="s">
        <v>11600</v>
      </c>
      <c r="W1528" s="5" t="s">
        <v>72</v>
      </c>
      <c r="X1528" s="5" t="s">
        <v>72</v>
      </c>
      <c r="Y1528" s="4">
        <v>184</v>
      </c>
      <c r="Z1528" s="4">
        <v>15</v>
      </c>
      <c r="AA1528" s="4">
        <v>16</v>
      </c>
      <c r="AB1528" s="4">
        <v>3</v>
      </c>
      <c r="AC1528" s="4">
        <v>4</v>
      </c>
      <c r="AD1528" s="4">
        <v>78</v>
      </c>
      <c r="AE1528" s="4">
        <v>79</v>
      </c>
      <c r="AF1528" s="4">
        <v>1</v>
      </c>
      <c r="AG1528" s="4">
        <v>2</v>
      </c>
      <c r="AH1528" s="4">
        <v>75</v>
      </c>
      <c r="AI1528" s="4">
        <v>75</v>
      </c>
      <c r="AJ1528" s="4">
        <v>10</v>
      </c>
      <c r="AK1528" s="4">
        <v>11</v>
      </c>
      <c r="AL1528" s="4">
        <v>44</v>
      </c>
      <c r="AM1528" s="4">
        <v>44</v>
      </c>
      <c r="AN1528" s="4">
        <v>0</v>
      </c>
      <c r="AO1528" s="4">
        <v>0</v>
      </c>
      <c r="AP1528" s="4">
        <v>10</v>
      </c>
      <c r="AQ1528" s="4">
        <v>10</v>
      </c>
      <c r="AR1528" s="3" t="s">
        <v>65</v>
      </c>
      <c r="AS1528" s="3" t="s">
        <v>65</v>
      </c>
      <c r="AT1528" s="3" t="s">
        <v>209</v>
      </c>
      <c r="AU1528" s="6" t="str">
        <f>HYPERLINK("http://catalog.hathitrust.org/Record/000470360","HathiTrust Record")</f>
        <v>HathiTrust Record</v>
      </c>
      <c r="AV1528" s="6" t="str">
        <f>HYPERLINK("http://mcgill.on.worldcat.org/oclc/12877696","Catalog Record")</f>
        <v>Catalog Record</v>
      </c>
      <c r="AW1528" s="6" t="str">
        <f>HYPERLINK("http://www.worldcat.org/oclc/12877696","WorldCat Record")</f>
        <v>WorldCat Record</v>
      </c>
      <c r="AX1528" s="3" t="s">
        <v>15037</v>
      </c>
      <c r="AY1528" s="3" t="s">
        <v>15038</v>
      </c>
      <c r="AZ1528" s="3" t="s">
        <v>15039</v>
      </c>
      <c r="BA1528" s="3" t="s">
        <v>15039</v>
      </c>
      <c r="BB1528" s="3" t="s">
        <v>15040</v>
      </c>
      <c r="BC1528" s="3" t="s">
        <v>77</v>
      </c>
      <c r="BD1528" s="3" t="s">
        <v>78</v>
      </c>
      <c r="BE1528" s="3" t="s">
        <v>15041</v>
      </c>
      <c r="BF1528" s="3" t="s">
        <v>15040</v>
      </c>
      <c r="BG1528" s="3" t="s">
        <v>15042</v>
      </c>
    </row>
    <row r="1529" spans="1:59" ht="58" x14ac:dyDescent="0.35">
      <c r="A1529" s="2" t="s">
        <v>59</v>
      </c>
      <c r="B1529" s="2" t="s">
        <v>60</v>
      </c>
      <c r="C1529" s="2" t="s">
        <v>15043</v>
      </c>
      <c r="D1529" s="2" t="s">
        <v>15044</v>
      </c>
      <c r="E1529" s="2" t="s">
        <v>15045</v>
      </c>
      <c r="G1529" s="3" t="s">
        <v>65</v>
      </c>
      <c r="I1529" s="3" t="s">
        <v>65</v>
      </c>
      <c r="J1529" s="3" t="s">
        <v>65</v>
      </c>
      <c r="K1529" s="3" t="s">
        <v>66</v>
      </c>
      <c r="L1529" s="2" t="s">
        <v>15046</v>
      </c>
      <c r="M1529" s="2" t="s">
        <v>15047</v>
      </c>
      <c r="N1529" s="3" t="s">
        <v>525</v>
      </c>
      <c r="P1529" s="3" t="s">
        <v>69</v>
      </c>
      <c r="Q1529" s="2" t="s">
        <v>1197</v>
      </c>
      <c r="R1529" s="3" t="s">
        <v>71</v>
      </c>
      <c r="S1529" s="4">
        <v>8</v>
      </c>
      <c r="T1529" s="4">
        <v>8</v>
      </c>
      <c r="U1529" s="5" t="s">
        <v>14271</v>
      </c>
      <c r="V1529" s="5" t="s">
        <v>14271</v>
      </c>
      <c r="W1529" s="5" t="s">
        <v>72</v>
      </c>
      <c r="X1529" s="5" t="s">
        <v>72</v>
      </c>
      <c r="Y1529" s="4">
        <v>260</v>
      </c>
      <c r="Z1529" s="4">
        <v>22</v>
      </c>
      <c r="AA1529" s="4">
        <v>116</v>
      </c>
      <c r="AB1529" s="4">
        <v>1</v>
      </c>
      <c r="AC1529" s="4">
        <v>22</v>
      </c>
      <c r="AD1529" s="4">
        <v>102</v>
      </c>
      <c r="AE1529" s="4">
        <v>151</v>
      </c>
      <c r="AF1529" s="4">
        <v>0</v>
      </c>
      <c r="AG1529" s="4">
        <v>8</v>
      </c>
      <c r="AH1529" s="4">
        <v>92</v>
      </c>
      <c r="AI1529" s="4">
        <v>105</v>
      </c>
      <c r="AJ1529" s="4">
        <v>15</v>
      </c>
      <c r="AK1529" s="4">
        <v>27</v>
      </c>
      <c r="AL1529" s="4">
        <v>52</v>
      </c>
      <c r="AM1529" s="4">
        <v>56</v>
      </c>
      <c r="AN1529" s="4">
        <v>0</v>
      </c>
      <c r="AO1529" s="4">
        <v>0</v>
      </c>
      <c r="AP1529" s="4">
        <v>16</v>
      </c>
      <c r="AQ1529" s="4">
        <v>53</v>
      </c>
      <c r="AR1529" s="3" t="s">
        <v>209</v>
      </c>
      <c r="AS1529" s="3" t="s">
        <v>65</v>
      </c>
      <c r="AT1529" s="3" t="s">
        <v>65</v>
      </c>
      <c r="AV1529" s="6" t="str">
        <f>HYPERLINK("http://mcgill.on.worldcat.org/oclc/52324165","Catalog Record")</f>
        <v>Catalog Record</v>
      </c>
      <c r="AW1529" s="6" t="str">
        <f>HYPERLINK("http://www.worldcat.org/oclc/52324165","WorldCat Record")</f>
        <v>WorldCat Record</v>
      </c>
      <c r="AX1529" s="3" t="s">
        <v>15048</v>
      </c>
      <c r="AY1529" s="3" t="s">
        <v>15049</v>
      </c>
      <c r="AZ1529" s="3" t="s">
        <v>15050</v>
      </c>
      <c r="BA1529" s="3" t="s">
        <v>15050</v>
      </c>
      <c r="BB1529" s="3" t="s">
        <v>15051</v>
      </c>
      <c r="BC1529" s="3" t="s">
        <v>77</v>
      </c>
      <c r="BD1529" s="3" t="s">
        <v>78</v>
      </c>
      <c r="BE1529" s="3" t="s">
        <v>15052</v>
      </c>
      <c r="BF1529" s="3" t="s">
        <v>15051</v>
      </c>
      <c r="BG1529" s="3" t="s">
        <v>15053</v>
      </c>
    </row>
    <row r="1530" spans="1:59" ht="58" x14ac:dyDescent="0.35">
      <c r="A1530" s="2" t="s">
        <v>59</v>
      </c>
      <c r="B1530" s="2" t="s">
        <v>60</v>
      </c>
      <c r="C1530" s="2" t="s">
        <v>15054</v>
      </c>
      <c r="D1530" s="2" t="s">
        <v>15055</v>
      </c>
      <c r="E1530" s="2" t="s">
        <v>15056</v>
      </c>
      <c r="G1530" s="3" t="s">
        <v>65</v>
      </c>
      <c r="I1530" s="3" t="s">
        <v>65</v>
      </c>
      <c r="J1530" s="3" t="s">
        <v>65</v>
      </c>
      <c r="K1530" s="3" t="s">
        <v>66</v>
      </c>
      <c r="L1530" s="2" t="s">
        <v>15046</v>
      </c>
      <c r="M1530" s="2" t="s">
        <v>15057</v>
      </c>
      <c r="N1530" s="3" t="s">
        <v>152</v>
      </c>
      <c r="P1530" s="3" t="s">
        <v>69</v>
      </c>
      <c r="Q1530" s="2" t="s">
        <v>15058</v>
      </c>
      <c r="R1530" s="3" t="s">
        <v>71</v>
      </c>
      <c r="S1530" s="4">
        <v>3</v>
      </c>
      <c r="T1530" s="4">
        <v>3</v>
      </c>
      <c r="U1530" s="5" t="s">
        <v>10626</v>
      </c>
      <c r="V1530" s="5" t="s">
        <v>10626</v>
      </c>
      <c r="W1530" s="5" t="s">
        <v>72</v>
      </c>
      <c r="X1530" s="5" t="s">
        <v>72</v>
      </c>
      <c r="Y1530" s="4">
        <v>83</v>
      </c>
      <c r="Z1530" s="4">
        <v>8</v>
      </c>
      <c r="AA1530" s="4">
        <v>8</v>
      </c>
      <c r="AB1530" s="4">
        <v>1</v>
      </c>
      <c r="AC1530" s="4">
        <v>1</v>
      </c>
      <c r="AD1530" s="4">
        <v>38</v>
      </c>
      <c r="AE1530" s="4">
        <v>38</v>
      </c>
      <c r="AF1530" s="4">
        <v>0</v>
      </c>
      <c r="AG1530" s="4">
        <v>0</v>
      </c>
      <c r="AH1530" s="4">
        <v>37</v>
      </c>
      <c r="AI1530" s="4">
        <v>37</v>
      </c>
      <c r="AJ1530" s="4">
        <v>6</v>
      </c>
      <c r="AK1530" s="4">
        <v>6</v>
      </c>
      <c r="AL1530" s="4">
        <v>23</v>
      </c>
      <c r="AM1530" s="4">
        <v>23</v>
      </c>
      <c r="AN1530" s="4">
        <v>0</v>
      </c>
      <c r="AO1530" s="4">
        <v>0</v>
      </c>
      <c r="AP1530" s="4">
        <v>6</v>
      </c>
      <c r="AQ1530" s="4">
        <v>6</v>
      </c>
      <c r="AR1530" s="3" t="s">
        <v>65</v>
      </c>
      <c r="AS1530" s="3" t="s">
        <v>65</v>
      </c>
      <c r="AT1530" s="3" t="s">
        <v>65</v>
      </c>
      <c r="AV1530" s="6" t="str">
        <f>HYPERLINK("http://mcgill.on.worldcat.org/oclc/857754188","Catalog Record")</f>
        <v>Catalog Record</v>
      </c>
      <c r="AW1530" s="6" t="str">
        <f>HYPERLINK("http://www.worldcat.org/oclc/857754188","WorldCat Record")</f>
        <v>WorldCat Record</v>
      </c>
      <c r="AX1530" s="3" t="s">
        <v>15059</v>
      </c>
      <c r="AY1530" s="3" t="s">
        <v>15060</v>
      </c>
      <c r="AZ1530" s="3" t="s">
        <v>15061</v>
      </c>
      <c r="BA1530" s="3" t="s">
        <v>15061</v>
      </c>
      <c r="BB1530" s="3" t="s">
        <v>15062</v>
      </c>
      <c r="BC1530" s="3" t="s">
        <v>77</v>
      </c>
      <c r="BD1530" s="3" t="s">
        <v>78</v>
      </c>
      <c r="BE1530" s="3" t="s">
        <v>15063</v>
      </c>
      <c r="BF1530" s="3" t="s">
        <v>15062</v>
      </c>
      <c r="BG1530" s="3" t="s">
        <v>15064</v>
      </c>
    </row>
    <row r="1531" spans="1:59" ht="58" x14ac:dyDescent="0.35">
      <c r="A1531" s="2" t="s">
        <v>59</v>
      </c>
      <c r="B1531" s="2" t="s">
        <v>60</v>
      </c>
      <c r="C1531" s="2" t="s">
        <v>15065</v>
      </c>
      <c r="D1531" s="2" t="s">
        <v>15066</v>
      </c>
      <c r="E1531" s="2" t="s">
        <v>15067</v>
      </c>
      <c r="G1531" s="3" t="s">
        <v>65</v>
      </c>
      <c r="I1531" s="3" t="s">
        <v>65</v>
      </c>
      <c r="J1531" s="3" t="s">
        <v>209</v>
      </c>
      <c r="K1531" s="3" t="s">
        <v>213</v>
      </c>
      <c r="L1531" s="2" t="s">
        <v>15068</v>
      </c>
      <c r="M1531" s="2" t="s">
        <v>15069</v>
      </c>
      <c r="N1531" s="3" t="s">
        <v>1151</v>
      </c>
      <c r="P1531" s="3" t="s">
        <v>140</v>
      </c>
      <c r="Q1531" s="2" t="s">
        <v>7116</v>
      </c>
      <c r="R1531" s="3" t="s">
        <v>71</v>
      </c>
      <c r="S1531" s="4">
        <v>13</v>
      </c>
      <c r="T1531" s="4">
        <v>13</v>
      </c>
      <c r="U1531" s="5" t="s">
        <v>15070</v>
      </c>
      <c r="V1531" s="5" t="s">
        <v>15070</v>
      </c>
      <c r="W1531" s="5" t="s">
        <v>72</v>
      </c>
      <c r="X1531" s="5" t="s">
        <v>72</v>
      </c>
      <c r="Y1531" s="4">
        <v>2</v>
      </c>
      <c r="Z1531" s="4">
        <v>1</v>
      </c>
      <c r="AA1531" s="4">
        <v>60</v>
      </c>
      <c r="AB1531" s="4">
        <v>1</v>
      </c>
      <c r="AC1531" s="4">
        <v>10</v>
      </c>
      <c r="AD1531" s="4">
        <v>0</v>
      </c>
      <c r="AE1531" s="4">
        <v>137</v>
      </c>
      <c r="AF1531" s="4">
        <v>0</v>
      </c>
      <c r="AG1531" s="4">
        <v>5</v>
      </c>
      <c r="AH1531" s="4">
        <v>0</v>
      </c>
      <c r="AI1531" s="4">
        <v>112</v>
      </c>
      <c r="AJ1531" s="4">
        <v>0</v>
      </c>
      <c r="AK1531" s="4">
        <v>22</v>
      </c>
      <c r="AL1531" s="4">
        <v>0</v>
      </c>
      <c r="AM1531" s="4">
        <v>60</v>
      </c>
      <c r="AN1531" s="4">
        <v>0</v>
      </c>
      <c r="AO1531" s="4">
        <v>13</v>
      </c>
      <c r="AP1531" s="4">
        <v>0</v>
      </c>
      <c r="AQ1531" s="4">
        <v>32</v>
      </c>
      <c r="AR1531" s="3" t="s">
        <v>65</v>
      </c>
      <c r="AS1531" s="3" t="s">
        <v>65</v>
      </c>
      <c r="AT1531" s="3" t="s">
        <v>65</v>
      </c>
      <c r="AV1531" s="6" t="str">
        <f>HYPERLINK("http://mcgill.on.worldcat.org/oclc/427286163","Catalog Record")</f>
        <v>Catalog Record</v>
      </c>
      <c r="AW1531" s="6" t="str">
        <f>HYPERLINK("http://www.worldcat.org/oclc/427286163","WorldCat Record")</f>
        <v>WorldCat Record</v>
      </c>
      <c r="AX1531" s="3" t="s">
        <v>15071</v>
      </c>
      <c r="AY1531" s="3" t="s">
        <v>15072</v>
      </c>
      <c r="AZ1531" s="3" t="s">
        <v>15073</v>
      </c>
      <c r="BA1531" s="3" t="s">
        <v>15073</v>
      </c>
      <c r="BB1531" s="3" t="s">
        <v>15074</v>
      </c>
      <c r="BC1531" s="3" t="s">
        <v>77</v>
      </c>
      <c r="BD1531" s="3" t="s">
        <v>78</v>
      </c>
      <c r="BF1531" s="3" t="s">
        <v>15074</v>
      </c>
      <c r="BG1531" s="3" t="s">
        <v>15075</v>
      </c>
    </row>
    <row r="1532" spans="1:59" ht="58" x14ac:dyDescent="0.35">
      <c r="A1532" s="2" t="s">
        <v>59</v>
      </c>
      <c r="B1532" s="2" t="s">
        <v>60</v>
      </c>
      <c r="C1532" s="2" t="s">
        <v>15076</v>
      </c>
      <c r="D1532" s="2" t="s">
        <v>15077</v>
      </c>
      <c r="E1532" s="2" t="s">
        <v>15078</v>
      </c>
      <c r="G1532" s="3" t="s">
        <v>65</v>
      </c>
      <c r="I1532" s="3" t="s">
        <v>65</v>
      </c>
      <c r="J1532" s="3" t="s">
        <v>65</v>
      </c>
      <c r="K1532" s="3" t="s">
        <v>66</v>
      </c>
      <c r="L1532" s="2" t="s">
        <v>15068</v>
      </c>
      <c r="M1532" s="2" t="s">
        <v>15079</v>
      </c>
      <c r="N1532" s="3" t="s">
        <v>99</v>
      </c>
      <c r="P1532" s="3" t="s">
        <v>140</v>
      </c>
      <c r="R1532" s="3" t="s">
        <v>71</v>
      </c>
      <c r="S1532" s="4">
        <v>5</v>
      </c>
      <c r="T1532" s="4">
        <v>5</v>
      </c>
      <c r="U1532" s="5" t="s">
        <v>7117</v>
      </c>
      <c r="V1532" s="5" t="s">
        <v>7117</v>
      </c>
      <c r="W1532" s="5" t="s">
        <v>72</v>
      </c>
      <c r="X1532" s="5" t="s">
        <v>72</v>
      </c>
      <c r="Y1532" s="4">
        <v>106</v>
      </c>
      <c r="Z1532" s="4">
        <v>10</v>
      </c>
      <c r="AA1532" s="4">
        <v>10</v>
      </c>
      <c r="AB1532" s="4">
        <v>1</v>
      </c>
      <c r="AC1532" s="4">
        <v>1</v>
      </c>
      <c r="AD1532" s="4">
        <v>45</v>
      </c>
      <c r="AE1532" s="4">
        <v>45</v>
      </c>
      <c r="AF1532" s="4">
        <v>0</v>
      </c>
      <c r="AG1532" s="4">
        <v>0</v>
      </c>
      <c r="AH1532" s="4">
        <v>39</v>
      </c>
      <c r="AI1532" s="4">
        <v>39</v>
      </c>
      <c r="AJ1532" s="4">
        <v>7</v>
      </c>
      <c r="AK1532" s="4">
        <v>7</v>
      </c>
      <c r="AL1532" s="4">
        <v>27</v>
      </c>
      <c r="AM1532" s="4">
        <v>27</v>
      </c>
      <c r="AN1532" s="4">
        <v>0</v>
      </c>
      <c r="AO1532" s="4">
        <v>0</v>
      </c>
      <c r="AP1532" s="4">
        <v>7</v>
      </c>
      <c r="AQ1532" s="4">
        <v>7</v>
      </c>
      <c r="AR1532" s="3" t="s">
        <v>65</v>
      </c>
      <c r="AS1532" s="3" t="s">
        <v>65</v>
      </c>
      <c r="AT1532" s="3" t="s">
        <v>65</v>
      </c>
      <c r="AV1532" s="6" t="str">
        <f>HYPERLINK("http://mcgill.on.worldcat.org/oclc/80747394","Catalog Record")</f>
        <v>Catalog Record</v>
      </c>
      <c r="AW1532" s="6" t="str">
        <f>HYPERLINK("http://www.worldcat.org/oclc/80747394","WorldCat Record")</f>
        <v>WorldCat Record</v>
      </c>
      <c r="AX1532" s="3" t="s">
        <v>15080</v>
      </c>
      <c r="AY1532" s="3" t="s">
        <v>15081</v>
      </c>
      <c r="AZ1532" s="3" t="s">
        <v>15082</v>
      </c>
      <c r="BA1532" s="3" t="s">
        <v>15082</v>
      </c>
      <c r="BB1532" s="3" t="s">
        <v>15083</v>
      </c>
      <c r="BC1532" s="3" t="s">
        <v>77</v>
      </c>
      <c r="BD1532" s="3" t="s">
        <v>78</v>
      </c>
      <c r="BE1532" s="3" t="s">
        <v>15084</v>
      </c>
      <c r="BF1532" s="3" t="s">
        <v>15083</v>
      </c>
      <c r="BG1532" s="3" t="s">
        <v>15085</v>
      </c>
    </row>
    <row r="1533" spans="1:59" ht="58" x14ac:dyDescent="0.35">
      <c r="A1533" s="2" t="s">
        <v>59</v>
      </c>
      <c r="B1533" s="2" t="s">
        <v>60</v>
      </c>
      <c r="C1533" s="2" t="s">
        <v>15086</v>
      </c>
      <c r="D1533" s="2" t="s">
        <v>15087</v>
      </c>
      <c r="E1533" s="2" t="s">
        <v>15088</v>
      </c>
      <c r="G1533" s="3" t="s">
        <v>65</v>
      </c>
      <c r="I1533" s="3" t="s">
        <v>65</v>
      </c>
      <c r="J1533" s="3" t="s">
        <v>65</v>
      </c>
      <c r="K1533" s="3" t="s">
        <v>66</v>
      </c>
      <c r="L1533" s="2" t="s">
        <v>15089</v>
      </c>
      <c r="M1533" s="2" t="s">
        <v>15090</v>
      </c>
      <c r="N1533" s="3" t="s">
        <v>1109</v>
      </c>
      <c r="P1533" s="3" t="s">
        <v>69</v>
      </c>
      <c r="Q1533" s="2" t="s">
        <v>15091</v>
      </c>
      <c r="R1533" s="3" t="s">
        <v>71</v>
      </c>
      <c r="S1533" s="4">
        <v>11</v>
      </c>
      <c r="T1533" s="4">
        <v>11</v>
      </c>
      <c r="U1533" s="5" t="s">
        <v>15070</v>
      </c>
      <c r="V1533" s="5" t="s">
        <v>15070</v>
      </c>
      <c r="W1533" s="5" t="s">
        <v>72</v>
      </c>
      <c r="X1533" s="5" t="s">
        <v>72</v>
      </c>
      <c r="Y1533" s="4">
        <v>375</v>
      </c>
      <c r="Z1533" s="4">
        <v>35</v>
      </c>
      <c r="AA1533" s="4">
        <v>35</v>
      </c>
      <c r="AB1533" s="4">
        <v>2</v>
      </c>
      <c r="AC1533" s="4">
        <v>2</v>
      </c>
      <c r="AD1533" s="4">
        <v>106</v>
      </c>
      <c r="AE1533" s="4">
        <v>108</v>
      </c>
      <c r="AF1533" s="4">
        <v>1</v>
      </c>
      <c r="AG1533" s="4">
        <v>1</v>
      </c>
      <c r="AH1533" s="4">
        <v>87</v>
      </c>
      <c r="AI1533" s="4">
        <v>89</v>
      </c>
      <c r="AJ1533" s="4">
        <v>19</v>
      </c>
      <c r="AK1533" s="4">
        <v>19</v>
      </c>
      <c r="AL1533" s="4">
        <v>47</v>
      </c>
      <c r="AM1533" s="4">
        <v>48</v>
      </c>
      <c r="AN1533" s="4">
        <v>0</v>
      </c>
      <c r="AO1533" s="4">
        <v>0</v>
      </c>
      <c r="AP1533" s="4">
        <v>25</v>
      </c>
      <c r="AQ1533" s="4">
        <v>25</v>
      </c>
      <c r="AR1533" s="3" t="s">
        <v>65</v>
      </c>
      <c r="AS1533" s="3" t="s">
        <v>65</v>
      </c>
      <c r="AT1533" s="3" t="s">
        <v>65</v>
      </c>
      <c r="AV1533" s="6" t="str">
        <f>HYPERLINK("http://mcgill.on.worldcat.org/oclc/1011794","Catalog Record")</f>
        <v>Catalog Record</v>
      </c>
      <c r="AW1533" s="6" t="str">
        <f>HYPERLINK("http://www.worldcat.org/oclc/1011794","WorldCat Record")</f>
        <v>WorldCat Record</v>
      </c>
      <c r="AX1533" s="3" t="s">
        <v>15092</v>
      </c>
      <c r="AY1533" s="3" t="s">
        <v>15093</v>
      </c>
      <c r="AZ1533" s="3" t="s">
        <v>15094</v>
      </c>
      <c r="BA1533" s="3" t="s">
        <v>15094</v>
      </c>
      <c r="BB1533" s="3" t="s">
        <v>15095</v>
      </c>
      <c r="BC1533" s="3" t="s">
        <v>77</v>
      </c>
      <c r="BD1533" s="3" t="s">
        <v>78</v>
      </c>
      <c r="BE1533" s="3" t="s">
        <v>15096</v>
      </c>
      <c r="BF1533" s="3" t="s">
        <v>15095</v>
      </c>
      <c r="BG1533" s="3" t="s">
        <v>15097</v>
      </c>
    </row>
    <row r="1534" spans="1:59" ht="58" x14ac:dyDescent="0.35">
      <c r="A1534" s="2" t="s">
        <v>59</v>
      </c>
      <c r="B1534" s="2" t="s">
        <v>60</v>
      </c>
      <c r="C1534" s="2" t="s">
        <v>15098</v>
      </c>
      <c r="D1534" s="2" t="s">
        <v>15099</v>
      </c>
      <c r="E1534" s="2" t="s">
        <v>15100</v>
      </c>
      <c r="G1534" s="3" t="s">
        <v>65</v>
      </c>
      <c r="I1534" s="3" t="s">
        <v>65</v>
      </c>
      <c r="J1534" s="3" t="s">
        <v>65</v>
      </c>
      <c r="K1534" s="3" t="s">
        <v>66</v>
      </c>
      <c r="L1534" s="2" t="s">
        <v>15101</v>
      </c>
      <c r="M1534" s="2" t="s">
        <v>15102</v>
      </c>
      <c r="N1534" s="3" t="s">
        <v>188</v>
      </c>
      <c r="P1534" s="3" t="s">
        <v>140</v>
      </c>
      <c r="Q1534" s="2" t="s">
        <v>15103</v>
      </c>
      <c r="R1534" s="3" t="s">
        <v>71</v>
      </c>
      <c r="S1534" s="4">
        <v>0</v>
      </c>
      <c r="T1534" s="4">
        <v>0</v>
      </c>
      <c r="W1534" s="5" t="s">
        <v>72</v>
      </c>
      <c r="X1534" s="5" t="s">
        <v>72</v>
      </c>
      <c r="Y1534" s="4">
        <v>45</v>
      </c>
      <c r="Z1534" s="4">
        <v>2</v>
      </c>
      <c r="AA1534" s="4">
        <v>2</v>
      </c>
      <c r="AB1534" s="4">
        <v>1</v>
      </c>
      <c r="AC1534" s="4">
        <v>1</v>
      </c>
      <c r="AD1534" s="4">
        <v>35</v>
      </c>
      <c r="AE1534" s="4">
        <v>39</v>
      </c>
      <c r="AF1534" s="4">
        <v>0</v>
      </c>
      <c r="AG1534" s="4">
        <v>0</v>
      </c>
      <c r="AH1534" s="4">
        <v>34</v>
      </c>
      <c r="AI1534" s="4">
        <v>38</v>
      </c>
      <c r="AJ1534" s="4">
        <v>1</v>
      </c>
      <c r="AK1534" s="4">
        <v>1</v>
      </c>
      <c r="AL1534" s="4">
        <v>27</v>
      </c>
      <c r="AM1534" s="4">
        <v>30</v>
      </c>
      <c r="AN1534" s="4">
        <v>0</v>
      </c>
      <c r="AO1534" s="4">
        <v>0</v>
      </c>
      <c r="AP1534" s="4">
        <v>1</v>
      </c>
      <c r="AQ1534" s="4">
        <v>1</v>
      </c>
      <c r="AR1534" s="3" t="s">
        <v>65</v>
      </c>
      <c r="AS1534" s="3" t="s">
        <v>65</v>
      </c>
      <c r="AT1534" s="3" t="s">
        <v>65</v>
      </c>
      <c r="AV1534" s="6" t="str">
        <f>HYPERLINK("http://mcgill.on.worldcat.org/oclc/1032292951","Catalog Record")</f>
        <v>Catalog Record</v>
      </c>
      <c r="AW1534" s="6" t="str">
        <f>HYPERLINK("http://www.worldcat.org/oclc/1032292951","WorldCat Record")</f>
        <v>WorldCat Record</v>
      </c>
      <c r="AX1534" s="3" t="s">
        <v>15104</v>
      </c>
      <c r="AY1534" s="3" t="s">
        <v>15105</v>
      </c>
      <c r="AZ1534" s="3" t="s">
        <v>15106</v>
      </c>
      <c r="BA1534" s="3" t="s">
        <v>15106</v>
      </c>
      <c r="BB1534" s="3" t="s">
        <v>15107</v>
      </c>
      <c r="BC1534" s="3" t="s">
        <v>77</v>
      </c>
      <c r="BD1534" s="3" t="s">
        <v>78</v>
      </c>
      <c r="BE1534" s="3" t="s">
        <v>15108</v>
      </c>
      <c r="BF1534" s="3" t="s">
        <v>15107</v>
      </c>
      <c r="BG1534" s="3" t="s">
        <v>15109</v>
      </c>
    </row>
    <row r="1535" spans="1:59" ht="58" x14ac:dyDescent="0.35">
      <c r="A1535" s="2" t="s">
        <v>59</v>
      </c>
      <c r="B1535" s="2" t="s">
        <v>60</v>
      </c>
      <c r="C1535" s="2" t="s">
        <v>15110</v>
      </c>
      <c r="D1535" s="2" t="s">
        <v>15111</v>
      </c>
      <c r="E1535" s="2" t="s">
        <v>15112</v>
      </c>
      <c r="G1535" s="3" t="s">
        <v>65</v>
      </c>
      <c r="I1535" s="3" t="s">
        <v>65</v>
      </c>
      <c r="J1535" s="3" t="s">
        <v>65</v>
      </c>
      <c r="K1535" s="3" t="s">
        <v>66</v>
      </c>
      <c r="M1535" s="2" t="s">
        <v>5711</v>
      </c>
      <c r="N1535" s="3" t="s">
        <v>68</v>
      </c>
      <c r="O1535" s="2" t="s">
        <v>15113</v>
      </c>
      <c r="P1535" s="3" t="s">
        <v>140</v>
      </c>
      <c r="Q1535" s="2" t="s">
        <v>15114</v>
      </c>
      <c r="R1535" s="3" t="s">
        <v>71</v>
      </c>
      <c r="S1535" s="4">
        <v>0</v>
      </c>
      <c r="T1535" s="4">
        <v>0</v>
      </c>
      <c r="W1535" s="5" t="s">
        <v>72</v>
      </c>
      <c r="X1535" s="5" t="s">
        <v>72</v>
      </c>
      <c r="Y1535" s="4">
        <v>50</v>
      </c>
      <c r="Z1535" s="4">
        <v>2</v>
      </c>
      <c r="AA1535" s="4">
        <v>2</v>
      </c>
      <c r="AB1535" s="4">
        <v>1</v>
      </c>
      <c r="AC1535" s="4">
        <v>1</v>
      </c>
      <c r="AD1535" s="4">
        <v>34</v>
      </c>
      <c r="AE1535" s="4">
        <v>34</v>
      </c>
      <c r="AF1535" s="4">
        <v>0</v>
      </c>
      <c r="AG1535" s="4">
        <v>0</v>
      </c>
      <c r="AH1535" s="4">
        <v>33</v>
      </c>
      <c r="AI1535" s="4">
        <v>33</v>
      </c>
      <c r="AJ1535" s="4">
        <v>1</v>
      </c>
      <c r="AK1535" s="4">
        <v>1</v>
      </c>
      <c r="AL1535" s="4">
        <v>24</v>
      </c>
      <c r="AM1535" s="4">
        <v>24</v>
      </c>
      <c r="AN1535" s="4">
        <v>0</v>
      </c>
      <c r="AO1535" s="4">
        <v>0</v>
      </c>
      <c r="AP1535" s="4">
        <v>1</v>
      </c>
      <c r="AQ1535" s="4">
        <v>1</v>
      </c>
      <c r="AR1535" s="3" t="s">
        <v>65</v>
      </c>
      <c r="AS1535" s="3" t="s">
        <v>65</v>
      </c>
      <c r="AT1535" s="3" t="s">
        <v>65</v>
      </c>
      <c r="AV1535" s="6" t="str">
        <f>HYPERLINK("http://mcgill.on.worldcat.org/oclc/974707797","Catalog Record")</f>
        <v>Catalog Record</v>
      </c>
      <c r="AW1535" s="6" t="str">
        <f>HYPERLINK("http://www.worldcat.org/oclc/974707797","WorldCat Record")</f>
        <v>WorldCat Record</v>
      </c>
      <c r="AX1535" s="3" t="s">
        <v>15115</v>
      </c>
      <c r="AY1535" s="3" t="s">
        <v>15116</v>
      </c>
      <c r="AZ1535" s="3" t="s">
        <v>15117</v>
      </c>
      <c r="BA1535" s="3" t="s">
        <v>15117</v>
      </c>
      <c r="BB1535" s="3" t="s">
        <v>15118</v>
      </c>
      <c r="BC1535" s="3" t="s">
        <v>77</v>
      </c>
      <c r="BD1535" s="3" t="s">
        <v>78</v>
      </c>
      <c r="BE1535" s="3" t="s">
        <v>15119</v>
      </c>
      <c r="BF1535" s="3" t="s">
        <v>15118</v>
      </c>
      <c r="BG1535" s="3" t="s">
        <v>15120</v>
      </c>
    </row>
    <row r="1536" spans="1:59" ht="58" x14ac:dyDescent="0.35">
      <c r="A1536" s="2" t="s">
        <v>59</v>
      </c>
      <c r="B1536" s="2" t="s">
        <v>60</v>
      </c>
      <c r="C1536" s="2" t="s">
        <v>15121</v>
      </c>
      <c r="D1536" s="2" t="s">
        <v>15122</v>
      </c>
      <c r="E1536" s="2" t="s">
        <v>15123</v>
      </c>
      <c r="G1536" s="3" t="s">
        <v>65</v>
      </c>
      <c r="I1536" s="3" t="s">
        <v>65</v>
      </c>
      <c r="J1536" s="3" t="s">
        <v>65</v>
      </c>
      <c r="K1536" s="3" t="s">
        <v>66</v>
      </c>
      <c r="L1536" s="2" t="s">
        <v>15124</v>
      </c>
      <c r="M1536" s="2" t="s">
        <v>15125</v>
      </c>
      <c r="N1536" s="3" t="s">
        <v>164</v>
      </c>
      <c r="O1536" s="2" t="s">
        <v>235</v>
      </c>
      <c r="P1536" s="3" t="s">
        <v>140</v>
      </c>
      <c r="Q1536" s="2" t="s">
        <v>15126</v>
      </c>
      <c r="R1536" s="3" t="s">
        <v>71</v>
      </c>
      <c r="S1536" s="4">
        <v>0</v>
      </c>
      <c r="T1536" s="4">
        <v>0</v>
      </c>
      <c r="W1536" s="5" t="s">
        <v>72</v>
      </c>
      <c r="X1536" s="5" t="s">
        <v>72</v>
      </c>
      <c r="Y1536" s="4">
        <v>41</v>
      </c>
      <c r="Z1536" s="4">
        <v>4</v>
      </c>
      <c r="AA1536" s="4">
        <v>4</v>
      </c>
      <c r="AB1536" s="4">
        <v>1</v>
      </c>
      <c r="AC1536" s="4">
        <v>1</v>
      </c>
      <c r="AD1536" s="4">
        <v>27</v>
      </c>
      <c r="AE1536" s="4">
        <v>27</v>
      </c>
      <c r="AF1536" s="4">
        <v>0</v>
      </c>
      <c r="AG1536" s="4">
        <v>0</v>
      </c>
      <c r="AH1536" s="4">
        <v>27</v>
      </c>
      <c r="AI1536" s="4">
        <v>27</v>
      </c>
      <c r="AJ1536" s="4">
        <v>2</v>
      </c>
      <c r="AK1536" s="4">
        <v>2</v>
      </c>
      <c r="AL1536" s="4">
        <v>20</v>
      </c>
      <c r="AM1536" s="4">
        <v>20</v>
      </c>
      <c r="AN1536" s="4">
        <v>0</v>
      </c>
      <c r="AO1536" s="4">
        <v>0</v>
      </c>
      <c r="AP1536" s="4">
        <v>2</v>
      </c>
      <c r="AQ1536" s="4">
        <v>2</v>
      </c>
      <c r="AR1536" s="3" t="s">
        <v>65</v>
      </c>
      <c r="AS1536" s="3" t="s">
        <v>65</v>
      </c>
      <c r="AT1536" s="3" t="s">
        <v>65</v>
      </c>
      <c r="AV1536" s="6" t="str">
        <f>HYPERLINK("http://mcgill.on.worldcat.org/oclc/904251397","Catalog Record")</f>
        <v>Catalog Record</v>
      </c>
      <c r="AW1536" s="6" t="str">
        <f>HYPERLINK("http://www.worldcat.org/oclc/904251397","WorldCat Record")</f>
        <v>WorldCat Record</v>
      </c>
      <c r="AX1536" s="3" t="s">
        <v>15127</v>
      </c>
      <c r="AY1536" s="3" t="s">
        <v>15128</v>
      </c>
      <c r="AZ1536" s="3" t="s">
        <v>15129</v>
      </c>
      <c r="BA1536" s="3" t="s">
        <v>15129</v>
      </c>
      <c r="BB1536" s="3" t="s">
        <v>15130</v>
      </c>
      <c r="BC1536" s="3" t="s">
        <v>77</v>
      </c>
      <c r="BD1536" s="3" t="s">
        <v>78</v>
      </c>
      <c r="BE1536" s="3" t="s">
        <v>15131</v>
      </c>
      <c r="BF1536" s="3" t="s">
        <v>15130</v>
      </c>
      <c r="BG1536" s="3" t="s">
        <v>15132</v>
      </c>
    </row>
    <row r="1537" spans="1:59" ht="58" x14ac:dyDescent="0.35">
      <c r="A1537" s="2" t="s">
        <v>59</v>
      </c>
      <c r="B1537" s="2" t="s">
        <v>60</v>
      </c>
      <c r="C1537" s="2" t="s">
        <v>15133</v>
      </c>
      <c r="D1537" s="2" t="s">
        <v>15134</v>
      </c>
      <c r="E1537" s="2" t="s">
        <v>15135</v>
      </c>
      <c r="G1537" s="3" t="s">
        <v>65</v>
      </c>
      <c r="I1537" s="3" t="s">
        <v>65</v>
      </c>
      <c r="J1537" s="3" t="s">
        <v>65</v>
      </c>
      <c r="K1537" s="3" t="s">
        <v>66</v>
      </c>
      <c r="M1537" s="2" t="s">
        <v>15136</v>
      </c>
      <c r="N1537" s="3" t="s">
        <v>113</v>
      </c>
      <c r="P1537" s="3" t="s">
        <v>140</v>
      </c>
      <c r="Q1537" s="2" t="s">
        <v>15137</v>
      </c>
      <c r="R1537" s="3" t="s">
        <v>71</v>
      </c>
      <c r="S1537" s="4">
        <v>0</v>
      </c>
      <c r="T1537" s="4">
        <v>0</v>
      </c>
      <c r="W1537" s="5" t="s">
        <v>72</v>
      </c>
      <c r="X1537" s="5" t="s">
        <v>72</v>
      </c>
      <c r="Y1537" s="4">
        <v>8</v>
      </c>
      <c r="Z1537" s="4">
        <v>1</v>
      </c>
      <c r="AA1537" s="4">
        <v>3</v>
      </c>
      <c r="AB1537" s="4">
        <v>1</v>
      </c>
      <c r="AC1537" s="4">
        <v>1</v>
      </c>
      <c r="AD1537" s="4">
        <v>2</v>
      </c>
      <c r="AE1537" s="4">
        <v>26</v>
      </c>
      <c r="AF1537" s="4">
        <v>0</v>
      </c>
      <c r="AG1537" s="4">
        <v>0</v>
      </c>
      <c r="AH1537" s="4">
        <v>2</v>
      </c>
      <c r="AI1537" s="4">
        <v>25</v>
      </c>
      <c r="AJ1537" s="4">
        <v>0</v>
      </c>
      <c r="AK1537" s="4">
        <v>1</v>
      </c>
      <c r="AL1537" s="4">
        <v>1</v>
      </c>
      <c r="AM1537" s="4">
        <v>20</v>
      </c>
      <c r="AN1537" s="4">
        <v>0</v>
      </c>
      <c r="AO1537" s="4">
        <v>0</v>
      </c>
      <c r="AP1537" s="4">
        <v>0</v>
      </c>
      <c r="AQ1537" s="4">
        <v>1</v>
      </c>
      <c r="AR1537" s="3" t="s">
        <v>65</v>
      </c>
      <c r="AS1537" s="3" t="s">
        <v>65</v>
      </c>
      <c r="AT1537" s="3" t="s">
        <v>65</v>
      </c>
      <c r="AV1537" s="6" t="str">
        <f>HYPERLINK("http://mcgill.on.worldcat.org/oclc/779385432","Catalog Record")</f>
        <v>Catalog Record</v>
      </c>
      <c r="AW1537" s="6" t="str">
        <f>HYPERLINK("http://www.worldcat.org/oclc/779385432","WorldCat Record")</f>
        <v>WorldCat Record</v>
      </c>
      <c r="AX1537" s="3" t="s">
        <v>15138</v>
      </c>
      <c r="AY1537" s="3" t="s">
        <v>15139</v>
      </c>
      <c r="AZ1537" s="3" t="s">
        <v>15140</v>
      </c>
      <c r="BA1537" s="3" t="s">
        <v>15140</v>
      </c>
      <c r="BB1537" s="3" t="s">
        <v>15141</v>
      </c>
      <c r="BC1537" s="3" t="s">
        <v>77</v>
      </c>
      <c r="BD1537" s="3" t="s">
        <v>78</v>
      </c>
      <c r="BE1537" s="3" t="s">
        <v>15142</v>
      </c>
      <c r="BF1537" s="3" t="s">
        <v>15141</v>
      </c>
      <c r="BG1537" s="3" t="s">
        <v>15143</v>
      </c>
    </row>
    <row r="1538" spans="1:59" ht="58" x14ac:dyDescent="0.35">
      <c r="A1538" s="2" t="s">
        <v>59</v>
      </c>
      <c r="B1538" s="2" t="s">
        <v>60</v>
      </c>
      <c r="C1538" s="2" t="s">
        <v>15144</v>
      </c>
      <c r="D1538" s="2" t="s">
        <v>15145</v>
      </c>
      <c r="E1538" s="2" t="s">
        <v>15146</v>
      </c>
      <c r="G1538" s="3" t="s">
        <v>65</v>
      </c>
      <c r="I1538" s="3" t="s">
        <v>65</v>
      </c>
      <c r="J1538" s="3" t="s">
        <v>65</v>
      </c>
      <c r="K1538" s="3" t="s">
        <v>66</v>
      </c>
      <c r="L1538" s="2" t="s">
        <v>15147</v>
      </c>
      <c r="M1538" s="2" t="s">
        <v>15148</v>
      </c>
      <c r="N1538" s="3" t="s">
        <v>552</v>
      </c>
      <c r="P1538" s="3" t="s">
        <v>69</v>
      </c>
      <c r="Q1538" s="2" t="s">
        <v>15149</v>
      </c>
      <c r="R1538" s="3" t="s">
        <v>71</v>
      </c>
      <c r="S1538" s="4">
        <v>8</v>
      </c>
      <c r="T1538" s="4">
        <v>8</v>
      </c>
      <c r="U1538" s="5" t="s">
        <v>7117</v>
      </c>
      <c r="V1538" s="5" t="s">
        <v>7117</v>
      </c>
      <c r="W1538" s="5" t="s">
        <v>72</v>
      </c>
      <c r="X1538" s="5" t="s">
        <v>72</v>
      </c>
      <c r="Y1538" s="4">
        <v>188</v>
      </c>
      <c r="Z1538" s="4">
        <v>12</v>
      </c>
      <c r="AA1538" s="4">
        <v>24</v>
      </c>
      <c r="AB1538" s="4">
        <v>2</v>
      </c>
      <c r="AC1538" s="4">
        <v>2</v>
      </c>
      <c r="AD1538" s="4">
        <v>84</v>
      </c>
      <c r="AE1538" s="4">
        <v>89</v>
      </c>
      <c r="AF1538" s="4">
        <v>1</v>
      </c>
      <c r="AG1538" s="4">
        <v>1</v>
      </c>
      <c r="AH1538" s="4">
        <v>79</v>
      </c>
      <c r="AI1538" s="4">
        <v>80</v>
      </c>
      <c r="AJ1538" s="4">
        <v>7</v>
      </c>
      <c r="AK1538" s="4">
        <v>9</v>
      </c>
      <c r="AL1538" s="4">
        <v>47</v>
      </c>
      <c r="AM1538" s="4">
        <v>47</v>
      </c>
      <c r="AN1538" s="4">
        <v>0</v>
      </c>
      <c r="AO1538" s="4">
        <v>0</v>
      </c>
      <c r="AP1538" s="4">
        <v>9</v>
      </c>
      <c r="AQ1538" s="4">
        <v>14</v>
      </c>
      <c r="AR1538" s="3" t="s">
        <v>65</v>
      </c>
      <c r="AS1538" s="3" t="s">
        <v>65</v>
      </c>
      <c r="AT1538" s="3" t="s">
        <v>209</v>
      </c>
      <c r="AU1538" s="6" t="str">
        <f>HYPERLINK("http://catalog.hathitrust.org/Record/003204204","HathiTrust Record")</f>
        <v>HathiTrust Record</v>
      </c>
      <c r="AV1538" s="6" t="str">
        <f>HYPERLINK("http://mcgill.on.worldcat.org/oclc/36648641","Catalog Record")</f>
        <v>Catalog Record</v>
      </c>
      <c r="AW1538" s="6" t="str">
        <f>HYPERLINK("http://www.worldcat.org/oclc/36648641","WorldCat Record")</f>
        <v>WorldCat Record</v>
      </c>
      <c r="AX1538" s="3" t="s">
        <v>15150</v>
      </c>
      <c r="AY1538" s="3" t="s">
        <v>15151</v>
      </c>
      <c r="AZ1538" s="3" t="s">
        <v>15152</v>
      </c>
      <c r="BA1538" s="3" t="s">
        <v>15152</v>
      </c>
      <c r="BB1538" s="3" t="s">
        <v>15153</v>
      </c>
      <c r="BC1538" s="3" t="s">
        <v>77</v>
      </c>
      <c r="BD1538" s="3" t="s">
        <v>78</v>
      </c>
      <c r="BE1538" s="3" t="s">
        <v>15154</v>
      </c>
      <c r="BF1538" s="3" t="s">
        <v>15153</v>
      </c>
      <c r="BG1538" s="3" t="s">
        <v>15155</v>
      </c>
    </row>
    <row r="1539" spans="1:59" ht="58" x14ac:dyDescent="0.35">
      <c r="A1539" s="2" t="s">
        <v>59</v>
      </c>
      <c r="B1539" s="2" t="s">
        <v>60</v>
      </c>
      <c r="C1539" s="2" t="s">
        <v>15156</v>
      </c>
      <c r="D1539" s="2" t="s">
        <v>15157</v>
      </c>
      <c r="E1539" s="2" t="s">
        <v>15158</v>
      </c>
      <c r="G1539" s="3" t="s">
        <v>65</v>
      </c>
      <c r="I1539" s="3" t="s">
        <v>65</v>
      </c>
      <c r="J1539" s="3" t="s">
        <v>65</v>
      </c>
      <c r="K1539" s="3" t="s">
        <v>66</v>
      </c>
      <c r="L1539" s="2" t="s">
        <v>12444</v>
      </c>
      <c r="M1539" s="2" t="s">
        <v>12738</v>
      </c>
      <c r="N1539" s="3" t="s">
        <v>68</v>
      </c>
      <c r="P1539" s="3" t="s">
        <v>140</v>
      </c>
      <c r="Q1539" s="2" t="s">
        <v>15159</v>
      </c>
      <c r="R1539" s="3" t="s">
        <v>71</v>
      </c>
      <c r="S1539" s="4">
        <v>0</v>
      </c>
      <c r="T1539" s="4">
        <v>0</v>
      </c>
      <c r="W1539" s="5" t="s">
        <v>72</v>
      </c>
      <c r="X1539" s="5" t="s">
        <v>72</v>
      </c>
      <c r="Y1539" s="4">
        <v>58</v>
      </c>
      <c r="Z1539" s="4">
        <v>2</v>
      </c>
      <c r="AA1539" s="4">
        <v>2</v>
      </c>
      <c r="AB1539" s="4">
        <v>1</v>
      </c>
      <c r="AC1539" s="4">
        <v>1</v>
      </c>
      <c r="AD1539" s="4">
        <v>37</v>
      </c>
      <c r="AE1539" s="4">
        <v>37</v>
      </c>
      <c r="AF1539" s="4">
        <v>0</v>
      </c>
      <c r="AG1539" s="4">
        <v>0</v>
      </c>
      <c r="AH1539" s="4">
        <v>37</v>
      </c>
      <c r="AI1539" s="4">
        <v>37</v>
      </c>
      <c r="AJ1539" s="4">
        <v>1</v>
      </c>
      <c r="AK1539" s="4">
        <v>1</v>
      </c>
      <c r="AL1539" s="4">
        <v>28</v>
      </c>
      <c r="AM1539" s="4">
        <v>28</v>
      </c>
      <c r="AN1539" s="4">
        <v>0</v>
      </c>
      <c r="AO1539" s="4">
        <v>0</v>
      </c>
      <c r="AP1539" s="4">
        <v>1</v>
      </c>
      <c r="AQ1539" s="4">
        <v>1</v>
      </c>
      <c r="AR1539" s="3" t="s">
        <v>65</v>
      </c>
      <c r="AS1539" s="3" t="s">
        <v>65</v>
      </c>
      <c r="AT1539" s="3" t="s">
        <v>65</v>
      </c>
      <c r="AV1539" s="6" t="str">
        <f>HYPERLINK("http://mcgill.on.worldcat.org/oclc/969804953","Catalog Record")</f>
        <v>Catalog Record</v>
      </c>
      <c r="AW1539" s="6" t="str">
        <f>HYPERLINK("http://www.worldcat.org/oclc/969804953","WorldCat Record")</f>
        <v>WorldCat Record</v>
      </c>
      <c r="AX1539" s="3" t="s">
        <v>15160</v>
      </c>
      <c r="AY1539" s="3" t="s">
        <v>15161</v>
      </c>
      <c r="AZ1539" s="3" t="s">
        <v>15162</v>
      </c>
      <c r="BA1539" s="3" t="s">
        <v>15162</v>
      </c>
      <c r="BB1539" s="3" t="s">
        <v>15163</v>
      </c>
      <c r="BC1539" s="3" t="s">
        <v>77</v>
      </c>
      <c r="BD1539" s="3" t="s">
        <v>78</v>
      </c>
      <c r="BE1539" s="3" t="s">
        <v>15164</v>
      </c>
      <c r="BF1539" s="3" t="s">
        <v>15163</v>
      </c>
      <c r="BG1539" s="3" t="s">
        <v>15165</v>
      </c>
    </row>
    <row r="1540" spans="1:59" ht="58" x14ac:dyDescent="0.35">
      <c r="A1540" s="2" t="s">
        <v>59</v>
      </c>
      <c r="B1540" s="2" t="s">
        <v>60</v>
      </c>
      <c r="C1540" s="2" t="s">
        <v>15166</v>
      </c>
      <c r="D1540" s="2" t="s">
        <v>15167</v>
      </c>
      <c r="E1540" s="2" t="s">
        <v>15168</v>
      </c>
      <c r="G1540" s="3" t="s">
        <v>65</v>
      </c>
      <c r="I1540" s="3" t="s">
        <v>65</v>
      </c>
      <c r="J1540" s="3" t="s">
        <v>65</v>
      </c>
      <c r="K1540" s="3" t="s">
        <v>66</v>
      </c>
      <c r="L1540" s="2" t="s">
        <v>15169</v>
      </c>
      <c r="M1540" s="2" t="s">
        <v>13903</v>
      </c>
      <c r="N1540" s="3" t="s">
        <v>152</v>
      </c>
      <c r="P1540" s="3" t="s">
        <v>140</v>
      </c>
      <c r="Q1540" s="2" t="s">
        <v>15170</v>
      </c>
      <c r="R1540" s="3" t="s">
        <v>71</v>
      </c>
      <c r="S1540" s="4">
        <v>0</v>
      </c>
      <c r="T1540" s="4">
        <v>0</v>
      </c>
      <c r="W1540" s="5" t="s">
        <v>72</v>
      </c>
      <c r="X1540" s="5" t="s">
        <v>72</v>
      </c>
      <c r="Y1540" s="4">
        <v>52</v>
      </c>
      <c r="Z1540" s="4">
        <v>4</v>
      </c>
      <c r="AA1540" s="4">
        <v>4</v>
      </c>
      <c r="AB1540" s="4">
        <v>1</v>
      </c>
      <c r="AC1540" s="4">
        <v>1</v>
      </c>
      <c r="AD1540" s="4">
        <v>36</v>
      </c>
      <c r="AE1540" s="4">
        <v>36</v>
      </c>
      <c r="AF1540" s="4">
        <v>0</v>
      </c>
      <c r="AG1540" s="4">
        <v>0</v>
      </c>
      <c r="AH1540" s="4">
        <v>35</v>
      </c>
      <c r="AI1540" s="4">
        <v>35</v>
      </c>
      <c r="AJ1540" s="4">
        <v>2</v>
      </c>
      <c r="AK1540" s="4">
        <v>2</v>
      </c>
      <c r="AL1540" s="4">
        <v>29</v>
      </c>
      <c r="AM1540" s="4">
        <v>29</v>
      </c>
      <c r="AN1540" s="4">
        <v>0</v>
      </c>
      <c r="AO1540" s="4">
        <v>0</v>
      </c>
      <c r="AP1540" s="4">
        <v>2</v>
      </c>
      <c r="AQ1540" s="4">
        <v>2</v>
      </c>
      <c r="AR1540" s="3" t="s">
        <v>65</v>
      </c>
      <c r="AS1540" s="3" t="s">
        <v>65</v>
      </c>
      <c r="AT1540" s="3" t="s">
        <v>65</v>
      </c>
      <c r="AV1540" s="6" t="str">
        <f>HYPERLINK("http://mcgill.on.worldcat.org/oclc/854562495","Catalog Record")</f>
        <v>Catalog Record</v>
      </c>
      <c r="AW1540" s="6" t="str">
        <f>HYPERLINK("http://www.worldcat.org/oclc/854562495","WorldCat Record")</f>
        <v>WorldCat Record</v>
      </c>
      <c r="AX1540" s="3" t="s">
        <v>15171</v>
      </c>
      <c r="AY1540" s="3" t="s">
        <v>15172</v>
      </c>
      <c r="AZ1540" s="3" t="s">
        <v>15173</v>
      </c>
      <c r="BA1540" s="3" t="s">
        <v>15173</v>
      </c>
      <c r="BB1540" s="3" t="s">
        <v>15174</v>
      </c>
      <c r="BC1540" s="3" t="s">
        <v>77</v>
      </c>
      <c r="BD1540" s="3" t="s">
        <v>78</v>
      </c>
      <c r="BE1540" s="3" t="s">
        <v>15175</v>
      </c>
      <c r="BF1540" s="3" t="s">
        <v>15174</v>
      </c>
      <c r="BG1540" s="3" t="s">
        <v>15176</v>
      </c>
    </row>
    <row r="1541" spans="1:59" ht="58" x14ac:dyDescent="0.35">
      <c r="A1541" s="2" t="s">
        <v>59</v>
      </c>
      <c r="B1541" s="2" t="s">
        <v>60</v>
      </c>
      <c r="C1541" s="2" t="s">
        <v>15177</v>
      </c>
      <c r="D1541" s="2" t="s">
        <v>15178</v>
      </c>
      <c r="E1541" s="2" t="s">
        <v>15179</v>
      </c>
      <c r="G1541" s="3" t="s">
        <v>65</v>
      </c>
      <c r="I1541" s="3" t="s">
        <v>65</v>
      </c>
      <c r="J1541" s="3" t="s">
        <v>65</v>
      </c>
      <c r="K1541" s="3" t="s">
        <v>66</v>
      </c>
      <c r="L1541" s="2" t="s">
        <v>15180</v>
      </c>
      <c r="M1541" s="2" t="s">
        <v>15181</v>
      </c>
      <c r="N1541" s="3" t="s">
        <v>113</v>
      </c>
      <c r="P1541" s="3" t="s">
        <v>140</v>
      </c>
      <c r="Q1541" s="2" t="s">
        <v>15182</v>
      </c>
      <c r="R1541" s="3" t="s">
        <v>71</v>
      </c>
      <c r="S1541" s="4">
        <v>0</v>
      </c>
      <c r="T1541" s="4">
        <v>0</v>
      </c>
      <c r="W1541" s="5" t="s">
        <v>72</v>
      </c>
      <c r="X1541" s="5" t="s">
        <v>72</v>
      </c>
      <c r="Y1541" s="4">
        <v>51</v>
      </c>
      <c r="Z1541" s="4">
        <v>4</v>
      </c>
      <c r="AA1541" s="4">
        <v>4</v>
      </c>
      <c r="AB1541" s="4">
        <v>1</v>
      </c>
      <c r="AC1541" s="4">
        <v>1</v>
      </c>
      <c r="AD1541" s="4">
        <v>37</v>
      </c>
      <c r="AE1541" s="4">
        <v>37</v>
      </c>
      <c r="AF1541" s="4">
        <v>0</v>
      </c>
      <c r="AG1541" s="4">
        <v>0</v>
      </c>
      <c r="AH1541" s="4">
        <v>36</v>
      </c>
      <c r="AI1541" s="4">
        <v>36</v>
      </c>
      <c r="AJ1541" s="4">
        <v>2</v>
      </c>
      <c r="AK1541" s="4">
        <v>2</v>
      </c>
      <c r="AL1541" s="4">
        <v>27</v>
      </c>
      <c r="AM1541" s="4">
        <v>27</v>
      </c>
      <c r="AN1541" s="4">
        <v>0</v>
      </c>
      <c r="AO1541" s="4">
        <v>0</v>
      </c>
      <c r="AP1541" s="4">
        <v>2</v>
      </c>
      <c r="AQ1541" s="4">
        <v>2</v>
      </c>
      <c r="AR1541" s="3" t="s">
        <v>65</v>
      </c>
      <c r="AS1541" s="3" t="s">
        <v>65</v>
      </c>
      <c r="AT1541" s="3" t="s">
        <v>65</v>
      </c>
      <c r="AV1541" s="6" t="str">
        <f>HYPERLINK("http://mcgill.on.worldcat.org/oclc/692270202","Catalog Record")</f>
        <v>Catalog Record</v>
      </c>
      <c r="AW1541" s="6" t="str">
        <f>HYPERLINK("http://www.worldcat.org/oclc/692270202","WorldCat Record")</f>
        <v>WorldCat Record</v>
      </c>
      <c r="AX1541" s="3" t="s">
        <v>15183</v>
      </c>
      <c r="AY1541" s="3" t="s">
        <v>15184</v>
      </c>
      <c r="AZ1541" s="3" t="s">
        <v>15185</v>
      </c>
      <c r="BA1541" s="3" t="s">
        <v>15185</v>
      </c>
      <c r="BB1541" s="3" t="s">
        <v>15186</v>
      </c>
      <c r="BC1541" s="3" t="s">
        <v>77</v>
      </c>
      <c r="BD1541" s="3" t="s">
        <v>78</v>
      </c>
      <c r="BE1541" s="3" t="s">
        <v>15187</v>
      </c>
      <c r="BF1541" s="3" t="s">
        <v>15186</v>
      </c>
      <c r="BG1541" s="3" t="s">
        <v>15188</v>
      </c>
    </row>
    <row r="1542" spans="1:59" ht="58" x14ac:dyDescent="0.35">
      <c r="A1542" s="2" t="s">
        <v>59</v>
      </c>
      <c r="B1542" s="2" t="s">
        <v>60</v>
      </c>
      <c r="C1542" s="2" t="s">
        <v>15189</v>
      </c>
      <c r="D1542" s="2" t="s">
        <v>15190</v>
      </c>
      <c r="E1542" s="2" t="s">
        <v>15191</v>
      </c>
      <c r="G1542" s="3" t="s">
        <v>65</v>
      </c>
      <c r="I1542" s="3" t="s">
        <v>65</v>
      </c>
      <c r="J1542" s="3" t="s">
        <v>65</v>
      </c>
      <c r="K1542" s="3" t="s">
        <v>66</v>
      </c>
      <c r="L1542" s="2" t="s">
        <v>15192</v>
      </c>
      <c r="M1542" s="2" t="s">
        <v>15193</v>
      </c>
      <c r="N1542" s="3" t="s">
        <v>188</v>
      </c>
      <c r="O1542" s="2" t="s">
        <v>379</v>
      </c>
      <c r="P1542" s="3" t="s">
        <v>140</v>
      </c>
      <c r="Q1542" s="2" t="s">
        <v>15194</v>
      </c>
      <c r="R1542" s="3" t="s">
        <v>71</v>
      </c>
      <c r="S1542" s="4">
        <v>0</v>
      </c>
      <c r="T1542" s="4">
        <v>0</v>
      </c>
      <c r="W1542" s="5" t="s">
        <v>72</v>
      </c>
      <c r="X1542" s="5" t="s">
        <v>72</v>
      </c>
      <c r="Y1542" s="4">
        <v>10</v>
      </c>
      <c r="Z1542" s="4">
        <v>1</v>
      </c>
      <c r="AA1542" s="4">
        <v>1</v>
      </c>
      <c r="AB1542" s="4">
        <v>1</v>
      </c>
      <c r="AC1542" s="4">
        <v>1</v>
      </c>
      <c r="AD1542" s="4">
        <v>6</v>
      </c>
      <c r="AE1542" s="4">
        <v>6</v>
      </c>
      <c r="AF1542" s="4">
        <v>0</v>
      </c>
      <c r="AG1542" s="4">
        <v>0</v>
      </c>
      <c r="AH1542" s="4">
        <v>6</v>
      </c>
      <c r="AI1542" s="4">
        <v>6</v>
      </c>
      <c r="AJ1542" s="4">
        <v>0</v>
      </c>
      <c r="AK1542" s="4">
        <v>0</v>
      </c>
      <c r="AL1542" s="4">
        <v>5</v>
      </c>
      <c r="AM1542" s="4">
        <v>5</v>
      </c>
      <c r="AN1542" s="4">
        <v>0</v>
      </c>
      <c r="AO1542" s="4">
        <v>0</v>
      </c>
      <c r="AP1542" s="4">
        <v>0</v>
      </c>
      <c r="AQ1542" s="4">
        <v>0</v>
      </c>
      <c r="AR1542" s="3" t="s">
        <v>65</v>
      </c>
      <c r="AS1542" s="3" t="s">
        <v>65</v>
      </c>
      <c r="AT1542" s="3" t="s">
        <v>65</v>
      </c>
      <c r="AV1542" s="6" t="str">
        <f>HYPERLINK("http://mcgill.on.worldcat.org/oclc/1019989411","Catalog Record")</f>
        <v>Catalog Record</v>
      </c>
      <c r="AW1542" s="6" t="str">
        <f>HYPERLINK("http://www.worldcat.org/oclc/1019989411","WorldCat Record")</f>
        <v>WorldCat Record</v>
      </c>
      <c r="AX1542" s="3" t="s">
        <v>15195</v>
      </c>
      <c r="AY1542" s="3" t="s">
        <v>15196</v>
      </c>
      <c r="AZ1542" s="3" t="s">
        <v>15197</v>
      </c>
      <c r="BA1542" s="3" t="s">
        <v>15197</v>
      </c>
      <c r="BB1542" s="3" t="s">
        <v>15198</v>
      </c>
      <c r="BC1542" s="3" t="s">
        <v>77</v>
      </c>
      <c r="BD1542" s="3" t="s">
        <v>78</v>
      </c>
      <c r="BE1542" s="3" t="s">
        <v>15199</v>
      </c>
      <c r="BF1542" s="3" t="s">
        <v>15198</v>
      </c>
      <c r="BG1542" s="3" t="s">
        <v>15200</v>
      </c>
    </row>
    <row r="1543" spans="1:59" ht="58" x14ac:dyDescent="0.35">
      <c r="A1543" s="2" t="s">
        <v>59</v>
      </c>
      <c r="B1543" s="2" t="s">
        <v>60</v>
      </c>
      <c r="C1543" s="2" t="s">
        <v>15201</v>
      </c>
      <c r="D1543" s="2" t="s">
        <v>15202</v>
      </c>
      <c r="E1543" s="2" t="s">
        <v>15203</v>
      </c>
      <c r="G1543" s="3" t="s">
        <v>65</v>
      </c>
      <c r="I1543" s="3" t="s">
        <v>65</v>
      </c>
      <c r="J1543" s="3" t="s">
        <v>65</v>
      </c>
      <c r="K1543" s="3" t="s">
        <v>66</v>
      </c>
      <c r="L1543" s="2" t="s">
        <v>15204</v>
      </c>
      <c r="M1543" s="2" t="s">
        <v>15205</v>
      </c>
      <c r="N1543" s="3" t="s">
        <v>139</v>
      </c>
      <c r="O1543" s="2" t="s">
        <v>526</v>
      </c>
      <c r="P1543" s="3" t="s">
        <v>69</v>
      </c>
      <c r="R1543" s="3" t="s">
        <v>71</v>
      </c>
      <c r="S1543" s="4">
        <v>2</v>
      </c>
      <c r="T1543" s="4">
        <v>2</v>
      </c>
      <c r="U1543" s="5" t="s">
        <v>15206</v>
      </c>
      <c r="V1543" s="5" t="s">
        <v>15206</v>
      </c>
      <c r="W1543" s="5" t="s">
        <v>72</v>
      </c>
      <c r="X1543" s="5" t="s">
        <v>72</v>
      </c>
      <c r="Y1543" s="4">
        <v>143</v>
      </c>
      <c r="Z1543" s="4">
        <v>14</v>
      </c>
      <c r="AA1543" s="4">
        <v>38</v>
      </c>
      <c r="AB1543" s="4">
        <v>1</v>
      </c>
      <c r="AC1543" s="4">
        <v>4</v>
      </c>
      <c r="AD1543" s="4">
        <v>76</v>
      </c>
      <c r="AE1543" s="4">
        <v>110</v>
      </c>
      <c r="AF1543" s="4">
        <v>0</v>
      </c>
      <c r="AG1543" s="4">
        <v>1</v>
      </c>
      <c r="AH1543" s="4">
        <v>72</v>
      </c>
      <c r="AI1543" s="4">
        <v>93</v>
      </c>
      <c r="AJ1543" s="4">
        <v>10</v>
      </c>
      <c r="AK1543" s="4">
        <v>15</v>
      </c>
      <c r="AL1543" s="4">
        <v>44</v>
      </c>
      <c r="AM1543" s="4">
        <v>53</v>
      </c>
      <c r="AN1543" s="4">
        <v>0</v>
      </c>
      <c r="AO1543" s="4">
        <v>0</v>
      </c>
      <c r="AP1543" s="4">
        <v>12</v>
      </c>
      <c r="AQ1543" s="4">
        <v>27</v>
      </c>
      <c r="AR1543" s="3" t="s">
        <v>65</v>
      </c>
      <c r="AS1543" s="3" t="s">
        <v>65</v>
      </c>
      <c r="AT1543" s="3" t="s">
        <v>65</v>
      </c>
      <c r="AV1543" s="6" t="str">
        <f>HYPERLINK("http://mcgill.on.worldcat.org/oclc/755213232","Catalog Record")</f>
        <v>Catalog Record</v>
      </c>
      <c r="AW1543" s="6" t="str">
        <f>HYPERLINK("http://www.worldcat.org/oclc/755213232","WorldCat Record")</f>
        <v>WorldCat Record</v>
      </c>
      <c r="AX1543" s="3" t="s">
        <v>15207</v>
      </c>
      <c r="AY1543" s="3" t="s">
        <v>15208</v>
      </c>
      <c r="AZ1543" s="3" t="s">
        <v>15209</v>
      </c>
      <c r="BA1543" s="3" t="s">
        <v>15209</v>
      </c>
      <c r="BB1543" s="3" t="s">
        <v>15210</v>
      </c>
      <c r="BC1543" s="3" t="s">
        <v>77</v>
      </c>
      <c r="BD1543" s="3" t="s">
        <v>106</v>
      </c>
      <c r="BE1543" s="3" t="s">
        <v>15211</v>
      </c>
      <c r="BF1543" s="3" t="s">
        <v>15210</v>
      </c>
      <c r="BG1543" s="3" t="s">
        <v>15212</v>
      </c>
    </row>
    <row r="1544" spans="1:59" ht="58" x14ac:dyDescent="0.35">
      <c r="A1544" s="2" t="s">
        <v>59</v>
      </c>
      <c r="B1544" s="2" t="s">
        <v>60</v>
      </c>
      <c r="C1544" s="2" t="s">
        <v>15213</v>
      </c>
      <c r="D1544" s="2" t="s">
        <v>15214</v>
      </c>
      <c r="E1544" s="2" t="s">
        <v>15215</v>
      </c>
      <c r="G1544" s="3" t="s">
        <v>65</v>
      </c>
      <c r="I1544" s="3" t="s">
        <v>65</v>
      </c>
      <c r="J1544" s="3" t="s">
        <v>65</v>
      </c>
      <c r="K1544" s="3" t="s">
        <v>66</v>
      </c>
      <c r="L1544" s="2" t="s">
        <v>15216</v>
      </c>
      <c r="M1544" s="2" t="s">
        <v>7484</v>
      </c>
      <c r="N1544" s="3" t="s">
        <v>68</v>
      </c>
      <c r="P1544" s="3" t="s">
        <v>616</v>
      </c>
      <c r="Q1544" s="2" t="s">
        <v>15217</v>
      </c>
      <c r="R1544" s="3" t="s">
        <v>71</v>
      </c>
      <c r="S1544" s="4">
        <v>0</v>
      </c>
      <c r="T1544" s="4">
        <v>0</v>
      </c>
      <c r="W1544" s="5" t="s">
        <v>72</v>
      </c>
      <c r="X1544" s="5" t="s">
        <v>72</v>
      </c>
      <c r="Y1544" s="4">
        <v>30</v>
      </c>
      <c r="Z1544" s="4">
        <v>3</v>
      </c>
      <c r="AA1544" s="4">
        <v>5</v>
      </c>
      <c r="AB1544" s="4">
        <v>1</v>
      </c>
      <c r="AC1544" s="4">
        <v>2</v>
      </c>
      <c r="AD1544" s="4">
        <v>14</v>
      </c>
      <c r="AE1544" s="4">
        <v>16</v>
      </c>
      <c r="AF1544" s="4">
        <v>0</v>
      </c>
      <c r="AG1544" s="4">
        <v>1</v>
      </c>
      <c r="AH1544" s="4">
        <v>13</v>
      </c>
      <c r="AI1544" s="4">
        <v>14</v>
      </c>
      <c r="AJ1544" s="4">
        <v>1</v>
      </c>
      <c r="AK1544" s="4">
        <v>3</v>
      </c>
      <c r="AL1544" s="4">
        <v>11</v>
      </c>
      <c r="AM1544" s="4">
        <v>11</v>
      </c>
      <c r="AN1544" s="4">
        <v>0</v>
      </c>
      <c r="AO1544" s="4">
        <v>0</v>
      </c>
      <c r="AP1544" s="4">
        <v>1</v>
      </c>
      <c r="AQ1544" s="4">
        <v>2</v>
      </c>
      <c r="AR1544" s="3" t="s">
        <v>65</v>
      </c>
      <c r="AS1544" s="3" t="s">
        <v>65</v>
      </c>
      <c r="AT1544" s="3" t="s">
        <v>65</v>
      </c>
      <c r="AV1544" s="6" t="str">
        <f>HYPERLINK("http://mcgill.on.worldcat.org/oclc/949926999","Catalog Record")</f>
        <v>Catalog Record</v>
      </c>
      <c r="AW1544" s="6" t="str">
        <f>HYPERLINK("http://www.worldcat.org/oclc/949926999","WorldCat Record")</f>
        <v>WorldCat Record</v>
      </c>
      <c r="AX1544" s="3" t="s">
        <v>15218</v>
      </c>
      <c r="AY1544" s="3" t="s">
        <v>15219</v>
      </c>
      <c r="AZ1544" s="3" t="s">
        <v>15220</v>
      </c>
      <c r="BA1544" s="3" t="s">
        <v>15220</v>
      </c>
      <c r="BB1544" s="3" t="s">
        <v>15221</v>
      </c>
      <c r="BC1544" s="3" t="s">
        <v>77</v>
      </c>
      <c r="BD1544" s="3" t="s">
        <v>78</v>
      </c>
      <c r="BE1544" s="3" t="s">
        <v>15222</v>
      </c>
      <c r="BF1544" s="3" t="s">
        <v>15221</v>
      </c>
      <c r="BG1544" s="3" t="s">
        <v>15223</v>
      </c>
    </row>
    <row r="1545" spans="1:59" ht="58" x14ac:dyDescent="0.35">
      <c r="A1545" s="2" t="s">
        <v>59</v>
      </c>
      <c r="B1545" s="2" t="s">
        <v>60</v>
      </c>
      <c r="C1545" s="2" t="s">
        <v>15224</v>
      </c>
      <c r="D1545" s="2" t="s">
        <v>15225</v>
      </c>
      <c r="E1545" s="2" t="s">
        <v>15226</v>
      </c>
      <c r="G1545" s="3" t="s">
        <v>65</v>
      </c>
      <c r="I1545" s="3" t="s">
        <v>209</v>
      </c>
      <c r="J1545" s="3" t="s">
        <v>65</v>
      </c>
      <c r="K1545" s="3" t="s">
        <v>66</v>
      </c>
      <c r="L1545" s="2" t="s">
        <v>15068</v>
      </c>
      <c r="M1545" s="2" t="s">
        <v>15227</v>
      </c>
      <c r="N1545" s="3" t="s">
        <v>3052</v>
      </c>
      <c r="P1545" s="3" t="s">
        <v>69</v>
      </c>
      <c r="R1545" s="3" t="s">
        <v>71</v>
      </c>
      <c r="S1545" s="4">
        <v>14</v>
      </c>
      <c r="T1545" s="4">
        <v>45</v>
      </c>
      <c r="U1545" s="5" t="s">
        <v>15228</v>
      </c>
      <c r="V1545" s="5" t="s">
        <v>15229</v>
      </c>
      <c r="W1545" s="5" t="s">
        <v>72</v>
      </c>
      <c r="X1545" s="5" t="s">
        <v>72</v>
      </c>
      <c r="Y1545" s="4">
        <v>9</v>
      </c>
      <c r="Z1545" s="4">
        <v>3</v>
      </c>
      <c r="AA1545" s="4">
        <v>5</v>
      </c>
      <c r="AB1545" s="4">
        <v>1</v>
      </c>
      <c r="AC1545" s="4">
        <v>1</v>
      </c>
      <c r="AD1545" s="4">
        <v>2</v>
      </c>
      <c r="AE1545" s="4">
        <v>5</v>
      </c>
      <c r="AF1545" s="4">
        <v>0</v>
      </c>
      <c r="AG1545" s="4">
        <v>0</v>
      </c>
      <c r="AH1545" s="4">
        <v>1</v>
      </c>
      <c r="AI1545" s="4">
        <v>3</v>
      </c>
      <c r="AJ1545" s="4">
        <v>0</v>
      </c>
      <c r="AK1545" s="4">
        <v>1</v>
      </c>
      <c r="AL1545" s="4">
        <v>2</v>
      </c>
      <c r="AM1545" s="4">
        <v>3</v>
      </c>
      <c r="AN1545" s="4">
        <v>0</v>
      </c>
      <c r="AO1545" s="4">
        <v>0</v>
      </c>
      <c r="AP1545" s="4">
        <v>0</v>
      </c>
      <c r="AQ1545" s="4">
        <v>2</v>
      </c>
      <c r="AR1545" s="3" t="s">
        <v>65</v>
      </c>
      <c r="AS1545" s="3" t="s">
        <v>65</v>
      </c>
      <c r="AT1545" s="3" t="s">
        <v>65</v>
      </c>
      <c r="AV1545" s="6" t="str">
        <f>HYPERLINK("http://mcgill.on.worldcat.org/oclc/53281190","Catalog Record")</f>
        <v>Catalog Record</v>
      </c>
      <c r="AW1545" s="6" t="str">
        <f>HYPERLINK("http://www.worldcat.org/oclc/53281190","WorldCat Record")</f>
        <v>WorldCat Record</v>
      </c>
      <c r="AX1545" s="3" t="s">
        <v>15230</v>
      </c>
      <c r="AY1545" s="3" t="s">
        <v>15231</v>
      </c>
      <c r="AZ1545" s="3" t="s">
        <v>15232</v>
      </c>
      <c r="BA1545" s="3" t="s">
        <v>15232</v>
      </c>
      <c r="BB1545" s="3" t="s">
        <v>15233</v>
      </c>
      <c r="BC1545" s="3" t="s">
        <v>77</v>
      </c>
      <c r="BD1545" s="3" t="s">
        <v>78</v>
      </c>
      <c r="BF1545" s="3" t="s">
        <v>15233</v>
      </c>
      <c r="BG1545" s="3" t="s">
        <v>15234</v>
      </c>
    </row>
    <row r="1546" spans="1:59" ht="58" x14ac:dyDescent="0.35">
      <c r="A1546" s="2" t="s">
        <v>59</v>
      </c>
      <c r="B1546" s="2" t="s">
        <v>60</v>
      </c>
      <c r="C1546" s="2" t="s">
        <v>15224</v>
      </c>
      <c r="D1546" s="2" t="s">
        <v>15225</v>
      </c>
      <c r="E1546" s="2" t="s">
        <v>15226</v>
      </c>
      <c r="G1546" s="3" t="s">
        <v>65</v>
      </c>
      <c r="I1546" s="3" t="s">
        <v>209</v>
      </c>
      <c r="J1546" s="3" t="s">
        <v>65</v>
      </c>
      <c r="K1546" s="3" t="s">
        <v>66</v>
      </c>
      <c r="L1546" s="2" t="s">
        <v>15068</v>
      </c>
      <c r="M1546" s="2" t="s">
        <v>15227</v>
      </c>
      <c r="N1546" s="3" t="s">
        <v>3052</v>
      </c>
      <c r="P1546" s="3" t="s">
        <v>69</v>
      </c>
      <c r="R1546" s="3" t="s">
        <v>71</v>
      </c>
      <c r="S1546" s="4">
        <v>31</v>
      </c>
      <c r="T1546" s="4">
        <v>45</v>
      </c>
      <c r="U1546" s="5" t="s">
        <v>15229</v>
      </c>
      <c r="V1546" s="5" t="s">
        <v>15229</v>
      </c>
      <c r="W1546" s="5" t="s">
        <v>72</v>
      </c>
      <c r="X1546" s="5" t="s">
        <v>72</v>
      </c>
      <c r="Y1546" s="4">
        <v>9</v>
      </c>
      <c r="Z1546" s="4">
        <v>3</v>
      </c>
      <c r="AA1546" s="4">
        <v>5</v>
      </c>
      <c r="AB1546" s="4">
        <v>1</v>
      </c>
      <c r="AC1546" s="4">
        <v>1</v>
      </c>
      <c r="AD1546" s="4">
        <v>2</v>
      </c>
      <c r="AE1546" s="4">
        <v>5</v>
      </c>
      <c r="AF1546" s="4">
        <v>0</v>
      </c>
      <c r="AG1546" s="4">
        <v>0</v>
      </c>
      <c r="AH1546" s="4">
        <v>1</v>
      </c>
      <c r="AI1546" s="4">
        <v>3</v>
      </c>
      <c r="AJ1546" s="4">
        <v>0</v>
      </c>
      <c r="AK1546" s="4">
        <v>1</v>
      </c>
      <c r="AL1546" s="4">
        <v>2</v>
      </c>
      <c r="AM1546" s="4">
        <v>3</v>
      </c>
      <c r="AN1546" s="4">
        <v>0</v>
      </c>
      <c r="AO1546" s="4">
        <v>0</v>
      </c>
      <c r="AP1546" s="4">
        <v>0</v>
      </c>
      <c r="AQ1546" s="4">
        <v>2</v>
      </c>
      <c r="AR1546" s="3" t="s">
        <v>65</v>
      </c>
      <c r="AS1546" s="3" t="s">
        <v>65</v>
      </c>
      <c r="AT1546" s="3" t="s">
        <v>65</v>
      </c>
      <c r="AV1546" s="6" t="str">
        <f>HYPERLINK("http://mcgill.on.worldcat.org/oclc/53281190","Catalog Record")</f>
        <v>Catalog Record</v>
      </c>
      <c r="AW1546" s="6" t="str">
        <f>HYPERLINK("http://www.worldcat.org/oclc/53281190","WorldCat Record")</f>
        <v>WorldCat Record</v>
      </c>
      <c r="AX1546" s="3" t="s">
        <v>15230</v>
      </c>
      <c r="AY1546" s="3" t="s">
        <v>15231</v>
      </c>
      <c r="AZ1546" s="3" t="s">
        <v>15232</v>
      </c>
      <c r="BA1546" s="3" t="s">
        <v>15232</v>
      </c>
      <c r="BB1546" s="3" t="s">
        <v>15235</v>
      </c>
      <c r="BC1546" s="3" t="s">
        <v>77</v>
      </c>
      <c r="BD1546" s="3" t="s">
        <v>78</v>
      </c>
      <c r="BF1546" s="3" t="s">
        <v>15235</v>
      </c>
      <c r="BG1546" s="3" t="s">
        <v>15236</v>
      </c>
    </row>
    <row r="1547" spans="1:59" ht="58" x14ac:dyDescent="0.35">
      <c r="A1547" s="2" t="s">
        <v>59</v>
      </c>
      <c r="B1547" s="2" t="s">
        <v>60</v>
      </c>
      <c r="C1547" s="2" t="s">
        <v>15237</v>
      </c>
      <c r="D1547" s="2" t="s">
        <v>15238</v>
      </c>
      <c r="E1547" s="2" t="s">
        <v>15239</v>
      </c>
      <c r="F1547" s="3" t="s">
        <v>15240</v>
      </c>
      <c r="G1547" s="3" t="s">
        <v>209</v>
      </c>
      <c r="I1547" s="3" t="s">
        <v>209</v>
      </c>
      <c r="J1547" s="3" t="s">
        <v>209</v>
      </c>
      <c r="K1547" s="3" t="s">
        <v>9016</v>
      </c>
      <c r="L1547" s="2" t="s">
        <v>15068</v>
      </c>
      <c r="M1547" s="2" t="s">
        <v>15241</v>
      </c>
      <c r="N1547" s="3" t="s">
        <v>2750</v>
      </c>
      <c r="P1547" s="3" t="s">
        <v>69</v>
      </c>
      <c r="Q1547" s="2" t="s">
        <v>9116</v>
      </c>
      <c r="R1547" s="3" t="s">
        <v>71</v>
      </c>
      <c r="S1547" s="4">
        <v>7</v>
      </c>
      <c r="T1547" s="4">
        <v>37</v>
      </c>
      <c r="U1547" s="5" t="s">
        <v>15242</v>
      </c>
      <c r="V1547" s="5" t="s">
        <v>15243</v>
      </c>
      <c r="W1547" s="5" t="s">
        <v>72</v>
      </c>
      <c r="X1547" s="5" t="s">
        <v>72</v>
      </c>
      <c r="Y1547" s="4">
        <v>449</v>
      </c>
      <c r="Z1547" s="4">
        <v>24</v>
      </c>
      <c r="AA1547" s="4">
        <v>184</v>
      </c>
      <c r="AB1547" s="4">
        <v>1</v>
      </c>
      <c r="AC1547" s="4">
        <v>27</v>
      </c>
      <c r="AD1547" s="4">
        <v>92</v>
      </c>
      <c r="AE1547" s="4">
        <v>169</v>
      </c>
      <c r="AF1547" s="4">
        <v>0</v>
      </c>
      <c r="AG1547" s="4">
        <v>9</v>
      </c>
      <c r="AH1547" s="4">
        <v>79</v>
      </c>
      <c r="AI1547" s="4">
        <v>116</v>
      </c>
      <c r="AJ1547" s="4">
        <v>12</v>
      </c>
      <c r="AK1547" s="4">
        <v>28</v>
      </c>
      <c r="AL1547" s="4">
        <v>47</v>
      </c>
      <c r="AM1547" s="4">
        <v>63</v>
      </c>
      <c r="AN1547" s="4">
        <v>0</v>
      </c>
      <c r="AO1547" s="4">
        <v>10</v>
      </c>
      <c r="AP1547" s="4">
        <v>18</v>
      </c>
      <c r="AQ1547" s="4">
        <v>59</v>
      </c>
      <c r="AR1547" s="3" t="s">
        <v>65</v>
      </c>
      <c r="AS1547" s="3" t="s">
        <v>65</v>
      </c>
      <c r="AT1547" s="3" t="s">
        <v>209</v>
      </c>
      <c r="AU1547" s="6" t="str">
        <f>HYPERLINK("http://catalog.hathitrust.org/Record/003192118","HathiTrust Record")</f>
        <v>HathiTrust Record</v>
      </c>
      <c r="AV1547" s="6" t="str">
        <f>HYPERLINK("http://mcgill.on.worldcat.org/oclc/1933892","Catalog Record")</f>
        <v>Catalog Record</v>
      </c>
      <c r="AW1547" s="6" t="str">
        <f>HYPERLINK("http://www.worldcat.org/oclc/1933892","WorldCat Record")</f>
        <v>WorldCat Record</v>
      </c>
      <c r="AX1547" s="3" t="s">
        <v>15244</v>
      </c>
      <c r="AY1547" s="3" t="s">
        <v>15245</v>
      </c>
      <c r="AZ1547" s="3" t="s">
        <v>15246</v>
      </c>
      <c r="BA1547" s="3" t="s">
        <v>15246</v>
      </c>
      <c r="BB1547" s="3" t="s">
        <v>15247</v>
      </c>
      <c r="BC1547" s="3" t="s">
        <v>77</v>
      </c>
      <c r="BD1547" s="3" t="s">
        <v>78</v>
      </c>
      <c r="BE1547" s="3" t="s">
        <v>15248</v>
      </c>
      <c r="BF1547" s="3" t="s">
        <v>15247</v>
      </c>
      <c r="BG1547" s="3" t="s">
        <v>15249</v>
      </c>
    </row>
    <row r="1548" spans="1:59" ht="58" x14ac:dyDescent="0.35">
      <c r="A1548" s="2" t="s">
        <v>59</v>
      </c>
      <c r="B1548" s="2" t="s">
        <v>60</v>
      </c>
      <c r="C1548" s="2" t="s">
        <v>15237</v>
      </c>
      <c r="D1548" s="2" t="s">
        <v>15238</v>
      </c>
      <c r="E1548" s="2" t="s">
        <v>15239</v>
      </c>
      <c r="F1548" s="3" t="s">
        <v>15250</v>
      </c>
      <c r="G1548" s="3" t="s">
        <v>209</v>
      </c>
      <c r="I1548" s="3" t="s">
        <v>209</v>
      </c>
      <c r="J1548" s="3" t="s">
        <v>209</v>
      </c>
      <c r="K1548" s="3" t="s">
        <v>9016</v>
      </c>
      <c r="L1548" s="2" t="s">
        <v>15068</v>
      </c>
      <c r="M1548" s="2" t="s">
        <v>15241</v>
      </c>
      <c r="N1548" s="3" t="s">
        <v>2750</v>
      </c>
      <c r="P1548" s="3" t="s">
        <v>69</v>
      </c>
      <c r="Q1548" s="2" t="s">
        <v>9116</v>
      </c>
      <c r="R1548" s="3" t="s">
        <v>71</v>
      </c>
      <c r="S1548" s="4">
        <v>11</v>
      </c>
      <c r="T1548" s="4">
        <v>37</v>
      </c>
      <c r="U1548" s="5" t="s">
        <v>5537</v>
      </c>
      <c r="V1548" s="5" t="s">
        <v>15243</v>
      </c>
      <c r="W1548" s="5" t="s">
        <v>72</v>
      </c>
      <c r="X1548" s="5" t="s">
        <v>72</v>
      </c>
      <c r="Y1548" s="4">
        <v>449</v>
      </c>
      <c r="Z1548" s="4">
        <v>24</v>
      </c>
      <c r="AA1548" s="4">
        <v>184</v>
      </c>
      <c r="AB1548" s="4">
        <v>1</v>
      </c>
      <c r="AC1548" s="4">
        <v>27</v>
      </c>
      <c r="AD1548" s="4">
        <v>92</v>
      </c>
      <c r="AE1548" s="4">
        <v>169</v>
      </c>
      <c r="AF1548" s="4">
        <v>0</v>
      </c>
      <c r="AG1548" s="4">
        <v>9</v>
      </c>
      <c r="AH1548" s="4">
        <v>79</v>
      </c>
      <c r="AI1548" s="4">
        <v>116</v>
      </c>
      <c r="AJ1548" s="4">
        <v>12</v>
      </c>
      <c r="AK1548" s="4">
        <v>28</v>
      </c>
      <c r="AL1548" s="4">
        <v>47</v>
      </c>
      <c r="AM1548" s="4">
        <v>63</v>
      </c>
      <c r="AN1548" s="4">
        <v>0</v>
      </c>
      <c r="AO1548" s="4">
        <v>10</v>
      </c>
      <c r="AP1548" s="4">
        <v>18</v>
      </c>
      <c r="AQ1548" s="4">
        <v>59</v>
      </c>
      <c r="AR1548" s="3" t="s">
        <v>65</v>
      </c>
      <c r="AS1548" s="3" t="s">
        <v>65</v>
      </c>
      <c r="AT1548" s="3" t="s">
        <v>209</v>
      </c>
      <c r="AU1548" s="6" t="str">
        <f>HYPERLINK("http://catalog.hathitrust.org/Record/003192118","HathiTrust Record")</f>
        <v>HathiTrust Record</v>
      </c>
      <c r="AV1548" s="6" t="str">
        <f>HYPERLINK("http://mcgill.on.worldcat.org/oclc/1933892","Catalog Record")</f>
        <v>Catalog Record</v>
      </c>
      <c r="AW1548" s="6" t="str">
        <f>HYPERLINK("http://www.worldcat.org/oclc/1933892","WorldCat Record")</f>
        <v>WorldCat Record</v>
      </c>
      <c r="AX1548" s="3" t="s">
        <v>15244</v>
      </c>
      <c r="AY1548" s="3" t="s">
        <v>15245</v>
      </c>
      <c r="AZ1548" s="3" t="s">
        <v>15246</v>
      </c>
      <c r="BA1548" s="3" t="s">
        <v>15246</v>
      </c>
      <c r="BB1548" s="3" t="s">
        <v>15251</v>
      </c>
      <c r="BC1548" s="3" t="s">
        <v>77</v>
      </c>
      <c r="BD1548" s="3" t="s">
        <v>78</v>
      </c>
      <c r="BE1548" s="3" t="s">
        <v>15248</v>
      </c>
      <c r="BF1548" s="3" t="s">
        <v>15251</v>
      </c>
      <c r="BG1548" s="3" t="s">
        <v>15252</v>
      </c>
    </row>
    <row r="1549" spans="1:59" ht="58" x14ac:dyDescent="0.35">
      <c r="A1549" s="2" t="s">
        <v>59</v>
      </c>
      <c r="B1549" s="2" t="s">
        <v>60</v>
      </c>
      <c r="C1549" s="2" t="s">
        <v>15237</v>
      </c>
      <c r="D1549" s="2" t="s">
        <v>15238</v>
      </c>
      <c r="E1549" s="2" t="s">
        <v>15239</v>
      </c>
      <c r="F1549" s="3" t="s">
        <v>15240</v>
      </c>
      <c r="G1549" s="3" t="s">
        <v>209</v>
      </c>
      <c r="I1549" s="3" t="s">
        <v>209</v>
      </c>
      <c r="J1549" s="3" t="s">
        <v>209</v>
      </c>
      <c r="K1549" s="3" t="s">
        <v>9016</v>
      </c>
      <c r="L1549" s="2" t="s">
        <v>15068</v>
      </c>
      <c r="M1549" s="2" t="s">
        <v>15241</v>
      </c>
      <c r="N1549" s="3" t="s">
        <v>2750</v>
      </c>
      <c r="P1549" s="3" t="s">
        <v>69</v>
      </c>
      <c r="Q1549" s="2" t="s">
        <v>9116</v>
      </c>
      <c r="R1549" s="3" t="s">
        <v>71</v>
      </c>
      <c r="S1549" s="4">
        <v>6</v>
      </c>
      <c r="T1549" s="4">
        <v>37</v>
      </c>
      <c r="U1549" s="5" t="s">
        <v>11308</v>
      </c>
      <c r="V1549" s="5" t="s">
        <v>15243</v>
      </c>
      <c r="W1549" s="5" t="s">
        <v>72</v>
      </c>
      <c r="X1549" s="5" t="s">
        <v>72</v>
      </c>
      <c r="Y1549" s="4">
        <v>449</v>
      </c>
      <c r="Z1549" s="4">
        <v>24</v>
      </c>
      <c r="AA1549" s="4">
        <v>184</v>
      </c>
      <c r="AB1549" s="4">
        <v>1</v>
      </c>
      <c r="AC1549" s="4">
        <v>27</v>
      </c>
      <c r="AD1549" s="4">
        <v>92</v>
      </c>
      <c r="AE1549" s="4">
        <v>169</v>
      </c>
      <c r="AF1549" s="4">
        <v>0</v>
      </c>
      <c r="AG1549" s="4">
        <v>9</v>
      </c>
      <c r="AH1549" s="4">
        <v>79</v>
      </c>
      <c r="AI1549" s="4">
        <v>116</v>
      </c>
      <c r="AJ1549" s="4">
        <v>12</v>
      </c>
      <c r="AK1549" s="4">
        <v>28</v>
      </c>
      <c r="AL1549" s="4">
        <v>47</v>
      </c>
      <c r="AM1549" s="4">
        <v>63</v>
      </c>
      <c r="AN1549" s="4">
        <v>0</v>
      </c>
      <c r="AO1549" s="4">
        <v>10</v>
      </c>
      <c r="AP1549" s="4">
        <v>18</v>
      </c>
      <c r="AQ1549" s="4">
        <v>59</v>
      </c>
      <c r="AR1549" s="3" t="s">
        <v>65</v>
      </c>
      <c r="AS1549" s="3" t="s">
        <v>65</v>
      </c>
      <c r="AT1549" s="3" t="s">
        <v>209</v>
      </c>
      <c r="AU1549" s="6" t="str">
        <f>HYPERLINK("http://catalog.hathitrust.org/Record/003192118","HathiTrust Record")</f>
        <v>HathiTrust Record</v>
      </c>
      <c r="AV1549" s="6" t="str">
        <f>HYPERLINK("http://mcgill.on.worldcat.org/oclc/1933892","Catalog Record")</f>
        <v>Catalog Record</v>
      </c>
      <c r="AW1549" s="6" t="str">
        <f>HYPERLINK("http://www.worldcat.org/oclc/1933892","WorldCat Record")</f>
        <v>WorldCat Record</v>
      </c>
      <c r="AX1549" s="3" t="s">
        <v>15244</v>
      </c>
      <c r="AY1549" s="3" t="s">
        <v>15245</v>
      </c>
      <c r="AZ1549" s="3" t="s">
        <v>15246</v>
      </c>
      <c r="BA1549" s="3" t="s">
        <v>15246</v>
      </c>
      <c r="BB1549" s="3" t="s">
        <v>15253</v>
      </c>
      <c r="BC1549" s="3" t="s">
        <v>77</v>
      </c>
      <c r="BD1549" s="3" t="s">
        <v>78</v>
      </c>
      <c r="BE1549" s="3" t="s">
        <v>15248</v>
      </c>
      <c r="BF1549" s="3" t="s">
        <v>15253</v>
      </c>
      <c r="BG1549" s="3" t="s">
        <v>15254</v>
      </c>
    </row>
    <row r="1550" spans="1:59" ht="58" x14ac:dyDescent="0.35">
      <c r="A1550" s="2" t="s">
        <v>59</v>
      </c>
      <c r="B1550" s="2" t="s">
        <v>60</v>
      </c>
      <c r="C1550" s="2" t="s">
        <v>15237</v>
      </c>
      <c r="D1550" s="2" t="s">
        <v>15238</v>
      </c>
      <c r="E1550" s="2" t="s">
        <v>15239</v>
      </c>
      <c r="F1550" s="3" t="s">
        <v>1282</v>
      </c>
      <c r="G1550" s="3" t="s">
        <v>209</v>
      </c>
      <c r="I1550" s="3" t="s">
        <v>209</v>
      </c>
      <c r="J1550" s="3" t="s">
        <v>209</v>
      </c>
      <c r="K1550" s="3" t="s">
        <v>9016</v>
      </c>
      <c r="L1550" s="2" t="s">
        <v>15068</v>
      </c>
      <c r="M1550" s="2" t="s">
        <v>15241</v>
      </c>
      <c r="N1550" s="3" t="s">
        <v>2750</v>
      </c>
      <c r="P1550" s="3" t="s">
        <v>69</v>
      </c>
      <c r="Q1550" s="2" t="s">
        <v>9116</v>
      </c>
      <c r="R1550" s="3" t="s">
        <v>71</v>
      </c>
      <c r="S1550" s="4">
        <v>13</v>
      </c>
      <c r="T1550" s="4">
        <v>37</v>
      </c>
      <c r="U1550" s="5" t="s">
        <v>15243</v>
      </c>
      <c r="V1550" s="5" t="s">
        <v>15243</v>
      </c>
      <c r="W1550" s="5" t="s">
        <v>72</v>
      </c>
      <c r="X1550" s="5" t="s">
        <v>72</v>
      </c>
      <c r="Y1550" s="4">
        <v>449</v>
      </c>
      <c r="Z1550" s="4">
        <v>24</v>
      </c>
      <c r="AA1550" s="4">
        <v>184</v>
      </c>
      <c r="AB1550" s="4">
        <v>1</v>
      </c>
      <c r="AC1550" s="4">
        <v>27</v>
      </c>
      <c r="AD1550" s="4">
        <v>92</v>
      </c>
      <c r="AE1550" s="4">
        <v>169</v>
      </c>
      <c r="AF1550" s="4">
        <v>0</v>
      </c>
      <c r="AG1550" s="4">
        <v>9</v>
      </c>
      <c r="AH1550" s="4">
        <v>79</v>
      </c>
      <c r="AI1550" s="4">
        <v>116</v>
      </c>
      <c r="AJ1550" s="4">
        <v>12</v>
      </c>
      <c r="AK1550" s="4">
        <v>28</v>
      </c>
      <c r="AL1550" s="4">
        <v>47</v>
      </c>
      <c r="AM1550" s="4">
        <v>63</v>
      </c>
      <c r="AN1550" s="4">
        <v>0</v>
      </c>
      <c r="AO1550" s="4">
        <v>10</v>
      </c>
      <c r="AP1550" s="4">
        <v>18</v>
      </c>
      <c r="AQ1550" s="4">
        <v>59</v>
      </c>
      <c r="AR1550" s="3" t="s">
        <v>65</v>
      </c>
      <c r="AS1550" s="3" t="s">
        <v>65</v>
      </c>
      <c r="AT1550" s="3" t="s">
        <v>209</v>
      </c>
      <c r="AU1550" s="6" t="str">
        <f>HYPERLINK("http://catalog.hathitrust.org/Record/003192118","HathiTrust Record")</f>
        <v>HathiTrust Record</v>
      </c>
      <c r="AV1550" s="6" t="str">
        <f>HYPERLINK("http://mcgill.on.worldcat.org/oclc/1933892","Catalog Record")</f>
        <v>Catalog Record</v>
      </c>
      <c r="AW1550" s="6" t="str">
        <f>HYPERLINK("http://www.worldcat.org/oclc/1933892","WorldCat Record")</f>
        <v>WorldCat Record</v>
      </c>
      <c r="AX1550" s="3" t="s">
        <v>15244</v>
      </c>
      <c r="AY1550" s="3" t="s">
        <v>15245</v>
      </c>
      <c r="AZ1550" s="3" t="s">
        <v>15246</v>
      </c>
      <c r="BA1550" s="3" t="s">
        <v>15246</v>
      </c>
      <c r="BB1550" s="3" t="s">
        <v>15255</v>
      </c>
      <c r="BC1550" s="3" t="s">
        <v>77</v>
      </c>
      <c r="BD1550" s="3" t="s">
        <v>78</v>
      </c>
      <c r="BE1550" s="3" t="s">
        <v>15248</v>
      </c>
      <c r="BF1550" s="3" t="s">
        <v>15255</v>
      </c>
      <c r="BG1550" s="3" t="s">
        <v>15256</v>
      </c>
    </row>
    <row r="1551" spans="1:59" ht="58" x14ac:dyDescent="0.35">
      <c r="A1551" s="2" t="s">
        <v>59</v>
      </c>
      <c r="B1551" s="2" t="s">
        <v>60</v>
      </c>
      <c r="C1551" s="2" t="s">
        <v>15257</v>
      </c>
      <c r="D1551" s="2" t="s">
        <v>15258</v>
      </c>
      <c r="E1551" s="2" t="s">
        <v>15259</v>
      </c>
      <c r="G1551" s="3" t="s">
        <v>65</v>
      </c>
      <c r="I1551" s="3" t="s">
        <v>65</v>
      </c>
      <c r="J1551" s="3" t="s">
        <v>209</v>
      </c>
      <c r="K1551" s="3" t="s">
        <v>9016</v>
      </c>
      <c r="L1551" s="2" t="s">
        <v>15068</v>
      </c>
      <c r="M1551" s="2" t="s">
        <v>15260</v>
      </c>
      <c r="N1551" s="3" t="s">
        <v>1895</v>
      </c>
      <c r="P1551" s="3" t="s">
        <v>69</v>
      </c>
      <c r="Q1551" s="2" t="s">
        <v>9163</v>
      </c>
      <c r="R1551" s="3" t="s">
        <v>71</v>
      </c>
      <c r="S1551" s="4">
        <v>8</v>
      </c>
      <c r="T1551" s="4">
        <v>8</v>
      </c>
      <c r="U1551" s="5" t="s">
        <v>15261</v>
      </c>
      <c r="V1551" s="5" t="s">
        <v>15261</v>
      </c>
      <c r="W1551" s="5" t="s">
        <v>72</v>
      </c>
      <c r="X1551" s="5" t="s">
        <v>72</v>
      </c>
      <c r="Y1551" s="4">
        <v>107</v>
      </c>
      <c r="Z1551" s="4">
        <v>3</v>
      </c>
      <c r="AA1551" s="4">
        <v>184</v>
      </c>
      <c r="AB1551" s="4">
        <v>2</v>
      </c>
      <c r="AC1551" s="4">
        <v>27</v>
      </c>
      <c r="AD1551" s="4">
        <v>27</v>
      </c>
      <c r="AE1551" s="4">
        <v>169</v>
      </c>
      <c r="AF1551" s="4">
        <v>0</v>
      </c>
      <c r="AG1551" s="4">
        <v>9</v>
      </c>
      <c r="AH1551" s="4">
        <v>24</v>
      </c>
      <c r="AI1551" s="4">
        <v>116</v>
      </c>
      <c r="AJ1551" s="4">
        <v>0</v>
      </c>
      <c r="AK1551" s="4">
        <v>28</v>
      </c>
      <c r="AL1551" s="4">
        <v>17</v>
      </c>
      <c r="AM1551" s="4">
        <v>63</v>
      </c>
      <c r="AN1551" s="4">
        <v>0</v>
      </c>
      <c r="AO1551" s="4">
        <v>10</v>
      </c>
      <c r="AP1551" s="4">
        <v>1</v>
      </c>
      <c r="AQ1551" s="4">
        <v>59</v>
      </c>
      <c r="AR1551" s="3" t="s">
        <v>65</v>
      </c>
      <c r="AS1551" s="3" t="s">
        <v>65</v>
      </c>
      <c r="AT1551" s="3" t="s">
        <v>65</v>
      </c>
      <c r="AV1551" s="6" t="str">
        <f>HYPERLINK("http://mcgill.on.worldcat.org/oclc/41133856","Catalog Record")</f>
        <v>Catalog Record</v>
      </c>
      <c r="AW1551" s="6" t="str">
        <f>HYPERLINK("http://www.worldcat.org/oclc/41133856","WorldCat Record")</f>
        <v>WorldCat Record</v>
      </c>
      <c r="AX1551" s="3" t="s">
        <v>15244</v>
      </c>
      <c r="AY1551" s="3" t="s">
        <v>15262</v>
      </c>
      <c r="AZ1551" s="3" t="s">
        <v>15263</v>
      </c>
      <c r="BA1551" s="3" t="s">
        <v>15263</v>
      </c>
      <c r="BB1551" s="3" t="s">
        <v>15264</v>
      </c>
      <c r="BC1551" s="3" t="s">
        <v>77</v>
      </c>
      <c r="BD1551" s="3" t="s">
        <v>78</v>
      </c>
      <c r="BE1551" s="3" t="s">
        <v>15265</v>
      </c>
      <c r="BF1551" s="3" t="s">
        <v>15264</v>
      </c>
      <c r="BG1551" s="3" t="s">
        <v>15266</v>
      </c>
    </row>
    <row r="1552" spans="1:59" ht="58" x14ac:dyDescent="0.35">
      <c r="A1552" s="2" t="s">
        <v>59</v>
      </c>
      <c r="B1552" s="2" t="s">
        <v>60</v>
      </c>
      <c r="C1552" s="2" t="s">
        <v>15267</v>
      </c>
      <c r="D1552" s="2" t="s">
        <v>15268</v>
      </c>
      <c r="E1552" s="2" t="s">
        <v>15269</v>
      </c>
      <c r="G1552" s="3" t="s">
        <v>65</v>
      </c>
      <c r="I1552" s="3" t="s">
        <v>65</v>
      </c>
      <c r="J1552" s="3" t="s">
        <v>209</v>
      </c>
      <c r="K1552" s="3" t="s">
        <v>9016</v>
      </c>
      <c r="L1552" s="2" t="s">
        <v>15068</v>
      </c>
      <c r="M1552" s="2" t="s">
        <v>15270</v>
      </c>
      <c r="N1552" s="3" t="s">
        <v>1122</v>
      </c>
      <c r="P1552" s="3" t="s">
        <v>69</v>
      </c>
      <c r="R1552" s="3" t="s">
        <v>71</v>
      </c>
      <c r="S1552" s="4">
        <v>9</v>
      </c>
      <c r="T1552" s="4">
        <v>9</v>
      </c>
      <c r="U1552" s="5" t="s">
        <v>11250</v>
      </c>
      <c r="V1552" s="5" t="s">
        <v>11250</v>
      </c>
      <c r="W1552" s="5" t="s">
        <v>72</v>
      </c>
      <c r="X1552" s="5" t="s">
        <v>72</v>
      </c>
      <c r="Y1552" s="4">
        <v>250</v>
      </c>
      <c r="Z1552" s="4">
        <v>20</v>
      </c>
      <c r="AA1552" s="4">
        <v>184</v>
      </c>
      <c r="AB1552" s="4">
        <v>3</v>
      </c>
      <c r="AC1552" s="4">
        <v>27</v>
      </c>
      <c r="AD1552" s="4">
        <v>89</v>
      </c>
      <c r="AE1552" s="4">
        <v>169</v>
      </c>
      <c r="AF1552" s="4">
        <v>1</v>
      </c>
      <c r="AG1552" s="4">
        <v>9</v>
      </c>
      <c r="AH1552" s="4">
        <v>82</v>
      </c>
      <c r="AI1552" s="4">
        <v>116</v>
      </c>
      <c r="AJ1552" s="4">
        <v>12</v>
      </c>
      <c r="AK1552" s="4">
        <v>28</v>
      </c>
      <c r="AL1552" s="4">
        <v>51</v>
      </c>
      <c r="AM1552" s="4">
        <v>63</v>
      </c>
      <c r="AN1552" s="4">
        <v>0</v>
      </c>
      <c r="AO1552" s="4">
        <v>10</v>
      </c>
      <c r="AP1552" s="4">
        <v>12</v>
      </c>
      <c r="AQ1552" s="4">
        <v>59</v>
      </c>
      <c r="AR1552" s="3" t="s">
        <v>65</v>
      </c>
      <c r="AS1552" s="3" t="s">
        <v>65</v>
      </c>
      <c r="AT1552" s="3" t="s">
        <v>65</v>
      </c>
      <c r="AV1552" s="6" t="str">
        <f>HYPERLINK("http://mcgill.on.worldcat.org/oclc/318876862","Catalog Record")</f>
        <v>Catalog Record</v>
      </c>
      <c r="AW1552" s="6" t="str">
        <f>HYPERLINK("http://www.worldcat.org/oclc/318876862","WorldCat Record")</f>
        <v>WorldCat Record</v>
      </c>
      <c r="AX1552" s="3" t="s">
        <v>15244</v>
      </c>
      <c r="AY1552" s="3" t="s">
        <v>15271</v>
      </c>
      <c r="AZ1552" s="3" t="s">
        <v>15272</v>
      </c>
      <c r="BA1552" s="3" t="s">
        <v>15272</v>
      </c>
      <c r="BB1552" s="3" t="s">
        <v>15273</v>
      </c>
      <c r="BC1552" s="3" t="s">
        <v>77</v>
      </c>
      <c r="BD1552" s="3" t="s">
        <v>78</v>
      </c>
      <c r="BE1552" s="3" t="s">
        <v>15274</v>
      </c>
      <c r="BF1552" s="3" t="s">
        <v>15273</v>
      </c>
      <c r="BG1552" s="3" t="s">
        <v>15275</v>
      </c>
    </row>
    <row r="1553" spans="1:59" ht="58" x14ac:dyDescent="0.35">
      <c r="A1553" s="2" t="s">
        <v>59</v>
      </c>
      <c r="B1553" s="2" t="s">
        <v>60</v>
      </c>
      <c r="C1553" s="2" t="s">
        <v>15276</v>
      </c>
      <c r="D1553" s="2" t="s">
        <v>15277</v>
      </c>
      <c r="E1553" s="2" t="s">
        <v>15278</v>
      </c>
      <c r="G1553" s="3" t="s">
        <v>65</v>
      </c>
      <c r="I1553" s="3" t="s">
        <v>65</v>
      </c>
      <c r="J1553" s="3" t="s">
        <v>65</v>
      </c>
      <c r="K1553" s="3" t="s">
        <v>66</v>
      </c>
      <c r="L1553" s="2" t="s">
        <v>15068</v>
      </c>
      <c r="M1553" s="2" t="s">
        <v>12936</v>
      </c>
      <c r="N1553" s="3" t="s">
        <v>113</v>
      </c>
      <c r="P1553" s="3" t="s">
        <v>69</v>
      </c>
      <c r="Q1553" s="2" t="s">
        <v>15279</v>
      </c>
      <c r="R1553" s="3" t="s">
        <v>71</v>
      </c>
      <c r="S1553" s="4">
        <v>0</v>
      </c>
      <c r="T1553" s="4">
        <v>0</v>
      </c>
      <c r="W1553" s="5" t="s">
        <v>72</v>
      </c>
      <c r="X1553" s="5" t="s">
        <v>72</v>
      </c>
      <c r="Y1553" s="4">
        <v>126</v>
      </c>
      <c r="Z1553" s="4">
        <v>22</v>
      </c>
      <c r="AA1553" s="4">
        <v>105</v>
      </c>
      <c r="AB1553" s="4">
        <v>2</v>
      </c>
      <c r="AC1553" s="4">
        <v>19</v>
      </c>
      <c r="AD1553" s="4">
        <v>83</v>
      </c>
      <c r="AE1553" s="4">
        <v>136</v>
      </c>
      <c r="AF1553" s="4">
        <v>1</v>
      </c>
      <c r="AG1553" s="4">
        <v>8</v>
      </c>
      <c r="AH1553" s="4">
        <v>71</v>
      </c>
      <c r="AI1553" s="4">
        <v>96</v>
      </c>
      <c r="AJ1553" s="4">
        <v>18</v>
      </c>
      <c r="AK1553" s="4">
        <v>26</v>
      </c>
      <c r="AL1553" s="4">
        <v>43</v>
      </c>
      <c r="AM1553" s="4">
        <v>50</v>
      </c>
      <c r="AN1553" s="4">
        <v>0</v>
      </c>
      <c r="AO1553" s="4">
        <v>0</v>
      </c>
      <c r="AP1553" s="4">
        <v>18</v>
      </c>
      <c r="AQ1553" s="4">
        <v>49</v>
      </c>
      <c r="AR1553" s="3" t="s">
        <v>209</v>
      </c>
      <c r="AS1553" s="3" t="s">
        <v>65</v>
      </c>
      <c r="AT1553" s="3" t="s">
        <v>65</v>
      </c>
      <c r="AV1553" s="6" t="str">
        <f>HYPERLINK("http://mcgill.on.worldcat.org/oclc/466659621","Catalog Record")</f>
        <v>Catalog Record</v>
      </c>
      <c r="AW1553" s="6" t="str">
        <f>HYPERLINK("http://www.worldcat.org/oclc/466659621","WorldCat Record")</f>
        <v>WorldCat Record</v>
      </c>
      <c r="AX1553" s="3" t="s">
        <v>15280</v>
      </c>
      <c r="AY1553" s="3" t="s">
        <v>15281</v>
      </c>
      <c r="AZ1553" s="3" t="s">
        <v>15282</v>
      </c>
      <c r="BA1553" s="3" t="s">
        <v>15282</v>
      </c>
      <c r="BB1553" s="3" t="s">
        <v>15283</v>
      </c>
      <c r="BC1553" s="3" t="s">
        <v>77</v>
      </c>
      <c r="BD1553" s="3" t="s">
        <v>78</v>
      </c>
      <c r="BE1553" s="3" t="s">
        <v>15284</v>
      </c>
      <c r="BF1553" s="3" t="s">
        <v>15283</v>
      </c>
      <c r="BG1553" s="3" t="s">
        <v>15285</v>
      </c>
    </row>
    <row r="1554" spans="1:59" ht="58" x14ac:dyDescent="0.35">
      <c r="A1554" s="2" t="s">
        <v>59</v>
      </c>
      <c r="B1554" s="2" t="s">
        <v>60</v>
      </c>
      <c r="C1554" s="2" t="s">
        <v>15286</v>
      </c>
      <c r="D1554" s="2" t="s">
        <v>15287</v>
      </c>
      <c r="E1554" s="2" t="s">
        <v>15288</v>
      </c>
      <c r="G1554" s="3" t="s">
        <v>65</v>
      </c>
      <c r="I1554" s="3" t="s">
        <v>65</v>
      </c>
      <c r="J1554" s="3" t="s">
        <v>65</v>
      </c>
      <c r="K1554" s="3" t="s">
        <v>66</v>
      </c>
      <c r="M1554" s="2" t="s">
        <v>15289</v>
      </c>
      <c r="N1554" s="3" t="s">
        <v>188</v>
      </c>
      <c r="P1554" s="3" t="s">
        <v>140</v>
      </c>
      <c r="Q1554" s="2" t="s">
        <v>4654</v>
      </c>
      <c r="R1554" s="3" t="s">
        <v>71</v>
      </c>
      <c r="S1554" s="4">
        <v>0</v>
      </c>
      <c r="T1554" s="4">
        <v>0</v>
      </c>
      <c r="W1554" s="5" t="s">
        <v>72</v>
      </c>
      <c r="X1554" s="5" t="s">
        <v>72</v>
      </c>
      <c r="Y1554" s="4">
        <v>42</v>
      </c>
      <c r="Z1554" s="4">
        <v>2</v>
      </c>
      <c r="AA1554" s="4">
        <v>2</v>
      </c>
      <c r="AB1554" s="4">
        <v>1</v>
      </c>
      <c r="AC1554" s="4">
        <v>1</v>
      </c>
      <c r="AD1554" s="4">
        <v>28</v>
      </c>
      <c r="AE1554" s="4">
        <v>28</v>
      </c>
      <c r="AF1554" s="4">
        <v>0</v>
      </c>
      <c r="AG1554" s="4">
        <v>0</v>
      </c>
      <c r="AH1554" s="4">
        <v>27</v>
      </c>
      <c r="AI1554" s="4">
        <v>27</v>
      </c>
      <c r="AJ1554" s="4">
        <v>1</v>
      </c>
      <c r="AK1554" s="4">
        <v>1</v>
      </c>
      <c r="AL1554" s="4">
        <v>21</v>
      </c>
      <c r="AM1554" s="4">
        <v>21</v>
      </c>
      <c r="AN1554" s="4">
        <v>0</v>
      </c>
      <c r="AO1554" s="4">
        <v>0</v>
      </c>
      <c r="AP1554" s="4">
        <v>1</v>
      </c>
      <c r="AQ1554" s="4">
        <v>1</v>
      </c>
      <c r="AR1554" s="3" t="s">
        <v>65</v>
      </c>
      <c r="AS1554" s="3" t="s">
        <v>65</v>
      </c>
      <c r="AT1554" s="3" t="s">
        <v>65</v>
      </c>
      <c r="AV1554" s="6" t="str">
        <f>HYPERLINK("http://mcgill.on.worldcat.org/oclc/1015565284","Catalog Record")</f>
        <v>Catalog Record</v>
      </c>
      <c r="AW1554" s="6" t="str">
        <f>HYPERLINK("http://www.worldcat.org/oclc/1015565284","WorldCat Record")</f>
        <v>WorldCat Record</v>
      </c>
      <c r="AX1554" s="3" t="s">
        <v>15290</v>
      </c>
      <c r="AY1554" s="3" t="s">
        <v>15291</v>
      </c>
      <c r="AZ1554" s="3" t="s">
        <v>15292</v>
      </c>
      <c r="BA1554" s="3" t="s">
        <v>15292</v>
      </c>
      <c r="BB1554" s="3" t="s">
        <v>15293</v>
      </c>
      <c r="BC1554" s="3" t="s">
        <v>77</v>
      </c>
      <c r="BD1554" s="3" t="s">
        <v>78</v>
      </c>
      <c r="BE1554" s="3" t="s">
        <v>15294</v>
      </c>
      <c r="BF1554" s="3" t="s">
        <v>15293</v>
      </c>
      <c r="BG1554" s="3" t="s">
        <v>15295</v>
      </c>
    </row>
    <row r="1555" spans="1:59" ht="72.5" x14ac:dyDescent="0.35">
      <c r="A1555" s="2" t="s">
        <v>59</v>
      </c>
      <c r="B1555" s="2" t="s">
        <v>60</v>
      </c>
      <c r="C1555" s="2" t="s">
        <v>15296</v>
      </c>
      <c r="D1555" s="2" t="s">
        <v>15297</v>
      </c>
      <c r="E1555" s="2" t="s">
        <v>15298</v>
      </c>
      <c r="G1555" s="3" t="s">
        <v>65</v>
      </c>
      <c r="I1555" s="3" t="s">
        <v>65</v>
      </c>
      <c r="J1555" s="3" t="s">
        <v>65</v>
      </c>
      <c r="K1555" s="3" t="s">
        <v>66</v>
      </c>
      <c r="L1555" s="2" t="s">
        <v>15299</v>
      </c>
      <c r="M1555" s="2" t="s">
        <v>15300</v>
      </c>
      <c r="N1555" s="3" t="s">
        <v>176</v>
      </c>
      <c r="P1555" s="3" t="s">
        <v>140</v>
      </c>
      <c r="R1555" s="3" t="s">
        <v>71</v>
      </c>
      <c r="S1555" s="4">
        <v>0</v>
      </c>
      <c r="T1555" s="4">
        <v>0</v>
      </c>
      <c r="W1555" s="5" t="s">
        <v>72</v>
      </c>
      <c r="X1555" s="5" t="s">
        <v>72</v>
      </c>
      <c r="Y1555" s="4">
        <v>40</v>
      </c>
      <c r="Z1555" s="4">
        <v>3</v>
      </c>
      <c r="AA1555" s="4">
        <v>3</v>
      </c>
      <c r="AB1555" s="4">
        <v>1</v>
      </c>
      <c r="AC1555" s="4">
        <v>1</v>
      </c>
      <c r="AD1555" s="4">
        <v>21</v>
      </c>
      <c r="AE1555" s="4">
        <v>21</v>
      </c>
      <c r="AF1555" s="4">
        <v>0</v>
      </c>
      <c r="AG1555" s="4">
        <v>0</v>
      </c>
      <c r="AH1555" s="4">
        <v>20</v>
      </c>
      <c r="AI1555" s="4">
        <v>20</v>
      </c>
      <c r="AJ1555" s="4">
        <v>1</v>
      </c>
      <c r="AK1555" s="4">
        <v>1</v>
      </c>
      <c r="AL1555" s="4">
        <v>16</v>
      </c>
      <c r="AM1555" s="4">
        <v>16</v>
      </c>
      <c r="AN1555" s="4">
        <v>0</v>
      </c>
      <c r="AO1555" s="4">
        <v>0</v>
      </c>
      <c r="AP1555" s="4">
        <v>1</v>
      </c>
      <c r="AQ1555" s="4">
        <v>1</v>
      </c>
      <c r="AR1555" s="3" t="s">
        <v>65</v>
      </c>
      <c r="AS1555" s="3" t="s">
        <v>65</v>
      </c>
      <c r="AT1555" s="3" t="s">
        <v>65</v>
      </c>
      <c r="AV1555" s="6" t="str">
        <f>HYPERLINK("http://mcgill.on.worldcat.org/oclc/905086869","Catalog Record")</f>
        <v>Catalog Record</v>
      </c>
      <c r="AW1555" s="6" t="str">
        <f>HYPERLINK("http://www.worldcat.org/oclc/905086869","WorldCat Record")</f>
        <v>WorldCat Record</v>
      </c>
      <c r="AX1555" s="3" t="s">
        <v>15301</v>
      </c>
      <c r="AY1555" s="3" t="s">
        <v>15302</v>
      </c>
      <c r="AZ1555" s="3" t="s">
        <v>15303</v>
      </c>
      <c r="BA1555" s="3" t="s">
        <v>15303</v>
      </c>
      <c r="BB1555" s="3" t="s">
        <v>15304</v>
      </c>
      <c r="BC1555" s="3" t="s">
        <v>77</v>
      </c>
      <c r="BD1555" s="3" t="s">
        <v>78</v>
      </c>
      <c r="BE1555" s="3" t="s">
        <v>15305</v>
      </c>
      <c r="BF1555" s="3" t="s">
        <v>15304</v>
      </c>
      <c r="BG1555" s="3" t="s">
        <v>15306</v>
      </c>
    </row>
    <row r="1556" spans="1:59" ht="58" x14ac:dyDescent="0.35">
      <c r="A1556" s="2" t="s">
        <v>59</v>
      </c>
      <c r="B1556" s="2" t="s">
        <v>60</v>
      </c>
      <c r="C1556" s="2" t="s">
        <v>15307</v>
      </c>
      <c r="D1556" s="2" t="s">
        <v>15308</v>
      </c>
      <c r="E1556" s="2" t="s">
        <v>15309</v>
      </c>
      <c r="G1556" s="3" t="s">
        <v>65</v>
      </c>
      <c r="I1556" s="3" t="s">
        <v>65</v>
      </c>
      <c r="J1556" s="3" t="s">
        <v>65</v>
      </c>
      <c r="K1556" s="3" t="s">
        <v>66</v>
      </c>
      <c r="L1556" s="2" t="s">
        <v>15310</v>
      </c>
      <c r="M1556" s="2" t="s">
        <v>15311</v>
      </c>
      <c r="N1556" s="3" t="s">
        <v>176</v>
      </c>
      <c r="P1556" s="3" t="s">
        <v>140</v>
      </c>
      <c r="Q1556" s="2" t="s">
        <v>15312</v>
      </c>
      <c r="R1556" s="3" t="s">
        <v>71</v>
      </c>
      <c r="S1556" s="4">
        <v>0</v>
      </c>
      <c r="T1556" s="4">
        <v>0</v>
      </c>
      <c r="W1556" s="5" t="s">
        <v>72</v>
      </c>
      <c r="X1556" s="5" t="s">
        <v>72</v>
      </c>
      <c r="Y1556" s="4">
        <v>44</v>
      </c>
      <c r="Z1556" s="4">
        <v>4</v>
      </c>
      <c r="AA1556" s="4">
        <v>4</v>
      </c>
      <c r="AB1556" s="4">
        <v>1</v>
      </c>
      <c r="AC1556" s="4">
        <v>1</v>
      </c>
      <c r="AD1556" s="4">
        <v>30</v>
      </c>
      <c r="AE1556" s="4">
        <v>30</v>
      </c>
      <c r="AF1556" s="4">
        <v>0</v>
      </c>
      <c r="AG1556" s="4">
        <v>0</v>
      </c>
      <c r="AH1556" s="4">
        <v>29</v>
      </c>
      <c r="AI1556" s="4">
        <v>29</v>
      </c>
      <c r="AJ1556" s="4">
        <v>2</v>
      </c>
      <c r="AK1556" s="4">
        <v>2</v>
      </c>
      <c r="AL1556" s="4">
        <v>23</v>
      </c>
      <c r="AM1556" s="4">
        <v>23</v>
      </c>
      <c r="AN1556" s="4">
        <v>0</v>
      </c>
      <c r="AO1556" s="4">
        <v>0</v>
      </c>
      <c r="AP1556" s="4">
        <v>2</v>
      </c>
      <c r="AQ1556" s="4">
        <v>2</v>
      </c>
      <c r="AR1556" s="3" t="s">
        <v>65</v>
      </c>
      <c r="AS1556" s="3" t="s">
        <v>65</v>
      </c>
      <c r="AT1556" s="3" t="s">
        <v>65</v>
      </c>
      <c r="AV1556" s="6" t="str">
        <f>HYPERLINK("http://mcgill.on.worldcat.org/oclc/904251398","Catalog Record")</f>
        <v>Catalog Record</v>
      </c>
      <c r="AW1556" s="6" t="str">
        <f>HYPERLINK("http://www.worldcat.org/oclc/904251398","WorldCat Record")</f>
        <v>WorldCat Record</v>
      </c>
      <c r="AX1556" s="3" t="s">
        <v>15313</v>
      </c>
      <c r="AY1556" s="3" t="s">
        <v>15314</v>
      </c>
      <c r="AZ1556" s="3" t="s">
        <v>15315</v>
      </c>
      <c r="BA1556" s="3" t="s">
        <v>15315</v>
      </c>
      <c r="BB1556" s="3" t="s">
        <v>15316</v>
      </c>
      <c r="BC1556" s="3" t="s">
        <v>77</v>
      </c>
      <c r="BD1556" s="3" t="s">
        <v>78</v>
      </c>
      <c r="BE1556" s="3" t="s">
        <v>15317</v>
      </c>
      <c r="BF1556" s="3" t="s">
        <v>15316</v>
      </c>
      <c r="BG1556" s="3" t="s">
        <v>15318</v>
      </c>
    </row>
    <row r="1557" spans="1:59" ht="58" x14ac:dyDescent="0.35">
      <c r="A1557" s="2" t="s">
        <v>59</v>
      </c>
      <c r="B1557" s="2" t="s">
        <v>60</v>
      </c>
      <c r="C1557" s="2" t="s">
        <v>15319</v>
      </c>
      <c r="D1557" s="2" t="s">
        <v>15320</v>
      </c>
      <c r="E1557" s="2" t="s">
        <v>15321</v>
      </c>
      <c r="G1557" s="3" t="s">
        <v>65</v>
      </c>
      <c r="I1557" s="3" t="s">
        <v>65</v>
      </c>
      <c r="J1557" s="3" t="s">
        <v>65</v>
      </c>
      <c r="K1557" s="3" t="s">
        <v>66</v>
      </c>
      <c r="M1557" s="2" t="s">
        <v>4727</v>
      </c>
      <c r="N1557" s="3" t="s">
        <v>126</v>
      </c>
      <c r="P1557" s="3" t="s">
        <v>140</v>
      </c>
      <c r="Q1557" s="2" t="s">
        <v>15322</v>
      </c>
      <c r="R1557" s="3" t="s">
        <v>71</v>
      </c>
      <c r="S1557" s="4">
        <v>0</v>
      </c>
      <c r="T1557" s="4">
        <v>0</v>
      </c>
      <c r="W1557" s="5" t="s">
        <v>72</v>
      </c>
      <c r="X1557" s="5" t="s">
        <v>72</v>
      </c>
      <c r="Y1557" s="4">
        <v>61</v>
      </c>
      <c r="Z1557" s="4">
        <v>5</v>
      </c>
      <c r="AA1557" s="4">
        <v>5</v>
      </c>
      <c r="AB1557" s="4">
        <v>1</v>
      </c>
      <c r="AC1557" s="4">
        <v>1</v>
      </c>
      <c r="AD1557" s="4">
        <v>35</v>
      </c>
      <c r="AE1557" s="4">
        <v>35</v>
      </c>
      <c r="AF1557" s="4">
        <v>0</v>
      </c>
      <c r="AG1557" s="4">
        <v>0</v>
      </c>
      <c r="AH1557" s="4">
        <v>34</v>
      </c>
      <c r="AI1557" s="4">
        <v>34</v>
      </c>
      <c r="AJ1557" s="4">
        <v>3</v>
      </c>
      <c r="AK1557" s="4">
        <v>3</v>
      </c>
      <c r="AL1557" s="4">
        <v>25</v>
      </c>
      <c r="AM1557" s="4">
        <v>25</v>
      </c>
      <c r="AN1557" s="4">
        <v>0</v>
      </c>
      <c r="AO1557" s="4">
        <v>0</v>
      </c>
      <c r="AP1557" s="4">
        <v>3</v>
      </c>
      <c r="AQ1557" s="4">
        <v>3</v>
      </c>
      <c r="AR1557" s="3" t="s">
        <v>65</v>
      </c>
      <c r="AS1557" s="3" t="s">
        <v>65</v>
      </c>
      <c r="AT1557" s="3" t="s">
        <v>65</v>
      </c>
      <c r="AV1557" s="6" t="str">
        <f>HYPERLINK("http://mcgill.on.worldcat.org/oclc/707959829","Catalog Record")</f>
        <v>Catalog Record</v>
      </c>
      <c r="AW1557" s="6" t="str">
        <f>HYPERLINK("http://www.worldcat.org/oclc/707959829","WorldCat Record")</f>
        <v>WorldCat Record</v>
      </c>
      <c r="AX1557" s="3" t="s">
        <v>15323</v>
      </c>
      <c r="AY1557" s="3" t="s">
        <v>15324</v>
      </c>
      <c r="AZ1557" s="3" t="s">
        <v>15325</v>
      </c>
      <c r="BA1557" s="3" t="s">
        <v>15325</v>
      </c>
      <c r="BB1557" s="3" t="s">
        <v>15326</v>
      </c>
      <c r="BC1557" s="3" t="s">
        <v>77</v>
      </c>
      <c r="BD1557" s="3" t="s">
        <v>78</v>
      </c>
      <c r="BE1557" s="3" t="s">
        <v>15327</v>
      </c>
      <c r="BF1557" s="3" t="s">
        <v>15326</v>
      </c>
      <c r="BG1557" s="3" t="s">
        <v>15328</v>
      </c>
    </row>
    <row r="1558" spans="1:59" ht="58" x14ac:dyDescent="0.35">
      <c r="A1558" s="2" t="s">
        <v>59</v>
      </c>
      <c r="B1558" s="2" t="s">
        <v>60</v>
      </c>
      <c r="C1558" s="2" t="s">
        <v>15329</v>
      </c>
      <c r="D1558" s="2" t="s">
        <v>15330</v>
      </c>
      <c r="E1558" s="2" t="s">
        <v>15331</v>
      </c>
      <c r="F1558" s="3" t="s">
        <v>258</v>
      </c>
      <c r="G1558" s="3" t="s">
        <v>209</v>
      </c>
      <c r="I1558" s="3" t="s">
        <v>65</v>
      </c>
      <c r="J1558" s="3" t="s">
        <v>65</v>
      </c>
      <c r="K1558" s="3" t="s">
        <v>66</v>
      </c>
      <c r="M1558" s="2" t="s">
        <v>15332</v>
      </c>
      <c r="N1558" s="3" t="s">
        <v>139</v>
      </c>
      <c r="P1558" s="3" t="s">
        <v>140</v>
      </c>
      <c r="R1558" s="3" t="s">
        <v>71</v>
      </c>
      <c r="S1558" s="4">
        <v>0</v>
      </c>
      <c r="T1558" s="4">
        <v>0</v>
      </c>
      <c r="W1558" s="5" t="s">
        <v>72</v>
      </c>
      <c r="X1558" s="5" t="s">
        <v>72</v>
      </c>
      <c r="Y1558" s="4">
        <v>45</v>
      </c>
      <c r="Z1558" s="4">
        <v>4</v>
      </c>
      <c r="AA1558" s="4">
        <v>4</v>
      </c>
      <c r="AB1558" s="4">
        <v>1</v>
      </c>
      <c r="AC1558" s="4">
        <v>1</v>
      </c>
      <c r="AD1558" s="4">
        <v>31</v>
      </c>
      <c r="AE1558" s="4">
        <v>32</v>
      </c>
      <c r="AF1558" s="4">
        <v>0</v>
      </c>
      <c r="AG1558" s="4">
        <v>0</v>
      </c>
      <c r="AH1558" s="4">
        <v>30</v>
      </c>
      <c r="AI1558" s="4">
        <v>30</v>
      </c>
      <c r="AJ1558" s="4">
        <v>2</v>
      </c>
      <c r="AK1558" s="4">
        <v>2</v>
      </c>
      <c r="AL1558" s="4">
        <v>23</v>
      </c>
      <c r="AM1558" s="4">
        <v>24</v>
      </c>
      <c r="AN1558" s="4">
        <v>0</v>
      </c>
      <c r="AO1558" s="4">
        <v>0</v>
      </c>
      <c r="AP1558" s="4">
        <v>2</v>
      </c>
      <c r="AQ1558" s="4">
        <v>2</v>
      </c>
      <c r="AR1558" s="3" t="s">
        <v>65</v>
      </c>
      <c r="AS1558" s="3" t="s">
        <v>65</v>
      </c>
      <c r="AT1558" s="3" t="s">
        <v>65</v>
      </c>
      <c r="AV1558" s="6" t="str">
        <f>HYPERLINK("http://mcgill.on.worldcat.org/oclc/811589248","Catalog Record")</f>
        <v>Catalog Record</v>
      </c>
      <c r="AW1558" s="6" t="str">
        <f>HYPERLINK("http://www.worldcat.org/oclc/811589248","WorldCat Record")</f>
        <v>WorldCat Record</v>
      </c>
      <c r="AX1558" s="3" t="s">
        <v>15333</v>
      </c>
      <c r="AY1558" s="3" t="s">
        <v>15334</v>
      </c>
      <c r="AZ1558" s="3" t="s">
        <v>15335</v>
      </c>
      <c r="BA1558" s="3" t="s">
        <v>15335</v>
      </c>
      <c r="BB1558" s="3" t="s">
        <v>15336</v>
      </c>
      <c r="BC1558" s="3" t="s">
        <v>77</v>
      </c>
      <c r="BD1558" s="3" t="s">
        <v>78</v>
      </c>
      <c r="BE1558" s="3" t="s">
        <v>15337</v>
      </c>
      <c r="BF1558" s="3" t="s">
        <v>15336</v>
      </c>
      <c r="BG1558" s="3" t="s">
        <v>15338</v>
      </c>
    </row>
    <row r="1559" spans="1:59" ht="58" x14ac:dyDescent="0.35">
      <c r="A1559" s="2" t="s">
        <v>59</v>
      </c>
      <c r="B1559" s="2" t="s">
        <v>60</v>
      </c>
      <c r="C1559" s="2" t="s">
        <v>15329</v>
      </c>
      <c r="D1559" s="2" t="s">
        <v>15330</v>
      </c>
      <c r="E1559" s="2" t="s">
        <v>15331</v>
      </c>
      <c r="F1559" s="3" t="s">
        <v>15339</v>
      </c>
      <c r="G1559" s="3" t="s">
        <v>209</v>
      </c>
      <c r="I1559" s="3" t="s">
        <v>65</v>
      </c>
      <c r="J1559" s="3" t="s">
        <v>65</v>
      </c>
      <c r="K1559" s="3" t="s">
        <v>66</v>
      </c>
      <c r="M1559" s="2" t="s">
        <v>15332</v>
      </c>
      <c r="N1559" s="3" t="s">
        <v>139</v>
      </c>
      <c r="P1559" s="3" t="s">
        <v>140</v>
      </c>
      <c r="R1559" s="3" t="s">
        <v>71</v>
      </c>
      <c r="S1559" s="4">
        <v>0</v>
      </c>
      <c r="T1559" s="4">
        <v>0</v>
      </c>
      <c r="W1559" s="5" t="s">
        <v>72</v>
      </c>
      <c r="X1559" s="5" t="s">
        <v>72</v>
      </c>
      <c r="Y1559" s="4">
        <v>45</v>
      </c>
      <c r="Z1559" s="4">
        <v>4</v>
      </c>
      <c r="AA1559" s="4">
        <v>4</v>
      </c>
      <c r="AB1559" s="4">
        <v>1</v>
      </c>
      <c r="AC1559" s="4">
        <v>1</v>
      </c>
      <c r="AD1559" s="4">
        <v>31</v>
      </c>
      <c r="AE1559" s="4">
        <v>32</v>
      </c>
      <c r="AF1559" s="4">
        <v>0</v>
      </c>
      <c r="AG1559" s="4">
        <v>0</v>
      </c>
      <c r="AH1559" s="4">
        <v>30</v>
      </c>
      <c r="AI1559" s="4">
        <v>30</v>
      </c>
      <c r="AJ1559" s="4">
        <v>2</v>
      </c>
      <c r="AK1559" s="4">
        <v>2</v>
      </c>
      <c r="AL1559" s="4">
        <v>23</v>
      </c>
      <c r="AM1559" s="4">
        <v>24</v>
      </c>
      <c r="AN1559" s="4">
        <v>0</v>
      </c>
      <c r="AO1559" s="4">
        <v>0</v>
      </c>
      <c r="AP1559" s="4">
        <v>2</v>
      </c>
      <c r="AQ1559" s="4">
        <v>2</v>
      </c>
      <c r="AR1559" s="3" t="s">
        <v>65</v>
      </c>
      <c r="AS1559" s="3" t="s">
        <v>65</v>
      </c>
      <c r="AT1559" s="3" t="s">
        <v>65</v>
      </c>
      <c r="AV1559" s="6" t="str">
        <f>HYPERLINK("http://mcgill.on.worldcat.org/oclc/811589248","Catalog Record")</f>
        <v>Catalog Record</v>
      </c>
      <c r="AW1559" s="6" t="str">
        <f>HYPERLINK("http://www.worldcat.org/oclc/811589248","WorldCat Record")</f>
        <v>WorldCat Record</v>
      </c>
      <c r="AX1559" s="3" t="s">
        <v>15333</v>
      </c>
      <c r="AY1559" s="3" t="s">
        <v>15334</v>
      </c>
      <c r="AZ1559" s="3" t="s">
        <v>15335</v>
      </c>
      <c r="BA1559" s="3" t="s">
        <v>15335</v>
      </c>
      <c r="BB1559" s="3" t="s">
        <v>15340</v>
      </c>
      <c r="BC1559" s="3" t="s">
        <v>77</v>
      </c>
      <c r="BD1559" s="3" t="s">
        <v>78</v>
      </c>
      <c r="BE1559" s="3" t="s">
        <v>15337</v>
      </c>
      <c r="BF1559" s="3" t="s">
        <v>15340</v>
      </c>
      <c r="BG1559" s="3" t="s">
        <v>15341</v>
      </c>
    </row>
    <row r="1560" spans="1:59" ht="58" x14ac:dyDescent="0.35">
      <c r="A1560" s="2" t="s">
        <v>59</v>
      </c>
      <c r="B1560" s="2" t="s">
        <v>60</v>
      </c>
      <c r="C1560" s="2" t="s">
        <v>15342</v>
      </c>
      <c r="D1560" s="2" t="s">
        <v>15343</v>
      </c>
      <c r="E1560" s="2" t="s">
        <v>15344</v>
      </c>
      <c r="G1560" s="3" t="s">
        <v>65</v>
      </c>
      <c r="I1560" s="3" t="s">
        <v>65</v>
      </c>
      <c r="J1560" s="3" t="s">
        <v>65</v>
      </c>
      <c r="K1560" s="3" t="s">
        <v>66</v>
      </c>
      <c r="L1560" s="2" t="s">
        <v>15345</v>
      </c>
      <c r="M1560" s="2" t="s">
        <v>15346</v>
      </c>
      <c r="N1560" s="3" t="s">
        <v>113</v>
      </c>
      <c r="P1560" s="3" t="s">
        <v>140</v>
      </c>
      <c r="Q1560" s="2" t="s">
        <v>15347</v>
      </c>
      <c r="R1560" s="3" t="s">
        <v>71</v>
      </c>
      <c r="S1560" s="4">
        <v>0</v>
      </c>
      <c r="T1560" s="4">
        <v>0</v>
      </c>
      <c r="W1560" s="5" t="s">
        <v>72</v>
      </c>
      <c r="X1560" s="5" t="s">
        <v>72</v>
      </c>
      <c r="Y1560" s="4">
        <v>49</v>
      </c>
      <c r="Z1560" s="4">
        <v>3</v>
      </c>
      <c r="AA1560" s="4">
        <v>3</v>
      </c>
      <c r="AB1560" s="4">
        <v>1</v>
      </c>
      <c r="AC1560" s="4">
        <v>1</v>
      </c>
      <c r="AD1560" s="4">
        <v>34</v>
      </c>
      <c r="AE1560" s="4">
        <v>34</v>
      </c>
      <c r="AF1560" s="4">
        <v>0</v>
      </c>
      <c r="AG1560" s="4">
        <v>0</v>
      </c>
      <c r="AH1560" s="4">
        <v>33</v>
      </c>
      <c r="AI1560" s="4">
        <v>33</v>
      </c>
      <c r="AJ1560" s="4">
        <v>1</v>
      </c>
      <c r="AK1560" s="4">
        <v>1</v>
      </c>
      <c r="AL1560" s="4">
        <v>28</v>
      </c>
      <c r="AM1560" s="4">
        <v>28</v>
      </c>
      <c r="AN1560" s="4">
        <v>5</v>
      </c>
      <c r="AO1560" s="4">
        <v>5</v>
      </c>
      <c r="AP1560" s="4">
        <v>1</v>
      </c>
      <c r="AQ1560" s="4">
        <v>1</v>
      </c>
      <c r="AR1560" s="3" t="s">
        <v>65</v>
      </c>
      <c r="AS1560" s="3" t="s">
        <v>65</v>
      </c>
      <c r="AT1560" s="3" t="s">
        <v>209</v>
      </c>
      <c r="AU1560" s="6" t="str">
        <f>HYPERLINK("http://catalog.hathitrust.org/Record/010646137","HathiTrust Record")</f>
        <v>HathiTrust Record</v>
      </c>
      <c r="AV1560" s="6" t="str">
        <f>HYPERLINK("http://mcgill.on.worldcat.org/oclc/666211394","Catalog Record")</f>
        <v>Catalog Record</v>
      </c>
      <c r="AW1560" s="6" t="str">
        <f>HYPERLINK("http://www.worldcat.org/oclc/666211394","WorldCat Record")</f>
        <v>WorldCat Record</v>
      </c>
      <c r="AX1560" s="3" t="s">
        <v>15348</v>
      </c>
      <c r="AY1560" s="3" t="s">
        <v>15349</v>
      </c>
      <c r="AZ1560" s="3" t="s">
        <v>15350</v>
      </c>
      <c r="BA1560" s="3" t="s">
        <v>15350</v>
      </c>
      <c r="BB1560" s="3" t="s">
        <v>15351</v>
      </c>
      <c r="BC1560" s="3" t="s">
        <v>77</v>
      </c>
      <c r="BD1560" s="3" t="s">
        <v>78</v>
      </c>
      <c r="BE1560" s="3" t="s">
        <v>15352</v>
      </c>
      <c r="BF1560" s="3" t="s">
        <v>15351</v>
      </c>
      <c r="BG1560" s="3" t="s">
        <v>15353</v>
      </c>
    </row>
    <row r="1561" spans="1:59" ht="58" x14ac:dyDescent="0.35">
      <c r="A1561" s="2" t="s">
        <v>59</v>
      </c>
      <c r="B1561" s="2" t="s">
        <v>60</v>
      </c>
      <c r="C1561" s="2" t="s">
        <v>15354</v>
      </c>
      <c r="D1561" s="2" t="s">
        <v>15355</v>
      </c>
      <c r="E1561" s="2" t="s">
        <v>15356</v>
      </c>
      <c r="F1561" s="3" t="s">
        <v>10614</v>
      </c>
      <c r="G1561" s="3" t="s">
        <v>209</v>
      </c>
      <c r="I1561" s="3" t="s">
        <v>65</v>
      </c>
      <c r="J1561" s="3" t="s">
        <v>209</v>
      </c>
      <c r="K1561" s="3" t="s">
        <v>66</v>
      </c>
      <c r="L1561" s="2" t="s">
        <v>15357</v>
      </c>
      <c r="M1561" s="2" t="s">
        <v>15358</v>
      </c>
      <c r="N1561" s="3" t="s">
        <v>863</v>
      </c>
      <c r="P1561" s="3" t="s">
        <v>140</v>
      </c>
      <c r="Q1561" s="2" t="s">
        <v>15359</v>
      </c>
      <c r="R1561" s="3" t="s">
        <v>71</v>
      </c>
      <c r="S1561" s="4">
        <v>2</v>
      </c>
      <c r="T1561" s="4">
        <v>12</v>
      </c>
      <c r="U1561" s="5" t="s">
        <v>15360</v>
      </c>
      <c r="V1561" s="5" t="s">
        <v>15361</v>
      </c>
      <c r="W1561" s="5" t="s">
        <v>72</v>
      </c>
      <c r="X1561" s="5" t="s">
        <v>72</v>
      </c>
      <c r="Y1561" s="4">
        <v>52</v>
      </c>
      <c r="Z1561" s="4">
        <v>4</v>
      </c>
      <c r="AA1561" s="4">
        <v>20</v>
      </c>
      <c r="AB1561" s="4">
        <v>1</v>
      </c>
      <c r="AC1561" s="4">
        <v>3</v>
      </c>
      <c r="AD1561" s="4">
        <v>29</v>
      </c>
      <c r="AE1561" s="4">
        <v>99</v>
      </c>
      <c r="AF1561" s="4">
        <v>0</v>
      </c>
      <c r="AG1561" s="4">
        <v>2</v>
      </c>
      <c r="AH1561" s="4">
        <v>28</v>
      </c>
      <c r="AI1561" s="4">
        <v>87</v>
      </c>
      <c r="AJ1561" s="4">
        <v>2</v>
      </c>
      <c r="AK1561" s="4">
        <v>13</v>
      </c>
      <c r="AL1561" s="4">
        <v>20</v>
      </c>
      <c r="AM1561" s="4">
        <v>53</v>
      </c>
      <c r="AN1561" s="4">
        <v>0</v>
      </c>
      <c r="AO1561" s="4">
        <v>0</v>
      </c>
      <c r="AP1561" s="4">
        <v>2</v>
      </c>
      <c r="AQ1561" s="4">
        <v>14</v>
      </c>
      <c r="AR1561" s="3" t="s">
        <v>65</v>
      </c>
      <c r="AS1561" s="3" t="s">
        <v>65</v>
      </c>
      <c r="AT1561" s="3" t="s">
        <v>65</v>
      </c>
      <c r="AV1561" s="6" t="str">
        <f>HYPERLINK("http://mcgill.on.worldcat.org/oclc/30338105","Catalog Record")</f>
        <v>Catalog Record</v>
      </c>
      <c r="AW1561" s="6" t="str">
        <f>HYPERLINK("http://www.worldcat.org/oclc/30338105","WorldCat Record")</f>
        <v>WorldCat Record</v>
      </c>
      <c r="AX1561" s="3" t="s">
        <v>15362</v>
      </c>
      <c r="AY1561" s="3" t="s">
        <v>15363</v>
      </c>
      <c r="AZ1561" s="3" t="s">
        <v>15364</v>
      </c>
      <c r="BA1561" s="3" t="s">
        <v>15364</v>
      </c>
      <c r="BB1561" s="3" t="s">
        <v>15365</v>
      </c>
      <c r="BC1561" s="3" t="s">
        <v>77</v>
      </c>
      <c r="BD1561" s="3" t="s">
        <v>78</v>
      </c>
      <c r="BE1561" s="3" t="s">
        <v>15366</v>
      </c>
      <c r="BF1561" s="3" t="s">
        <v>15365</v>
      </c>
      <c r="BG1561" s="3" t="s">
        <v>15367</v>
      </c>
    </row>
    <row r="1562" spans="1:59" ht="58" x14ac:dyDescent="0.35">
      <c r="A1562" s="2" t="s">
        <v>59</v>
      </c>
      <c r="B1562" s="2" t="s">
        <v>60</v>
      </c>
      <c r="C1562" s="2" t="s">
        <v>15354</v>
      </c>
      <c r="D1562" s="2" t="s">
        <v>15355</v>
      </c>
      <c r="E1562" s="2" t="s">
        <v>15356</v>
      </c>
      <c r="F1562" s="3" t="s">
        <v>10611</v>
      </c>
      <c r="G1562" s="3" t="s">
        <v>209</v>
      </c>
      <c r="I1562" s="3" t="s">
        <v>65</v>
      </c>
      <c r="J1562" s="3" t="s">
        <v>209</v>
      </c>
      <c r="K1562" s="3" t="s">
        <v>66</v>
      </c>
      <c r="L1562" s="2" t="s">
        <v>15357</v>
      </c>
      <c r="M1562" s="2" t="s">
        <v>15358</v>
      </c>
      <c r="N1562" s="3" t="s">
        <v>863</v>
      </c>
      <c r="P1562" s="3" t="s">
        <v>140</v>
      </c>
      <c r="Q1562" s="2" t="s">
        <v>15359</v>
      </c>
      <c r="R1562" s="3" t="s">
        <v>71</v>
      </c>
      <c r="S1562" s="4">
        <v>3</v>
      </c>
      <c r="T1562" s="4">
        <v>12</v>
      </c>
      <c r="U1562" s="5" t="s">
        <v>15361</v>
      </c>
      <c r="V1562" s="5" t="s">
        <v>15361</v>
      </c>
      <c r="W1562" s="5" t="s">
        <v>72</v>
      </c>
      <c r="X1562" s="5" t="s">
        <v>72</v>
      </c>
      <c r="Y1562" s="4">
        <v>52</v>
      </c>
      <c r="Z1562" s="4">
        <v>4</v>
      </c>
      <c r="AA1562" s="4">
        <v>20</v>
      </c>
      <c r="AB1562" s="4">
        <v>1</v>
      </c>
      <c r="AC1562" s="4">
        <v>3</v>
      </c>
      <c r="AD1562" s="4">
        <v>29</v>
      </c>
      <c r="AE1562" s="4">
        <v>99</v>
      </c>
      <c r="AF1562" s="4">
        <v>0</v>
      </c>
      <c r="AG1562" s="4">
        <v>2</v>
      </c>
      <c r="AH1562" s="4">
        <v>28</v>
      </c>
      <c r="AI1562" s="4">
        <v>87</v>
      </c>
      <c r="AJ1562" s="4">
        <v>2</v>
      </c>
      <c r="AK1562" s="4">
        <v>13</v>
      </c>
      <c r="AL1562" s="4">
        <v>20</v>
      </c>
      <c r="AM1562" s="4">
        <v>53</v>
      </c>
      <c r="AN1562" s="4">
        <v>0</v>
      </c>
      <c r="AO1562" s="4">
        <v>0</v>
      </c>
      <c r="AP1562" s="4">
        <v>2</v>
      </c>
      <c r="AQ1562" s="4">
        <v>14</v>
      </c>
      <c r="AR1562" s="3" t="s">
        <v>65</v>
      </c>
      <c r="AS1562" s="3" t="s">
        <v>65</v>
      </c>
      <c r="AT1562" s="3" t="s">
        <v>65</v>
      </c>
      <c r="AV1562" s="6" t="str">
        <f>HYPERLINK("http://mcgill.on.worldcat.org/oclc/30338105","Catalog Record")</f>
        <v>Catalog Record</v>
      </c>
      <c r="AW1562" s="6" t="str">
        <f>HYPERLINK("http://www.worldcat.org/oclc/30338105","WorldCat Record")</f>
        <v>WorldCat Record</v>
      </c>
      <c r="AX1562" s="3" t="s">
        <v>15362</v>
      </c>
      <c r="AY1562" s="3" t="s">
        <v>15363</v>
      </c>
      <c r="AZ1562" s="3" t="s">
        <v>15364</v>
      </c>
      <c r="BA1562" s="3" t="s">
        <v>15364</v>
      </c>
      <c r="BB1562" s="3" t="s">
        <v>15368</v>
      </c>
      <c r="BC1562" s="3" t="s">
        <v>77</v>
      </c>
      <c r="BD1562" s="3" t="s">
        <v>78</v>
      </c>
      <c r="BE1562" s="3" t="s">
        <v>15366</v>
      </c>
      <c r="BF1562" s="3" t="s">
        <v>15368</v>
      </c>
      <c r="BG1562" s="3" t="s">
        <v>15369</v>
      </c>
    </row>
    <row r="1563" spans="1:59" ht="58" x14ac:dyDescent="0.35">
      <c r="A1563" s="2" t="s">
        <v>59</v>
      </c>
      <c r="B1563" s="2" t="s">
        <v>60</v>
      </c>
      <c r="C1563" s="2" t="s">
        <v>15354</v>
      </c>
      <c r="D1563" s="2" t="s">
        <v>15355</v>
      </c>
      <c r="E1563" s="2" t="s">
        <v>15356</v>
      </c>
      <c r="F1563" s="3" t="s">
        <v>10601</v>
      </c>
      <c r="G1563" s="3" t="s">
        <v>209</v>
      </c>
      <c r="I1563" s="3" t="s">
        <v>65</v>
      </c>
      <c r="J1563" s="3" t="s">
        <v>209</v>
      </c>
      <c r="K1563" s="3" t="s">
        <v>66</v>
      </c>
      <c r="L1563" s="2" t="s">
        <v>15357</v>
      </c>
      <c r="M1563" s="2" t="s">
        <v>15358</v>
      </c>
      <c r="N1563" s="3" t="s">
        <v>863</v>
      </c>
      <c r="P1563" s="3" t="s">
        <v>140</v>
      </c>
      <c r="Q1563" s="2" t="s">
        <v>15359</v>
      </c>
      <c r="R1563" s="3" t="s">
        <v>71</v>
      </c>
      <c r="S1563" s="4">
        <v>5</v>
      </c>
      <c r="T1563" s="4">
        <v>12</v>
      </c>
      <c r="U1563" s="5" t="s">
        <v>15370</v>
      </c>
      <c r="V1563" s="5" t="s">
        <v>15361</v>
      </c>
      <c r="W1563" s="5" t="s">
        <v>72</v>
      </c>
      <c r="X1563" s="5" t="s">
        <v>72</v>
      </c>
      <c r="Y1563" s="4">
        <v>52</v>
      </c>
      <c r="Z1563" s="4">
        <v>4</v>
      </c>
      <c r="AA1563" s="4">
        <v>20</v>
      </c>
      <c r="AB1563" s="4">
        <v>1</v>
      </c>
      <c r="AC1563" s="4">
        <v>3</v>
      </c>
      <c r="AD1563" s="4">
        <v>29</v>
      </c>
      <c r="AE1563" s="4">
        <v>99</v>
      </c>
      <c r="AF1563" s="4">
        <v>0</v>
      </c>
      <c r="AG1563" s="4">
        <v>2</v>
      </c>
      <c r="AH1563" s="4">
        <v>28</v>
      </c>
      <c r="AI1563" s="4">
        <v>87</v>
      </c>
      <c r="AJ1563" s="4">
        <v>2</v>
      </c>
      <c r="AK1563" s="4">
        <v>13</v>
      </c>
      <c r="AL1563" s="4">
        <v>20</v>
      </c>
      <c r="AM1563" s="4">
        <v>53</v>
      </c>
      <c r="AN1563" s="4">
        <v>0</v>
      </c>
      <c r="AO1563" s="4">
        <v>0</v>
      </c>
      <c r="AP1563" s="4">
        <v>2</v>
      </c>
      <c r="AQ1563" s="4">
        <v>14</v>
      </c>
      <c r="AR1563" s="3" t="s">
        <v>65</v>
      </c>
      <c r="AS1563" s="3" t="s">
        <v>65</v>
      </c>
      <c r="AT1563" s="3" t="s">
        <v>65</v>
      </c>
      <c r="AV1563" s="6" t="str">
        <f>HYPERLINK("http://mcgill.on.worldcat.org/oclc/30338105","Catalog Record")</f>
        <v>Catalog Record</v>
      </c>
      <c r="AW1563" s="6" t="str">
        <f>HYPERLINK("http://www.worldcat.org/oclc/30338105","WorldCat Record")</f>
        <v>WorldCat Record</v>
      </c>
      <c r="AX1563" s="3" t="s">
        <v>15362</v>
      </c>
      <c r="AY1563" s="3" t="s">
        <v>15363</v>
      </c>
      <c r="AZ1563" s="3" t="s">
        <v>15364</v>
      </c>
      <c r="BA1563" s="3" t="s">
        <v>15364</v>
      </c>
      <c r="BB1563" s="3" t="s">
        <v>15371</v>
      </c>
      <c r="BC1563" s="3" t="s">
        <v>77</v>
      </c>
      <c r="BD1563" s="3" t="s">
        <v>78</v>
      </c>
      <c r="BE1563" s="3" t="s">
        <v>15366</v>
      </c>
      <c r="BF1563" s="3" t="s">
        <v>15371</v>
      </c>
      <c r="BG1563" s="3" t="s">
        <v>15372</v>
      </c>
    </row>
    <row r="1564" spans="1:59" ht="58" x14ac:dyDescent="0.35">
      <c r="A1564" s="2" t="s">
        <v>59</v>
      </c>
      <c r="B1564" s="2" t="s">
        <v>60</v>
      </c>
      <c r="C1564" s="2" t="s">
        <v>15354</v>
      </c>
      <c r="D1564" s="2" t="s">
        <v>15355</v>
      </c>
      <c r="E1564" s="2" t="s">
        <v>15356</v>
      </c>
      <c r="F1564" s="3" t="s">
        <v>10617</v>
      </c>
      <c r="G1564" s="3" t="s">
        <v>209</v>
      </c>
      <c r="I1564" s="3" t="s">
        <v>65</v>
      </c>
      <c r="J1564" s="3" t="s">
        <v>209</v>
      </c>
      <c r="K1564" s="3" t="s">
        <v>66</v>
      </c>
      <c r="L1564" s="2" t="s">
        <v>15357</v>
      </c>
      <c r="M1564" s="2" t="s">
        <v>15358</v>
      </c>
      <c r="N1564" s="3" t="s">
        <v>863</v>
      </c>
      <c r="P1564" s="3" t="s">
        <v>140</v>
      </c>
      <c r="Q1564" s="2" t="s">
        <v>15359</v>
      </c>
      <c r="R1564" s="3" t="s">
        <v>71</v>
      </c>
      <c r="S1564" s="4">
        <v>2</v>
      </c>
      <c r="T1564" s="4">
        <v>12</v>
      </c>
      <c r="U1564" s="5" t="s">
        <v>15360</v>
      </c>
      <c r="V1564" s="5" t="s">
        <v>15361</v>
      </c>
      <c r="W1564" s="5" t="s">
        <v>72</v>
      </c>
      <c r="X1564" s="5" t="s">
        <v>72</v>
      </c>
      <c r="Y1564" s="4">
        <v>52</v>
      </c>
      <c r="Z1564" s="4">
        <v>4</v>
      </c>
      <c r="AA1564" s="4">
        <v>20</v>
      </c>
      <c r="AB1564" s="4">
        <v>1</v>
      </c>
      <c r="AC1564" s="4">
        <v>3</v>
      </c>
      <c r="AD1564" s="4">
        <v>29</v>
      </c>
      <c r="AE1564" s="4">
        <v>99</v>
      </c>
      <c r="AF1564" s="4">
        <v>0</v>
      </c>
      <c r="AG1564" s="4">
        <v>2</v>
      </c>
      <c r="AH1564" s="4">
        <v>28</v>
      </c>
      <c r="AI1564" s="4">
        <v>87</v>
      </c>
      <c r="AJ1564" s="4">
        <v>2</v>
      </c>
      <c r="AK1564" s="4">
        <v>13</v>
      </c>
      <c r="AL1564" s="4">
        <v>20</v>
      </c>
      <c r="AM1564" s="4">
        <v>53</v>
      </c>
      <c r="AN1564" s="4">
        <v>0</v>
      </c>
      <c r="AO1564" s="4">
        <v>0</v>
      </c>
      <c r="AP1564" s="4">
        <v>2</v>
      </c>
      <c r="AQ1564" s="4">
        <v>14</v>
      </c>
      <c r="AR1564" s="3" t="s">
        <v>65</v>
      </c>
      <c r="AS1564" s="3" t="s">
        <v>65</v>
      </c>
      <c r="AT1564" s="3" t="s">
        <v>65</v>
      </c>
      <c r="AV1564" s="6" t="str">
        <f>HYPERLINK("http://mcgill.on.worldcat.org/oclc/30338105","Catalog Record")</f>
        <v>Catalog Record</v>
      </c>
      <c r="AW1564" s="6" t="str">
        <f>HYPERLINK("http://www.worldcat.org/oclc/30338105","WorldCat Record")</f>
        <v>WorldCat Record</v>
      </c>
      <c r="AX1564" s="3" t="s">
        <v>15362</v>
      </c>
      <c r="AY1564" s="3" t="s">
        <v>15363</v>
      </c>
      <c r="AZ1564" s="3" t="s">
        <v>15364</v>
      </c>
      <c r="BA1564" s="3" t="s">
        <v>15364</v>
      </c>
      <c r="BB1564" s="3" t="s">
        <v>15373</v>
      </c>
      <c r="BC1564" s="3" t="s">
        <v>77</v>
      </c>
      <c r="BD1564" s="3" t="s">
        <v>78</v>
      </c>
      <c r="BE1564" s="3" t="s">
        <v>15366</v>
      </c>
      <c r="BF1564" s="3" t="s">
        <v>15373</v>
      </c>
      <c r="BG1564" s="3" t="s">
        <v>15374</v>
      </c>
    </row>
    <row r="1565" spans="1:59" ht="58" x14ac:dyDescent="0.35">
      <c r="A1565" s="2" t="s">
        <v>59</v>
      </c>
      <c r="B1565" s="2" t="s">
        <v>60</v>
      </c>
      <c r="C1565" s="2" t="s">
        <v>15375</v>
      </c>
      <c r="D1565" s="2" t="s">
        <v>15376</v>
      </c>
      <c r="E1565" s="2" t="s">
        <v>15377</v>
      </c>
      <c r="G1565" s="3" t="s">
        <v>65</v>
      </c>
      <c r="I1565" s="3" t="s">
        <v>65</v>
      </c>
      <c r="J1565" s="3" t="s">
        <v>65</v>
      </c>
      <c r="K1565" s="3" t="s">
        <v>66</v>
      </c>
      <c r="L1565" s="2" t="s">
        <v>15378</v>
      </c>
      <c r="M1565" s="2" t="s">
        <v>4606</v>
      </c>
      <c r="N1565" s="3" t="s">
        <v>139</v>
      </c>
      <c r="P1565" s="3" t="s">
        <v>140</v>
      </c>
      <c r="Q1565" s="2" t="s">
        <v>15379</v>
      </c>
      <c r="R1565" s="3" t="s">
        <v>71</v>
      </c>
      <c r="S1565" s="4">
        <v>0</v>
      </c>
      <c r="T1565" s="4">
        <v>0</v>
      </c>
      <c r="W1565" s="5" t="s">
        <v>72</v>
      </c>
      <c r="X1565" s="5" t="s">
        <v>72</v>
      </c>
      <c r="Y1565" s="4">
        <v>53</v>
      </c>
      <c r="Z1565" s="4">
        <v>4</v>
      </c>
      <c r="AA1565" s="4">
        <v>4</v>
      </c>
      <c r="AB1565" s="4">
        <v>1</v>
      </c>
      <c r="AC1565" s="4">
        <v>1</v>
      </c>
      <c r="AD1565" s="4">
        <v>36</v>
      </c>
      <c r="AE1565" s="4">
        <v>36</v>
      </c>
      <c r="AF1565" s="4">
        <v>0</v>
      </c>
      <c r="AG1565" s="4">
        <v>0</v>
      </c>
      <c r="AH1565" s="4">
        <v>36</v>
      </c>
      <c r="AI1565" s="4">
        <v>36</v>
      </c>
      <c r="AJ1565" s="4">
        <v>2</v>
      </c>
      <c r="AK1565" s="4">
        <v>2</v>
      </c>
      <c r="AL1565" s="4">
        <v>29</v>
      </c>
      <c r="AM1565" s="4">
        <v>29</v>
      </c>
      <c r="AN1565" s="4">
        <v>0</v>
      </c>
      <c r="AO1565" s="4">
        <v>0</v>
      </c>
      <c r="AP1565" s="4">
        <v>2</v>
      </c>
      <c r="AQ1565" s="4">
        <v>2</v>
      </c>
      <c r="AR1565" s="3" t="s">
        <v>65</v>
      </c>
      <c r="AS1565" s="3" t="s">
        <v>65</v>
      </c>
      <c r="AT1565" s="3" t="s">
        <v>65</v>
      </c>
      <c r="AV1565" s="6" t="str">
        <f>HYPERLINK("http://mcgill.on.worldcat.org/oclc/809029922","Catalog Record")</f>
        <v>Catalog Record</v>
      </c>
      <c r="AW1565" s="6" t="str">
        <f>HYPERLINK("http://www.worldcat.org/oclc/809029922","WorldCat Record")</f>
        <v>WorldCat Record</v>
      </c>
      <c r="AX1565" s="3" t="s">
        <v>15380</v>
      </c>
      <c r="AY1565" s="3" t="s">
        <v>15381</v>
      </c>
      <c r="AZ1565" s="3" t="s">
        <v>15382</v>
      </c>
      <c r="BA1565" s="3" t="s">
        <v>15382</v>
      </c>
      <c r="BB1565" s="3" t="s">
        <v>15383</v>
      </c>
      <c r="BC1565" s="3" t="s">
        <v>77</v>
      </c>
      <c r="BD1565" s="3" t="s">
        <v>78</v>
      </c>
      <c r="BE1565" s="3" t="s">
        <v>15384</v>
      </c>
      <c r="BF1565" s="3" t="s">
        <v>15383</v>
      </c>
      <c r="BG1565" s="3" t="s">
        <v>15385</v>
      </c>
    </row>
    <row r="1566" spans="1:59" ht="58" x14ac:dyDescent="0.35">
      <c r="A1566" s="2" t="s">
        <v>59</v>
      </c>
      <c r="B1566" s="2" t="s">
        <v>60</v>
      </c>
      <c r="C1566" s="2" t="s">
        <v>15386</v>
      </c>
      <c r="D1566" s="2" t="s">
        <v>15387</v>
      </c>
      <c r="E1566" s="2" t="s">
        <v>15388</v>
      </c>
      <c r="G1566" s="3" t="s">
        <v>65</v>
      </c>
      <c r="I1566" s="3" t="s">
        <v>65</v>
      </c>
      <c r="J1566" s="3" t="s">
        <v>65</v>
      </c>
      <c r="K1566" s="3" t="s">
        <v>66</v>
      </c>
      <c r="M1566" s="2" t="s">
        <v>15389</v>
      </c>
      <c r="N1566" s="3" t="s">
        <v>126</v>
      </c>
      <c r="P1566" s="3" t="s">
        <v>140</v>
      </c>
      <c r="Q1566" s="2" t="s">
        <v>15390</v>
      </c>
      <c r="R1566" s="3" t="s">
        <v>71</v>
      </c>
      <c r="S1566" s="4">
        <v>0</v>
      </c>
      <c r="T1566" s="4">
        <v>0</v>
      </c>
      <c r="W1566" s="5" t="s">
        <v>72</v>
      </c>
      <c r="X1566" s="5" t="s">
        <v>72</v>
      </c>
      <c r="Y1566" s="4">
        <v>39</v>
      </c>
      <c r="Z1566" s="4">
        <v>4</v>
      </c>
      <c r="AA1566" s="4">
        <v>4</v>
      </c>
      <c r="AB1566" s="4">
        <v>2</v>
      </c>
      <c r="AC1566" s="4">
        <v>2</v>
      </c>
      <c r="AD1566" s="4">
        <v>17</v>
      </c>
      <c r="AE1566" s="4">
        <v>18</v>
      </c>
      <c r="AF1566" s="4">
        <v>0</v>
      </c>
      <c r="AG1566" s="4">
        <v>0</v>
      </c>
      <c r="AH1566" s="4">
        <v>17</v>
      </c>
      <c r="AI1566" s="4">
        <v>17</v>
      </c>
      <c r="AJ1566" s="4">
        <v>1</v>
      </c>
      <c r="AK1566" s="4">
        <v>1</v>
      </c>
      <c r="AL1566" s="4">
        <v>14</v>
      </c>
      <c r="AM1566" s="4">
        <v>15</v>
      </c>
      <c r="AN1566" s="4">
        <v>0</v>
      </c>
      <c r="AO1566" s="4">
        <v>0</v>
      </c>
      <c r="AP1566" s="4">
        <v>1</v>
      </c>
      <c r="AQ1566" s="4">
        <v>1</v>
      </c>
      <c r="AR1566" s="3" t="s">
        <v>65</v>
      </c>
      <c r="AS1566" s="3" t="s">
        <v>65</v>
      </c>
      <c r="AT1566" s="3" t="s">
        <v>65</v>
      </c>
      <c r="AV1566" s="6" t="str">
        <f>HYPERLINK("http://mcgill.on.worldcat.org/oclc/787851397","Catalog Record")</f>
        <v>Catalog Record</v>
      </c>
      <c r="AW1566" s="6" t="str">
        <f>HYPERLINK("http://www.worldcat.org/oclc/787851397","WorldCat Record")</f>
        <v>WorldCat Record</v>
      </c>
      <c r="AX1566" s="3" t="s">
        <v>15391</v>
      </c>
      <c r="AY1566" s="3" t="s">
        <v>15392</v>
      </c>
      <c r="AZ1566" s="3" t="s">
        <v>15393</v>
      </c>
      <c r="BA1566" s="3" t="s">
        <v>15393</v>
      </c>
      <c r="BB1566" s="3" t="s">
        <v>15394</v>
      </c>
      <c r="BC1566" s="3" t="s">
        <v>77</v>
      </c>
      <c r="BD1566" s="3" t="s">
        <v>78</v>
      </c>
      <c r="BE1566" s="3" t="s">
        <v>15395</v>
      </c>
      <c r="BF1566" s="3" t="s">
        <v>15394</v>
      </c>
      <c r="BG1566" s="3" t="s">
        <v>15396</v>
      </c>
    </row>
    <row r="1567" spans="1:59" ht="72.5" x14ac:dyDescent="0.35">
      <c r="A1567" s="2" t="s">
        <v>59</v>
      </c>
      <c r="B1567" s="2" t="s">
        <v>60</v>
      </c>
      <c r="C1567" s="2" t="s">
        <v>15397</v>
      </c>
      <c r="D1567" s="2" t="s">
        <v>15398</v>
      </c>
      <c r="E1567" s="2" t="s">
        <v>15399</v>
      </c>
      <c r="F1567" s="3" t="s">
        <v>490</v>
      </c>
      <c r="G1567" s="3" t="s">
        <v>209</v>
      </c>
      <c r="I1567" s="3" t="s">
        <v>65</v>
      </c>
      <c r="J1567" s="3" t="s">
        <v>65</v>
      </c>
      <c r="K1567" s="3" t="s">
        <v>66</v>
      </c>
      <c r="L1567" s="2" t="s">
        <v>15400</v>
      </c>
      <c r="M1567" s="2" t="s">
        <v>15401</v>
      </c>
      <c r="N1567" s="3" t="s">
        <v>1109</v>
      </c>
      <c r="P1567" s="3" t="s">
        <v>140</v>
      </c>
      <c r="Q1567" s="2" t="s">
        <v>15402</v>
      </c>
      <c r="R1567" s="3" t="s">
        <v>71</v>
      </c>
      <c r="S1567" s="4">
        <v>4</v>
      </c>
      <c r="T1567" s="4">
        <v>4</v>
      </c>
      <c r="U1567" s="5" t="s">
        <v>15403</v>
      </c>
      <c r="V1567" s="5" t="s">
        <v>15403</v>
      </c>
      <c r="W1567" s="5" t="s">
        <v>72</v>
      </c>
      <c r="X1567" s="5" t="s">
        <v>72</v>
      </c>
      <c r="Y1567" s="4">
        <v>44</v>
      </c>
      <c r="Z1567" s="4">
        <v>9</v>
      </c>
      <c r="AA1567" s="4">
        <v>16</v>
      </c>
      <c r="AB1567" s="4">
        <v>2</v>
      </c>
      <c r="AC1567" s="4">
        <v>2</v>
      </c>
      <c r="AD1567" s="4">
        <v>21</v>
      </c>
      <c r="AE1567" s="4">
        <v>78</v>
      </c>
      <c r="AF1567" s="4">
        <v>1</v>
      </c>
      <c r="AG1567" s="4">
        <v>1</v>
      </c>
      <c r="AH1567" s="4">
        <v>19</v>
      </c>
      <c r="AI1567" s="4">
        <v>72</v>
      </c>
      <c r="AJ1567" s="4">
        <v>6</v>
      </c>
      <c r="AK1567" s="4">
        <v>10</v>
      </c>
      <c r="AL1567" s="4">
        <v>12</v>
      </c>
      <c r="AM1567" s="4">
        <v>46</v>
      </c>
      <c r="AN1567" s="4">
        <v>0</v>
      </c>
      <c r="AO1567" s="4">
        <v>0</v>
      </c>
      <c r="AP1567" s="4">
        <v>6</v>
      </c>
      <c r="AQ1567" s="4">
        <v>11</v>
      </c>
      <c r="AR1567" s="3" t="s">
        <v>65</v>
      </c>
      <c r="AS1567" s="3" t="s">
        <v>65</v>
      </c>
      <c r="AT1567" s="3" t="s">
        <v>209</v>
      </c>
      <c r="AU1567" s="6" t="str">
        <f>HYPERLINK("http://catalog.hathitrust.org/Record/000682932","HathiTrust Record")</f>
        <v>HathiTrust Record</v>
      </c>
      <c r="AV1567" s="6" t="str">
        <f>HYPERLINK("http://mcgill.on.worldcat.org/oclc/6356720","Catalog Record")</f>
        <v>Catalog Record</v>
      </c>
      <c r="AW1567" s="6" t="str">
        <f>HYPERLINK("http://www.worldcat.org/oclc/6356720","WorldCat Record")</f>
        <v>WorldCat Record</v>
      </c>
      <c r="AX1567" s="3" t="s">
        <v>15404</v>
      </c>
      <c r="AY1567" s="3" t="s">
        <v>15405</v>
      </c>
      <c r="AZ1567" s="3" t="s">
        <v>15406</v>
      </c>
      <c r="BA1567" s="3" t="s">
        <v>15406</v>
      </c>
      <c r="BB1567" s="3" t="s">
        <v>15407</v>
      </c>
      <c r="BC1567" s="3" t="s">
        <v>77</v>
      </c>
      <c r="BD1567" s="3" t="s">
        <v>78</v>
      </c>
      <c r="BF1567" s="3" t="s">
        <v>15407</v>
      </c>
      <c r="BG1567" s="3" t="s">
        <v>15408</v>
      </c>
    </row>
    <row r="1568" spans="1:59" ht="72.5" x14ac:dyDescent="0.35">
      <c r="A1568" s="2" t="s">
        <v>59</v>
      </c>
      <c r="B1568" s="2" t="s">
        <v>60</v>
      </c>
      <c r="C1568" s="2" t="s">
        <v>15397</v>
      </c>
      <c r="D1568" s="2" t="s">
        <v>15398</v>
      </c>
      <c r="E1568" s="2" t="s">
        <v>15399</v>
      </c>
      <c r="F1568" s="3" t="s">
        <v>3103</v>
      </c>
      <c r="G1568" s="3" t="s">
        <v>209</v>
      </c>
      <c r="I1568" s="3" t="s">
        <v>65</v>
      </c>
      <c r="J1568" s="3" t="s">
        <v>65</v>
      </c>
      <c r="K1568" s="3" t="s">
        <v>66</v>
      </c>
      <c r="L1568" s="2" t="s">
        <v>15400</v>
      </c>
      <c r="M1568" s="2" t="s">
        <v>15401</v>
      </c>
      <c r="N1568" s="3" t="s">
        <v>1109</v>
      </c>
      <c r="P1568" s="3" t="s">
        <v>140</v>
      </c>
      <c r="Q1568" s="2" t="s">
        <v>15402</v>
      </c>
      <c r="R1568" s="3" t="s">
        <v>71</v>
      </c>
      <c r="S1568" s="4">
        <v>0</v>
      </c>
      <c r="T1568" s="4">
        <v>4</v>
      </c>
      <c r="V1568" s="5" t="s">
        <v>15403</v>
      </c>
      <c r="W1568" s="5" t="s">
        <v>72</v>
      </c>
      <c r="X1568" s="5" t="s">
        <v>72</v>
      </c>
      <c r="Y1568" s="4">
        <v>44</v>
      </c>
      <c r="Z1568" s="4">
        <v>9</v>
      </c>
      <c r="AA1568" s="4">
        <v>16</v>
      </c>
      <c r="AB1568" s="4">
        <v>2</v>
      </c>
      <c r="AC1568" s="4">
        <v>2</v>
      </c>
      <c r="AD1568" s="4">
        <v>21</v>
      </c>
      <c r="AE1568" s="4">
        <v>78</v>
      </c>
      <c r="AF1568" s="4">
        <v>1</v>
      </c>
      <c r="AG1568" s="4">
        <v>1</v>
      </c>
      <c r="AH1568" s="4">
        <v>19</v>
      </c>
      <c r="AI1568" s="4">
        <v>72</v>
      </c>
      <c r="AJ1568" s="4">
        <v>6</v>
      </c>
      <c r="AK1568" s="4">
        <v>10</v>
      </c>
      <c r="AL1568" s="4">
        <v>12</v>
      </c>
      <c r="AM1568" s="4">
        <v>46</v>
      </c>
      <c r="AN1568" s="4">
        <v>0</v>
      </c>
      <c r="AO1568" s="4">
        <v>0</v>
      </c>
      <c r="AP1568" s="4">
        <v>6</v>
      </c>
      <c r="AQ1568" s="4">
        <v>11</v>
      </c>
      <c r="AR1568" s="3" t="s">
        <v>65</v>
      </c>
      <c r="AS1568" s="3" t="s">
        <v>65</v>
      </c>
      <c r="AT1568" s="3" t="s">
        <v>209</v>
      </c>
      <c r="AU1568" s="6" t="str">
        <f>HYPERLINK("http://catalog.hathitrust.org/Record/000682932","HathiTrust Record")</f>
        <v>HathiTrust Record</v>
      </c>
      <c r="AV1568" s="6" t="str">
        <f>HYPERLINK("http://mcgill.on.worldcat.org/oclc/6356720","Catalog Record")</f>
        <v>Catalog Record</v>
      </c>
      <c r="AW1568" s="6" t="str">
        <f>HYPERLINK("http://www.worldcat.org/oclc/6356720","WorldCat Record")</f>
        <v>WorldCat Record</v>
      </c>
      <c r="AX1568" s="3" t="s">
        <v>15404</v>
      </c>
      <c r="AY1568" s="3" t="s">
        <v>15405</v>
      </c>
      <c r="AZ1568" s="3" t="s">
        <v>15406</v>
      </c>
      <c r="BA1568" s="3" t="s">
        <v>15406</v>
      </c>
      <c r="BB1568" s="3" t="s">
        <v>15409</v>
      </c>
      <c r="BC1568" s="3" t="s">
        <v>77</v>
      </c>
      <c r="BD1568" s="3" t="s">
        <v>78</v>
      </c>
      <c r="BF1568" s="3" t="s">
        <v>15409</v>
      </c>
      <c r="BG1568" s="3" t="s">
        <v>15410</v>
      </c>
    </row>
    <row r="1569" spans="1:59" ht="58" x14ac:dyDescent="0.35">
      <c r="A1569" s="2" t="s">
        <v>59</v>
      </c>
      <c r="B1569" s="2" t="s">
        <v>60</v>
      </c>
      <c r="C1569" s="2" t="s">
        <v>15411</v>
      </c>
      <c r="D1569" s="2" t="s">
        <v>15412</v>
      </c>
      <c r="E1569" s="2" t="s">
        <v>15413</v>
      </c>
      <c r="F1569" s="3" t="s">
        <v>258</v>
      </c>
      <c r="G1569" s="3" t="s">
        <v>209</v>
      </c>
      <c r="I1569" s="3" t="s">
        <v>65</v>
      </c>
      <c r="J1569" s="3" t="s">
        <v>65</v>
      </c>
      <c r="K1569" s="3" t="s">
        <v>66</v>
      </c>
      <c r="L1569" s="2" t="s">
        <v>15414</v>
      </c>
      <c r="M1569" s="2" t="s">
        <v>15415</v>
      </c>
      <c r="N1569" s="3" t="s">
        <v>2210</v>
      </c>
      <c r="P1569" s="3" t="s">
        <v>140</v>
      </c>
      <c r="Q1569" s="2" t="s">
        <v>6782</v>
      </c>
      <c r="R1569" s="3" t="s">
        <v>71</v>
      </c>
      <c r="S1569" s="4">
        <v>1</v>
      </c>
      <c r="T1569" s="4">
        <v>3</v>
      </c>
      <c r="U1569" s="5" t="s">
        <v>6727</v>
      </c>
      <c r="V1569" s="5" t="s">
        <v>6727</v>
      </c>
      <c r="W1569" s="5" t="s">
        <v>72</v>
      </c>
      <c r="X1569" s="5" t="s">
        <v>72</v>
      </c>
      <c r="Y1569" s="4">
        <v>14</v>
      </c>
      <c r="Z1569" s="4">
        <v>1</v>
      </c>
      <c r="AA1569" s="4">
        <v>9</v>
      </c>
      <c r="AB1569" s="4">
        <v>1</v>
      </c>
      <c r="AC1569" s="4">
        <v>2</v>
      </c>
      <c r="AD1569" s="4">
        <v>0</v>
      </c>
      <c r="AE1569" s="4">
        <v>51</v>
      </c>
      <c r="AF1569" s="4">
        <v>0</v>
      </c>
      <c r="AG1569" s="4">
        <v>1</v>
      </c>
      <c r="AH1569" s="4">
        <v>0</v>
      </c>
      <c r="AI1569" s="4">
        <v>48</v>
      </c>
      <c r="AJ1569" s="4">
        <v>0</v>
      </c>
      <c r="AK1569" s="4">
        <v>5</v>
      </c>
      <c r="AL1569" s="4">
        <v>0</v>
      </c>
      <c r="AM1569" s="4">
        <v>37</v>
      </c>
      <c r="AN1569" s="4">
        <v>0</v>
      </c>
      <c r="AO1569" s="4">
        <v>0</v>
      </c>
      <c r="AP1569" s="4">
        <v>0</v>
      </c>
      <c r="AQ1569" s="4">
        <v>5</v>
      </c>
      <c r="AR1569" s="3" t="s">
        <v>65</v>
      </c>
      <c r="AS1569" s="3" t="s">
        <v>65</v>
      </c>
      <c r="AT1569" s="3" t="s">
        <v>65</v>
      </c>
      <c r="AV1569" s="6" t="str">
        <f>HYPERLINK("http://mcgill.on.worldcat.org/oclc/427518950","Catalog Record")</f>
        <v>Catalog Record</v>
      </c>
      <c r="AW1569" s="6" t="str">
        <f>HYPERLINK("http://www.worldcat.org/oclc/427518950","WorldCat Record")</f>
        <v>WorldCat Record</v>
      </c>
      <c r="AX1569" s="3" t="s">
        <v>15416</v>
      </c>
      <c r="AY1569" s="3" t="s">
        <v>15417</v>
      </c>
      <c r="AZ1569" s="3" t="s">
        <v>15418</v>
      </c>
      <c r="BA1569" s="3" t="s">
        <v>15418</v>
      </c>
      <c r="BB1569" s="3" t="s">
        <v>15419</v>
      </c>
      <c r="BC1569" s="3" t="s">
        <v>77</v>
      </c>
      <c r="BD1569" s="3" t="s">
        <v>78</v>
      </c>
      <c r="BE1569" s="3" t="s">
        <v>15420</v>
      </c>
      <c r="BF1569" s="3" t="s">
        <v>15419</v>
      </c>
      <c r="BG1569" s="3" t="s">
        <v>15421</v>
      </c>
    </row>
    <row r="1570" spans="1:59" ht="58" x14ac:dyDescent="0.35">
      <c r="A1570" s="2" t="s">
        <v>59</v>
      </c>
      <c r="B1570" s="2" t="s">
        <v>60</v>
      </c>
      <c r="C1570" s="2" t="s">
        <v>15411</v>
      </c>
      <c r="D1570" s="2" t="s">
        <v>15412</v>
      </c>
      <c r="E1570" s="2" t="s">
        <v>15413</v>
      </c>
      <c r="F1570" s="3" t="s">
        <v>245</v>
      </c>
      <c r="G1570" s="3" t="s">
        <v>209</v>
      </c>
      <c r="I1570" s="3" t="s">
        <v>65</v>
      </c>
      <c r="J1570" s="3" t="s">
        <v>65</v>
      </c>
      <c r="K1570" s="3" t="s">
        <v>66</v>
      </c>
      <c r="L1570" s="2" t="s">
        <v>15414</v>
      </c>
      <c r="M1570" s="2" t="s">
        <v>15415</v>
      </c>
      <c r="N1570" s="3" t="s">
        <v>2210</v>
      </c>
      <c r="P1570" s="3" t="s">
        <v>140</v>
      </c>
      <c r="Q1570" s="2" t="s">
        <v>6782</v>
      </c>
      <c r="R1570" s="3" t="s">
        <v>71</v>
      </c>
      <c r="S1570" s="4">
        <v>2</v>
      </c>
      <c r="T1570" s="4">
        <v>3</v>
      </c>
      <c r="U1570" s="5" t="s">
        <v>6727</v>
      </c>
      <c r="V1570" s="5" t="s">
        <v>6727</v>
      </c>
      <c r="W1570" s="5" t="s">
        <v>72</v>
      </c>
      <c r="X1570" s="5" t="s">
        <v>72</v>
      </c>
      <c r="Y1570" s="4">
        <v>14</v>
      </c>
      <c r="Z1570" s="4">
        <v>1</v>
      </c>
      <c r="AA1570" s="4">
        <v>9</v>
      </c>
      <c r="AB1570" s="4">
        <v>1</v>
      </c>
      <c r="AC1570" s="4">
        <v>2</v>
      </c>
      <c r="AD1570" s="4">
        <v>0</v>
      </c>
      <c r="AE1570" s="4">
        <v>51</v>
      </c>
      <c r="AF1570" s="4">
        <v>0</v>
      </c>
      <c r="AG1570" s="4">
        <v>1</v>
      </c>
      <c r="AH1570" s="4">
        <v>0</v>
      </c>
      <c r="AI1570" s="4">
        <v>48</v>
      </c>
      <c r="AJ1570" s="4">
        <v>0</v>
      </c>
      <c r="AK1570" s="4">
        <v>5</v>
      </c>
      <c r="AL1570" s="4">
        <v>0</v>
      </c>
      <c r="AM1570" s="4">
        <v>37</v>
      </c>
      <c r="AN1570" s="4">
        <v>0</v>
      </c>
      <c r="AO1570" s="4">
        <v>0</v>
      </c>
      <c r="AP1570" s="4">
        <v>0</v>
      </c>
      <c r="AQ1570" s="4">
        <v>5</v>
      </c>
      <c r="AR1570" s="3" t="s">
        <v>65</v>
      </c>
      <c r="AS1570" s="3" t="s">
        <v>65</v>
      </c>
      <c r="AT1570" s="3" t="s">
        <v>65</v>
      </c>
      <c r="AV1570" s="6" t="str">
        <f>HYPERLINK("http://mcgill.on.worldcat.org/oclc/427518950","Catalog Record")</f>
        <v>Catalog Record</v>
      </c>
      <c r="AW1570" s="6" t="str">
        <f>HYPERLINK("http://www.worldcat.org/oclc/427518950","WorldCat Record")</f>
        <v>WorldCat Record</v>
      </c>
      <c r="AX1570" s="3" t="s">
        <v>15416</v>
      </c>
      <c r="AY1570" s="3" t="s">
        <v>15417</v>
      </c>
      <c r="AZ1570" s="3" t="s">
        <v>15418</v>
      </c>
      <c r="BA1570" s="3" t="s">
        <v>15418</v>
      </c>
      <c r="BB1570" s="3" t="s">
        <v>15422</v>
      </c>
      <c r="BC1570" s="3" t="s">
        <v>77</v>
      </c>
      <c r="BD1570" s="3" t="s">
        <v>78</v>
      </c>
      <c r="BE1570" s="3" t="s">
        <v>15420</v>
      </c>
      <c r="BF1570" s="3" t="s">
        <v>15422</v>
      </c>
      <c r="BG1570" s="3" t="s">
        <v>15423</v>
      </c>
    </row>
    <row r="1571" spans="1:59" ht="58" x14ac:dyDescent="0.35">
      <c r="A1571" s="2" t="s">
        <v>59</v>
      </c>
      <c r="B1571" s="2" t="s">
        <v>60</v>
      </c>
      <c r="C1571" s="2" t="s">
        <v>15424</v>
      </c>
      <c r="D1571" s="2" t="s">
        <v>15425</v>
      </c>
      <c r="E1571" s="2" t="s">
        <v>15426</v>
      </c>
      <c r="G1571" s="3" t="s">
        <v>65</v>
      </c>
      <c r="I1571" s="3" t="s">
        <v>65</v>
      </c>
      <c r="J1571" s="3" t="s">
        <v>65</v>
      </c>
      <c r="K1571" s="3" t="s">
        <v>66</v>
      </c>
      <c r="L1571" s="2" t="s">
        <v>15400</v>
      </c>
      <c r="M1571" s="2" t="s">
        <v>15427</v>
      </c>
      <c r="N1571" s="3" t="s">
        <v>221</v>
      </c>
      <c r="P1571" s="3" t="s">
        <v>69</v>
      </c>
      <c r="Q1571" s="2" t="s">
        <v>15428</v>
      </c>
      <c r="R1571" s="3" t="s">
        <v>71</v>
      </c>
      <c r="S1571" s="4">
        <v>5</v>
      </c>
      <c r="T1571" s="4">
        <v>5</v>
      </c>
      <c r="U1571" s="5" t="s">
        <v>15429</v>
      </c>
      <c r="V1571" s="5" t="s">
        <v>15429</v>
      </c>
      <c r="W1571" s="5" t="s">
        <v>72</v>
      </c>
      <c r="X1571" s="5" t="s">
        <v>72</v>
      </c>
      <c r="Y1571" s="4">
        <v>294</v>
      </c>
      <c r="Z1571" s="4">
        <v>16</v>
      </c>
      <c r="AA1571" s="4">
        <v>60</v>
      </c>
      <c r="AB1571" s="4">
        <v>3</v>
      </c>
      <c r="AC1571" s="4">
        <v>8</v>
      </c>
      <c r="AD1571" s="4">
        <v>86</v>
      </c>
      <c r="AE1571" s="4">
        <v>113</v>
      </c>
      <c r="AF1571" s="4">
        <v>2</v>
      </c>
      <c r="AG1571" s="4">
        <v>2</v>
      </c>
      <c r="AH1571" s="4">
        <v>80</v>
      </c>
      <c r="AI1571" s="4">
        <v>94</v>
      </c>
      <c r="AJ1571" s="4">
        <v>9</v>
      </c>
      <c r="AK1571" s="4">
        <v>13</v>
      </c>
      <c r="AL1571" s="4">
        <v>47</v>
      </c>
      <c r="AM1571" s="4">
        <v>53</v>
      </c>
      <c r="AN1571" s="4">
        <v>0</v>
      </c>
      <c r="AO1571" s="4">
        <v>0</v>
      </c>
      <c r="AP1571" s="4">
        <v>11</v>
      </c>
      <c r="AQ1571" s="4">
        <v>26</v>
      </c>
      <c r="AR1571" s="3" t="s">
        <v>65</v>
      </c>
      <c r="AS1571" s="3" t="s">
        <v>65</v>
      </c>
      <c r="AT1571" s="3" t="s">
        <v>65</v>
      </c>
      <c r="AV1571" s="6" t="str">
        <f>HYPERLINK("http://mcgill.on.worldcat.org/oclc/71842806","Catalog Record")</f>
        <v>Catalog Record</v>
      </c>
      <c r="AW1571" s="6" t="str">
        <f>HYPERLINK("http://www.worldcat.org/oclc/71842806","WorldCat Record")</f>
        <v>WorldCat Record</v>
      </c>
      <c r="AX1571" s="3" t="s">
        <v>15430</v>
      </c>
      <c r="AY1571" s="3" t="s">
        <v>15431</v>
      </c>
      <c r="AZ1571" s="3" t="s">
        <v>15432</v>
      </c>
      <c r="BA1571" s="3" t="s">
        <v>15432</v>
      </c>
      <c r="BB1571" s="3" t="s">
        <v>15433</v>
      </c>
      <c r="BC1571" s="3" t="s">
        <v>77</v>
      </c>
      <c r="BD1571" s="3" t="s">
        <v>78</v>
      </c>
      <c r="BE1571" s="3" t="s">
        <v>15434</v>
      </c>
      <c r="BF1571" s="3" t="s">
        <v>15433</v>
      </c>
      <c r="BG1571" s="3" t="s">
        <v>15435</v>
      </c>
    </row>
    <row r="1572" spans="1:59" ht="58" x14ac:dyDescent="0.35">
      <c r="A1572" s="2" t="s">
        <v>59</v>
      </c>
      <c r="B1572" s="2" t="s">
        <v>60</v>
      </c>
      <c r="C1572" s="2" t="s">
        <v>15436</v>
      </c>
      <c r="D1572" s="2" t="s">
        <v>15437</v>
      </c>
      <c r="E1572" s="2" t="s">
        <v>15438</v>
      </c>
      <c r="G1572" s="3" t="s">
        <v>65</v>
      </c>
      <c r="I1572" s="3" t="s">
        <v>65</v>
      </c>
      <c r="J1572" s="3" t="s">
        <v>65</v>
      </c>
      <c r="K1572" s="3" t="s">
        <v>66</v>
      </c>
      <c r="L1572" s="2" t="s">
        <v>15439</v>
      </c>
      <c r="M1572" s="2" t="s">
        <v>15440</v>
      </c>
      <c r="N1572" s="3" t="s">
        <v>139</v>
      </c>
      <c r="P1572" s="3" t="s">
        <v>140</v>
      </c>
      <c r="Q1572" s="2" t="s">
        <v>15441</v>
      </c>
      <c r="R1572" s="3" t="s">
        <v>71</v>
      </c>
      <c r="S1572" s="4">
        <v>0</v>
      </c>
      <c r="T1572" s="4">
        <v>0</v>
      </c>
      <c r="W1572" s="5" t="s">
        <v>72</v>
      </c>
      <c r="X1572" s="5" t="s">
        <v>72</v>
      </c>
      <c r="Y1572" s="4">
        <v>40</v>
      </c>
      <c r="Z1572" s="4">
        <v>4</v>
      </c>
      <c r="AA1572" s="4">
        <v>5</v>
      </c>
      <c r="AB1572" s="4">
        <v>1</v>
      </c>
      <c r="AC1572" s="4">
        <v>1</v>
      </c>
      <c r="AD1572" s="4">
        <v>24</v>
      </c>
      <c r="AE1572" s="4">
        <v>26</v>
      </c>
      <c r="AF1572" s="4">
        <v>0</v>
      </c>
      <c r="AG1572" s="4">
        <v>0</v>
      </c>
      <c r="AH1572" s="4">
        <v>23</v>
      </c>
      <c r="AI1572" s="4">
        <v>25</v>
      </c>
      <c r="AJ1572" s="4">
        <v>2</v>
      </c>
      <c r="AK1572" s="4">
        <v>3</v>
      </c>
      <c r="AL1572" s="4">
        <v>21</v>
      </c>
      <c r="AM1572" s="4">
        <v>21</v>
      </c>
      <c r="AN1572" s="4">
        <v>0</v>
      </c>
      <c r="AO1572" s="4">
        <v>0</v>
      </c>
      <c r="AP1572" s="4">
        <v>2</v>
      </c>
      <c r="AQ1572" s="4">
        <v>3</v>
      </c>
      <c r="AR1572" s="3" t="s">
        <v>65</v>
      </c>
      <c r="AS1572" s="3" t="s">
        <v>65</v>
      </c>
      <c r="AT1572" s="3" t="s">
        <v>65</v>
      </c>
      <c r="AV1572" s="6" t="str">
        <f>HYPERLINK("http://mcgill.on.worldcat.org/oclc/818724522","Catalog Record")</f>
        <v>Catalog Record</v>
      </c>
      <c r="AW1572" s="6" t="str">
        <f>HYPERLINK("http://www.worldcat.org/oclc/818724522","WorldCat Record")</f>
        <v>WorldCat Record</v>
      </c>
      <c r="AX1572" s="3" t="s">
        <v>15442</v>
      </c>
      <c r="AY1572" s="3" t="s">
        <v>15443</v>
      </c>
      <c r="AZ1572" s="3" t="s">
        <v>15444</v>
      </c>
      <c r="BA1572" s="3" t="s">
        <v>15444</v>
      </c>
      <c r="BB1572" s="3" t="s">
        <v>15445</v>
      </c>
      <c r="BC1572" s="3" t="s">
        <v>77</v>
      </c>
      <c r="BD1572" s="3" t="s">
        <v>78</v>
      </c>
      <c r="BE1572" s="3" t="s">
        <v>15446</v>
      </c>
      <c r="BF1572" s="3" t="s">
        <v>15445</v>
      </c>
      <c r="BG1572" s="3" t="s">
        <v>15447</v>
      </c>
    </row>
    <row r="1573" spans="1:59" ht="58" x14ac:dyDescent="0.35">
      <c r="A1573" s="2" t="s">
        <v>59</v>
      </c>
      <c r="B1573" s="2" t="s">
        <v>60</v>
      </c>
      <c r="C1573" s="2" t="s">
        <v>15448</v>
      </c>
      <c r="D1573" s="2" t="s">
        <v>15449</v>
      </c>
      <c r="E1573" s="2" t="s">
        <v>15450</v>
      </c>
      <c r="G1573" s="3" t="s">
        <v>65</v>
      </c>
      <c r="I1573" s="3" t="s">
        <v>65</v>
      </c>
      <c r="J1573" s="3" t="s">
        <v>65</v>
      </c>
      <c r="K1573" s="3" t="s">
        <v>66</v>
      </c>
      <c r="L1573" s="2" t="s">
        <v>15451</v>
      </c>
      <c r="M1573" s="2" t="s">
        <v>7713</v>
      </c>
      <c r="N1573" s="3" t="s">
        <v>188</v>
      </c>
      <c r="P1573" s="3" t="s">
        <v>140</v>
      </c>
      <c r="Q1573" s="2" t="s">
        <v>15452</v>
      </c>
      <c r="R1573" s="3" t="s">
        <v>71</v>
      </c>
      <c r="S1573" s="4">
        <v>0</v>
      </c>
      <c r="T1573" s="4">
        <v>0</v>
      </c>
      <c r="W1573" s="5" t="s">
        <v>72</v>
      </c>
      <c r="X1573" s="5" t="s">
        <v>72</v>
      </c>
      <c r="Y1573" s="4">
        <v>30</v>
      </c>
      <c r="Z1573" s="4">
        <v>1</v>
      </c>
      <c r="AA1573" s="4">
        <v>1</v>
      </c>
      <c r="AB1573" s="4">
        <v>1</v>
      </c>
      <c r="AC1573" s="4">
        <v>1</v>
      </c>
      <c r="AD1573" s="4">
        <v>23</v>
      </c>
      <c r="AE1573" s="4">
        <v>23</v>
      </c>
      <c r="AF1573" s="4">
        <v>0</v>
      </c>
      <c r="AG1573" s="4">
        <v>0</v>
      </c>
      <c r="AH1573" s="4">
        <v>22</v>
      </c>
      <c r="AI1573" s="4">
        <v>22</v>
      </c>
      <c r="AJ1573" s="4">
        <v>0</v>
      </c>
      <c r="AK1573" s="4">
        <v>0</v>
      </c>
      <c r="AL1573" s="4">
        <v>19</v>
      </c>
      <c r="AM1573" s="4">
        <v>19</v>
      </c>
      <c r="AN1573" s="4">
        <v>0</v>
      </c>
      <c r="AO1573" s="4">
        <v>0</v>
      </c>
      <c r="AP1573" s="4">
        <v>0</v>
      </c>
      <c r="AQ1573" s="4">
        <v>0</v>
      </c>
      <c r="AR1573" s="3" t="s">
        <v>65</v>
      </c>
      <c r="AS1573" s="3" t="s">
        <v>65</v>
      </c>
      <c r="AT1573" s="3" t="s">
        <v>65</v>
      </c>
      <c r="AV1573" s="6" t="str">
        <f>HYPERLINK("http://mcgill.on.worldcat.org/oclc/1005678314","Catalog Record")</f>
        <v>Catalog Record</v>
      </c>
      <c r="AW1573" s="6" t="str">
        <f>HYPERLINK("http://www.worldcat.org/oclc/1005678314","WorldCat Record")</f>
        <v>WorldCat Record</v>
      </c>
      <c r="AX1573" s="3" t="s">
        <v>15453</v>
      </c>
      <c r="AY1573" s="3" t="s">
        <v>15454</v>
      </c>
      <c r="AZ1573" s="3" t="s">
        <v>15455</v>
      </c>
      <c r="BA1573" s="3" t="s">
        <v>15455</v>
      </c>
      <c r="BB1573" s="3" t="s">
        <v>15456</v>
      </c>
      <c r="BC1573" s="3" t="s">
        <v>77</v>
      </c>
      <c r="BD1573" s="3" t="s">
        <v>78</v>
      </c>
      <c r="BE1573" s="3" t="s">
        <v>15457</v>
      </c>
      <c r="BF1573" s="3" t="s">
        <v>15456</v>
      </c>
      <c r="BG1573" s="3" t="s">
        <v>15458</v>
      </c>
    </row>
    <row r="1574" spans="1:59" ht="58" x14ac:dyDescent="0.35">
      <c r="A1574" s="2" t="s">
        <v>59</v>
      </c>
      <c r="B1574" s="2" t="s">
        <v>60</v>
      </c>
      <c r="C1574" s="2" t="s">
        <v>15459</v>
      </c>
      <c r="D1574" s="2" t="s">
        <v>15460</v>
      </c>
      <c r="E1574" s="2" t="s">
        <v>15461</v>
      </c>
      <c r="G1574" s="3" t="s">
        <v>65</v>
      </c>
      <c r="I1574" s="3" t="s">
        <v>65</v>
      </c>
      <c r="J1574" s="3" t="s">
        <v>65</v>
      </c>
      <c r="K1574" s="3" t="s">
        <v>66</v>
      </c>
      <c r="L1574" s="2" t="s">
        <v>15462</v>
      </c>
      <c r="M1574" s="2" t="s">
        <v>15463</v>
      </c>
      <c r="N1574" s="3" t="s">
        <v>928</v>
      </c>
      <c r="P1574" s="3" t="s">
        <v>69</v>
      </c>
      <c r="Q1574" s="2" t="s">
        <v>15464</v>
      </c>
      <c r="R1574" s="3" t="s">
        <v>71</v>
      </c>
      <c r="S1574" s="4">
        <v>17</v>
      </c>
      <c r="T1574" s="4">
        <v>17</v>
      </c>
      <c r="U1574" s="5" t="s">
        <v>15465</v>
      </c>
      <c r="V1574" s="5" t="s">
        <v>15465</v>
      </c>
      <c r="W1574" s="5" t="s">
        <v>72</v>
      </c>
      <c r="X1574" s="5" t="s">
        <v>72</v>
      </c>
      <c r="Y1574" s="4">
        <v>63</v>
      </c>
      <c r="Z1574" s="4">
        <v>5</v>
      </c>
      <c r="AA1574" s="4">
        <v>17</v>
      </c>
      <c r="AB1574" s="4">
        <v>1</v>
      </c>
      <c r="AC1574" s="4">
        <v>1</v>
      </c>
      <c r="AD1574" s="4">
        <v>23</v>
      </c>
      <c r="AE1574" s="4">
        <v>61</v>
      </c>
      <c r="AF1574" s="4">
        <v>0</v>
      </c>
      <c r="AG1574" s="4">
        <v>0</v>
      </c>
      <c r="AH1574" s="4">
        <v>20</v>
      </c>
      <c r="AI1574" s="4">
        <v>53</v>
      </c>
      <c r="AJ1574" s="4">
        <v>4</v>
      </c>
      <c r="AK1574" s="4">
        <v>12</v>
      </c>
      <c r="AL1574" s="4">
        <v>11</v>
      </c>
      <c r="AM1574" s="4">
        <v>30</v>
      </c>
      <c r="AN1574" s="4">
        <v>0</v>
      </c>
      <c r="AO1574" s="4">
        <v>0</v>
      </c>
      <c r="AP1574" s="4">
        <v>3</v>
      </c>
      <c r="AQ1574" s="4">
        <v>12</v>
      </c>
      <c r="AR1574" s="3" t="s">
        <v>65</v>
      </c>
      <c r="AS1574" s="3" t="s">
        <v>65</v>
      </c>
      <c r="AT1574" s="3" t="s">
        <v>65</v>
      </c>
      <c r="AV1574" s="6" t="str">
        <f>HYPERLINK("http://mcgill.on.worldcat.org/oclc/51104759","Catalog Record")</f>
        <v>Catalog Record</v>
      </c>
      <c r="AW1574" s="6" t="str">
        <f>HYPERLINK("http://www.worldcat.org/oclc/51104759","WorldCat Record")</f>
        <v>WorldCat Record</v>
      </c>
      <c r="AX1574" s="3" t="s">
        <v>15466</v>
      </c>
      <c r="AY1574" s="3" t="s">
        <v>15467</v>
      </c>
      <c r="AZ1574" s="3" t="s">
        <v>15468</v>
      </c>
      <c r="BA1574" s="3" t="s">
        <v>15468</v>
      </c>
      <c r="BB1574" s="3" t="s">
        <v>15469</v>
      </c>
      <c r="BC1574" s="3" t="s">
        <v>77</v>
      </c>
      <c r="BD1574" s="3" t="s">
        <v>78</v>
      </c>
      <c r="BF1574" s="3" t="s">
        <v>15469</v>
      </c>
      <c r="BG1574" s="3" t="s">
        <v>15470</v>
      </c>
    </row>
    <row r="1575" spans="1:59" ht="58" x14ac:dyDescent="0.35">
      <c r="A1575" s="2" t="s">
        <v>59</v>
      </c>
      <c r="B1575" s="2" t="s">
        <v>60</v>
      </c>
      <c r="C1575" s="2" t="s">
        <v>15471</v>
      </c>
      <c r="D1575" s="2" t="s">
        <v>15472</v>
      </c>
      <c r="E1575" s="2" t="s">
        <v>15473</v>
      </c>
      <c r="G1575" s="3" t="s">
        <v>65</v>
      </c>
      <c r="I1575" s="3" t="s">
        <v>65</v>
      </c>
      <c r="J1575" s="3" t="s">
        <v>65</v>
      </c>
      <c r="K1575" s="3" t="s">
        <v>66</v>
      </c>
      <c r="L1575" s="2" t="s">
        <v>15462</v>
      </c>
      <c r="M1575" s="2" t="s">
        <v>15474</v>
      </c>
      <c r="N1575" s="3" t="s">
        <v>364</v>
      </c>
      <c r="P1575" s="3" t="s">
        <v>140</v>
      </c>
      <c r="Q1575" s="2" t="s">
        <v>15475</v>
      </c>
      <c r="R1575" s="3" t="s">
        <v>71</v>
      </c>
      <c r="S1575" s="4">
        <v>3</v>
      </c>
      <c r="T1575" s="4">
        <v>3</v>
      </c>
      <c r="U1575" s="5" t="s">
        <v>15476</v>
      </c>
      <c r="V1575" s="5" t="s">
        <v>15476</v>
      </c>
      <c r="W1575" s="5" t="s">
        <v>72</v>
      </c>
      <c r="X1575" s="5" t="s">
        <v>72</v>
      </c>
      <c r="Y1575" s="4">
        <v>73</v>
      </c>
      <c r="Z1575" s="4">
        <v>7</v>
      </c>
      <c r="AA1575" s="4">
        <v>7</v>
      </c>
      <c r="AB1575" s="4">
        <v>2</v>
      </c>
      <c r="AC1575" s="4">
        <v>2</v>
      </c>
      <c r="AD1575" s="4">
        <v>34</v>
      </c>
      <c r="AE1575" s="4">
        <v>34</v>
      </c>
      <c r="AF1575" s="4">
        <v>0</v>
      </c>
      <c r="AG1575" s="4">
        <v>0</v>
      </c>
      <c r="AH1575" s="4">
        <v>31</v>
      </c>
      <c r="AI1575" s="4">
        <v>31</v>
      </c>
      <c r="AJ1575" s="4">
        <v>3</v>
      </c>
      <c r="AK1575" s="4">
        <v>3</v>
      </c>
      <c r="AL1575" s="4">
        <v>25</v>
      </c>
      <c r="AM1575" s="4">
        <v>25</v>
      </c>
      <c r="AN1575" s="4">
        <v>0</v>
      </c>
      <c r="AO1575" s="4">
        <v>0</v>
      </c>
      <c r="AP1575" s="4">
        <v>4</v>
      </c>
      <c r="AQ1575" s="4">
        <v>4</v>
      </c>
      <c r="AR1575" s="3" t="s">
        <v>65</v>
      </c>
      <c r="AS1575" s="3" t="s">
        <v>65</v>
      </c>
      <c r="AT1575" s="3" t="s">
        <v>209</v>
      </c>
      <c r="AU1575" s="6" t="str">
        <f>HYPERLINK("http://catalog.hathitrust.org/Record/004213598","HathiTrust Record")</f>
        <v>HathiTrust Record</v>
      </c>
      <c r="AV1575" s="6" t="str">
        <f>HYPERLINK("http://mcgill.on.worldcat.org/oclc/48107887","Catalog Record")</f>
        <v>Catalog Record</v>
      </c>
      <c r="AW1575" s="6" t="str">
        <f>HYPERLINK("http://www.worldcat.org/oclc/48107887","WorldCat Record")</f>
        <v>WorldCat Record</v>
      </c>
      <c r="AX1575" s="3" t="s">
        <v>15477</v>
      </c>
      <c r="AY1575" s="3" t="s">
        <v>15478</v>
      </c>
      <c r="AZ1575" s="3" t="s">
        <v>15479</v>
      </c>
      <c r="BA1575" s="3" t="s">
        <v>15479</v>
      </c>
      <c r="BB1575" s="3" t="s">
        <v>15480</v>
      </c>
      <c r="BC1575" s="3" t="s">
        <v>77</v>
      </c>
      <c r="BD1575" s="3" t="s">
        <v>78</v>
      </c>
      <c r="BE1575" s="3" t="s">
        <v>15481</v>
      </c>
      <c r="BF1575" s="3" t="s">
        <v>15480</v>
      </c>
      <c r="BG1575" s="3" t="s">
        <v>15482</v>
      </c>
    </row>
    <row r="1576" spans="1:59" ht="58" x14ac:dyDescent="0.35">
      <c r="A1576" s="2" t="s">
        <v>59</v>
      </c>
      <c r="B1576" s="2" t="s">
        <v>60</v>
      </c>
      <c r="C1576" s="2" t="s">
        <v>15483</v>
      </c>
      <c r="D1576" s="2" t="s">
        <v>15484</v>
      </c>
      <c r="E1576" s="2" t="s">
        <v>15485</v>
      </c>
      <c r="G1576" s="3" t="s">
        <v>65</v>
      </c>
      <c r="I1576" s="3" t="s">
        <v>65</v>
      </c>
      <c r="J1576" s="3" t="s">
        <v>65</v>
      </c>
      <c r="K1576" s="3" t="s">
        <v>66</v>
      </c>
      <c r="L1576" s="2" t="s">
        <v>15486</v>
      </c>
      <c r="M1576" s="2" t="s">
        <v>15487</v>
      </c>
      <c r="N1576" s="3" t="s">
        <v>525</v>
      </c>
      <c r="P1576" s="3" t="s">
        <v>69</v>
      </c>
      <c r="R1576" s="3" t="s">
        <v>71</v>
      </c>
      <c r="S1576" s="4">
        <v>6</v>
      </c>
      <c r="T1576" s="4">
        <v>6</v>
      </c>
      <c r="U1576" s="5" t="s">
        <v>15488</v>
      </c>
      <c r="V1576" s="5" t="s">
        <v>15488</v>
      </c>
      <c r="W1576" s="5" t="s">
        <v>72</v>
      </c>
      <c r="X1576" s="5" t="s">
        <v>72</v>
      </c>
      <c r="Y1576" s="4">
        <v>173</v>
      </c>
      <c r="Z1576" s="4">
        <v>24</v>
      </c>
      <c r="AA1576" s="4">
        <v>136</v>
      </c>
      <c r="AB1576" s="4">
        <v>1</v>
      </c>
      <c r="AC1576" s="4">
        <v>24</v>
      </c>
      <c r="AD1576" s="4">
        <v>84</v>
      </c>
      <c r="AE1576" s="4">
        <v>147</v>
      </c>
      <c r="AF1576" s="4">
        <v>0</v>
      </c>
      <c r="AG1576" s="4">
        <v>9</v>
      </c>
      <c r="AH1576" s="4">
        <v>76</v>
      </c>
      <c r="AI1576" s="4">
        <v>97</v>
      </c>
      <c r="AJ1576" s="4">
        <v>12</v>
      </c>
      <c r="AK1576" s="4">
        <v>28</v>
      </c>
      <c r="AL1576" s="4">
        <v>43</v>
      </c>
      <c r="AM1576" s="4">
        <v>53</v>
      </c>
      <c r="AN1576" s="4">
        <v>0</v>
      </c>
      <c r="AO1576" s="4">
        <v>0</v>
      </c>
      <c r="AP1576" s="4">
        <v>15</v>
      </c>
      <c r="AQ1576" s="4">
        <v>58</v>
      </c>
      <c r="AR1576" s="3" t="s">
        <v>209</v>
      </c>
      <c r="AS1576" s="3" t="s">
        <v>65</v>
      </c>
      <c r="AT1576" s="3" t="s">
        <v>65</v>
      </c>
      <c r="AV1576" s="6" t="str">
        <f>HYPERLINK("http://mcgill.on.worldcat.org/oclc/54500712","Catalog Record")</f>
        <v>Catalog Record</v>
      </c>
      <c r="AW1576" s="6" t="str">
        <f>HYPERLINK("http://www.worldcat.org/oclc/54500712","WorldCat Record")</f>
        <v>WorldCat Record</v>
      </c>
      <c r="AX1576" s="3" t="s">
        <v>15489</v>
      </c>
      <c r="AY1576" s="3" t="s">
        <v>15490</v>
      </c>
      <c r="AZ1576" s="3" t="s">
        <v>15491</v>
      </c>
      <c r="BA1576" s="3" t="s">
        <v>15491</v>
      </c>
      <c r="BB1576" s="3" t="s">
        <v>15492</v>
      </c>
      <c r="BC1576" s="3" t="s">
        <v>77</v>
      </c>
      <c r="BD1576" s="3" t="s">
        <v>78</v>
      </c>
      <c r="BE1576" s="3" t="s">
        <v>15493</v>
      </c>
      <c r="BF1576" s="3" t="s">
        <v>15492</v>
      </c>
      <c r="BG1576" s="3" t="s">
        <v>15494</v>
      </c>
    </row>
    <row r="1577" spans="1:59" ht="58" x14ac:dyDescent="0.35">
      <c r="A1577" s="2" t="s">
        <v>59</v>
      </c>
      <c r="B1577" s="2" t="s">
        <v>60</v>
      </c>
      <c r="C1577" s="2" t="s">
        <v>15495</v>
      </c>
      <c r="D1577" s="2" t="s">
        <v>15496</v>
      </c>
      <c r="E1577" s="2" t="s">
        <v>15497</v>
      </c>
      <c r="G1577" s="3" t="s">
        <v>65</v>
      </c>
      <c r="I1577" s="3" t="s">
        <v>65</v>
      </c>
      <c r="J1577" s="3" t="s">
        <v>65</v>
      </c>
      <c r="K1577" s="3" t="s">
        <v>66</v>
      </c>
      <c r="L1577" s="2" t="s">
        <v>15498</v>
      </c>
      <c r="M1577" s="2" t="s">
        <v>15499</v>
      </c>
      <c r="N1577" s="3" t="s">
        <v>188</v>
      </c>
      <c r="P1577" s="3" t="s">
        <v>69</v>
      </c>
      <c r="R1577" s="3" t="s">
        <v>71</v>
      </c>
      <c r="S1577" s="4">
        <v>0</v>
      </c>
      <c r="T1577" s="4">
        <v>0</v>
      </c>
      <c r="W1577" s="5" t="s">
        <v>3282</v>
      </c>
      <c r="X1577" s="5" t="s">
        <v>3282</v>
      </c>
      <c r="Y1577" s="4">
        <v>109</v>
      </c>
      <c r="Z1577" s="4">
        <v>5</v>
      </c>
      <c r="AA1577" s="4">
        <v>18</v>
      </c>
      <c r="AB1577" s="4">
        <v>1</v>
      </c>
      <c r="AC1577" s="4">
        <v>4</v>
      </c>
      <c r="AD1577" s="4">
        <v>56</v>
      </c>
      <c r="AE1577" s="4">
        <v>75</v>
      </c>
      <c r="AF1577" s="4">
        <v>0</v>
      </c>
      <c r="AG1577" s="4">
        <v>0</v>
      </c>
      <c r="AH1577" s="4">
        <v>52</v>
      </c>
      <c r="AI1577" s="4">
        <v>67</v>
      </c>
      <c r="AJ1577" s="4">
        <v>3</v>
      </c>
      <c r="AK1577" s="4">
        <v>11</v>
      </c>
      <c r="AL1577" s="4">
        <v>39</v>
      </c>
      <c r="AM1577" s="4">
        <v>45</v>
      </c>
      <c r="AN1577" s="4">
        <v>0</v>
      </c>
      <c r="AO1577" s="4">
        <v>0</v>
      </c>
      <c r="AP1577" s="4">
        <v>3</v>
      </c>
      <c r="AQ1577" s="4">
        <v>13</v>
      </c>
      <c r="AR1577" s="3" t="s">
        <v>65</v>
      </c>
      <c r="AS1577" s="3" t="s">
        <v>65</v>
      </c>
      <c r="AT1577" s="3" t="s">
        <v>65</v>
      </c>
      <c r="AV1577" s="6" t="str">
        <f>HYPERLINK("http://mcgill.on.worldcat.org/oclc/973920986","Catalog Record")</f>
        <v>Catalog Record</v>
      </c>
      <c r="AW1577" s="6" t="str">
        <f>HYPERLINK("http://www.worldcat.org/oclc/973920986","WorldCat Record")</f>
        <v>WorldCat Record</v>
      </c>
      <c r="AX1577" s="3" t="s">
        <v>15500</v>
      </c>
      <c r="AY1577" s="3" t="s">
        <v>15501</v>
      </c>
      <c r="AZ1577" s="3" t="s">
        <v>15502</v>
      </c>
      <c r="BA1577" s="3" t="s">
        <v>15502</v>
      </c>
      <c r="BB1577" s="3" t="s">
        <v>15503</v>
      </c>
      <c r="BC1577" s="3" t="s">
        <v>77</v>
      </c>
      <c r="BD1577" s="3" t="s">
        <v>78</v>
      </c>
      <c r="BE1577" s="3" t="s">
        <v>15504</v>
      </c>
      <c r="BF1577" s="3" t="s">
        <v>15503</v>
      </c>
      <c r="BG1577" s="3" t="s">
        <v>15505</v>
      </c>
    </row>
    <row r="1578" spans="1:59" ht="72.5" x14ac:dyDescent="0.35">
      <c r="A1578" s="2" t="s">
        <v>59</v>
      </c>
      <c r="B1578" s="2" t="s">
        <v>60</v>
      </c>
      <c r="C1578" s="2" t="s">
        <v>15506</v>
      </c>
      <c r="D1578" s="2" t="s">
        <v>15507</v>
      </c>
      <c r="E1578" s="2" t="s">
        <v>15508</v>
      </c>
      <c r="G1578" s="3" t="s">
        <v>65</v>
      </c>
      <c r="I1578" s="3" t="s">
        <v>65</v>
      </c>
      <c r="J1578" s="3" t="s">
        <v>65</v>
      </c>
      <c r="K1578" s="3" t="s">
        <v>66</v>
      </c>
      <c r="L1578" s="2" t="s">
        <v>15509</v>
      </c>
      <c r="M1578" s="2" t="s">
        <v>15510</v>
      </c>
      <c r="N1578" s="3" t="s">
        <v>615</v>
      </c>
      <c r="P1578" s="3" t="s">
        <v>69</v>
      </c>
      <c r="Q1578" s="2" t="s">
        <v>15511</v>
      </c>
      <c r="R1578" s="3" t="s">
        <v>71</v>
      </c>
      <c r="S1578" s="4">
        <v>9</v>
      </c>
      <c r="T1578" s="4">
        <v>9</v>
      </c>
      <c r="U1578" s="5" t="s">
        <v>4404</v>
      </c>
      <c r="V1578" s="5" t="s">
        <v>4404</v>
      </c>
      <c r="W1578" s="5" t="s">
        <v>72</v>
      </c>
      <c r="X1578" s="5" t="s">
        <v>72</v>
      </c>
      <c r="Y1578" s="4">
        <v>161</v>
      </c>
      <c r="Z1578" s="4">
        <v>16</v>
      </c>
      <c r="AA1578" s="4">
        <v>17</v>
      </c>
      <c r="AB1578" s="4">
        <v>2</v>
      </c>
      <c r="AC1578" s="4">
        <v>3</v>
      </c>
      <c r="AD1578" s="4">
        <v>80</v>
      </c>
      <c r="AE1578" s="4">
        <v>82</v>
      </c>
      <c r="AF1578" s="4">
        <v>1</v>
      </c>
      <c r="AG1578" s="4">
        <v>2</v>
      </c>
      <c r="AH1578" s="4">
        <v>71</v>
      </c>
      <c r="AI1578" s="4">
        <v>72</v>
      </c>
      <c r="AJ1578" s="4">
        <v>12</v>
      </c>
      <c r="AK1578" s="4">
        <v>13</v>
      </c>
      <c r="AL1578" s="4">
        <v>45</v>
      </c>
      <c r="AM1578" s="4">
        <v>46</v>
      </c>
      <c r="AN1578" s="4">
        <v>0</v>
      </c>
      <c r="AO1578" s="4">
        <v>0</v>
      </c>
      <c r="AP1578" s="4">
        <v>13</v>
      </c>
      <c r="AQ1578" s="4">
        <v>14</v>
      </c>
      <c r="AR1578" s="3" t="s">
        <v>65</v>
      </c>
      <c r="AS1578" s="3" t="s">
        <v>65</v>
      </c>
      <c r="AT1578" s="3" t="s">
        <v>209</v>
      </c>
      <c r="AU1578" s="6" t="str">
        <f>HYPERLINK("http://catalog.hathitrust.org/Record/000357252","HathiTrust Record")</f>
        <v>HathiTrust Record</v>
      </c>
      <c r="AV1578" s="6" t="str">
        <f>HYPERLINK("http://mcgill.on.worldcat.org/oclc/11157615","Catalog Record")</f>
        <v>Catalog Record</v>
      </c>
      <c r="AW1578" s="6" t="str">
        <f>HYPERLINK("http://www.worldcat.org/oclc/11157615","WorldCat Record")</f>
        <v>WorldCat Record</v>
      </c>
      <c r="AX1578" s="3" t="s">
        <v>15512</v>
      </c>
      <c r="AY1578" s="3" t="s">
        <v>15513</v>
      </c>
      <c r="AZ1578" s="3" t="s">
        <v>15514</v>
      </c>
      <c r="BA1578" s="3" t="s">
        <v>15514</v>
      </c>
      <c r="BB1578" s="3" t="s">
        <v>15515</v>
      </c>
      <c r="BC1578" s="3" t="s">
        <v>77</v>
      </c>
      <c r="BD1578" s="3" t="s">
        <v>78</v>
      </c>
      <c r="BE1578" s="3" t="s">
        <v>15516</v>
      </c>
      <c r="BF1578" s="3" t="s">
        <v>15515</v>
      </c>
      <c r="BG1578" s="3" t="s">
        <v>15517</v>
      </c>
    </row>
    <row r="1579" spans="1:59" ht="58" x14ac:dyDescent="0.35">
      <c r="A1579" s="2" t="s">
        <v>59</v>
      </c>
      <c r="B1579" s="2" t="s">
        <v>60</v>
      </c>
      <c r="C1579" s="2" t="s">
        <v>15518</v>
      </c>
      <c r="D1579" s="2" t="s">
        <v>15519</v>
      </c>
      <c r="E1579" s="2" t="s">
        <v>15520</v>
      </c>
      <c r="G1579" s="3" t="s">
        <v>65</v>
      </c>
      <c r="I1579" s="3" t="s">
        <v>65</v>
      </c>
      <c r="J1579" s="3" t="s">
        <v>65</v>
      </c>
      <c r="K1579" s="3" t="s">
        <v>66</v>
      </c>
      <c r="L1579" s="2" t="s">
        <v>15521</v>
      </c>
      <c r="M1579" s="2" t="s">
        <v>15522</v>
      </c>
      <c r="N1579" s="3" t="s">
        <v>577</v>
      </c>
      <c r="P1579" s="3" t="s">
        <v>69</v>
      </c>
      <c r="Q1579" s="2" t="s">
        <v>15523</v>
      </c>
      <c r="R1579" s="3" t="s">
        <v>71</v>
      </c>
      <c r="S1579" s="4">
        <v>4</v>
      </c>
      <c r="T1579" s="4">
        <v>4</v>
      </c>
      <c r="U1579" s="5" t="s">
        <v>5084</v>
      </c>
      <c r="V1579" s="5" t="s">
        <v>5084</v>
      </c>
      <c r="W1579" s="5" t="s">
        <v>72</v>
      </c>
      <c r="X1579" s="5" t="s">
        <v>72</v>
      </c>
      <c r="Y1579" s="4">
        <v>163</v>
      </c>
      <c r="Z1579" s="4">
        <v>6</v>
      </c>
      <c r="AA1579" s="4">
        <v>6</v>
      </c>
      <c r="AB1579" s="4">
        <v>1</v>
      </c>
      <c r="AC1579" s="4">
        <v>1</v>
      </c>
      <c r="AD1579" s="4">
        <v>66</v>
      </c>
      <c r="AE1579" s="4">
        <v>66</v>
      </c>
      <c r="AF1579" s="4">
        <v>0</v>
      </c>
      <c r="AG1579" s="4">
        <v>0</v>
      </c>
      <c r="AH1579" s="4">
        <v>64</v>
      </c>
      <c r="AI1579" s="4">
        <v>64</v>
      </c>
      <c r="AJ1579" s="4">
        <v>4</v>
      </c>
      <c r="AK1579" s="4">
        <v>4</v>
      </c>
      <c r="AL1579" s="4">
        <v>39</v>
      </c>
      <c r="AM1579" s="4">
        <v>39</v>
      </c>
      <c r="AN1579" s="4">
        <v>0</v>
      </c>
      <c r="AO1579" s="4">
        <v>0</v>
      </c>
      <c r="AP1579" s="4">
        <v>4</v>
      </c>
      <c r="AQ1579" s="4">
        <v>4</v>
      </c>
      <c r="AR1579" s="3" t="s">
        <v>65</v>
      </c>
      <c r="AS1579" s="3" t="s">
        <v>65</v>
      </c>
      <c r="AT1579" s="3" t="s">
        <v>209</v>
      </c>
      <c r="AU1579" s="6" t="str">
        <f>HYPERLINK("http://catalog.hathitrust.org/Record/000258038","HathiTrust Record")</f>
        <v>HathiTrust Record</v>
      </c>
      <c r="AV1579" s="6" t="str">
        <f>HYPERLINK("http://mcgill.on.worldcat.org/oclc/4540746","Catalog Record")</f>
        <v>Catalog Record</v>
      </c>
      <c r="AW1579" s="6" t="str">
        <f>HYPERLINK("http://www.worldcat.org/oclc/4540746","WorldCat Record")</f>
        <v>WorldCat Record</v>
      </c>
      <c r="AX1579" s="3" t="s">
        <v>15524</v>
      </c>
      <c r="AY1579" s="3" t="s">
        <v>15525</v>
      </c>
      <c r="AZ1579" s="3" t="s">
        <v>15526</v>
      </c>
      <c r="BA1579" s="3" t="s">
        <v>15526</v>
      </c>
      <c r="BB1579" s="3" t="s">
        <v>15527</v>
      </c>
      <c r="BC1579" s="3" t="s">
        <v>77</v>
      </c>
      <c r="BD1579" s="3" t="s">
        <v>78</v>
      </c>
      <c r="BE1579" s="3" t="s">
        <v>15528</v>
      </c>
      <c r="BF1579" s="3" t="s">
        <v>15527</v>
      </c>
      <c r="BG1579" s="3" t="s">
        <v>15529</v>
      </c>
    </row>
    <row r="1580" spans="1:59" ht="58" x14ac:dyDescent="0.35">
      <c r="A1580" s="2" t="s">
        <v>59</v>
      </c>
      <c r="B1580" s="2" t="s">
        <v>60</v>
      </c>
      <c r="C1580" s="2" t="s">
        <v>15530</v>
      </c>
      <c r="D1580" s="2" t="s">
        <v>15531</v>
      </c>
      <c r="E1580" s="2" t="s">
        <v>15532</v>
      </c>
      <c r="G1580" s="3" t="s">
        <v>65</v>
      </c>
      <c r="I1580" s="3" t="s">
        <v>65</v>
      </c>
      <c r="J1580" s="3" t="s">
        <v>65</v>
      </c>
      <c r="K1580" s="3" t="s">
        <v>66</v>
      </c>
      <c r="L1580" s="2" t="s">
        <v>15533</v>
      </c>
      <c r="M1580" s="2" t="s">
        <v>15534</v>
      </c>
      <c r="N1580" s="3" t="s">
        <v>164</v>
      </c>
      <c r="P1580" s="3" t="s">
        <v>140</v>
      </c>
      <c r="Q1580" s="2" t="s">
        <v>15535</v>
      </c>
      <c r="R1580" s="3" t="s">
        <v>71</v>
      </c>
      <c r="S1580" s="4">
        <v>0</v>
      </c>
      <c r="T1580" s="4">
        <v>0</v>
      </c>
      <c r="W1580" s="5" t="s">
        <v>72</v>
      </c>
      <c r="X1580" s="5" t="s">
        <v>72</v>
      </c>
      <c r="Y1580" s="4">
        <v>25</v>
      </c>
      <c r="Z1580" s="4">
        <v>3</v>
      </c>
      <c r="AA1580" s="4">
        <v>3</v>
      </c>
      <c r="AB1580" s="4">
        <v>1</v>
      </c>
      <c r="AC1580" s="4">
        <v>1</v>
      </c>
      <c r="AD1580" s="4">
        <v>12</v>
      </c>
      <c r="AE1580" s="4">
        <v>12</v>
      </c>
      <c r="AF1580" s="4">
        <v>0</v>
      </c>
      <c r="AG1580" s="4">
        <v>0</v>
      </c>
      <c r="AH1580" s="4">
        <v>11</v>
      </c>
      <c r="AI1580" s="4">
        <v>11</v>
      </c>
      <c r="AJ1580" s="4">
        <v>1</v>
      </c>
      <c r="AK1580" s="4">
        <v>1</v>
      </c>
      <c r="AL1580" s="4">
        <v>9</v>
      </c>
      <c r="AM1580" s="4">
        <v>9</v>
      </c>
      <c r="AN1580" s="4">
        <v>0</v>
      </c>
      <c r="AO1580" s="4">
        <v>0</v>
      </c>
      <c r="AP1580" s="4">
        <v>1</v>
      </c>
      <c r="AQ1580" s="4">
        <v>1</v>
      </c>
      <c r="AR1580" s="3" t="s">
        <v>65</v>
      </c>
      <c r="AS1580" s="3" t="s">
        <v>65</v>
      </c>
      <c r="AT1580" s="3" t="s">
        <v>65</v>
      </c>
      <c r="AV1580" s="6" t="str">
        <f>HYPERLINK("http://mcgill.on.worldcat.org/oclc/885252971","Catalog Record")</f>
        <v>Catalog Record</v>
      </c>
      <c r="AW1580" s="6" t="str">
        <f>HYPERLINK("http://www.worldcat.org/oclc/885252971","WorldCat Record")</f>
        <v>WorldCat Record</v>
      </c>
      <c r="AX1580" s="3" t="s">
        <v>15536</v>
      </c>
      <c r="AY1580" s="3" t="s">
        <v>15537</v>
      </c>
      <c r="AZ1580" s="3" t="s">
        <v>15538</v>
      </c>
      <c r="BA1580" s="3" t="s">
        <v>15538</v>
      </c>
      <c r="BB1580" s="3" t="s">
        <v>15539</v>
      </c>
      <c r="BC1580" s="3" t="s">
        <v>77</v>
      </c>
      <c r="BD1580" s="3" t="s">
        <v>78</v>
      </c>
      <c r="BE1580" s="3" t="s">
        <v>15540</v>
      </c>
      <c r="BF1580" s="3" t="s">
        <v>15539</v>
      </c>
      <c r="BG1580" s="3" t="s">
        <v>15541</v>
      </c>
    </row>
    <row r="1581" spans="1:59" ht="58" x14ac:dyDescent="0.35">
      <c r="A1581" s="2" t="s">
        <v>59</v>
      </c>
      <c r="B1581" s="2" t="s">
        <v>60</v>
      </c>
      <c r="C1581" s="2" t="s">
        <v>15542</v>
      </c>
      <c r="D1581" s="2" t="s">
        <v>15543</v>
      </c>
      <c r="E1581" s="2" t="s">
        <v>15544</v>
      </c>
      <c r="G1581" s="3" t="s">
        <v>65</v>
      </c>
      <c r="I1581" s="3" t="s">
        <v>65</v>
      </c>
      <c r="J1581" s="3" t="s">
        <v>65</v>
      </c>
      <c r="K1581" s="3" t="s">
        <v>66</v>
      </c>
      <c r="L1581" s="2" t="s">
        <v>15545</v>
      </c>
      <c r="M1581" s="2" t="s">
        <v>15546</v>
      </c>
      <c r="N1581" s="3" t="s">
        <v>1196</v>
      </c>
      <c r="P1581" s="3" t="s">
        <v>69</v>
      </c>
      <c r="Q1581" s="2" t="s">
        <v>15547</v>
      </c>
      <c r="R1581" s="3" t="s">
        <v>71</v>
      </c>
      <c r="S1581" s="4">
        <v>6</v>
      </c>
      <c r="T1581" s="4">
        <v>6</v>
      </c>
      <c r="U1581" s="5" t="s">
        <v>4251</v>
      </c>
      <c r="V1581" s="5" t="s">
        <v>4251</v>
      </c>
      <c r="W1581" s="5" t="s">
        <v>72</v>
      </c>
      <c r="X1581" s="5" t="s">
        <v>72</v>
      </c>
      <c r="Y1581" s="4">
        <v>218</v>
      </c>
      <c r="Z1581" s="4">
        <v>19</v>
      </c>
      <c r="AA1581" s="4">
        <v>50</v>
      </c>
      <c r="AB1581" s="4">
        <v>1</v>
      </c>
      <c r="AC1581" s="4">
        <v>7</v>
      </c>
      <c r="AD1581" s="4">
        <v>94</v>
      </c>
      <c r="AE1581" s="4">
        <v>104</v>
      </c>
      <c r="AF1581" s="4">
        <v>0</v>
      </c>
      <c r="AG1581" s="4">
        <v>0</v>
      </c>
      <c r="AH1581" s="4">
        <v>87</v>
      </c>
      <c r="AI1581" s="4">
        <v>91</v>
      </c>
      <c r="AJ1581" s="4">
        <v>12</v>
      </c>
      <c r="AK1581" s="4">
        <v>13</v>
      </c>
      <c r="AL1581" s="4">
        <v>51</v>
      </c>
      <c r="AM1581" s="4">
        <v>53</v>
      </c>
      <c r="AN1581" s="4">
        <v>0</v>
      </c>
      <c r="AO1581" s="4">
        <v>0</v>
      </c>
      <c r="AP1581" s="4">
        <v>13</v>
      </c>
      <c r="AQ1581" s="4">
        <v>18</v>
      </c>
      <c r="AR1581" s="3" t="s">
        <v>65</v>
      </c>
      <c r="AS1581" s="3" t="s">
        <v>65</v>
      </c>
      <c r="AT1581" s="3" t="s">
        <v>65</v>
      </c>
      <c r="AV1581" s="6" t="str">
        <f>HYPERLINK("http://mcgill.on.worldcat.org/oclc/55730038","Catalog Record")</f>
        <v>Catalog Record</v>
      </c>
      <c r="AW1581" s="6" t="str">
        <f>HYPERLINK("http://www.worldcat.org/oclc/55730038","WorldCat Record")</f>
        <v>WorldCat Record</v>
      </c>
      <c r="AX1581" s="3" t="s">
        <v>15548</v>
      </c>
      <c r="AY1581" s="3" t="s">
        <v>15549</v>
      </c>
      <c r="AZ1581" s="3" t="s">
        <v>15550</v>
      </c>
      <c r="BA1581" s="3" t="s">
        <v>15550</v>
      </c>
      <c r="BB1581" s="3" t="s">
        <v>15551</v>
      </c>
      <c r="BC1581" s="3" t="s">
        <v>77</v>
      </c>
      <c r="BD1581" s="3" t="s">
        <v>78</v>
      </c>
      <c r="BE1581" s="3" t="s">
        <v>15552</v>
      </c>
      <c r="BF1581" s="3" t="s">
        <v>15551</v>
      </c>
      <c r="BG1581" s="3" t="s">
        <v>15553</v>
      </c>
    </row>
    <row r="1582" spans="1:59" ht="58" x14ac:dyDescent="0.35">
      <c r="A1582" s="2" t="s">
        <v>59</v>
      </c>
      <c r="B1582" s="2" t="s">
        <v>60</v>
      </c>
      <c r="C1582" s="2" t="s">
        <v>15554</v>
      </c>
      <c r="D1582" s="2" t="s">
        <v>15555</v>
      </c>
      <c r="E1582" s="2" t="s">
        <v>15556</v>
      </c>
      <c r="G1582" s="3" t="s">
        <v>65</v>
      </c>
      <c r="I1582" s="3" t="s">
        <v>65</v>
      </c>
      <c r="J1582" s="3" t="s">
        <v>65</v>
      </c>
      <c r="K1582" s="3" t="s">
        <v>66</v>
      </c>
      <c r="L1582" s="2" t="s">
        <v>15557</v>
      </c>
      <c r="M1582" s="2" t="s">
        <v>4067</v>
      </c>
      <c r="N1582" s="3" t="s">
        <v>126</v>
      </c>
      <c r="P1582" s="3" t="s">
        <v>69</v>
      </c>
      <c r="Q1582" s="2" t="s">
        <v>1197</v>
      </c>
      <c r="R1582" s="3" t="s">
        <v>71</v>
      </c>
      <c r="S1582" s="4">
        <v>0</v>
      </c>
      <c r="T1582" s="4">
        <v>0</v>
      </c>
      <c r="W1582" s="5" t="s">
        <v>72</v>
      </c>
      <c r="X1582" s="5" t="s">
        <v>72</v>
      </c>
      <c r="Y1582" s="4">
        <v>153</v>
      </c>
      <c r="Z1582" s="4">
        <v>24</v>
      </c>
      <c r="AA1582" s="4">
        <v>104</v>
      </c>
      <c r="AB1582" s="4">
        <v>1</v>
      </c>
      <c r="AC1582" s="4">
        <v>19</v>
      </c>
      <c r="AD1582" s="4">
        <v>83</v>
      </c>
      <c r="AE1582" s="4">
        <v>137</v>
      </c>
      <c r="AF1582" s="4">
        <v>0</v>
      </c>
      <c r="AG1582" s="4">
        <v>8</v>
      </c>
      <c r="AH1582" s="4">
        <v>71</v>
      </c>
      <c r="AI1582" s="4">
        <v>95</v>
      </c>
      <c r="AJ1582" s="4">
        <v>20</v>
      </c>
      <c r="AK1582" s="4">
        <v>27</v>
      </c>
      <c r="AL1582" s="4">
        <v>46</v>
      </c>
      <c r="AM1582" s="4">
        <v>52</v>
      </c>
      <c r="AN1582" s="4">
        <v>0</v>
      </c>
      <c r="AO1582" s="4">
        <v>0</v>
      </c>
      <c r="AP1582" s="4">
        <v>20</v>
      </c>
      <c r="AQ1582" s="4">
        <v>51</v>
      </c>
      <c r="AR1582" s="3" t="s">
        <v>209</v>
      </c>
      <c r="AS1582" s="3" t="s">
        <v>65</v>
      </c>
      <c r="AT1582" s="3" t="s">
        <v>65</v>
      </c>
      <c r="AV1582" s="6" t="str">
        <f>HYPERLINK("http://mcgill.on.worldcat.org/oclc/720811306","Catalog Record")</f>
        <v>Catalog Record</v>
      </c>
      <c r="AW1582" s="6" t="str">
        <f>HYPERLINK("http://www.worldcat.org/oclc/720811306","WorldCat Record")</f>
        <v>WorldCat Record</v>
      </c>
      <c r="AX1582" s="3" t="s">
        <v>15558</v>
      </c>
      <c r="AY1582" s="3" t="s">
        <v>15559</v>
      </c>
      <c r="AZ1582" s="3" t="s">
        <v>15560</v>
      </c>
      <c r="BA1582" s="3" t="s">
        <v>15560</v>
      </c>
      <c r="BB1582" s="3" t="s">
        <v>15561</v>
      </c>
      <c r="BC1582" s="3" t="s">
        <v>77</v>
      </c>
      <c r="BD1582" s="3" t="s">
        <v>78</v>
      </c>
      <c r="BE1582" s="3" t="s">
        <v>15562</v>
      </c>
      <c r="BF1582" s="3" t="s">
        <v>15561</v>
      </c>
      <c r="BG1582" s="3" t="s">
        <v>15563</v>
      </c>
    </row>
    <row r="1583" spans="1:59" ht="58" x14ac:dyDescent="0.35">
      <c r="A1583" s="2" t="s">
        <v>59</v>
      </c>
      <c r="B1583" s="2" t="s">
        <v>60</v>
      </c>
      <c r="C1583" s="2" t="s">
        <v>15564</v>
      </c>
      <c r="D1583" s="2" t="s">
        <v>15565</v>
      </c>
      <c r="E1583" s="2" t="s">
        <v>15566</v>
      </c>
      <c r="F1583" s="3" t="s">
        <v>8361</v>
      </c>
      <c r="G1583" s="3" t="s">
        <v>209</v>
      </c>
      <c r="I1583" s="3" t="s">
        <v>65</v>
      </c>
      <c r="J1583" s="3" t="s">
        <v>65</v>
      </c>
      <c r="K1583" s="3" t="s">
        <v>66</v>
      </c>
      <c r="L1583" s="2" t="s">
        <v>15567</v>
      </c>
      <c r="M1583" s="2" t="s">
        <v>15568</v>
      </c>
      <c r="N1583" s="3" t="s">
        <v>139</v>
      </c>
      <c r="P1583" s="3" t="s">
        <v>140</v>
      </c>
      <c r="Q1583" s="2" t="s">
        <v>15569</v>
      </c>
      <c r="R1583" s="3" t="s">
        <v>71</v>
      </c>
      <c r="S1583" s="4">
        <v>0</v>
      </c>
      <c r="T1583" s="4">
        <v>0</v>
      </c>
      <c r="W1583" s="5" t="s">
        <v>72</v>
      </c>
      <c r="X1583" s="5" t="s">
        <v>72</v>
      </c>
      <c r="Y1583" s="4">
        <v>12</v>
      </c>
      <c r="Z1583" s="4">
        <v>1</v>
      </c>
      <c r="AA1583" s="4">
        <v>1</v>
      </c>
      <c r="AB1583" s="4">
        <v>1</v>
      </c>
      <c r="AC1583" s="4">
        <v>1</v>
      </c>
      <c r="AD1583" s="4">
        <v>2</v>
      </c>
      <c r="AE1583" s="4">
        <v>2</v>
      </c>
      <c r="AF1583" s="4">
        <v>0</v>
      </c>
      <c r="AG1583" s="4">
        <v>0</v>
      </c>
      <c r="AH1583" s="4">
        <v>2</v>
      </c>
      <c r="AI1583" s="4">
        <v>2</v>
      </c>
      <c r="AJ1583" s="4">
        <v>0</v>
      </c>
      <c r="AK1583" s="4">
        <v>0</v>
      </c>
      <c r="AL1583" s="4">
        <v>2</v>
      </c>
      <c r="AM1583" s="4">
        <v>2</v>
      </c>
      <c r="AN1583" s="4">
        <v>0</v>
      </c>
      <c r="AO1583" s="4">
        <v>0</v>
      </c>
      <c r="AP1583" s="4">
        <v>0</v>
      </c>
      <c r="AQ1583" s="4">
        <v>0</v>
      </c>
      <c r="AR1583" s="3" t="s">
        <v>65</v>
      </c>
      <c r="AS1583" s="3" t="s">
        <v>65</v>
      </c>
      <c r="AT1583" s="3" t="s">
        <v>65</v>
      </c>
      <c r="AV1583" s="6" t="str">
        <f>HYPERLINK("http://mcgill.on.worldcat.org/oclc/793802626","Catalog Record")</f>
        <v>Catalog Record</v>
      </c>
      <c r="AW1583" s="6" t="str">
        <f>HYPERLINK("http://www.worldcat.org/oclc/793802626","WorldCat Record")</f>
        <v>WorldCat Record</v>
      </c>
      <c r="AX1583" s="3" t="s">
        <v>15570</v>
      </c>
      <c r="AY1583" s="3" t="s">
        <v>15571</v>
      </c>
      <c r="AZ1583" s="3" t="s">
        <v>15572</v>
      </c>
      <c r="BA1583" s="3" t="s">
        <v>15572</v>
      </c>
      <c r="BB1583" s="3" t="s">
        <v>15573</v>
      </c>
      <c r="BC1583" s="3" t="s">
        <v>77</v>
      </c>
      <c r="BD1583" s="3" t="s">
        <v>78</v>
      </c>
      <c r="BE1583" s="3" t="s">
        <v>15574</v>
      </c>
      <c r="BF1583" s="3" t="s">
        <v>15573</v>
      </c>
      <c r="BG1583" s="3" t="s">
        <v>15575</v>
      </c>
    </row>
    <row r="1584" spans="1:59" ht="58" x14ac:dyDescent="0.35">
      <c r="A1584" s="2" t="s">
        <v>59</v>
      </c>
      <c r="B1584" s="2" t="s">
        <v>60</v>
      </c>
      <c r="C1584" s="2" t="s">
        <v>15564</v>
      </c>
      <c r="D1584" s="2" t="s">
        <v>15565</v>
      </c>
      <c r="E1584" s="2" t="s">
        <v>15566</v>
      </c>
      <c r="F1584" s="3" t="s">
        <v>1282</v>
      </c>
      <c r="G1584" s="3" t="s">
        <v>209</v>
      </c>
      <c r="I1584" s="3" t="s">
        <v>65</v>
      </c>
      <c r="J1584" s="3" t="s">
        <v>65</v>
      </c>
      <c r="K1584" s="3" t="s">
        <v>66</v>
      </c>
      <c r="L1584" s="2" t="s">
        <v>15567</v>
      </c>
      <c r="M1584" s="2" t="s">
        <v>15568</v>
      </c>
      <c r="N1584" s="3" t="s">
        <v>139</v>
      </c>
      <c r="P1584" s="3" t="s">
        <v>140</v>
      </c>
      <c r="Q1584" s="2" t="s">
        <v>15569</v>
      </c>
      <c r="R1584" s="3" t="s">
        <v>71</v>
      </c>
      <c r="S1584" s="4">
        <v>0</v>
      </c>
      <c r="T1584" s="4">
        <v>0</v>
      </c>
      <c r="W1584" s="5" t="s">
        <v>72</v>
      </c>
      <c r="X1584" s="5" t="s">
        <v>72</v>
      </c>
      <c r="Y1584" s="4">
        <v>12</v>
      </c>
      <c r="Z1584" s="4">
        <v>1</v>
      </c>
      <c r="AA1584" s="4">
        <v>1</v>
      </c>
      <c r="AB1584" s="4">
        <v>1</v>
      </c>
      <c r="AC1584" s="4">
        <v>1</v>
      </c>
      <c r="AD1584" s="4">
        <v>2</v>
      </c>
      <c r="AE1584" s="4">
        <v>2</v>
      </c>
      <c r="AF1584" s="4">
        <v>0</v>
      </c>
      <c r="AG1584" s="4">
        <v>0</v>
      </c>
      <c r="AH1584" s="4">
        <v>2</v>
      </c>
      <c r="AI1584" s="4">
        <v>2</v>
      </c>
      <c r="AJ1584" s="4">
        <v>0</v>
      </c>
      <c r="AK1584" s="4">
        <v>0</v>
      </c>
      <c r="AL1584" s="4">
        <v>2</v>
      </c>
      <c r="AM1584" s="4">
        <v>2</v>
      </c>
      <c r="AN1584" s="4">
        <v>0</v>
      </c>
      <c r="AO1584" s="4">
        <v>0</v>
      </c>
      <c r="AP1584" s="4">
        <v>0</v>
      </c>
      <c r="AQ1584" s="4">
        <v>0</v>
      </c>
      <c r="AR1584" s="3" t="s">
        <v>65</v>
      </c>
      <c r="AS1584" s="3" t="s">
        <v>65</v>
      </c>
      <c r="AT1584" s="3" t="s">
        <v>65</v>
      </c>
      <c r="AV1584" s="6" t="str">
        <f>HYPERLINK("http://mcgill.on.worldcat.org/oclc/793802626","Catalog Record")</f>
        <v>Catalog Record</v>
      </c>
      <c r="AW1584" s="6" t="str">
        <f>HYPERLINK("http://www.worldcat.org/oclc/793802626","WorldCat Record")</f>
        <v>WorldCat Record</v>
      </c>
      <c r="AX1584" s="3" t="s">
        <v>15570</v>
      </c>
      <c r="AY1584" s="3" t="s">
        <v>15571</v>
      </c>
      <c r="AZ1584" s="3" t="s">
        <v>15572</v>
      </c>
      <c r="BA1584" s="3" t="s">
        <v>15572</v>
      </c>
      <c r="BB1584" s="3" t="s">
        <v>15576</v>
      </c>
      <c r="BC1584" s="3" t="s">
        <v>77</v>
      </c>
      <c r="BD1584" s="3" t="s">
        <v>78</v>
      </c>
      <c r="BE1584" s="3" t="s">
        <v>15574</v>
      </c>
      <c r="BF1584" s="3" t="s">
        <v>15576</v>
      </c>
      <c r="BG1584" s="3" t="s">
        <v>15577</v>
      </c>
    </row>
    <row r="1585" spans="1:59" ht="58" x14ac:dyDescent="0.35">
      <c r="A1585" s="2" t="s">
        <v>59</v>
      </c>
      <c r="B1585" s="2" t="s">
        <v>60</v>
      </c>
      <c r="C1585" s="2" t="s">
        <v>15578</v>
      </c>
      <c r="D1585" s="2" t="s">
        <v>15579</v>
      </c>
      <c r="E1585" s="2" t="s">
        <v>15580</v>
      </c>
      <c r="G1585" s="3" t="s">
        <v>65</v>
      </c>
      <c r="I1585" s="3" t="s">
        <v>65</v>
      </c>
      <c r="J1585" s="3" t="s">
        <v>65</v>
      </c>
      <c r="K1585" s="3" t="s">
        <v>66</v>
      </c>
      <c r="L1585" s="2" t="s">
        <v>15581</v>
      </c>
      <c r="M1585" s="2" t="s">
        <v>15582</v>
      </c>
      <c r="N1585" s="3" t="s">
        <v>247</v>
      </c>
      <c r="P1585" s="3" t="s">
        <v>140</v>
      </c>
      <c r="Q1585" s="2" t="s">
        <v>15583</v>
      </c>
      <c r="R1585" s="3" t="s">
        <v>71</v>
      </c>
      <c r="S1585" s="4">
        <v>1</v>
      </c>
      <c r="T1585" s="4">
        <v>1</v>
      </c>
      <c r="U1585" s="5" t="s">
        <v>15584</v>
      </c>
      <c r="V1585" s="5" t="s">
        <v>15584</v>
      </c>
      <c r="W1585" s="5" t="s">
        <v>72</v>
      </c>
      <c r="X1585" s="5" t="s">
        <v>72</v>
      </c>
      <c r="Y1585" s="4">
        <v>51</v>
      </c>
      <c r="Z1585" s="4">
        <v>4</v>
      </c>
      <c r="AA1585" s="4">
        <v>4</v>
      </c>
      <c r="AB1585" s="4">
        <v>1</v>
      </c>
      <c r="AC1585" s="4">
        <v>1</v>
      </c>
      <c r="AD1585" s="4">
        <v>29</v>
      </c>
      <c r="AE1585" s="4">
        <v>29</v>
      </c>
      <c r="AF1585" s="4">
        <v>0</v>
      </c>
      <c r="AG1585" s="4">
        <v>0</v>
      </c>
      <c r="AH1585" s="4">
        <v>27</v>
      </c>
      <c r="AI1585" s="4">
        <v>27</v>
      </c>
      <c r="AJ1585" s="4">
        <v>2</v>
      </c>
      <c r="AK1585" s="4">
        <v>2</v>
      </c>
      <c r="AL1585" s="4">
        <v>23</v>
      </c>
      <c r="AM1585" s="4">
        <v>23</v>
      </c>
      <c r="AN1585" s="4">
        <v>0</v>
      </c>
      <c r="AO1585" s="4">
        <v>0</v>
      </c>
      <c r="AP1585" s="4">
        <v>2</v>
      </c>
      <c r="AQ1585" s="4">
        <v>2</v>
      </c>
      <c r="AR1585" s="3" t="s">
        <v>65</v>
      </c>
      <c r="AS1585" s="3" t="s">
        <v>65</v>
      </c>
      <c r="AT1585" s="3" t="s">
        <v>209</v>
      </c>
      <c r="AU1585" s="6" t="str">
        <f>HYPERLINK("http://catalog.hathitrust.org/Record/002889795","HathiTrust Record")</f>
        <v>HathiTrust Record</v>
      </c>
      <c r="AV1585" s="6" t="str">
        <f>HYPERLINK("http://mcgill.on.worldcat.org/oclc/30459911","Catalog Record")</f>
        <v>Catalog Record</v>
      </c>
      <c r="AW1585" s="6" t="str">
        <f>HYPERLINK("http://www.worldcat.org/oclc/30459911","WorldCat Record")</f>
        <v>WorldCat Record</v>
      </c>
      <c r="AX1585" s="3" t="s">
        <v>15585</v>
      </c>
      <c r="AY1585" s="3" t="s">
        <v>15586</v>
      </c>
      <c r="AZ1585" s="3" t="s">
        <v>15587</v>
      </c>
      <c r="BA1585" s="3" t="s">
        <v>15587</v>
      </c>
      <c r="BB1585" s="3" t="s">
        <v>15588</v>
      </c>
      <c r="BC1585" s="3" t="s">
        <v>77</v>
      </c>
      <c r="BD1585" s="3" t="s">
        <v>78</v>
      </c>
      <c r="BE1585" s="3" t="s">
        <v>15589</v>
      </c>
      <c r="BF1585" s="3" t="s">
        <v>15588</v>
      </c>
      <c r="BG1585" s="3" t="s">
        <v>15590</v>
      </c>
    </row>
    <row r="1586" spans="1:59" ht="58" x14ac:dyDescent="0.35">
      <c r="A1586" s="2" t="s">
        <v>59</v>
      </c>
      <c r="B1586" s="2" t="s">
        <v>60</v>
      </c>
      <c r="C1586" s="2" t="s">
        <v>15591</v>
      </c>
      <c r="D1586" s="2" t="s">
        <v>15592</v>
      </c>
      <c r="E1586" s="2" t="s">
        <v>15593</v>
      </c>
      <c r="G1586" s="3" t="s">
        <v>65</v>
      </c>
      <c r="I1586" s="3" t="s">
        <v>65</v>
      </c>
      <c r="J1586" s="3" t="s">
        <v>65</v>
      </c>
      <c r="K1586" s="3" t="s">
        <v>66</v>
      </c>
      <c r="L1586" s="2" t="s">
        <v>15594</v>
      </c>
      <c r="M1586" s="2" t="s">
        <v>3711</v>
      </c>
      <c r="N1586" s="3" t="s">
        <v>139</v>
      </c>
      <c r="P1586" s="3" t="s">
        <v>140</v>
      </c>
      <c r="Q1586" s="2" t="s">
        <v>15595</v>
      </c>
      <c r="R1586" s="3" t="s">
        <v>71</v>
      </c>
      <c r="S1586" s="4">
        <v>0</v>
      </c>
      <c r="T1586" s="4">
        <v>0</v>
      </c>
      <c r="W1586" s="5" t="s">
        <v>72</v>
      </c>
      <c r="X1586" s="5" t="s">
        <v>72</v>
      </c>
      <c r="Y1586" s="4">
        <v>41</v>
      </c>
      <c r="Z1586" s="4">
        <v>4</v>
      </c>
      <c r="AA1586" s="4">
        <v>4</v>
      </c>
      <c r="AB1586" s="4">
        <v>1</v>
      </c>
      <c r="AC1586" s="4">
        <v>1</v>
      </c>
      <c r="AD1586" s="4">
        <v>27</v>
      </c>
      <c r="AE1586" s="4">
        <v>27</v>
      </c>
      <c r="AF1586" s="4">
        <v>0</v>
      </c>
      <c r="AG1586" s="4">
        <v>0</v>
      </c>
      <c r="AH1586" s="4">
        <v>26</v>
      </c>
      <c r="AI1586" s="4">
        <v>26</v>
      </c>
      <c r="AJ1586" s="4">
        <v>2</v>
      </c>
      <c r="AK1586" s="4">
        <v>2</v>
      </c>
      <c r="AL1586" s="4">
        <v>23</v>
      </c>
      <c r="AM1586" s="4">
        <v>23</v>
      </c>
      <c r="AN1586" s="4">
        <v>0</v>
      </c>
      <c r="AO1586" s="4">
        <v>0</v>
      </c>
      <c r="AP1586" s="4">
        <v>2</v>
      </c>
      <c r="AQ1586" s="4">
        <v>2</v>
      </c>
      <c r="AR1586" s="3" t="s">
        <v>65</v>
      </c>
      <c r="AS1586" s="3" t="s">
        <v>65</v>
      </c>
      <c r="AT1586" s="3" t="s">
        <v>65</v>
      </c>
      <c r="AV1586" s="6" t="str">
        <f>HYPERLINK("http://mcgill.on.worldcat.org/oclc/812250958","Catalog Record")</f>
        <v>Catalog Record</v>
      </c>
      <c r="AW1586" s="6" t="str">
        <f>HYPERLINK("http://www.worldcat.org/oclc/812250958","WorldCat Record")</f>
        <v>WorldCat Record</v>
      </c>
      <c r="AX1586" s="3" t="s">
        <v>15596</v>
      </c>
      <c r="AY1586" s="3" t="s">
        <v>15597</v>
      </c>
      <c r="AZ1586" s="3" t="s">
        <v>15598</v>
      </c>
      <c r="BA1586" s="3" t="s">
        <v>15598</v>
      </c>
      <c r="BB1586" s="3" t="s">
        <v>15599</v>
      </c>
      <c r="BC1586" s="3" t="s">
        <v>77</v>
      </c>
      <c r="BD1586" s="3" t="s">
        <v>78</v>
      </c>
      <c r="BE1586" s="3" t="s">
        <v>15600</v>
      </c>
      <c r="BF1586" s="3" t="s">
        <v>15599</v>
      </c>
      <c r="BG1586" s="3" t="s">
        <v>15601</v>
      </c>
    </row>
    <row r="1587" spans="1:59" ht="58" x14ac:dyDescent="0.35">
      <c r="A1587" s="2" t="s">
        <v>59</v>
      </c>
      <c r="B1587" s="2" t="s">
        <v>60</v>
      </c>
      <c r="C1587" s="2" t="s">
        <v>15602</v>
      </c>
      <c r="D1587" s="2" t="s">
        <v>15603</v>
      </c>
      <c r="E1587" s="2" t="s">
        <v>15604</v>
      </c>
      <c r="G1587" s="3" t="s">
        <v>65</v>
      </c>
      <c r="I1587" s="3" t="s">
        <v>65</v>
      </c>
      <c r="J1587" s="3" t="s">
        <v>65</v>
      </c>
      <c r="K1587" s="3" t="s">
        <v>66</v>
      </c>
      <c r="L1587" s="2" t="s">
        <v>15605</v>
      </c>
      <c r="M1587" s="2" t="s">
        <v>15606</v>
      </c>
      <c r="N1587" s="3" t="s">
        <v>1932</v>
      </c>
      <c r="P1587" s="3" t="s">
        <v>140</v>
      </c>
      <c r="Q1587" s="2" t="s">
        <v>15607</v>
      </c>
      <c r="R1587" s="3" t="s">
        <v>71</v>
      </c>
      <c r="S1587" s="4">
        <v>2</v>
      </c>
      <c r="T1587" s="4">
        <v>2</v>
      </c>
      <c r="U1587" s="5" t="s">
        <v>4391</v>
      </c>
      <c r="V1587" s="5" t="s">
        <v>4391</v>
      </c>
      <c r="W1587" s="5" t="s">
        <v>72</v>
      </c>
      <c r="X1587" s="5" t="s">
        <v>72</v>
      </c>
      <c r="Y1587" s="4">
        <v>42</v>
      </c>
      <c r="Z1587" s="4">
        <v>4</v>
      </c>
      <c r="AA1587" s="4">
        <v>4</v>
      </c>
      <c r="AB1587" s="4">
        <v>1</v>
      </c>
      <c r="AC1587" s="4">
        <v>1</v>
      </c>
      <c r="AD1587" s="4">
        <v>20</v>
      </c>
      <c r="AE1587" s="4">
        <v>21</v>
      </c>
      <c r="AF1587" s="4">
        <v>0</v>
      </c>
      <c r="AG1587" s="4">
        <v>0</v>
      </c>
      <c r="AH1587" s="4">
        <v>20</v>
      </c>
      <c r="AI1587" s="4">
        <v>21</v>
      </c>
      <c r="AJ1587" s="4">
        <v>2</v>
      </c>
      <c r="AK1587" s="4">
        <v>2</v>
      </c>
      <c r="AL1587" s="4">
        <v>15</v>
      </c>
      <c r="AM1587" s="4">
        <v>16</v>
      </c>
      <c r="AN1587" s="4">
        <v>2</v>
      </c>
      <c r="AO1587" s="4">
        <v>2</v>
      </c>
      <c r="AP1587" s="4">
        <v>2</v>
      </c>
      <c r="AQ1587" s="4">
        <v>2</v>
      </c>
      <c r="AR1587" s="3" t="s">
        <v>65</v>
      </c>
      <c r="AS1587" s="3" t="s">
        <v>65</v>
      </c>
      <c r="AT1587" s="3" t="s">
        <v>209</v>
      </c>
      <c r="AU1587" s="6" t="str">
        <f>HYPERLINK("http://catalog.hathitrust.org/Record/003057783","HathiTrust Record")</f>
        <v>HathiTrust Record</v>
      </c>
      <c r="AV1587" s="6" t="str">
        <f>HYPERLINK("http://mcgill.on.worldcat.org/oclc/39042499","Catalog Record")</f>
        <v>Catalog Record</v>
      </c>
      <c r="AW1587" s="6" t="str">
        <f>HYPERLINK("http://www.worldcat.org/oclc/39042499","WorldCat Record")</f>
        <v>WorldCat Record</v>
      </c>
      <c r="AX1587" s="3" t="s">
        <v>15608</v>
      </c>
      <c r="AY1587" s="3" t="s">
        <v>15609</v>
      </c>
      <c r="AZ1587" s="3" t="s">
        <v>15610</v>
      </c>
      <c r="BA1587" s="3" t="s">
        <v>15610</v>
      </c>
      <c r="BB1587" s="3" t="s">
        <v>15611</v>
      </c>
      <c r="BC1587" s="3" t="s">
        <v>77</v>
      </c>
      <c r="BD1587" s="3" t="s">
        <v>78</v>
      </c>
      <c r="BE1587" s="3" t="s">
        <v>15612</v>
      </c>
      <c r="BF1587" s="3" t="s">
        <v>15611</v>
      </c>
      <c r="BG1587" s="3" t="s">
        <v>15613</v>
      </c>
    </row>
    <row r="1588" spans="1:59" ht="72.5" x14ac:dyDescent="0.35">
      <c r="A1588" s="2" t="s">
        <v>59</v>
      </c>
      <c r="B1588" s="2" t="s">
        <v>60</v>
      </c>
      <c r="C1588" s="2" t="s">
        <v>15614</v>
      </c>
      <c r="D1588" s="2" t="s">
        <v>15615</v>
      </c>
      <c r="E1588" s="2" t="s">
        <v>15616</v>
      </c>
      <c r="F1588" s="3" t="s">
        <v>15617</v>
      </c>
      <c r="G1588" s="3" t="s">
        <v>209</v>
      </c>
      <c r="I1588" s="3" t="s">
        <v>65</v>
      </c>
      <c r="J1588" s="3" t="s">
        <v>65</v>
      </c>
      <c r="K1588" s="3" t="s">
        <v>66</v>
      </c>
      <c r="L1588" s="2" t="s">
        <v>15618</v>
      </c>
      <c r="M1588" s="2" t="s">
        <v>15619</v>
      </c>
      <c r="N1588" s="3" t="s">
        <v>247</v>
      </c>
      <c r="P1588" s="3" t="s">
        <v>616</v>
      </c>
      <c r="R1588" s="3" t="s">
        <v>71</v>
      </c>
      <c r="S1588" s="4">
        <v>3</v>
      </c>
      <c r="T1588" s="4">
        <v>43</v>
      </c>
      <c r="U1588" s="5" t="s">
        <v>15620</v>
      </c>
      <c r="V1588" s="5" t="s">
        <v>5225</v>
      </c>
      <c r="W1588" s="5" t="s">
        <v>72</v>
      </c>
      <c r="X1588" s="5" t="s">
        <v>72</v>
      </c>
      <c r="Y1588" s="4">
        <v>55</v>
      </c>
      <c r="Z1588" s="4">
        <v>5</v>
      </c>
      <c r="AA1588" s="4">
        <v>6</v>
      </c>
      <c r="AB1588" s="4">
        <v>1</v>
      </c>
      <c r="AC1588" s="4">
        <v>2</v>
      </c>
      <c r="AD1588" s="4">
        <v>28</v>
      </c>
      <c r="AE1588" s="4">
        <v>31</v>
      </c>
      <c r="AF1588" s="4">
        <v>0</v>
      </c>
      <c r="AG1588" s="4">
        <v>1</v>
      </c>
      <c r="AH1588" s="4">
        <v>26</v>
      </c>
      <c r="AI1588" s="4">
        <v>28</v>
      </c>
      <c r="AJ1588" s="4">
        <v>3</v>
      </c>
      <c r="AK1588" s="4">
        <v>4</v>
      </c>
      <c r="AL1588" s="4">
        <v>24</v>
      </c>
      <c r="AM1588" s="4">
        <v>24</v>
      </c>
      <c r="AN1588" s="4">
        <v>0</v>
      </c>
      <c r="AO1588" s="4">
        <v>0</v>
      </c>
      <c r="AP1588" s="4">
        <v>3</v>
      </c>
      <c r="AQ1588" s="4">
        <v>4</v>
      </c>
      <c r="AR1588" s="3" t="s">
        <v>65</v>
      </c>
      <c r="AS1588" s="3" t="s">
        <v>65</v>
      </c>
      <c r="AT1588" s="3" t="s">
        <v>209</v>
      </c>
      <c r="AU1588" s="6" t="str">
        <f t="shared" ref="AU1588:AU1604" si="24">HYPERLINK("http://catalog.hathitrust.org/Record/006750997","HathiTrust Record")</f>
        <v>HathiTrust Record</v>
      </c>
      <c r="AV1588" s="6" t="str">
        <f t="shared" ref="AV1588:AV1604" si="25">HYPERLINK("http://mcgill.on.worldcat.org/oclc/29696289","Catalog Record")</f>
        <v>Catalog Record</v>
      </c>
      <c r="AW1588" s="6" t="str">
        <f t="shared" ref="AW1588:AW1604" si="26">HYPERLINK("http://www.worldcat.org/oclc/29696289","WorldCat Record")</f>
        <v>WorldCat Record</v>
      </c>
      <c r="AX1588" s="3" t="s">
        <v>15621</v>
      </c>
      <c r="AY1588" s="3" t="s">
        <v>15622</v>
      </c>
      <c r="AZ1588" s="3" t="s">
        <v>15623</v>
      </c>
      <c r="BA1588" s="3" t="s">
        <v>15623</v>
      </c>
      <c r="BB1588" s="3" t="s">
        <v>15624</v>
      </c>
      <c r="BC1588" s="3" t="s">
        <v>77</v>
      </c>
      <c r="BD1588" s="3" t="s">
        <v>78</v>
      </c>
      <c r="BE1588" s="3" t="s">
        <v>15625</v>
      </c>
      <c r="BF1588" s="3" t="s">
        <v>15624</v>
      </c>
      <c r="BG1588" s="3" t="s">
        <v>15626</v>
      </c>
    </row>
    <row r="1589" spans="1:59" ht="72.5" x14ac:dyDescent="0.35">
      <c r="A1589" s="2" t="s">
        <v>59</v>
      </c>
      <c r="B1589" s="2" t="s">
        <v>60</v>
      </c>
      <c r="C1589" s="2" t="s">
        <v>15614</v>
      </c>
      <c r="D1589" s="2" t="s">
        <v>15615</v>
      </c>
      <c r="E1589" s="2" t="s">
        <v>15616</v>
      </c>
      <c r="F1589" s="3" t="s">
        <v>15627</v>
      </c>
      <c r="G1589" s="3" t="s">
        <v>209</v>
      </c>
      <c r="I1589" s="3" t="s">
        <v>65</v>
      </c>
      <c r="J1589" s="3" t="s">
        <v>65</v>
      </c>
      <c r="K1589" s="3" t="s">
        <v>66</v>
      </c>
      <c r="L1589" s="2" t="s">
        <v>15618</v>
      </c>
      <c r="M1589" s="2" t="s">
        <v>15619</v>
      </c>
      <c r="N1589" s="3" t="s">
        <v>247</v>
      </c>
      <c r="P1589" s="3" t="s">
        <v>616</v>
      </c>
      <c r="R1589" s="3" t="s">
        <v>71</v>
      </c>
      <c r="S1589" s="4">
        <v>2</v>
      </c>
      <c r="T1589" s="4">
        <v>43</v>
      </c>
      <c r="U1589" s="5" t="s">
        <v>15628</v>
      </c>
      <c r="V1589" s="5" t="s">
        <v>5225</v>
      </c>
      <c r="W1589" s="5" t="s">
        <v>72</v>
      </c>
      <c r="X1589" s="5" t="s">
        <v>72</v>
      </c>
      <c r="Y1589" s="4">
        <v>55</v>
      </c>
      <c r="Z1589" s="4">
        <v>5</v>
      </c>
      <c r="AA1589" s="4">
        <v>6</v>
      </c>
      <c r="AB1589" s="4">
        <v>1</v>
      </c>
      <c r="AC1589" s="4">
        <v>2</v>
      </c>
      <c r="AD1589" s="4">
        <v>28</v>
      </c>
      <c r="AE1589" s="4">
        <v>31</v>
      </c>
      <c r="AF1589" s="4">
        <v>0</v>
      </c>
      <c r="AG1589" s="4">
        <v>1</v>
      </c>
      <c r="AH1589" s="4">
        <v>26</v>
      </c>
      <c r="AI1589" s="4">
        <v>28</v>
      </c>
      <c r="AJ1589" s="4">
        <v>3</v>
      </c>
      <c r="AK1589" s="4">
        <v>4</v>
      </c>
      <c r="AL1589" s="4">
        <v>24</v>
      </c>
      <c r="AM1589" s="4">
        <v>24</v>
      </c>
      <c r="AN1589" s="4">
        <v>0</v>
      </c>
      <c r="AO1589" s="4">
        <v>0</v>
      </c>
      <c r="AP1589" s="4">
        <v>3</v>
      </c>
      <c r="AQ1589" s="4">
        <v>4</v>
      </c>
      <c r="AR1589" s="3" t="s">
        <v>65</v>
      </c>
      <c r="AS1589" s="3" t="s">
        <v>65</v>
      </c>
      <c r="AT1589" s="3" t="s">
        <v>209</v>
      </c>
      <c r="AU1589" s="6" t="str">
        <f t="shared" si="24"/>
        <v>HathiTrust Record</v>
      </c>
      <c r="AV1589" s="6" t="str">
        <f t="shared" si="25"/>
        <v>Catalog Record</v>
      </c>
      <c r="AW1589" s="6" t="str">
        <f t="shared" si="26"/>
        <v>WorldCat Record</v>
      </c>
      <c r="AX1589" s="3" t="s">
        <v>15621</v>
      </c>
      <c r="AY1589" s="3" t="s">
        <v>15622</v>
      </c>
      <c r="AZ1589" s="3" t="s">
        <v>15623</v>
      </c>
      <c r="BA1589" s="3" t="s">
        <v>15623</v>
      </c>
      <c r="BB1589" s="3" t="s">
        <v>15629</v>
      </c>
      <c r="BC1589" s="3" t="s">
        <v>77</v>
      </c>
      <c r="BD1589" s="3" t="s">
        <v>78</v>
      </c>
      <c r="BE1589" s="3" t="s">
        <v>15625</v>
      </c>
      <c r="BF1589" s="3" t="s">
        <v>15629</v>
      </c>
      <c r="BG1589" s="3" t="s">
        <v>15630</v>
      </c>
    </row>
    <row r="1590" spans="1:59" ht="72.5" x14ac:dyDescent="0.35">
      <c r="A1590" s="2" t="s">
        <v>59</v>
      </c>
      <c r="B1590" s="2" t="s">
        <v>60</v>
      </c>
      <c r="C1590" s="2" t="s">
        <v>15614</v>
      </c>
      <c r="D1590" s="2" t="s">
        <v>15615</v>
      </c>
      <c r="E1590" s="2" t="s">
        <v>15616</v>
      </c>
      <c r="F1590" s="3" t="s">
        <v>15631</v>
      </c>
      <c r="G1590" s="3" t="s">
        <v>209</v>
      </c>
      <c r="I1590" s="3" t="s">
        <v>65</v>
      </c>
      <c r="J1590" s="3" t="s">
        <v>65</v>
      </c>
      <c r="K1590" s="3" t="s">
        <v>66</v>
      </c>
      <c r="L1590" s="2" t="s">
        <v>15618</v>
      </c>
      <c r="M1590" s="2" t="s">
        <v>15619</v>
      </c>
      <c r="N1590" s="3" t="s">
        <v>247</v>
      </c>
      <c r="P1590" s="3" t="s">
        <v>616</v>
      </c>
      <c r="R1590" s="3" t="s">
        <v>71</v>
      </c>
      <c r="S1590" s="4">
        <v>1</v>
      </c>
      <c r="T1590" s="4">
        <v>43</v>
      </c>
      <c r="U1590" s="5" t="s">
        <v>15628</v>
      </c>
      <c r="V1590" s="5" t="s">
        <v>5225</v>
      </c>
      <c r="W1590" s="5" t="s">
        <v>72</v>
      </c>
      <c r="X1590" s="5" t="s">
        <v>72</v>
      </c>
      <c r="Y1590" s="4">
        <v>55</v>
      </c>
      <c r="Z1590" s="4">
        <v>5</v>
      </c>
      <c r="AA1590" s="4">
        <v>6</v>
      </c>
      <c r="AB1590" s="4">
        <v>1</v>
      </c>
      <c r="AC1590" s="4">
        <v>2</v>
      </c>
      <c r="AD1590" s="4">
        <v>28</v>
      </c>
      <c r="AE1590" s="4">
        <v>31</v>
      </c>
      <c r="AF1590" s="4">
        <v>0</v>
      </c>
      <c r="AG1590" s="4">
        <v>1</v>
      </c>
      <c r="AH1590" s="4">
        <v>26</v>
      </c>
      <c r="AI1590" s="4">
        <v>28</v>
      </c>
      <c r="AJ1590" s="4">
        <v>3</v>
      </c>
      <c r="AK1590" s="4">
        <v>4</v>
      </c>
      <c r="AL1590" s="4">
        <v>24</v>
      </c>
      <c r="AM1590" s="4">
        <v>24</v>
      </c>
      <c r="AN1590" s="4">
        <v>0</v>
      </c>
      <c r="AO1590" s="4">
        <v>0</v>
      </c>
      <c r="AP1590" s="4">
        <v>3</v>
      </c>
      <c r="AQ1590" s="4">
        <v>4</v>
      </c>
      <c r="AR1590" s="3" t="s">
        <v>65</v>
      </c>
      <c r="AS1590" s="3" t="s">
        <v>65</v>
      </c>
      <c r="AT1590" s="3" t="s">
        <v>209</v>
      </c>
      <c r="AU1590" s="6" t="str">
        <f t="shared" si="24"/>
        <v>HathiTrust Record</v>
      </c>
      <c r="AV1590" s="6" t="str">
        <f t="shared" si="25"/>
        <v>Catalog Record</v>
      </c>
      <c r="AW1590" s="6" t="str">
        <f t="shared" si="26"/>
        <v>WorldCat Record</v>
      </c>
      <c r="AX1590" s="3" t="s">
        <v>15621</v>
      </c>
      <c r="AY1590" s="3" t="s">
        <v>15622</v>
      </c>
      <c r="AZ1590" s="3" t="s">
        <v>15623</v>
      </c>
      <c r="BA1590" s="3" t="s">
        <v>15623</v>
      </c>
      <c r="BB1590" s="3" t="s">
        <v>15632</v>
      </c>
      <c r="BC1590" s="3" t="s">
        <v>77</v>
      </c>
      <c r="BD1590" s="3" t="s">
        <v>78</v>
      </c>
      <c r="BE1590" s="3" t="s">
        <v>15625</v>
      </c>
      <c r="BF1590" s="3" t="s">
        <v>15632</v>
      </c>
      <c r="BG1590" s="3" t="s">
        <v>15633</v>
      </c>
    </row>
    <row r="1591" spans="1:59" ht="72.5" x14ac:dyDescent="0.35">
      <c r="A1591" s="2" t="s">
        <v>59</v>
      </c>
      <c r="B1591" s="2" t="s">
        <v>60</v>
      </c>
      <c r="C1591" s="2" t="s">
        <v>15614</v>
      </c>
      <c r="D1591" s="2" t="s">
        <v>15615</v>
      </c>
      <c r="E1591" s="2" t="s">
        <v>15616</v>
      </c>
      <c r="F1591" s="3" t="s">
        <v>15634</v>
      </c>
      <c r="G1591" s="3" t="s">
        <v>209</v>
      </c>
      <c r="I1591" s="3" t="s">
        <v>65</v>
      </c>
      <c r="J1591" s="3" t="s">
        <v>65</v>
      </c>
      <c r="K1591" s="3" t="s">
        <v>66</v>
      </c>
      <c r="L1591" s="2" t="s">
        <v>15618</v>
      </c>
      <c r="M1591" s="2" t="s">
        <v>15619</v>
      </c>
      <c r="N1591" s="3" t="s">
        <v>247</v>
      </c>
      <c r="P1591" s="3" t="s">
        <v>616</v>
      </c>
      <c r="R1591" s="3" t="s">
        <v>71</v>
      </c>
      <c r="S1591" s="4">
        <v>1</v>
      </c>
      <c r="T1591" s="4">
        <v>43</v>
      </c>
      <c r="U1591" s="5" t="s">
        <v>5225</v>
      </c>
      <c r="V1591" s="5" t="s">
        <v>5225</v>
      </c>
      <c r="W1591" s="5" t="s">
        <v>72</v>
      </c>
      <c r="X1591" s="5" t="s">
        <v>72</v>
      </c>
      <c r="Y1591" s="4">
        <v>55</v>
      </c>
      <c r="Z1591" s="4">
        <v>5</v>
      </c>
      <c r="AA1591" s="4">
        <v>6</v>
      </c>
      <c r="AB1591" s="4">
        <v>1</v>
      </c>
      <c r="AC1591" s="4">
        <v>2</v>
      </c>
      <c r="AD1591" s="4">
        <v>28</v>
      </c>
      <c r="AE1591" s="4">
        <v>31</v>
      </c>
      <c r="AF1591" s="4">
        <v>0</v>
      </c>
      <c r="AG1591" s="4">
        <v>1</v>
      </c>
      <c r="AH1591" s="4">
        <v>26</v>
      </c>
      <c r="AI1591" s="4">
        <v>28</v>
      </c>
      <c r="AJ1591" s="4">
        <v>3</v>
      </c>
      <c r="AK1591" s="4">
        <v>4</v>
      </c>
      <c r="AL1591" s="4">
        <v>24</v>
      </c>
      <c r="AM1591" s="4">
        <v>24</v>
      </c>
      <c r="AN1591" s="4">
        <v>0</v>
      </c>
      <c r="AO1591" s="4">
        <v>0</v>
      </c>
      <c r="AP1591" s="4">
        <v>3</v>
      </c>
      <c r="AQ1591" s="4">
        <v>4</v>
      </c>
      <c r="AR1591" s="3" t="s">
        <v>65</v>
      </c>
      <c r="AS1591" s="3" t="s">
        <v>65</v>
      </c>
      <c r="AT1591" s="3" t="s">
        <v>209</v>
      </c>
      <c r="AU1591" s="6" t="str">
        <f t="shared" si="24"/>
        <v>HathiTrust Record</v>
      </c>
      <c r="AV1591" s="6" t="str">
        <f t="shared" si="25"/>
        <v>Catalog Record</v>
      </c>
      <c r="AW1591" s="6" t="str">
        <f t="shared" si="26"/>
        <v>WorldCat Record</v>
      </c>
      <c r="AX1591" s="3" t="s">
        <v>15621</v>
      </c>
      <c r="AY1591" s="3" t="s">
        <v>15622</v>
      </c>
      <c r="AZ1591" s="3" t="s">
        <v>15623</v>
      </c>
      <c r="BA1591" s="3" t="s">
        <v>15623</v>
      </c>
      <c r="BB1591" s="3" t="s">
        <v>15635</v>
      </c>
      <c r="BC1591" s="3" t="s">
        <v>77</v>
      </c>
      <c r="BD1591" s="3" t="s">
        <v>78</v>
      </c>
      <c r="BE1591" s="3" t="s">
        <v>15625</v>
      </c>
      <c r="BF1591" s="3" t="s">
        <v>15635</v>
      </c>
      <c r="BG1591" s="3" t="s">
        <v>15636</v>
      </c>
    </row>
    <row r="1592" spans="1:59" ht="72.5" x14ac:dyDescent="0.35">
      <c r="A1592" s="2" t="s">
        <v>59</v>
      </c>
      <c r="B1592" s="2" t="s">
        <v>60</v>
      </c>
      <c r="C1592" s="2" t="s">
        <v>15614</v>
      </c>
      <c r="D1592" s="2" t="s">
        <v>15615</v>
      </c>
      <c r="E1592" s="2" t="s">
        <v>15616</v>
      </c>
      <c r="F1592" s="3" t="s">
        <v>15637</v>
      </c>
      <c r="G1592" s="3" t="s">
        <v>209</v>
      </c>
      <c r="I1592" s="3" t="s">
        <v>65</v>
      </c>
      <c r="J1592" s="3" t="s">
        <v>65</v>
      </c>
      <c r="K1592" s="3" t="s">
        <v>66</v>
      </c>
      <c r="L1592" s="2" t="s">
        <v>15618</v>
      </c>
      <c r="M1592" s="2" t="s">
        <v>15619</v>
      </c>
      <c r="N1592" s="3" t="s">
        <v>247</v>
      </c>
      <c r="P1592" s="3" t="s">
        <v>616</v>
      </c>
      <c r="R1592" s="3" t="s">
        <v>71</v>
      </c>
      <c r="S1592" s="4">
        <v>0</v>
      </c>
      <c r="T1592" s="4">
        <v>43</v>
      </c>
      <c r="V1592" s="5" t="s">
        <v>5225</v>
      </c>
      <c r="W1592" s="5" t="s">
        <v>72</v>
      </c>
      <c r="X1592" s="5" t="s">
        <v>72</v>
      </c>
      <c r="Y1592" s="4">
        <v>55</v>
      </c>
      <c r="Z1592" s="4">
        <v>5</v>
      </c>
      <c r="AA1592" s="4">
        <v>6</v>
      </c>
      <c r="AB1592" s="4">
        <v>1</v>
      </c>
      <c r="AC1592" s="4">
        <v>2</v>
      </c>
      <c r="AD1592" s="4">
        <v>28</v>
      </c>
      <c r="AE1592" s="4">
        <v>31</v>
      </c>
      <c r="AF1592" s="4">
        <v>0</v>
      </c>
      <c r="AG1592" s="4">
        <v>1</v>
      </c>
      <c r="AH1592" s="4">
        <v>26</v>
      </c>
      <c r="AI1592" s="4">
        <v>28</v>
      </c>
      <c r="AJ1592" s="4">
        <v>3</v>
      </c>
      <c r="AK1592" s="4">
        <v>4</v>
      </c>
      <c r="AL1592" s="4">
        <v>24</v>
      </c>
      <c r="AM1592" s="4">
        <v>24</v>
      </c>
      <c r="AN1592" s="4">
        <v>0</v>
      </c>
      <c r="AO1592" s="4">
        <v>0</v>
      </c>
      <c r="AP1592" s="4">
        <v>3</v>
      </c>
      <c r="AQ1592" s="4">
        <v>4</v>
      </c>
      <c r="AR1592" s="3" t="s">
        <v>65</v>
      </c>
      <c r="AS1592" s="3" t="s">
        <v>65</v>
      </c>
      <c r="AT1592" s="3" t="s">
        <v>209</v>
      </c>
      <c r="AU1592" s="6" t="str">
        <f t="shared" si="24"/>
        <v>HathiTrust Record</v>
      </c>
      <c r="AV1592" s="6" t="str">
        <f t="shared" si="25"/>
        <v>Catalog Record</v>
      </c>
      <c r="AW1592" s="6" t="str">
        <f t="shared" si="26"/>
        <v>WorldCat Record</v>
      </c>
      <c r="AX1592" s="3" t="s">
        <v>15621</v>
      </c>
      <c r="AY1592" s="3" t="s">
        <v>15622</v>
      </c>
      <c r="AZ1592" s="3" t="s">
        <v>15623</v>
      </c>
      <c r="BA1592" s="3" t="s">
        <v>15623</v>
      </c>
      <c r="BB1592" s="3" t="s">
        <v>15638</v>
      </c>
      <c r="BC1592" s="3" t="s">
        <v>77</v>
      </c>
      <c r="BD1592" s="3" t="s">
        <v>78</v>
      </c>
      <c r="BE1592" s="3" t="s">
        <v>15625</v>
      </c>
      <c r="BF1592" s="3" t="s">
        <v>15638</v>
      </c>
      <c r="BG1592" s="3" t="s">
        <v>15639</v>
      </c>
    </row>
    <row r="1593" spans="1:59" ht="72.5" x14ac:dyDescent="0.35">
      <c r="A1593" s="2" t="s">
        <v>59</v>
      </c>
      <c r="B1593" s="2" t="s">
        <v>60</v>
      </c>
      <c r="C1593" s="2" t="s">
        <v>15614</v>
      </c>
      <c r="D1593" s="2" t="s">
        <v>15615</v>
      </c>
      <c r="E1593" s="2" t="s">
        <v>15616</v>
      </c>
      <c r="F1593" s="3" t="s">
        <v>15640</v>
      </c>
      <c r="G1593" s="3" t="s">
        <v>209</v>
      </c>
      <c r="I1593" s="3" t="s">
        <v>65</v>
      </c>
      <c r="J1593" s="3" t="s">
        <v>65</v>
      </c>
      <c r="K1593" s="3" t="s">
        <v>66</v>
      </c>
      <c r="L1593" s="2" t="s">
        <v>15618</v>
      </c>
      <c r="M1593" s="2" t="s">
        <v>15619</v>
      </c>
      <c r="N1593" s="3" t="s">
        <v>247</v>
      </c>
      <c r="P1593" s="3" t="s">
        <v>616</v>
      </c>
      <c r="R1593" s="3" t="s">
        <v>71</v>
      </c>
      <c r="S1593" s="4">
        <v>0</v>
      </c>
      <c r="T1593" s="4">
        <v>43</v>
      </c>
      <c r="V1593" s="5" t="s">
        <v>5225</v>
      </c>
      <c r="W1593" s="5" t="s">
        <v>72</v>
      </c>
      <c r="X1593" s="5" t="s">
        <v>72</v>
      </c>
      <c r="Y1593" s="4">
        <v>55</v>
      </c>
      <c r="Z1593" s="4">
        <v>5</v>
      </c>
      <c r="AA1593" s="4">
        <v>6</v>
      </c>
      <c r="AB1593" s="4">
        <v>1</v>
      </c>
      <c r="AC1593" s="4">
        <v>2</v>
      </c>
      <c r="AD1593" s="4">
        <v>28</v>
      </c>
      <c r="AE1593" s="4">
        <v>31</v>
      </c>
      <c r="AF1593" s="4">
        <v>0</v>
      </c>
      <c r="AG1593" s="4">
        <v>1</v>
      </c>
      <c r="AH1593" s="4">
        <v>26</v>
      </c>
      <c r="AI1593" s="4">
        <v>28</v>
      </c>
      <c r="AJ1593" s="4">
        <v>3</v>
      </c>
      <c r="AK1593" s="4">
        <v>4</v>
      </c>
      <c r="AL1593" s="4">
        <v>24</v>
      </c>
      <c r="AM1593" s="4">
        <v>24</v>
      </c>
      <c r="AN1593" s="4">
        <v>0</v>
      </c>
      <c r="AO1593" s="4">
        <v>0</v>
      </c>
      <c r="AP1593" s="4">
        <v>3</v>
      </c>
      <c r="AQ1593" s="4">
        <v>4</v>
      </c>
      <c r="AR1593" s="3" t="s">
        <v>65</v>
      </c>
      <c r="AS1593" s="3" t="s">
        <v>65</v>
      </c>
      <c r="AT1593" s="3" t="s">
        <v>209</v>
      </c>
      <c r="AU1593" s="6" t="str">
        <f t="shared" si="24"/>
        <v>HathiTrust Record</v>
      </c>
      <c r="AV1593" s="6" t="str">
        <f t="shared" si="25"/>
        <v>Catalog Record</v>
      </c>
      <c r="AW1593" s="6" t="str">
        <f t="shared" si="26"/>
        <v>WorldCat Record</v>
      </c>
      <c r="AX1593" s="3" t="s">
        <v>15621</v>
      </c>
      <c r="AY1593" s="3" t="s">
        <v>15622</v>
      </c>
      <c r="AZ1593" s="3" t="s">
        <v>15623</v>
      </c>
      <c r="BA1593" s="3" t="s">
        <v>15623</v>
      </c>
      <c r="BB1593" s="3" t="s">
        <v>15641</v>
      </c>
      <c r="BC1593" s="3" t="s">
        <v>77</v>
      </c>
      <c r="BD1593" s="3" t="s">
        <v>78</v>
      </c>
      <c r="BE1593" s="3" t="s">
        <v>15625</v>
      </c>
      <c r="BF1593" s="3" t="s">
        <v>15641</v>
      </c>
      <c r="BG1593" s="3" t="s">
        <v>15642</v>
      </c>
    </row>
    <row r="1594" spans="1:59" ht="72.5" x14ac:dyDescent="0.35">
      <c r="A1594" s="2" t="s">
        <v>59</v>
      </c>
      <c r="B1594" s="2" t="s">
        <v>60</v>
      </c>
      <c r="C1594" s="2" t="s">
        <v>15614</v>
      </c>
      <c r="D1594" s="2" t="s">
        <v>15615</v>
      </c>
      <c r="E1594" s="2" t="s">
        <v>15616</v>
      </c>
      <c r="F1594" s="3" t="s">
        <v>15643</v>
      </c>
      <c r="G1594" s="3" t="s">
        <v>209</v>
      </c>
      <c r="I1594" s="3" t="s">
        <v>65</v>
      </c>
      <c r="J1594" s="3" t="s">
        <v>65</v>
      </c>
      <c r="K1594" s="3" t="s">
        <v>66</v>
      </c>
      <c r="L1594" s="2" t="s">
        <v>15618</v>
      </c>
      <c r="M1594" s="2" t="s">
        <v>15619</v>
      </c>
      <c r="N1594" s="3" t="s">
        <v>247</v>
      </c>
      <c r="P1594" s="3" t="s">
        <v>616</v>
      </c>
      <c r="R1594" s="3" t="s">
        <v>71</v>
      </c>
      <c r="S1594" s="4">
        <v>1</v>
      </c>
      <c r="T1594" s="4">
        <v>43</v>
      </c>
      <c r="U1594" s="5" t="s">
        <v>15644</v>
      </c>
      <c r="V1594" s="5" t="s">
        <v>5225</v>
      </c>
      <c r="W1594" s="5" t="s">
        <v>72</v>
      </c>
      <c r="X1594" s="5" t="s">
        <v>72</v>
      </c>
      <c r="Y1594" s="4">
        <v>55</v>
      </c>
      <c r="Z1594" s="4">
        <v>5</v>
      </c>
      <c r="AA1594" s="4">
        <v>6</v>
      </c>
      <c r="AB1594" s="4">
        <v>1</v>
      </c>
      <c r="AC1594" s="4">
        <v>2</v>
      </c>
      <c r="AD1594" s="4">
        <v>28</v>
      </c>
      <c r="AE1594" s="4">
        <v>31</v>
      </c>
      <c r="AF1594" s="4">
        <v>0</v>
      </c>
      <c r="AG1594" s="4">
        <v>1</v>
      </c>
      <c r="AH1594" s="4">
        <v>26</v>
      </c>
      <c r="AI1594" s="4">
        <v>28</v>
      </c>
      <c r="AJ1594" s="4">
        <v>3</v>
      </c>
      <c r="AK1594" s="4">
        <v>4</v>
      </c>
      <c r="AL1594" s="4">
        <v>24</v>
      </c>
      <c r="AM1594" s="4">
        <v>24</v>
      </c>
      <c r="AN1594" s="4">
        <v>0</v>
      </c>
      <c r="AO1594" s="4">
        <v>0</v>
      </c>
      <c r="AP1594" s="4">
        <v>3</v>
      </c>
      <c r="AQ1594" s="4">
        <v>4</v>
      </c>
      <c r="AR1594" s="3" t="s">
        <v>65</v>
      </c>
      <c r="AS1594" s="3" t="s">
        <v>65</v>
      </c>
      <c r="AT1594" s="3" t="s">
        <v>209</v>
      </c>
      <c r="AU1594" s="6" t="str">
        <f t="shared" si="24"/>
        <v>HathiTrust Record</v>
      </c>
      <c r="AV1594" s="6" t="str">
        <f t="shared" si="25"/>
        <v>Catalog Record</v>
      </c>
      <c r="AW1594" s="6" t="str">
        <f t="shared" si="26"/>
        <v>WorldCat Record</v>
      </c>
      <c r="AX1594" s="3" t="s">
        <v>15621</v>
      </c>
      <c r="AY1594" s="3" t="s">
        <v>15622</v>
      </c>
      <c r="AZ1594" s="3" t="s">
        <v>15623</v>
      </c>
      <c r="BA1594" s="3" t="s">
        <v>15623</v>
      </c>
      <c r="BB1594" s="3" t="s">
        <v>15645</v>
      </c>
      <c r="BC1594" s="3" t="s">
        <v>77</v>
      </c>
      <c r="BD1594" s="3" t="s">
        <v>78</v>
      </c>
      <c r="BE1594" s="3" t="s">
        <v>15625</v>
      </c>
      <c r="BF1594" s="3" t="s">
        <v>15645</v>
      </c>
      <c r="BG1594" s="3" t="s">
        <v>15646</v>
      </c>
    </row>
    <row r="1595" spans="1:59" ht="72.5" x14ac:dyDescent="0.35">
      <c r="A1595" s="2" t="s">
        <v>59</v>
      </c>
      <c r="B1595" s="2" t="s">
        <v>60</v>
      </c>
      <c r="C1595" s="2" t="s">
        <v>15614</v>
      </c>
      <c r="D1595" s="2" t="s">
        <v>15615</v>
      </c>
      <c r="E1595" s="2" t="s">
        <v>15616</v>
      </c>
      <c r="F1595" s="3" t="s">
        <v>15647</v>
      </c>
      <c r="G1595" s="3" t="s">
        <v>209</v>
      </c>
      <c r="I1595" s="3" t="s">
        <v>65</v>
      </c>
      <c r="J1595" s="3" t="s">
        <v>65</v>
      </c>
      <c r="K1595" s="3" t="s">
        <v>66</v>
      </c>
      <c r="L1595" s="2" t="s">
        <v>15618</v>
      </c>
      <c r="M1595" s="2" t="s">
        <v>15619</v>
      </c>
      <c r="N1595" s="3" t="s">
        <v>247</v>
      </c>
      <c r="P1595" s="3" t="s">
        <v>616</v>
      </c>
      <c r="R1595" s="3" t="s">
        <v>71</v>
      </c>
      <c r="S1595" s="4">
        <v>3</v>
      </c>
      <c r="T1595" s="4">
        <v>43</v>
      </c>
      <c r="U1595" s="5" t="s">
        <v>15620</v>
      </c>
      <c r="V1595" s="5" t="s">
        <v>5225</v>
      </c>
      <c r="W1595" s="5" t="s">
        <v>72</v>
      </c>
      <c r="X1595" s="5" t="s">
        <v>72</v>
      </c>
      <c r="Y1595" s="4">
        <v>55</v>
      </c>
      <c r="Z1595" s="4">
        <v>5</v>
      </c>
      <c r="AA1595" s="4">
        <v>6</v>
      </c>
      <c r="AB1595" s="4">
        <v>1</v>
      </c>
      <c r="AC1595" s="4">
        <v>2</v>
      </c>
      <c r="AD1595" s="4">
        <v>28</v>
      </c>
      <c r="AE1595" s="4">
        <v>31</v>
      </c>
      <c r="AF1595" s="4">
        <v>0</v>
      </c>
      <c r="AG1595" s="4">
        <v>1</v>
      </c>
      <c r="AH1595" s="4">
        <v>26</v>
      </c>
      <c r="AI1595" s="4">
        <v>28</v>
      </c>
      <c r="AJ1595" s="4">
        <v>3</v>
      </c>
      <c r="AK1595" s="4">
        <v>4</v>
      </c>
      <c r="AL1595" s="4">
        <v>24</v>
      </c>
      <c r="AM1595" s="4">
        <v>24</v>
      </c>
      <c r="AN1595" s="4">
        <v>0</v>
      </c>
      <c r="AO1595" s="4">
        <v>0</v>
      </c>
      <c r="AP1595" s="4">
        <v>3</v>
      </c>
      <c r="AQ1595" s="4">
        <v>4</v>
      </c>
      <c r="AR1595" s="3" t="s">
        <v>65</v>
      </c>
      <c r="AS1595" s="3" t="s">
        <v>65</v>
      </c>
      <c r="AT1595" s="3" t="s">
        <v>209</v>
      </c>
      <c r="AU1595" s="6" t="str">
        <f t="shared" si="24"/>
        <v>HathiTrust Record</v>
      </c>
      <c r="AV1595" s="6" t="str">
        <f t="shared" si="25"/>
        <v>Catalog Record</v>
      </c>
      <c r="AW1595" s="6" t="str">
        <f t="shared" si="26"/>
        <v>WorldCat Record</v>
      </c>
      <c r="AX1595" s="3" t="s">
        <v>15621</v>
      </c>
      <c r="AY1595" s="3" t="s">
        <v>15622</v>
      </c>
      <c r="AZ1595" s="3" t="s">
        <v>15623</v>
      </c>
      <c r="BA1595" s="3" t="s">
        <v>15623</v>
      </c>
      <c r="BB1595" s="3" t="s">
        <v>15648</v>
      </c>
      <c r="BC1595" s="3" t="s">
        <v>77</v>
      </c>
      <c r="BD1595" s="3" t="s">
        <v>78</v>
      </c>
      <c r="BE1595" s="3" t="s">
        <v>15625</v>
      </c>
      <c r="BF1595" s="3" t="s">
        <v>15648</v>
      </c>
      <c r="BG1595" s="3" t="s">
        <v>15649</v>
      </c>
    </row>
    <row r="1596" spans="1:59" ht="72.5" x14ac:dyDescent="0.35">
      <c r="A1596" s="2" t="s">
        <v>59</v>
      </c>
      <c r="B1596" s="2" t="s">
        <v>60</v>
      </c>
      <c r="C1596" s="2" t="s">
        <v>15614</v>
      </c>
      <c r="D1596" s="2" t="s">
        <v>15615</v>
      </c>
      <c r="E1596" s="2" t="s">
        <v>15616</v>
      </c>
      <c r="F1596" s="3" t="s">
        <v>15650</v>
      </c>
      <c r="G1596" s="3" t="s">
        <v>209</v>
      </c>
      <c r="I1596" s="3" t="s">
        <v>65</v>
      </c>
      <c r="J1596" s="3" t="s">
        <v>65</v>
      </c>
      <c r="K1596" s="3" t="s">
        <v>66</v>
      </c>
      <c r="L1596" s="2" t="s">
        <v>15618</v>
      </c>
      <c r="M1596" s="2" t="s">
        <v>15619</v>
      </c>
      <c r="N1596" s="3" t="s">
        <v>247</v>
      </c>
      <c r="P1596" s="3" t="s">
        <v>616</v>
      </c>
      <c r="R1596" s="3" t="s">
        <v>71</v>
      </c>
      <c r="S1596" s="4">
        <v>4</v>
      </c>
      <c r="T1596" s="4">
        <v>43</v>
      </c>
      <c r="U1596" s="5" t="s">
        <v>5225</v>
      </c>
      <c r="V1596" s="5" t="s">
        <v>5225</v>
      </c>
      <c r="W1596" s="5" t="s">
        <v>72</v>
      </c>
      <c r="X1596" s="5" t="s">
        <v>72</v>
      </c>
      <c r="Y1596" s="4">
        <v>55</v>
      </c>
      <c r="Z1596" s="4">
        <v>5</v>
      </c>
      <c r="AA1596" s="4">
        <v>6</v>
      </c>
      <c r="AB1596" s="4">
        <v>1</v>
      </c>
      <c r="AC1596" s="4">
        <v>2</v>
      </c>
      <c r="AD1596" s="4">
        <v>28</v>
      </c>
      <c r="AE1596" s="4">
        <v>31</v>
      </c>
      <c r="AF1596" s="4">
        <v>0</v>
      </c>
      <c r="AG1596" s="4">
        <v>1</v>
      </c>
      <c r="AH1596" s="4">
        <v>26</v>
      </c>
      <c r="AI1596" s="4">
        <v>28</v>
      </c>
      <c r="AJ1596" s="4">
        <v>3</v>
      </c>
      <c r="AK1596" s="4">
        <v>4</v>
      </c>
      <c r="AL1596" s="4">
        <v>24</v>
      </c>
      <c r="AM1596" s="4">
        <v>24</v>
      </c>
      <c r="AN1596" s="4">
        <v>0</v>
      </c>
      <c r="AO1596" s="4">
        <v>0</v>
      </c>
      <c r="AP1596" s="4">
        <v>3</v>
      </c>
      <c r="AQ1596" s="4">
        <v>4</v>
      </c>
      <c r="AR1596" s="3" t="s">
        <v>65</v>
      </c>
      <c r="AS1596" s="3" t="s">
        <v>65</v>
      </c>
      <c r="AT1596" s="3" t="s">
        <v>209</v>
      </c>
      <c r="AU1596" s="6" t="str">
        <f t="shared" si="24"/>
        <v>HathiTrust Record</v>
      </c>
      <c r="AV1596" s="6" t="str">
        <f t="shared" si="25"/>
        <v>Catalog Record</v>
      </c>
      <c r="AW1596" s="6" t="str">
        <f t="shared" si="26"/>
        <v>WorldCat Record</v>
      </c>
      <c r="AX1596" s="3" t="s">
        <v>15621</v>
      </c>
      <c r="AY1596" s="3" t="s">
        <v>15622</v>
      </c>
      <c r="AZ1596" s="3" t="s">
        <v>15623</v>
      </c>
      <c r="BA1596" s="3" t="s">
        <v>15623</v>
      </c>
      <c r="BB1596" s="3" t="s">
        <v>15651</v>
      </c>
      <c r="BC1596" s="3" t="s">
        <v>77</v>
      </c>
      <c r="BD1596" s="3" t="s">
        <v>78</v>
      </c>
      <c r="BE1596" s="3" t="s">
        <v>15625</v>
      </c>
      <c r="BF1596" s="3" t="s">
        <v>15651</v>
      </c>
      <c r="BG1596" s="3" t="s">
        <v>15652</v>
      </c>
    </row>
    <row r="1597" spans="1:59" ht="72.5" x14ac:dyDescent="0.35">
      <c r="A1597" s="2" t="s">
        <v>59</v>
      </c>
      <c r="B1597" s="2" t="s">
        <v>60</v>
      </c>
      <c r="C1597" s="2" t="s">
        <v>15614</v>
      </c>
      <c r="D1597" s="2" t="s">
        <v>15615</v>
      </c>
      <c r="E1597" s="2" t="s">
        <v>15616</v>
      </c>
      <c r="F1597" s="3" t="s">
        <v>15653</v>
      </c>
      <c r="G1597" s="3" t="s">
        <v>209</v>
      </c>
      <c r="I1597" s="3" t="s">
        <v>65</v>
      </c>
      <c r="J1597" s="3" t="s">
        <v>65</v>
      </c>
      <c r="K1597" s="3" t="s">
        <v>66</v>
      </c>
      <c r="L1597" s="2" t="s">
        <v>15618</v>
      </c>
      <c r="M1597" s="2" t="s">
        <v>15619</v>
      </c>
      <c r="N1597" s="3" t="s">
        <v>247</v>
      </c>
      <c r="P1597" s="3" t="s">
        <v>616</v>
      </c>
      <c r="R1597" s="3" t="s">
        <v>71</v>
      </c>
      <c r="S1597" s="4">
        <v>5</v>
      </c>
      <c r="T1597" s="4">
        <v>43</v>
      </c>
      <c r="U1597" s="5" t="s">
        <v>15654</v>
      </c>
      <c r="V1597" s="5" t="s">
        <v>5225</v>
      </c>
      <c r="W1597" s="5" t="s">
        <v>72</v>
      </c>
      <c r="X1597" s="5" t="s">
        <v>72</v>
      </c>
      <c r="Y1597" s="4">
        <v>55</v>
      </c>
      <c r="Z1597" s="4">
        <v>5</v>
      </c>
      <c r="AA1597" s="4">
        <v>6</v>
      </c>
      <c r="AB1597" s="4">
        <v>1</v>
      </c>
      <c r="AC1597" s="4">
        <v>2</v>
      </c>
      <c r="AD1597" s="4">
        <v>28</v>
      </c>
      <c r="AE1597" s="4">
        <v>31</v>
      </c>
      <c r="AF1597" s="4">
        <v>0</v>
      </c>
      <c r="AG1597" s="4">
        <v>1</v>
      </c>
      <c r="AH1597" s="4">
        <v>26</v>
      </c>
      <c r="AI1597" s="4">
        <v>28</v>
      </c>
      <c r="AJ1597" s="4">
        <v>3</v>
      </c>
      <c r="AK1597" s="4">
        <v>4</v>
      </c>
      <c r="AL1597" s="4">
        <v>24</v>
      </c>
      <c r="AM1597" s="4">
        <v>24</v>
      </c>
      <c r="AN1597" s="4">
        <v>0</v>
      </c>
      <c r="AO1597" s="4">
        <v>0</v>
      </c>
      <c r="AP1597" s="4">
        <v>3</v>
      </c>
      <c r="AQ1597" s="4">
        <v>4</v>
      </c>
      <c r="AR1597" s="3" t="s">
        <v>65</v>
      </c>
      <c r="AS1597" s="3" t="s">
        <v>65</v>
      </c>
      <c r="AT1597" s="3" t="s">
        <v>209</v>
      </c>
      <c r="AU1597" s="6" t="str">
        <f t="shared" si="24"/>
        <v>HathiTrust Record</v>
      </c>
      <c r="AV1597" s="6" t="str">
        <f t="shared" si="25"/>
        <v>Catalog Record</v>
      </c>
      <c r="AW1597" s="6" t="str">
        <f t="shared" si="26"/>
        <v>WorldCat Record</v>
      </c>
      <c r="AX1597" s="3" t="s">
        <v>15621</v>
      </c>
      <c r="AY1597" s="3" t="s">
        <v>15622</v>
      </c>
      <c r="AZ1597" s="3" t="s">
        <v>15623</v>
      </c>
      <c r="BA1597" s="3" t="s">
        <v>15623</v>
      </c>
      <c r="BB1597" s="3" t="s">
        <v>15655</v>
      </c>
      <c r="BC1597" s="3" t="s">
        <v>77</v>
      </c>
      <c r="BD1597" s="3" t="s">
        <v>78</v>
      </c>
      <c r="BE1597" s="3" t="s">
        <v>15625</v>
      </c>
      <c r="BF1597" s="3" t="s">
        <v>15655</v>
      </c>
      <c r="BG1597" s="3" t="s">
        <v>15656</v>
      </c>
    </row>
    <row r="1598" spans="1:59" ht="72.5" x14ac:dyDescent="0.35">
      <c r="A1598" s="2" t="s">
        <v>59</v>
      </c>
      <c r="B1598" s="2" t="s">
        <v>60</v>
      </c>
      <c r="C1598" s="2" t="s">
        <v>15614</v>
      </c>
      <c r="D1598" s="2" t="s">
        <v>15615</v>
      </c>
      <c r="E1598" s="2" t="s">
        <v>15616</v>
      </c>
      <c r="F1598" s="3" t="s">
        <v>15657</v>
      </c>
      <c r="G1598" s="3" t="s">
        <v>209</v>
      </c>
      <c r="I1598" s="3" t="s">
        <v>65</v>
      </c>
      <c r="J1598" s="3" t="s">
        <v>65</v>
      </c>
      <c r="K1598" s="3" t="s">
        <v>66</v>
      </c>
      <c r="L1598" s="2" t="s">
        <v>15618</v>
      </c>
      <c r="M1598" s="2" t="s">
        <v>15619</v>
      </c>
      <c r="N1598" s="3" t="s">
        <v>247</v>
      </c>
      <c r="P1598" s="3" t="s">
        <v>616</v>
      </c>
      <c r="R1598" s="3" t="s">
        <v>71</v>
      </c>
      <c r="S1598" s="4">
        <v>6</v>
      </c>
      <c r="T1598" s="4">
        <v>43</v>
      </c>
      <c r="U1598" s="5" t="s">
        <v>15658</v>
      </c>
      <c r="V1598" s="5" t="s">
        <v>5225</v>
      </c>
      <c r="W1598" s="5" t="s">
        <v>72</v>
      </c>
      <c r="X1598" s="5" t="s">
        <v>72</v>
      </c>
      <c r="Y1598" s="4">
        <v>55</v>
      </c>
      <c r="Z1598" s="4">
        <v>5</v>
      </c>
      <c r="AA1598" s="4">
        <v>6</v>
      </c>
      <c r="AB1598" s="4">
        <v>1</v>
      </c>
      <c r="AC1598" s="4">
        <v>2</v>
      </c>
      <c r="AD1598" s="4">
        <v>28</v>
      </c>
      <c r="AE1598" s="4">
        <v>31</v>
      </c>
      <c r="AF1598" s="4">
        <v>0</v>
      </c>
      <c r="AG1598" s="4">
        <v>1</v>
      </c>
      <c r="AH1598" s="4">
        <v>26</v>
      </c>
      <c r="AI1598" s="4">
        <v>28</v>
      </c>
      <c r="AJ1598" s="4">
        <v>3</v>
      </c>
      <c r="AK1598" s="4">
        <v>4</v>
      </c>
      <c r="AL1598" s="4">
        <v>24</v>
      </c>
      <c r="AM1598" s="4">
        <v>24</v>
      </c>
      <c r="AN1598" s="4">
        <v>0</v>
      </c>
      <c r="AO1598" s="4">
        <v>0</v>
      </c>
      <c r="AP1598" s="4">
        <v>3</v>
      </c>
      <c r="AQ1598" s="4">
        <v>4</v>
      </c>
      <c r="AR1598" s="3" t="s">
        <v>65</v>
      </c>
      <c r="AS1598" s="3" t="s">
        <v>65</v>
      </c>
      <c r="AT1598" s="3" t="s">
        <v>209</v>
      </c>
      <c r="AU1598" s="6" t="str">
        <f t="shared" si="24"/>
        <v>HathiTrust Record</v>
      </c>
      <c r="AV1598" s="6" t="str">
        <f t="shared" si="25"/>
        <v>Catalog Record</v>
      </c>
      <c r="AW1598" s="6" t="str">
        <f t="shared" si="26"/>
        <v>WorldCat Record</v>
      </c>
      <c r="AX1598" s="3" t="s">
        <v>15621</v>
      </c>
      <c r="AY1598" s="3" t="s">
        <v>15622</v>
      </c>
      <c r="AZ1598" s="3" t="s">
        <v>15623</v>
      </c>
      <c r="BA1598" s="3" t="s">
        <v>15623</v>
      </c>
      <c r="BB1598" s="3" t="s">
        <v>15659</v>
      </c>
      <c r="BC1598" s="3" t="s">
        <v>77</v>
      </c>
      <c r="BD1598" s="3" t="s">
        <v>78</v>
      </c>
      <c r="BE1598" s="3" t="s">
        <v>15625</v>
      </c>
      <c r="BF1598" s="3" t="s">
        <v>15659</v>
      </c>
      <c r="BG1598" s="3" t="s">
        <v>15660</v>
      </c>
    </row>
    <row r="1599" spans="1:59" ht="72.5" x14ac:dyDescent="0.35">
      <c r="A1599" s="2" t="s">
        <v>59</v>
      </c>
      <c r="B1599" s="2" t="s">
        <v>60</v>
      </c>
      <c r="C1599" s="2" t="s">
        <v>15614</v>
      </c>
      <c r="D1599" s="2" t="s">
        <v>15615</v>
      </c>
      <c r="E1599" s="2" t="s">
        <v>15616</v>
      </c>
      <c r="F1599" s="3" t="s">
        <v>15661</v>
      </c>
      <c r="G1599" s="3" t="s">
        <v>209</v>
      </c>
      <c r="I1599" s="3" t="s">
        <v>65</v>
      </c>
      <c r="J1599" s="3" t="s">
        <v>65</v>
      </c>
      <c r="K1599" s="3" t="s">
        <v>66</v>
      </c>
      <c r="L1599" s="2" t="s">
        <v>15618</v>
      </c>
      <c r="M1599" s="2" t="s">
        <v>15619</v>
      </c>
      <c r="N1599" s="3" t="s">
        <v>247</v>
      </c>
      <c r="P1599" s="3" t="s">
        <v>616</v>
      </c>
      <c r="R1599" s="3" t="s">
        <v>71</v>
      </c>
      <c r="S1599" s="4">
        <v>3</v>
      </c>
      <c r="T1599" s="4">
        <v>43</v>
      </c>
      <c r="U1599" s="5" t="s">
        <v>15644</v>
      </c>
      <c r="V1599" s="5" t="s">
        <v>5225</v>
      </c>
      <c r="W1599" s="5" t="s">
        <v>72</v>
      </c>
      <c r="X1599" s="5" t="s">
        <v>72</v>
      </c>
      <c r="Y1599" s="4">
        <v>55</v>
      </c>
      <c r="Z1599" s="4">
        <v>5</v>
      </c>
      <c r="AA1599" s="4">
        <v>6</v>
      </c>
      <c r="AB1599" s="4">
        <v>1</v>
      </c>
      <c r="AC1599" s="4">
        <v>2</v>
      </c>
      <c r="AD1599" s="4">
        <v>28</v>
      </c>
      <c r="AE1599" s="4">
        <v>31</v>
      </c>
      <c r="AF1599" s="4">
        <v>0</v>
      </c>
      <c r="AG1599" s="4">
        <v>1</v>
      </c>
      <c r="AH1599" s="4">
        <v>26</v>
      </c>
      <c r="AI1599" s="4">
        <v>28</v>
      </c>
      <c r="AJ1599" s="4">
        <v>3</v>
      </c>
      <c r="AK1599" s="4">
        <v>4</v>
      </c>
      <c r="AL1599" s="4">
        <v>24</v>
      </c>
      <c r="AM1599" s="4">
        <v>24</v>
      </c>
      <c r="AN1599" s="4">
        <v>0</v>
      </c>
      <c r="AO1599" s="4">
        <v>0</v>
      </c>
      <c r="AP1599" s="4">
        <v>3</v>
      </c>
      <c r="AQ1599" s="4">
        <v>4</v>
      </c>
      <c r="AR1599" s="3" t="s">
        <v>65</v>
      </c>
      <c r="AS1599" s="3" t="s">
        <v>65</v>
      </c>
      <c r="AT1599" s="3" t="s">
        <v>209</v>
      </c>
      <c r="AU1599" s="6" t="str">
        <f t="shared" si="24"/>
        <v>HathiTrust Record</v>
      </c>
      <c r="AV1599" s="6" t="str">
        <f t="shared" si="25"/>
        <v>Catalog Record</v>
      </c>
      <c r="AW1599" s="6" t="str">
        <f t="shared" si="26"/>
        <v>WorldCat Record</v>
      </c>
      <c r="AX1599" s="3" t="s">
        <v>15621</v>
      </c>
      <c r="AY1599" s="3" t="s">
        <v>15622</v>
      </c>
      <c r="AZ1599" s="3" t="s">
        <v>15623</v>
      </c>
      <c r="BA1599" s="3" t="s">
        <v>15623</v>
      </c>
      <c r="BB1599" s="3" t="s">
        <v>15662</v>
      </c>
      <c r="BC1599" s="3" t="s">
        <v>77</v>
      </c>
      <c r="BD1599" s="3" t="s">
        <v>78</v>
      </c>
      <c r="BE1599" s="3" t="s">
        <v>15625</v>
      </c>
      <c r="BF1599" s="3" t="s">
        <v>15662</v>
      </c>
      <c r="BG1599" s="3" t="s">
        <v>15663</v>
      </c>
    </row>
    <row r="1600" spans="1:59" ht="72.5" x14ac:dyDescent="0.35">
      <c r="A1600" s="2" t="s">
        <v>59</v>
      </c>
      <c r="B1600" s="2" t="s">
        <v>60</v>
      </c>
      <c r="C1600" s="2" t="s">
        <v>15614</v>
      </c>
      <c r="D1600" s="2" t="s">
        <v>15615</v>
      </c>
      <c r="E1600" s="2" t="s">
        <v>15616</v>
      </c>
      <c r="F1600" s="3" t="s">
        <v>15664</v>
      </c>
      <c r="G1600" s="3" t="s">
        <v>209</v>
      </c>
      <c r="I1600" s="3" t="s">
        <v>65</v>
      </c>
      <c r="J1600" s="3" t="s">
        <v>65</v>
      </c>
      <c r="K1600" s="3" t="s">
        <v>66</v>
      </c>
      <c r="L1600" s="2" t="s">
        <v>15618</v>
      </c>
      <c r="M1600" s="2" t="s">
        <v>15619</v>
      </c>
      <c r="N1600" s="3" t="s">
        <v>247</v>
      </c>
      <c r="P1600" s="3" t="s">
        <v>616</v>
      </c>
      <c r="R1600" s="3" t="s">
        <v>71</v>
      </c>
      <c r="S1600" s="4">
        <v>2</v>
      </c>
      <c r="T1600" s="4">
        <v>43</v>
      </c>
      <c r="U1600" s="5" t="s">
        <v>15654</v>
      </c>
      <c r="V1600" s="5" t="s">
        <v>5225</v>
      </c>
      <c r="W1600" s="5" t="s">
        <v>72</v>
      </c>
      <c r="X1600" s="5" t="s">
        <v>72</v>
      </c>
      <c r="Y1600" s="4">
        <v>55</v>
      </c>
      <c r="Z1600" s="4">
        <v>5</v>
      </c>
      <c r="AA1600" s="4">
        <v>6</v>
      </c>
      <c r="AB1600" s="4">
        <v>1</v>
      </c>
      <c r="AC1600" s="4">
        <v>2</v>
      </c>
      <c r="AD1600" s="4">
        <v>28</v>
      </c>
      <c r="AE1600" s="4">
        <v>31</v>
      </c>
      <c r="AF1600" s="4">
        <v>0</v>
      </c>
      <c r="AG1600" s="4">
        <v>1</v>
      </c>
      <c r="AH1600" s="4">
        <v>26</v>
      </c>
      <c r="AI1600" s="4">
        <v>28</v>
      </c>
      <c r="AJ1600" s="4">
        <v>3</v>
      </c>
      <c r="AK1600" s="4">
        <v>4</v>
      </c>
      <c r="AL1600" s="4">
        <v>24</v>
      </c>
      <c r="AM1600" s="4">
        <v>24</v>
      </c>
      <c r="AN1600" s="4">
        <v>0</v>
      </c>
      <c r="AO1600" s="4">
        <v>0</v>
      </c>
      <c r="AP1600" s="4">
        <v>3</v>
      </c>
      <c r="AQ1600" s="4">
        <v>4</v>
      </c>
      <c r="AR1600" s="3" t="s">
        <v>65</v>
      </c>
      <c r="AS1600" s="3" t="s">
        <v>65</v>
      </c>
      <c r="AT1600" s="3" t="s">
        <v>209</v>
      </c>
      <c r="AU1600" s="6" t="str">
        <f t="shared" si="24"/>
        <v>HathiTrust Record</v>
      </c>
      <c r="AV1600" s="6" t="str">
        <f t="shared" si="25"/>
        <v>Catalog Record</v>
      </c>
      <c r="AW1600" s="6" t="str">
        <f t="shared" si="26"/>
        <v>WorldCat Record</v>
      </c>
      <c r="AX1600" s="3" t="s">
        <v>15621</v>
      </c>
      <c r="AY1600" s="3" t="s">
        <v>15622</v>
      </c>
      <c r="AZ1600" s="3" t="s">
        <v>15623</v>
      </c>
      <c r="BA1600" s="3" t="s">
        <v>15623</v>
      </c>
      <c r="BB1600" s="3" t="s">
        <v>15665</v>
      </c>
      <c r="BC1600" s="3" t="s">
        <v>77</v>
      </c>
      <c r="BD1600" s="3" t="s">
        <v>78</v>
      </c>
      <c r="BE1600" s="3" t="s">
        <v>15625</v>
      </c>
      <c r="BF1600" s="3" t="s">
        <v>15665</v>
      </c>
      <c r="BG1600" s="3" t="s">
        <v>15666</v>
      </c>
    </row>
    <row r="1601" spans="1:59" ht="72.5" x14ac:dyDescent="0.35">
      <c r="A1601" s="2" t="s">
        <v>59</v>
      </c>
      <c r="B1601" s="2" t="s">
        <v>60</v>
      </c>
      <c r="C1601" s="2" t="s">
        <v>15614</v>
      </c>
      <c r="D1601" s="2" t="s">
        <v>15615</v>
      </c>
      <c r="E1601" s="2" t="s">
        <v>15616</v>
      </c>
      <c r="F1601" s="3" t="s">
        <v>15667</v>
      </c>
      <c r="G1601" s="3" t="s">
        <v>209</v>
      </c>
      <c r="I1601" s="3" t="s">
        <v>65</v>
      </c>
      <c r="J1601" s="3" t="s">
        <v>65</v>
      </c>
      <c r="K1601" s="3" t="s">
        <v>66</v>
      </c>
      <c r="L1601" s="2" t="s">
        <v>15618</v>
      </c>
      <c r="M1601" s="2" t="s">
        <v>15619</v>
      </c>
      <c r="N1601" s="3" t="s">
        <v>247</v>
      </c>
      <c r="P1601" s="3" t="s">
        <v>616</v>
      </c>
      <c r="R1601" s="3" t="s">
        <v>71</v>
      </c>
      <c r="S1601" s="4">
        <v>8</v>
      </c>
      <c r="T1601" s="4">
        <v>43</v>
      </c>
      <c r="U1601" s="5" t="s">
        <v>15658</v>
      </c>
      <c r="V1601" s="5" t="s">
        <v>5225</v>
      </c>
      <c r="W1601" s="5" t="s">
        <v>72</v>
      </c>
      <c r="X1601" s="5" t="s">
        <v>72</v>
      </c>
      <c r="Y1601" s="4">
        <v>55</v>
      </c>
      <c r="Z1601" s="4">
        <v>5</v>
      </c>
      <c r="AA1601" s="4">
        <v>6</v>
      </c>
      <c r="AB1601" s="4">
        <v>1</v>
      </c>
      <c r="AC1601" s="4">
        <v>2</v>
      </c>
      <c r="AD1601" s="4">
        <v>28</v>
      </c>
      <c r="AE1601" s="4">
        <v>31</v>
      </c>
      <c r="AF1601" s="4">
        <v>0</v>
      </c>
      <c r="AG1601" s="4">
        <v>1</v>
      </c>
      <c r="AH1601" s="4">
        <v>26</v>
      </c>
      <c r="AI1601" s="4">
        <v>28</v>
      </c>
      <c r="AJ1601" s="4">
        <v>3</v>
      </c>
      <c r="AK1601" s="4">
        <v>4</v>
      </c>
      <c r="AL1601" s="4">
        <v>24</v>
      </c>
      <c r="AM1601" s="4">
        <v>24</v>
      </c>
      <c r="AN1601" s="4">
        <v>0</v>
      </c>
      <c r="AO1601" s="4">
        <v>0</v>
      </c>
      <c r="AP1601" s="4">
        <v>3</v>
      </c>
      <c r="AQ1601" s="4">
        <v>4</v>
      </c>
      <c r="AR1601" s="3" t="s">
        <v>65</v>
      </c>
      <c r="AS1601" s="3" t="s">
        <v>65</v>
      </c>
      <c r="AT1601" s="3" t="s">
        <v>209</v>
      </c>
      <c r="AU1601" s="6" t="str">
        <f t="shared" si="24"/>
        <v>HathiTrust Record</v>
      </c>
      <c r="AV1601" s="6" t="str">
        <f t="shared" si="25"/>
        <v>Catalog Record</v>
      </c>
      <c r="AW1601" s="6" t="str">
        <f t="shared" si="26"/>
        <v>WorldCat Record</v>
      </c>
      <c r="AX1601" s="3" t="s">
        <v>15621</v>
      </c>
      <c r="AY1601" s="3" t="s">
        <v>15622</v>
      </c>
      <c r="AZ1601" s="3" t="s">
        <v>15623</v>
      </c>
      <c r="BA1601" s="3" t="s">
        <v>15623</v>
      </c>
      <c r="BB1601" s="3" t="s">
        <v>15668</v>
      </c>
      <c r="BC1601" s="3" t="s">
        <v>77</v>
      </c>
      <c r="BD1601" s="3" t="s">
        <v>78</v>
      </c>
      <c r="BE1601" s="3" t="s">
        <v>15625</v>
      </c>
      <c r="BF1601" s="3" t="s">
        <v>15668</v>
      </c>
      <c r="BG1601" s="3" t="s">
        <v>15669</v>
      </c>
    </row>
    <row r="1602" spans="1:59" ht="72.5" x14ac:dyDescent="0.35">
      <c r="A1602" s="2" t="s">
        <v>59</v>
      </c>
      <c r="B1602" s="2" t="s">
        <v>60</v>
      </c>
      <c r="C1602" s="2" t="s">
        <v>15614</v>
      </c>
      <c r="D1602" s="2" t="s">
        <v>15615</v>
      </c>
      <c r="E1602" s="2" t="s">
        <v>15616</v>
      </c>
      <c r="F1602" s="3" t="s">
        <v>15670</v>
      </c>
      <c r="G1602" s="3" t="s">
        <v>209</v>
      </c>
      <c r="I1602" s="3" t="s">
        <v>65</v>
      </c>
      <c r="J1602" s="3" t="s">
        <v>65</v>
      </c>
      <c r="K1602" s="3" t="s">
        <v>66</v>
      </c>
      <c r="L1602" s="2" t="s">
        <v>15618</v>
      </c>
      <c r="M1602" s="2" t="s">
        <v>15619</v>
      </c>
      <c r="N1602" s="3" t="s">
        <v>247</v>
      </c>
      <c r="P1602" s="3" t="s">
        <v>616</v>
      </c>
      <c r="R1602" s="3" t="s">
        <v>71</v>
      </c>
      <c r="S1602" s="4">
        <v>3</v>
      </c>
      <c r="T1602" s="4">
        <v>43</v>
      </c>
      <c r="U1602" s="5" t="s">
        <v>15628</v>
      </c>
      <c r="V1602" s="5" t="s">
        <v>5225</v>
      </c>
      <c r="W1602" s="5" t="s">
        <v>72</v>
      </c>
      <c r="X1602" s="5" t="s">
        <v>72</v>
      </c>
      <c r="Y1602" s="4">
        <v>55</v>
      </c>
      <c r="Z1602" s="4">
        <v>5</v>
      </c>
      <c r="AA1602" s="4">
        <v>6</v>
      </c>
      <c r="AB1602" s="4">
        <v>1</v>
      </c>
      <c r="AC1602" s="4">
        <v>2</v>
      </c>
      <c r="AD1602" s="4">
        <v>28</v>
      </c>
      <c r="AE1602" s="4">
        <v>31</v>
      </c>
      <c r="AF1602" s="4">
        <v>0</v>
      </c>
      <c r="AG1602" s="4">
        <v>1</v>
      </c>
      <c r="AH1602" s="4">
        <v>26</v>
      </c>
      <c r="AI1602" s="4">
        <v>28</v>
      </c>
      <c r="AJ1602" s="4">
        <v>3</v>
      </c>
      <c r="AK1602" s="4">
        <v>4</v>
      </c>
      <c r="AL1602" s="4">
        <v>24</v>
      </c>
      <c r="AM1602" s="4">
        <v>24</v>
      </c>
      <c r="AN1602" s="4">
        <v>0</v>
      </c>
      <c r="AO1602" s="4">
        <v>0</v>
      </c>
      <c r="AP1602" s="4">
        <v>3</v>
      </c>
      <c r="AQ1602" s="4">
        <v>4</v>
      </c>
      <c r="AR1602" s="3" t="s">
        <v>65</v>
      </c>
      <c r="AS1602" s="3" t="s">
        <v>65</v>
      </c>
      <c r="AT1602" s="3" t="s">
        <v>209</v>
      </c>
      <c r="AU1602" s="6" t="str">
        <f t="shared" si="24"/>
        <v>HathiTrust Record</v>
      </c>
      <c r="AV1602" s="6" t="str">
        <f t="shared" si="25"/>
        <v>Catalog Record</v>
      </c>
      <c r="AW1602" s="6" t="str">
        <f t="shared" si="26"/>
        <v>WorldCat Record</v>
      </c>
      <c r="AX1602" s="3" t="s">
        <v>15621</v>
      </c>
      <c r="AY1602" s="3" t="s">
        <v>15622</v>
      </c>
      <c r="AZ1602" s="3" t="s">
        <v>15623</v>
      </c>
      <c r="BA1602" s="3" t="s">
        <v>15623</v>
      </c>
      <c r="BB1602" s="3" t="s">
        <v>15671</v>
      </c>
      <c r="BC1602" s="3" t="s">
        <v>77</v>
      </c>
      <c r="BD1602" s="3" t="s">
        <v>78</v>
      </c>
      <c r="BE1602" s="3" t="s">
        <v>15625</v>
      </c>
      <c r="BF1602" s="3" t="s">
        <v>15671</v>
      </c>
      <c r="BG1602" s="3" t="s">
        <v>15672</v>
      </c>
    </row>
    <row r="1603" spans="1:59" ht="72.5" x14ac:dyDescent="0.35">
      <c r="A1603" s="2" t="s">
        <v>59</v>
      </c>
      <c r="B1603" s="2" t="s">
        <v>60</v>
      </c>
      <c r="C1603" s="2" t="s">
        <v>15614</v>
      </c>
      <c r="D1603" s="2" t="s">
        <v>15615</v>
      </c>
      <c r="E1603" s="2" t="s">
        <v>15616</v>
      </c>
      <c r="F1603" s="3" t="s">
        <v>15673</v>
      </c>
      <c r="G1603" s="3" t="s">
        <v>209</v>
      </c>
      <c r="I1603" s="3" t="s">
        <v>65</v>
      </c>
      <c r="J1603" s="3" t="s">
        <v>65</v>
      </c>
      <c r="K1603" s="3" t="s">
        <v>66</v>
      </c>
      <c r="L1603" s="2" t="s">
        <v>15618</v>
      </c>
      <c r="M1603" s="2" t="s">
        <v>15619</v>
      </c>
      <c r="N1603" s="3" t="s">
        <v>247</v>
      </c>
      <c r="P1603" s="3" t="s">
        <v>616</v>
      </c>
      <c r="R1603" s="3" t="s">
        <v>71</v>
      </c>
      <c r="S1603" s="4">
        <v>1</v>
      </c>
      <c r="T1603" s="4">
        <v>43</v>
      </c>
      <c r="U1603" s="5" t="s">
        <v>15628</v>
      </c>
      <c r="V1603" s="5" t="s">
        <v>5225</v>
      </c>
      <c r="W1603" s="5" t="s">
        <v>72</v>
      </c>
      <c r="X1603" s="5" t="s">
        <v>72</v>
      </c>
      <c r="Y1603" s="4">
        <v>55</v>
      </c>
      <c r="Z1603" s="4">
        <v>5</v>
      </c>
      <c r="AA1603" s="4">
        <v>6</v>
      </c>
      <c r="AB1603" s="4">
        <v>1</v>
      </c>
      <c r="AC1603" s="4">
        <v>2</v>
      </c>
      <c r="AD1603" s="4">
        <v>28</v>
      </c>
      <c r="AE1603" s="4">
        <v>31</v>
      </c>
      <c r="AF1603" s="4">
        <v>0</v>
      </c>
      <c r="AG1603" s="4">
        <v>1</v>
      </c>
      <c r="AH1603" s="4">
        <v>26</v>
      </c>
      <c r="AI1603" s="4">
        <v>28</v>
      </c>
      <c r="AJ1603" s="4">
        <v>3</v>
      </c>
      <c r="AK1603" s="4">
        <v>4</v>
      </c>
      <c r="AL1603" s="4">
        <v>24</v>
      </c>
      <c r="AM1603" s="4">
        <v>24</v>
      </c>
      <c r="AN1603" s="4">
        <v>0</v>
      </c>
      <c r="AO1603" s="4">
        <v>0</v>
      </c>
      <c r="AP1603" s="4">
        <v>3</v>
      </c>
      <c r="AQ1603" s="4">
        <v>4</v>
      </c>
      <c r="AR1603" s="3" t="s">
        <v>65</v>
      </c>
      <c r="AS1603" s="3" t="s">
        <v>65</v>
      </c>
      <c r="AT1603" s="3" t="s">
        <v>209</v>
      </c>
      <c r="AU1603" s="6" t="str">
        <f t="shared" si="24"/>
        <v>HathiTrust Record</v>
      </c>
      <c r="AV1603" s="6" t="str">
        <f t="shared" si="25"/>
        <v>Catalog Record</v>
      </c>
      <c r="AW1603" s="6" t="str">
        <f t="shared" si="26"/>
        <v>WorldCat Record</v>
      </c>
      <c r="AX1603" s="3" t="s">
        <v>15621</v>
      </c>
      <c r="AY1603" s="3" t="s">
        <v>15622</v>
      </c>
      <c r="AZ1603" s="3" t="s">
        <v>15623</v>
      </c>
      <c r="BA1603" s="3" t="s">
        <v>15623</v>
      </c>
      <c r="BB1603" s="3" t="s">
        <v>15674</v>
      </c>
      <c r="BC1603" s="3" t="s">
        <v>77</v>
      </c>
      <c r="BD1603" s="3" t="s">
        <v>78</v>
      </c>
      <c r="BE1603" s="3" t="s">
        <v>15625</v>
      </c>
      <c r="BF1603" s="3" t="s">
        <v>15674</v>
      </c>
      <c r="BG1603" s="3" t="s">
        <v>15675</v>
      </c>
    </row>
    <row r="1604" spans="1:59" ht="72.5" x14ac:dyDescent="0.35">
      <c r="A1604" s="2" t="s">
        <v>59</v>
      </c>
      <c r="B1604" s="2" t="s">
        <v>60</v>
      </c>
      <c r="C1604" s="2" t="s">
        <v>15676</v>
      </c>
      <c r="D1604" s="2" t="s">
        <v>15677</v>
      </c>
      <c r="E1604" s="2" t="s">
        <v>15616</v>
      </c>
      <c r="F1604" s="3" t="s">
        <v>15678</v>
      </c>
      <c r="G1604" s="3" t="s">
        <v>209</v>
      </c>
      <c r="I1604" s="3" t="s">
        <v>65</v>
      </c>
      <c r="J1604" s="3" t="s">
        <v>65</v>
      </c>
      <c r="K1604" s="3" t="s">
        <v>66</v>
      </c>
      <c r="L1604" s="2" t="s">
        <v>15618</v>
      </c>
      <c r="M1604" s="2" t="s">
        <v>15619</v>
      </c>
      <c r="N1604" s="3" t="s">
        <v>247</v>
      </c>
      <c r="P1604" s="3" t="s">
        <v>616</v>
      </c>
      <c r="R1604" s="3" t="s">
        <v>71</v>
      </c>
      <c r="S1604" s="4">
        <v>0</v>
      </c>
      <c r="T1604" s="4">
        <v>43</v>
      </c>
      <c r="V1604" s="5" t="s">
        <v>5225</v>
      </c>
      <c r="W1604" s="5" t="s">
        <v>72</v>
      </c>
      <c r="X1604" s="5" t="s">
        <v>72</v>
      </c>
      <c r="Y1604" s="4">
        <v>55</v>
      </c>
      <c r="Z1604" s="4">
        <v>5</v>
      </c>
      <c r="AA1604" s="4">
        <v>6</v>
      </c>
      <c r="AB1604" s="4">
        <v>1</v>
      </c>
      <c r="AC1604" s="4">
        <v>2</v>
      </c>
      <c r="AD1604" s="4">
        <v>28</v>
      </c>
      <c r="AE1604" s="4">
        <v>31</v>
      </c>
      <c r="AF1604" s="4">
        <v>0</v>
      </c>
      <c r="AG1604" s="4">
        <v>1</v>
      </c>
      <c r="AH1604" s="4">
        <v>26</v>
      </c>
      <c r="AI1604" s="4">
        <v>28</v>
      </c>
      <c r="AJ1604" s="4">
        <v>3</v>
      </c>
      <c r="AK1604" s="4">
        <v>4</v>
      </c>
      <c r="AL1604" s="4">
        <v>24</v>
      </c>
      <c r="AM1604" s="4">
        <v>24</v>
      </c>
      <c r="AN1604" s="4">
        <v>0</v>
      </c>
      <c r="AO1604" s="4">
        <v>0</v>
      </c>
      <c r="AP1604" s="4">
        <v>3</v>
      </c>
      <c r="AQ1604" s="4">
        <v>4</v>
      </c>
      <c r="AR1604" s="3" t="s">
        <v>65</v>
      </c>
      <c r="AS1604" s="3" t="s">
        <v>65</v>
      </c>
      <c r="AT1604" s="3" t="s">
        <v>209</v>
      </c>
      <c r="AU1604" s="6" t="str">
        <f t="shared" si="24"/>
        <v>HathiTrust Record</v>
      </c>
      <c r="AV1604" s="6" t="str">
        <f t="shared" si="25"/>
        <v>Catalog Record</v>
      </c>
      <c r="AW1604" s="6" t="str">
        <f t="shared" si="26"/>
        <v>WorldCat Record</v>
      </c>
      <c r="AX1604" s="3" t="s">
        <v>15621</v>
      </c>
      <c r="AY1604" s="3" t="s">
        <v>15622</v>
      </c>
      <c r="AZ1604" s="3" t="s">
        <v>15623</v>
      </c>
      <c r="BA1604" s="3" t="s">
        <v>15623</v>
      </c>
      <c r="BB1604" s="3" t="s">
        <v>15679</v>
      </c>
      <c r="BC1604" s="3" t="s">
        <v>77</v>
      </c>
      <c r="BD1604" s="3" t="s">
        <v>78</v>
      </c>
      <c r="BE1604" s="3" t="s">
        <v>15625</v>
      </c>
      <c r="BF1604" s="3" t="s">
        <v>15679</v>
      </c>
      <c r="BG1604" s="3" t="s">
        <v>15680</v>
      </c>
    </row>
    <row r="1605" spans="1:59" ht="58" x14ac:dyDescent="0.35">
      <c r="A1605" s="2" t="s">
        <v>59</v>
      </c>
      <c r="B1605" s="2" t="s">
        <v>60</v>
      </c>
      <c r="C1605" s="2" t="s">
        <v>15681</v>
      </c>
      <c r="D1605" s="2" t="s">
        <v>15682</v>
      </c>
      <c r="E1605" s="2" t="s">
        <v>15683</v>
      </c>
      <c r="G1605" s="3" t="s">
        <v>65</v>
      </c>
      <c r="I1605" s="3" t="s">
        <v>65</v>
      </c>
      <c r="J1605" s="3" t="s">
        <v>65</v>
      </c>
      <c r="K1605" s="3" t="s">
        <v>66</v>
      </c>
      <c r="L1605" s="2" t="s">
        <v>15684</v>
      </c>
      <c r="M1605" s="2" t="s">
        <v>4783</v>
      </c>
      <c r="N1605" s="3" t="s">
        <v>221</v>
      </c>
      <c r="P1605" s="3" t="s">
        <v>140</v>
      </c>
      <c r="Q1605" s="2" t="s">
        <v>15685</v>
      </c>
      <c r="R1605" s="3" t="s">
        <v>71</v>
      </c>
      <c r="S1605" s="4">
        <v>2</v>
      </c>
      <c r="T1605" s="4">
        <v>2</v>
      </c>
      <c r="U1605" s="5" t="s">
        <v>15654</v>
      </c>
      <c r="V1605" s="5" t="s">
        <v>15654</v>
      </c>
      <c r="W1605" s="5" t="s">
        <v>72</v>
      </c>
      <c r="X1605" s="5" t="s">
        <v>72</v>
      </c>
      <c r="Y1605" s="4">
        <v>52</v>
      </c>
      <c r="Z1605" s="4">
        <v>4</v>
      </c>
      <c r="AA1605" s="4">
        <v>4</v>
      </c>
      <c r="AB1605" s="4">
        <v>1</v>
      </c>
      <c r="AC1605" s="4">
        <v>1</v>
      </c>
      <c r="AD1605" s="4">
        <v>27</v>
      </c>
      <c r="AE1605" s="4">
        <v>27</v>
      </c>
      <c r="AF1605" s="4">
        <v>0</v>
      </c>
      <c r="AG1605" s="4">
        <v>0</v>
      </c>
      <c r="AH1605" s="4">
        <v>25</v>
      </c>
      <c r="AI1605" s="4">
        <v>25</v>
      </c>
      <c r="AJ1605" s="4">
        <v>2</v>
      </c>
      <c r="AK1605" s="4">
        <v>2</v>
      </c>
      <c r="AL1605" s="4">
        <v>20</v>
      </c>
      <c r="AM1605" s="4">
        <v>20</v>
      </c>
      <c r="AN1605" s="4">
        <v>0</v>
      </c>
      <c r="AO1605" s="4">
        <v>0</v>
      </c>
      <c r="AP1605" s="4">
        <v>2</v>
      </c>
      <c r="AQ1605" s="4">
        <v>2</v>
      </c>
      <c r="AR1605" s="3" t="s">
        <v>65</v>
      </c>
      <c r="AS1605" s="3" t="s">
        <v>65</v>
      </c>
      <c r="AT1605" s="3" t="s">
        <v>209</v>
      </c>
      <c r="AU1605" s="6" t="str">
        <f>HYPERLINK("http://catalog.hathitrust.org/Record/005547936","HathiTrust Record")</f>
        <v>HathiTrust Record</v>
      </c>
      <c r="AV1605" s="6" t="str">
        <f>HYPERLINK("http://mcgill.on.worldcat.org/oclc/85842415","Catalog Record")</f>
        <v>Catalog Record</v>
      </c>
      <c r="AW1605" s="6" t="str">
        <f>HYPERLINK("http://www.worldcat.org/oclc/85842415","WorldCat Record")</f>
        <v>WorldCat Record</v>
      </c>
      <c r="AX1605" s="3" t="s">
        <v>15686</v>
      </c>
      <c r="AY1605" s="3" t="s">
        <v>15687</v>
      </c>
      <c r="AZ1605" s="3" t="s">
        <v>15688</v>
      </c>
      <c r="BA1605" s="3" t="s">
        <v>15688</v>
      </c>
      <c r="BB1605" s="3" t="s">
        <v>15689</v>
      </c>
      <c r="BC1605" s="3" t="s">
        <v>77</v>
      </c>
      <c r="BD1605" s="3" t="s">
        <v>78</v>
      </c>
      <c r="BE1605" s="3" t="s">
        <v>15690</v>
      </c>
      <c r="BF1605" s="3" t="s">
        <v>15689</v>
      </c>
      <c r="BG1605" s="3" t="s">
        <v>15691</v>
      </c>
    </row>
    <row r="1606" spans="1:59" ht="58" x14ac:dyDescent="0.35">
      <c r="A1606" s="2" t="s">
        <v>59</v>
      </c>
      <c r="B1606" s="2" t="s">
        <v>60</v>
      </c>
      <c r="C1606" s="2" t="s">
        <v>15692</v>
      </c>
      <c r="D1606" s="2" t="s">
        <v>15693</v>
      </c>
      <c r="E1606" s="2" t="s">
        <v>15694</v>
      </c>
      <c r="G1606" s="3" t="s">
        <v>65</v>
      </c>
      <c r="I1606" s="3" t="s">
        <v>65</v>
      </c>
      <c r="J1606" s="3" t="s">
        <v>65</v>
      </c>
      <c r="K1606" s="3" t="s">
        <v>66</v>
      </c>
      <c r="L1606" s="2" t="s">
        <v>15695</v>
      </c>
      <c r="M1606" s="2" t="s">
        <v>15696</v>
      </c>
      <c r="N1606" s="3" t="s">
        <v>1196</v>
      </c>
      <c r="P1606" s="3" t="s">
        <v>69</v>
      </c>
      <c r="Q1606" s="2" t="s">
        <v>15697</v>
      </c>
      <c r="R1606" s="3" t="s">
        <v>71</v>
      </c>
      <c r="S1606" s="4">
        <v>8</v>
      </c>
      <c r="T1606" s="4">
        <v>8</v>
      </c>
      <c r="U1606" s="5" t="s">
        <v>5831</v>
      </c>
      <c r="V1606" s="5" t="s">
        <v>5831</v>
      </c>
      <c r="W1606" s="5" t="s">
        <v>72</v>
      </c>
      <c r="X1606" s="5" t="s">
        <v>72</v>
      </c>
      <c r="Y1606" s="4">
        <v>170</v>
      </c>
      <c r="Z1606" s="4">
        <v>16</v>
      </c>
      <c r="AA1606" s="4">
        <v>20</v>
      </c>
      <c r="AB1606" s="4">
        <v>1</v>
      </c>
      <c r="AC1606" s="4">
        <v>4</v>
      </c>
      <c r="AD1606" s="4">
        <v>77</v>
      </c>
      <c r="AE1606" s="4">
        <v>79</v>
      </c>
      <c r="AF1606" s="4">
        <v>0</v>
      </c>
      <c r="AG1606" s="4">
        <v>0</v>
      </c>
      <c r="AH1606" s="4">
        <v>68</v>
      </c>
      <c r="AI1606" s="4">
        <v>70</v>
      </c>
      <c r="AJ1606" s="4">
        <v>10</v>
      </c>
      <c r="AK1606" s="4">
        <v>11</v>
      </c>
      <c r="AL1606" s="4">
        <v>44</v>
      </c>
      <c r="AM1606" s="4">
        <v>44</v>
      </c>
      <c r="AN1606" s="4">
        <v>0</v>
      </c>
      <c r="AO1606" s="4">
        <v>0</v>
      </c>
      <c r="AP1606" s="4">
        <v>11</v>
      </c>
      <c r="AQ1606" s="4">
        <v>12</v>
      </c>
      <c r="AR1606" s="3" t="s">
        <v>65</v>
      </c>
      <c r="AS1606" s="3" t="s">
        <v>65</v>
      </c>
      <c r="AT1606" s="3" t="s">
        <v>209</v>
      </c>
      <c r="AU1606" s="6" t="str">
        <f>HYPERLINK("http://catalog.hathitrust.org/Record/004971358","HathiTrust Record")</f>
        <v>HathiTrust Record</v>
      </c>
      <c r="AV1606" s="6" t="str">
        <f>HYPERLINK("http://mcgill.on.worldcat.org/oclc/57501024","Catalog Record")</f>
        <v>Catalog Record</v>
      </c>
      <c r="AW1606" s="6" t="str">
        <f>HYPERLINK("http://www.worldcat.org/oclc/57501024","WorldCat Record")</f>
        <v>WorldCat Record</v>
      </c>
      <c r="AX1606" s="3" t="s">
        <v>15698</v>
      </c>
      <c r="AY1606" s="3" t="s">
        <v>15699</v>
      </c>
      <c r="AZ1606" s="3" t="s">
        <v>15700</v>
      </c>
      <c r="BA1606" s="3" t="s">
        <v>15700</v>
      </c>
      <c r="BB1606" s="3" t="s">
        <v>15701</v>
      </c>
      <c r="BC1606" s="3" t="s">
        <v>77</v>
      </c>
      <c r="BD1606" s="3" t="s">
        <v>78</v>
      </c>
      <c r="BE1606" s="3" t="s">
        <v>15702</v>
      </c>
      <c r="BF1606" s="3" t="s">
        <v>15701</v>
      </c>
      <c r="BG1606" s="3" t="s">
        <v>15703</v>
      </c>
    </row>
    <row r="1607" spans="1:59" ht="58" x14ac:dyDescent="0.35">
      <c r="A1607" s="2" t="s">
        <v>59</v>
      </c>
      <c r="B1607" s="2" t="s">
        <v>60</v>
      </c>
      <c r="C1607" s="2" t="s">
        <v>15704</v>
      </c>
      <c r="D1607" s="2" t="s">
        <v>15705</v>
      </c>
      <c r="E1607" s="2" t="s">
        <v>15706</v>
      </c>
      <c r="G1607" s="3" t="s">
        <v>65</v>
      </c>
      <c r="I1607" s="3" t="s">
        <v>65</v>
      </c>
      <c r="J1607" s="3" t="s">
        <v>65</v>
      </c>
      <c r="K1607" s="3" t="s">
        <v>66</v>
      </c>
      <c r="L1607" s="2" t="s">
        <v>15707</v>
      </c>
      <c r="M1607" s="2" t="s">
        <v>15708</v>
      </c>
      <c r="N1607" s="3" t="s">
        <v>139</v>
      </c>
      <c r="P1607" s="3" t="s">
        <v>140</v>
      </c>
      <c r="Q1607" s="2" t="s">
        <v>15709</v>
      </c>
      <c r="R1607" s="3" t="s">
        <v>71</v>
      </c>
      <c r="S1607" s="4">
        <v>0</v>
      </c>
      <c r="T1607" s="4">
        <v>0</v>
      </c>
      <c r="W1607" s="5" t="s">
        <v>72</v>
      </c>
      <c r="X1607" s="5" t="s">
        <v>72</v>
      </c>
      <c r="Y1607" s="4">
        <v>24</v>
      </c>
      <c r="Z1607" s="4">
        <v>3</v>
      </c>
      <c r="AA1607" s="4">
        <v>3</v>
      </c>
      <c r="AB1607" s="4">
        <v>1</v>
      </c>
      <c r="AC1607" s="4">
        <v>1</v>
      </c>
      <c r="AD1607" s="4">
        <v>17</v>
      </c>
      <c r="AE1607" s="4">
        <v>17</v>
      </c>
      <c r="AF1607" s="4">
        <v>0</v>
      </c>
      <c r="AG1607" s="4">
        <v>0</v>
      </c>
      <c r="AH1607" s="4">
        <v>16</v>
      </c>
      <c r="AI1607" s="4">
        <v>16</v>
      </c>
      <c r="AJ1607" s="4">
        <v>1</v>
      </c>
      <c r="AK1607" s="4">
        <v>1</v>
      </c>
      <c r="AL1607" s="4">
        <v>15</v>
      </c>
      <c r="AM1607" s="4">
        <v>15</v>
      </c>
      <c r="AN1607" s="4">
        <v>0</v>
      </c>
      <c r="AO1607" s="4">
        <v>0</v>
      </c>
      <c r="AP1607" s="4">
        <v>1</v>
      </c>
      <c r="AQ1607" s="4">
        <v>1</v>
      </c>
      <c r="AR1607" s="3" t="s">
        <v>65</v>
      </c>
      <c r="AS1607" s="3" t="s">
        <v>65</v>
      </c>
      <c r="AT1607" s="3" t="s">
        <v>65</v>
      </c>
      <c r="AV1607" s="6" t="str">
        <f>HYPERLINK("http://mcgill.on.worldcat.org/oclc/834494738","Catalog Record")</f>
        <v>Catalog Record</v>
      </c>
      <c r="AW1607" s="6" t="str">
        <f>HYPERLINK("http://www.worldcat.org/oclc/834494738","WorldCat Record")</f>
        <v>WorldCat Record</v>
      </c>
      <c r="AX1607" s="3" t="s">
        <v>15710</v>
      </c>
      <c r="AY1607" s="3" t="s">
        <v>15711</v>
      </c>
      <c r="AZ1607" s="3" t="s">
        <v>15712</v>
      </c>
      <c r="BA1607" s="3" t="s">
        <v>15712</v>
      </c>
      <c r="BB1607" s="3" t="s">
        <v>15713</v>
      </c>
      <c r="BC1607" s="3" t="s">
        <v>77</v>
      </c>
      <c r="BD1607" s="3" t="s">
        <v>78</v>
      </c>
      <c r="BE1607" s="3" t="s">
        <v>15714</v>
      </c>
      <c r="BF1607" s="3" t="s">
        <v>15713</v>
      </c>
      <c r="BG1607" s="3" t="s">
        <v>15715</v>
      </c>
    </row>
    <row r="1608" spans="1:59" ht="72.5" x14ac:dyDescent="0.35">
      <c r="A1608" s="2" t="s">
        <v>59</v>
      </c>
      <c r="B1608" s="2" t="s">
        <v>60</v>
      </c>
      <c r="C1608" s="2" t="s">
        <v>15716</v>
      </c>
      <c r="D1608" s="2" t="s">
        <v>15717</v>
      </c>
      <c r="E1608" s="2" t="s">
        <v>15718</v>
      </c>
      <c r="G1608" s="3" t="s">
        <v>65</v>
      </c>
      <c r="I1608" s="3" t="s">
        <v>65</v>
      </c>
      <c r="J1608" s="3" t="s">
        <v>65</v>
      </c>
      <c r="K1608" s="3" t="s">
        <v>66</v>
      </c>
      <c r="L1608" s="2" t="s">
        <v>15719</v>
      </c>
      <c r="M1608" s="2" t="s">
        <v>15720</v>
      </c>
      <c r="N1608" s="3" t="s">
        <v>955</v>
      </c>
      <c r="O1608" s="2" t="s">
        <v>15721</v>
      </c>
      <c r="P1608" s="3" t="s">
        <v>69</v>
      </c>
      <c r="Q1608" s="2" t="s">
        <v>12306</v>
      </c>
      <c r="R1608" s="3" t="s">
        <v>71</v>
      </c>
      <c r="S1608" s="4">
        <v>50</v>
      </c>
      <c r="T1608" s="4">
        <v>50</v>
      </c>
      <c r="U1608" s="5" t="s">
        <v>15722</v>
      </c>
      <c r="V1608" s="5" t="s">
        <v>15722</v>
      </c>
      <c r="W1608" s="5" t="s">
        <v>72</v>
      </c>
      <c r="X1608" s="5" t="s">
        <v>72</v>
      </c>
      <c r="Y1608" s="4">
        <v>436</v>
      </c>
      <c r="Z1608" s="4">
        <v>30</v>
      </c>
      <c r="AA1608" s="4">
        <v>37</v>
      </c>
      <c r="AB1608" s="4">
        <v>3</v>
      </c>
      <c r="AC1608" s="4">
        <v>5</v>
      </c>
      <c r="AD1608" s="4">
        <v>78</v>
      </c>
      <c r="AE1608" s="4">
        <v>86</v>
      </c>
      <c r="AF1608" s="4">
        <v>0</v>
      </c>
      <c r="AG1608" s="4">
        <v>1</v>
      </c>
      <c r="AH1608" s="4">
        <v>66</v>
      </c>
      <c r="AI1608" s="4">
        <v>70</v>
      </c>
      <c r="AJ1608" s="4">
        <v>14</v>
      </c>
      <c r="AK1608" s="4">
        <v>15</v>
      </c>
      <c r="AL1608" s="4">
        <v>33</v>
      </c>
      <c r="AM1608" s="4">
        <v>35</v>
      </c>
      <c r="AN1608" s="4">
        <v>0</v>
      </c>
      <c r="AO1608" s="4">
        <v>0</v>
      </c>
      <c r="AP1608" s="4">
        <v>20</v>
      </c>
      <c r="AQ1608" s="4">
        <v>23</v>
      </c>
      <c r="AR1608" s="3" t="s">
        <v>65</v>
      </c>
      <c r="AS1608" s="3" t="s">
        <v>65</v>
      </c>
      <c r="AT1608" s="3" t="s">
        <v>65</v>
      </c>
      <c r="AV1608" s="6" t="str">
        <f>HYPERLINK("http://mcgill.on.worldcat.org/oclc/6454946","Catalog Record")</f>
        <v>Catalog Record</v>
      </c>
      <c r="AW1608" s="6" t="str">
        <f>HYPERLINK("http://www.worldcat.org/oclc/6454946","WorldCat Record")</f>
        <v>WorldCat Record</v>
      </c>
      <c r="AX1608" s="3" t="s">
        <v>15723</v>
      </c>
      <c r="AY1608" s="3" t="s">
        <v>15724</v>
      </c>
      <c r="AZ1608" s="3" t="s">
        <v>15725</v>
      </c>
      <c r="BA1608" s="3" t="s">
        <v>15725</v>
      </c>
      <c r="BB1608" s="3" t="s">
        <v>15726</v>
      </c>
      <c r="BC1608" s="3" t="s">
        <v>77</v>
      </c>
      <c r="BD1608" s="3" t="s">
        <v>78</v>
      </c>
      <c r="BE1608" s="3" t="s">
        <v>15727</v>
      </c>
      <c r="BF1608" s="3" t="s">
        <v>15726</v>
      </c>
      <c r="BG1608" s="3" t="s">
        <v>15728</v>
      </c>
    </row>
    <row r="1609" spans="1:59" ht="58" x14ac:dyDescent="0.35">
      <c r="A1609" s="2" t="s">
        <v>59</v>
      </c>
      <c r="B1609" s="2" t="s">
        <v>60</v>
      </c>
      <c r="C1609" s="2" t="s">
        <v>15729</v>
      </c>
      <c r="D1609" s="2" t="s">
        <v>15730</v>
      </c>
      <c r="E1609" s="2" t="s">
        <v>15731</v>
      </c>
      <c r="G1609" s="3" t="s">
        <v>65</v>
      </c>
      <c r="I1609" s="3" t="s">
        <v>209</v>
      </c>
      <c r="J1609" s="3" t="s">
        <v>65</v>
      </c>
      <c r="K1609" s="3" t="s">
        <v>66</v>
      </c>
      <c r="L1609" s="2" t="s">
        <v>15719</v>
      </c>
      <c r="M1609" s="2" t="s">
        <v>15732</v>
      </c>
      <c r="N1609" s="3" t="s">
        <v>770</v>
      </c>
      <c r="P1609" s="3" t="s">
        <v>69</v>
      </c>
      <c r="R1609" s="3" t="s">
        <v>71</v>
      </c>
      <c r="S1609" s="4">
        <v>5</v>
      </c>
      <c r="T1609" s="4">
        <v>47</v>
      </c>
      <c r="U1609" s="5" t="s">
        <v>15733</v>
      </c>
      <c r="V1609" s="5" t="s">
        <v>15734</v>
      </c>
      <c r="W1609" s="5" t="s">
        <v>72</v>
      </c>
      <c r="X1609" s="5" t="s">
        <v>72</v>
      </c>
      <c r="Y1609" s="4">
        <v>656</v>
      </c>
      <c r="Z1609" s="4">
        <v>34</v>
      </c>
      <c r="AA1609" s="4">
        <v>38</v>
      </c>
      <c r="AB1609" s="4">
        <v>3</v>
      </c>
      <c r="AC1609" s="4">
        <v>5</v>
      </c>
      <c r="AD1609" s="4">
        <v>117</v>
      </c>
      <c r="AE1609" s="4">
        <v>121</v>
      </c>
      <c r="AF1609" s="4">
        <v>1</v>
      </c>
      <c r="AG1609" s="4">
        <v>2</v>
      </c>
      <c r="AH1609" s="4">
        <v>100</v>
      </c>
      <c r="AI1609" s="4">
        <v>103</v>
      </c>
      <c r="AJ1609" s="4">
        <v>16</v>
      </c>
      <c r="AK1609" s="4">
        <v>17</v>
      </c>
      <c r="AL1609" s="4">
        <v>59</v>
      </c>
      <c r="AM1609" s="4">
        <v>61</v>
      </c>
      <c r="AN1609" s="4">
        <v>0</v>
      </c>
      <c r="AO1609" s="4">
        <v>0</v>
      </c>
      <c r="AP1609" s="4">
        <v>23</v>
      </c>
      <c r="AQ1609" s="4">
        <v>23</v>
      </c>
      <c r="AR1609" s="3" t="s">
        <v>65</v>
      </c>
      <c r="AS1609" s="3" t="s">
        <v>65</v>
      </c>
      <c r="AT1609" s="3" t="s">
        <v>65</v>
      </c>
      <c r="AV1609" s="6" t="str">
        <f>HYPERLINK("http://mcgill.on.worldcat.org/oclc/22450593","Catalog Record")</f>
        <v>Catalog Record</v>
      </c>
      <c r="AW1609" s="6" t="str">
        <f>HYPERLINK("http://www.worldcat.org/oclc/22450593","WorldCat Record")</f>
        <v>WorldCat Record</v>
      </c>
      <c r="AX1609" s="3" t="s">
        <v>15735</v>
      </c>
      <c r="AY1609" s="3" t="s">
        <v>15736</v>
      </c>
      <c r="AZ1609" s="3" t="s">
        <v>15737</v>
      </c>
      <c r="BA1609" s="3" t="s">
        <v>15737</v>
      </c>
      <c r="BB1609" s="3" t="s">
        <v>15738</v>
      </c>
      <c r="BC1609" s="3" t="s">
        <v>77</v>
      </c>
      <c r="BD1609" s="3" t="s">
        <v>106</v>
      </c>
      <c r="BE1609" s="3" t="s">
        <v>15739</v>
      </c>
      <c r="BF1609" s="3" t="s">
        <v>15738</v>
      </c>
      <c r="BG1609" s="3" t="s">
        <v>15740</v>
      </c>
    </row>
    <row r="1610" spans="1:59" ht="58" x14ac:dyDescent="0.35">
      <c r="A1610" s="2" t="s">
        <v>59</v>
      </c>
      <c r="B1610" s="2" t="s">
        <v>60</v>
      </c>
      <c r="C1610" s="2" t="s">
        <v>15729</v>
      </c>
      <c r="D1610" s="2" t="s">
        <v>15730</v>
      </c>
      <c r="E1610" s="2" t="s">
        <v>15731</v>
      </c>
      <c r="G1610" s="3" t="s">
        <v>65</v>
      </c>
      <c r="I1610" s="3" t="s">
        <v>209</v>
      </c>
      <c r="J1610" s="3" t="s">
        <v>65</v>
      </c>
      <c r="K1610" s="3" t="s">
        <v>66</v>
      </c>
      <c r="L1610" s="2" t="s">
        <v>15719</v>
      </c>
      <c r="M1610" s="2" t="s">
        <v>15732</v>
      </c>
      <c r="N1610" s="3" t="s">
        <v>770</v>
      </c>
      <c r="P1610" s="3" t="s">
        <v>69</v>
      </c>
      <c r="R1610" s="3" t="s">
        <v>71</v>
      </c>
      <c r="S1610" s="4">
        <v>42</v>
      </c>
      <c r="T1610" s="4">
        <v>47</v>
      </c>
      <c r="U1610" s="5" t="s">
        <v>15734</v>
      </c>
      <c r="V1610" s="5" t="s">
        <v>15734</v>
      </c>
      <c r="W1610" s="5" t="s">
        <v>72</v>
      </c>
      <c r="X1610" s="5" t="s">
        <v>72</v>
      </c>
      <c r="Y1610" s="4">
        <v>656</v>
      </c>
      <c r="Z1610" s="4">
        <v>34</v>
      </c>
      <c r="AA1610" s="4">
        <v>38</v>
      </c>
      <c r="AB1610" s="4">
        <v>3</v>
      </c>
      <c r="AC1610" s="4">
        <v>5</v>
      </c>
      <c r="AD1610" s="4">
        <v>117</v>
      </c>
      <c r="AE1610" s="4">
        <v>121</v>
      </c>
      <c r="AF1610" s="4">
        <v>1</v>
      </c>
      <c r="AG1610" s="4">
        <v>2</v>
      </c>
      <c r="AH1610" s="4">
        <v>100</v>
      </c>
      <c r="AI1610" s="4">
        <v>103</v>
      </c>
      <c r="AJ1610" s="4">
        <v>16</v>
      </c>
      <c r="AK1610" s="4">
        <v>17</v>
      </c>
      <c r="AL1610" s="4">
        <v>59</v>
      </c>
      <c r="AM1610" s="4">
        <v>61</v>
      </c>
      <c r="AN1610" s="4">
        <v>0</v>
      </c>
      <c r="AO1610" s="4">
        <v>0</v>
      </c>
      <c r="AP1610" s="4">
        <v>23</v>
      </c>
      <c r="AQ1610" s="4">
        <v>23</v>
      </c>
      <c r="AR1610" s="3" t="s">
        <v>65</v>
      </c>
      <c r="AS1610" s="3" t="s">
        <v>65</v>
      </c>
      <c r="AT1610" s="3" t="s">
        <v>65</v>
      </c>
      <c r="AV1610" s="6" t="str">
        <f>HYPERLINK("http://mcgill.on.worldcat.org/oclc/22450593","Catalog Record")</f>
        <v>Catalog Record</v>
      </c>
      <c r="AW1610" s="6" t="str">
        <f>HYPERLINK("http://www.worldcat.org/oclc/22450593","WorldCat Record")</f>
        <v>WorldCat Record</v>
      </c>
      <c r="AX1610" s="3" t="s">
        <v>15735</v>
      </c>
      <c r="AY1610" s="3" t="s">
        <v>15736</v>
      </c>
      <c r="AZ1610" s="3" t="s">
        <v>15737</v>
      </c>
      <c r="BA1610" s="3" t="s">
        <v>15737</v>
      </c>
      <c r="BB1610" s="3" t="s">
        <v>15741</v>
      </c>
      <c r="BC1610" s="3" t="s">
        <v>77</v>
      </c>
      <c r="BD1610" s="3" t="s">
        <v>78</v>
      </c>
      <c r="BE1610" s="3" t="s">
        <v>15739</v>
      </c>
      <c r="BF1610" s="3" t="s">
        <v>15741</v>
      </c>
      <c r="BG1610" s="3" t="s">
        <v>15742</v>
      </c>
    </row>
    <row r="1611" spans="1:59" ht="58" x14ac:dyDescent="0.35">
      <c r="A1611" s="2" t="s">
        <v>59</v>
      </c>
      <c r="B1611" s="2" t="s">
        <v>60</v>
      </c>
      <c r="C1611" s="2" t="s">
        <v>15743</v>
      </c>
      <c r="D1611" s="2" t="s">
        <v>15744</v>
      </c>
      <c r="E1611" s="2" t="s">
        <v>15745</v>
      </c>
      <c r="G1611" s="3" t="s">
        <v>65</v>
      </c>
      <c r="I1611" s="3" t="s">
        <v>65</v>
      </c>
      <c r="J1611" s="3" t="s">
        <v>65</v>
      </c>
      <c r="K1611" s="3" t="s">
        <v>66</v>
      </c>
      <c r="L1611" s="2" t="s">
        <v>15746</v>
      </c>
      <c r="M1611" s="2" t="s">
        <v>15747</v>
      </c>
      <c r="N1611" s="3" t="s">
        <v>552</v>
      </c>
      <c r="P1611" s="3" t="s">
        <v>69</v>
      </c>
      <c r="R1611" s="3" t="s">
        <v>71</v>
      </c>
      <c r="S1611" s="4">
        <v>13</v>
      </c>
      <c r="T1611" s="4">
        <v>13</v>
      </c>
      <c r="U1611" s="5" t="s">
        <v>15748</v>
      </c>
      <c r="V1611" s="5" t="s">
        <v>15748</v>
      </c>
      <c r="W1611" s="5" t="s">
        <v>72</v>
      </c>
      <c r="X1611" s="5" t="s">
        <v>72</v>
      </c>
      <c r="Y1611" s="4">
        <v>110</v>
      </c>
      <c r="Z1611" s="4">
        <v>10</v>
      </c>
      <c r="AA1611" s="4">
        <v>12</v>
      </c>
      <c r="AB1611" s="4">
        <v>1</v>
      </c>
      <c r="AC1611" s="4">
        <v>3</v>
      </c>
      <c r="AD1611" s="4">
        <v>61</v>
      </c>
      <c r="AE1611" s="4">
        <v>61</v>
      </c>
      <c r="AF1611" s="4">
        <v>0</v>
      </c>
      <c r="AG1611" s="4">
        <v>0</v>
      </c>
      <c r="AH1611" s="4">
        <v>60</v>
      </c>
      <c r="AI1611" s="4">
        <v>60</v>
      </c>
      <c r="AJ1611" s="4">
        <v>6</v>
      </c>
      <c r="AK1611" s="4">
        <v>6</v>
      </c>
      <c r="AL1611" s="4">
        <v>36</v>
      </c>
      <c r="AM1611" s="4">
        <v>36</v>
      </c>
      <c r="AN1611" s="4">
        <v>0</v>
      </c>
      <c r="AO1611" s="4">
        <v>0</v>
      </c>
      <c r="AP1611" s="4">
        <v>6</v>
      </c>
      <c r="AQ1611" s="4">
        <v>6</v>
      </c>
      <c r="AR1611" s="3" t="s">
        <v>65</v>
      </c>
      <c r="AS1611" s="3" t="s">
        <v>65</v>
      </c>
      <c r="AT1611" s="3" t="s">
        <v>65</v>
      </c>
      <c r="AV1611" s="6" t="str">
        <f>HYPERLINK("http://mcgill.on.worldcat.org/oclc/38269740","Catalog Record")</f>
        <v>Catalog Record</v>
      </c>
      <c r="AW1611" s="6" t="str">
        <f>HYPERLINK("http://www.worldcat.org/oclc/38269740","WorldCat Record")</f>
        <v>WorldCat Record</v>
      </c>
      <c r="AX1611" s="3" t="s">
        <v>15749</v>
      </c>
      <c r="AY1611" s="3" t="s">
        <v>15750</v>
      </c>
      <c r="AZ1611" s="3" t="s">
        <v>15751</v>
      </c>
      <c r="BA1611" s="3" t="s">
        <v>15751</v>
      </c>
      <c r="BB1611" s="3" t="s">
        <v>15752</v>
      </c>
      <c r="BC1611" s="3" t="s">
        <v>77</v>
      </c>
      <c r="BD1611" s="3" t="s">
        <v>78</v>
      </c>
      <c r="BE1611" s="3" t="s">
        <v>15753</v>
      </c>
      <c r="BF1611" s="3" t="s">
        <v>15752</v>
      </c>
      <c r="BG1611" s="3" t="s">
        <v>15754</v>
      </c>
    </row>
    <row r="1612" spans="1:59" ht="58" x14ac:dyDescent="0.35">
      <c r="A1612" s="2" t="s">
        <v>59</v>
      </c>
      <c r="B1612" s="2" t="s">
        <v>60</v>
      </c>
      <c r="C1612" s="2" t="s">
        <v>15755</v>
      </c>
      <c r="D1612" s="2" t="s">
        <v>15756</v>
      </c>
      <c r="E1612" s="2" t="s">
        <v>15757</v>
      </c>
      <c r="G1612" s="3" t="s">
        <v>65</v>
      </c>
      <c r="I1612" s="3" t="s">
        <v>65</v>
      </c>
      <c r="J1612" s="3" t="s">
        <v>65</v>
      </c>
      <c r="K1612" s="3" t="s">
        <v>66</v>
      </c>
      <c r="L1612" s="2" t="s">
        <v>15746</v>
      </c>
      <c r="M1612" s="2" t="s">
        <v>15758</v>
      </c>
      <c r="N1612" s="3" t="s">
        <v>15759</v>
      </c>
      <c r="P1612" s="3" t="s">
        <v>69</v>
      </c>
      <c r="R1612" s="3" t="s">
        <v>71</v>
      </c>
      <c r="S1612" s="4">
        <v>7</v>
      </c>
      <c r="T1612" s="4">
        <v>7</v>
      </c>
      <c r="U1612" s="5" t="s">
        <v>10199</v>
      </c>
      <c r="V1612" s="5" t="s">
        <v>10199</v>
      </c>
      <c r="W1612" s="5" t="s">
        <v>72</v>
      </c>
      <c r="X1612" s="5" t="s">
        <v>72</v>
      </c>
      <c r="Y1612" s="4">
        <v>105</v>
      </c>
      <c r="Z1612" s="4">
        <v>11</v>
      </c>
      <c r="AA1612" s="4">
        <v>12</v>
      </c>
      <c r="AB1612" s="4">
        <v>1</v>
      </c>
      <c r="AC1612" s="4">
        <v>2</v>
      </c>
      <c r="AD1612" s="4">
        <v>45</v>
      </c>
      <c r="AE1612" s="4">
        <v>48</v>
      </c>
      <c r="AF1612" s="4">
        <v>0</v>
      </c>
      <c r="AG1612" s="4">
        <v>0</v>
      </c>
      <c r="AH1612" s="4">
        <v>39</v>
      </c>
      <c r="AI1612" s="4">
        <v>42</v>
      </c>
      <c r="AJ1612" s="4">
        <v>9</v>
      </c>
      <c r="AK1612" s="4">
        <v>9</v>
      </c>
      <c r="AL1612" s="4">
        <v>26</v>
      </c>
      <c r="AM1612" s="4">
        <v>27</v>
      </c>
      <c r="AN1612" s="4">
        <v>0</v>
      </c>
      <c r="AO1612" s="4">
        <v>0</v>
      </c>
      <c r="AP1612" s="4">
        <v>9</v>
      </c>
      <c r="AQ1612" s="4">
        <v>9</v>
      </c>
      <c r="AR1612" s="3" t="s">
        <v>65</v>
      </c>
      <c r="AS1612" s="3" t="s">
        <v>209</v>
      </c>
      <c r="AT1612" s="3" t="s">
        <v>65</v>
      </c>
      <c r="AU1612" s="6" t="str">
        <f>HYPERLINK("http://catalog.hathitrust.org/Record/009259964","HathiTrust Record")</f>
        <v>HathiTrust Record</v>
      </c>
      <c r="AV1612" s="6" t="str">
        <f>HYPERLINK("http://mcgill.on.worldcat.org/oclc/34424848","Catalog Record")</f>
        <v>Catalog Record</v>
      </c>
      <c r="AW1612" s="6" t="str">
        <f>HYPERLINK("http://www.worldcat.org/oclc/34424848","WorldCat Record")</f>
        <v>WorldCat Record</v>
      </c>
      <c r="AX1612" s="3" t="s">
        <v>15760</v>
      </c>
      <c r="AY1612" s="3" t="s">
        <v>15761</v>
      </c>
      <c r="AZ1612" s="3" t="s">
        <v>15762</v>
      </c>
      <c r="BA1612" s="3" t="s">
        <v>15762</v>
      </c>
      <c r="BB1612" s="3" t="s">
        <v>15763</v>
      </c>
      <c r="BC1612" s="3" t="s">
        <v>77</v>
      </c>
      <c r="BD1612" s="3" t="s">
        <v>78</v>
      </c>
      <c r="BF1612" s="3" t="s">
        <v>15763</v>
      </c>
      <c r="BG1612" s="3" t="s">
        <v>15764</v>
      </c>
    </row>
    <row r="1613" spans="1:59" ht="58" x14ac:dyDescent="0.35">
      <c r="A1613" s="2" t="s">
        <v>59</v>
      </c>
      <c r="B1613" s="2" t="s">
        <v>60</v>
      </c>
      <c r="C1613" s="2" t="s">
        <v>15765</v>
      </c>
      <c r="D1613" s="2" t="s">
        <v>15766</v>
      </c>
      <c r="E1613" s="2" t="s">
        <v>15767</v>
      </c>
      <c r="G1613" s="3" t="s">
        <v>65</v>
      </c>
      <c r="I1613" s="3" t="s">
        <v>65</v>
      </c>
      <c r="J1613" s="3" t="s">
        <v>209</v>
      </c>
      <c r="K1613" s="3" t="s">
        <v>66</v>
      </c>
      <c r="L1613" s="2" t="s">
        <v>15746</v>
      </c>
      <c r="M1613" s="2" t="s">
        <v>15768</v>
      </c>
      <c r="N1613" s="3" t="s">
        <v>4042</v>
      </c>
      <c r="O1613" s="2" t="s">
        <v>15769</v>
      </c>
      <c r="P1613" s="3" t="s">
        <v>69</v>
      </c>
      <c r="R1613" s="3" t="s">
        <v>71</v>
      </c>
      <c r="S1613" s="4">
        <v>15</v>
      </c>
      <c r="T1613" s="4">
        <v>15</v>
      </c>
      <c r="U1613" s="5" t="s">
        <v>15770</v>
      </c>
      <c r="V1613" s="5" t="s">
        <v>15770</v>
      </c>
      <c r="W1613" s="5" t="s">
        <v>72</v>
      </c>
      <c r="X1613" s="5" t="s">
        <v>72</v>
      </c>
      <c r="Y1613" s="4">
        <v>438</v>
      </c>
      <c r="Z1613" s="4">
        <v>9</v>
      </c>
      <c r="AA1613" s="4">
        <v>42</v>
      </c>
      <c r="AB1613" s="4">
        <v>1</v>
      </c>
      <c r="AC1613" s="4">
        <v>8</v>
      </c>
      <c r="AD1613" s="4">
        <v>67</v>
      </c>
      <c r="AE1613" s="4">
        <v>119</v>
      </c>
      <c r="AF1613" s="4">
        <v>0</v>
      </c>
      <c r="AG1613" s="4">
        <v>3</v>
      </c>
      <c r="AH1613" s="4">
        <v>64</v>
      </c>
      <c r="AI1613" s="4">
        <v>102</v>
      </c>
      <c r="AJ1613" s="4">
        <v>6</v>
      </c>
      <c r="AK1613" s="4">
        <v>19</v>
      </c>
      <c r="AL1613" s="4">
        <v>32</v>
      </c>
      <c r="AM1613" s="4">
        <v>58</v>
      </c>
      <c r="AN1613" s="4">
        <v>0</v>
      </c>
      <c r="AO1613" s="4">
        <v>0</v>
      </c>
      <c r="AP1613" s="4">
        <v>6</v>
      </c>
      <c r="AQ1613" s="4">
        <v>22</v>
      </c>
      <c r="AR1613" s="3" t="s">
        <v>65</v>
      </c>
      <c r="AS1613" s="3" t="s">
        <v>65</v>
      </c>
      <c r="AT1613" s="3" t="s">
        <v>209</v>
      </c>
      <c r="AU1613" s="6" t="str">
        <f>HYPERLINK("http://catalog.hathitrust.org/Record/001218700","HathiTrust Record")</f>
        <v>HathiTrust Record</v>
      </c>
      <c r="AV1613" s="6" t="str">
        <f>HYPERLINK("http://mcgill.on.worldcat.org/oclc/106212","Catalog Record")</f>
        <v>Catalog Record</v>
      </c>
      <c r="AW1613" s="6" t="str">
        <f>HYPERLINK("http://www.worldcat.org/oclc/106212","WorldCat Record")</f>
        <v>WorldCat Record</v>
      </c>
      <c r="AX1613" s="3" t="s">
        <v>15771</v>
      </c>
      <c r="AY1613" s="3" t="s">
        <v>15772</v>
      </c>
      <c r="AZ1613" s="3" t="s">
        <v>15773</v>
      </c>
      <c r="BA1613" s="3" t="s">
        <v>15773</v>
      </c>
      <c r="BB1613" s="3" t="s">
        <v>15774</v>
      </c>
      <c r="BC1613" s="3" t="s">
        <v>77</v>
      </c>
      <c r="BD1613" s="3" t="s">
        <v>78</v>
      </c>
      <c r="BF1613" s="3" t="s">
        <v>15774</v>
      </c>
      <c r="BG1613" s="3" t="s">
        <v>15775</v>
      </c>
    </row>
    <row r="1614" spans="1:59" ht="58" x14ac:dyDescent="0.35">
      <c r="A1614" s="2" t="s">
        <v>59</v>
      </c>
      <c r="B1614" s="2" t="s">
        <v>60</v>
      </c>
      <c r="C1614" s="2" t="s">
        <v>15776</v>
      </c>
      <c r="D1614" s="2" t="s">
        <v>15777</v>
      </c>
      <c r="E1614" s="2" t="s">
        <v>15778</v>
      </c>
      <c r="G1614" s="3" t="s">
        <v>65</v>
      </c>
      <c r="I1614" s="3" t="s">
        <v>65</v>
      </c>
      <c r="J1614" s="3" t="s">
        <v>65</v>
      </c>
      <c r="K1614" s="3" t="s">
        <v>66</v>
      </c>
      <c r="L1614" s="2" t="s">
        <v>15719</v>
      </c>
      <c r="M1614" s="2" t="s">
        <v>15779</v>
      </c>
      <c r="N1614" s="3" t="s">
        <v>176</v>
      </c>
      <c r="P1614" s="3" t="s">
        <v>140</v>
      </c>
      <c r="Q1614" s="2" t="s">
        <v>15607</v>
      </c>
      <c r="R1614" s="3" t="s">
        <v>71</v>
      </c>
      <c r="S1614" s="4">
        <v>0</v>
      </c>
      <c r="T1614" s="4">
        <v>0</v>
      </c>
      <c r="W1614" s="5" t="s">
        <v>72</v>
      </c>
      <c r="X1614" s="5" t="s">
        <v>72</v>
      </c>
      <c r="Y1614" s="4">
        <v>45</v>
      </c>
      <c r="Z1614" s="4">
        <v>4</v>
      </c>
      <c r="AA1614" s="4">
        <v>4</v>
      </c>
      <c r="AB1614" s="4">
        <v>1</v>
      </c>
      <c r="AC1614" s="4">
        <v>1</v>
      </c>
      <c r="AD1614" s="4">
        <v>31</v>
      </c>
      <c r="AE1614" s="4">
        <v>31</v>
      </c>
      <c r="AF1614" s="4">
        <v>0</v>
      </c>
      <c r="AG1614" s="4">
        <v>0</v>
      </c>
      <c r="AH1614" s="4">
        <v>30</v>
      </c>
      <c r="AI1614" s="4">
        <v>30</v>
      </c>
      <c r="AJ1614" s="4">
        <v>2</v>
      </c>
      <c r="AK1614" s="4">
        <v>2</v>
      </c>
      <c r="AL1614" s="4">
        <v>23</v>
      </c>
      <c r="AM1614" s="4">
        <v>23</v>
      </c>
      <c r="AN1614" s="4">
        <v>0</v>
      </c>
      <c r="AO1614" s="4">
        <v>0</v>
      </c>
      <c r="AP1614" s="4">
        <v>2</v>
      </c>
      <c r="AQ1614" s="4">
        <v>2</v>
      </c>
      <c r="AR1614" s="3" t="s">
        <v>65</v>
      </c>
      <c r="AS1614" s="3" t="s">
        <v>65</v>
      </c>
      <c r="AT1614" s="3" t="s">
        <v>65</v>
      </c>
      <c r="AV1614" s="6" t="str">
        <f>HYPERLINK("http://mcgill.on.worldcat.org/oclc/914471107","Catalog Record")</f>
        <v>Catalog Record</v>
      </c>
      <c r="AW1614" s="6" t="str">
        <f>HYPERLINK("http://www.worldcat.org/oclc/914471107","WorldCat Record")</f>
        <v>WorldCat Record</v>
      </c>
      <c r="AX1614" s="3" t="s">
        <v>15780</v>
      </c>
      <c r="AY1614" s="3" t="s">
        <v>15781</v>
      </c>
      <c r="AZ1614" s="3" t="s">
        <v>15782</v>
      </c>
      <c r="BA1614" s="3" t="s">
        <v>15782</v>
      </c>
      <c r="BB1614" s="3" t="s">
        <v>15783</v>
      </c>
      <c r="BC1614" s="3" t="s">
        <v>77</v>
      </c>
      <c r="BD1614" s="3" t="s">
        <v>78</v>
      </c>
      <c r="BE1614" s="3" t="s">
        <v>15784</v>
      </c>
      <c r="BF1614" s="3" t="s">
        <v>15783</v>
      </c>
      <c r="BG1614" s="3" t="s">
        <v>15785</v>
      </c>
    </row>
    <row r="1615" spans="1:59" ht="58" x14ac:dyDescent="0.35">
      <c r="A1615" s="2" t="s">
        <v>59</v>
      </c>
      <c r="B1615" s="2" t="s">
        <v>60</v>
      </c>
      <c r="C1615" s="2" t="s">
        <v>15786</v>
      </c>
      <c r="D1615" s="2" t="s">
        <v>15787</v>
      </c>
      <c r="E1615" s="2" t="s">
        <v>15788</v>
      </c>
      <c r="G1615" s="3" t="s">
        <v>65</v>
      </c>
      <c r="I1615" s="3" t="s">
        <v>65</v>
      </c>
      <c r="J1615" s="3" t="s">
        <v>65</v>
      </c>
      <c r="K1615" s="3" t="s">
        <v>66</v>
      </c>
      <c r="L1615" s="2" t="s">
        <v>10408</v>
      </c>
      <c r="M1615" s="2" t="s">
        <v>15789</v>
      </c>
      <c r="N1615" s="3" t="s">
        <v>113</v>
      </c>
      <c r="P1615" s="3" t="s">
        <v>69</v>
      </c>
      <c r="R1615" s="3" t="s">
        <v>71</v>
      </c>
      <c r="S1615" s="4">
        <v>0</v>
      </c>
      <c r="T1615" s="4">
        <v>0</v>
      </c>
      <c r="W1615" s="5" t="s">
        <v>72</v>
      </c>
      <c r="X1615" s="5" t="s">
        <v>72</v>
      </c>
      <c r="Y1615" s="4">
        <v>198</v>
      </c>
      <c r="Z1615" s="4">
        <v>18</v>
      </c>
      <c r="AA1615" s="4">
        <v>19</v>
      </c>
      <c r="AB1615" s="4">
        <v>1</v>
      </c>
      <c r="AC1615" s="4">
        <v>1</v>
      </c>
      <c r="AD1615" s="4">
        <v>89</v>
      </c>
      <c r="AE1615" s="4">
        <v>91</v>
      </c>
      <c r="AF1615" s="4">
        <v>0</v>
      </c>
      <c r="AG1615" s="4">
        <v>0</v>
      </c>
      <c r="AH1615" s="4">
        <v>82</v>
      </c>
      <c r="AI1615" s="4">
        <v>84</v>
      </c>
      <c r="AJ1615" s="4">
        <v>14</v>
      </c>
      <c r="AK1615" s="4">
        <v>14</v>
      </c>
      <c r="AL1615" s="4">
        <v>52</v>
      </c>
      <c r="AM1615" s="4">
        <v>53</v>
      </c>
      <c r="AN1615" s="4">
        <v>0</v>
      </c>
      <c r="AO1615" s="4">
        <v>0</v>
      </c>
      <c r="AP1615" s="4">
        <v>14</v>
      </c>
      <c r="AQ1615" s="4">
        <v>14</v>
      </c>
      <c r="AR1615" s="3" t="s">
        <v>65</v>
      </c>
      <c r="AS1615" s="3" t="s">
        <v>65</v>
      </c>
      <c r="AT1615" s="3" t="s">
        <v>65</v>
      </c>
      <c r="AV1615" s="6" t="str">
        <f>HYPERLINK("http://mcgill.on.worldcat.org/oclc/595739071","Catalog Record")</f>
        <v>Catalog Record</v>
      </c>
      <c r="AW1615" s="6" t="str">
        <f>HYPERLINK("http://www.worldcat.org/oclc/595739071","WorldCat Record")</f>
        <v>WorldCat Record</v>
      </c>
      <c r="AX1615" s="3" t="s">
        <v>15790</v>
      </c>
      <c r="AY1615" s="3" t="s">
        <v>15791</v>
      </c>
      <c r="AZ1615" s="3" t="s">
        <v>15792</v>
      </c>
      <c r="BA1615" s="3" t="s">
        <v>15792</v>
      </c>
      <c r="BB1615" s="3" t="s">
        <v>15793</v>
      </c>
      <c r="BC1615" s="3" t="s">
        <v>77</v>
      </c>
      <c r="BD1615" s="3" t="s">
        <v>78</v>
      </c>
      <c r="BE1615" s="3" t="s">
        <v>15794</v>
      </c>
      <c r="BF1615" s="3" t="s">
        <v>15793</v>
      </c>
      <c r="BG1615" s="3" t="s">
        <v>15795</v>
      </c>
    </row>
    <row r="1616" spans="1:59" ht="58" x14ac:dyDescent="0.35">
      <c r="A1616" s="2" t="s">
        <v>59</v>
      </c>
      <c r="B1616" s="2" t="s">
        <v>60</v>
      </c>
      <c r="C1616" s="2" t="s">
        <v>15796</v>
      </c>
      <c r="D1616" s="2" t="s">
        <v>15797</v>
      </c>
      <c r="E1616" s="2" t="s">
        <v>15798</v>
      </c>
      <c r="G1616" s="3" t="s">
        <v>65</v>
      </c>
      <c r="I1616" s="3" t="s">
        <v>65</v>
      </c>
      <c r="J1616" s="3" t="s">
        <v>65</v>
      </c>
      <c r="K1616" s="3" t="s">
        <v>66</v>
      </c>
      <c r="L1616" s="2" t="s">
        <v>15799</v>
      </c>
      <c r="M1616" s="2" t="s">
        <v>15800</v>
      </c>
      <c r="N1616" s="3" t="s">
        <v>5130</v>
      </c>
      <c r="P1616" s="3" t="s">
        <v>69</v>
      </c>
      <c r="Q1616" s="2" t="s">
        <v>15801</v>
      </c>
      <c r="R1616" s="3" t="s">
        <v>71</v>
      </c>
      <c r="S1616" s="4">
        <v>22</v>
      </c>
      <c r="T1616" s="4">
        <v>22</v>
      </c>
      <c r="U1616" s="5" t="s">
        <v>15802</v>
      </c>
      <c r="V1616" s="5" t="s">
        <v>15802</v>
      </c>
      <c r="W1616" s="5" t="s">
        <v>72</v>
      </c>
      <c r="X1616" s="5" t="s">
        <v>72</v>
      </c>
      <c r="Y1616" s="4">
        <v>179</v>
      </c>
      <c r="Z1616" s="4">
        <v>23</v>
      </c>
      <c r="AA1616" s="4">
        <v>23</v>
      </c>
      <c r="AB1616" s="4">
        <v>1</v>
      </c>
      <c r="AC1616" s="4">
        <v>1</v>
      </c>
      <c r="AD1616" s="4">
        <v>78</v>
      </c>
      <c r="AE1616" s="4">
        <v>78</v>
      </c>
      <c r="AF1616" s="4">
        <v>0</v>
      </c>
      <c r="AG1616" s="4">
        <v>0</v>
      </c>
      <c r="AH1616" s="4">
        <v>69</v>
      </c>
      <c r="AI1616" s="4">
        <v>69</v>
      </c>
      <c r="AJ1616" s="4">
        <v>15</v>
      </c>
      <c r="AK1616" s="4">
        <v>15</v>
      </c>
      <c r="AL1616" s="4">
        <v>42</v>
      </c>
      <c r="AM1616" s="4">
        <v>42</v>
      </c>
      <c r="AN1616" s="4">
        <v>0</v>
      </c>
      <c r="AO1616" s="4">
        <v>0</v>
      </c>
      <c r="AP1616" s="4">
        <v>17</v>
      </c>
      <c r="AQ1616" s="4">
        <v>17</v>
      </c>
      <c r="AR1616" s="3" t="s">
        <v>65</v>
      </c>
      <c r="AS1616" s="3" t="s">
        <v>65</v>
      </c>
      <c r="AT1616" s="3" t="s">
        <v>65</v>
      </c>
      <c r="AV1616" s="6" t="str">
        <f>HYPERLINK("http://mcgill.on.worldcat.org/oclc/3207580","Catalog Record")</f>
        <v>Catalog Record</v>
      </c>
      <c r="AW1616" s="6" t="str">
        <f>HYPERLINK("http://www.worldcat.org/oclc/3207580","WorldCat Record")</f>
        <v>WorldCat Record</v>
      </c>
      <c r="AX1616" s="3" t="s">
        <v>15803</v>
      </c>
      <c r="AY1616" s="3" t="s">
        <v>15804</v>
      </c>
      <c r="AZ1616" s="3" t="s">
        <v>15805</v>
      </c>
      <c r="BA1616" s="3" t="s">
        <v>15805</v>
      </c>
      <c r="BB1616" s="3" t="s">
        <v>15806</v>
      </c>
      <c r="BC1616" s="3" t="s">
        <v>77</v>
      </c>
      <c r="BD1616" s="3" t="s">
        <v>78</v>
      </c>
      <c r="BE1616" s="3" t="s">
        <v>15807</v>
      </c>
      <c r="BF1616" s="3" t="s">
        <v>15806</v>
      </c>
      <c r="BG1616" s="3" t="s">
        <v>15808</v>
      </c>
    </row>
    <row r="1617" spans="1:59" ht="58" x14ac:dyDescent="0.35">
      <c r="A1617" s="2" t="s">
        <v>59</v>
      </c>
      <c r="B1617" s="2" t="s">
        <v>60</v>
      </c>
      <c r="C1617" s="2" t="s">
        <v>15809</v>
      </c>
      <c r="D1617" s="2" t="s">
        <v>15810</v>
      </c>
      <c r="E1617" s="2" t="s">
        <v>15811</v>
      </c>
      <c r="G1617" s="3" t="s">
        <v>65</v>
      </c>
      <c r="I1617" s="3" t="s">
        <v>65</v>
      </c>
      <c r="J1617" s="3" t="s">
        <v>65</v>
      </c>
      <c r="K1617" s="3" t="s">
        <v>66</v>
      </c>
      <c r="L1617" s="2" t="s">
        <v>15812</v>
      </c>
      <c r="M1617" s="2" t="s">
        <v>15813</v>
      </c>
      <c r="N1617" s="3" t="s">
        <v>493</v>
      </c>
      <c r="P1617" s="3" t="s">
        <v>140</v>
      </c>
      <c r="R1617" s="3" t="s">
        <v>71</v>
      </c>
      <c r="S1617" s="4">
        <v>4</v>
      </c>
      <c r="T1617" s="4">
        <v>4</v>
      </c>
      <c r="U1617" s="5" t="s">
        <v>969</v>
      </c>
      <c r="V1617" s="5" t="s">
        <v>969</v>
      </c>
      <c r="W1617" s="5" t="s">
        <v>72</v>
      </c>
      <c r="X1617" s="5" t="s">
        <v>72</v>
      </c>
      <c r="Y1617" s="4">
        <v>1</v>
      </c>
      <c r="Z1617" s="4">
        <v>1</v>
      </c>
      <c r="AA1617" s="4">
        <v>1</v>
      </c>
      <c r="AB1617" s="4">
        <v>1</v>
      </c>
      <c r="AC1617" s="4">
        <v>1</v>
      </c>
      <c r="AD1617" s="4">
        <v>0</v>
      </c>
      <c r="AE1617" s="4">
        <v>7</v>
      </c>
      <c r="AF1617" s="4">
        <v>0</v>
      </c>
      <c r="AG1617" s="4">
        <v>0</v>
      </c>
      <c r="AH1617" s="4">
        <v>0</v>
      </c>
      <c r="AI1617" s="4">
        <v>5</v>
      </c>
      <c r="AJ1617" s="4">
        <v>0</v>
      </c>
      <c r="AK1617" s="4">
        <v>0</v>
      </c>
      <c r="AL1617" s="4">
        <v>0</v>
      </c>
      <c r="AM1617" s="4">
        <v>5</v>
      </c>
      <c r="AN1617" s="4">
        <v>0</v>
      </c>
      <c r="AO1617" s="4">
        <v>0</v>
      </c>
      <c r="AP1617" s="4">
        <v>0</v>
      </c>
      <c r="AQ1617" s="4">
        <v>0</v>
      </c>
      <c r="AR1617" s="3" t="s">
        <v>65</v>
      </c>
      <c r="AS1617" s="3" t="s">
        <v>65</v>
      </c>
      <c r="AT1617" s="3" t="s">
        <v>65</v>
      </c>
      <c r="AV1617" s="6" t="str">
        <f>HYPERLINK("http://mcgill.on.worldcat.org/oclc/427102585","Catalog Record")</f>
        <v>Catalog Record</v>
      </c>
      <c r="AW1617" s="6" t="str">
        <f>HYPERLINK("http://www.worldcat.org/oclc/427102585","WorldCat Record")</f>
        <v>WorldCat Record</v>
      </c>
      <c r="AX1617" s="3" t="s">
        <v>15814</v>
      </c>
      <c r="AY1617" s="3" t="s">
        <v>15815</v>
      </c>
      <c r="AZ1617" s="3" t="s">
        <v>15816</v>
      </c>
      <c r="BA1617" s="3" t="s">
        <v>15816</v>
      </c>
      <c r="BB1617" s="3" t="s">
        <v>15817</v>
      </c>
      <c r="BC1617" s="3" t="s">
        <v>77</v>
      </c>
      <c r="BD1617" s="3" t="s">
        <v>78</v>
      </c>
      <c r="BF1617" s="3" t="s">
        <v>15817</v>
      </c>
      <c r="BG1617" s="3" t="s">
        <v>15818</v>
      </c>
    </row>
    <row r="1618" spans="1:59" ht="58" x14ac:dyDescent="0.35">
      <c r="A1618" s="2" t="s">
        <v>59</v>
      </c>
      <c r="B1618" s="2" t="s">
        <v>60</v>
      </c>
      <c r="C1618" s="2" t="s">
        <v>15819</v>
      </c>
      <c r="D1618" s="2" t="s">
        <v>15820</v>
      </c>
      <c r="E1618" s="2" t="s">
        <v>15821</v>
      </c>
      <c r="G1618" s="3" t="s">
        <v>65</v>
      </c>
      <c r="I1618" s="3" t="s">
        <v>65</v>
      </c>
      <c r="J1618" s="3" t="s">
        <v>65</v>
      </c>
      <c r="K1618" s="3" t="s">
        <v>66</v>
      </c>
      <c r="L1618" s="2" t="s">
        <v>15822</v>
      </c>
      <c r="M1618" s="2" t="s">
        <v>5665</v>
      </c>
      <c r="N1618" s="3" t="s">
        <v>139</v>
      </c>
      <c r="P1618" s="3" t="s">
        <v>140</v>
      </c>
      <c r="Q1618" s="2" t="s">
        <v>15823</v>
      </c>
      <c r="R1618" s="3" t="s">
        <v>71</v>
      </c>
      <c r="S1618" s="4">
        <v>0</v>
      </c>
      <c r="T1618" s="4">
        <v>0</v>
      </c>
      <c r="W1618" s="5" t="s">
        <v>72</v>
      </c>
      <c r="X1618" s="5" t="s">
        <v>72</v>
      </c>
      <c r="Y1618" s="4">
        <v>41</v>
      </c>
      <c r="Z1618" s="4">
        <v>3</v>
      </c>
      <c r="AA1618" s="4">
        <v>3</v>
      </c>
      <c r="AB1618" s="4">
        <v>1</v>
      </c>
      <c r="AC1618" s="4">
        <v>1</v>
      </c>
      <c r="AD1618" s="4">
        <v>26</v>
      </c>
      <c r="AE1618" s="4">
        <v>26</v>
      </c>
      <c r="AF1618" s="4">
        <v>0</v>
      </c>
      <c r="AG1618" s="4">
        <v>0</v>
      </c>
      <c r="AH1618" s="4">
        <v>25</v>
      </c>
      <c r="AI1618" s="4">
        <v>25</v>
      </c>
      <c r="AJ1618" s="4">
        <v>1</v>
      </c>
      <c r="AK1618" s="4">
        <v>1</v>
      </c>
      <c r="AL1618" s="4">
        <v>21</v>
      </c>
      <c r="AM1618" s="4">
        <v>21</v>
      </c>
      <c r="AN1618" s="4">
        <v>0</v>
      </c>
      <c r="AO1618" s="4">
        <v>0</v>
      </c>
      <c r="AP1618" s="4">
        <v>1</v>
      </c>
      <c r="AQ1618" s="4">
        <v>1</v>
      </c>
      <c r="AR1618" s="3" t="s">
        <v>65</v>
      </c>
      <c r="AS1618" s="3" t="s">
        <v>65</v>
      </c>
      <c r="AT1618" s="3" t="s">
        <v>65</v>
      </c>
      <c r="AV1618" s="6" t="str">
        <f>HYPERLINK("http://mcgill.on.worldcat.org/oclc/843957055","Catalog Record")</f>
        <v>Catalog Record</v>
      </c>
      <c r="AW1618" s="6" t="str">
        <f>HYPERLINK("http://www.worldcat.org/oclc/843957055","WorldCat Record")</f>
        <v>WorldCat Record</v>
      </c>
      <c r="AX1618" s="3" t="s">
        <v>15824</v>
      </c>
      <c r="AY1618" s="3" t="s">
        <v>15825</v>
      </c>
      <c r="AZ1618" s="3" t="s">
        <v>15826</v>
      </c>
      <c r="BA1618" s="3" t="s">
        <v>15826</v>
      </c>
      <c r="BB1618" s="3" t="s">
        <v>15827</v>
      </c>
      <c r="BC1618" s="3" t="s">
        <v>77</v>
      </c>
      <c r="BD1618" s="3" t="s">
        <v>78</v>
      </c>
      <c r="BE1618" s="3" t="s">
        <v>15828</v>
      </c>
      <c r="BF1618" s="3" t="s">
        <v>15827</v>
      </c>
      <c r="BG1618" s="3" t="s">
        <v>15829</v>
      </c>
    </row>
    <row r="1619" spans="1:59" ht="58" x14ac:dyDescent="0.35">
      <c r="A1619" s="2" t="s">
        <v>59</v>
      </c>
      <c r="B1619" s="2" t="s">
        <v>60</v>
      </c>
      <c r="C1619" s="2" t="s">
        <v>15830</v>
      </c>
      <c r="D1619" s="2" t="s">
        <v>15831</v>
      </c>
      <c r="E1619" s="2" t="s">
        <v>15832</v>
      </c>
      <c r="G1619" s="3" t="s">
        <v>65</v>
      </c>
      <c r="I1619" s="3" t="s">
        <v>65</v>
      </c>
      <c r="J1619" s="3" t="s">
        <v>65</v>
      </c>
      <c r="K1619" s="3" t="s">
        <v>66</v>
      </c>
      <c r="L1619" s="2" t="s">
        <v>15833</v>
      </c>
      <c r="M1619" s="2" t="s">
        <v>15834</v>
      </c>
      <c r="N1619" s="3" t="s">
        <v>188</v>
      </c>
      <c r="P1619" s="3" t="s">
        <v>140</v>
      </c>
      <c r="Q1619" s="2" t="s">
        <v>5926</v>
      </c>
      <c r="R1619" s="3" t="s">
        <v>71</v>
      </c>
      <c r="S1619" s="4">
        <v>0</v>
      </c>
      <c r="T1619" s="4">
        <v>0</v>
      </c>
      <c r="W1619" s="5" t="s">
        <v>72</v>
      </c>
      <c r="X1619" s="5" t="s">
        <v>72</v>
      </c>
      <c r="Y1619" s="4">
        <v>29</v>
      </c>
      <c r="Z1619" s="4">
        <v>2</v>
      </c>
      <c r="AA1619" s="4">
        <v>2</v>
      </c>
      <c r="AB1619" s="4">
        <v>1</v>
      </c>
      <c r="AC1619" s="4">
        <v>1</v>
      </c>
      <c r="AD1619" s="4">
        <v>24</v>
      </c>
      <c r="AE1619" s="4">
        <v>24</v>
      </c>
      <c r="AF1619" s="4">
        <v>0</v>
      </c>
      <c r="AG1619" s="4">
        <v>0</v>
      </c>
      <c r="AH1619" s="4">
        <v>23</v>
      </c>
      <c r="AI1619" s="4">
        <v>23</v>
      </c>
      <c r="AJ1619" s="4">
        <v>1</v>
      </c>
      <c r="AK1619" s="4">
        <v>1</v>
      </c>
      <c r="AL1619" s="4">
        <v>18</v>
      </c>
      <c r="AM1619" s="4">
        <v>18</v>
      </c>
      <c r="AN1619" s="4">
        <v>0</v>
      </c>
      <c r="AO1619" s="4">
        <v>0</v>
      </c>
      <c r="AP1619" s="4">
        <v>1</v>
      </c>
      <c r="AQ1619" s="4">
        <v>1</v>
      </c>
      <c r="AR1619" s="3" t="s">
        <v>65</v>
      </c>
      <c r="AS1619" s="3" t="s">
        <v>65</v>
      </c>
      <c r="AT1619" s="3" t="s">
        <v>65</v>
      </c>
      <c r="AV1619" s="6" t="str">
        <f>HYPERLINK("http://mcgill.on.worldcat.org/oclc/1004290538","Catalog Record")</f>
        <v>Catalog Record</v>
      </c>
      <c r="AW1619" s="6" t="str">
        <f>HYPERLINK("http://www.worldcat.org/oclc/1004290538","WorldCat Record")</f>
        <v>WorldCat Record</v>
      </c>
      <c r="AX1619" s="3" t="s">
        <v>15835</v>
      </c>
      <c r="AY1619" s="3" t="s">
        <v>15836</v>
      </c>
      <c r="AZ1619" s="3" t="s">
        <v>15837</v>
      </c>
      <c r="BA1619" s="3" t="s">
        <v>15837</v>
      </c>
      <c r="BB1619" s="3" t="s">
        <v>15838</v>
      </c>
      <c r="BC1619" s="3" t="s">
        <v>77</v>
      </c>
      <c r="BD1619" s="3" t="s">
        <v>78</v>
      </c>
      <c r="BE1619" s="3" t="s">
        <v>15839</v>
      </c>
      <c r="BF1619" s="3" t="s">
        <v>15838</v>
      </c>
      <c r="BG1619" s="3" t="s">
        <v>15840</v>
      </c>
    </row>
    <row r="1620" spans="1:59" ht="58" x14ac:dyDescent="0.35">
      <c r="A1620" s="2" t="s">
        <v>59</v>
      </c>
      <c r="B1620" s="2" t="s">
        <v>60</v>
      </c>
      <c r="C1620" s="2" t="s">
        <v>15841</v>
      </c>
      <c r="D1620" s="2" t="s">
        <v>15842</v>
      </c>
      <c r="E1620" s="2" t="s">
        <v>15843</v>
      </c>
      <c r="G1620" s="3" t="s">
        <v>65</v>
      </c>
      <c r="I1620" s="3" t="s">
        <v>65</v>
      </c>
      <c r="J1620" s="3" t="s">
        <v>65</v>
      </c>
      <c r="K1620" s="3" t="s">
        <v>66</v>
      </c>
      <c r="L1620" s="2" t="s">
        <v>15844</v>
      </c>
      <c r="M1620" s="2" t="s">
        <v>15845</v>
      </c>
      <c r="N1620" s="3" t="s">
        <v>5060</v>
      </c>
      <c r="P1620" s="3" t="s">
        <v>69</v>
      </c>
      <c r="Q1620" s="2" t="s">
        <v>15846</v>
      </c>
      <c r="R1620" s="3" t="s">
        <v>71</v>
      </c>
      <c r="S1620" s="4">
        <v>34</v>
      </c>
      <c r="T1620" s="4">
        <v>34</v>
      </c>
      <c r="U1620" s="5" t="s">
        <v>15722</v>
      </c>
      <c r="V1620" s="5" t="s">
        <v>15722</v>
      </c>
      <c r="W1620" s="5" t="s">
        <v>72</v>
      </c>
      <c r="X1620" s="5" t="s">
        <v>72</v>
      </c>
      <c r="Y1620" s="4">
        <v>892</v>
      </c>
      <c r="Z1620" s="4">
        <v>34</v>
      </c>
      <c r="AA1620" s="4">
        <v>38</v>
      </c>
      <c r="AB1620" s="4">
        <v>2</v>
      </c>
      <c r="AC1620" s="4">
        <v>3</v>
      </c>
      <c r="AD1620" s="4">
        <v>121</v>
      </c>
      <c r="AE1620" s="4">
        <v>126</v>
      </c>
      <c r="AF1620" s="4">
        <v>1</v>
      </c>
      <c r="AG1620" s="4">
        <v>2</v>
      </c>
      <c r="AH1620" s="4">
        <v>103</v>
      </c>
      <c r="AI1620" s="4">
        <v>106</v>
      </c>
      <c r="AJ1620" s="4">
        <v>17</v>
      </c>
      <c r="AK1620" s="4">
        <v>19</v>
      </c>
      <c r="AL1620" s="4">
        <v>56</v>
      </c>
      <c r="AM1620" s="4">
        <v>56</v>
      </c>
      <c r="AN1620" s="4">
        <v>0</v>
      </c>
      <c r="AO1620" s="4">
        <v>0</v>
      </c>
      <c r="AP1620" s="4">
        <v>23</v>
      </c>
      <c r="AQ1620" s="4">
        <v>26</v>
      </c>
      <c r="AR1620" s="3" t="s">
        <v>65</v>
      </c>
      <c r="AS1620" s="3" t="s">
        <v>65</v>
      </c>
      <c r="AT1620" s="3" t="s">
        <v>65</v>
      </c>
      <c r="AV1620" s="6" t="str">
        <f>HYPERLINK("http://mcgill.on.worldcat.org/oclc/778309","Catalog Record")</f>
        <v>Catalog Record</v>
      </c>
      <c r="AW1620" s="6" t="str">
        <f>HYPERLINK("http://www.worldcat.org/oclc/778309","WorldCat Record")</f>
        <v>WorldCat Record</v>
      </c>
      <c r="AX1620" s="3" t="s">
        <v>15847</v>
      </c>
      <c r="AY1620" s="3" t="s">
        <v>15848</v>
      </c>
      <c r="AZ1620" s="3" t="s">
        <v>15849</v>
      </c>
      <c r="BA1620" s="3" t="s">
        <v>15849</v>
      </c>
      <c r="BB1620" s="3" t="s">
        <v>15850</v>
      </c>
      <c r="BC1620" s="3" t="s">
        <v>77</v>
      </c>
      <c r="BD1620" s="3" t="s">
        <v>78</v>
      </c>
      <c r="BF1620" s="3" t="s">
        <v>15850</v>
      </c>
      <c r="BG1620" s="3" t="s">
        <v>15851</v>
      </c>
    </row>
    <row r="1621" spans="1:59" ht="58" x14ac:dyDescent="0.35">
      <c r="A1621" s="2" t="s">
        <v>59</v>
      </c>
      <c r="B1621" s="2" t="s">
        <v>60</v>
      </c>
      <c r="C1621" s="2" t="s">
        <v>15852</v>
      </c>
      <c r="D1621" s="2" t="s">
        <v>15853</v>
      </c>
      <c r="E1621" s="2" t="s">
        <v>15854</v>
      </c>
      <c r="G1621" s="3" t="s">
        <v>65</v>
      </c>
      <c r="I1621" s="3" t="s">
        <v>65</v>
      </c>
      <c r="J1621" s="3" t="s">
        <v>65</v>
      </c>
      <c r="K1621" s="3" t="s">
        <v>66</v>
      </c>
      <c r="L1621" s="2" t="s">
        <v>15855</v>
      </c>
      <c r="M1621" s="2" t="s">
        <v>15856</v>
      </c>
      <c r="N1621" s="3" t="s">
        <v>1895</v>
      </c>
      <c r="O1621" s="2" t="s">
        <v>2086</v>
      </c>
      <c r="P1621" s="3" t="s">
        <v>69</v>
      </c>
      <c r="R1621" s="3" t="s">
        <v>71</v>
      </c>
      <c r="S1621" s="4">
        <v>28</v>
      </c>
      <c r="T1621" s="4">
        <v>28</v>
      </c>
      <c r="U1621" s="5" t="s">
        <v>15734</v>
      </c>
      <c r="V1621" s="5" t="s">
        <v>15734</v>
      </c>
      <c r="W1621" s="5" t="s">
        <v>72</v>
      </c>
      <c r="X1621" s="5" t="s">
        <v>72</v>
      </c>
      <c r="Y1621" s="4">
        <v>265</v>
      </c>
      <c r="Z1621" s="4">
        <v>13</v>
      </c>
      <c r="AA1621" s="4">
        <v>36</v>
      </c>
      <c r="AB1621" s="4">
        <v>1</v>
      </c>
      <c r="AC1621" s="4">
        <v>6</v>
      </c>
      <c r="AD1621" s="4">
        <v>81</v>
      </c>
      <c r="AE1621" s="4">
        <v>103</v>
      </c>
      <c r="AF1621" s="4">
        <v>0</v>
      </c>
      <c r="AG1621" s="4">
        <v>0</v>
      </c>
      <c r="AH1621" s="4">
        <v>75</v>
      </c>
      <c r="AI1621" s="4">
        <v>94</v>
      </c>
      <c r="AJ1621" s="4">
        <v>6</v>
      </c>
      <c r="AK1621" s="4">
        <v>9</v>
      </c>
      <c r="AL1621" s="4">
        <v>44</v>
      </c>
      <c r="AM1621" s="4">
        <v>56</v>
      </c>
      <c r="AN1621" s="4">
        <v>0</v>
      </c>
      <c r="AO1621" s="4">
        <v>0</v>
      </c>
      <c r="AP1621" s="4">
        <v>7</v>
      </c>
      <c r="AQ1621" s="4">
        <v>12</v>
      </c>
      <c r="AR1621" s="3" t="s">
        <v>65</v>
      </c>
      <c r="AS1621" s="3" t="s">
        <v>65</v>
      </c>
      <c r="AT1621" s="3" t="s">
        <v>65</v>
      </c>
      <c r="AV1621" s="6" t="str">
        <f>HYPERLINK("http://mcgill.on.worldcat.org/oclc/38130589","Catalog Record")</f>
        <v>Catalog Record</v>
      </c>
      <c r="AW1621" s="6" t="str">
        <f>HYPERLINK("http://www.worldcat.org/oclc/38130589","WorldCat Record")</f>
        <v>WorldCat Record</v>
      </c>
      <c r="AX1621" s="3" t="s">
        <v>15857</v>
      </c>
      <c r="AY1621" s="3" t="s">
        <v>15858</v>
      </c>
      <c r="AZ1621" s="3" t="s">
        <v>15859</v>
      </c>
      <c r="BA1621" s="3" t="s">
        <v>15859</v>
      </c>
      <c r="BB1621" s="3" t="s">
        <v>15860</v>
      </c>
      <c r="BC1621" s="3" t="s">
        <v>77</v>
      </c>
      <c r="BD1621" s="3" t="s">
        <v>78</v>
      </c>
      <c r="BE1621" s="3" t="s">
        <v>15861</v>
      </c>
      <c r="BF1621" s="3" t="s">
        <v>15860</v>
      </c>
      <c r="BG1621" s="3" t="s">
        <v>15862</v>
      </c>
    </row>
    <row r="1622" spans="1:59" ht="72.5" x14ac:dyDescent="0.35">
      <c r="A1622" s="2" t="s">
        <v>59</v>
      </c>
      <c r="B1622" s="2" t="s">
        <v>5411</v>
      </c>
      <c r="C1622" s="2" t="s">
        <v>15863</v>
      </c>
      <c r="D1622" s="2" t="s">
        <v>15864</v>
      </c>
      <c r="E1622" s="2" t="s">
        <v>15865</v>
      </c>
      <c r="G1622" s="3" t="s">
        <v>65</v>
      </c>
      <c r="I1622" s="3" t="s">
        <v>65</v>
      </c>
      <c r="J1622" s="3" t="s">
        <v>65</v>
      </c>
      <c r="K1622" s="3" t="s">
        <v>66</v>
      </c>
      <c r="L1622" s="2" t="s">
        <v>15866</v>
      </c>
      <c r="M1622" s="2" t="s">
        <v>15867</v>
      </c>
      <c r="N1622" s="3" t="s">
        <v>152</v>
      </c>
      <c r="P1622" s="3" t="s">
        <v>140</v>
      </c>
      <c r="Q1622" s="2" t="s">
        <v>15868</v>
      </c>
      <c r="R1622" s="3" t="s">
        <v>71</v>
      </c>
      <c r="S1622" s="4">
        <v>0</v>
      </c>
      <c r="T1622" s="4">
        <v>0</v>
      </c>
      <c r="W1622" s="5" t="s">
        <v>72</v>
      </c>
      <c r="X1622" s="5" t="s">
        <v>72</v>
      </c>
      <c r="Y1622" s="4">
        <v>52</v>
      </c>
      <c r="Z1622" s="4">
        <v>4</v>
      </c>
      <c r="AA1622" s="4">
        <v>6</v>
      </c>
      <c r="AB1622" s="4">
        <v>1</v>
      </c>
      <c r="AC1622" s="4">
        <v>3</v>
      </c>
      <c r="AD1622" s="4">
        <v>20</v>
      </c>
      <c r="AE1622" s="4">
        <v>22</v>
      </c>
      <c r="AF1622" s="4">
        <v>0</v>
      </c>
      <c r="AG1622" s="4">
        <v>1</v>
      </c>
      <c r="AH1622" s="4">
        <v>18</v>
      </c>
      <c r="AI1622" s="4">
        <v>19</v>
      </c>
      <c r="AJ1622" s="4">
        <v>2</v>
      </c>
      <c r="AK1622" s="4">
        <v>3</v>
      </c>
      <c r="AL1622" s="4">
        <v>17</v>
      </c>
      <c r="AM1622" s="4">
        <v>18</v>
      </c>
      <c r="AN1622" s="4">
        <v>0</v>
      </c>
      <c r="AO1622" s="4">
        <v>0</v>
      </c>
      <c r="AP1622" s="4">
        <v>2</v>
      </c>
      <c r="AQ1622" s="4">
        <v>2</v>
      </c>
      <c r="AR1622" s="3" t="s">
        <v>65</v>
      </c>
      <c r="AS1622" s="3" t="s">
        <v>65</v>
      </c>
      <c r="AT1622" s="3" t="s">
        <v>65</v>
      </c>
      <c r="AV1622" s="6" t="str">
        <f>HYPERLINK("http://mcgill.on.worldcat.org/oclc/856902207","Catalog Record")</f>
        <v>Catalog Record</v>
      </c>
      <c r="AW1622" s="6" t="str">
        <f>HYPERLINK("http://www.worldcat.org/oclc/856902207","WorldCat Record")</f>
        <v>WorldCat Record</v>
      </c>
      <c r="AX1622" s="3" t="s">
        <v>15869</v>
      </c>
      <c r="AY1622" s="3" t="s">
        <v>15870</v>
      </c>
      <c r="AZ1622" s="3" t="s">
        <v>15871</v>
      </c>
      <c r="BA1622" s="3" t="s">
        <v>15871</v>
      </c>
      <c r="BB1622" s="3" t="s">
        <v>15872</v>
      </c>
      <c r="BC1622" s="3" t="s">
        <v>77</v>
      </c>
      <c r="BD1622" s="3" t="s">
        <v>78</v>
      </c>
      <c r="BE1622" s="3" t="s">
        <v>15873</v>
      </c>
      <c r="BF1622" s="3" t="s">
        <v>15872</v>
      </c>
      <c r="BG1622" s="3" t="s">
        <v>15874</v>
      </c>
    </row>
    <row r="1623" spans="1:59" ht="58" x14ac:dyDescent="0.35">
      <c r="A1623" s="2" t="s">
        <v>59</v>
      </c>
      <c r="B1623" s="2" t="s">
        <v>60</v>
      </c>
      <c r="C1623" s="2" t="s">
        <v>15875</v>
      </c>
      <c r="D1623" s="2" t="s">
        <v>15876</v>
      </c>
      <c r="E1623" s="2" t="s">
        <v>15877</v>
      </c>
      <c r="F1623" s="3" t="s">
        <v>258</v>
      </c>
      <c r="G1623" s="3" t="s">
        <v>209</v>
      </c>
      <c r="I1623" s="3" t="s">
        <v>65</v>
      </c>
      <c r="J1623" s="3" t="s">
        <v>65</v>
      </c>
      <c r="K1623" s="3" t="s">
        <v>66</v>
      </c>
      <c r="L1623" s="2" t="s">
        <v>15878</v>
      </c>
      <c r="M1623" s="2" t="s">
        <v>15879</v>
      </c>
      <c r="N1623" s="3" t="s">
        <v>126</v>
      </c>
      <c r="P1623" s="3" t="s">
        <v>140</v>
      </c>
      <c r="Q1623" s="2" t="s">
        <v>15880</v>
      </c>
      <c r="R1623" s="3" t="s">
        <v>71</v>
      </c>
      <c r="S1623" s="4">
        <v>0</v>
      </c>
      <c r="T1623" s="4">
        <v>0</v>
      </c>
      <c r="W1623" s="5" t="s">
        <v>72</v>
      </c>
      <c r="X1623" s="5" t="s">
        <v>72</v>
      </c>
      <c r="Y1623" s="4">
        <v>12</v>
      </c>
      <c r="Z1623" s="4">
        <v>1</v>
      </c>
      <c r="AA1623" s="4">
        <v>1</v>
      </c>
      <c r="AB1623" s="4">
        <v>1</v>
      </c>
      <c r="AC1623" s="4">
        <v>1</v>
      </c>
      <c r="AD1623" s="4">
        <v>6</v>
      </c>
      <c r="AE1623" s="4">
        <v>6</v>
      </c>
      <c r="AF1623" s="4">
        <v>0</v>
      </c>
      <c r="AG1623" s="4">
        <v>0</v>
      </c>
      <c r="AH1623" s="4">
        <v>6</v>
      </c>
      <c r="AI1623" s="4">
        <v>6</v>
      </c>
      <c r="AJ1623" s="4">
        <v>0</v>
      </c>
      <c r="AK1623" s="4">
        <v>0</v>
      </c>
      <c r="AL1623" s="4">
        <v>5</v>
      </c>
      <c r="AM1623" s="4">
        <v>5</v>
      </c>
      <c r="AN1623" s="4">
        <v>0</v>
      </c>
      <c r="AO1623" s="4">
        <v>0</v>
      </c>
      <c r="AP1623" s="4">
        <v>0</v>
      </c>
      <c r="AQ1623" s="4">
        <v>0</v>
      </c>
      <c r="AR1623" s="3" t="s">
        <v>65</v>
      </c>
      <c r="AS1623" s="3" t="s">
        <v>65</v>
      </c>
      <c r="AT1623" s="3" t="s">
        <v>65</v>
      </c>
      <c r="AV1623" s="6" t="str">
        <f>HYPERLINK("http://mcgill.on.worldcat.org/oclc/779706090","Catalog Record")</f>
        <v>Catalog Record</v>
      </c>
      <c r="AW1623" s="6" t="str">
        <f>HYPERLINK("http://www.worldcat.org/oclc/779706090","WorldCat Record")</f>
        <v>WorldCat Record</v>
      </c>
      <c r="AX1623" s="3" t="s">
        <v>15881</v>
      </c>
      <c r="AY1623" s="3" t="s">
        <v>15882</v>
      </c>
      <c r="AZ1623" s="3" t="s">
        <v>15883</v>
      </c>
      <c r="BA1623" s="3" t="s">
        <v>15883</v>
      </c>
      <c r="BB1623" s="3" t="s">
        <v>15884</v>
      </c>
      <c r="BC1623" s="3" t="s">
        <v>77</v>
      </c>
      <c r="BD1623" s="3" t="s">
        <v>78</v>
      </c>
      <c r="BF1623" s="3" t="s">
        <v>15884</v>
      </c>
      <c r="BG1623" s="3" t="s">
        <v>15885</v>
      </c>
    </row>
    <row r="1624" spans="1:59" ht="58" x14ac:dyDescent="0.35">
      <c r="A1624" s="2" t="s">
        <v>59</v>
      </c>
      <c r="B1624" s="2" t="s">
        <v>60</v>
      </c>
      <c r="C1624" s="2" t="s">
        <v>15875</v>
      </c>
      <c r="D1624" s="2" t="s">
        <v>15876</v>
      </c>
      <c r="E1624" s="2" t="s">
        <v>15877</v>
      </c>
      <c r="F1624" s="3" t="s">
        <v>245</v>
      </c>
      <c r="G1624" s="3" t="s">
        <v>209</v>
      </c>
      <c r="I1624" s="3" t="s">
        <v>65</v>
      </c>
      <c r="J1624" s="3" t="s">
        <v>65</v>
      </c>
      <c r="K1624" s="3" t="s">
        <v>66</v>
      </c>
      <c r="L1624" s="2" t="s">
        <v>15878</v>
      </c>
      <c r="M1624" s="2" t="s">
        <v>15879</v>
      </c>
      <c r="N1624" s="3" t="s">
        <v>126</v>
      </c>
      <c r="P1624" s="3" t="s">
        <v>140</v>
      </c>
      <c r="Q1624" s="2" t="s">
        <v>15880</v>
      </c>
      <c r="R1624" s="3" t="s">
        <v>71</v>
      </c>
      <c r="S1624" s="4">
        <v>0</v>
      </c>
      <c r="T1624" s="4">
        <v>0</v>
      </c>
      <c r="W1624" s="5" t="s">
        <v>72</v>
      </c>
      <c r="X1624" s="5" t="s">
        <v>72</v>
      </c>
      <c r="Y1624" s="4">
        <v>12</v>
      </c>
      <c r="Z1624" s="4">
        <v>1</v>
      </c>
      <c r="AA1624" s="4">
        <v>1</v>
      </c>
      <c r="AB1624" s="4">
        <v>1</v>
      </c>
      <c r="AC1624" s="4">
        <v>1</v>
      </c>
      <c r="AD1624" s="4">
        <v>6</v>
      </c>
      <c r="AE1624" s="4">
        <v>6</v>
      </c>
      <c r="AF1624" s="4">
        <v>0</v>
      </c>
      <c r="AG1624" s="4">
        <v>0</v>
      </c>
      <c r="AH1624" s="4">
        <v>6</v>
      </c>
      <c r="AI1624" s="4">
        <v>6</v>
      </c>
      <c r="AJ1624" s="4">
        <v>0</v>
      </c>
      <c r="AK1624" s="4">
        <v>0</v>
      </c>
      <c r="AL1624" s="4">
        <v>5</v>
      </c>
      <c r="AM1624" s="4">
        <v>5</v>
      </c>
      <c r="AN1624" s="4">
        <v>0</v>
      </c>
      <c r="AO1624" s="4">
        <v>0</v>
      </c>
      <c r="AP1624" s="4">
        <v>0</v>
      </c>
      <c r="AQ1624" s="4">
        <v>0</v>
      </c>
      <c r="AR1624" s="3" t="s">
        <v>65</v>
      </c>
      <c r="AS1624" s="3" t="s">
        <v>65</v>
      </c>
      <c r="AT1624" s="3" t="s">
        <v>65</v>
      </c>
      <c r="AV1624" s="6" t="str">
        <f>HYPERLINK("http://mcgill.on.worldcat.org/oclc/779706090","Catalog Record")</f>
        <v>Catalog Record</v>
      </c>
      <c r="AW1624" s="6" t="str">
        <f>HYPERLINK("http://www.worldcat.org/oclc/779706090","WorldCat Record")</f>
        <v>WorldCat Record</v>
      </c>
      <c r="AX1624" s="3" t="s">
        <v>15881</v>
      </c>
      <c r="AY1624" s="3" t="s">
        <v>15882</v>
      </c>
      <c r="AZ1624" s="3" t="s">
        <v>15883</v>
      </c>
      <c r="BA1624" s="3" t="s">
        <v>15883</v>
      </c>
      <c r="BB1624" s="3" t="s">
        <v>15886</v>
      </c>
      <c r="BC1624" s="3" t="s">
        <v>77</v>
      </c>
      <c r="BD1624" s="3" t="s">
        <v>78</v>
      </c>
      <c r="BF1624" s="3" t="s">
        <v>15886</v>
      </c>
      <c r="BG1624" s="3" t="s">
        <v>15887</v>
      </c>
    </row>
    <row r="1625" spans="1:59" ht="58" x14ac:dyDescent="0.35">
      <c r="A1625" s="2" t="s">
        <v>59</v>
      </c>
      <c r="B1625" s="2" t="s">
        <v>60</v>
      </c>
      <c r="C1625" s="2" t="s">
        <v>15888</v>
      </c>
      <c r="D1625" s="2" t="s">
        <v>15876</v>
      </c>
      <c r="E1625" s="2" t="s">
        <v>15889</v>
      </c>
      <c r="G1625" s="3" t="s">
        <v>209</v>
      </c>
      <c r="I1625" s="3" t="s">
        <v>65</v>
      </c>
      <c r="J1625" s="3" t="s">
        <v>65</v>
      </c>
      <c r="K1625" s="3" t="s">
        <v>66</v>
      </c>
      <c r="L1625" s="2" t="s">
        <v>15878</v>
      </c>
      <c r="M1625" s="2" t="s">
        <v>4727</v>
      </c>
      <c r="N1625" s="3" t="s">
        <v>126</v>
      </c>
      <c r="P1625" s="3" t="s">
        <v>69</v>
      </c>
      <c r="Q1625" s="2" t="s">
        <v>15890</v>
      </c>
      <c r="R1625" s="3" t="s">
        <v>71</v>
      </c>
      <c r="S1625" s="4">
        <v>0</v>
      </c>
      <c r="T1625" s="4">
        <v>0</v>
      </c>
      <c r="W1625" s="5" t="s">
        <v>72</v>
      </c>
      <c r="X1625" s="5" t="s">
        <v>72</v>
      </c>
      <c r="Y1625" s="4">
        <v>56</v>
      </c>
      <c r="Z1625" s="4">
        <v>3</v>
      </c>
      <c r="AA1625" s="4">
        <v>3</v>
      </c>
      <c r="AB1625" s="4">
        <v>1</v>
      </c>
      <c r="AC1625" s="4">
        <v>1</v>
      </c>
      <c r="AD1625" s="4">
        <v>31</v>
      </c>
      <c r="AE1625" s="4">
        <v>31</v>
      </c>
      <c r="AF1625" s="4">
        <v>0</v>
      </c>
      <c r="AG1625" s="4">
        <v>0</v>
      </c>
      <c r="AH1625" s="4">
        <v>30</v>
      </c>
      <c r="AI1625" s="4">
        <v>30</v>
      </c>
      <c r="AJ1625" s="4">
        <v>1</v>
      </c>
      <c r="AK1625" s="4">
        <v>1</v>
      </c>
      <c r="AL1625" s="4">
        <v>24</v>
      </c>
      <c r="AM1625" s="4">
        <v>24</v>
      </c>
      <c r="AN1625" s="4">
        <v>0</v>
      </c>
      <c r="AO1625" s="4">
        <v>0</v>
      </c>
      <c r="AP1625" s="4">
        <v>1</v>
      </c>
      <c r="AQ1625" s="4">
        <v>1</v>
      </c>
      <c r="AR1625" s="3" t="s">
        <v>65</v>
      </c>
      <c r="AS1625" s="3" t="s">
        <v>65</v>
      </c>
      <c r="AT1625" s="3" t="s">
        <v>65</v>
      </c>
      <c r="AV1625" s="6" t="str">
        <f>HYPERLINK("http://mcgill.on.worldcat.org/oclc/793100394","Catalog Record")</f>
        <v>Catalog Record</v>
      </c>
      <c r="AW1625" s="6" t="str">
        <f>HYPERLINK("http://www.worldcat.org/oclc/793100394","WorldCat Record")</f>
        <v>WorldCat Record</v>
      </c>
      <c r="AX1625" s="3" t="s">
        <v>15891</v>
      </c>
      <c r="AY1625" s="3" t="s">
        <v>15892</v>
      </c>
      <c r="AZ1625" s="3" t="s">
        <v>15893</v>
      </c>
      <c r="BA1625" s="3" t="s">
        <v>15893</v>
      </c>
      <c r="BB1625" s="3" t="s">
        <v>15894</v>
      </c>
      <c r="BC1625" s="3" t="s">
        <v>77</v>
      </c>
      <c r="BD1625" s="3" t="s">
        <v>78</v>
      </c>
      <c r="BE1625" s="3" t="s">
        <v>15895</v>
      </c>
      <c r="BF1625" s="3" t="s">
        <v>15894</v>
      </c>
      <c r="BG1625" s="3" t="s">
        <v>15896</v>
      </c>
    </row>
    <row r="1626" spans="1:59" ht="58" x14ac:dyDescent="0.35">
      <c r="A1626" s="2" t="s">
        <v>59</v>
      </c>
      <c r="B1626" s="2" t="s">
        <v>60</v>
      </c>
      <c r="C1626" s="2" t="s">
        <v>15897</v>
      </c>
      <c r="D1626" s="2" t="s">
        <v>15898</v>
      </c>
      <c r="E1626" s="2" t="s">
        <v>15899</v>
      </c>
      <c r="G1626" s="3" t="s">
        <v>65</v>
      </c>
      <c r="I1626" s="3" t="s">
        <v>65</v>
      </c>
      <c r="J1626" s="3" t="s">
        <v>65</v>
      </c>
      <c r="K1626" s="3" t="s">
        <v>66</v>
      </c>
      <c r="L1626" s="2" t="s">
        <v>15900</v>
      </c>
      <c r="M1626" s="2" t="s">
        <v>15901</v>
      </c>
      <c r="N1626" s="3" t="s">
        <v>188</v>
      </c>
      <c r="P1626" s="3" t="s">
        <v>69</v>
      </c>
      <c r="Q1626" s="2" t="s">
        <v>15902</v>
      </c>
      <c r="R1626" s="3" t="s">
        <v>71</v>
      </c>
      <c r="S1626" s="4">
        <v>0</v>
      </c>
      <c r="T1626" s="4">
        <v>0</v>
      </c>
      <c r="W1626" s="5" t="s">
        <v>72</v>
      </c>
      <c r="X1626" s="5" t="s">
        <v>72</v>
      </c>
      <c r="Y1626" s="4">
        <v>74</v>
      </c>
      <c r="Z1626" s="4">
        <v>3</v>
      </c>
      <c r="AA1626" s="4">
        <v>3</v>
      </c>
      <c r="AB1626" s="4">
        <v>1</v>
      </c>
      <c r="AC1626" s="4">
        <v>1</v>
      </c>
      <c r="AD1626" s="4">
        <v>42</v>
      </c>
      <c r="AE1626" s="4">
        <v>42</v>
      </c>
      <c r="AF1626" s="4">
        <v>0</v>
      </c>
      <c r="AG1626" s="4">
        <v>0</v>
      </c>
      <c r="AH1626" s="4">
        <v>41</v>
      </c>
      <c r="AI1626" s="4">
        <v>41</v>
      </c>
      <c r="AJ1626" s="4">
        <v>2</v>
      </c>
      <c r="AK1626" s="4">
        <v>2</v>
      </c>
      <c r="AL1626" s="4">
        <v>27</v>
      </c>
      <c r="AM1626" s="4">
        <v>27</v>
      </c>
      <c r="AN1626" s="4">
        <v>0</v>
      </c>
      <c r="AO1626" s="4">
        <v>0</v>
      </c>
      <c r="AP1626" s="4">
        <v>2</v>
      </c>
      <c r="AQ1626" s="4">
        <v>2</v>
      </c>
      <c r="AR1626" s="3" t="s">
        <v>65</v>
      </c>
      <c r="AS1626" s="3" t="s">
        <v>65</v>
      </c>
      <c r="AT1626" s="3" t="s">
        <v>65</v>
      </c>
      <c r="AV1626" s="6" t="str">
        <f>HYPERLINK("http://mcgill.on.worldcat.org/oclc/975487246","Catalog Record")</f>
        <v>Catalog Record</v>
      </c>
      <c r="AW1626" s="6" t="str">
        <f>HYPERLINK("http://www.worldcat.org/oclc/975487246","WorldCat Record")</f>
        <v>WorldCat Record</v>
      </c>
      <c r="AX1626" s="3" t="s">
        <v>15903</v>
      </c>
      <c r="AY1626" s="3" t="s">
        <v>15904</v>
      </c>
      <c r="AZ1626" s="3" t="s">
        <v>15905</v>
      </c>
      <c r="BA1626" s="3" t="s">
        <v>15905</v>
      </c>
      <c r="BB1626" s="3" t="s">
        <v>15906</v>
      </c>
      <c r="BC1626" s="3" t="s">
        <v>77</v>
      </c>
      <c r="BD1626" s="3" t="s">
        <v>78</v>
      </c>
      <c r="BE1626" s="3" t="s">
        <v>15907</v>
      </c>
      <c r="BF1626" s="3" t="s">
        <v>15906</v>
      </c>
      <c r="BG1626" s="3" t="s">
        <v>15908</v>
      </c>
    </row>
    <row r="1627" spans="1:59" ht="58" x14ac:dyDescent="0.35">
      <c r="A1627" s="2" t="s">
        <v>59</v>
      </c>
      <c r="B1627" s="2" t="s">
        <v>60</v>
      </c>
      <c r="C1627" s="2" t="s">
        <v>15909</v>
      </c>
      <c r="D1627" s="2" t="s">
        <v>15910</v>
      </c>
      <c r="E1627" s="2" t="s">
        <v>15911</v>
      </c>
      <c r="G1627" s="3" t="s">
        <v>65</v>
      </c>
      <c r="I1627" s="3" t="s">
        <v>65</v>
      </c>
      <c r="J1627" s="3" t="s">
        <v>65</v>
      </c>
      <c r="K1627" s="3" t="s">
        <v>66</v>
      </c>
      <c r="L1627" s="2" t="s">
        <v>15912</v>
      </c>
      <c r="M1627" s="2" t="s">
        <v>15913</v>
      </c>
      <c r="N1627" s="3" t="s">
        <v>113</v>
      </c>
      <c r="O1627" s="2" t="s">
        <v>379</v>
      </c>
      <c r="P1627" s="3" t="s">
        <v>140</v>
      </c>
      <c r="Q1627" s="2" t="s">
        <v>15914</v>
      </c>
      <c r="R1627" s="3" t="s">
        <v>71</v>
      </c>
      <c r="S1627" s="4">
        <v>0</v>
      </c>
      <c r="T1627" s="4">
        <v>0</v>
      </c>
      <c r="W1627" s="5" t="s">
        <v>72</v>
      </c>
      <c r="X1627" s="5" t="s">
        <v>72</v>
      </c>
      <c r="Y1627" s="4">
        <v>30</v>
      </c>
      <c r="Z1627" s="4">
        <v>3</v>
      </c>
      <c r="AA1627" s="4">
        <v>3</v>
      </c>
      <c r="AB1627" s="4">
        <v>1</v>
      </c>
      <c r="AC1627" s="4">
        <v>1</v>
      </c>
      <c r="AD1627" s="4">
        <v>23</v>
      </c>
      <c r="AE1627" s="4">
        <v>23</v>
      </c>
      <c r="AF1627" s="4">
        <v>0</v>
      </c>
      <c r="AG1627" s="4">
        <v>0</v>
      </c>
      <c r="AH1627" s="4">
        <v>22</v>
      </c>
      <c r="AI1627" s="4">
        <v>22</v>
      </c>
      <c r="AJ1627" s="4">
        <v>1</v>
      </c>
      <c r="AK1627" s="4">
        <v>1</v>
      </c>
      <c r="AL1627" s="4">
        <v>19</v>
      </c>
      <c r="AM1627" s="4">
        <v>19</v>
      </c>
      <c r="AN1627" s="4">
        <v>0</v>
      </c>
      <c r="AO1627" s="4">
        <v>0</v>
      </c>
      <c r="AP1627" s="4">
        <v>1</v>
      </c>
      <c r="AQ1627" s="4">
        <v>1</v>
      </c>
      <c r="AR1627" s="3" t="s">
        <v>65</v>
      </c>
      <c r="AS1627" s="3" t="s">
        <v>65</v>
      </c>
      <c r="AT1627" s="3" t="s">
        <v>65</v>
      </c>
      <c r="AV1627" s="6" t="str">
        <f>HYPERLINK("http://mcgill.on.worldcat.org/oclc/775819688","Catalog Record")</f>
        <v>Catalog Record</v>
      </c>
      <c r="AW1627" s="6" t="str">
        <f>HYPERLINK("http://www.worldcat.org/oclc/775819688","WorldCat Record")</f>
        <v>WorldCat Record</v>
      </c>
      <c r="AX1627" s="3" t="s">
        <v>15915</v>
      </c>
      <c r="AY1627" s="3" t="s">
        <v>15916</v>
      </c>
      <c r="AZ1627" s="3" t="s">
        <v>15917</v>
      </c>
      <c r="BA1627" s="3" t="s">
        <v>15917</v>
      </c>
      <c r="BB1627" s="3" t="s">
        <v>15918</v>
      </c>
      <c r="BC1627" s="3" t="s">
        <v>77</v>
      </c>
      <c r="BD1627" s="3" t="s">
        <v>78</v>
      </c>
      <c r="BE1627" s="3" t="s">
        <v>15919</v>
      </c>
      <c r="BF1627" s="3" t="s">
        <v>15918</v>
      </c>
      <c r="BG1627" s="3" t="s">
        <v>15920</v>
      </c>
    </row>
    <row r="1628" spans="1:59" ht="58" x14ac:dyDescent="0.35">
      <c r="A1628" s="2" t="s">
        <v>59</v>
      </c>
      <c r="B1628" s="2" t="s">
        <v>60</v>
      </c>
      <c r="C1628" s="2" t="s">
        <v>15921</v>
      </c>
      <c r="D1628" s="2" t="s">
        <v>15922</v>
      </c>
      <c r="E1628" s="2" t="s">
        <v>15923</v>
      </c>
      <c r="G1628" s="3" t="s">
        <v>65</v>
      </c>
      <c r="I1628" s="3" t="s">
        <v>65</v>
      </c>
      <c r="J1628" s="3" t="s">
        <v>65</v>
      </c>
      <c r="K1628" s="3" t="s">
        <v>66</v>
      </c>
      <c r="L1628" s="2" t="s">
        <v>15924</v>
      </c>
      <c r="M1628" s="2" t="s">
        <v>15925</v>
      </c>
      <c r="N1628" s="3" t="s">
        <v>1944</v>
      </c>
      <c r="P1628" s="3" t="s">
        <v>140</v>
      </c>
      <c r="Q1628" s="2" t="s">
        <v>15926</v>
      </c>
      <c r="R1628" s="3" t="s">
        <v>71</v>
      </c>
      <c r="S1628" s="4">
        <v>1</v>
      </c>
      <c r="T1628" s="4">
        <v>1</v>
      </c>
      <c r="U1628" s="5" t="s">
        <v>15927</v>
      </c>
      <c r="V1628" s="5" t="s">
        <v>15927</v>
      </c>
      <c r="W1628" s="5" t="s">
        <v>72</v>
      </c>
      <c r="X1628" s="5" t="s">
        <v>72</v>
      </c>
      <c r="Y1628" s="4">
        <v>54</v>
      </c>
      <c r="Z1628" s="4">
        <v>5</v>
      </c>
      <c r="AA1628" s="4">
        <v>5</v>
      </c>
      <c r="AB1628" s="4">
        <v>1</v>
      </c>
      <c r="AC1628" s="4">
        <v>1</v>
      </c>
      <c r="AD1628" s="4">
        <v>32</v>
      </c>
      <c r="AE1628" s="4">
        <v>32</v>
      </c>
      <c r="AF1628" s="4">
        <v>0</v>
      </c>
      <c r="AG1628" s="4">
        <v>0</v>
      </c>
      <c r="AH1628" s="4">
        <v>30</v>
      </c>
      <c r="AI1628" s="4">
        <v>30</v>
      </c>
      <c r="AJ1628" s="4">
        <v>3</v>
      </c>
      <c r="AK1628" s="4">
        <v>3</v>
      </c>
      <c r="AL1628" s="4">
        <v>25</v>
      </c>
      <c r="AM1628" s="4">
        <v>25</v>
      </c>
      <c r="AN1628" s="4">
        <v>0</v>
      </c>
      <c r="AO1628" s="4">
        <v>0</v>
      </c>
      <c r="AP1628" s="4">
        <v>3</v>
      </c>
      <c r="AQ1628" s="4">
        <v>3</v>
      </c>
      <c r="AR1628" s="3" t="s">
        <v>65</v>
      </c>
      <c r="AS1628" s="3" t="s">
        <v>65</v>
      </c>
      <c r="AT1628" s="3" t="s">
        <v>209</v>
      </c>
      <c r="AU1628" s="6" t="str">
        <f>HYPERLINK("http://catalog.hathitrust.org/Record/004086873","HathiTrust Record")</f>
        <v>HathiTrust Record</v>
      </c>
      <c r="AV1628" s="6" t="str">
        <f>HYPERLINK("http://mcgill.on.worldcat.org/oclc/43547834","Catalog Record")</f>
        <v>Catalog Record</v>
      </c>
      <c r="AW1628" s="6" t="str">
        <f>HYPERLINK("http://www.worldcat.org/oclc/43547834","WorldCat Record")</f>
        <v>WorldCat Record</v>
      </c>
      <c r="AX1628" s="3" t="s">
        <v>15928</v>
      </c>
      <c r="AY1628" s="3" t="s">
        <v>15929</v>
      </c>
      <c r="AZ1628" s="3" t="s">
        <v>15930</v>
      </c>
      <c r="BA1628" s="3" t="s">
        <v>15930</v>
      </c>
      <c r="BB1628" s="3" t="s">
        <v>15931</v>
      </c>
      <c r="BC1628" s="3" t="s">
        <v>77</v>
      </c>
      <c r="BD1628" s="3" t="s">
        <v>78</v>
      </c>
      <c r="BE1628" s="3" t="s">
        <v>15932</v>
      </c>
      <c r="BF1628" s="3" t="s">
        <v>15931</v>
      </c>
      <c r="BG1628" s="3" t="s">
        <v>15933</v>
      </c>
    </row>
    <row r="1629" spans="1:59" ht="58" x14ac:dyDescent="0.35">
      <c r="A1629" s="2" t="s">
        <v>59</v>
      </c>
      <c r="B1629" s="2" t="s">
        <v>60</v>
      </c>
      <c r="C1629" s="2" t="s">
        <v>15934</v>
      </c>
      <c r="D1629" s="2" t="s">
        <v>15935</v>
      </c>
      <c r="E1629" s="2" t="s">
        <v>15936</v>
      </c>
      <c r="G1629" s="3" t="s">
        <v>65</v>
      </c>
      <c r="I1629" s="3" t="s">
        <v>65</v>
      </c>
      <c r="J1629" s="3" t="s">
        <v>65</v>
      </c>
      <c r="K1629" s="3" t="s">
        <v>66</v>
      </c>
      <c r="L1629" s="2" t="s">
        <v>15937</v>
      </c>
      <c r="M1629" s="2" t="s">
        <v>15938</v>
      </c>
      <c r="N1629" s="3" t="s">
        <v>564</v>
      </c>
      <c r="P1629" s="3" t="s">
        <v>140</v>
      </c>
      <c r="Q1629" s="2" t="s">
        <v>15939</v>
      </c>
      <c r="R1629" s="3" t="s">
        <v>71</v>
      </c>
      <c r="S1629" s="4">
        <v>1</v>
      </c>
      <c r="T1629" s="4">
        <v>1</v>
      </c>
      <c r="U1629" s="5" t="s">
        <v>3053</v>
      </c>
      <c r="V1629" s="5" t="s">
        <v>3053</v>
      </c>
      <c r="W1629" s="5" t="s">
        <v>72</v>
      </c>
      <c r="X1629" s="5" t="s">
        <v>72</v>
      </c>
      <c r="Y1629" s="4">
        <v>42</v>
      </c>
      <c r="Z1629" s="4">
        <v>2</v>
      </c>
      <c r="AA1629" s="4">
        <v>9</v>
      </c>
      <c r="AB1629" s="4">
        <v>1</v>
      </c>
      <c r="AC1629" s="4">
        <v>2</v>
      </c>
      <c r="AD1629" s="4">
        <v>19</v>
      </c>
      <c r="AE1629" s="4">
        <v>36</v>
      </c>
      <c r="AF1629" s="4">
        <v>0</v>
      </c>
      <c r="AG1629" s="4">
        <v>1</v>
      </c>
      <c r="AH1629" s="4">
        <v>16</v>
      </c>
      <c r="AI1629" s="4">
        <v>31</v>
      </c>
      <c r="AJ1629" s="4">
        <v>1</v>
      </c>
      <c r="AK1629" s="4">
        <v>4</v>
      </c>
      <c r="AL1629" s="4">
        <v>16</v>
      </c>
      <c r="AM1629" s="4">
        <v>24</v>
      </c>
      <c r="AN1629" s="4">
        <v>0</v>
      </c>
      <c r="AO1629" s="4">
        <v>1</v>
      </c>
      <c r="AP1629" s="4">
        <v>1</v>
      </c>
      <c r="AQ1629" s="4">
        <v>5</v>
      </c>
      <c r="AR1629" s="3" t="s">
        <v>65</v>
      </c>
      <c r="AS1629" s="3" t="s">
        <v>65</v>
      </c>
      <c r="AT1629" s="3" t="s">
        <v>209</v>
      </c>
      <c r="AU1629" s="6" t="str">
        <f>HYPERLINK("http://catalog.hathitrust.org/Record/001805092","HathiTrust Record")</f>
        <v>HathiTrust Record</v>
      </c>
      <c r="AV1629" s="6" t="str">
        <f>HYPERLINK("http://mcgill.on.worldcat.org/oclc/23502761","Catalog Record")</f>
        <v>Catalog Record</v>
      </c>
      <c r="AW1629" s="6" t="str">
        <f>HYPERLINK("http://www.worldcat.org/oclc/23502761","WorldCat Record")</f>
        <v>WorldCat Record</v>
      </c>
      <c r="AX1629" s="3" t="s">
        <v>15940</v>
      </c>
      <c r="AY1629" s="3" t="s">
        <v>15941</v>
      </c>
      <c r="AZ1629" s="3" t="s">
        <v>15942</v>
      </c>
      <c r="BA1629" s="3" t="s">
        <v>15942</v>
      </c>
      <c r="BB1629" s="3" t="s">
        <v>15943</v>
      </c>
      <c r="BC1629" s="3" t="s">
        <v>77</v>
      </c>
      <c r="BD1629" s="3" t="s">
        <v>78</v>
      </c>
      <c r="BF1629" s="3" t="s">
        <v>15943</v>
      </c>
      <c r="BG1629" s="3" t="s">
        <v>15944</v>
      </c>
    </row>
    <row r="1630" spans="1:59" ht="58" x14ac:dyDescent="0.35">
      <c r="A1630" s="2" t="s">
        <v>59</v>
      </c>
      <c r="B1630" s="2" t="s">
        <v>60</v>
      </c>
      <c r="C1630" s="2" t="s">
        <v>15945</v>
      </c>
      <c r="D1630" s="2" t="s">
        <v>15946</v>
      </c>
      <c r="E1630" s="2" t="s">
        <v>15947</v>
      </c>
      <c r="G1630" s="3" t="s">
        <v>65</v>
      </c>
      <c r="I1630" s="3" t="s">
        <v>65</v>
      </c>
      <c r="J1630" s="3" t="s">
        <v>65</v>
      </c>
      <c r="K1630" s="3" t="s">
        <v>66</v>
      </c>
      <c r="M1630" s="2" t="s">
        <v>14428</v>
      </c>
      <c r="N1630" s="3" t="s">
        <v>99</v>
      </c>
      <c r="P1630" s="3" t="s">
        <v>140</v>
      </c>
      <c r="Q1630" s="2" t="s">
        <v>15948</v>
      </c>
      <c r="R1630" s="3" t="s">
        <v>71</v>
      </c>
      <c r="S1630" s="4">
        <v>4</v>
      </c>
      <c r="T1630" s="4">
        <v>4</v>
      </c>
      <c r="U1630" s="5" t="s">
        <v>15949</v>
      </c>
      <c r="V1630" s="5" t="s">
        <v>15949</v>
      </c>
      <c r="W1630" s="5" t="s">
        <v>72</v>
      </c>
      <c r="X1630" s="5" t="s">
        <v>72</v>
      </c>
      <c r="Y1630" s="4">
        <v>64</v>
      </c>
      <c r="Z1630" s="4">
        <v>3</v>
      </c>
      <c r="AA1630" s="4">
        <v>3</v>
      </c>
      <c r="AB1630" s="4">
        <v>1</v>
      </c>
      <c r="AC1630" s="4">
        <v>1</v>
      </c>
      <c r="AD1630" s="4">
        <v>30</v>
      </c>
      <c r="AE1630" s="4">
        <v>31</v>
      </c>
      <c r="AF1630" s="4">
        <v>0</v>
      </c>
      <c r="AG1630" s="4">
        <v>0</v>
      </c>
      <c r="AH1630" s="4">
        <v>29</v>
      </c>
      <c r="AI1630" s="4">
        <v>30</v>
      </c>
      <c r="AJ1630" s="4">
        <v>1</v>
      </c>
      <c r="AK1630" s="4">
        <v>1</v>
      </c>
      <c r="AL1630" s="4">
        <v>23</v>
      </c>
      <c r="AM1630" s="4">
        <v>24</v>
      </c>
      <c r="AN1630" s="4">
        <v>0</v>
      </c>
      <c r="AO1630" s="4">
        <v>0</v>
      </c>
      <c r="AP1630" s="4">
        <v>1</v>
      </c>
      <c r="AQ1630" s="4">
        <v>1</v>
      </c>
      <c r="AR1630" s="3" t="s">
        <v>65</v>
      </c>
      <c r="AS1630" s="3" t="s">
        <v>65</v>
      </c>
      <c r="AT1630" s="3" t="s">
        <v>209</v>
      </c>
      <c r="AU1630" s="6" t="str">
        <f>HYPERLINK("http://catalog.hathitrust.org/Record/005210810","HathiTrust Record")</f>
        <v>HathiTrust Record</v>
      </c>
      <c r="AV1630" s="6" t="str">
        <f>HYPERLINK("http://mcgill.on.worldcat.org/oclc/64556951","Catalog Record")</f>
        <v>Catalog Record</v>
      </c>
      <c r="AW1630" s="6" t="str">
        <f>HYPERLINK("http://www.worldcat.org/oclc/64556951","WorldCat Record")</f>
        <v>WorldCat Record</v>
      </c>
      <c r="AX1630" s="3" t="s">
        <v>15950</v>
      </c>
      <c r="AY1630" s="3" t="s">
        <v>15951</v>
      </c>
      <c r="AZ1630" s="3" t="s">
        <v>15952</v>
      </c>
      <c r="BA1630" s="3" t="s">
        <v>15952</v>
      </c>
      <c r="BB1630" s="3" t="s">
        <v>15953</v>
      </c>
      <c r="BC1630" s="3" t="s">
        <v>77</v>
      </c>
      <c r="BD1630" s="3" t="s">
        <v>78</v>
      </c>
      <c r="BE1630" s="3" t="s">
        <v>15954</v>
      </c>
      <c r="BF1630" s="3" t="s">
        <v>15953</v>
      </c>
      <c r="BG1630" s="3" t="s">
        <v>15955</v>
      </c>
    </row>
    <row r="1631" spans="1:59" ht="58" x14ac:dyDescent="0.35">
      <c r="A1631" s="2" t="s">
        <v>59</v>
      </c>
      <c r="B1631" s="2" t="s">
        <v>60</v>
      </c>
      <c r="C1631" s="2" t="s">
        <v>15956</v>
      </c>
      <c r="D1631" s="2" t="s">
        <v>15957</v>
      </c>
      <c r="E1631" s="2" t="s">
        <v>15958</v>
      </c>
      <c r="G1631" s="3" t="s">
        <v>65</v>
      </c>
      <c r="I1631" s="3" t="s">
        <v>65</v>
      </c>
      <c r="J1631" s="3" t="s">
        <v>65</v>
      </c>
      <c r="K1631" s="3" t="s">
        <v>66</v>
      </c>
      <c r="L1631" s="2" t="s">
        <v>15959</v>
      </c>
      <c r="M1631" s="2" t="s">
        <v>15960</v>
      </c>
      <c r="N1631" s="3" t="s">
        <v>615</v>
      </c>
      <c r="P1631" s="3" t="s">
        <v>4819</v>
      </c>
      <c r="Q1631" s="2" t="s">
        <v>15961</v>
      </c>
      <c r="R1631" s="3" t="s">
        <v>71</v>
      </c>
      <c r="S1631" s="4">
        <v>1</v>
      </c>
      <c r="T1631" s="4">
        <v>1</v>
      </c>
      <c r="U1631" s="5" t="s">
        <v>9773</v>
      </c>
      <c r="V1631" s="5" t="s">
        <v>9773</v>
      </c>
      <c r="W1631" s="5" t="s">
        <v>72</v>
      </c>
      <c r="X1631" s="5" t="s">
        <v>72</v>
      </c>
      <c r="Y1631" s="4">
        <v>83</v>
      </c>
      <c r="Z1631" s="4">
        <v>5</v>
      </c>
      <c r="AA1631" s="4">
        <v>5</v>
      </c>
      <c r="AB1631" s="4">
        <v>1</v>
      </c>
      <c r="AC1631" s="4">
        <v>1</v>
      </c>
      <c r="AD1631" s="4">
        <v>41</v>
      </c>
      <c r="AE1631" s="4">
        <v>41</v>
      </c>
      <c r="AF1631" s="4">
        <v>0</v>
      </c>
      <c r="AG1631" s="4">
        <v>0</v>
      </c>
      <c r="AH1631" s="4">
        <v>40</v>
      </c>
      <c r="AI1631" s="4">
        <v>40</v>
      </c>
      <c r="AJ1631" s="4">
        <v>3</v>
      </c>
      <c r="AK1631" s="4">
        <v>3</v>
      </c>
      <c r="AL1631" s="4">
        <v>29</v>
      </c>
      <c r="AM1631" s="4">
        <v>29</v>
      </c>
      <c r="AN1631" s="4">
        <v>0</v>
      </c>
      <c r="AO1631" s="4">
        <v>0</v>
      </c>
      <c r="AP1631" s="4">
        <v>3</v>
      </c>
      <c r="AQ1631" s="4">
        <v>3</v>
      </c>
      <c r="AR1631" s="3" t="s">
        <v>65</v>
      </c>
      <c r="AS1631" s="3" t="s">
        <v>65</v>
      </c>
      <c r="AT1631" s="3" t="s">
        <v>209</v>
      </c>
      <c r="AU1631" s="6" t="str">
        <f>HYPERLINK("http://catalog.hathitrust.org/Record/000248793","HathiTrust Record")</f>
        <v>HathiTrust Record</v>
      </c>
      <c r="AV1631" s="6" t="str">
        <f>HYPERLINK("http://mcgill.on.worldcat.org/oclc/11561385","Catalog Record")</f>
        <v>Catalog Record</v>
      </c>
      <c r="AW1631" s="6" t="str">
        <f>HYPERLINK("http://www.worldcat.org/oclc/11561385","WorldCat Record")</f>
        <v>WorldCat Record</v>
      </c>
      <c r="AX1631" s="3" t="s">
        <v>15962</v>
      </c>
      <c r="AY1631" s="3" t="s">
        <v>15963</v>
      </c>
      <c r="AZ1631" s="3" t="s">
        <v>15964</v>
      </c>
      <c r="BA1631" s="3" t="s">
        <v>15964</v>
      </c>
      <c r="BB1631" s="3" t="s">
        <v>15965</v>
      </c>
      <c r="BC1631" s="3" t="s">
        <v>77</v>
      </c>
      <c r="BD1631" s="3" t="s">
        <v>78</v>
      </c>
      <c r="BE1631" s="3" t="s">
        <v>15966</v>
      </c>
      <c r="BF1631" s="3" t="s">
        <v>15965</v>
      </c>
      <c r="BG1631" s="3" t="s">
        <v>15967</v>
      </c>
    </row>
    <row r="1632" spans="1:59" ht="72.5" x14ac:dyDescent="0.35">
      <c r="A1632" s="2" t="s">
        <v>59</v>
      </c>
      <c r="B1632" s="2" t="s">
        <v>60</v>
      </c>
      <c r="C1632" s="2" t="s">
        <v>15968</v>
      </c>
      <c r="D1632" s="2" t="s">
        <v>15969</v>
      </c>
      <c r="E1632" s="2" t="s">
        <v>15970</v>
      </c>
      <c r="G1632" s="3" t="s">
        <v>65</v>
      </c>
      <c r="I1632" s="3" t="s">
        <v>65</v>
      </c>
      <c r="J1632" s="3" t="s">
        <v>65</v>
      </c>
      <c r="K1632" s="3" t="s">
        <v>66</v>
      </c>
      <c r="L1632" s="2" t="s">
        <v>15971</v>
      </c>
      <c r="M1632" s="2" t="s">
        <v>15972</v>
      </c>
      <c r="N1632" s="3" t="s">
        <v>139</v>
      </c>
      <c r="P1632" s="3" t="s">
        <v>140</v>
      </c>
      <c r="Q1632" s="2" t="s">
        <v>15973</v>
      </c>
      <c r="R1632" s="3" t="s">
        <v>71</v>
      </c>
      <c r="S1632" s="4">
        <v>0</v>
      </c>
      <c r="T1632" s="4">
        <v>0</v>
      </c>
      <c r="W1632" s="5" t="s">
        <v>72</v>
      </c>
      <c r="X1632" s="5" t="s">
        <v>72</v>
      </c>
      <c r="Y1632" s="4">
        <v>49</v>
      </c>
      <c r="Z1632" s="4">
        <v>3</v>
      </c>
      <c r="AA1632" s="4">
        <v>3</v>
      </c>
      <c r="AB1632" s="4">
        <v>1</v>
      </c>
      <c r="AC1632" s="4">
        <v>1</v>
      </c>
      <c r="AD1632" s="4">
        <v>28</v>
      </c>
      <c r="AE1632" s="4">
        <v>28</v>
      </c>
      <c r="AF1632" s="4">
        <v>0</v>
      </c>
      <c r="AG1632" s="4">
        <v>0</v>
      </c>
      <c r="AH1632" s="4">
        <v>27</v>
      </c>
      <c r="AI1632" s="4">
        <v>27</v>
      </c>
      <c r="AJ1632" s="4">
        <v>1</v>
      </c>
      <c r="AK1632" s="4">
        <v>1</v>
      </c>
      <c r="AL1632" s="4">
        <v>22</v>
      </c>
      <c r="AM1632" s="4">
        <v>22</v>
      </c>
      <c r="AN1632" s="4">
        <v>0</v>
      </c>
      <c r="AO1632" s="4">
        <v>0</v>
      </c>
      <c r="AP1632" s="4">
        <v>1</v>
      </c>
      <c r="AQ1632" s="4">
        <v>1</v>
      </c>
      <c r="AR1632" s="3" t="s">
        <v>65</v>
      </c>
      <c r="AS1632" s="3" t="s">
        <v>65</v>
      </c>
      <c r="AT1632" s="3" t="s">
        <v>65</v>
      </c>
      <c r="AV1632" s="6" t="str">
        <f>HYPERLINK("http://mcgill.on.worldcat.org/oclc/820786231","Catalog Record")</f>
        <v>Catalog Record</v>
      </c>
      <c r="AW1632" s="6" t="str">
        <f>HYPERLINK("http://www.worldcat.org/oclc/820786231","WorldCat Record")</f>
        <v>WorldCat Record</v>
      </c>
      <c r="AX1632" s="3" t="s">
        <v>15974</v>
      </c>
      <c r="AY1632" s="3" t="s">
        <v>15975</v>
      </c>
      <c r="AZ1632" s="3" t="s">
        <v>15976</v>
      </c>
      <c r="BA1632" s="3" t="s">
        <v>15976</v>
      </c>
      <c r="BB1632" s="3" t="s">
        <v>15977</v>
      </c>
      <c r="BC1632" s="3" t="s">
        <v>77</v>
      </c>
      <c r="BD1632" s="3" t="s">
        <v>78</v>
      </c>
      <c r="BE1632" s="3" t="s">
        <v>15978</v>
      </c>
      <c r="BF1632" s="3" t="s">
        <v>15977</v>
      </c>
      <c r="BG1632" s="3" t="s">
        <v>15979</v>
      </c>
    </row>
    <row r="1633" spans="1:59" ht="58" x14ac:dyDescent="0.35">
      <c r="A1633" s="2" t="s">
        <v>59</v>
      </c>
      <c r="B1633" s="2" t="s">
        <v>60</v>
      </c>
      <c r="C1633" s="2" t="s">
        <v>15980</v>
      </c>
      <c r="D1633" s="2" t="s">
        <v>15981</v>
      </c>
      <c r="E1633" s="2" t="s">
        <v>15982</v>
      </c>
      <c r="G1633" s="3" t="s">
        <v>65</v>
      </c>
      <c r="I1633" s="3" t="s">
        <v>65</v>
      </c>
      <c r="J1633" s="3" t="s">
        <v>65</v>
      </c>
      <c r="K1633" s="3" t="s">
        <v>66</v>
      </c>
      <c r="M1633" s="2" t="s">
        <v>15983</v>
      </c>
      <c r="N1633" s="3" t="s">
        <v>176</v>
      </c>
      <c r="P1633" s="3" t="s">
        <v>140</v>
      </c>
      <c r="Q1633" s="2" t="s">
        <v>15984</v>
      </c>
      <c r="R1633" s="3" t="s">
        <v>71</v>
      </c>
      <c r="S1633" s="4">
        <v>0</v>
      </c>
      <c r="T1633" s="4">
        <v>0</v>
      </c>
      <c r="W1633" s="5" t="s">
        <v>72</v>
      </c>
      <c r="X1633" s="5" t="s">
        <v>72</v>
      </c>
      <c r="Y1633" s="4">
        <v>45</v>
      </c>
      <c r="Z1633" s="4">
        <v>4</v>
      </c>
      <c r="AA1633" s="4">
        <v>4</v>
      </c>
      <c r="AB1633" s="4">
        <v>1</v>
      </c>
      <c r="AC1633" s="4">
        <v>1</v>
      </c>
      <c r="AD1633" s="4">
        <v>34</v>
      </c>
      <c r="AE1633" s="4">
        <v>34</v>
      </c>
      <c r="AF1633" s="4">
        <v>0</v>
      </c>
      <c r="AG1633" s="4">
        <v>0</v>
      </c>
      <c r="AH1633" s="4">
        <v>33</v>
      </c>
      <c r="AI1633" s="4">
        <v>33</v>
      </c>
      <c r="AJ1633" s="4">
        <v>2</v>
      </c>
      <c r="AK1633" s="4">
        <v>2</v>
      </c>
      <c r="AL1633" s="4">
        <v>25</v>
      </c>
      <c r="AM1633" s="4">
        <v>25</v>
      </c>
      <c r="AN1633" s="4">
        <v>0</v>
      </c>
      <c r="AO1633" s="4">
        <v>0</v>
      </c>
      <c r="AP1633" s="4">
        <v>2</v>
      </c>
      <c r="AQ1633" s="4">
        <v>2</v>
      </c>
      <c r="AR1633" s="3" t="s">
        <v>65</v>
      </c>
      <c r="AS1633" s="3" t="s">
        <v>65</v>
      </c>
      <c r="AT1633" s="3" t="s">
        <v>65</v>
      </c>
      <c r="AV1633" s="6" t="str">
        <f>HYPERLINK("http://mcgill.on.worldcat.org/oclc/914253205","Catalog Record")</f>
        <v>Catalog Record</v>
      </c>
      <c r="AW1633" s="6" t="str">
        <f>HYPERLINK("http://www.worldcat.org/oclc/914253205","WorldCat Record")</f>
        <v>WorldCat Record</v>
      </c>
      <c r="AX1633" s="3" t="s">
        <v>15985</v>
      </c>
      <c r="AY1633" s="3" t="s">
        <v>15986</v>
      </c>
      <c r="AZ1633" s="3" t="s">
        <v>15987</v>
      </c>
      <c r="BA1633" s="3" t="s">
        <v>15987</v>
      </c>
      <c r="BB1633" s="3" t="s">
        <v>15988</v>
      </c>
      <c r="BC1633" s="3" t="s">
        <v>77</v>
      </c>
      <c r="BD1633" s="3" t="s">
        <v>78</v>
      </c>
      <c r="BE1633" s="3" t="s">
        <v>15989</v>
      </c>
      <c r="BF1633" s="3" t="s">
        <v>15988</v>
      </c>
      <c r="BG1633" s="3" t="s">
        <v>15990</v>
      </c>
    </row>
    <row r="1634" spans="1:59" ht="87" x14ac:dyDescent="0.35">
      <c r="A1634" s="2" t="s">
        <v>59</v>
      </c>
      <c r="B1634" s="2" t="s">
        <v>60</v>
      </c>
      <c r="C1634" s="2" t="s">
        <v>15991</v>
      </c>
      <c r="D1634" s="2" t="s">
        <v>15992</v>
      </c>
      <c r="E1634" s="2" t="s">
        <v>15993</v>
      </c>
      <c r="F1634" s="3" t="s">
        <v>245</v>
      </c>
      <c r="G1634" s="3" t="s">
        <v>209</v>
      </c>
      <c r="I1634" s="3" t="s">
        <v>65</v>
      </c>
      <c r="J1634" s="3" t="s">
        <v>65</v>
      </c>
      <c r="K1634" s="3" t="s">
        <v>66</v>
      </c>
      <c r="L1634" s="2" t="s">
        <v>15994</v>
      </c>
      <c r="M1634" s="2" t="s">
        <v>15995</v>
      </c>
      <c r="N1634" s="3" t="s">
        <v>68</v>
      </c>
      <c r="P1634" s="3" t="s">
        <v>140</v>
      </c>
      <c r="Q1634" s="2" t="s">
        <v>6782</v>
      </c>
      <c r="R1634" s="3" t="s">
        <v>71</v>
      </c>
      <c r="S1634" s="4">
        <v>0</v>
      </c>
      <c r="T1634" s="4">
        <v>0</v>
      </c>
      <c r="W1634" s="5" t="s">
        <v>72</v>
      </c>
      <c r="X1634" s="5" t="s">
        <v>72</v>
      </c>
      <c r="Y1634" s="4">
        <v>28</v>
      </c>
      <c r="Z1634" s="4">
        <v>1</v>
      </c>
      <c r="AA1634" s="4">
        <v>1</v>
      </c>
      <c r="AB1634" s="4">
        <v>1</v>
      </c>
      <c r="AC1634" s="4">
        <v>1</v>
      </c>
      <c r="AD1634" s="4">
        <v>11</v>
      </c>
      <c r="AE1634" s="4">
        <v>11</v>
      </c>
      <c r="AF1634" s="4">
        <v>0</v>
      </c>
      <c r="AG1634" s="4">
        <v>0</v>
      </c>
      <c r="AH1634" s="4">
        <v>10</v>
      </c>
      <c r="AI1634" s="4">
        <v>10</v>
      </c>
      <c r="AJ1634" s="4">
        <v>0</v>
      </c>
      <c r="AK1634" s="4">
        <v>0</v>
      </c>
      <c r="AL1634" s="4">
        <v>9</v>
      </c>
      <c r="AM1634" s="4">
        <v>9</v>
      </c>
      <c r="AN1634" s="4">
        <v>0</v>
      </c>
      <c r="AO1634" s="4">
        <v>0</v>
      </c>
      <c r="AP1634" s="4">
        <v>0</v>
      </c>
      <c r="AQ1634" s="4">
        <v>0</v>
      </c>
      <c r="AR1634" s="3" t="s">
        <v>65</v>
      </c>
      <c r="AS1634" s="3" t="s">
        <v>65</v>
      </c>
      <c r="AT1634" s="3" t="s">
        <v>65</v>
      </c>
      <c r="AV1634" s="6" t="str">
        <f>HYPERLINK("http://mcgill.on.worldcat.org/oclc/958844916","Catalog Record")</f>
        <v>Catalog Record</v>
      </c>
      <c r="AW1634" s="6" t="str">
        <f>HYPERLINK("http://www.worldcat.org/oclc/958844916","WorldCat Record")</f>
        <v>WorldCat Record</v>
      </c>
      <c r="AX1634" s="3" t="s">
        <v>15996</v>
      </c>
      <c r="AY1634" s="3" t="s">
        <v>15997</v>
      </c>
      <c r="AZ1634" s="3" t="s">
        <v>15998</v>
      </c>
      <c r="BA1634" s="3" t="s">
        <v>15998</v>
      </c>
      <c r="BB1634" s="3" t="s">
        <v>15999</v>
      </c>
      <c r="BC1634" s="3" t="s">
        <v>77</v>
      </c>
      <c r="BD1634" s="3" t="s">
        <v>78</v>
      </c>
      <c r="BE1634" s="3" t="s">
        <v>16000</v>
      </c>
      <c r="BF1634" s="3" t="s">
        <v>15999</v>
      </c>
      <c r="BG1634" s="3" t="s">
        <v>16001</v>
      </c>
    </row>
    <row r="1635" spans="1:59" ht="87" x14ac:dyDescent="0.35">
      <c r="A1635" s="2" t="s">
        <v>59</v>
      </c>
      <c r="B1635" s="2" t="s">
        <v>60</v>
      </c>
      <c r="C1635" s="2" t="s">
        <v>15991</v>
      </c>
      <c r="D1635" s="2" t="s">
        <v>15992</v>
      </c>
      <c r="E1635" s="2" t="s">
        <v>15993</v>
      </c>
      <c r="F1635" s="3" t="s">
        <v>258</v>
      </c>
      <c r="G1635" s="3" t="s">
        <v>209</v>
      </c>
      <c r="I1635" s="3" t="s">
        <v>65</v>
      </c>
      <c r="J1635" s="3" t="s">
        <v>65</v>
      </c>
      <c r="K1635" s="3" t="s">
        <v>66</v>
      </c>
      <c r="L1635" s="2" t="s">
        <v>15994</v>
      </c>
      <c r="M1635" s="2" t="s">
        <v>15995</v>
      </c>
      <c r="N1635" s="3" t="s">
        <v>68</v>
      </c>
      <c r="P1635" s="3" t="s">
        <v>140</v>
      </c>
      <c r="Q1635" s="2" t="s">
        <v>6782</v>
      </c>
      <c r="R1635" s="3" t="s">
        <v>71</v>
      </c>
      <c r="S1635" s="4">
        <v>0</v>
      </c>
      <c r="T1635" s="4">
        <v>0</v>
      </c>
      <c r="W1635" s="5" t="s">
        <v>72</v>
      </c>
      <c r="X1635" s="5" t="s">
        <v>72</v>
      </c>
      <c r="Y1635" s="4">
        <v>28</v>
      </c>
      <c r="Z1635" s="4">
        <v>1</v>
      </c>
      <c r="AA1635" s="4">
        <v>1</v>
      </c>
      <c r="AB1635" s="4">
        <v>1</v>
      </c>
      <c r="AC1635" s="4">
        <v>1</v>
      </c>
      <c r="AD1635" s="4">
        <v>11</v>
      </c>
      <c r="AE1635" s="4">
        <v>11</v>
      </c>
      <c r="AF1635" s="4">
        <v>0</v>
      </c>
      <c r="AG1635" s="4">
        <v>0</v>
      </c>
      <c r="AH1635" s="4">
        <v>10</v>
      </c>
      <c r="AI1635" s="4">
        <v>10</v>
      </c>
      <c r="AJ1635" s="4">
        <v>0</v>
      </c>
      <c r="AK1635" s="4">
        <v>0</v>
      </c>
      <c r="AL1635" s="4">
        <v>9</v>
      </c>
      <c r="AM1635" s="4">
        <v>9</v>
      </c>
      <c r="AN1635" s="4">
        <v>0</v>
      </c>
      <c r="AO1635" s="4">
        <v>0</v>
      </c>
      <c r="AP1635" s="4">
        <v>0</v>
      </c>
      <c r="AQ1635" s="4">
        <v>0</v>
      </c>
      <c r="AR1635" s="3" t="s">
        <v>65</v>
      </c>
      <c r="AS1635" s="3" t="s">
        <v>65</v>
      </c>
      <c r="AT1635" s="3" t="s">
        <v>65</v>
      </c>
      <c r="AV1635" s="6" t="str">
        <f>HYPERLINK("http://mcgill.on.worldcat.org/oclc/958844916","Catalog Record")</f>
        <v>Catalog Record</v>
      </c>
      <c r="AW1635" s="6" t="str">
        <f>HYPERLINK("http://www.worldcat.org/oclc/958844916","WorldCat Record")</f>
        <v>WorldCat Record</v>
      </c>
      <c r="AX1635" s="3" t="s">
        <v>15996</v>
      </c>
      <c r="AY1635" s="3" t="s">
        <v>15997</v>
      </c>
      <c r="AZ1635" s="3" t="s">
        <v>15998</v>
      </c>
      <c r="BA1635" s="3" t="s">
        <v>15998</v>
      </c>
      <c r="BB1635" s="3" t="s">
        <v>16002</v>
      </c>
      <c r="BC1635" s="3" t="s">
        <v>77</v>
      </c>
      <c r="BD1635" s="3" t="s">
        <v>78</v>
      </c>
      <c r="BE1635" s="3" t="s">
        <v>16000</v>
      </c>
      <c r="BF1635" s="3" t="s">
        <v>16002</v>
      </c>
      <c r="BG1635" s="3" t="s">
        <v>16003</v>
      </c>
    </row>
    <row r="1636" spans="1:59" ht="87" x14ac:dyDescent="0.35">
      <c r="A1636" s="2" t="s">
        <v>59</v>
      </c>
      <c r="B1636" s="2" t="s">
        <v>60</v>
      </c>
      <c r="C1636" s="2" t="s">
        <v>15991</v>
      </c>
      <c r="D1636" s="2" t="s">
        <v>15992</v>
      </c>
      <c r="E1636" s="2" t="s">
        <v>15993</v>
      </c>
      <c r="F1636" s="3" t="s">
        <v>255</v>
      </c>
      <c r="G1636" s="3" t="s">
        <v>209</v>
      </c>
      <c r="I1636" s="3" t="s">
        <v>65</v>
      </c>
      <c r="J1636" s="3" t="s">
        <v>65</v>
      </c>
      <c r="K1636" s="3" t="s">
        <v>66</v>
      </c>
      <c r="L1636" s="2" t="s">
        <v>15994</v>
      </c>
      <c r="M1636" s="2" t="s">
        <v>15995</v>
      </c>
      <c r="N1636" s="3" t="s">
        <v>68</v>
      </c>
      <c r="P1636" s="3" t="s">
        <v>140</v>
      </c>
      <c r="Q1636" s="2" t="s">
        <v>6782</v>
      </c>
      <c r="R1636" s="3" t="s">
        <v>71</v>
      </c>
      <c r="S1636" s="4">
        <v>0</v>
      </c>
      <c r="T1636" s="4">
        <v>0</v>
      </c>
      <c r="W1636" s="5" t="s">
        <v>72</v>
      </c>
      <c r="X1636" s="5" t="s">
        <v>72</v>
      </c>
      <c r="Y1636" s="4">
        <v>28</v>
      </c>
      <c r="Z1636" s="4">
        <v>1</v>
      </c>
      <c r="AA1636" s="4">
        <v>1</v>
      </c>
      <c r="AB1636" s="4">
        <v>1</v>
      </c>
      <c r="AC1636" s="4">
        <v>1</v>
      </c>
      <c r="AD1636" s="4">
        <v>11</v>
      </c>
      <c r="AE1636" s="4">
        <v>11</v>
      </c>
      <c r="AF1636" s="4">
        <v>0</v>
      </c>
      <c r="AG1636" s="4">
        <v>0</v>
      </c>
      <c r="AH1636" s="4">
        <v>10</v>
      </c>
      <c r="AI1636" s="4">
        <v>10</v>
      </c>
      <c r="AJ1636" s="4">
        <v>0</v>
      </c>
      <c r="AK1636" s="4">
        <v>0</v>
      </c>
      <c r="AL1636" s="4">
        <v>9</v>
      </c>
      <c r="AM1636" s="4">
        <v>9</v>
      </c>
      <c r="AN1636" s="4">
        <v>0</v>
      </c>
      <c r="AO1636" s="4">
        <v>0</v>
      </c>
      <c r="AP1636" s="4">
        <v>0</v>
      </c>
      <c r="AQ1636" s="4">
        <v>0</v>
      </c>
      <c r="AR1636" s="3" t="s">
        <v>65</v>
      </c>
      <c r="AS1636" s="3" t="s">
        <v>65</v>
      </c>
      <c r="AT1636" s="3" t="s">
        <v>65</v>
      </c>
      <c r="AV1636" s="6" t="str">
        <f>HYPERLINK("http://mcgill.on.worldcat.org/oclc/958844916","Catalog Record")</f>
        <v>Catalog Record</v>
      </c>
      <c r="AW1636" s="6" t="str">
        <f>HYPERLINK("http://www.worldcat.org/oclc/958844916","WorldCat Record")</f>
        <v>WorldCat Record</v>
      </c>
      <c r="AX1636" s="3" t="s">
        <v>15996</v>
      </c>
      <c r="AY1636" s="3" t="s">
        <v>15997</v>
      </c>
      <c r="AZ1636" s="3" t="s">
        <v>15998</v>
      </c>
      <c r="BA1636" s="3" t="s">
        <v>15998</v>
      </c>
      <c r="BB1636" s="3" t="s">
        <v>16004</v>
      </c>
      <c r="BC1636" s="3" t="s">
        <v>77</v>
      </c>
      <c r="BD1636" s="3" t="s">
        <v>78</v>
      </c>
      <c r="BE1636" s="3" t="s">
        <v>16000</v>
      </c>
      <c r="BF1636" s="3" t="s">
        <v>16004</v>
      </c>
      <c r="BG1636" s="3" t="s">
        <v>16005</v>
      </c>
    </row>
    <row r="1637" spans="1:59" ht="58" x14ac:dyDescent="0.35">
      <c r="A1637" s="2" t="s">
        <v>59</v>
      </c>
      <c r="B1637" s="2" t="s">
        <v>60</v>
      </c>
      <c r="C1637" s="2" t="s">
        <v>16006</v>
      </c>
      <c r="D1637" s="2" t="s">
        <v>16007</v>
      </c>
      <c r="E1637" s="2" t="s">
        <v>16008</v>
      </c>
      <c r="G1637" s="3" t="s">
        <v>65</v>
      </c>
      <c r="I1637" s="3" t="s">
        <v>65</v>
      </c>
      <c r="J1637" s="3" t="s">
        <v>65</v>
      </c>
      <c r="K1637" s="3" t="s">
        <v>66</v>
      </c>
      <c r="L1637" s="2" t="s">
        <v>16009</v>
      </c>
      <c r="M1637" s="2" t="s">
        <v>16010</v>
      </c>
      <c r="N1637" s="3" t="s">
        <v>12751</v>
      </c>
      <c r="P1637" s="3" t="s">
        <v>140</v>
      </c>
      <c r="Q1637" s="2" t="s">
        <v>16011</v>
      </c>
      <c r="R1637" s="3" t="s">
        <v>71</v>
      </c>
      <c r="S1637" s="4">
        <v>1</v>
      </c>
      <c r="T1637" s="4">
        <v>1</v>
      </c>
      <c r="U1637" s="5" t="s">
        <v>13198</v>
      </c>
      <c r="V1637" s="5" t="s">
        <v>13198</v>
      </c>
      <c r="W1637" s="5" t="s">
        <v>72</v>
      </c>
      <c r="X1637" s="5" t="s">
        <v>72</v>
      </c>
      <c r="Y1637" s="4">
        <v>68</v>
      </c>
      <c r="Z1637" s="4">
        <v>4</v>
      </c>
      <c r="AA1637" s="4">
        <v>8</v>
      </c>
      <c r="AB1637" s="4">
        <v>1</v>
      </c>
      <c r="AC1637" s="4">
        <v>2</v>
      </c>
      <c r="AD1637" s="4">
        <v>33</v>
      </c>
      <c r="AE1637" s="4">
        <v>41</v>
      </c>
      <c r="AF1637" s="4">
        <v>0</v>
      </c>
      <c r="AG1637" s="4">
        <v>1</v>
      </c>
      <c r="AH1637" s="4">
        <v>31</v>
      </c>
      <c r="AI1637" s="4">
        <v>37</v>
      </c>
      <c r="AJ1637" s="4">
        <v>3</v>
      </c>
      <c r="AK1637" s="4">
        <v>6</v>
      </c>
      <c r="AL1637" s="4">
        <v>23</v>
      </c>
      <c r="AM1637" s="4">
        <v>25</v>
      </c>
      <c r="AN1637" s="4">
        <v>0</v>
      </c>
      <c r="AO1637" s="4">
        <v>0</v>
      </c>
      <c r="AP1637" s="4">
        <v>3</v>
      </c>
      <c r="AQ1637" s="4">
        <v>5</v>
      </c>
      <c r="AR1637" s="3" t="s">
        <v>65</v>
      </c>
      <c r="AS1637" s="3" t="s">
        <v>65</v>
      </c>
      <c r="AT1637" s="3" t="s">
        <v>209</v>
      </c>
      <c r="AU1637" s="6" t="str">
        <f>HYPERLINK("http://catalog.hathitrust.org/Record/001218855","HathiTrust Record")</f>
        <v>HathiTrust Record</v>
      </c>
      <c r="AV1637" s="6" t="str">
        <f>HYPERLINK("http://mcgill.on.worldcat.org/oclc/5730728","Catalog Record")</f>
        <v>Catalog Record</v>
      </c>
      <c r="AW1637" s="6" t="str">
        <f>HYPERLINK("http://www.worldcat.org/oclc/5730728","WorldCat Record")</f>
        <v>WorldCat Record</v>
      </c>
      <c r="AX1637" s="3" t="s">
        <v>16012</v>
      </c>
      <c r="AY1637" s="3" t="s">
        <v>16013</v>
      </c>
      <c r="AZ1637" s="3" t="s">
        <v>16014</v>
      </c>
      <c r="BA1637" s="3" t="s">
        <v>16014</v>
      </c>
      <c r="BB1637" s="3" t="s">
        <v>16015</v>
      </c>
      <c r="BC1637" s="3" t="s">
        <v>77</v>
      </c>
      <c r="BD1637" s="3" t="s">
        <v>78</v>
      </c>
      <c r="BF1637" s="3" t="s">
        <v>16015</v>
      </c>
      <c r="BG1637" s="3" t="s">
        <v>16016</v>
      </c>
    </row>
    <row r="1638" spans="1:59" ht="58" x14ac:dyDescent="0.35">
      <c r="A1638" s="2" t="s">
        <v>59</v>
      </c>
      <c r="B1638" s="2" t="s">
        <v>60</v>
      </c>
      <c r="C1638" s="2" t="s">
        <v>16017</v>
      </c>
      <c r="D1638" s="2" t="s">
        <v>16018</v>
      </c>
      <c r="E1638" s="2" t="s">
        <v>16019</v>
      </c>
      <c r="G1638" s="3" t="s">
        <v>65</v>
      </c>
      <c r="I1638" s="3" t="s">
        <v>65</v>
      </c>
      <c r="J1638" s="3" t="s">
        <v>65</v>
      </c>
      <c r="K1638" s="3" t="s">
        <v>66</v>
      </c>
      <c r="L1638" s="2" t="s">
        <v>16020</v>
      </c>
      <c r="M1638" s="2" t="s">
        <v>16021</v>
      </c>
      <c r="N1638" s="3" t="s">
        <v>1944</v>
      </c>
      <c r="P1638" s="3" t="s">
        <v>140</v>
      </c>
      <c r="Q1638" s="2" t="s">
        <v>16022</v>
      </c>
      <c r="R1638" s="3" t="s">
        <v>71</v>
      </c>
      <c r="S1638" s="4">
        <v>1</v>
      </c>
      <c r="T1638" s="4">
        <v>1</v>
      </c>
      <c r="U1638" s="5" t="s">
        <v>16023</v>
      </c>
      <c r="V1638" s="5" t="s">
        <v>16023</v>
      </c>
      <c r="W1638" s="5" t="s">
        <v>72</v>
      </c>
      <c r="X1638" s="5" t="s">
        <v>72</v>
      </c>
      <c r="Y1638" s="4">
        <v>71</v>
      </c>
      <c r="Z1638" s="4">
        <v>4</v>
      </c>
      <c r="AA1638" s="4">
        <v>7</v>
      </c>
      <c r="AB1638" s="4">
        <v>1</v>
      </c>
      <c r="AC1638" s="4">
        <v>1</v>
      </c>
      <c r="AD1638" s="4">
        <v>39</v>
      </c>
      <c r="AE1638" s="4">
        <v>45</v>
      </c>
      <c r="AF1638" s="4">
        <v>0</v>
      </c>
      <c r="AG1638" s="4">
        <v>0</v>
      </c>
      <c r="AH1638" s="4">
        <v>38</v>
      </c>
      <c r="AI1638" s="4">
        <v>43</v>
      </c>
      <c r="AJ1638" s="4">
        <v>2</v>
      </c>
      <c r="AK1638" s="4">
        <v>3</v>
      </c>
      <c r="AL1638" s="4">
        <v>30</v>
      </c>
      <c r="AM1638" s="4">
        <v>32</v>
      </c>
      <c r="AN1638" s="4">
        <v>0</v>
      </c>
      <c r="AO1638" s="4">
        <v>0</v>
      </c>
      <c r="AP1638" s="4">
        <v>2</v>
      </c>
      <c r="AQ1638" s="4">
        <v>4</v>
      </c>
      <c r="AR1638" s="3" t="s">
        <v>65</v>
      </c>
      <c r="AS1638" s="3" t="s">
        <v>65</v>
      </c>
      <c r="AT1638" s="3" t="s">
        <v>209</v>
      </c>
      <c r="AU1638" s="6" t="str">
        <f>HYPERLINK("http://catalog.hathitrust.org/Record/004116465","HathiTrust Record")</f>
        <v>HathiTrust Record</v>
      </c>
      <c r="AV1638" s="6" t="str">
        <f>HYPERLINK("http://mcgill.on.worldcat.org/oclc/51304061","Catalog Record")</f>
        <v>Catalog Record</v>
      </c>
      <c r="AW1638" s="6" t="str">
        <f>HYPERLINK("http://www.worldcat.org/oclc/51304061","WorldCat Record")</f>
        <v>WorldCat Record</v>
      </c>
      <c r="AX1638" s="3" t="s">
        <v>16024</v>
      </c>
      <c r="AY1638" s="3" t="s">
        <v>16025</v>
      </c>
      <c r="AZ1638" s="3" t="s">
        <v>16026</v>
      </c>
      <c r="BA1638" s="3" t="s">
        <v>16026</v>
      </c>
      <c r="BB1638" s="3" t="s">
        <v>16027</v>
      </c>
      <c r="BC1638" s="3" t="s">
        <v>77</v>
      </c>
      <c r="BD1638" s="3" t="s">
        <v>78</v>
      </c>
      <c r="BE1638" s="3" t="s">
        <v>16028</v>
      </c>
      <c r="BF1638" s="3" t="s">
        <v>16027</v>
      </c>
      <c r="BG1638" s="3" t="s">
        <v>16029</v>
      </c>
    </row>
    <row r="1639" spans="1:59" ht="72.5" x14ac:dyDescent="0.35">
      <c r="A1639" s="2" t="s">
        <v>59</v>
      </c>
      <c r="B1639" s="2" t="s">
        <v>5411</v>
      </c>
      <c r="C1639" s="2" t="s">
        <v>16030</v>
      </c>
      <c r="D1639" s="2" t="s">
        <v>16031</v>
      </c>
      <c r="E1639" s="2" t="s">
        <v>16032</v>
      </c>
      <c r="G1639" s="3" t="s">
        <v>65</v>
      </c>
      <c r="I1639" s="3" t="s">
        <v>65</v>
      </c>
      <c r="J1639" s="3" t="s">
        <v>209</v>
      </c>
      <c r="K1639" s="3" t="s">
        <v>66</v>
      </c>
      <c r="L1639" s="2" t="s">
        <v>16033</v>
      </c>
      <c r="M1639" s="2" t="s">
        <v>16034</v>
      </c>
      <c r="N1639" s="3" t="s">
        <v>3385</v>
      </c>
      <c r="P1639" s="3" t="s">
        <v>69</v>
      </c>
      <c r="R1639" s="3" t="s">
        <v>71</v>
      </c>
      <c r="S1639" s="4">
        <v>47</v>
      </c>
      <c r="T1639" s="4">
        <v>47</v>
      </c>
      <c r="U1639" s="5" t="s">
        <v>3200</v>
      </c>
      <c r="V1639" s="5" t="s">
        <v>3200</v>
      </c>
      <c r="W1639" s="5" t="s">
        <v>72</v>
      </c>
      <c r="X1639" s="5" t="s">
        <v>72</v>
      </c>
      <c r="Y1639" s="4">
        <v>375</v>
      </c>
      <c r="Z1639" s="4">
        <v>7</v>
      </c>
      <c r="AA1639" s="4">
        <v>49</v>
      </c>
      <c r="AB1639" s="4">
        <v>2</v>
      </c>
      <c r="AC1639" s="4">
        <v>5</v>
      </c>
      <c r="AD1639" s="4">
        <v>74</v>
      </c>
      <c r="AE1639" s="4">
        <v>140</v>
      </c>
      <c r="AF1639" s="4">
        <v>0</v>
      </c>
      <c r="AG1639" s="4">
        <v>3</v>
      </c>
      <c r="AH1639" s="4">
        <v>71</v>
      </c>
      <c r="AI1639" s="4">
        <v>113</v>
      </c>
      <c r="AJ1639" s="4">
        <v>4</v>
      </c>
      <c r="AK1639" s="4">
        <v>21</v>
      </c>
      <c r="AL1639" s="4">
        <v>42</v>
      </c>
      <c r="AM1639" s="4">
        <v>62</v>
      </c>
      <c r="AN1639" s="4">
        <v>0</v>
      </c>
      <c r="AO1639" s="4">
        <v>2</v>
      </c>
      <c r="AP1639" s="4">
        <v>5</v>
      </c>
      <c r="AQ1639" s="4">
        <v>34</v>
      </c>
      <c r="AR1639" s="3" t="s">
        <v>65</v>
      </c>
      <c r="AS1639" s="3" t="s">
        <v>65</v>
      </c>
      <c r="AT1639" s="3" t="s">
        <v>65</v>
      </c>
      <c r="AV1639" s="6" t="str">
        <f>HYPERLINK("http://mcgill.on.worldcat.org/oclc/46633906","Catalog Record")</f>
        <v>Catalog Record</v>
      </c>
      <c r="AW1639" s="6" t="str">
        <f>HYPERLINK("http://www.worldcat.org/oclc/46633906","WorldCat Record")</f>
        <v>WorldCat Record</v>
      </c>
      <c r="AX1639" s="3" t="s">
        <v>16035</v>
      </c>
      <c r="AY1639" s="3" t="s">
        <v>16036</v>
      </c>
      <c r="AZ1639" s="3" t="s">
        <v>16037</v>
      </c>
      <c r="BA1639" s="3" t="s">
        <v>16037</v>
      </c>
      <c r="BB1639" s="3" t="s">
        <v>16038</v>
      </c>
      <c r="BC1639" s="3" t="s">
        <v>77</v>
      </c>
      <c r="BD1639" s="3" t="s">
        <v>106</v>
      </c>
      <c r="BE1639" s="3" t="s">
        <v>16039</v>
      </c>
      <c r="BF1639" s="3" t="s">
        <v>16038</v>
      </c>
      <c r="BG1639" s="3" t="s">
        <v>16040</v>
      </c>
    </row>
    <row r="1640" spans="1:59" ht="72.5" x14ac:dyDescent="0.35">
      <c r="A1640" s="2" t="s">
        <v>59</v>
      </c>
      <c r="B1640" s="2" t="s">
        <v>5411</v>
      </c>
      <c r="C1640" s="2" t="s">
        <v>16041</v>
      </c>
      <c r="D1640" s="2" t="s">
        <v>16042</v>
      </c>
      <c r="E1640" s="2" t="s">
        <v>16043</v>
      </c>
      <c r="G1640" s="3" t="s">
        <v>65</v>
      </c>
      <c r="I1640" s="3" t="s">
        <v>65</v>
      </c>
      <c r="J1640" s="3" t="s">
        <v>209</v>
      </c>
      <c r="K1640" s="3" t="s">
        <v>66</v>
      </c>
      <c r="L1640" s="2" t="s">
        <v>16033</v>
      </c>
      <c r="M1640" s="2" t="s">
        <v>16044</v>
      </c>
      <c r="N1640" s="3" t="s">
        <v>1151</v>
      </c>
      <c r="P1640" s="3" t="s">
        <v>69</v>
      </c>
      <c r="Q1640" s="2" t="s">
        <v>16045</v>
      </c>
      <c r="R1640" s="3" t="s">
        <v>71</v>
      </c>
      <c r="S1640" s="4">
        <v>60</v>
      </c>
      <c r="T1640" s="4">
        <v>60</v>
      </c>
      <c r="U1640" s="5" t="s">
        <v>5107</v>
      </c>
      <c r="V1640" s="5" t="s">
        <v>5107</v>
      </c>
      <c r="W1640" s="5" t="s">
        <v>72</v>
      </c>
      <c r="X1640" s="5" t="s">
        <v>72</v>
      </c>
      <c r="Y1640" s="4">
        <v>137</v>
      </c>
      <c r="Z1640" s="4">
        <v>9</v>
      </c>
      <c r="AA1640" s="4">
        <v>49</v>
      </c>
      <c r="AB1640" s="4">
        <v>2</v>
      </c>
      <c r="AC1640" s="4">
        <v>5</v>
      </c>
      <c r="AD1640" s="4">
        <v>58</v>
      </c>
      <c r="AE1640" s="4">
        <v>140</v>
      </c>
      <c r="AF1640" s="4">
        <v>1</v>
      </c>
      <c r="AG1640" s="4">
        <v>3</v>
      </c>
      <c r="AH1640" s="4">
        <v>56</v>
      </c>
      <c r="AI1640" s="4">
        <v>113</v>
      </c>
      <c r="AJ1640" s="4">
        <v>6</v>
      </c>
      <c r="AK1640" s="4">
        <v>21</v>
      </c>
      <c r="AL1640" s="4">
        <v>29</v>
      </c>
      <c r="AM1640" s="4">
        <v>62</v>
      </c>
      <c r="AN1640" s="4">
        <v>0</v>
      </c>
      <c r="AO1640" s="4">
        <v>2</v>
      </c>
      <c r="AP1640" s="4">
        <v>7</v>
      </c>
      <c r="AQ1640" s="4">
        <v>34</v>
      </c>
      <c r="AR1640" s="3" t="s">
        <v>65</v>
      </c>
      <c r="AS1640" s="3" t="s">
        <v>65</v>
      </c>
      <c r="AT1640" s="3" t="s">
        <v>209</v>
      </c>
      <c r="AU1640" s="6" t="str">
        <f>HYPERLINK("http://catalog.hathitrust.org/Record/007579459","HathiTrust Record")</f>
        <v>HathiTrust Record</v>
      </c>
      <c r="AV1640" s="6" t="str">
        <f>HYPERLINK("http://mcgill.on.worldcat.org/oclc/2120997","Catalog Record")</f>
        <v>Catalog Record</v>
      </c>
      <c r="AW1640" s="6" t="str">
        <f>HYPERLINK("http://www.worldcat.org/oclc/2120997","WorldCat Record")</f>
        <v>WorldCat Record</v>
      </c>
      <c r="AX1640" s="3" t="s">
        <v>16035</v>
      </c>
      <c r="AY1640" s="3" t="s">
        <v>16046</v>
      </c>
      <c r="AZ1640" s="3" t="s">
        <v>16047</v>
      </c>
      <c r="BA1640" s="3" t="s">
        <v>16047</v>
      </c>
      <c r="BB1640" s="3" t="s">
        <v>16048</v>
      </c>
      <c r="BC1640" s="3" t="s">
        <v>77</v>
      </c>
      <c r="BD1640" s="3" t="s">
        <v>78</v>
      </c>
      <c r="BE1640" s="3" t="s">
        <v>16049</v>
      </c>
      <c r="BF1640" s="3" t="s">
        <v>16048</v>
      </c>
      <c r="BG1640" s="3" t="s">
        <v>16050</v>
      </c>
    </row>
    <row r="1641" spans="1:59" ht="72.5" x14ac:dyDescent="0.35">
      <c r="A1641" s="2" t="s">
        <v>59</v>
      </c>
      <c r="B1641" s="2" t="s">
        <v>60</v>
      </c>
      <c r="C1641" s="2" t="s">
        <v>16051</v>
      </c>
      <c r="D1641" s="2" t="s">
        <v>16052</v>
      </c>
      <c r="E1641" s="2" t="s">
        <v>16053</v>
      </c>
      <c r="G1641" s="3" t="s">
        <v>65</v>
      </c>
      <c r="I1641" s="3" t="s">
        <v>65</v>
      </c>
      <c r="J1641" s="3" t="s">
        <v>209</v>
      </c>
      <c r="K1641" s="3" t="s">
        <v>66</v>
      </c>
      <c r="L1641" s="2" t="s">
        <v>16033</v>
      </c>
      <c r="M1641" s="2" t="s">
        <v>16054</v>
      </c>
      <c r="N1641" s="3" t="s">
        <v>1967</v>
      </c>
      <c r="P1641" s="3" t="s">
        <v>69</v>
      </c>
      <c r="R1641" s="3" t="s">
        <v>71</v>
      </c>
      <c r="S1641" s="4">
        <v>4</v>
      </c>
      <c r="T1641" s="4">
        <v>4</v>
      </c>
      <c r="U1641" s="5" t="s">
        <v>16055</v>
      </c>
      <c r="V1641" s="5" t="s">
        <v>16055</v>
      </c>
      <c r="W1641" s="5" t="s">
        <v>72</v>
      </c>
      <c r="X1641" s="5" t="s">
        <v>72</v>
      </c>
      <c r="Y1641" s="4">
        <v>38</v>
      </c>
      <c r="Z1641" s="4">
        <v>4</v>
      </c>
      <c r="AA1641" s="4">
        <v>49</v>
      </c>
      <c r="AB1641" s="4">
        <v>1</v>
      </c>
      <c r="AC1641" s="4">
        <v>5</v>
      </c>
      <c r="AD1641" s="4">
        <v>5</v>
      </c>
      <c r="AE1641" s="4">
        <v>140</v>
      </c>
      <c r="AF1641" s="4">
        <v>0</v>
      </c>
      <c r="AG1641" s="4">
        <v>3</v>
      </c>
      <c r="AH1641" s="4">
        <v>4</v>
      </c>
      <c r="AI1641" s="4">
        <v>113</v>
      </c>
      <c r="AJ1641" s="4">
        <v>2</v>
      </c>
      <c r="AK1641" s="4">
        <v>21</v>
      </c>
      <c r="AL1641" s="4">
        <v>2</v>
      </c>
      <c r="AM1641" s="4">
        <v>62</v>
      </c>
      <c r="AN1641" s="4">
        <v>0</v>
      </c>
      <c r="AO1641" s="4">
        <v>2</v>
      </c>
      <c r="AP1641" s="4">
        <v>2</v>
      </c>
      <c r="AQ1641" s="4">
        <v>34</v>
      </c>
      <c r="AR1641" s="3" t="s">
        <v>65</v>
      </c>
      <c r="AS1641" s="3" t="s">
        <v>65</v>
      </c>
      <c r="AT1641" s="3" t="s">
        <v>65</v>
      </c>
      <c r="AV1641" s="6" t="str">
        <f>HYPERLINK("http://mcgill.on.worldcat.org/oclc/56440229","Catalog Record")</f>
        <v>Catalog Record</v>
      </c>
      <c r="AW1641" s="6" t="str">
        <f>HYPERLINK("http://www.worldcat.org/oclc/56440229","WorldCat Record")</f>
        <v>WorldCat Record</v>
      </c>
      <c r="AX1641" s="3" t="s">
        <v>16035</v>
      </c>
      <c r="AY1641" s="3" t="s">
        <v>16056</v>
      </c>
      <c r="AZ1641" s="3" t="s">
        <v>16057</v>
      </c>
      <c r="BA1641" s="3" t="s">
        <v>16057</v>
      </c>
      <c r="BB1641" s="3" t="s">
        <v>16058</v>
      </c>
      <c r="BC1641" s="3" t="s">
        <v>77</v>
      </c>
      <c r="BD1641" s="3" t="s">
        <v>106</v>
      </c>
      <c r="BE1641" s="3" t="s">
        <v>16059</v>
      </c>
      <c r="BF1641" s="3" t="s">
        <v>16058</v>
      </c>
      <c r="BG1641" s="3" t="s">
        <v>16060</v>
      </c>
    </row>
    <row r="1642" spans="1:59" ht="58" x14ac:dyDescent="0.35">
      <c r="A1642" s="2" t="s">
        <v>59</v>
      </c>
      <c r="B1642" s="2" t="s">
        <v>60</v>
      </c>
      <c r="C1642" s="2" t="s">
        <v>16061</v>
      </c>
      <c r="D1642" s="2" t="s">
        <v>16062</v>
      </c>
      <c r="E1642" s="2" t="s">
        <v>16063</v>
      </c>
      <c r="F1642" s="3" t="s">
        <v>490</v>
      </c>
      <c r="G1642" s="3" t="s">
        <v>209</v>
      </c>
      <c r="I1642" s="3" t="s">
        <v>65</v>
      </c>
      <c r="J1642" s="3" t="s">
        <v>209</v>
      </c>
      <c r="K1642" s="3" t="s">
        <v>66</v>
      </c>
      <c r="L1642" s="2" t="s">
        <v>16033</v>
      </c>
      <c r="M1642" s="2" t="s">
        <v>16064</v>
      </c>
      <c r="N1642" s="3" t="s">
        <v>1835</v>
      </c>
      <c r="P1642" s="3" t="s">
        <v>616</v>
      </c>
      <c r="R1642" s="3" t="s">
        <v>71</v>
      </c>
      <c r="S1642" s="4">
        <v>37</v>
      </c>
      <c r="T1642" s="4">
        <v>72</v>
      </c>
      <c r="U1642" s="5" t="s">
        <v>16065</v>
      </c>
      <c r="V1642" s="5" t="s">
        <v>16065</v>
      </c>
      <c r="W1642" s="5" t="s">
        <v>72</v>
      </c>
      <c r="X1642" s="5" t="s">
        <v>72</v>
      </c>
      <c r="Y1642" s="4">
        <v>2</v>
      </c>
      <c r="Z1642" s="4">
        <v>2</v>
      </c>
      <c r="AA1642" s="4">
        <v>20</v>
      </c>
      <c r="AB1642" s="4">
        <v>1</v>
      </c>
      <c r="AC1642" s="4">
        <v>6</v>
      </c>
      <c r="AD1642" s="4">
        <v>1</v>
      </c>
      <c r="AE1642" s="4">
        <v>62</v>
      </c>
      <c r="AF1642" s="4">
        <v>0</v>
      </c>
      <c r="AG1642" s="4">
        <v>3</v>
      </c>
      <c r="AH1642" s="4">
        <v>1</v>
      </c>
      <c r="AI1642" s="4">
        <v>52</v>
      </c>
      <c r="AJ1642" s="4">
        <v>1</v>
      </c>
      <c r="AK1642" s="4">
        <v>13</v>
      </c>
      <c r="AL1642" s="4">
        <v>0</v>
      </c>
      <c r="AM1642" s="4">
        <v>37</v>
      </c>
      <c r="AN1642" s="4">
        <v>0</v>
      </c>
      <c r="AO1642" s="4">
        <v>0</v>
      </c>
      <c r="AP1642" s="4">
        <v>1</v>
      </c>
      <c r="AQ1642" s="4">
        <v>15</v>
      </c>
      <c r="AR1642" s="3" t="s">
        <v>65</v>
      </c>
      <c r="AS1642" s="3" t="s">
        <v>65</v>
      </c>
      <c r="AT1642" s="3" t="s">
        <v>65</v>
      </c>
      <c r="AU1642" s="6" t="str">
        <f>HYPERLINK("http://catalog.hathitrust.org/Record/100880039","HathiTrust Record")</f>
        <v>HathiTrust Record</v>
      </c>
      <c r="AV1642" s="6" t="str">
        <f>HYPERLINK("http://mcgill.on.worldcat.org/oclc/427170298","Catalog Record")</f>
        <v>Catalog Record</v>
      </c>
      <c r="AW1642" s="6" t="str">
        <f>HYPERLINK("http://www.worldcat.org/oclc/427170298","WorldCat Record")</f>
        <v>WorldCat Record</v>
      </c>
      <c r="AX1642" s="3" t="s">
        <v>16066</v>
      </c>
      <c r="AY1642" s="3" t="s">
        <v>16067</v>
      </c>
      <c r="AZ1642" s="3" t="s">
        <v>16068</v>
      </c>
      <c r="BA1642" s="3" t="s">
        <v>16068</v>
      </c>
      <c r="BB1642" s="3" t="s">
        <v>16069</v>
      </c>
      <c r="BC1642" s="3" t="s">
        <v>77</v>
      </c>
      <c r="BD1642" s="3" t="s">
        <v>106</v>
      </c>
      <c r="BE1642" s="3" t="s">
        <v>16070</v>
      </c>
      <c r="BF1642" s="3" t="s">
        <v>16069</v>
      </c>
      <c r="BG1642" s="3" t="s">
        <v>16071</v>
      </c>
    </row>
    <row r="1643" spans="1:59" ht="58" x14ac:dyDescent="0.35">
      <c r="A1643" s="2" t="s">
        <v>59</v>
      </c>
      <c r="B1643" s="2" t="s">
        <v>60</v>
      </c>
      <c r="C1643" s="2" t="s">
        <v>16061</v>
      </c>
      <c r="D1643" s="2" t="s">
        <v>16062</v>
      </c>
      <c r="E1643" s="2" t="s">
        <v>16063</v>
      </c>
      <c r="F1643" s="3" t="s">
        <v>503</v>
      </c>
      <c r="G1643" s="3" t="s">
        <v>209</v>
      </c>
      <c r="I1643" s="3" t="s">
        <v>65</v>
      </c>
      <c r="J1643" s="3" t="s">
        <v>209</v>
      </c>
      <c r="K1643" s="3" t="s">
        <v>66</v>
      </c>
      <c r="L1643" s="2" t="s">
        <v>16033</v>
      </c>
      <c r="M1643" s="2" t="s">
        <v>16064</v>
      </c>
      <c r="N1643" s="3" t="s">
        <v>1835</v>
      </c>
      <c r="P1643" s="3" t="s">
        <v>616</v>
      </c>
      <c r="R1643" s="3" t="s">
        <v>71</v>
      </c>
      <c r="S1643" s="4">
        <v>35</v>
      </c>
      <c r="T1643" s="4">
        <v>72</v>
      </c>
      <c r="U1643" s="5" t="s">
        <v>16065</v>
      </c>
      <c r="V1643" s="5" t="s">
        <v>16065</v>
      </c>
      <c r="W1643" s="5" t="s">
        <v>72</v>
      </c>
      <c r="X1643" s="5" t="s">
        <v>72</v>
      </c>
      <c r="Y1643" s="4">
        <v>2</v>
      </c>
      <c r="Z1643" s="4">
        <v>2</v>
      </c>
      <c r="AA1643" s="4">
        <v>20</v>
      </c>
      <c r="AB1643" s="4">
        <v>1</v>
      </c>
      <c r="AC1643" s="4">
        <v>6</v>
      </c>
      <c r="AD1643" s="4">
        <v>1</v>
      </c>
      <c r="AE1643" s="4">
        <v>62</v>
      </c>
      <c r="AF1643" s="4">
        <v>0</v>
      </c>
      <c r="AG1643" s="4">
        <v>3</v>
      </c>
      <c r="AH1643" s="4">
        <v>1</v>
      </c>
      <c r="AI1643" s="4">
        <v>52</v>
      </c>
      <c r="AJ1643" s="4">
        <v>1</v>
      </c>
      <c r="AK1643" s="4">
        <v>13</v>
      </c>
      <c r="AL1643" s="4">
        <v>0</v>
      </c>
      <c r="AM1643" s="4">
        <v>37</v>
      </c>
      <c r="AN1643" s="4">
        <v>0</v>
      </c>
      <c r="AO1643" s="4">
        <v>0</v>
      </c>
      <c r="AP1643" s="4">
        <v>1</v>
      </c>
      <c r="AQ1643" s="4">
        <v>15</v>
      </c>
      <c r="AR1643" s="3" t="s">
        <v>65</v>
      </c>
      <c r="AS1643" s="3" t="s">
        <v>65</v>
      </c>
      <c r="AT1643" s="3" t="s">
        <v>65</v>
      </c>
      <c r="AU1643" s="6" t="str">
        <f>HYPERLINK("http://catalog.hathitrust.org/Record/100880039","HathiTrust Record")</f>
        <v>HathiTrust Record</v>
      </c>
      <c r="AV1643" s="6" t="str">
        <f>HYPERLINK("http://mcgill.on.worldcat.org/oclc/427170298","Catalog Record")</f>
        <v>Catalog Record</v>
      </c>
      <c r="AW1643" s="6" t="str">
        <f>HYPERLINK("http://www.worldcat.org/oclc/427170298","WorldCat Record")</f>
        <v>WorldCat Record</v>
      </c>
      <c r="AX1643" s="3" t="s">
        <v>16066</v>
      </c>
      <c r="AY1643" s="3" t="s">
        <v>16067</v>
      </c>
      <c r="AZ1643" s="3" t="s">
        <v>16068</v>
      </c>
      <c r="BA1643" s="3" t="s">
        <v>16068</v>
      </c>
      <c r="BB1643" s="3" t="s">
        <v>16072</v>
      </c>
      <c r="BC1643" s="3" t="s">
        <v>77</v>
      </c>
      <c r="BD1643" s="3" t="s">
        <v>106</v>
      </c>
      <c r="BE1643" s="3" t="s">
        <v>16070</v>
      </c>
      <c r="BF1643" s="3" t="s">
        <v>16072</v>
      </c>
      <c r="BG1643" s="3" t="s">
        <v>16073</v>
      </c>
    </row>
    <row r="1644" spans="1:59" ht="58" x14ac:dyDescent="0.35">
      <c r="A1644" s="2" t="s">
        <v>59</v>
      </c>
      <c r="B1644" s="2" t="s">
        <v>60</v>
      </c>
      <c r="C1644" s="2" t="s">
        <v>16074</v>
      </c>
      <c r="D1644" s="2" t="s">
        <v>16075</v>
      </c>
      <c r="E1644" s="2" t="s">
        <v>16076</v>
      </c>
      <c r="G1644" s="3" t="s">
        <v>65</v>
      </c>
      <c r="I1644" s="3" t="s">
        <v>65</v>
      </c>
      <c r="J1644" s="3" t="s">
        <v>65</v>
      </c>
      <c r="K1644" s="3" t="s">
        <v>66</v>
      </c>
      <c r="L1644" s="2" t="s">
        <v>16077</v>
      </c>
      <c r="M1644" s="2" t="s">
        <v>16078</v>
      </c>
      <c r="N1644" s="3" t="s">
        <v>139</v>
      </c>
      <c r="P1644" s="3" t="s">
        <v>140</v>
      </c>
      <c r="R1644" s="3" t="s">
        <v>71</v>
      </c>
      <c r="S1644" s="4">
        <v>4</v>
      </c>
      <c r="T1644" s="4">
        <v>4</v>
      </c>
      <c r="U1644" s="5" t="s">
        <v>16079</v>
      </c>
      <c r="V1644" s="5" t="s">
        <v>16079</v>
      </c>
      <c r="W1644" s="5" t="s">
        <v>72</v>
      </c>
      <c r="X1644" s="5" t="s">
        <v>72</v>
      </c>
      <c r="Y1644" s="4">
        <v>33</v>
      </c>
      <c r="Z1644" s="4">
        <v>4</v>
      </c>
      <c r="AA1644" s="4">
        <v>4</v>
      </c>
      <c r="AB1644" s="4">
        <v>2</v>
      </c>
      <c r="AC1644" s="4">
        <v>2</v>
      </c>
      <c r="AD1644" s="4">
        <v>15</v>
      </c>
      <c r="AE1644" s="4">
        <v>15</v>
      </c>
      <c r="AF1644" s="4">
        <v>0</v>
      </c>
      <c r="AG1644" s="4">
        <v>0</v>
      </c>
      <c r="AH1644" s="4">
        <v>14</v>
      </c>
      <c r="AI1644" s="4">
        <v>14</v>
      </c>
      <c r="AJ1644" s="4">
        <v>1</v>
      </c>
      <c r="AK1644" s="4">
        <v>1</v>
      </c>
      <c r="AL1644" s="4">
        <v>13</v>
      </c>
      <c r="AM1644" s="4">
        <v>13</v>
      </c>
      <c r="AN1644" s="4">
        <v>0</v>
      </c>
      <c r="AO1644" s="4">
        <v>0</v>
      </c>
      <c r="AP1644" s="4">
        <v>1</v>
      </c>
      <c r="AQ1644" s="4">
        <v>1</v>
      </c>
      <c r="AR1644" s="3" t="s">
        <v>65</v>
      </c>
      <c r="AS1644" s="3" t="s">
        <v>65</v>
      </c>
      <c r="AT1644" s="3" t="s">
        <v>65</v>
      </c>
      <c r="AV1644" s="6" t="str">
        <f>HYPERLINK("http://mcgill.on.worldcat.org/oclc/828409877","Catalog Record")</f>
        <v>Catalog Record</v>
      </c>
      <c r="AW1644" s="6" t="str">
        <f>HYPERLINK("http://www.worldcat.org/oclc/828409877","WorldCat Record")</f>
        <v>WorldCat Record</v>
      </c>
      <c r="AX1644" s="3" t="s">
        <v>16080</v>
      </c>
      <c r="AY1644" s="3" t="s">
        <v>16081</v>
      </c>
      <c r="AZ1644" s="3" t="s">
        <v>16082</v>
      </c>
      <c r="BA1644" s="3" t="s">
        <v>16082</v>
      </c>
      <c r="BB1644" s="3" t="s">
        <v>16083</v>
      </c>
      <c r="BC1644" s="3" t="s">
        <v>77</v>
      </c>
      <c r="BD1644" s="3" t="s">
        <v>78</v>
      </c>
      <c r="BE1644" s="3" t="s">
        <v>16084</v>
      </c>
      <c r="BF1644" s="3" t="s">
        <v>16083</v>
      </c>
      <c r="BG1644" s="3" t="s">
        <v>16085</v>
      </c>
    </row>
    <row r="1645" spans="1:59" ht="58" x14ac:dyDescent="0.35">
      <c r="A1645" s="2" t="s">
        <v>59</v>
      </c>
      <c r="B1645" s="2" t="s">
        <v>60</v>
      </c>
      <c r="C1645" s="2" t="s">
        <v>16086</v>
      </c>
      <c r="D1645" s="2" t="s">
        <v>16087</v>
      </c>
      <c r="E1645" s="2" t="s">
        <v>16088</v>
      </c>
      <c r="G1645" s="3" t="s">
        <v>65</v>
      </c>
      <c r="I1645" s="3" t="s">
        <v>65</v>
      </c>
      <c r="J1645" s="3" t="s">
        <v>65</v>
      </c>
      <c r="K1645" s="3" t="s">
        <v>66</v>
      </c>
      <c r="L1645" s="2" t="s">
        <v>16089</v>
      </c>
      <c r="M1645" s="2" t="s">
        <v>16090</v>
      </c>
      <c r="N1645" s="3" t="s">
        <v>99</v>
      </c>
      <c r="P1645" s="3" t="s">
        <v>69</v>
      </c>
      <c r="R1645" s="3" t="s">
        <v>71</v>
      </c>
      <c r="S1645" s="4">
        <v>2</v>
      </c>
      <c r="T1645" s="4">
        <v>2</v>
      </c>
      <c r="U1645" s="5" t="s">
        <v>16079</v>
      </c>
      <c r="V1645" s="5" t="s">
        <v>16079</v>
      </c>
      <c r="W1645" s="5" t="s">
        <v>72</v>
      </c>
      <c r="X1645" s="5" t="s">
        <v>72</v>
      </c>
      <c r="Y1645" s="4">
        <v>13</v>
      </c>
      <c r="Z1645" s="4">
        <v>5</v>
      </c>
      <c r="AA1645" s="4">
        <v>5</v>
      </c>
      <c r="AB1645" s="4">
        <v>2</v>
      </c>
      <c r="AC1645" s="4">
        <v>2</v>
      </c>
      <c r="AD1645" s="4">
        <v>4</v>
      </c>
      <c r="AE1645" s="4">
        <v>4</v>
      </c>
      <c r="AF1645" s="4">
        <v>0</v>
      </c>
      <c r="AG1645" s="4">
        <v>0</v>
      </c>
      <c r="AH1645" s="4">
        <v>2</v>
      </c>
      <c r="AI1645" s="4">
        <v>2</v>
      </c>
      <c r="AJ1645" s="4">
        <v>2</v>
      </c>
      <c r="AK1645" s="4">
        <v>2</v>
      </c>
      <c r="AL1645" s="4">
        <v>3</v>
      </c>
      <c r="AM1645" s="4">
        <v>3</v>
      </c>
      <c r="AN1645" s="4">
        <v>0</v>
      </c>
      <c r="AO1645" s="4">
        <v>0</v>
      </c>
      <c r="AP1645" s="4">
        <v>1</v>
      </c>
      <c r="AQ1645" s="4">
        <v>1</v>
      </c>
      <c r="AR1645" s="3" t="s">
        <v>209</v>
      </c>
      <c r="AS1645" s="3" t="s">
        <v>65</v>
      </c>
      <c r="AT1645" s="3" t="s">
        <v>65</v>
      </c>
      <c r="AV1645" s="6" t="str">
        <f>HYPERLINK("http://mcgill.on.worldcat.org/oclc/82771710","Catalog Record")</f>
        <v>Catalog Record</v>
      </c>
      <c r="AW1645" s="6" t="str">
        <f>HYPERLINK("http://www.worldcat.org/oclc/82771710","WorldCat Record")</f>
        <v>WorldCat Record</v>
      </c>
      <c r="AX1645" s="3" t="s">
        <v>16091</v>
      </c>
      <c r="AY1645" s="3" t="s">
        <v>16092</v>
      </c>
      <c r="AZ1645" s="3" t="s">
        <v>16093</v>
      </c>
      <c r="BA1645" s="3" t="s">
        <v>16093</v>
      </c>
      <c r="BB1645" s="3" t="s">
        <v>16094</v>
      </c>
      <c r="BC1645" s="3" t="s">
        <v>77</v>
      </c>
      <c r="BD1645" s="3" t="s">
        <v>78</v>
      </c>
      <c r="BE1645" s="3" t="s">
        <v>16095</v>
      </c>
      <c r="BF1645" s="3" t="s">
        <v>16094</v>
      </c>
      <c r="BG1645" s="3" t="s">
        <v>16096</v>
      </c>
    </row>
    <row r="1646" spans="1:59" ht="58" x14ac:dyDescent="0.35">
      <c r="A1646" s="2" t="s">
        <v>59</v>
      </c>
      <c r="B1646" s="2" t="s">
        <v>60</v>
      </c>
      <c r="C1646" s="2" t="s">
        <v>16097</v>
      </c>
      <c r="D1646" s="2" t="s">
        <v>16098</v>
      </c>
      <c r="E1646" s="2" t="s">
        <v>16099</v>
      </c>
      <c r="G1646" s="3" t="s">
        <v>65</v>
      </c>
      <c r="I1646" s="3" t="s">
        <v>65</v>
      </c>
      <c r="J1646" s="3" t="s">
        <v>209</v>
      </c>
      <c r="K1646" s="3" t="s">
        <v>66</v>
      </c>
      <c r="L1646" s="2" t="s">
        <v>16100</v>
      </c>
      <c r="M1646" s="2" t="s">
        <v>16101</v>
      </c>
      <c r="N1646" s="3" t="s">
        <v>5961</v>
      </c>
      <c r="O1646" s="2" t="s">
        <v>16102</v>
      </c>
      <c r="P1646" s="3" t="s">
        <v>616</v>
      </c>
      <c r="R1646" s="3" t="s">
        <v>71</v>
      </c>
      <c r="S1646" s="4">
        <v>15</v>
      </c>
      <c r="T1646" s="4">
        <v>15</v>
      </c>
      <c r="U1646" s="5" t="s">
        <v>16103</v>
      </c>
      <c r="V1646" s="5" t="s">
        <v>16103</v>
      </c>
      <c r="W1646" s="5" t="s">
        <v>72</v>
      </c>
      <c r="X1646" s="5" t="s">
        <v>72</v>
      </c>
      <c r="Y1646" s="4">
        <v>45</v>
      </c>
      <c r="Z1646" s="4">
        <v>8</v>
      </c>
      <c r="AA1646" s="4">
        <v>16</v>
      </c>
      <c r="AB1646" s="4">
        <v>2</v>
      </c>
      <c r="AC1646" s="4">
        <v>5</v>
      </c>
      <c r="AD1646" s="4">
        <v>12</v>
      </c>
      <c r="AE1646" s="4">
        <v>39</v>
      </c>
      <c r="AF1646" s="4">
        <v>0</v>
      </c>
      <c r="AG1646" s="4">
        <v>2</v>
      </c>
      <c r="AH1646" s="4">
        <v>11</v>
      </c>
      <c r="AI1646" s="4">
        <v>34</v>
      </c>
      <c r="AJ1646" s="4">
        <v>4</v>
      </c>
      <c r="AK1646" s="4">
        <v>10</v>
      </c>
      <c r="AL1646" s="4">
        <v>8</v>
      </c>
      <c r="AM1646" s="4">
        <v>23</v>
      </c>
      <c r="AN1646" s="4">
        <v>4</v>
      </c>
      <c r="AO1646" s="4">
        <v>5</v>
      </c>
      <c r="AP1646" s="4">
        <v>4</v>
      </c>
      <c r="AQ1646" s="4">
        <v>9</v>
      </c>
      <c r="AR1646" s="3" t="s">
        <v>65</v>
      </c>
      <c r="AS1646" s="3" t="s">
        <v>65</v>
      </c>
      <c r="AT1646" s="3" t="s">
        <v>209</v>
      </c>
      <c r="AU1646" s="6" t="str">
        <f>HYPERLINK("http://catalog.hathitrust.org/Record/101911121","HathiTrust Record")</f>
        <v>HathiTrust Record</v>
      </c>
      <c r="AV1646" s="6" t="str">
        <f>HYPERLINK("http://mcgill.on.worldcat.org/oclc/19857555","Catalog Record")</f>
        <v>Catalog Record</v>
      </c>
      <c r="AW1646" s="6" t="str">
        <f>HYPERLINK("http://www.worldcat.org/oclc/19857555","WorldCat Record")</f>
        <v>WorldCat Record</v>
      </c>
      <c r="AX1646" s="3" t="s">
        <v>16104</v>
      </c>
      <c r="AY1646" s="3" t="s">
        <v>16105</v>
      </c>
      <c r="AZ1646" s="3" t="s">
        <v>16106</v>
      </c>
      <c r="BA1646" s="3" t="s">
        <v>16106</v>
      </c>
      <c r="BB1646" s="3" t="s">
        <v>16107</v>
      </c>
      <c r="BC1646" s="3" t="s">
        <v>77</v>
      </c>
      <c r="BD1646" s="3" t="s">
        <v>78</v>
      </c>
      <c r="BE1646" s="3" t="s">
        <v>16108</v>
      </c>
      <c r="BF1646" s="3" t="s">
        <v>16107</v>
      </c>
      <c r="BG1646" s="3" t="s">
        <v>16109</v>
      </c>
    </row>
    <row r="1647" spans="1:59" ht="72.5" x14ac:dyDescent="0.35">
      <c r="A1647" s="2" t="s">
        <v>59</v>
      </c>
      <c r="B1647" s="2" t="s">
        <v>5411</v>
      </c>
      <c r="C1647" s="2" t="s">
        <v>16110</v>
      </c>
      <c r="D1647" s="2" t="s">
        <v>16111</v>
      </c>
      <c r="E1647" s="2" t="s">
        <v>16112</v>
      </c>
      <c r="G1647" s="3" t="s">
        <v>65</v>
      </c>
      <c r="I1647" s="3" t="s">
        <v>209</v>
      </c>
      <c r="J1647" s="3" t="s">
        <v>65</v>
      </c>
      <c r="K1647" s="3" t="s">
        <v>66</v>
      </c>
      <c r="L1647" s="2" t="s">
        <v>16113</v>
      </c>
      <c r="M1647" s="2" t="s">
        <v>16114</v>
      </c>
      <c r="N1647" s="3" t="s">
        <v>1196</v>
      </c>
      <c r="O1647" s="2" t="s">
        <v>16115</v>
      </c>
      <c r="P1647" s="3" t="s">
        <v>69</v>
      </c>
      <c r="R1647" s="3" t="s">
        <v>71</v>
      </c>
      <c r="S1647" s="4">
        <v>2</v>
      </c>
      <c r="T1647" s="4">
        <v>2</v>
      </c>
      <c r="U1647" s="5" t="s">
        <v>16079</v>
      </c>
      <c r="V1647" s="5" t="s">
        <v>16079</v>
      </c>
      <c r="W1647" s="5" t="s">
        <v>72</v>
      </c>
      <c r="X1647" s="5" t="s">
        <v>72</v>
      </c>
      <c r="Y1647" s="4">
        <v>38</v>
      </c>
      <c r="Z1647" s="4">
        <v>2</v>
      </c>
      <c r="AA1647" s="4">
        <v>27</v>
      </c>
      <c r="AB1647" s="4">
        <v>1</v>
      </c>
      <c r="AC1647" s="4">
        <v>5</v>
      </c>
      <c r="AD1647" s="4">
        <v>0</v>
      </c>
      <c r="AE1647" s="4">
        <v>118</v>
      </c>
      <c r="AF1647" s="4">
        <v>0</v>
      </c>
      <c r="AG1647" s="4">
        <v>3</v>
      </c>
      <c r="AH1647" s="4">
        <v>0</v>
      </c>
      <c r="AI1647" s="4">
        <v>108</v>
      </c>
      <c r="AJ1647" s="4">
        <v>0</v>
      </c>
      <c r="AK1647" s="4">
        <v>15</v>
      </c>
      <c r="AL1647" s="4">
        <v>0</v>
      </c>
      <c r="AM1647" s="4">
        <v>58</v>
      </c>
      <c r="AN1647" s="4">
        <v>0</v>
      </c>
      <c r="AO1647" s="4">
        <v>0</v>
      </c>
      <c r="AP1647" s="4">
        <v>0</v>
      </c>
      <c r="AQ1647" s="4">
        <v>17</v>
      </c>
      <c r="AR1647" s="3" t="s">
        <v>65</v>
      </c>
      <c r="AS1647" s="3" t="s">
        <v>65</v>
      </c>
      <c r="AT1647" s="3" t="s">
        <v>65</v>
      </c>
      <c r="AV1647" s="6" t="str">
        <f>HYPERLINK("http://mcgill.on.worldcat.org/oclc/988621699","Catalog Record")</f>
        <v>Catalog Record</v>
      </c>
      <c r="AW1647" s="6" t="str">
        <f>HYPERLINK("http://www.worldcat.org/oclc/988621699","WorldCat Record")</f>
        <v>WorldCat Record</v>
      </c>
      <c r="AX1647" s="3" t="s">
        <v>16116</v>
      </c>
      <c r="AY1647" s="3" t="s">
        <v>16117</v>
      </c>
      <c r="AZ1647" s="3" t="s">
        <v>16118</v>
      </c>
      <c r="BA1647" s="3" t="s">
        <v>16118</v>
      </c>
      <c r="BB1647" s="3" t="s">
        <v>16119</v>
      </c>
      <c r="BC1647" s="3" t="s">
        <v>77</v>
      </c>
      <c r="BD1647" s="3" t="s">
        <v>78</v>
      </c>
      <c r="BE1647" s="3" t="s">
        <v>16120</v>
      </c>
      <c r="BF1647" s="3" t="s">
        <v>16119</v>
      </c>
      <c r="BG1647" s="3" t="s">
        <v>16121</v>
      </c>
    </row>
    <row r="1648" spans="1:59" ht="72.5" x14ac:dyDescent="0.35">
      <c r="A1648" s="2" t="s">
        <v>59</v>
      </c>
      <c r="B1648" s="2" t="s">
        <v>5411</v>
      </c>
      <c r="C1648" s="2" t="s">
        <v>16110</v>
      </c>
      <c r="D1648" s="2" t="s">
        <v>16111</v>
      </c>
      <c r="E1648" s="2" t="s">
        <v>16112</v>
      </c>
      <c r="G1648" s="3" t="s">
        <v>65</v>
      </c>
      <c r="I1648" s="3" t="s">
        <v>209</v>
      </c>
      <c r="J1648" s="3" t="s">
        <v>65</v>
      </c>
      <c r="K1648" s="3" t="s">
        <v>66</v>
      </c>
      <c r="L1648" s="2" t="s">
        <v>16113</v>
      </c>
      <c r="M1648" s="2" t="s">
        <v>16114</v>
      </c>
      <c r="N1648" s="3" t="s">
        <v>1196</v>
      </c>
      <c r="O1648" s="2" t="s">
        <v>16115</v>
      </c>
      <c r="P1648" s="3" t="s">
        <v>69</v>
      </c>
      <c r="R1648" s="3" t="s">
        <v>71</v>
      </c>
      <c r="S1648" s="4">
        <v>0</v>
      </c>
      <c r="T1648" s="4">
        <v>2</v>
      </c>
      <c r="V1648" s="5" t="s">
        <v>16079</v>
      </c>
      <c r="W1648" s="5" t="s">
        <v>72</v>
      </c>
      <c r="X1648" s="5" t="s">
        <v>72</v>
      </c>
      <c r="Y1648" s="4">
        <v>38</v>
      </c>
      <c r="Z1648" s="4">
        <v>2</v>
      </c>
      <c r="AA1648" s="4">
        <v>27</v>
      </c>
      <c r="AB1648" s="4">
        <v>1</v>
      </c>
      <c r="AC1648" s="4">
        <v>5</v>
      </c>
      <c r="AD1648" s="4">
        <v>0</v>
      </c>
      <c r="AE1648" s="4">
        <v>118</v>
      </c>
      <c r="AF1648" s="4">
        <v>0</v>
      </c>
      <c r="AG1648" s="4">
        <v>3</v>
      </c>
      <c r="AH1648" s="4">
        <v>0</v>
      </c>
      <c r="AI1648" s="4">
        <v>108</v>
      </c>
      <c r="AJ1648" s="4">
        <v>0</v>
      </c>
      <c r="AK1648" s="4">
        <v>15</v>
      </c>
      <c r="AL1648" s="4">
        <v>0</v>
      </c>
      <c r="AM1648" s="4">
        <v>58</v>
      </c>
      <c r="AN1648" s="4">
        <v>0</v>
      </c>
      <c r="AO1648" s="4">
        <v>0</v>
      </c>
      <c r="AP1648" s="4">
        <v>0</v>
      </c>
      <c r="AQ1648" s="4">
        <v>17</v>
      </c>
      <c r="AR1648" s="3" t="s">
        <v>65</v>
      </c>
      <c r="AS1648" s="3" t="s">
        <v>65</v>
      </c>
      <c r="AT1648" s="3" t="s">
        <v>65</v>
      </c>
      <c r="AV1648" s="6" t="str">
        <f>HYPERLINK("http://mcgill.on.worldcat.org/oclc/988621699","Catalog Record")</f>
        <v>Catalog Record</v>
      </c>
      <c r="AW1648" s="6" t="str">
        <f>HYPERLINK("http://www.worldcat.org/oclc/988621699","WorldCat Record")</f>
        <v>WorldCat Record</v>
      </c>
      <c r="AX1648" s="3" t="s">
        <v>16116</v>
      </c>
      <c r="AY1648" s="3" t="s">
        <v>16117</v>
      </c>
      <c r="AZ1648" s="3" t="s">
        <v>16118</v>
      </c>
      <c r="BA1648" s="3" t="s">
        <v>16118</v>
      </c>
      <c r="BB1648" s="3" t="s">
        <v>16122</v>
      </c>
      <c r="BC1648" s="3" t="s">
        <v>77</v>
      </c>
      <c r="BD1648" s="3" t="s">
        <v>78</v>
      </c>
      <c r="BE1648" s="3" t="s">
        <v>16120</v>
      </c>
      <c r="BF1648" s="3" t="s">
        <v>16122</v>
      </c>
      <c r="BG1648" s="3" t="s">
        <v>16123</v>
      </c>
    </row>
    <row r="1649" spans="1:59" ht="72.5" x14ac:dyDescent="0.35">
      <c r="A1649" s="2" t="s">
        <v>59</v>
      </c>
      <c r="B1649" s="2" t="s">
        <v>5411</v>
      </c>
      <c r="C1649" s="2" t="s">
        <v>16124</v>
      </c>
      <c r="D1649" s="2" t="s">
        <v>16125</v>
      </c>
      <c r="E1649" s="2" t="s">
        <v>16126</v>
      </c>
      <c r="G1649" s="3" t="s">
        <v>65</v>
      </c>
      <c r="I1649" s="3" t="s">
        <v>209</v>
      </c>
      <c r="J1649" s="3" t="s">
        <v>209</v>
      </c>
      <c r="K1649" s="3" t="s">
        <v>66</v>
      </c>
      <c r="L1649" s="2" t="s">
        <v>16033</v>
      </c>
      <c r="M1649" s="2" t="s">
        <v>16127</v>
      </c>
      <c r="N1649" s="3" t="s">
        <v>756</v>
      </c>
      <c r="P1649" s="3" t="s">
        <v>140</v>
      </c>
      <c r="R1649" s="3" t="s">
        <v>71</v>
      </c>
      <c r="S1649" s="4">
        <v>33</v>
      </c>
      <c r="T1649" s="4">
        <v>39</v>
      </c>
      <c r="U1649" s="5" t="s">
        <v>3200</v>
      </c>
      <c r="V1649" s="5" t="s">
        <v>579</v>
      </c>
      <c r="W1649" s="5" t="s">
        <v>72</v>
      </c>
      <c r="X1649" s="5" t="s">
        <v>72</v>
      </c>
      <c r="Y1649" s="4">
        <v>59</v>
      </c>
      <c r="Z1649" s="4">
        <v>2</v>
      </c>
      <c r="AA1649" s="4">
        <v>17</v>
      </c>
      <c r="AB1649" s="4">
        <v>1</v>
      </c>
      <c r="AC1649" s="4">
        <v>3</v>
      </c>
      <c r="AD1649" s="4">
        <v>24</v>
      </c>
      <c r="AE1649" s="4">
        <v>92</v>
      </c>
      <c r="AF1649" s="4">
        <v>0</v>
      </c>
      <c r="AG1649" s="4">
        <v>1</v>
      </c>
      <c r="AH1649" s="4">
        <v>21</v>
      </c>
      <c r="AI1649" s="4">
        <v>84</v>
      </c>
      <c r="AJ1649" s="4">
        <v>1</v>
      </c>
      <c r="AK1649" s="4">
        <v>12</v>
      </c>
      <c r="AL1649" s="4">
        <v>18</v>
      </c>
      <c r="AM1649" s="4">
        <v>54</v>
      </c>
      <c r="AN1649" s="4">
        <v>0</v>
      </c>
      <c r="AO1649" s="4">
        <v>0</v>
      </c>
      <c r="AP1649" s="4">
        <v>1</v>
      </c>
      <c r="AQ1649" s="4">
        <v>12</v>
      </c>
      <c r="AR1649" s="3" t="s">
        <v>65</v>
      </c>
      <c r="AS1649" s="3" t="s">
        <v>65</v>
      </c>
      <c r="AT1649" s="3" t="s">
        <v>65</v>
      </c>
      <c r="AV1649" s="6" t="str">
        <f>HYPERLINK("http://mcgill.on.worldcat.org/oclc/101153","Catalog Record")</f>
        <v>Catalog Record</v>
      </c>
      <c r="AW1649" s="6" t="str">
        <f>HYPERLINK("http://www.worldcat.org/oclc/101153","WorldCat Record")</f>
        <v>WorldCat Record</v>
      </c>
      <c r="AX1649" s="3" t="s">
        <v>16128</v>
      </c>
      <c r="AY1649" s="3" t="s">
        <v>16129</v>
      </c>
      <c r="AZ1649" s="3" t="s">
        <v>16130</v>
      </c>
      <c r="BA1649" s="3" t="s">
        <v>16130</v>
      </c>
      <c r="BB1649" s="3" t="s">
        <v>16131</v>
      </c>
      <c r="BC1649" s="3" t="s">
        <v>77</v>
      </c>
      <c r="BD1649" s="3" t="s">
        <v>78</v>
      </c>
      <c r="BE1649" s="3" t="s">
        <v>16132</v>
      </c>
      <c r="BF1649" s="3" t="s">
        <v>16131</v>
      </c>
      <c r="BG1649" s="3" t="s">
        <v>16133</v>
      </c>
    </row>
    <row r="1650" spans="1:59" ht="203" x14ac:dyDescent="0.35">
      <c r="A1650" s="2" t="s">
        <v>59</v>
      </c>
      <c r="B1650" s="2" t="s">
        <v>60</v>
      </c>
      <c r="C1650" s="2" t="s">
        <v>16134</v>
      </c>
      <c r="D1650" s="2" t="s">
        <v>16135</v>
      </c>
      <c r="E1650" s="2" t="s">
        <v>16136</v>
      </c>
      <c r="F1650" s="3" t="s">
        <v>503</v>
      </c>
      <c r="G1650" s="3" t="s">
        <v>209</v>
      </c>
      <c r="I1650" s="3" t="s">
        <v>65</v>
      </c>
      <c r="J1650" s="3" t="s">
        <v>209</v>
      </c>
      <c r="K1650" s="3" t="s">
        <v>66</v>
      </c>
      <c r="L1650" s="2" t="s">
        <v>16033</v>
      </c>
      <c r="M1650" s="2" t="s">
        <v>16137</v>
      </c>
      <c r="N1650" s="3" t="s">
        <v>955</v>
      </c>
      <c r="O1650" s="2" t="s">
        <v>16138</v>
      </c>
      <c r="P1650" s="3" t="s">
        <v>140</v>
      </c>
      <c r="Q1650" s="2" t="s">
        <v>16139</v>
      </c>
      <c r="R1650" s="3" t="s">
        <v>71</v>
      </c>
      <c r="S1650" s="4">
        <v>8</v>
      </c>
      <c r="T1650" s="4">
        <v>22</v>
      </c>
      <c r="U1650" s="5" t="s">
        <v>16140</v>
      </c>
      <c r="V1650" s="5" t="s">
        <v>16079</v>
      </c>
      <c r="W1650" s="5" t="s">
        <v>72</v>
      </c>
      <c r="X1650" s="5" t="s">
        <v>72</v>
      </c>
      <c r="Y1650" s="4">
        <v>84</v>
      </c>
      <c r="Z1650" s="4">
        <v>7</v>
      </c>
      <c r="AA1650" s="4">
        <v>17</v>
      </c>
      <c r="AB1650" s="4">
        <v>2</v>
      </c>
      <c r="AC1650" s="4">
        <v>3</v>
      </c>
      <c r="AD1650" s="4">
        <v>45</v>
      </c>
      <c r="AE1650" s="4">
        <v>92</v>
      </c>
      <c r="AF1650" s="4">
        <v>0</v>
      </c>
      <c r="AG1650" s="4">
        <v>1</v>
      </c>
      <c r="AH1650" s="4">
        <v>42</v>
      </c>
      <c r="AI1650" s="4">
        <v>84</v>
      </c>
      <c r="AJ1650" s="4">
        <v>3</v>
      </c>
      <c r="AK1650" s="4">
        <v>12</v>
      </c>
      <c r="AL1650" s="4">
        <v>33</v>
      </c>
      <c r="AM1650" s="4">
        <v>54</v>
      </c>
      <c r="AN1650" s="4">
        <v>0</v>
      </c>
      <c r="AO1650" s="4">
        <v>0</v>
      </c>
      <c r="AP1650" s="4">
        <v>3</v>
      </c>
      <c r="AQ1650" s="4">
        <v>12</v>
      </c>
      <c r="AR1650" s="3" t="s">
        <v>65</v>
      </c>
      <c r="AS1650" s="3" t="s">
        <v>65</v>
      </c>
      <c r="AT1650" s="3" t="s">
        <v>209</v>
      </c>
      <c r="AU1650" s="6" t="str">
        <f>HYPERLINK("http://catalog.hathitrust.org/Record/000722277","HathiTrust Record")</f>
        <v>HathiTrust Record</v>
      </c>
      <c r="AV1650" s="6" t="str">
        <f>HYPERLINK("http://mcgill.on.worldcat.org/oclc/7006723","Catalog Record")</f>
        <v>Catalog Record</v>
      </c>
      <c r="AW1650" s="6" t="str">
        <f>HYPERLINK("http://www.worldcat.org/oclc/7006723","WorldCat Record")</f>
        <v>WorldCat Record</v>
      </c>
      <c r="AX1650" s="3" t="s">
        <v>16128</v>
      </c>
      <c r="AY1650" s="3" t="s">
        <v>16141</v>
      </c>
      <c r="AZ1650" s="3" t="s">
        <v>16142</v>
      </c>
      <c r="BA1650" s="3" t="s">
        <v>16142</v>
      </c>
      <c r="BB1650" s="3" t="s">
        <v>16143</v>
      </c>
      <c r="BC1650" s="3" t="s">
        <v>77</v>
      </c>
      <c r="BD1650" s="3" t="s">
        <v>78</v>
      </c>
      <c r="BF1650" s="3" t="s">
        <v>16143</v>
      </c>
      <c r="BG1650" s="3" t="s">
        <v>16144</v>
      </c>
    </row>
    <row r="1651" spans="1:59" ht="203" x14ac:dyDescent="0.35">
      <c r="A1651" s="2" t="s">
        <v>59</v>
      </c>
      <c r="B1651" s="2" t="s">
        <v>60</v>
      </c>
      <c r="C1651" s="2" t="s">
        <v>16134</v>
      </c>
      <c r="D1651" s="2" t="s">
        <v>16135</v>
      </c>
      <c r="E1651" s="2" t="s">
        <v>16136</v>
      </c>
      <c r="F1651" s="3" t="s">
        <v>490</v>
      </c>
      <c r="G1651" s="3" t="s">
        <v>209</v>
      </c>
      <c r="I1651" s="3" t="s">
        <v>65</v>
      </c>
      <c r="J1651" s="3" t="s">
        <v>209</v>
      </c>
      <c r="K1651" s="3" t="s">
        <v>66</v>
      </c>
      <c r="L1651" s="2" t="s">
        <v>16033</v>
      </c>
      <c r="M1651" s="2" t="s">
        <v>16137</v>
      </c>
      <c r="N1651" s="3" t="s">
        <v>955</v>
      </c>
      <c r="O1651" s="2" t="s">
        <v>16138</v>
      </c>
      <c r="P1651" s="3" t="s">
        <v>140</v>
      </c>
      <c r="Q1651" s="2" t="s">
        <v>16139</v>
      </c>
      <c r="R1651" s="3" t="s">
        <v>71</v>
      </c>
      <c r="S1651" s="4">
        <v>14</v>
      </c>
      <c r="T1651" s="4">
        <v>22</v>
      </c>
      <c r="U1651" s="5" t="s">
        <v>16079</v>
      </c>
      <c r="V1651" s="5" t="s">
        <v>16079</v>
      </c>
      <c r="W1651" s="5" t="s">
        <v>72</v>
      </c>
      <c r="X1651" s="5" t="s">
        <v>72</v>
      </c>
      <c r="Y1651" s="4">
        <v>84</v>
      </c>
      <c r="Z1651" s="4">
        <v>7</v>
      </c>
      <c r="AA1651" s="4">
        <v>17</v>
      </c>
      <c r="AB1651" s="4">
        <v>2</v>
      </c>
      <c r="AC1651" s="4">
        <v>3</v>
      </c>
      <c r="AD1651" s="4">
        <v>45</v>
      </c>
      <c r="AE1651" s="4">
        <v>92</v>
      </c>
      <c r="AF1651" s="4">
        <v>0</v>
      </c>
      <c r="AG1651" s="4">
        <v>1</v>
      </c>
      <c r="AH1651" s="4">
        <v>42</v>
      </c>
      <c r="AI1651" s="4">
        <v>84</v>
      </c>
      <c r="AJ1651" s="4">
        <v>3</v>
      </c>
      <c r="AK1651" s="4">
        <v>12</v>
      </c>
      <c r="AL1651" s="4">
        <v>33</v>
      </c>
      <c r="AM1651" s="4">
        <v>54</v>
      </c>
      <c r="AN1651" s="4">
        <v>0</v>
      </c>
      <c r="AO1651" s="4">
        <v>0</v>
      </c>
      <c r="AP1651" s="4">
        <v>3</v>
      </c>
      <c r="AQ1651" s="4">
        <v>12</v>
      </c>
      <c r="AR1651" s="3" t="s">
        <v>65</v>
      </c>
      <c r="AS1651" s="3" t="s">
        <v>65</v>
      </c>
      <c r="AT1651" s="3" t="s">
        <v>209</v>
      </c>
      <c r="AU1651" s="6" t="str">
        <f>HYPERLINK("http://catalog.hathitrust.org/Record/000722277","HathiTrust Record")</f>
        <v>HathiTrust Record</v>
      </c>
      <c r="AV1651" s="6" t="str">
        <f>HYPERLINK("http://mcgill.on.worldcat.org/oclc/7006723","Catalog Record")</f>
        <v>Catalog Record</v>
      </c>
      <c r="AW1651" s="6" t="str">
        <f>HYPERLINK("http://www.worldcat.org/oclc/7006723","WorldCat Record")</f>
        <v>WorldCat Record</v>
      </c>
      <c r="AX1651" s="3" t="s">
        <v>16128</v>
      </c>
      <c r="AY1651" s="3" t="s">
        <v>16141</v>
      </c>
      <c r="AZ1651" s="3" t="s">
        <v>16142</v>
      </c>
      <c r="BA1651" s="3" t="s">
        <v>16142</v>
      </c>
      <c r="BB1651" s="3" t="s">
        <v>16145</v>
      </c>
      <c r="BC1651" s="3" t="s">
        <v>77</v>
      </c>
      <c r="BD1651" s="3" t="s">
        <v>78</v>
      </c>
      <c r="BF1651" s="3" t="s">
        <v>16145</v>
      </c>
      <c r="BG1651" s="3" t="s">
        <v>16146</v>
      </c>
    </row>
    <row r="1652" spans="1:59" ht="58" x14ac:dyDescent="0.35">
      <c r="A1652" s="2" t="s">
        <v>59</v>
      </c>
      <c r="B1652" s="2" t="s">
        <v>60</v>
      </c>
      <c r="C1652" s="2" t="s">
        <v>16147</v>
      </c>
      <c r="D1652" s="2" t="s">
        <v>16148</v>
      </c>
      <c r="E1652" s="2" t="s">
        <v>16149</v>
      </c>
      <c r="F1652" s="3" t="s">
        <v>10617</v>
      </c>
      <c r="G1652" s="3" t="s">
        <v>209</v>
      </c>
      <c r="I1652" s="3" t="s">
        <v>65</v>
      </c>
      <c r="J1652" s="3" t="s">
        <v>209</v>
      </c>
      <c r="K1652" s="3" t="s">
        <v>66</v>
      </c>
      <c r="L1652" s="2" t="s">
        <v>16033</v>
      </c>
      <c r="M1652" s="2" t="s">
        <v>16150</v>
      </c>
      <c r="N1652" s="3" t="s">
        <v>1895</v>
      </c>
      <c r="P1652" s="3" t="s">
        <v>140</v>
      </c>
      <c r="Q1652" s="2" t="s">
        <v>16151</v>
      </c>
      <c r="R1652" s="3" t="s">
        <v>71</v>
      </c>
      <c r="S1652" s="4">
        <v>7</v>
      </c>
      <c r="T1652" s="4">
        <v>19</v>
      </c>
      <c r="U1652" s="5" t="s">
        <v>16152</v>
      </c>
      <c r="V1652" s="5" t="s">
        <v>16079</v>
      </c>
      <c r="W1652" s="5" t="s">
        <v>72</v>
      </c>
      <c r="X1652" s="5" t="s">
        <v>72</v>
      </c>
      <c r="Y1652" s="4">
        <v>86</v>
      </c>
      <c r="Z1652" s="4">
        <v>6</v>
      </c>
      <c r="AA1652" s="4">
        <v>17</v>
      </c>
      <c r="AB1652" s="4">
        <v>2</v>
      </c>
      <c r="AC1652" s="4">
        <v>3</v>
      </c>
      <c r="AD1652" s="4">
        <v>38</v>
      </c>
      <c r="AE1652" s="4">
        <v>92</v>
      </c>
      <c r="AF1652" s="4">
        <v>0</v>
      </c>
      <c r="AG1652" s="4">
        <v>1</v>
      </c>
      <c r="AH1652" s="4">
        <v>37</v>
      </c>
      <c r="AI1652" s="4">
        <v>84</v>
      </c>
      <c r="AJ1652" s="4">
        <v>3</v>
      </c>
      <c r="AK1652" s="4">
        <v>12</v>
      </c>
      <c r="AL1652" s="4">
        <v>24</v>
      </c>
      <c r="AM1652" s="4">
        <v>54</v>
      </c>
      <c r="AN1652" s="4">
        <v>0</v>
      </c>
      <c r="AO1652" s="4">
        <v>0</v>
      </c>
      <c r="AP1652" s="4">
        <v>3</v>
      </c>
      <c r="AQ1652" s="4">
        <v>12</v>
      </c>
      <c r="AR1652" s="3" t="s">
        <v>65</v>
      </c>
      <c r="AS1652" s="3" t="s">
        <v>65</v>
      </c>
      <c r="AT1652" s="3" t="s">
        <v>209</v>
      </c>
      <c r="AU1652" s="6" t="str">
        <f>HYPERLINK("http://catalog.hathitrust.org/Record/004022088","HathiTrust Record")</f>
        <v>HathiTrust Record</v>
      </c>
      <c r="AV1652" s="6" t="str">
        <f>HYPERLINK("http://mcgill.on.worldcat.org/oclc/40816490","Catalog Record")</f>
        <v>Catalog Record</v>
      </c>
      <c r="AW1652" s="6" t="str">
        <f>HYPERLINK("http://www.worldcat.org/oclc/40816490","WorldCat Record")</f>
        <v>WorldCat Record</v>
      </c>
      <c r="AX1652" s="3" t="s">
        <v>16128</v>
      </c>
      <c r="AY1652" s="3" t="s">
        <v>16153</v>
      </c>
      <c r="AZ1652" s="3" t="s">
        <v>16154</v>
      </c>
      <c r="BA1652" s="3" t="s">
        <v>16154</v>
      </c>
      <c r="BB1652" s="3" t="s">
        <v>16155</v>
      </c>
      <c r="BC1652" s="3" t="s">
        <v>77</v>
      </c>
      <c r="BD1652" s="3" t="s">
        <v>78</v>
      </c>
      <c r="BE1652" s="3" t="s">
        <v>16156</v>
      </c>
      <c r="BF1652" s="3" t="s">
        <v>16155</v>
      </c>
      <c r="BG1652" s="3" t="s">
        <v>16157</v>
      </c>
    </row>
    <row r="1653" spans="1:59" ht="58" x14ac:dyDescent="0.35">
      <c r="A1653" s="2" t="s">
        <v>59</v>
      </c>
      <c r="B1653" s="2" t="s">
        <v>60</v>
      </c>
      <c r="C1653" s="2" t="s">
        <v>16147</v>
      </c>
      <c r="D1653" s="2" t="s">
        <v>16148</v>
      </c>
      <c r="E1653" s="2" t="s">
        <v>16149</v>
      </c>
      <c r="F1653" s="3" t="s">
        <v>10601</v>
      </c>
      <c r="G1653" s="3" t="s">
        <v>209</v>
      </c>
      <c r="I1653" s="3" t="s">
        <v>65</v>
      </c>
      <c r="J1653" s="3" t="s">
        <v>209</v>
      </c>
      <c r="K1653" s="3" t="s">
        <v>66</v>
      </c>
      <c r="L1653" s="2" t="s">
        <v>16033</v>
      </c>
      <c r="M1653" s="2" t="s">
        <v>16150</v>
      </c>
      <c r="N1653" s="3" t="s">
        <v>1895</v>
      </c>
      <c r="P1653" s="3" t="s">
        <v>140</v>
      </c>
      <c r="Q1653" s="2" t="s">
        <v>16151</v>
      </c>
      <c r="R1653" s="3" t="s">
        <v>71</v>
      </c>
      <c r="S1653" s="4">
        <v>12</v>
      </c>
      <c r="T1653" s="4">
        <v>19</v>
      </c>
      <c r="U1653" s="5" t="s">
        <v>16079</v>
      </c>
      <c r="V1653" s="5" t="s">
        <v>16079</v>
      </c>
      <c r="W1653" s="5" t="s">
        <v>72</v>
      </c>
      <c r="X1653" s="5" t="s">
        <v>72</v>
      </c>
      <c r="Y1653" s="4">
        <v>86</v>
      </c>
      <c r="Z1653" s="4">
        <v>6</v>
      </c>
      <c r="AA1653" s="4">
        <v>17</v>
      </c>
      <c r="AB1653" s="4">
        <v>2</v>
      </c>
      <c r="AC1653" s="4">
        <v>3</v>
      </c>
      <c r="AD1653" s="4">
        <v>38</v>
      </c>
      <c r="AE1653" s="4">
        <v>92</v>
      </c>
      <c r="AF1653" s="4">
        <v>0</v>
      </c>
      <c r="AG1653" s="4">
        <v>1</v>
      </c>
      <c r="AH1653" s="4">
        <v>37</v>
      </c>
      <c r="AI1653" s="4">
        <v>84</v>
      </c>
      <c r="AJ1653" s="4">
        <v>3</v>
      </c>
      <c r="AK1653" s="4">
        <v>12</v>
      </c>
      <c r="AL1653" s="4">
        <v>24</v>
      </c>
      <c r="AM1653" s="4">
        <v>54</v>
      </c>
      <c r="AN1653" s="4">
        <v>0</v>
      </c>
      <c r="AO1653" s="4">
        <v>0</v>
      </c>
      <c r="AP1653" s="4">
        <v>3</v>
      </c>
      <c r="AQ1653" s="4">
        <v>12</v>
      </c>
      <c r="AR1653" s="3" t="s">
        <v>65</v>
      </c>
      <c r="AS1653" s="3" t="s">
        <v>65</v>
      </c>
      <c r="AT1653" s="3" t="s">
        <v>209</v>
      </c>
      <c r="AU1653" s="6" t="str">
        <f>HYPERLINK("http://catalog.hathitrust.org/Record/004022088","HathiTrust Record")</f>
        <v>HathiTrust Record</v>
      </c>
      <c r="AV1653" s="6" t="str">
        <f>HYPERLINK("http://mcgill.on.worldcat.org/oclc/40816490","Catalog Record")</f>
        <v>Catalog Record</v>
      </c>
      <c r="AW1653" s="6" t="str">
        <f>HYPERLINK("http://www.worldcat.org/oclc/40816490","WorldCat Record")</f>
        <v>WorldCat Record</v>
      </c>
      <c r="AX1653" s="3" t="s">
        <v>16128</v>
      </c>
      <c r="AY1653" s="3" t="s">
        <v>16153</v>
      </c>
      <c r="AZ1653" s="3" t="s">
        <v>16154</v>
      </c>
      <c r="BA1653" s="3" t="s">
        <v>16154</v>
      </c>
      <c r="BB1653" s="3" t="s">
        <v>16158</v>
      </c>
      <c r="BC1653" s="3" t="s">
        <v>77</v>
      </c>
      <c r="BD1653" s="3" t="s">
        <v>106</v>
      </c>
      <c r="BE1653" s="3" t="s">
        <v>16156</v>
      </c>
      <c r="BF1653" s="3" t="s">
        <v>16158</v>
      </c>
      <c r="BG1653" s="3" t="s">
        <v>16159</v>
      </c>
    </row>
    <row r="1654" spans="1:59" ht="58" x14ac:dyDescent="0.35">
      <c r="A1654" s="2" t="s">
        <v>59</v>
      </c>
      <c r="B1654" s="2" t="s">
        <v>60</v>
      </c>
      <c r="C1654" s="2" t="s">
        <v>16160</v>
      </c>
      <c r="D1654" s="2" t="s">
        <v>16161</v>
      </c>
      <c r="E1654" s="2" t="s">
        <v>16162</v>
      </c>
      <c r="G1654" s="3" t="s">
        <v>65</v>
      </c>
      <c r="I1654" s="3" t="s">
        <v>65</v>
      </c>
      <c r="J1654" s="3" t="s">
        <v>65</v>
      </c>
      <c r="K1654" s="3" t="s">
        <v>66</v>
      </c>
      <c r="L1654" s="2" t="s">
        <v>16163</v>
      </c>
      <c r="M1654" s="2" t="s">
        <v>16164</v>
      </c>
      <c r="N1654" s="3" t="s">
        <v>1196</v>
      </c>
      <c r="P1654" s="3" t="s">
        <v>69</v>
      </c>
      <c r="Q1654" s="2" t="s">
        <v>15547</v>
      </c>
      <c r="R1654" s="3" t="s">
        <v>71</v>
      </c>
      <c r="S1654" s="4">
        <v>8</v>
      </c>
      <c r="T1654" s="4">
        <v>8</v>
      </c>
      <c r="U1654" s="5" t="s">
        <v>16165</v>
      </c>
      <c r="V1654" s="5" t="s">
        <v>16165</v>
      </c>
      <c r="W1654" s="5" t="s">
        <v>72</v>
      </c>
      <c r="X1654" s="5" t="s">
        <v>72</v>
      </c>
      <c r="Y1654" s="4">
        <v>270</v>
      </c>
      <c r="Z1654" s="4">
        <v>24</v>
      </c>
      <c r="AA1654" s="4">
        <v>115</v>
      </c>
      <c r="AB1654" s="4">
        <v>1</v>
      </c>
      <c r="AC1654" s="4">
        <v>17</v>
      </c>
      <c r="AD1654" s="4">
        <v>102</v>
      </c>
      <c r="AE1654" s="4">
        <v>152</v>
      </c>
      <c r="AF1654" s="4">
        <v>0</v>
      </c>
      <c r="AG1654" s="4">
        <v>8</v>
      </c>
      <c r="AH1654" s="4">
        <v>89</v>
      </c>
      <c r="AI1654" s="4">
        <v>110</v>
      </c>
      <c r="AJ1654" s="4">
        <v>14</v>
      </c>
      <c r="AK1654" s="4">
        <v>26</v>
      </c>
      <c r="AL1654" s="4">
        <v>52</v>
      </c>
      <c r="AM1654" s="4">
        <v>59</v>
      </c>
      <c r="AN1654" s="4">
        <v>0</v>
      </c>
      <c r="AO1654" s="4">
        <v>0</v>
      </c>
      <c r="AP1654" s="4">
        <v>17</v>
      </c>
      <c r="AQ1654" s="4">
        <v>50</v>
      </c>
      <c r="AR1654" s="3" t="s">
        <v>65</v>
      </c>
      <c r="AS1654" s="3" t="s">
        <v>65</v>
      </c>
      <c r="AT1654" s="3" t="s">
        <v>65</v>
      </c>
      <c r="AV1654" s="6" t="str">
        <f>HYPERLINK("http://mcgill.on.worldcat.org/oclc/57342053","Catalog Record")</f>
        <v>Catalog Record</v>
      </c>
      <c r="AW1654" s="6" t="str">
        <f>HYPERLINK("http://www.worldcat.org/oclc/57342053","WorldCat Record")</f>
        <v>WorldCat Record</v>
      </c>
      <c r="AX1654" s="3" t="s">
        <v>16166</v>
      </c>
      <c r="AY1654" s="3" t="s">
        <v>16167</v>
      </c>
      <c r="AZ1654" s="3" t="s">
        <v>16168</v>
      </c>
      <c r="BA1654" s="3" t="s">
        <v>16168</v>
      </c>
      <c r="BB1654" s="3" t="s">
        <v>16169</v>
      </c>
      <c r="BC1654" s="3" t="s">
        <v>77</v>
      </c>
      <c r="BD1654" s="3" t="s">
        <v>78</v>
      </c>
      <c r="BE1654" s="3" t="s">
        <v>16170</v>
      </c>
      <c r="BF1654" s="3" t="s">
        <v>16169</v>
      </c>
      <c r="BG1654" s="3" t="s">
        <v>16171</v>
      </c>
    </row>
    <row r="1655" spans="1:59" ht="58" x14ac:dyDescent="0.35">
      <c r="A1655" s="2" t="s">
        <v>59</v>
      </c>
      <c r="B1655" s="2" t="s">
        <v>60</v>
      </c>
      <c r="C1655" s="2" t="s">
        <v>16172</v>
      </c>
      <c r="D1655" s="2" t="s">
        <v>16173</v>
      </c>
      <c r="E1655" s="2" t="s">
        <v>16174</v>
      </c>
      <c r="G1655" s="3" t="s">
        <v>65</v>
      </c>
      <c r="I1655" s="3" t="s">
        <v>65</v>
      </c>
      <c r="J1655" s="3" t="s">
        <v>65</v>
      </c>
      <c r="K1655" s="3" t="s">
        <v>66</v>
      </c>
      <c r="L1655" s="2" t="s">
        <v>16175</v>
      </c>
      <c r="M1655" s="2" t="s">
        <v>16176</v>
      </c>
      <c r="N1655" s="3" t="s">
        <v>479</v>
      </c>
      <c r="P1655" s="3" t="s">
        <v>69</v>
      </c>
      <c r="Q1655" s="2" t="s">
        <v>16177</v>
      </c>
      <c r="R1655" s="3" t="s">
        <v>71</v>
      </c>
      <c r="S1655" s="4">
        <v>6</v>
      </c>
      <c r="T1655" s="4">
        <v>6</v>
      </c>
      <c r="U1655" s="5" t="s">
        <v>9228</v>
      </c>
      <c r="V1655" s="5" t="s">
        <v>9228</v>
      </c>
      <c r="W1655" s="5" t="s">
        <v>72</v>
      </c>
      <c r="X1655" s="5" t="s">
        <v>72</v>
      </c>
      <c r="Y1655" s="4">
        <v>167</v>
      </c>
      <c r="Z1655" s="4">
        <v>16</v>
      </c>
      <c r="AA1655" s="4">
        <v>50</v>
      </c>
      <c r="AB1655" s="4">
        <v>1</v>
      </c>
      <c r="AC1655" s="4">
        <v>8</v>
      </c>
      <c r="AD1655" s="4">
        <v>71</v>
      </c>
      <c r="AE1655" s="4">
        <v>78</v>
      </c>
      <c r="AF1655" s="4">
        <v>0</v>
      </c>
      <c r="AG1655" s="4">
        <v>1</v>
      </c>
      <c r="AH1655" s="4">
        <v>66</v>
      </c>
      <c r="AI1655" s="4">
        <v>68</v>
      </c>
      <c r="AJ1655" s="4">
        <v>11</v>
      </c>
      <c r="AK1655" s="4">
        <v>13</v>
      </c>
      <c r="AL1655" s="4">
        <v>37</v>
      </c>
      <c r="AM1655" s="4">
        <v>37</v>
      </c>
      <c r="AN1655" s="4">
        <v>0</v>
      </c>
      <c r="AO1655" s="4">
        <v>0</v>
      </c>
      <c r="AP1655" s="4">
        <v>12</v>
      </c>
      <c r="AQ1655" s="4">
        <v>18</v>
      </c>
      <c r="AR1655" s="3" t="s">
        <v>65</v>
      </c>
      <c r="AS1655" s="3" t="s">
        <v>65</v>
      </c>
      <c r="AT1655" s="3" t="s">
        <v>65</v>
      </c>
      <c r="AV1655" s="6" t="str">
        <f>HYPERLINK("http://mcgill.on.worldcat.org/oclc/162126789","Catalog Record")</f>
        <v>Catalog Record</v>
      </c>
      <c r="AW1655" s="6" t="str">
        <f>HYPERLINK("http://www.worldcat.org/oclc/162126789","WorldCat Record")</f>
        <v>WorldCat Record</v>
      </c>
      <c r="AX1655" s="3" t="s">
        <v>16178</v>
      </c>
      <c r="AY1655" s="3" t="s">
        <v>16179</v>
      </c>
      <c r="AZ1655" s="3" t="s">
        <v>16180</v>
      </c>
      <c r="BA1655" s="3" t="s">
        <v>16180</v>
      </c>
      <c r="BB1655" s="3" t="s">
        <v>16181</v>
      </c>
      <c r="BC1655" s="3" t="s">
        <v>77</v>
      </c>
      <c r="BD1655" s="3" t="s">
        <v>78</v>
      </c>
      <c r="BE1655" s="3" t="s">
        <v>16182</v>
      </c>
      <c r="BF1655" s="3" t="s">
        <v>16181</v>
      </c>
      <c r="BG1655" s="3" t="s">
        <v>16183</v>
      </c>
    </row>
    <row r="1656" spans="1:59" ht="58" x14ac:dyDescent="0.35">
      <c r="A1656" s="2" t="s">
        <v>59</v>
      </c>
      <c r="B1656" s="2" t="s">
        <v>60</v>
      </c>
      <c r="C1656" s="2" t="s">
        <v>16184</v>
      </c>
      <c r="D1656" s="2" t="s">
        <v>16185</v>
      </c>
      <c r="E1656" s="2" t="s">
        <v>16186</v>
      </c>
      <c r="G1656" s="3" t="s">
        <v>65</v>
      </c>
      <c r="I1656" s="3" t="s">
        <v>65</v>
      </c>
      <c r="J1656" s="3" t="s">
        <v>65</v>
      </c>
      <c r="K1656" s="3" t="s">
        <v>66</v>
      </c>
      <c r="M1656" s="2" t="s">
        <v>16187</v>
      </c>
      <c r="N1656" s="3" t="s">
        <v>68</v>
      </c>
      <c r="P1656" s="3" t="s">
        <v>69</v>
      </c>
      <c r="Q1656" s="2" t="s">
        <v>16188</v>
      </c>
      <c r="R1656" s="3" t="s">
        <v>71</v>
      </c>
      <c r="S1656" s="4">
        <v>0</v>
      </c>
      <c r="T1656" s="4">
        <v>0</v>
      </c>
      <c r="W1656" s="5" t="s">
        <v>72</v>
      </c>
      <c r="X1656" s="5" t="s">
        <v>72</v>
      </c>
      <c r="Y1656" s="4">
        <v>50</v>
      </c>
      <c r="Z1656" s="4">
        <v>3</v>
      </c>
      <c r="AA1656" s="4">
        <v>3</v>
      </c>
      <c r="AB1656" s="4">
        <v>1</v>
      </c>
      <c r="AC1656" s="4">
        <v>1</v>
      </c>
      <c r="AD1656" s="4">
        <v>23</v>
      </c>
      <c r="AE1656" s="4">
        <v>23</v>
      </c>
      <c r="AF1656" s="4">
        <v>0</v>
      </c>
      <c r="AG1656" s="4">
        <v>0</v>
      </c>
      <c r="AH1656" s="4">
        <v>23</v>
      </c>
      <c r="AI1656" s="4">
        <v>23</v>
      </c>
      <c r="AJ1656" s="4">
        <v>1</v>
      </c>
      <c r="AK1656" s="4">
        <v>1</v>
      </c>
      <c r="AL1656" s="4">
        <v>15</v>
      </c>
      <c r="AM1656" s="4">
        <v>15</v>
      </c>
      <c r="AN1656" s="4">
        <v>0</v>
      </c>
      <c r="AO1656" s="4">
        <v>0</v>
      </c>
      <c r="AP1656" s="4">
        <v>1</v>
      </c>
      <c r="AQ1656" s="4">
        <v>1</v>
      </c>
      <c r="AR1656" s="3" t="s">
        <v>65</v>
      </c>
      <c r="AS1656" s="3" t="s">
        <v>65</v>
      </c>
      <c r="AT1656" s="3" t="s">
        <v>65</v>
      </c>
      <c r="AV1656" s="6" t="str">
        <f>HYPERLINK("http://mcgill.on.worldcat.org/oclc/951955813","Catalog Record")</f>
        <v>Catalog Record</v>
      </c>
      <c r="AW1656" s="6" t="str">
        <f>HYPERLINK("http://www.worldcat.org/oclc/951955813","WorldCat Record")</f>
        <v>WorldCat Record</v>
      </c>
      <c r="AX1656" s="3" t="s">
        <v>16189</v>
      </c>
      <c r="AY1656" s="3" t="s">
        <v>16190</v>
      </c>
      <c r="AZ1656" s="3" t="s">
        <v>16191</v>
      </c>
      <c r="BA1656" s="3" t="s">
        <v>16191</v>
      </c>
      <c r="BB1656" s="3" t="s">
        <v>16192</v>
      </c>
      <c r="BC1656" s="3" t="s">
        <v>77</v>
      </c>
      <c r="BD1656" s="3" t="s">
        <v>78</v>
      </c>
      <c r="BE1656" s="3" t="s">
        <v>16193</v>
      </c>
      <c r="BF1656" s="3" t="s">
        <v>16192</v>
      </c>
      <c r="BG1656" s="3" t="s">
        <v>16194</v>
      </c>
    </row>
    <row r="1657" spans="1:59" ht="58" x14ac:dyDescent="0.35">
      <c r="A1657" s="2" t="s">
        <v>59</v>
      </c>
      <c r="B1657" s="2" t="s">
        <v>60</v>
      </c>
      <c r="C1657" s="2" t="s">
        <v>16195</v>
      </c>
      <c r="D1657" s="2" t="s">
        <v>16196</v>
      </c>
      <c r="E1657" s="2" t="s">
        <v>16197</v>
      </c>
      <c r="G1657" s="3" t="s">
        <v>65</v>
      </c>
      <c r="I1657" s="3" t="s">
        <v>65</v>
      </c>
      <c r="J1657" s="3" t="s">
        <v>65</v>
      </c>
      <c r="K1657" s="3" t="s">
        <v>66</v>
      </c>
      <c r="L1657" s="2" t="s">
        <v>16198</v>
      </c>
      <c r="M1657" s="2" t="s">
        <v>14853</v>
      </c>
      <c r="N1657" s="3" t="s">
        <v>86</v>
      </c>
      <c r="P1657" s="3" t="s">
        <v>69</v>
      </c>
      <c r="Q1657" s="2" t="s">
        <v>16199</v>
      </c>
      <c r="R1657" s="3" t="s">
        <v>71</v>
      </c>
      <c r="S1657" s="4">
        <v>0</v>
      </c>
      <c r="T1657" s="4">
        <v>0</v>
      </c>
      <c r="W1657" s="5" t="s">
        <v>72</v>
      </c>
      <c r="X1657" s="5" t="s">
        <v>72</v>
      </c>
      <c r="Y1657" s="4">
        <v>75</v>
      </c>
      <c r="Z1657" s="4">
        <v>7</v>
      </c>
      <c r="AA1657" s="4">
        <v>10</v>
      </c>
      <c r="AB1657" s="4">
        <v>1</v>
      </c>
      <c r="AC1657" s="4">
        <v>1</v>
      </c>
      <c r="AD1657" s="4">
        <v>42</v>
      </c>
      <c r="AE1657" s="4">
        <v>49</v>
      </c>
      <c r="AF1657" s="4">
        <v>0</v>
      </c>
      <c r="AG1657" s="4">
        <v>0</v>
      </c>
      <c r="AH1657" s="4">
        <v>38</v>
      </c>
      <c r="AI1657" s="4">
        <v>44</v>
      </c>
      <c r="AJ1657" s="4">
        <v>5</v>
      </c>
      <c r="AK1657" s="4">
        <v>8</v>
      </c>
      <c r="AL1657" s="4">
        <v>24</v>
      </c>
      <c r="AM1657" s="4">
        <v>28</v>
      </c>
      <c r="AN1657" s="4">
        <v>0</v>
      </c>
      <c r="AO1657" s="4">
        <v>0</v>
      </c>
      <c r="AP1657" s="4">
        <v>5</v>
      </c>
      <c r="AQ1657" s="4">
        <v>8</v>
      </c>
      <c r="AR1657" s="3" t="s">
        <v>209</v>
      </c>
      <c r="AS1657" s="3" t="s">
        <v>65</v>
      </c>
      <c r="AT1657" s="3" t="s">
        <v>65</v>
      </c>
      <c r="AV1657" s="6" t="str">
        <f>HYPERLINK("http://mcgill.on.worldcat.org/oclc/1014011494","Catalog Record")</f>
        <v>Catalog Record</v>
      </c>
      <c r="AW1657" s="6" t="str">
        <f>HYPERLINK("http://www.worldcat.org/oclc/1014011494","WorldCat Record")</f>
        <v>WorldCat Record</v>
      </c>
      <c r="AX1657" s="3" t="s">
        <v>16200</v>
      </c>
      <c r="AY1657" s="3" t="s">
        <v>16201</v>
      </c>
      <c r="AZ1657" s="3" t="s">
        <v>16202</v>
      </c>
      <c r="BA1657" s="3" t="s">
        <v>16202</v>
      </c>
      <c r="BB1657" s="3" t="s">
        <v>16203</v>
      </c>
      <c r="BC1657" s="3" t="s">
        <v>77</v>
      </c>
      <c r="BD1657" s="3" t="s">
        <v>78</v>
      </c>
      <c r="BE1657" s="3" t="s">
        <v>16204</v>
      </c>
      <c r="BF1657" s="3" t="s">
        <v>16203</v>
      </c>
      <c r="BG1657" s="3" t="s">
        <v>16205</v>
      </c>
    </row>
    <row r="1658" spans="1:59" ht="58" x14ac:dyDescent="0.35">
      <c r="A1658" s="2" t="s">
        <v>59</v>
      </c>
      <c r="B1658" s="2" t="s">
        <v>60</v>
      </c>
      <c r="C1658" s="2" t="s">
        <v>16206</v>
      </c>
      <c r="D1658" s="2" t="s">
        <v>16207</v>
      </c>
      <c r="E1658" s="2" t="s">
        <v>16208</v>
      </c>
      <c r="G1658" s="3" t="s">
        <v>65</v>
      </c>
      <c r="I1658" s="3" t="s">
        <v>65</v>
      </c>
      <c r="J1658" s="3" t="s">
        <v>65</v>
      </c>
      <c r="K1658" s="3" t="s">
        <v>66</v>
      </c>
      <c r="L1658" s="2" t="s">
        <v>16209</v>
      </c>
      <c r="M1658" s="2" t="s">
        <v>16210</v>
      </c>
      <c r="N1658" s="3" t="s">
        <v>552</v>
      </c>
      <c r="P1658" s="3" t="s">
        <v>69</v>
      </c>
      <c r="R1658" s="3" t="s">
        <v>71</v>
      </c>
      <c r="S1658" s="4">
        <v>4</v>
      </c>
      <c r="T1658" s="4">
        <v>4</v>
      </c>
      <c r="U1658" s="5" t="s">
        <v>16211</v>
      </c>
      <c r="V1658" s="5" t="s">
        <v>16211</v>
      </c>
      <c r="W1658" s="5" t="s">
        <v>72</v>
      </c>
      <c r="X1658" s="5" t="s">
        <v>72</v>
      </c>
      <c r="Y1658" s="4">
        <v>241</v>
      </c>
      <c r="Z1658" s="4">
        <v>19</v>
      </c>
      <c r="AA1658" s="4">
        <v>119</v>
      </c>
      <c r="AB1658" s="4">
        <v>2</v>
      </c>
      <c r="AC1658" s="4">
        <v>23</v>
      </c>
      <c r="AD1658" s="4">
        <v>101</v>
      </c>
      <c r="AE1658" s="4">
        <v>155</v>
      </c>
      <c r="AF1658" s="4">
        <v>0</v>
      </c>
      <c r="AG1658" s="4">
        <v>8</v>
      </c>
      <c r="AH1658" s="4">
        <v>93</v>
      </c>
      <c r="AI1658" s="4">
        <v>106</v>
      </c>
      <c r="AJ1658" s="4">
        <v>12</v>
      </c>
      <c r="AK1658" s="4">
        <v>29</v>
      </c>
      <c r="AL1658" s="4">
        <v>54</v>
      </c>
      <c r="AM1658" s="4">
        <v>58</v>
      </c>
      <c r="AN1658" s="4">
        <v>0</v>
      </c>
      <c r="AO1658" s="4">
        <v>0</v>
      </c>
      <c r="AP1658" s="4">
        <v>13</v>
      </c>
      <c r="AQ1658" s="4">
        <v>56</v>
      </c>
      <c r="AR1658" s="3" t="s">
        <v>209</v>
      </c>
      <c r="AS1658" s="3" t="s">
        <v>65</v>
      </c>
      <c r="AT1658" s="3" t="s">
        <v>65</v>
      </c>
      <c r="AV1658" s="6" t="str">
        <f>HYPERLINK("http://mcgill.on.worldcat.org/oclc/36989611","Catalog Record")</f>
        <v>Catalog Record</v>
      </c>
      <c r="AW1658" s="6" t="str">
        <f>HYPERLINK("http://www.worldcat.org/oclc/36989611","WorldCat Record")</f>
        <v>WorldCat Record</v>
      </c>
      <c r="AX1658" s="3" t="s">
        <v>16212</v>
      </c>
      <c r="AY1658" s="3" t="s">
        <v>16213</v>
      </c>
      <c r="AZ1658" s="3" t="s">
        <v>16214</v>
      </c>
      <c r="BA1658" s="3" t="s">
        <v>16214</v>
      </c>
      <c r="BB1658" s="3" t="s">
        <v>16215</v>
      </c>
      <c r="BC1658" s="3" t="s">
        <v>77</v>
      </c>
      <c r="BD1658" s="3" t="s">
        <v>78</v>
      </c>
      <c r="BE1658" s="3" t="s">
        <v>16216</v>
      </c>
      <c r="BF1658" s="3" t="s">
        <v>16215</v>
      </c>
      <c r="BG1658" s="3" t="s">
        <v>16217</v>
      </c>
    </row>
    <row r="1659" spans="1:59" ht="58" x14ac:dyDescent="0.35">
      <c r="A1659" s="2" t="s">
        <v>59</v>
      </c>
      <c r="B1659" s="2" t="s">
        <v>60</v>
      </c>
      <c r="C1659" s="2" t="s">
        <v>16218</v>
      </c>
      <c r="D1659" s="2" t="s">
        <v>16219</v>
      </c>
      <c r="E1659" s="2" t="s">
        <v>16220</v>
      </c>
      <c r="G1659" s="3" t="s">
        <v>65</v>
      </c>
      <c r="I1659" s="3" t="s">
        <v>65</v>
      </c>
      <c r="J1659" s="3" t="s">
        <v>65</v>
      </c>
      <c r="K1659" s="3" t="s">
        <v>66</v>
      </c>
      <c r="L1659" s="2" t="s">
        <v>16221</v>
      </c>
      <c r="M1659" s="2" t="s">
        <v>16222</v>
      </c>
      <c r="N1659" s="3" t="s">
        <v>126</v>
      </c>
      <c r="O1659" s="2" t="s">
        <v>365</v>
      </c>
      <c r="P1659" s="3" t="s">
        <v>140</v>
      </c>
      <c r="R1659" s="3" t="s">
        <v>71</v>
      </c>
      <c r="S1659" s="4">
        <v>1</v>
      </c>
      <c r="T1659" s="4">
        <v>1</v>
      </c>
      <c r="U1659" s="5" t="s">
        <v>16223</v>
      </c>
      <c r="V1659" s="5" t="s">
        <v>16223</v>
      </c>
      <c r="W1659" s="5" t="s">
        <v>72</v>
      </c>
      <c r="X1659" s="5" t="s">
        <v>72</v>
      </c>
      <c r="Y1659" s="4">
        <v>30</v>
      </c>
      <c r="Z1659" s="4">
        <v>3</v>
      </c>
      <c r="AA1659" s="4">
        <v>3</v>
      </c>
      <c r="AB1659" s="4">
        <v>1</v>
      </c>
      <c r="AC1659" s="4">
        <v>1</v>
      </c>
      <c r="AD1659" s="4">
        <v>18</v>
      </c>
      <c r="AE1659" s="4">
        <v>18</v>
      </c>
      <c r="AF1659" s="4">
        <v>0</v>
      </c>
      <c r="AG1659" s="4">
        <v>0</v>
      </c>
      <c r="AH1659" s="4">
        <v>17</v>
      </c>
      <c r="AI1659" s="4">
        <v>17</v>
      </c>
      <c r="AJ1659" s="4">
        <v>1</v>
      </c>
      <c r="AK1659" s="4">
        <v>1</v>
      </c>
      <c r="AL1659" s="4">
        <v>14</v>
      </c>
      <c r="AM1659" s="4">
        <v>14</v>
      </c>
      <c r="AN1659" s="4">
        <v>0</v>
      </c>
      <c r="AO1659" s="4">
        <v>0</v>
      </c>
      <c r="AP1659" s="4">
        <v>1</v>
      </c>
      <c r="AQ1659" s="4">
        <v>1</v>
      </c>
      <c r="AR1659" s="3" t="s">
        <v>65</v>
      </c>
      <c r="AS1659" s="3" t="s">
        <v>65</v>
      </c>
      <c r="AT1659" s="3" t="s">
        <v>65</v>
      </c>
      <c r="AV1659" s="6" t="str">
        <f>HYPERLINK("http://mcgill.on.worldcat.org/oclc/775410919","Catalog Record")</f>
        <v>Catalog Record</v>
      </c>
      <c r="AW1659" s="6" t="str">
        <f>HYPERLINK("http://www.worldcat.org/oclc/775410919","WorldCat Record")</f>
        <v>WorldCat Record</v>
      </c>
      <c r="AX1659" s="3" t="s">
        <v>16224</v>
      </c>
      <c r="AY1659" s="3" t="s">
        <v>16225</v>
      </c>
      <c r="AZ1659" s="3" t="s">
        <v>16226</v>
      </c>
      <c r="BA1659" s="3" t="s">
        <v>16226</v>
      </c>
      <c r="BB1659" s="3" t="s">
        <v>16227</v>
      </c>
      <c r="BC1659" s="3" t="s">
        <v>77</v>
      </c>
      <c r="BD1659" s="3" t="s">
        <v>78</v>
      </c>
      <c r="BE1659" s="3" t="s">
        <v>16228</v>
      </c>
      <c r="BF1659" s="3" t="s">
        <v>16227</v>
      </c>
      <c r="BG1659" s="3" t="s">
        <v>16229</v>
      </c>
    </row>
    <row r="1660" spans="1:59" ht="58" x14ac:dyDescent="0.35">
      <c r="A1660" s="2" t="s">
        <v>59</v>
      </c>
      <c r="B1660" s="2" t="s">
        <v>60</v>
      </c>
      <c r="C1660" s="2" t="s">
        <v>16230</v>
      </c>
      <c r="D1660" s="2" t="s">
        <v>16231</v>
      </c>
      <c r="E1660" s="2" t="s">
        <v>16232</v>
      </c>
      <c r="G1660" s="3" t="s">
        <v>65</v>
      </c>
      <c r="I1660" s="3" t="s">
        <v>65</v>
      </c>
      <c r="J1660" s="3" t="s">
        <v>65</v>
      </c>
      <c r="K1660" s="3" t="s">
        <v>66</v>
      </c>
      <c r="L1660" s="2" t="s">
        <v>16233</v>
      </c>
      <c r="M1660" s="2" t="s">
        <v>16234</v>
      </c>
      <c r="N1660" s="3" t="s">
        <v>1895</v>
      </c>
      <c r="P1660" s="3" t="s">
        <v>140</v>
      </c>
      <c r="Q1660" s="2" t="s">
        <v>16235</v>
      </c>
      <c r="R1660" s="3" t="s">
        <v>71</v>
      </c>
      <c r="S1660" s="4">
        <v>1</v>
      </c>
      <c r="T1660" s="4">
        <v>1</v>
      </c>
      <c r="U1660" s="5" t="s">
        <v>16236</v>
      </c>
      <c r="V1660" s="5" t="s">
        <v>16236</v>
      </c>
      <c r="W1660" s="5" t="s">
        <v>72</v>
      </c>
      <c r="X1660" s="5" t="s">
        <v>72</v>
      </c>
      <c r="Y1660" s="4">
        <v>54</v>
      </c>
      <c r="Z1660" s="4">
        <v>5</v>
      </c>
      <c r="AA1660" s="4">
        <v>5</v>
      </c>
      <c r="AB1660" s="4">
        <v>1</v>
      </c>
      <c r="AC1660" s="4">
        <v>1</v>
      </c>
      <c r="AD1660" s="4">
        <v>34</v>
      </c>
      <c r="AE1660" s="4">
        <v>34</v>
      </c>
      <c r="AF1660" s="4">
        <v>0</v>
      </c>
      <c r="AG1660" s="4">
        <v>0</v>
      </c>
      <c r="AH1660" s="4">
        <v>33</v>
      </c>
      <c r="AI1660" s="4">
        <v>33</v>
      </c>
      <c r="AJ1660" s="4">
        <v>2</v>
      </c>
      <c r="AK1660" s="4">
        <v>2</v>
      </c>
      <c r="AL1660" s="4">
        <v>27</v>
      </c>
      <c r="AM1660" s="4">
        <v>27</v>
      </c>
      <c r="AN1660" s="4">
        <v>0</v>
      </c>
      <c r="AO1660" s="4">
        <v>0</v>
      </c>
      <c r="AP1660" s="4">
        <v>2</v>
      </c>
      <c r="AQ1660" s="4">
        <v>2</v>
      </c>
      <c r="AR1660" s="3" t="s">
        <v>65</v>
      </c>
      <c r="AS1660" s="3" t="s">
        <v>65</v>
      </c>
      <c r="AT1660" s="3" t="s">
        <v>65</v>
      </c>
      <c r="AV1660" s="6" t="str">
        <f>HYPERLINK("http://mcgill.on.worldcat.org/oclc/40053677","Catalog Record")</f>
        <v>Catalog Record</v>
      </c>
      <c r="AW1660" s="6" t="str">
        <f>HYPERLINK("http://www.worldcat.org/oclc/40053677","WorldCat Record")</f>
        <v>WorldCat Record</v>
      </c>
      <c r="AX1660" s="3" t="s">
        <v>16237</v>
      </c>
      <c r="AY1660" s="3" t="s">
        <v>16238</v>
      </c>
      <c r="AZ1660" s="3" t="s">
        <v>16239</v>
      </c>
      <c r="BA1660" s="3" t="s">
        <v>16239</v>
      </c>
      <c r="BB1660" s="3" t="s">
        <v>16240</v>
      </c>
      <c r="BC1660" s="3" t="s">
        <v>77</v>
      </c>
      <c r="BD1660" s="3" t="s">
        <v>78</v>
      </c>
      <c r="BE1660" s="3" t="s">
        <v>16241</v>
      </c>
      <c r="BF1660" s="3" t="s">
        <v>16240</v>
      </c>
      <c r="BG1660" s="3" t="s">
        <v>16242</v>
      </c>
    </row>
    <row r="1661" spans="1:59" ht="58" x14ac:dyDescent="0.35">
      <c r="A1661" s="2" t="s">
        <v>59</v>
      </c>
      <c r="B1661" s="2" t="s">
        <v>60</v>
      </c>
      <c r="C1661" s="2" t="s">
        <v>16243</v>
      </c>
      <c r="D1661" s="2" t="s">
        <v>16244</v>
      </c>
      <c r="E1661" s="2" t="s">
        <v>16245</v>
      </c>
      <c r="F1661" s="3" t="s">
        <v>490</v>
      </c>
      <c r="G1661" s="3" t="s">
        <v>209</v>
      </c>
      <c r="I1661" s="3" t="s">
        <v>65</v>
      </c>
      <c r="J1661" s="3" t="s">
        <v>65</v>
      </c>
      <c r="K1661" s="3" t="s">
        <v>66</v>
      </c>
      <c r="L1661" s="2" t="s">
        <v>16233</v>
      </c>
      <c r="M1661" s="2" t="s">
        <v>16246</v>
      </c>
      <c r="N1661" s="3" t="s">
        <v>16247</v>
      </c>
      <c r="P1661" s="3" t="s">
        <v>140</v>
      </c>
      <c r="Q1661" s="2" t="s">
        <v>16248</v>
      </c>
      <c r="R1661" s="3" t="s">
        <v>71</v>
      </c>
      <c r="S1661" s="4">
        <v>4</v>
      </c>
      <c r="T1661" s="4">
        <v>8</v>
      </c>
      <c r="U1661" s="5" t="s">
        <v>16249</v>
      </c>
      <c r="V1661" s="5" t="s">
        <v>16249</v>
      </c>
      <c r="W1661" s="5" t="s">
        <v>72</v>
      </c>
      <c r="X1661" s="5" t="s">
        <v>72</v>
      </c>
      <c r="Y1661" s="4">
        <v>123</v>
      </c>
      <c r="Z1661" s="4">
        <v>8</v>
      </c>
      <c r="AA1661" s="4">
        <v>8</v>
      </c>
      <c r="AB1661" s="4">
        <v>1</v>
      </c>
      <c r="AC1661" s="4">
        <v>1</v>
      </c>
      <c r="AD1661" s="4">
        <v>58</v>
      </c>
      <c r="AE1661" s="4">
        <v>58</v>
      </c>
      <c r="AF1661" s="4">
        <v>0</v>
      </c>
      <c r="AG1661" s="4">
        <v>0</v>
      </c>
      <c r="AH1661" s="4">
        <v>56</v>
      </c>
      <c r="AI1661" s="4">
        <v>56</v>
      </c>
      <c r="AJ1661" s="4">
        <v>6</v>
      </c>
      <c r="AK1661" s="4">
        <v>6</v>
      </c>
      <c r="AL1661" s="4">
        <v>42</v>
      </c>
      <c r="AM1661" s="4">
        <v>42</v>
      </c>
      <c r="AN1661" s="4">
        <v>0</v>
      </c>
      <c r="AO1661" s="4">
        <v>0</v>
      </c>
      <c r="AP1661" s="4">
        <v>6</v>
      </c>
      <c r="AQ1661" s="4">
        <v>6</v>
      </c>
      <c r="AR1661" s="3" t="s">
        <v>65</v>
      </c>
      <c r="AS1661" s="3" t="s">
        <v>65</v>
      </c>
      <c r="AT1661" s="3" t="s">
        <v>209</v>
      </c>
      <c r="AU1661" s="6" t="str">
        <f>HYPERLINK("http://catalog.hathitrust.org/Record/001805484","HathiTrust Record")</f>
        <v>HathiTrust Record</v>
      </c>
      <c r="AV1661" s="6" t="str">
        <f>HYPERLINK("http://mcgill.on.worldcat.org/oclc/3673556","Catalog Record")</f>
        <v>Catalog Record</v>
      </c>
      <c r="AW1661" s="6" t="str">
        <f>HYPERLINK("http://www.worldcat.org/oclc/3673556","WorldCat Record")</f>
        <v>WorldCat Record</v>
      </c>
      <c r="AX1661" s="3" t="s">
        <v>16250</v>
      </c>
      <c r="AY1661" s="3" t="s">
        <v>16251</v>
      </c>
      <c r="AZ1661" s="3" t="s">
        <v>16252</v>
      </c>
      <c r="BA1661" s="3" t="s">
        <v>16252</v>
      </c>
      <c r="BB1661" s="3" t="s">
        <v>16253</v>
      </c>
      <c r="BC1661" s="3" t="s">
        <v>77</v>
      </c>
      <c r="BD1661" s="3" t="s">
        <v>78</v>
      </c>
      <c r="BF1661" s="3" t="s">
        <v>16253</v>
      </c>
      <c r="BG1661" s="3" t="s">
        <v>16254</v>
      </c>
    </row>
    <row r="1662" spans="1:59" ht="58" x14ac:dyDescent="0.35">
      <c r="A1662" s="2" t="s">
        <v>59</v>
      </c>
      <c r="B1662" s="2" t="s">
        <v>60</v>
      </c>
      <c r="C1662" s="2" t="s">
        <v>16243</v>
      </c>
      <c r="D1662" s="2" t="s">
        <v>16244</v>
      </c>
      <c r="E1662" s="2" t="s">
        <v>16245</v>
      </c>
      <c r="F1662" s="3" t="s">
        <v>16255</v>
      </c>
      <c r="G1662" s="3" t="s">
        <v>209</v>
      </c>
      <c r="I1662" s="3" t="s">
        <v>65</v>
      </c>
      <c r="J1662" s="3" t="s">
        <v>65</v>
      </c>
      <c r="K1662" s="3" t="s">
        <v>66</v>
      </c>
      <c r="L1662" s="2" t="s">
        <v>16233</v>
      </c>
      <c r="M1662" s="2" t="s">
        <v>16246</v>
      </c>
      <c r="N1662" s="3" t="s">
        <v>16247</v>
      </c>
      <c r="P1662" s="3" t="s">
        <v>140</v>
      </c>
      <c r="Q1662" s="2" t="s">
        <v>16248</v>
      </c>
      <c r="R1662" s="3" t="s">
        <v>71</v>
      </c>
      <c r="S1662" s="4">
        <v>4</v>
      </c>
      <c r="T1662" s="4">
        <v>8</v>
      </c>
      <c r="U1662" s="5" t="s">
        <v>16249</v>
      </c>
      <c r="V1662" s="5" t="s">
        <v>16249</v>
      </c>
      <c r="W1662" s="5" t="s">
        <v>72</v>
      </c>
      <c r="X1662" s="5" t="s">
        <v>72</v>
      </c>
      <c r="Y1662" s="4">
        <v>123</v>
      </c>
      <c r="Z1662" s="4">
        <v>8</v>
      </c>
      <c r="AA1662" s="4">
        <v>8</v>
      </c>
      <c r="AB1662" s="4">
        <v>1</v>
      </c>
      <c r="AC1662" s="4">
        <v>1</v>
      </c>
      <c r="AD1662" s="4">
        <v>58</v>
      </c>
      <c r="AE1662" s="4">
        <v>58</v>
      </c>
      <c r="AF1662" s="4">
        <v>0</v>
      </c>
      <c r="AG1662" s="4">
        <v>0</v>
      </c>
      <c r="AH1662" s="4">
        <v>56</v>
      </c>
      <c r="AI1662" s="4">
        <v>56</v>
      </c>
      <c r="AJ1662" s="4">
        <v>6</v>
      </c>
      <c r="AK1662" s="4">
        <v>6</v>
      </c>
      <c r="AL1662" s="4">
        <v>42</v>
      </c>
      <c r="AM1662" s="4">
        <v>42</v>
      </c>
      <c r="AN1662" s="4">
        <v>0</v>
      </c>
      <c r="AO1662" s="4">
        <v>0</v>
      </c>
      <c r="AP1662" s="4">
        <v>6</v>
      </c>
      <c r="AQ1662" s="4">
        <v>6</v>
      </c>
      <c r="AR1662" s="3" t="s">
        <v>65</v>
      </c>
      <c r="AS1662" s="3" t="s">
        <v>65</v>
      </c>
      <c r="AT1662" s="3" t="s">
        <v>209</v>
      </c>
      <c r="AU1662" s="6" t="str">
        <f>HYPERLINK("http://catalog.hathitrust.org/Record/001805484","HathiTrust Record")</f>
        <v>HathiTrust Record</v>
      </c>
      <c r="AV1662" s="6" t="str">
        <f>HYPERLINK("http://mcgill.on.worldcat.org/oclc/3673556","Catalog Record")</f>
        <v>Catalog Record</v>
      </c>
      <c r="AW1662" s="6" t="str">
        <f>HYPERLINK("http://www.worldcat.org/oclc/3673556","WorldCat Record")</f>
        <v>WorldCat Record</v>
      </c>
      <c r="AX1662" s="3" t="s">
        <v>16250</v>
      </c>
      <c r="AY1662" s="3" t="s">
        <v>16251</v>
      </c>
      <c r="AZ1662" s="3" t="s">
        <v>16252</v>
      </c>
      <c r="BA1662" s="3" t="s">
        <v>16252</v>
      </c>
      <c r="BB1662" s="3" t="s">
        <v>16256</v>
      </c>
      <c r="BC1662" s="3" t="s">
        <v>77</v>
      </c>
      <c r="BD1662" s="3" t="s">
        <v>78</v>
      </c>
      <c r="BF1662" s="3" t="s">
        <v>16256</v>
      </c>
      <c r="BG1662" s="3" t="s">
        <v>16257</v>
      </c>
    </row>
    <row r="1663" spans="1:59" ht="58" x14ac:dyDescent="0.35">
      <c r="A1663" s="2" t="s">
        <v>59</v>
      </c>
      <c r="B1663" s="2" t="s">
        <v>60</v>
      </c>
      <c r="C1663" s="2" t="s">
        <v>16258</v>
      </c>
      <c r="D1663" s="2" t="s">
        <v>16259</v>
      </c>
      <c r="E1663" s="2" t="s">
        <v>16260</v>
      </c>
      <c r="G1663" s="3" t="s">
        <v>65</v>
      </c>
      <c r="I1663" s="3" t="s">
        <v>65</v>
      </c>
      <c r="J1663" s="3" t="s">
        <v>65</v>
      </c>
      <c r="K1663" s="3" t="s">
        <v>66</v>
      </c>
      <c r="M1663" s="2" t="s">
        <v>16261</v>
      </c>
      <c r="N1663" s="3" t="s">
        <v>139</v>
      </c>
      <c r="P1663" s="3" t="s">
        <v>140</v>
      </c>
      <c r="Q1663" s="2" t="s">
        <v>16262</v>
      </c>
      <c r="R1663" s="3" t="s">
        <v>71</v>
      </c>
      <c r="S1663" s="4">
        <v>3</v>
      </c>
      <c r="T1663" s="4">
        <v>3</v>
      </c>
      <c r="U1663" s="5" t="s">
        <v>16263</v>
      </c>
      <c r="V1663" s="5" t="s">
        <v>16263</v>
      </c>
      <c r="W1663" s="5" t="s">
        <v>72</v>
      </c>
      <c r="X1663" s="5" t="s">
        <v>72</v>
      </c>
      <c r="Y1663" s="4">
        <v>50</v>
      </c>
      <c r="Z1663" s="4">
        <v>3</v>
      </c>
      <c r="AA1663" s="4">
        <v>3</v>
      </c>
      <c r="AB1663" s="4">
        <v>1</v>
      </c>
      <c r="AC1663" s="4">
        <v>1</v>
      </c>
      <c r="AD1663" s="4">
        <v>26</v>
      </c>
      <c r="AE1663" s="4">
        <v>26</v>
      </c>
      <c r="AF1663" s="4">
        <v>0</v>
      </c>
      <c r="AG1663" s="4">
        <v>0</v>
      </c>
      <c r="AH1663" s="4">
        <v>25</v>
      </c>
      <c r="AI1663" s="4">
        <v>25</v>
      </c>
      <c r="AJ1663" s="4">
        <v>1</v>
      </c>
      <c r="AK1663" s="4">
        <v>1</v>
      </c>
      <c r="AL1663" s="4">
        <v>20</v>
      </c>
      <c r="AM1663" s="4">
        <v>20</v>
      </c>
      <c r="AN1663" s="4">
        <v>0</v>
      </c>
      <c r="AO1663" s="4">
        <v>0</v>
      </c>
      <c r="AP1663" s="4">
        <v>1</v>
      </c>
      <c r="AQ1663" s="4">
        <v>1</v>
      </c>
      <c r="AR1663" s="3" t="s">
        <v>65</v>
      </c>
      <c r="AS1663" s="3" t="s">
        <v>65</v>
      </c>
      <c r="AT1663" s="3" t="s">
        <v>65</v>
      </c>
      <c r="AV1663" s="6" t="str">
        <f>HYPERLINK("http://mcgill.on.worldcat.org/oclc/781553948","Catalog Record")</f>
        <v>Catalog Record</v>
      </c>
      <c r="AW1663" s="6" t="str">
        <f>HYPERLINK("http://www.worldcat.org/oclc/781553948","WorldCat Record")</f>
        <v>WorldCat Record</v>
      </c>
      <c r="AX1663" s="3" t="s">
        <v>16264</v>
      </c>
      <c r="AY1663" s="3" t="s">
        <v>16265</v>
      </c>
      <c r="AZ1663" s="3" t="s">
        <v>16266</v>
      </c>
      <c r="BA1663" s="3" t="s">
        <v>16266</v>
      </c>
      <c r="BB1663" s="3" t="s">
        <v>16267</v>
      </c>
      <c r="BC1663" s="3" t="s">
        <v>77</v>
      </c>
      <c r="BD1663" s="3" t="s">
        <v>78</v>
      </c>
      <c r="BE1663" s="3" t="s">
        <v>16268</v>
      </c>
      <c r="BF1663" s="3" t="s">
        <v>16267</v>
      </c>
      <c r="BG1663" s="3" t="s">
        <v>16269</v>
      </c>
    </row>
    <row r="1664" spans="1:59" ht="58" x14ac:dyDescent="0.35">
      <c r="A1664" s="2" t="s">
        <v>59</v>
      </c>
      <c r="B1664" s="2" t="s">
        <v>60</v>
      </c>
      <c r="C1664" s="2" t="s">
        <v>16270</v>
      </c>
      <c r="D1664" s="2" t="s">
        <v>16271</v>
      </c>
      <c r="E1664" s="2" t="s">
        <v>16272</v>
      </c>
      <c r="G1664" s="3" t="s">
        <v>65</v>
      </c>
      <c r="I1664" s="3" t="s">
        <v>65</v>
      </c>
      <c r="J1664" s="3" t="s">
        <v>65</v>
      </c>
      <c r="K1664" s="3" t="s">
        <v>66</v>
      </c>
      <c r="L1664" s="2" t="s">
        <v>16273</v>
      </c>
      <c r="M1664" s="2" t="s">
        <v>16274</v>
      </c>
      <c r="N1664" s="3" t="s">
        <v>152</v>
      </c>
      <c r="P1664" s="3" t="s">
        <v>140</v>
      </c>
      <c r="Q1664" s="2" t="s">
        <v>16275</v>
      </c>
      <c r="R1664" s="3" t="s">
        <v>71</v>
      </c>
      <c r="S1664" s="4">
        <v>0</v>
      </c>
      <c r="T1664" s="4">
        <v>0</v>
      </c>
      <c r="W1664" s="5" t="s">
        <v>72</v>
      </c>
      <c r="X1664" s="5" t="s">
        <v>72</v>
      </c>
      <c r="Y1664" s="4">
        <v>32</v>
      </c>
      <c r="Z1664" s="4">
        <v>3</v>
      </c>
      <c r="AA1664" s="4">
        <v>3</v>
      </c>
      <c r="AB1664" s="4">
        <v>1</v>
      </c>
      <c r="AC1664" s="4">
        <v>1</v>
      </c>
      <c r="AD1664" s="4">
        <v>20</v>
      </c>
      <c r="AE1664" s="4">
        <v>20</v>
      </c>
      <c r="AF1664" s="4">
        <v>0</v>
      </c>
      <c r="AG1664" s="4">
        <v>0</v>
      </c>
      <c r="AH1664" s="4">
        <v>19</v>
      </c>
      <c r="AI1664" s="4">
        <v>19</v>
      </c>
      <c r="AJ1664" s="4">
        <v>1</v>
      </c>
      <c r="AK1664" s="4">
        <v>1</v>
      </c>
      <c r="AL1664" s="4">
        <v>16</v>
      </c>
      <c r="AM1664" s="4">
        <v>16</v>
      </c>
      <c r="AN1664" s="4">
        <v>0</v>
      </c>
      <c r="AO1664" s="4">
        <v>0</v>
      </c>
      <c r="AP1664" s="4">
        <v>1</v>
      </c>
      <c r="AQ1664" s="4">
        <v>1</v>
      </c>
      <c r="AR1664" s="3" t="s">
        <v>65</v>
      </c>
      <c r="AS1664" s="3" t="s">
        <v>65</v>
      </c>
      <c r="AT1664" s="3" t="s">
        <v>65</v>
      </c>
      <c r="AV1664" s="6" t="str">
        <f>HYPERLINK("http://mcgill.on.worldcat.org/oclc/829689667","Catalog Record")</f>
        <v>Catalog Record</v>
      </c>
      <c r="AW1664" s="6" t="str">
        <f>HYPERLINK("http://www.worldcat.org/oclc/829689667","WorldCat Record")</f>
        <v>WorldCat Record</v>
      </c>
      <c r="AX1664" s="3" t="s">
        <v>16276</v>
      </c>
      <c r="AY1664" s="3" t="s">
        <v>16277</v>
      </c>
      <c r="AZ1664" s="3" t="s">
        <v>16278</v>
      </c>
      <c r="BA1664" s="3" t="s">
        <v>16278</v>
      </c>
      <c r="BB1664" s="3" t="s">
        <v>16279</v>
      </c>
      <c r="BC1664" s="3" t="s">
        <v>77</v>
      </c>
      <c r="BD1664" s="3" t="s">
        <v>78</v>
      </c>
      <c r="BE1664" s="3" t="s">
        <v>16280</v>
      </c>
      <c r="BF1664" s="3" t="s">
        <v>16279</v>
      </c>
      <c r="BG1664" s="3" t="s">
        <v>16281</v>
      </c>
    </row>
    <row r="1665" spans="1:59" ht="58" x14ac:dyDescent="0.35">
      <c r="A1665" s="2" t="s">
        <v>59</v>
      </c>
      <c r="B1665" s="2" t="s">
        <v>60</v>
      </c>
      <c r="C1665" s="2" t="s">
        <v>16282</v>
      </c>
      <c r="D1665" s="2" t="s">
        <v>16283</v>
      </c>
      <c r="E1665" s="2" t="s">
        <v>16284</v>
      </c>
      <c r="G1665" s="3" t="s">
        <v>65</v>
      </c>
      <c r="I1665" s="3" t="s">
        <v>65</v>
      </c>
      <c r="J1665" s="3" t="s">
        <v>65</v>
      </c>
      <c r="K1665" s="3" t="s">
        <v>66</v>
      </c>
      <c r="L1665" s="2" t="s">
        <v>2735</v>
      </c>
      <c r="M1665" s="2" t="s">
        <v>16285</v>
      </c>
      <c r="N1665" s="3" t="s">
        <v>770</v>
      </c>
      <c r="P1665" s="3" t="s">
        <v>69</v>
      </c>
      <c r="Q1665" s="2" t="s">
        <v>16286</v>
      </c>
      <c r="R1665" s="3" t="s">
        <v>71</v>
      </c>
      <c r="S1665" s="4">
        <v>9</v>
      </c>
      <c r="T1665" s="4">
        <v>9</v>
      </c>
      <c r="U1665" s="5" t="s">
        <v>16287</v>
      </c>
      <c r="V1665" s="5" t="s">
        <v>16287</v>
      </c>
      <c r="W1665" s="5" t="s">
        <v>72</v>
      </c>
      <c r="X1665" s="5" t="s">
        <v>72</v>
      </c>
      <c r="Y1665" s="4">
        <v>147</v>
      </c>
      <c r="Z1665" s="4">
        <v>8</v>
      </c>
      <c r="AA1665" s="4">
        <v>8</v>
      </c>
      <c r="AB1665" s="4">
        <v>1</v>
      </c>
      <c r="AC1665" s="4">
        <v>1</v>
      </c>
      <c r="AD1665" s="4">
        <v>77</v>
      </c>
      <c r="AE1665" s="4">
        <v>77</v>
      </c>
      <c r="AF1665" s="4">
        <v>0</v>
      </c>
      <c r="AG1665" s="4">
        <v>0</v>
      </c>
      <c r="AH1665" s="4">
        <v>70</v>
      </c>
      <c r="AI1665" s="4">
        <v>70</v>
      </c>
      <c r="AJ1665" s="4">
        <v>7</v>
      </c>
      <c r="AK1665" s="4">
        <v>7</v>
      </c>
      <c r="AL1665" s="4">
        <v>46</v>
      </c>
      <c r="AM1665" s="4">
        <v>46</v>
      </c>
      <c r="AN1665" s="4">
        <v>0</v>
      </c>
      <c r="AO1665" s="4">
        <v>0</v>
      </c>
      <c r="AP1665" s="4">
        <v>7</v>
      </c>
      <c r="AQ1665" s="4">
        <v>7</v>
      </c>
      <c r="AR1665" s="3" t="s">
        <v>65</v>
      </c>
      <c r="AS1665" s="3" t="s">
        <v>65</v>
      </c>
      <c r="AT1665" s="3" t="s">
        <v>209</v>
      </c>
      <c r="AU1665" s="6" t="str">
        <f>HYPERLINK("http://catalog.hathitrust.org/Record/002505688","HathiTrust Record")</f>
        <v>HathiTrust Record</v>
      </c>
      <c r="AV1665" s="6" t="str">
        <f>HYPERLINK("http://mcgill.on.worldcat.org/oclc/26433142","Catalog Record")</f>
        <v>Catalog Record</v>
      </c>
      <c r="AW1665" s="6" t="str">
        <f>HYPERLINK("http://www.worldcat.org/oclc/26433142","WorldCat Record")</f>
        <v>WorldCat Record</v>
      </c>
      <c r="AX1665" s="3" t="s">
        <v>16288</v>
      </c>
      <c r="AY1665" s="3" t="s">
        <v>16289</v>
      </c>
      <c r="AZ1665" s="3" t="s">
        <v>16290</v>
      </c>
      <c r="BA1665" s="3" t="s">
        <v>16290</v>
      </c>
      <c r="BB1665" s="3" t="s">
        <v>16291</v>
      </c>
      <c r="BC1665" s="3" t="s">
        <v>77</v>
      </c>
      <c r="BD1665" s="3" t="s">
        <v>78</v>
      </c>
      <c r="BF1665" s="3" t="s">
        <v>16291</v>
      </c>
      <c r="BG1665" s="3" t="s">
        <v>16292</v>
      </c>
    </row>
    <row r="1666" spans="1:59" ht="58" x14ac:dyDescent="0.35">
      <c r="A1666" s="2" t="s">
        <v>59</v>
      </c>
      <c r="B1666" s="2" t="s">
        <v>60</v>
      </c>
      <c r="C1666" s="2" t="s">
        <v>16293</v>
      </c>
      <c r="D1666" s="2" t="s">
        <v>16294</v>
      </c>
      <c r="E1666" s="2" t="s">
        <v>16295</v>
      </c>
      <c r="G1666" s="3" t="s">
        <v>65</v>
      </c>
      <c r="I1666" s="3" t="s">
        <v>65</v>
      </c>
      <c r="J1666" s="3" t="s">
        <v>65</v>
      </c>
      <c r="K1666" s="3" t="s">
        <v>66</v>
      </c>
      <c r="L1666" s="2" t="s">
        <v>16296</v>
      </c>
      <c r="M1666" s="2" t="s">
        <v>16297</v>
      </c>
      <c r="N1666" s="3" t="s">
        <v>863</v>
      </c>
      <c r="P1666" s="3" t="s">
        <v>69</v>
      </c>
      <c r="R1666" s="3" t="s">
        <v>71</v>
      </c>
      <c r="S1666" s="4">
        <v>30</v>
      </c>
      <c r="T1666" s="4">
        <v>30</v>
      </c>
      <c r="U1666" s="5" t="s">
        <v>16298</v>
      </c>
      <c r="V1666" s="5" t="s">
        <v>16298</v>
      </c>
      <c r="W1666" s="5" t="s">
        <v>72</v>
      </c>
      <c r="X1666" s="5" t="s">
        <v>72</v>
      </c>
      <c r="Y1666" s="4">
        <v>306</v>
      </c>
      <c r="Z1666" s="4">
        <v>21</v>
      </c>
      <c r="AA1666" s="4">
        <v>41</v>
      </c>
      <c r="AB1666" s="4">
        <v>2</v>
      </c>
      <c r="AC1666" s="4">
        <v>7</v>
      </c>
      <c r="AD1666" s="4">
        <v>104</v>
      </c>
      <c r="AE1666" s="4">
        <v>125</v>
      </c>
      <c r="AF1666" s="4">
        <v>1</v>
      </c>
      <c r="AG1666" s="4">
        <v>3</v>
      </c>
      <c r="AH1666" s="4">
        <v>95</v>
      </c>
      <c r="AI1666" s="4">
        <v>106</v>
      </c>
      <c r="AJ1666" s="4">
        <v>12</v>
      </c>
      <c r="AK1666" s="4">
        <v>22</v>
      </c>
      <c r="AL1666" s="4">
        <v>55</v>
      </c>
      <c r="AM1666" s="4">
        <v>59</v>
      </c>
      <c r="AN1666" s="4">
        <v>0</v>
      </c>
      <c r="AO1666" s="4">
        <v>0</v>
      </c>
      <c r="AP1666" s="4">
        <v>14</v>
      </c>
      <c r="AQ1666" s="4">
        <v>26</v>
      </c>
      <c r="AR1666" s="3" t="s">
        <v>65</v>
      </c>
      <c r="AS1666" s="3" t="s">
        <v>65</v>
      </c>
      <c r="AT1666" s="3" t="s">
        <v>65</v>
      </c>
      <c r="AV1666" s="6" t="str">
        <f>HYPERLINK("http://mcgill.on.worldcat.org/oclc/26132960","Catalog Record")</f>
        <v>Catalog Record</v>
      </c>
      <c r="AW1666" s="6" t="str">
        <f>HYPERLINK("http://www.worldcat.org/oclc/26132960","WorldCat Record")</f>
        <v>WorldCat Record</v>
      </c>
      <c r="AX1666" s="3" t="s">
        <v>16299</v>
      </c>
      <c r="AY1666" s="3" t="s">
        <v>16300</v>
      </c>
      <c r="AZ1666" s="3" t="s">
        <v>16301</v>
      </c>
      <c r="BA1666" s="3" t="s">
        <v>16301</v>
      </c>
      <c r="BB1666" s="3" t="s">
        <v>16302</v>
      </c>
      <c r="BC1666" s="3" t="s">
        <v>77</v>
      </c>
      <c r="BD1666" s="3" t="s">
        <v>78</v>
      </c>
      <c r="BE1666" s="3" t="s">
        <v>16303</v>
      </c>
      <c r="BF1666" s="3" t="s">
        <v>16302</v>
      </c>
      <c r="BG1666" s="3" t="s">
        <v>16304</v>
      </c>
    </row>
    <row r="1667" spans="1:59" ht="58" x14ac:dyDescent="0.35">
      <c r="A1667" s="2" t="s">
        <v>59</v>
      </c>
      <c r="B1667" s="2" t="s">
        <v>60</v>
      </c>
      <c r="C1667" s="2" t="s">
        <v>16305</v>
      </c>
      <c r="D1667" s="2" t="s">
        <v>16306</v>
      </c>
      <c r="E1667" s="2" t="s">
        <v>16307</v>
      </c>
      <c r="G1667" s="3" t="s">
        <v>65</v>
      </c>
      <c r="I1667" s="3" t="s">
        <v>65</v>
      </c>
      <c r="J1667" s="3" t="s">
        <v>65</v>
      </c>
      <c r="K1667" s="3" t="s">
        <v>66</v>
      </c>
      <c r="L1667" s="2" t="s">
        <v>16308</v>
      </c>
      <c r="M1667" s="2" t="s">
        <v>16309</v>
      </c>
      <c r="N1667" s="3" t="s">
        <v>1032</v>
      </c>
      <c r="P1667" s="3" t="s">
        <v>140</v>
      </c>
      <c r="Q1667" s="2" t="s">
        <v>16310</v>
      </c>
      <c r="R1667" s="3" t="s">
        <v>71</v>
      </c>
      <c r="S1667" s="4">
        <v>17</v>
      </c>
      <c r="T1667" s="4">
        <v>17</v>
      </c>
      <c r="U1667" s="5" t="s">
        <v>16298</v>
      </c>
      <c r="V1667" s="5" t="s">
        <v>16298</v>
      </c>
      <c r="W1667" s="5" t="s">
        <v>72</v>
      </c>
      <c r="X1667" s="5" t="s">
        <v>72</v>
      </c>
      <c r="Y1667" s="4">
        <v>54</v>
      </c>
      <c r="Z1667" s="4">
        <v>5</v>
      </c>
      <c r="AA1667" s="4">
        <v>18</v>
      </c>
      <c r="AB1667" s="4">
        <v>1</v>
      </c>
      <c r="AC1667" s="4">
        <v>4</v>
      </c>
      <c r="AD1667" s="4">
        <v>26</v>
      </c>
      <c r="AE1667" s="4">
        <v>77</v>
      </c>
      <c r="AF1667" s="4">
        <v>0</v>
      </c>
      <c r="AG1667" s="4">
        <v>2</v>
      </c>
      <c r="AH1667" s="4">
        <v>24</v>
      </c>
      <c r="AI1667" s="4">
        <v>68</v>
      </c>
      <c r="AJ1667" s="4">
        <v>3</v>
      </c>
      <c r="AK1667" s="4">
        <v>13</v>
      </c>
      <c r="AL1667" s="4">
        <v>20</v>
      </c>
      <c r="AM1667" s="4">
        <v>46</v>
      </c>
      <c r="AN1667" s="4">
        <v>0</v>
      </c>
      <c r="AO1667" s="4">
        <v>0</v>
      </c>
      <c r="AP1667" s="4">
        <v>3</v>
      </c>
      <c r="AQ1667" s="4">
        <v>13</v>
      </c>
      <c r="AR1667" s="3" t="s">
        <v>65</v>
      </c>
      <c r="AS1667" s="3" t="s">
        <v>65</v>
      </c>
      <c r="AT1667" s="3" t="s">
        <v>65</v>
      </c>
      <c r="AV1667" s="6" t="str">
        <f>HYPERLINK("http://mcgill.on.worldcat.org/oclc/34802678","Catalog Record")</f>
        <v>Catalog Record</v>
      </c>
      <c r="AW1667" s="6" t="str">
        <f>HYPERLINK("http://www.worldcat.org/oclc/34802678","WorldCat Record")</f>
        <v>WorldCat Record</v>
      </c>
      <c r="AX1667" s="3" t="s">
        <v>16311</v>
      </c>
      <c r="AY1667" s="3" t="s">
        <v>16312</v>
      </c>
      <c r="AZ1667" s="3" t="s">
        <v>16313</v>
      </c>
      <c r="BA1667" s="3" t="s">
        <v>16313</v>
      </c>
      <c r="BB1667" s="3" t="s">
        <v>16314</v>
      </c>
      <c r="BC1667" s="3" t="s">
        <v>77</v>
      </c>
      <c r="BD1667" s="3" t="s">
        <v>78</v>
      </c>
      <c r="BE1667" s="3" t="s">
        <v>16315</v>
      </c>
      <c r="BF1667" s="3" t="s">
        <v>16314</v>
      </c>
      <c r="BG1667" s="3" t="s">
        <v>16316</v>
      </c>
    </row>
    <row r="1668" spans="1:59" ht="72.5" x14ac:dyDescent="0.35">
      <c r="A1668" s="2" t="s">
        <v>59</v>
      </c>
      <c r="B1668" s="2" t="s">
        <v>5411</v>
      </c>
      <c r="C1668" s="2" t="s">
        <v>16317</v>
      </c>
      <c r="D1668" s="2" t="s">
        <v>16318</v>
      </c>
      <c r="E1668" s="2" t="s">
        <v>16319</v>
      </c>
      <c r="G1668" s="3" t="s">
        <v>65</v>
      </c>
      <c r="I1668" s="3" t="s">
        <v>65</v>
      </c>
      <c r="J1668" s="3" t="s">
        <v>65</v>
      </c>
      <c r="K1668" s="3" t="s">
        <v>66</v>
      </c>
      <c r="L1668" s="2" t="s">
        <v>16320</v>
      </c>
      <c r="M1668" s="2" t="s">
        <v>16321</v>
      </c>
      <c r="N1668" s="3" t="s">
        <v>1895</v>
      </c>
      <c r="P1668" s="3" t="s">
        <v>69</v>
      </c>
      <c r="Q1668" s="2" t="s">
        <v>15547</v>
      </c>
      <c r="R1668" s="3" t="s">
        <v>71</v>
      </c>
      <c r="S1668" s="4">
        <v>16</v>
      </c>
      <c r="T1668" s="4">
        <v>16</v>
      </c>
      <c r="U1668" s="5" t="s">
        <v>1369</v>
      </c>
      <c r="V1668" s="5" t="s">
        <v>1369</v>
      </c>
      <c r="W1668" s="5" t="s">
        <v>72</v>
      </c>
      <c r="X1668" s="5" t="s">
        <v>72</v>
      </c>
      <c r="Y1668" s="4">
        <v>378</v>
      </c>
      <c r="Z1668" s="4">
        <v>21</v>
      </c>
      <c r="AA1668" s="4">
        <v>111</v>
      </c>
      <c r="AB1668" s="4">
        <v>2</v>
      </c>
      <c r="AC1668" s="4">
        <v>17</v>
      </c>
      <c r="AD1668" s="4">
        <v>104</v>
      </c>
      <c r="AE1668" s="4">
        <v>145</v>
      </c>
      <c r="AF1668" s="4">
        <v>1</v>
      </c>
      <c r="AG1668" s="4">
        <v>8</v>
      </c>
      <c r="AH1668" s="4">
        <v>94</v>
      </c>
      <c r="AI1668" s="4">
        <v>105</v>
      </c>
      <c r="AJ1668" s="4">
        <v>13</v>
      </c>
      <c r="AK1668" s="4">
        <v>25</v>
      </c>
      <c r="AL1668" s="4">
        <v>55</v>
      </c>
      <c r="AM1668" s="4">
        <v>57</v>
      </c>
      <c r="AN1668" s="4">
        <v>0</v>
      </c>
      <c r="AO1668" s="4">
        <v>0</v>
      </c>
      <c r="AP1668" s="4">
        <v>15</v>
      </c>
      <c r="AQ1668" s="4">
        <v>48</v>
      </c>
      <c r="AR1668" s="3" t="s">
        <v>65</v>
      </c>
      <c r="AS1668" s="3" t="s">
        <v>65</v>
      </c>
      <c r="AT1668" s="3" t="s">
        <v>65</v>
      </c>
      <c r="AV1668" s="6" t="str">
        <f>HYPERLINK("http://mcgill.on.worldcat.org/oclc/39157718","Catalog Record")</f>
        <v>Catalog Record</v>
      </c>
      <c r="AW1668" s="6" t="str">
        <f>HYPERLINK("http://www.worldcat.org/oclc/39157718","WorldCat Record")</f>
        <v>WorldCat Record</v>
      </c>
      <c r="AX1668" s="3" t="s">
        <v>16322</v>
      </c>
      <c r="AY1668" s="3" t="s">
        <v>16323</v>
      </c>
      <c r="AZ1668" s="3" t="s">
        <v>16324</v>
      </c>
      <c r="BA1668" s="3" t="s">
        <v>16324</v>
      </c>
      <c r="BB1668" s="3" t="s">
        <v>16325</v>
      </c>
      <c r="BC1668" s="3" t="s">
        <v>77</v>
      </c>
      <c r="BD1668" s="3" t="s">
        <v>78</v>
      </c>
      <c r="BE1668" s="3" t="s">
        <v>16326</v>
      </c>
      <c r="BF1668" s="3" t="s">
        <v>16325</v>
      </c>
      <c r="BG1668" s="3" t="s">
        <v>16327</v>
      </c>
    </row>
    <row r="1669" spans="1:59" ht="58" x14ac:dyDescent="0.35">
      <c r="A1669" s="2" t="s">
        <v>59</v>
      </c>
      <c r="B1669" s="2" t="s">
        <v>60</v>
      </c>
      <c r="C1669" s="2" t="s">
        <v>16328</v>
      </c>
      <c r="D1669" s="2" t="s">
        <v>16329</v>
      </c>
      <c r="E1669" s="2" t="s">
        <v>16330</v>
      </c>
      <c r="G1669" s="3" t="s">
        <v>65</v>
      </c>
      <c r="I1669" s="3" t="s">
        <v>65</v>
      </c>
      <c r="J1669" s="3" t="s">
        <v>65</v>
      </c>
      <c r="K1669" s="3" t="s">
        <v>66</v>
      </c>
      <c r="L1669" s="2" t="s">
        <v>16308</v>
      </c>
      <c r="M1669" s="2" t="s">
        <v>16331</v>
      </c>
      <c r="N1669" s="3" t="s">
        <v>1895</v>
      </c>
      <c r="P1669" s="3" t="s">
        <v>140</v>
      </c>
      <c r="Q1669" s="2" t="s">
        <v>16332</v>
      </c>
      <c r="R1669" s="3" t="s">
        <v>71</v>
      </c>
      <c r="S1669" s="4">
        <v>11</v>
      </c>
      <c r="T1669" s="4">
        <v>11</v>
      </c>
      <c r="U1669" s="5" t="s">
        <v>16298</v>
      </c>
      <c r="V1669" s="5" t="s">
        <v>16298</v>
      </c>
      <c r="W1669" s="5" t="s">
        <v>72</v>
      </c>
      <c r="X1669" s="5" t="s">
        <v>72</v>
      </c>
      <c r="Y1669" s="4">
        <v>57</v>
      </c>
      <c r="Z1669" s="4">
        <v>4</v>
      </c>
      <c r="AA1669" s="4">
        <v>4</v>
      </c>
      <c r="AB1669" s="4">
        <v>1</v>
      </c>
      <c r="AC1669" s="4">
        <v>1</v>
      </c>
      <c r="AD1669" s="4">
        <v>32</v>
      </c>
      <c r="AE1669" s="4">
        <v>32</v>
      </c>
      <c r="AF1669" s="4">
        <v>0</v>
      </c>
      <c r="AG1669" s="4">
        <v>0</v>
      </c>
      <c r="AH1669" s="4">
        <v>31</v>
      </c>
      <c r="AI1669" s="4">
        <v>31</v>
      </c>
      <c r="AJ1669" s="4">
        <v>2</v>
      </c>
      <c r="AK1669" s="4">
        <v>2</v>
      </c>
      <c r="AL1669" s="4">
        <v>23</v>
      </c>
      <c r="AM1669" s="4">
        <v>23</v>
      </c>
      <c r="AN1669" s="4">
        <v>0</v>
      </c>
      <c r="AO1669" s="4">
        <v>0</v>
      </c>
      <c r="AP1669" s="4">
        <v>2</v>
      </c>
      <c r="AQ1669" s="4">
        <v>2</v>
      </c>
      <c r="AR1669" s="3" t="s">
        <v>65</v>
      </c>
      <c r="AS1669" s="3" t="s">
        <v>65</v>
      </c>
      <c r="AT1669" s="3" t="s">
        <v>65</v>
      </c>
      <c r="AV1669" s="6" t="str">
        <f>HYPERLINK("http://mcgill.on.worldcat.org/oclc/39023701","Catalog Record")</f>
        <v>Catalog Record</v>
      </c>
      <c r="AW1669" s="6" t="str">
        <f>HYPERLINK("http://www.worldcat.org/oclc/39023701","WorldCat Record")</f>
        <v>WorldCat Record</v>
      </c>
      <c r="AX1669" s="3" t="s">
        <v>16333</v>
      </c>
      <c r="AY1669" s="3" t="s">
        <v>16334</v>
      </c>
      <c r="AZ1669" s="3" t="s">
        <v>16335</v>
      </c>
      <c r="BA1669" s="3" t="s">
        <v>16335</v>
      </c>
      <c r="BB1669" s="3" t="s">
        <v>16336</v>
      </c>
      <c r="BC1669" s="3" t="s">
        <v>77</v>
      </c>
      <c r="BD1669" s="3" t="s">
        <v>78</v>
      </c>
      <c r="BE1669" s="3" t="s">
        <v>16337</v>
      </c>
      <c r="BF1669" s="3" t="s">
        <v>16336</v>
      </c>
      <c r="BG1669" s="3" t="s">
        <v>16338</v>
      </c>
    </row>
    <row r="1670" spans="1:59" ht="58" x14ac:dyDescent="0.35">
      <c r="A1670" s="2" t="s">
        <v>59</v>
      </c>
      <c r="B1670" s="2" t="s">
        <v>60</v>
      </c>
      <c r="C1670" s="2" t="s">
        <v>16339</v>
      </c>
      <c r="D1670" s="2" t="s">
        <v>16340</v>
      </c>
      <c r="E1670" s="2" t="s">
        <v>16341</v>
      </c>
      <c r="G1670" s="3" t="s">
        <v>65</v>
      </c>
      <c r="I1670" s="3" t="s">
        <v>65</v>
      </c>
      <c r="J1670" s="3" t="s">
        <v>65</v>
      </c>
      <c r="K1670" s="3" t="s">
        <v>66</v>
      </c>
      <c r="L1670" s="2" t="s">
        <v>16342</v>
      </c>
      <c r="M1670" s="2" t="s">
        <v>16343</v>
      </c>
      <c r="N1670" s="3" t="s">
        <v>3448</v>
      </c>
      <c r="P1670" s="3" t="s">
        <v>140</v>
      </c>
      <c r="Q1670" s="2" t="s">
        <v>16344</v>
      </c>
      <c r="R1670" s="3" t="s">
        <v>71</v>
      </c>
      <c r="S1670" s="4">
        <v>4</v>
      </c>
      <c r="T1670" s="4">
        <v>4</v>
      </c>
      <c r="U1670" s="5" t="s">
        <v>10744</v>
      </c>
      <c r="V1670" s="5" t="s">
        <v>10744</v>
      </c>
      <c r="W1670" s="5" t="s">
        <v>72</v>
      </c>
      <c r="X1670" s="5" t="s">
        <v>72</v>
      </c>
      <c r="Y1670" s="4">
        <v>41</v>
      </c>
      <c r="Z1670" s="4">
        <v>10</v>
      </c>
      <c r="AA1670" s="4">
        <v>10</v>
      </c>
      <c r="AB1670" s="4">
        <v>1</v>
      </c>
      <c r="AC1670" s="4">
        <v>1</v>
      </c>
      <c r="AD1670" s="4">
        <v>27</v>
      </c>
      <c r="AE1670" s="4">
        <v>28</v>
      </c>
      <c r="AF1670" s="4">
        <v>0</v>
      </c>
      <c r="AG1670" s="4">
        <v>0</v>
      </c>
      <c r="AH1670" s="4">
        <v>23</v>
      </c>
      <c r="AI1670" s="4">
        <v>24</v>
      </c>
      <c r="AJ1670" s="4">
        <v>8</v>
      </c>
      <c r="AK1670" s="4">
        <v>8</v>
      </c>
      <c r="AL1670" s="4">
        <v>15</v>
      </c>
      <c r="AM1670" s="4">
        <v>16</v>
      </c>
      <c r="AN1670" s="4">
        <v>0</v>
      </c>
      <c r="AO1670" s="4">
        <v>0</v>
      </c>
      <c r="AP1670" s="4">
        <v>8</v>
      </c>
      <c r="AQ1670" s="4">
        <v>8</v>
      </c>
      <c r="AR1670" s="3" t="s">
        <v>65</v>
      </c>
      <c r="AS1670" s="3" t="s">
        <v>65</v>
      </c>
      <c r="AT1670" s="3" t="s">
        <v>209</v>
      </c>
      <c r="AU1670" s="6" t="str">
        <f>HYPERLINK("http://catalog.hathitrust.org/Record/007959262","HathiTrust Record")</f>
        <v>HathiTrust Record</v>
      </c>
      <c r="AV1670" s="6" t="str">
        <f>HYPERLINK("http://mcgill.on.worldcat.org/oclc/6637450","Catalog Record")</f>
        <v>Catalog Record</v>
      </c>
      <c r="AW1670" s="6" t="str">
        <f>HYPERLINK("http://www.worldcat.org/oclc/6637450","WorldCat Record")</f>
        <v>WorldCat Record</v>
      </c>
      <c r="AX1670" s="3" t="s">
        <v>16345</v>
      </c>
      <c r="AY1670" s="3" t="s">
        <v>16346</v>
      </c>
      <c r="AZ1670" s="3" t="s">
        <v>16347</v>
      </c>
      <c r="BA1670" s="3" t="s">
        <v>16347</v>
      </c>
      <c r="BB1670" s="3" t="s">
        <v>16348</v>
      </c>
      <c r="BC1670" s="3" t="s">
        <v>77</v>
      </c>
      <c r="BD1670" s="3" t="s">
        <v>78</v>
      </c>
      <c r="BF1670" s="3" t="s">
        <v>16348</v>
      </c>
      <c r="BG1670" s="3" t="s">
        <v>16349</v>
      </c>
    </row>
    <row r="1671" spans="1:59" ht="58" x14ac:dyDescent="0.35">
      <c r="A1671" s="2" t="s">
        <v>59</v>
      </c>
      <c r="B1671" s="2" t="s">
        <v>60</v>
      </c>
      <c r="C1671" s="2" t="s">
        <v>16350</v>
      </c>
      <c r="D1671" s="2" t="s">
        <v>16351</v>
      </c>
      <c r="E1671" s="2" t="s">
        <v>16352</v>
      </c>
      <c r="G1671" s="3" t="s">
        <v>65</v>
      </c>
      <c r="I1671" s="3" t="s">
        <v>65</v>
      </c>
      <c r="J1671" s="3" t="s">
        <v>209</v>
      </c>
      <c r="K1671" s="3" t="s">
        <v>66</v>
      </c>
      <c r="L1671" s="2" t="s">
        <v>16353</v>
      </c>
      <c r="M1671" s="2" t="s">
        <v>16354</v>
      </c>
      <c r="N1671" s="3" t="s">
        <v>1151</v>
      </c>
      <c r="O1671" s="2" t="s">
        <v>365</v>
      </c>
      <c r="P1671" s="3" t="s">
        <v>140</v>
      </c>
      <c r="Q1671" s="2" t="s">
        <v>16355</v>
      </c>
      <c r="R1671" s="3" t="s">
        <v>71</v>
      </c>
      <c r="S1671" s="4">
        <v>2</v>
      </c>
      <c r="T1671" s="4">
        <v>2</v>
      </c>
      <c r="U1671" s="5" t="s">
        <v>7175</v>
      </c>
      <c r="V1671" s="5" t="s">
        <v>7175</v>
      </c>
      <c r="W1671" s="5" t="s">
        <v>72</v>
      </c>
      <c r="X1671" s="5" t="s">
        <v>72</v>
      </c>
      <c r="Y1671" s="4">
        <v>58</v>
      </c>
      <c r="Z1671" s="4">
        <v>6</v>
      </c>
      <c r="AA1671" s="4">
        <v>12</v>
      </c>
      <c r="AB1671" s="4">
        <v>1</v>
      </c>
      <c r="AC1671" s="4">
        <v>2</v>
      </c>
      <c r="AD1671" s="4">
        <v>22</v>
      </c>
      <c r="AE1671" s="4">
        <v>63</v>
      </c>
      <c r="AF1671" s="4">
        <v>0</v>
      </c>
      <c r="AG1671" s="4">
        <v>1</v>
      </c>
      <c r="AH1671" s="4">
        <v>20</v>
      </c>
      <c r="AI1671" s="4">
        <v>56</v>
      </c>
      <c r="AJ1671" s="4">
        <v>4</v>
      </c>
      <c r="AK1671" s="4">
        <v>8</v>
      </c>
      <c r="AL1671" s="4">
        <v>13</v>
      </c>
      <c r="AM1671" s="4">
        <v>34</v>
      </c>
      <c r="AN1671" s="4">
        <v>0</v>
      </c>
      <c r="AO1671" s="4">
        <v>0</v>
      </c>
      <c r="AP1671" s="4">
        <v>4</v>
      </c>
      <c r="AQ1671" s="4">
        <v>9</v>
      </c>
      <c r="AR1671" s="3" t="s">
        <v>65</v>
      </c>
      <c r="AS1671" s="3" t="s">
        <v>65</v>
      </c>
      <c r="AT1671" s="3" t="s">
        <v>209</v>
      </c>
      <c r="AU1671" s="6" t="str">
        <f>HYPERLINK("http://catalog.hathitrust.org/Record/007709063","HathiTrust Record")</f>
        <v>HathiTrust Record</v>
      </c>
      <c r="AV1671" s="6" t="str">
        <f>HYPERLINK("http://mcgill.on.worldcat.org/oclc/4638292","Catalog Record")</f>
        <v>Catalog Record</v>
      </c>
      <c r="AW1671" s="6" t="str">
        <f>HYPERLINK("http://www.worldcat.org/oclc/4638292","WorldCat Record")</f>
        <v>WorldCat Record</v>
      </c>
      <c r="AX1671" s="3" t="s">
        <v>16356</v>
      </c>
      <c r="AY1671" s="3" t="s">
        <v>16357</v>
      </c>
      <c r="AZ1671" s="3" t="s">
        <v>16358</v>
      </c>
      <c r="BA1671" s="3" t="s">
        <v>16358</v>
      </c>
      <c r="BB1671" s="3" t="s">
        <v>16359</v>
      </c>
      <c r="BC1671" s="3" t="s">
        <v>77</v>
      </c>
      <c r="BD1671" s="3" t="s">
        <v>78</v>
      </c>
      <c r="BE1671" s="3" t="s">
        <v>16360</v>
      </c>
      <c r="BF1671" s="3" t="s">
        <v>16359</v>
      </c>
      <c r="BG1671" s="3" t="s">
        <v>16361</v>
      </c>
    </row>
    <row r="1672" spans="1:59" ht="58" x14ac:dyDescent="0.35">
      <c r="A1672" s="2" t="s">
        <v>59</v>
      </c>
      <c r="B1672" s="2" t="s">
        <v>60</v>
      </c>
      <c r="C1672" s="2" t="s">
        <v>16362</v>
      </c>
      <c r="D1672" s="2" t="s">
        <v>16363</v>
      </c>
      <c r="E1672" s="2" t="s">
        <v>16364</v>
      </c>
      <c r="G1672" s="3" t="s">
        <v>65</v>
      </c>
      <c r="I1672" s="3" t="s">
        <v>65</v>
      </c>
      <c r="J1672" s="3" t="s">
        <v>65</v>
      </c>
      <c r="K1672" s="3" t="s">
        <v>66</v>
      </c>
      <c r="L1672" s="2" t="s">
        <v>16365</v>
      </c>
      <c r="M1672" s="2" t="s">
        <v>3487</v>
      </c>
      <c r="N1672" s="3" t="s">
        <v>113</v>
      </c>
      <c r="P1672" s="3" t="s">
        <v>140</v>
      </c>
      <c r="Q1672" s="2" t="s">
        <v>16366</v>
      </c>
      <c r="R1672" s="3" t="s">
        <v>71</v>
      </c>
      <c r="S1672" s="4">
        <v>0</v>
      </c>
      <c r="T1672" s="4">
        <v>0</v>
      </c>
      <c r="W1672" s="5" t="s">
        <v>72</v>
      </c>
      <c r="X1672" s="5" t="s">
        <v>72</v>
      </c>
      <c r="Y1672" s="4">
        <v>31</v>
      </c>
      <c r="Z1672" s="4">
        <v>3</v>
      </c>
      <c r="AA1672" s="4">
        <v>3</v>
      </c>
      <c r="AB1672" s="4">
        <v>1</v>
      </c>
      <c r="AC1672" s="4">
        <v>1</v>
      </c>
      <c r="AD1672" s="4">
        <v>20</v>
      </c>
      <c r="AE1672" s="4">
        <v>20</v>
      </c>
      <c r="AF1672" s="4">
        <v>0</v>
      </c>
      <c r="AG1672" s="4">
        <v>0</v>
      </c>
      <c r="AH1672" s="4">
        <v>19</v>
      </c>
      <c r="AI1672" s="4">
        <v>19</v>
      </c>
      <c r="AJ1672" s="4">
        <v>1</v>
      </c>
      <c r="AK1672" s="4">
        <v>1</v>
      </c>
      <c r="AL1672" s="4">
        <v>17</v>
      </c>
      <c r="AM1672" s="4">
        <v>17</v>
      </c>
      <c r="AN1672" s="4">
        <v>0</v>
      </c>
      <c r="AO1672" s="4">
        <v>0</v>
      </c>
      <c r="AP1672" s="4">
        <v>1</v>
      </c>
      <c r="AQ1672" s="4">
        <v>1</v>
      </c>
      <c r="AR1672" s="3" t="s">
        <v>65</v>
      </c>
      <c r="AS1672" s="3" t="s">
        <v>65</v>
      </c>
      <c r="AT1672" s="3" t="s">
        <v>65</v>
      </c>
      <c r="AV1672" s="6" t="str">
        <f>HYPERLINK("http://mcgill.on.worldcat.org/oclc/711514711","Catalog Record")</f>
        <v>Catalog Record</v>
      </c>
      <c r="AW1672" s="6" t="str">
        <f>HYPERLINK("http://www.worldcat.org/oclc/711514711","WorldCat Record")</f>
        <v>WorldCat Record</v>
      </c>
      <c r="AX1672" s="3" t="s">
        <v>16367</v>
      </c>
      <c r="AY1672" s="3" t="s">
        <v>16368</v>
      </c>
      <c r="AZ1672" s="3" t="s">
        <v>16369</v>
      </c>
      <c r="BA1672" s="3" t="s">
        <v>16369</v>
      </c>
      <c r="BB1672" s="3" t="s">
        <v>16370</v>
      </c>
      <c r="BC1672" s="3" t="s">
        <v>77</v>
      </c>
      <c r="BD1672" s="3" t="s">
        <v>78</v>
      </c>
      <c r="BE1672" s="3" t="s">
        <v>16371</v>
      </c>
      <c r="BF1672" s="3" t="s">
        <v>16370</v>
      </c>
      <c r="BG1672" s="3" t="s">
        <v>16372</v>
      </c>
    </row>
    <row r="1673" spans="1:59" ht="58" x14ac:dyDescent="0.35">
      <c r="A1673" s="2" t="s">
        <v>59</v>
      </c>
      <c r="B1673" s="2" t="s">
        <v>60</v>
      </c>
      <c r="C1673" s="2" t="s">
        <v>16373</v>
      </c>
      <c r="D1673" s="2" t="s">
        <v>16374</v>
      </c>
      <c r="E1673" s="2" t="s">
        <v>16375</v>
      </c>
      <c r="G1673" s="3" t="s">
        <v>65</v>
      </c>
      <c r="I1673" s="3" t="s">
        <v>65</v>
      </c>
      <c r="J1673" s="3" t="s">
        <v>65</v>
      </c>
      <c r="K1673" s="3" t="s">
        <v>66</v>
      </c>
      <c r="L1673" s="2" t="s">
        <v>16376</v>
      </c>
      <c r="M1673" s="2" t="s">
        <v>4606</v>
      </c>
      <c r="N1673" s="3" t="s">
        <v>139</v>
      </c>
      <c r="P1673" s="3" t="s">
        <v>140</v>
      </c>
      <c r="Q1673" s="2" t="s">
        <v>16377</v>
      </c>
      <c r="R1673" s="3" t="s">
        <v>71</v>
      </c>
      <c r="S1673" s="4">
        <v>0</v>
      </c>
      <c r="T1673" s="4">
        <v>0</v>
      </c>
      <c r="W1673" s="5" t="s">
        <v>72</v>
      </c>
      <c r="X1673" s="5" t="s">
        <v>72</v>
      </c>
      <c r="Y1673" s="4">
        <v>43</v>
      </c>
      <c r="Z1673" s="4">
        <v>3</v>
      </c>
      <c r="AA1673" s="4">
        <v>3</v>
      </c>
      <c r="AB1673" s="4">
        <v>1</v>
      </c>
      <c r="AC1673" s="4">
        <v>1</v>
      </c>
      <c r="AD1673" s="4">
        <v>29</v>
      </c>
      <c r="AE1673" s="4">
        <v>29</v>
      </c>
      <c r="AF1673" s="4">
        <v>0</v>
      </c>
      <c r="AG1673" s="4">
        <v>0</v>
      </c>
      <c r="AH1673" s="4">
        <v>28</v>
      </c>
      <c r="AI1673" s="4">
        <v>28</v>
      </c>
      <c r="AJ1673" s="4">
        <v>1</v>
      </c>
      <c r="AK1673" s="4">
        <v>1</v>
      </c>
      <c r="AL1673" s="4">
        <v>22</v>
      </c>
      <c r="AM1673" s="4">
        <v>22</v>
      </c>
      <c r="AN1673" s="4">
        <v>0</v>
      </c>
      <c r="AO1673" s="4">
        <v>0</v>
      </c>
      <c r="AP1673" s="4">
        <v>1</v>
      </c>
      <c r="AQ1673" s="4">
        <v>1</v>
      </c>
      <c r="AR1673" s="3" t="s">
        <v>65</v>
      </c>
      <c r="AS1673" s="3" t="s">
        <v>65</v>
      </c>
      <c r="AT1673" s="3" t="s">
        <v>65</v>
      </c>
      <c r="AV1673" s="6" t="str">
        <f>HYPERLINK("http://mcgill.on.worldcat.org/oclc/779253122","Catalog Record")</f>
        <v>Catalog Record</v>
      </c>
      <c r="AW1673" s="6" t="str">
        <f>HYPERLINK("http://www.worldcat.org/oclc/779253122","WorldCat Record")</f>
        <v>WorldCat Record</v>
      </c>
      <c r="AX1673" s="3" t="s">
        <v>16378</v>
      </c>
      <c r="AY1673" s="3" t="s">
        <v>16379</v>
      </c>
      <c r="AZ1673" s="3" t="s">
        <v>16380</v>
      </c>
      <c r="BA1673" s="3" t="s">
        <v>16380</v>
      </c>
      <c r="BB1673" s="3" t="s">
        <v>16381</v>
      </c>
      <c r="BC1673" s="3" t="s">
        <v>77</v>
      </c>
      <c r="BD1673" s="3" t="s">
        <v>78</v>
      </c>
      <c r="BE1673" s="3" t="s">
        <v>16382</v>
      </c>
      <c r="BF1673" s="3" t="s">
        <v>16381</v>
      </c>
      <c r="BG1673" s="3" t="s">
        <v>16383</v>
      </c>
    </row>
    <row r="1674" spans="1:59" ht="58" x14ac:dyDescent="0.35">
      <c r="A1674" s="2" t="s">
        <v>59</v>
      </c>
      <c r="B1674" s="2" t="s">
        <v>60</v>
      </c>
      <c r="C1674" s="2" t="s">
        <v>16384</v>
      </c>
      <c r="D1674" s="2" t="s">
        <v>16385</v>
      </c>
      <c r="E1674" s="2" t="s">
        <v>16386</v>
      </c>
      <c r="G1674" s="3" t="s">
        <v>65</v>
      </c>
      <c r="I1674" s="3" t="s">
        <v>65</v>
      </c>
      <c r="J1674" s="3" t="s">
        <v>65</v>
      </c>
      <c r="K1674" s="3" t="s">
        <v>66</v>
      </c>
      <c r="M1674" s="2" t="s">
        <v>16387</v>
      </c>
      <c r="N1674" s="3" t="s">
        <v>552</v>
      </c>
      <c r="P1674" s="3" t="s">
        <v>140</v>
      </c>
      <c r="Q1674" s="2" t="s">
        <v>16388</v>
      </c>
      <c r="R1674" s="3" t="s">
        <v>71</v>
      </c>
      <c r="S1674" s="4">
        <v>5</v>
      </c>
      <c r="T1674" s="4">
        <v>5</v>
      </c>
      <c r="U1674" s="5" t="s">
        <v>16389</v>
      </c>
      <c r="V1674" s="5" t="s">
        <v>16389</v>
      </c>
      <c r="W1674" s="5" t="s">
        <v>72</v>
      </c>
      <c r="X1674" s="5" t="s">
        <v>72</v>
      </c>
      <c r="Y1674" s="4">
        <v>54</v>
      </c>
      <c r="Z1674" s="4">
        <v>3</v>
      </c>
      <c r="AA1674" s="4">
        <v>3</v>
      </c>
      <c r="AB1674" s="4">
        <v>1</v>
      </c>
      <c r="AC1674" s="4">
        <v>1</v>
      </c>
      <c r="AD1674" s="4">
        <v>29</v>
      </c>
      <c r="AE1674" s="4">
        <v>29</v>
      </c>
      <c r="AF1674" s="4">
        <v>0</v>
      </c>
      <c r="AG1674" s="4">
        <v>0</v>
      </c>
      <c r="AH1674" s="4">
        <v>27</v>
      </c>
      <c r="AI1674" s="4">
        <v>27</v>
      </c>
      <c r="AJ1674" s="4">
        <v>1</v>
      </c>
      <c r="AK1674" s="4">
        <v>1</v>
      </c>
      <c r="AL1674" s="4">
        <v>25</v>
      </c>
      <c r="AM1674" s="4">
        <v>25</v>
      </c>
      <c r="AN1674" s="4">
        <v>0</v>
      </c>
      <c r="AO1674" s="4">
        <v>0</v>
      </c>
      <c r="AP1674" s="4">
        <v>1</v>
      </c>
      <c r="AQ1674" s="4">
        <v>1</v>
      </c>
      <c r="AR1674" s="3" t="s">
        <v>65</v>
      </c>
      <c r="AS1674" s="3" t="s">
        <v>65</v>
      </c>
      <c r="AT1674" s="3" t="s">
        <v>209</v>
      </c>
      <c r="AU1674" s="6" t="str">
        <f>HYPERLINK("http://catalog.hathitrust.org/Record/003350236","HathiTrust Record")</f>
        <v>HathiTrust Record</v>
      </c>
      <c r="AV1674" s="6" t="str">
        <f>HYPERLINK("http://mcgill.on.worldcat.org/oclc/39289232","Catalog Record")</f>
        <v>Catalog Record</v>
      </c>
      <c r="AW1674" s="6" t="str">
        <f>HYPERLINK("http://www.worldcat.org/oclc/39289232","WorldCat Record")</f>
        <v>WorldCat Record</v>
      </c>
      <c r="AX1674" s="3" t="s">
        <v>16390</v>
      </c>
      <c r="AY1674" s="3" t="s">
        <v>16391</v>
      </c>
      <c r="AZ1674" s="3" t="s">
        <v>16392</v>
      </c>
      <c r="BA1674" s="3" t="s">
        <v>16392</v>
      </c>
      <c r="BB1674" s="3" t="s">
        <v>16393</v>
      </c>
      <c r="BC1674" s="3" t="s">
        <v>77</v>
      </c>
      <c r="BD1674" s="3" t="s">
        <v>78</v>
      </c>
      <c r="BE1674" s="3" t="s">
        <v>16394</v>
      </c>
      <c r="BF1674" s="3" t="s">
        <v>16393</v>
      </c>
      <c r="BG1674" s="3" t="s">
        <v>16395</v>
      </c>
    </row>
    <row r="1675" spans="1:59" ht="72.5" x14ac:dyDescent="0.35">
      <c r="A1675" s="2" t="s">
        <v>59</v>
      </c>
      <c r="B1675" s="2" t="s">
        <v>60</v>
      </c>
      <c r="C1675" s="2" t="s">
        <v>16396</v>
      </c>
      <c r="D1675" s="2" t="s">
        <v>16397</v>
      </c>
      <c r="E1675" s="2" t="s">
        <v>16398</v>
      </c>
      <c r="G1675" s="3" t="s">
        <v>65</v>
      </c>
      <c r="I1675" s="3" t="s">
        <v>209</v>
      </c>
      <c r="J1675" s="3" t="s">
        <v>65</v>
      </c>
      <c r="K1675" s="3" t="s">
        <v>66</v>
      </c>
      <c r="L1675" s="2" t="s">
        <v>16399</v>
      </c>
      <c r="M1675" s="2" t="s">
        <v>16400</v>
      </c>
      <c r="N1675" s="3" t="s">
        <v>4688</v>
      </c>
      <c r="O1675" s="2" t="s">
        <v>16401</v>
      </c>
      <c r="P1675" s="3" t="s">
        <v>69</v>
      </c>
      <c r="R1675" s="3" t="s">
        <v>71</v>
      </c>
      <c r="S1675" s="4">
        <v>13</v>
      </c>
      <c r="T1675" s="4">
        <v>55</v>
      </c>
      <c r="U1675" s="5" t="s">
        <v>16402</v>
      </c>
      <c r="V1675" s="5" t="s">
        <v>12937</v>
      </c>
      <c r="W1675" s="5" t="s">
        <v>72</v>
      </c>
      <c r="X1675" s="5" t="s">
        <v>72</v>
      </c>
      <c r="Y1675" s="4">
        <v>472</v>
      </c>
      <c r="Z1675" s="4">
        <v>23</v>
      </c>
      <c r="AA1675" s="4">
        <v>28</v>
      </c>
      <c r="AB1675" s="4">
        <v>3</v>
      </c>
      <c r="AC1675" s="4">
        <v>4</v>
      </c>
      <c r="AD1675" s="4">
        <v>106</v>
      </c>
      <c r="AE1675" s="4">
        <v>112</v>
      </c>
      <c r="AF1675" s="4">
        <v>2</v>
      </c>
      <c r="AG1675" s="4">
        <v>2</v>
      </c>
      <c r="AH1675" s="4">
        <v>96</v>
      </c>
      <c r="AI1675" s="4">
        <v>99</v>
      </c>
      <c r="AJ1675" s="4">
        <v>12</v>
      </c>
      <c r="AK1675" s="4">
        <v>14</v>
      </c>
      <c r="AL1675" s="4">
        <v>55</v>
      </c>
      <c r="AM1675" s="4">
        <v>56</v>
      </c>
      <c r="AN1675" s="4">
        <v>0</v>
      </c>
      <c r="AO1675" s="4">
        <v>0</v>
      </c>
      <c r="AP1675" s="4">
        <v>15</v>
      </c>
      <c r="AQ1675" s="4">
        <v>18</v>
      </c>
      <c r="AR1675" s="3" t="s">
        <v>65</v>
      </c>
      <c r="AS1675" s="3" t="s">
        <v>65</v>
      </c>
      <c r="AT1675" s="3" t="s">
        <v>209</v>
      </c>
      <c r="AU1675" s="6" t="str">
        <f>HYPERLINK("http://catalog.hathitrust.org/Record/000375439","HathiTrust Record")</f>
        <v>HathiTrust Record</v>
      </c>
      <c r="AV1675" s="6" t="str">
        <f>HYPERLINK("http://mcgill.on.worldcat.org/oclc/11813915","Catalog Record")</f>
        <v>Catalog Record</v>
      </c>
      <c r="AW1675" s="6" t="str">
        <f>HYPERLINK("http://www.worldcat.org/oclc/11813915","WorldCat Record")</f>
        <v>WorldCat Record</v>
      </c>
      <c r="AX1675" s="3" t="s">
        <v>16403</v>
      </c>
      <c r="AY1675" s="3" t="s">
        <v>16404</v>
      </c>
      <c r="AZ1675" s="3" t="s">
        <v>16405</v>
      </c>
      <c r="BA1675" s="3" t="s">
        <v>16405</v>
      </c>
      <c r="BB1675" s="3" t="s">
        <v>16406</v>
      </c>
      <c r="BC1675" s="3" t="s">
        <v>77</v>
      </c>
      <c r="BD1675" s="3" t="s">
        <v>78</v>
      </c>
      <c r="BE1675" s="3" t="s">
        <v>16407</v>
      </c>
      <c r="BF1675" s="3" t="s">
        <v>16406</v>
      </c>
      <c r="BG1675" s="3" t="s">
        <v>16408</v>
      </c>
    </row>
    <row r="1676" spans="1:59" ht="72.5" x14ac:dyDescent="0.35">
      <c r="A1676" s="2" t="s">
        <v>59</v>
      </c>
      <c r="B1676" s="2" t="s">
        <v>60</v>
      </c>
      <c r="C1676" s="2" t="s">
        <v>16396</v>
      </c>
      <c r="D1676" s="2" t="s">
        <v>16397</v>
      </c>
      <c r="E1676" s="2" t="s">
        <v>16398</v>
      </c>
      <c r="G1676" s="3" t="s">
        <v>65</v>
      </c>
      <c r="I1676" s="3" t="s">
        <v>209</v>
      </c>
      <c r="J1676" s="3" t="s">
        <v>65</v>
      </c>
      <c r="K1676" s="3" t="s">
        <v>66</v>
      </c>
      <c r="L1676" s="2" t="s">
        <v>16399</v>
      </c>
      <c r="M1676" s="2" t="s">
        <v>16400</v>
      </c>
      <c r="N1676" s="3" t="s">
        <v>4688</v>
      </c>
      <c r="O1676" s="2" t="s">
        <v>16401</v>
      </c>
      <c r="P1676" s="3" t="s">
        <v>69</v>
      </c>
      <c r="R1676" s="3" t="s">
        <v>71</v>
      </c>
      <c r="S1676" s="4">
        <v>13</v>
      </c>
      <c r="T1676" s="4">
        <v>55</v>
      </c>
      <c r="U1676" s="5" t="s">
        <v>16409</v>
      </c>
      <c r="V1676" s="5" t="s">
        <v>12937</v>
      </c>
      <c r="W1676" s="5" t="s">
        <v>72</v>
      </c>
      <c r="X1676" s="5" t="s">
        <v>72</v>
      </c>
      <c r="Y1676" s="4">
        <v>472</v>
      </c>
      <c r="Z1676" s="4">
        <v>23</v>
      </c>
      <c r="AA1676" s="4">
        <v>28</v>
      </c>
      <c r="AB1676" s="4">
        <v>3</v>
      </c>
      <c r="AC1676" s="4">
        <v>4</v>
      </c>
      <c r="AD1676" s="4">
        <v>106</v>
      </c>
      <c r="AE1676" s="4">
        <v>112</v>
      </c>
      <c r="AF1676" s="4">
        <v>2</v>
      </c>
      <c r="AG1676" s="4">
        <v>2</v>
      </c>
      <c r="AH1676" s="4">
        <v>96</v>
      </c>
      <c r="AI1676" s="4">
        <v>99</v>
      </c>
      <c r="AJ1676" s="4">
        <v>12</v>
      </c>
      <c r="AK1676" s="4">
        <v>14</v>
      </c>
      <c r="AL1676" s="4">
        <v>55</v>
      </c>
      <c r="AM1676" s="4">
        <v>56</v>
      </c>
      <c r="AN1676" s="4">
        <v>0</v>
      </c>
      <c r="AO1676" s="4">
        <v>0</v>
      </c>
      <c r="AP1676" s="4">
        <v>15</v>
      </c>
      <c r="AQ1676" s="4">
        <v>18</v>
      </c>
      <c r="AR1676" s="3" t="s">
        <v>65</v>
      </c>
      <c r="AS1676" s="3" t="s">
        <v>65</v>
      </c>
      <c r="AT1676" s="3" t="s">
        <v>209</v>
      </c>
      <c r="AU1676" s="6" t="str">
        <f>HYPERLINK("http://catalog.hathitrust.org/Record/000375439","HathiTrust Record")</f>
        <v>HathiTrust Record</v>
      </c>
      <c r="AV1676" s="6" t="str">
        <f>HYPERLINK("http://mcgill.on.worldcat.org/oclc/11813915","Catalog Record")</f>
        <v>Catalog Record</v>
      </c>
      <c r="AW1676" s="6" t="str">
        <f>HYPERLINK("http://www.worldcat.org/oclc/11813915","WorldCat Record")</f>
        <v>WorldCat Record</v>
      </c>
      <c r="AX1676" s="3" t="s">
        <v>16403</v>
      </c>
      <c r="AY1676" s="3" t="s">
        <v>16404</v>
      </c>
      <c r="AZ1676" s="3" t="s">
        <v>16405</v>
      </c>
      <c r="BA1676" s="3" t="s">
        <v>16405</v>
      </c>
      <c r="BB1676" s="3" t="s">
        <v>16410</v>
      </c>
      <c r="BC1676" s="3" t="s">
        <v>77</v>
      </c>
      <c r="BD1676" s="3" t="s">
        <v>78</v>
      </c>
      <c r="BE1676" s="3" t="s">
        <v>16407</v>
      </c>
      <c r="BF1676" s="3" t="s">
        <v>16410</v>
      </c>
      <c r="BG1676" s="3" t="s">
        <v>16411</v>
      </c>
    </row>
    <row r="1677" spans="1:59" ht="72.5" x14ac:dyDescent="0.35">
      <c r="A1677" s="2" t="s">
        <v>59</v>
      </c>
      <c r="B1677" s="2" t="s">
        <v>60</v>
      </c>
      <c r="C1677" s="2" t="s">
        <v>16396</v>
      </c>
      <c r="D1677" s="2" t="s">
        <v>16397</v>
      </c>
      <c r="E1677" s="2" t="s">
        <v>16398</v>
      </c>
      <c r="G1677" s="3" t="s">
        <v>65</v>
      </c>
      <c r="I1677" s="3" t="s">
        <v>209</v>
      </c>
      <c r="J1677" s="3" t="s">
        <v>65</v>
      </c>
      <c r="K1677" s="3" t="s">
        <v>66</v>
      </c>
      <c r="L1677" s="2" t="s">
        <v>16399</v>
      </c>
      <c r="M1677" s="2" t="s">
        <v>16400</v>
      </c>
      <c r="N1677" s="3" t="s">
        <v>4688</v>
      </c>
      <c r="O1677" s="2" t="s">
        <v>16401</v>
      </c>
      <c r="P1677" s="3" t="s">
        <v>69</v>
      </c>
      <c r="R1677" s="3" t="s">
        <v>71</v>
      </c>
      <c r="S1677" s="4">
        <v>29</v>
      </c>
      <c r="T1677" s="4">
        <v>55</v>
      </c>
      <c r="U1677" s="5" t="s">
        <v>12937</v>
      </c>
      <c r="V1677" s="5" t="s">
        <v>12937</v>
      </c>
      <c r="W1677" s="5" t="s">
        <v>72</v>
      </c>
      <c r="X1677" s="5" t="s">
        <v>72</v>
      </c>
      <c r="Y1677" s="4">
        <v>472</v>
      </c>
      <c r="Z1677" s="4">
        <v>23</v>
      </c>
      <c r="AA1677" s="4">
        <v>28</v>
      </c>
      <c r="AB1677" s="4">
        <v>3</v>
      </c>
      <c r="AC1677" s="4">
        <v>4</v>
      </c>
      <c r="AD1677" s="4">
        <v>106</v>
      </c>
      <c r="AE1677" s="4">
        <v>112</v>
      </c>
      <c r="AF1677" s="4">
        <v>2</v>
      </c>
      <c r="AG1677" s="4">
        <v>2</v>
      </c>
      <c r="AH1677" s="4">
        <v>96</v>
      </c>
      <c r="AI1677" s="4">
        <v>99</v>
      </c>
      <c r="AJ1677" s="4">
        <v>12</v>
      </c>
      <c r="AK1677" s="4">
        <v>14</v>
      </c>
      <c r="AL1677" s="4">
        <v>55</v>
      </c>
      <c r="AM1677" s="4">
        <v>56</v>
      </c>
      <c r="AN1677" s="4">
        <v>0</v>
      </c>
      <c r="AO1677" s="4">
        <v>0</v>
      </c>
      <c r="AP1677" s="4">
        <v>15</v>
      </c>
      <c r="AQ1677" s="4">
        <v>18</v>
      </c>
      <c r="AR1677" s="3" t="s">
        <v>65</v>
      </c>
      <c r="AS1677" s="3" t="s">
        <v>65</v>
      </c>
      <c r="AT1677" s="3" t="s">
        <v>209</v>
      </c>
      <c r="AU1677" s="6" t="str">
        <f>HYPERLINK("http://catalog.hathitrust.org/Record/000375439","HathiTrust Record")</f>
        <v>HathiTrust Record</v>
      </c>
      <c r="AV1677" s="6" t="str">
        <f>HYPERLINK("http://mcgill.on.worldcat.org/oclc/11813915","Catalog Record")</f>
        <v>Catalog Record</v>
      </c>
      <c r="AW1677" s="6" t="str">
        <f>HYPERLINK("http://www.worldcat.org/oclc/11813915","WorldCat Record")</f>
        <v>WorldCat Record</v>
      </c>
      <c r="AX1677" s="3" t="s">
        <v>16403</v>
      </c>
      <c r="AY1677" s="3" t="s">
        <v>16404</v>
      </c>
      <c r="AZ1677" s="3" t="s">
        <v>16405</v>
      </c>
      <c r="BA1677" s="3" t="s">
        <v>16405</v>
      </c>
      <c r="BB1677" s="3" t="s">
        <v>16412</v>
      </c>
      <c r="BC1677" s="3" t="s">
        <v>77</v>
      </c>
      <c r="BD1677" s="3" t="s">
        <v>106</v>
      </c>
      <c r="BE1677" s="3" t="s">
        <v>16407</v>
      </c>
      <c r="BF1677" s="3" t="s">
        <v>16412</v>
      </c>
      <c r="BG1677" s="3" t="s">
        <v>16413</v>
      </c>
    </row>
    <row r="1678" spans="1:59" ht="72.5" x14ac:dyDescent="0.35">
      <c r="A1678" s="2" t="s">
        <v>59</v>
      </c>
      <c r="B1678" s="2" t="s">
        <v>60</v>
      </c>
      <c r="C1678" s="2" t="s">
        <v>16414</v>
      </c>
      <c r="D1678" s="2" t="s">
        <v>16415</v>
      </c>
      <c r="E1678" s="2" t="s">
        <v>16416</v>
      </c>
      <c r="G1678" s="3" t="s">
        <v>65</v>
      </c>
      <c r="I1678" s="3" t="s">
        <v>65</v>
      </c>
      <c r="J1678" s="3" t="s">
        <v>65</v>
      </c>
      <c r="K1678" s="3" t="s">
        <v>66</v>
      </c>
      <c r="L1678" s="2" t="s">
        <v>16417</v>
      </c>
      <c r="M1678" s="2" t="s">
        <v>16418</v>
      </c>
      <c r="N1678" s="3" t="s">
        <v>126</v>
      </c>
      <c r="P1678" s="3" t="s">
        <v>616</v>
      </c>
      <c r="Q1678" s="2" t="s">
        <v>16419</v>
      </c>
      <c r="R1678" s="3" t="s">
        <v>71</v>
      </c>
      <c r="S1678" s="4">
        <v>0</v>
      </c>
      <c r="T1678" s="4">
        <v>0</v>
      </c>
      <c r="W1678" s="5" t="s">
        <v>72</v>
      </c>
      <c r="X1678" s="5" t="s">
        <v>72</v>
      </c>
      <c r="Y1678" s="4">
        <v>6</v>
      </c>
      <c r="Z1678" s="4">
        <v>1</v>
      </c>
      <c r="AA1678" s="4">
        <v>8</v>
      </c>
      <c r="AB1678" s="4">
        <v>1</v>
      </c>
      <c r="AC1678" s="4">
        <v>4</v>
      </c>
      <c r="AD1678" s="4">
        <v>2</v>
      </c>
      <c r="AE1678" s="4">
        <v>15</v>
      </c>
      <c r="AF1678" s="4">
        <v>0</v>
      </c>
      <c r="AG1678" s="4">
        <v>2</v>
      </c>
      <c r="AH1678" s="4">
        <v>2</v>
      </c>
      <c r="AI1678" s="4">
        <v>10</v>
      </c>
      <c r="AJ1678" s="4">
        <v>0</v>
      </c>
      <c r="AK1678" s="4">
        <v>5</v>
      </c>
      <c r="AL1678" s="4">
        <v>1</v>
      </c>
      <c r="AM1678" s="4">
        <v>6</v>
      </c>
      <c r="AN1678" s="4">
        <v>0</v>
      </c>
      <c r="AO1678" s="4">
        <v>0</v>
      </c>
      <c r="AP1678" s="4">
        <v>0</v>
      </c>
      <c r="AQ1678" s="4">
        <v>5</v>
      </c>
      <c r="AR1678" s="3" t="s">
        <v>65</v>
      </c>
      <c r="AS1678" s="3" t="s">
        <v>65</v>
      </c>
      <c r="AT1678" s="3" t="s">
        <v>65</v>
      </c>
      <c r="AV1678" s="6" t="str">
        <f>HYPERLINK("http://mcgill.on.worldcat.org/oclc/731328164","Catalog Record")</f>
        <v>Catalog Record</v>
      </c>
      <c r="AW1678" s="6" t="str">
        <f>HYPERLINK("http://www.worldcat.org/oclc/731328164","WorldCat Record")</f>
        <v>WorldCat Record</v>
      </c>
      <c r="AX1678" s="3" t="s">
        <v>16420</v>
      </c>
      <c r="AY1678" s="3" t="s">
        <v>16421</v>
      </c>
      <c r="AZ1678" s="3" t="s">
        <v>16422</v>
      </c>
      <c r="BA1678" s="3" t="s">
        <v>16422</v>
      </c>
      <c r="BB1678" s="3" t="s">
        <v>16423</v>
      </c>
      <c r="BC1678" s="3" t="s">
        <v>77</v>
      </c>
      <c r="BD1678" s="3" t="s">
        <v>78</v>
      </c>
      <c r="BE1678" s="3" t="s">
        <v>16424</v>
      </c>
      <c r="BF1678" s="3" t="s">
        <v>16423</v>
      </c>
      <c r="BG1678" s="3" t="s">
        <v>16425</v>
      </c>
    </row>
    <row r="1679" spans="1:59" ht="72.5" x14ac:dyDescent="0.35">
      <c r="A1679" s="2" t="s">
        <v>59</v>
      </c>
      <c r="B1679" s="2" t="s">
        <v>60</v>
      </c>
      <c r="C1679" s="2" t="s">
        <v>16426</v>
      </c>
      <c r="D1679" s="2" t="s">
        <v>16427</v>
      </c>
      <c r="E1679" s="2" t="s">
        <v>16428</v>
      </c>
      <c r="G1679" s="3" t="s">
        <v>65</v>
      </c>
      <c r="I1679" s="3" t="s">
        <v>65</v>
      </c>
      <c r="J1679" s="3" t="s">
        <v>65</v>
      </c>
      <c r="K1679" s="3" t="s">
        <v>66</v>
      </c>
      <c r="L1679" s="2" t="s">
        <v>16399</v>
      </c>
      <c r="M1679" s="2" t="s">
        <v>16429</v>
      </c>
      <c r="N1679" s="3" t="s">
        <v>139</v>
      </c>
      <c r="P1679" s="3" t="s">
        <v>140</v>
      </c>
      <c r="Q1679" s="2" t="s">
        <v>16430</v>
      </c>
      <c r="R1679" s="3" t="s">
        <v>71</v>
      </c>
      <c r="S1679" s="4">
        <v>4</v>
      </c>
      <c r="T1679" s="4">
        <v>4</v>
      </c>
      <c r="U1679" s="5" t="s">
        <v>16431</v>
      </c>
      <c r="V1679" s="5" t="s">
        <v>16431</v>
      </c>
      <c r="W1679" s="5" t="s">
        <v>72</v>
      </c>
      <c r="X1679" s="5" t="s">
        <v>72</v>
      </c>
      <c r="Y1679" s="4">
        <v>50</v>
      </c>
      <c r="Z1679" s="4">
        <v>3</v>
      </c>
      <c r="AA1679" s="4">
        <v>5</v>
      </c>
      <c r="AB1679" s="4">
        <v>1</v>
      </c>
      <c r="AC1679" s="4">
        <v>1</v>
      </c>
      <c r="AD1679" s="4">
        <v>33</v>
      </c>
      <c r="AE1679" s="4">
        <v>35</v>
      </c>
      <c r="AF1679" s="4">
        <v>0</v>
      </c>
      <c r="AG1679" s="4">
        <v>0</v>
      </c>
      <c r="AH1679" s="4">
        <v>32</v>
      </c>
      <c r="AI1679" s="4">
        <v>34</v>
      </c>
      <c r="AJ1679" s="4">
        <v>2</v>
      </c>
      <c r="AK1679" s="4">
        <v>3</v>
      </c>
      <c r="AL1679" s="4">
        <v>25</v>
      </c>
      <c r="AM1679" s="4">
        <v>27</v>
      </c>
      <c r="AN1679" s="4">
        <v>0</v>
      </c>
      <c r="AO1679" s="4">
        <v>0</v>
      </c>
      <c r="AP1679" s="4">
        <v>2</v>
      </c>
      <c r="AQ1679" s="4">
        <v>3</v>
      </c>
      <c r="AR1679" s="3" t="s">
        <v>65</v>
      </c>
      <c r="AS1679" s="3" t="s">
        <v>65</v>
      </c>
      <c r="AT1679" s="3" t="s">
        <v>65</v>
      </c>
      <c r="AV1679" s="6" t="str">
        <f>HYPERLINK("http://mcgill.on.worldcat.org/oclc/846459612","Catalog Record")</f>
        <v>Catalog Record</v>
      </c>
      <c r="AW1679" s="6" t="str">
        <f>HYPERLINK("http://www.worldcat.org/oclc/846459612","WorldCat Record")</f>
        <v>WorldCat Record</v>
      </c>
      <c r="AX1679" s="3" t="s">
        <v>16432</v>
      </c>
      <c r="AY1679" s="3" t="s">
        <v>16433</v>
      </c>
      <c r="AZ1679" s="3" t="s">
        <v>16434</v>
      </c>
      <c r="BA1679" s="3" t="s">
        <v>16434</v>
      </c>
      <c r="BB1679" s="3" t="s">
        <v>16435</v>
      </c>
      <c r="BC1679" s="3" t="s">
        <v>77</v>
      </c>
      <c r="BD1679" s="3" t="s">
        <v>106</v>
      </c>
      <c r="BE1679" s="3" t="s">
        <v>16436</v>
      </c>
      <c r="BF1679" s="3" t="s">
        <v>16435</v>
      </c>
      <c r="BG1679" s="3" t="s">
        <v>16437</v>
      </c>
    </row>
    <row r="1680" spans="1:59" ht="72.5" x14ac:dyDescent="0.35">
      <c r="A1680" s="2" t="s">
        <v>59</v>
      </c>
      <c r="B1680" s="2" t="s">
        <v>60</v>
      </c>
      <c r="C1680" s="2" t="s">
        <v>16438</v>
      </c>
      <c r="D1680" s="2" t="s">
        <v>16439</v>
      </c>
      <c r="E1680" s="2" t="s">
        <v>16440</v>
      </c>
      <c r="G1680" s="3" t="s">
        <v>65</v>
      </c>
      <c r="I1680" s="3" t="s">
        <v>65</v>
      </c>
      <c r="J1680" s="3" t="s">
        <v>65</v>
      </c>
      <c r="K1680" s="3" t="s">
        <v>66</v>
      </c>
      <c r="L1680" s="2" t="s">
        <v>16417</v>
      </c>
      <c r="M1680" s="2" t="s">
        <v>1258</v>
      </c>
      <c r="N1680" s="3" t="s">
        <v>152</v>
      </c>
      <c r="O1680" s="2" t="s">
        <v>654</v>
      </c>
      <c r="P1680" s="3" t="s">
        <v>140</v>
      </c>
      <c r="Q1680" s="2" t="s">
        <v>16441</v>
      </c>
      <c r="R1680" s="3" t="s">
        <v>71</v>
      </c>
      <c r="S1680" s="4">
        <v>0</v>
      </c>
      <c r="T1680" s="4">
        <v>0</v>
      </c>
      <c r="W1680" s="5" t="s">
        <v>72</v>
      </c>
      <c r="X1680" s="5" t="s">
        <v>72</v>
      </c>
      <c r="Y1680" s="4">
        <v>50</v>
      </c>
      <c r="Z1680" s="4">
        <v>5</v>
      </c>
      <c r="AA1680" s="4">
        <v>5</v>
      </c>
      <c r="AB1680" s="4">
        <v>1</v>
      </c>
      <c r="AC1680" s="4">
        <v>1</v>
      </c>
      <c r="AD1680" s="4">
        <v>32</v>
      </c>
      <c r="AE1680" s="4">
        <v>32</v>
      </c>
      <c r="AF1680" s="4">
        <v>0</v>
      </c>
      <c r="AG1680" s="4">
        <v>0</v>
      </c>
      <c r="AH1680" s="4">
        <v>31</v>
      </c>
      <c r="AI1680" s="4">
        <v>31</v>
      </c>
      <c r="AJ1680" s="4">
        <v>3</v>
      </c>
      <c r="AK1680" s="4">
        <v>3</v>
      </c>
      <c r="AL1680" s="4">
        <v>23</v>
      </c>
      <c r="AM1680" s="4">
        <v>23</v>
      </c>
      <c r="AN1680" s="4">
        <v>0</v>
      </c>
      <c r="AO1680" s="4">
        <v>0</v>
      </c>
      <c r="AP1680" s="4">
        <v>3</v>
      </c>
      <c r="AQ1680" s="4">
        <v>3</v>
      </c>
      <c r="AR1680" s="3" t="s">
        <v>65</v>
      </c>
      <c r="AS1680" s="3" t="s">
        <v>65</v>
      </c>
      <c r="AT1680" s="3" t="s">
        <v>65</v>
      </c>
      <c r="AV1680" s="6" t="str">
        <f>HYPERLINK("http://mcgill.on.worldcat.org/oclc/817538641","Catalog Record")</f>
        <v>Catalog Record</v>
      </c>
      <c r="AW1680" s="6" t="str">
        <f>HYPERLINK("http://www.worldcat.org/oclc/817538641","WorldCat Record")</f>
        <v>WorldCat Record</v>
      </c>
      <c r="AX1680" s="3" t="s">
        <v>16442</v>
      </c>
      <c r="AY1680" s="3" t="s">
        <v>16443</v>
      </c>
      <c r="AZ1680" s="3" t="s">
        <v>16444</v>
      </c>
      <c r="BA1680" s="3" t="s">
        <v>16444</v>
      </c>
      <c r="BB1680" s="3" t="s">
        <v>16445</v>
      </c>
      <c r="BC1680" s="3" t="s">
        <v>77</v>
      </c>
      <c r="BD1680" s="3" t="s">
        <v>78</v>
      </c>
      <c r="BE1680" s="3" t="s">
        <v>16446</v>
      </c>
      <c r="BF1680" s="3" t="s">
        <v>16445</v>
      </c>
      <c r="BG1680" s="3" t="s">
        <v>16447</v>
      </c>
    </row>
    <row r="1681" spans="1:59" ht="72.5" x14ac:dyDescent="0.35">
      <c r="A1681" s="2" t="s">
        <v>59</v>
      </c>
      <c r="B1681" s="2" t="s">
        <v>60</v>
      </c>
      <c r="C1681" s="2" t="s">
        <v>16448</v>
      </c>
      <c r="D1681" s="2" t="s">
        <v>16449</v>
      </c>
      <c r="E1681" s="2" t="s">
        <v>16450</v>
      </c>
      <c r="G1681" s="3" t="s">
        <v>65</v>
      </c>
      <c r="I1681" s="3" t="s">
        <v>65</v>
      </c>
      <c r="J1681" s="3" t="s">
        <v>65</v>
      </c>
      <c r="K1681" s="3" t="s">
        <v>66</v>
      </c>
      <c r="L1681" s="2" t="s">
        <v>601</v>
      </c>
      <c r="M1681" s="2" t="s">
        <v>16451</v>
      </c>
      <c r="N1681" s="3" t="s">
        <v>577</v>
      </c>
      <c r="P1681" s="3" t="s">
        <v>140</v>
      </c>
      <c r="Q1681" s="2" t="s">
        <v>16452</v>
      </c>
      <c r="R1681" s="3" t="s">
        <v>71</v>
      </c>
      <c r="S1681" s="4">
        <v>4</v>
      </c>
      <c r="T1681" s="4">
        <v>4</v>
      </c>
      <c r="U1681" s="5" t="s">
        <v>16453</v>
      </c>
      <c r="V1681" s="5" t="s">
        <v>16453</v>
      </c>
      <c r="W1681" s="5" t="s">
        <v>72</v>
      </c>
      <c r="X1681" s="5" t="s">
        <v>72</v>
      </c>
      <c r="Y1681" s="4">
        <v>122</v>
      </c>
      <c r="Z1681" s="4">
        <v>8</v>
      </c>
      <c r="AA1681" s="4">
        <v>8</v>
      </c>
      <c r="AB1681" s="4">
        <v>2</v>
      </c>
      <c r="AC1681" s="4">
        <v>2</v>
      </c>
      <c r="AD1681" s="4">
        <v>48</v>
      </c>
      <c r="AE1681" s="4">
        <v>48</v>
      </c>
      <c r="AF1681" s="4">
        <v>1</v>
      </c>
      <c r="AG1681" s="4">
        <v>1</v>
      </c>
      <c r="AH1681" s="4">
        <v>44</v>
      </c>
      <c r="AI1681" s="4">
        <v>44</v>
      </c>
      <c r="AJ1681" s="4">
        <v>6</v>
      </c>
      <c r="AK1681" s="4">
        <v>6</v>
      </c>
      <c r="AL1681" s="4">
        <v>30</v>
      </c>
      <c r="AM1681" s="4">
        <v>30</v>
      </c>
      <c r="AN1681" s="4">
        <v>0</v>
      </c>
      <c r="AO1681" s="4">
        <v>0</v>
      </c>
      <c r="AP1681" s="4">
        <v>6</v>
      </c>
      <c r="AQ1681" s="4">
        <v>6</v>
      </c>
      <c r="AR1681" s="3" t="s">
        <v>65</v>
      </c>
      <c r="AS1681" s="3" t="s">
        <v>65</v>
      </c>
      <c r="AT1681" s="3" t="s">
        <v>209</v>
      </c>
      <c r="AU1681" s="6" t="str">
        <f>HYPERLINK("http://catalog.hathitrust.org/Record/007862383","HathiTrust Record")</f>
        <v>HathiTrust Record</v>
      </c>
      <c r="AV1681" s="6" t="str">
        <f>HYPERLINK("http://mcgill.on.worldcat.org/oclc/4568709","Catalog Record")</f>
        <v>Catalog Record</v>
      </c>
      <c r="AW1681" s="6" t="str">
        <f>HYPERLINK("http://www.worldcat.org/oclc/4568709","WorldCat Record")</f>
        <v>WorldCat Record</v>
      </c>
      <c r="AX1681" s="3" t="s">
        <v>16454</v>
      </c>
      <c r="AY1681" s="3" t="s">
        <v>16455</v>
      </c>
      <c r="AZ1681" s="3" t="s">
        <v>16456</v>
      </c>
      <c r="BA1681" s="3" t="s">
        <v>16456</v>
      </c>
      <c r="BB1681" s="3" t="s">
        <v>16457</v>
      </c>
      <c r="BC1681" s="3" t="s">
        <v>77</v>
      </c>
      <c r="BD1681" s="3" t="s">
        <v>78</v>
      </c>
      <c r="BE1681" s="3" t="s">
        <v>16458</v>
      </c>
      <c r="BF1681" s="3" t="s">
        <v>16457</v>
      </c>
      <c r="BG1681" s="3" t="s">
        <v>16459</v>
      </c>
    </row>
    <row r="1682" spans="1:59" ht="58" x14ac:dyDescent="0.35">
      <c r="A1682" s="2" t="s">
        <v>59</v>
      </c>
      <c r="B1682" s="2" t="s">
        <v>60</v>
      </c>
      <c r="C1682" s="2" t="s">
        <v>16460</v>
      </c>
      <c r="D1682" s="2" t="s">
        <v>16461</v>
      </c>
      <c r="E1682" s="2" t="s">
        <v>16462</v>
      </c>
      <c r="G1682" s="3" t="s">
        <v>65</v>
      </c>
      <c r="I1682" s="3" t="s">
        <v>65</v>
      </c>
      <c r="J1682" s="3" t="s">
        <v>65</v>
      </c>
      <c r="K1682" s="3" t="s">
        <v>66</v>
      </c>
      <c r="L1682" s="2" t="s">
        <v>16463</v>
      </c>
      <c r="M1682" s="2" t="s">
        <v>16464</v>
      </c>
      <c r="N1682" s="3" t="s">
        <v>1109</v>
      </c>
      <c r="P1682" s="3" t="s">
        <v>140</v>
      </c>
      <c r="Q1682" s="2" t="s">
        <v>16465</v>
      </c>
      <c r="R1682" s="3" t="s">
        <v>71</v>
      </c>
      <c r="S1682" s="4">
        <v>3</v>
      </c>
      <c r="T1682" s="4">
        <v>3</v>
      </c>
      <c r="U1682" s="5" t="s">
        <v>6480</v>
      </c>
      <c r="V1682" s="5" t="s">
        <v>6480</v>
      </c>
      <c r="W1682" s="5" t="s">
        <v>72</v>
      </c>
      <c r="X1682" s="5" t="s">
        <v>72</v>
      </c>
      <c r="Y1682" s="4">
        <v>145</v>
      </c>
      <c r="Z1682" s="4">
        <v>11</v>
      </c>
      <c r="AA1682" s="4">
        <v>11</v>
      </c>
      <c r="AB1682" s="4">
        <v>2</v>
      </c>
      <c r="AC1682" s="4">
        <v>2</v>
      </c>
      <c r="AD1682" s="4">
        <v>64</v>
      </c>
      <c r="AE1682" s="4">
        <v>64</v>
      </c>
      <c r="AF1682" s="4">
        <v>1</v>
      </c>
      <c r="AG1682" s="4">
        <v>1</v>
      </c>
      <c r="AH1682" s="4">
        <v>58</v>
      </c>
      <c r="AI1682" s="4">
        <v>58</v>
      </c>
      <c r="AJ1682" s="4">
        <v>9</v>
      </c>
      <c r="AK1682" s="4">
        <v>9</v>
      </c>
      <c r="AL1682" s="4">
        <v>41</v>
      </c>
      <c r="AM1682" s="4">
        <v>41</v>
      </c>
      <c r="AN1682" s="4">
        <v>0</v>
      </c>
      <c r="AO1682" s="4">
        <v>0</v>
      </c>
      <c r="AP1682" s="4">
        <v>9</v>
      </c>
      <c r="AQ1682" s="4">
        <v>9</v>
      </c>
      <c r="AR1682" s="3" t="s">
        <v>65</v>
      </c>
      <c r="AS1682" s="3" t="s">
        <v>65</v>
      </c>
      <c r="AT1682" s="3" t="s">
        <v>209</v>
      </c>
      <c r="AU1682" s="6" t="str">
        <f>HYPERLINK("http://catalog.hathitrust.org/Record/001219384","HathiTrust Record")</f>
        <v>HathiTrust Record</v>
      </c>
      <c r="AV1682" s="6" t="str">
        <f>HYPERLINK("http://mcgill.on.worldcat.org/oclc/1154702","Catalog Record")</f>
        <v>Catalog Record</v>
      </c>
      <c r="AW1682" s="6" t="str">
        <f>HYPERLINK("http://www.worldcat.org/oclc/1154702","WorldCat Record")</f>
        <v>WorldCat Record</v>
      </c>
      <c r="AX1682" s="3" t="s">
        <v>16466</v>
      </c>
      <c r="AY1682" s="3" t="s">
        <v>16467</v>
      </c>
      <c r="AZ1682" s="3" t="s">
        <v>16468</v>
      </c>
      <c r="BA1682" s="3" t="s">
        <v>16468</v>
      </c>
      <c r="BB1682" s="3" t="s">
        <v>16469</v>
      </c>
      <c r="BC1682" s="3" t="s">
        <v>77</v>
      </c>
      <c r="BD1682" s="3" t="s">
        <v>78</v>
      </c>
      <c r="BF1682" s="3" t="s">
        <v>16469</v>
      </c>
      <c r="BG1682" s="3" t="s">
        <v>16470</v>
      </c>
    </row>
    <row r="1683" spans="1:59" ht="58" x14ac:dyDescent="0.35">
      <c r="A1683" s="2" t="s">
        <v>59</v>
      </c>
      <c r="B1683" s="2" t="s">
        <v>60</v>
      </c>
      <c r="C1683" s="2" t="s">
        <v>16471</v>
      </c>
      <c r="D1683" s="2" t="s">
        <v>16472</v>
      </c>
      <c r="E1683" s="2" t="s">
        <v>16473</v>
      </c>
      <c r="G1683" s="3" t="s">
        <v>65</v>
      </c>
      <c r="I1683" s="3" t="s">
        <v>65</v>
      </c>
      <c r="J1683" s="3" t="s">
        <v>65</v>
      </c>
      <c r="K1683" s="3" t="s">
        <v>66</v>
      </c>
      <c r="L1683" s="2" t="s">
        <v>16463</v>
      </c>
      <c r="M1683" s="2" t="s">
        <v>16474</v>
      </c>
      <c r="N1683" s="3" t="s">
        <v>756</v>
      </c>
      <c r="P1683" s="3" t="s">
        <v>140</v>
      </c>
      <c r="Q1683" s="2" t="s">
        <v>16475</v>
      </c>
      <c r="R1683" s="3" t="s">
        <v>71</v>
      </c>
      <c r="S1683" s="4">
        <v>4</v>
      </c>
      <c r="T1683" s="4">
        <v>4</v>
      </c>
      <c r="U1683" s="5" t="s">
        <v>3793</v>
      </c>
      <c r="V1683" s="5" t="s">
        <v>3793</v>
      </c>
      <c r="W1683" s="5" t="s">
        <v>72</v>
      </c>
      <c r="X1683" s="5" t="s">
        <v>72</v>
      </c>
      <c r="Y1683" s="4">
        <v>145</v>
      </c>
      <c r="Z1683" s="4">
        <v>8</v>
      </c>
      <c r="AA1683" s="4">
        <v>12</v>
      </c>
      <c r="AB1683" s="4">
        <v>2</v>
      </c>
      <c r="AC1683" s="4">
        <v>3</v>
      </c>
      <c r="AD1683" s="4">
        <v>55</v>
      </c>
      <c r="AE1683" s="4">
        <v>57</v>
      </c>
      <c r="AF1683" s="4">
        <v>1</v>
      </c>
      <c r="AG1683" s="4">
        <v>2</v>
      </c>
      <c r="AH1683" s="4">
        <v>50</v>
      </c>
      <c r="AI1683" s="4">
        <v>51</v>
      </c>
      <c r="AJ1683" s="4">
        <v>6</v>
      </c>
      <c r="AK1683" s="4">
        <v>8</v>
      </c>
      <c r="AL1683" s="4">
        <v>38</v>
      </c>
      <c r="AM1683" s="4">
        <v>39</v>
      </c>
      <c r="AN1683" s="4">
        <v>0</v>
      </c>
      <c r="AO1683" s="4">
        <v>0</v>
      </c>
      <c r="AP1683" s="4">
        <v>7</v>
      </c>
      <c r="AQ1683" s="4">
        <v>8</v>
      </c>
      <c r="AR1683" s="3" t="s">
        <v>65</v>
      </c>
      <c r="AS1683" s="3" t="s">
        <v>65</v>
      </c>
      <c r="AT1683" s="3" t="s">
        <v>209</v>
      </c>
      <c r="AU1683" s="6" t="str">
        <f>HYPERLINK("http://catalog.hathitrust.org/Record/001219383","HathiTrust Record")</f>
        <v>HathiTrust Record</v>
      </c>
      <c r="AV1683" s="6" t="str">
        <f>HYPERLINK("http://mcgill.on.worldcat.org/oclc/1547490","Catalog Record")</f>
        <v>Catalog Record</v>
      </c>
      <c r="AW1683" s="6" t="str">
        <f>HYPERLINK("http://www.worldcat.org/oclc/1547490","WorldCat Record")</f>
        <v>WorldCat Record</v>
      </c>
      <c r="AX1683" s="3" t="s">
        <v>16476</v>
      </c>
      <c r="AY1683" s="3" t="s">
        <v>16477</v>
      </c>
      <c r="AZ1683" s="3" t="s">
        <v>16478</v>
      </c>
      <c r="BA1683" s="3" t="s">
        <v>16478</v>
      </c>
      <c r="BB1683" s="3" t="s">
        <v>16479</v>
      </c>
      <c r="BC1683" s="3" t="s">
        <v>77</v>
      </c>
      <c r="BD1683" s="3" t="s">
        <v>78</v>
      </c>
      <c r="BF1683" s="3" t="s">
        <v>16479</v>
      </c>
      <c r="BG1683" s="3" t="s">
        <v>16480</v>
      </c>
    </row>
    <row r="1684" spans="1:59" ht="72.5" x14ac:dyDescent="0.35">
      <c r="A1684" s="2" t="s">
        <v>59</v>
      </c>
      <c r="B1684" s="2" t="s">
        <v>60</v>
      </c>
      <c r="C1684" s="2" t="s">
        <v>16481</v>
      </c>
      <c r="D1684" s="2" t="s">
        <v>16482</v>
      </c>
      <c r="E1684" s="2" t="s">
        <v>16483</v>
      </c>
      <c r="G1684" s="3" t="s">
        <v>65</v>
      </c>
      <c r="I1684" s="3" t="s">
        <v>65</v>
      </c>
      <c r="J1684" s="3" t="s">
        <v>65</v>
      </c>
      <c r="K1684" s="3" t="s">
        <v>66</v>
      </c>
      <c r="M1684" s="2" t="s">
        <v>11888</v>
      </c>
      <c r="N1684" s="3" t="s">
        <v>1944</v>
      </c>
      <c r="P1684" s="3" t="s">
        <v>69</v>
      </c>
      <c r="R1684" s="3" t="s">
        <v>71</v>
      </c>
      <c r="S1684" s="4">
        <v>14</v>
      </c>
      <c r="T1684" s="4">
        <v>14</v>
      </c>
      <c r="U1684" s="5" t="s">
        <v>4357</v>
      </c>
      <c r="V1684" s="5" t="s">
        <v>4357</v>
      </c>
      <c r="W1684" s="5" t="s">
        <v>72</v>
      </c>
      <c r="X1684" s="5" t="s">
        <v>72</v>
      </c>
      <c r="Y1684" s="4">
        <v>525</v>
      </c>
      <c r="Z1684" s="4">
        <v>28</v>
      </c>
      <c r="AA1684" s="4">
        <v>34</v>
      </c>
      <c r="AB1684" s="4">
        <v>2</v>
      </c>
      <c r="AC1684" s="4">
        <v>3</v>
      </c>
      <c r="AD1684" s="4">
        <v>116</v>
      </c>
      <c r="AE1684" s="4">
        <v>121</v>
      </c>
      <c r="AF1684" s="4">
        <v>1</v>
      </c>
      <c r="AG1684" s="4">
        <v>1</v>
      </c>
      <c r="AH1684" s="4">
        <v>100</v>
      </c>
      <c r="AI1684" s="4">
        <v>103</v>
      </c>
      <c r="AJ1684" s="4">
        <v>14</v>
      </c>
      <c r="AK1684" s="4">
        <v>15</v>
      </c>
      <c r="AL1684" s="4">
        <v>56</v>
      </c>
      <c r="AM1684" s="4">
        <v>57</v>
      </c>
      <c r="AN1684" s="4">
        <v>0</v>
      </c>
      <c r="AO1684" s="4">
        <v>0</v>
      </c>
      <c r="AP1684" s="4">
        <v>20</v>
      </c>
      <c r="AQ1684" s="4">
        <v>23</v>
      </c>
      <c r="AR1684" s="3" t="s">
        <v>65</v>
      </c>
      <c r="AS1684" s="3" t="s">
        <v>65</v>
      </c>
      <c r="AT1684" s="3" t="s">
        <v>65</v>
      </c>
      <c r="AV1684" s="6" t="str">
        <f>HYPERLINK("http://mcgill.on.worldcat.org/oclc/43521078","Catalog Record")</f>
        <v>Catalog Record</v>
      </c>
      <c r="AW1684" s="6" t="str">
        <f>HYPERLINK("http://www.worldcat.org/oclc/43521078","WorldCat Record")</f>
        <v>WorldCat Record</v>
      </c>
      <c r="AX1684" s="3" t="s">
        <v>16484</v>
      </c>
      <c r="AY1684" s="3" t="s">
        <v>16485</v>
      </c>
      <c r="AZ1684" s="3" t="s">
        <v>16486</v>
      </c>
      <c r="BA1684" s="3" t="s">
        <v>16486</v>
      </c>
      <c r="BB1684" s="3" t="s">
        <v>16487</v>
      </c>
      <c r="BC1684" s="3" t="s">
        <v>77</v>
      </c>
      <c r="BD1684" s="3" t="s">
        <v>78</v>
      </c>
      <c r="BE1684" s="3" t="s">
        <v>16488</v>
      </c>
      <c r="BF1684" s="3" t="s">
        <v>16487</v>
      </c>
      <c r="BG1684" s="3" t="s">
        <v>16489</v>
      </c>
    </row>
    <row r="1685" spans="1:59" ht="72.5" x14ac:dyDescent="0.35">
      <c r="A1685" s="2" t="s">
        <v>59</v>
      </c>
      <c r="B1685" s="2" t="s">
        <v>60</v>
      </c>
      <c r="C1685" s="2" t="s">
        <v>16490</v>
      </c>
      <c r="D1685" s="2" t="s">
        <v>16491</v>
      </c>
      <c r="E1685" s="2" t="s">
        <v>16492</v>
      </c>
      <c r="G1685" s="3" t="s">
        <v>65</v>
      </c>
      <c r="I1685" s="3" t="s">
        <v>65</v>
      </c>
      <c r="J1685" s="3" t="s">
        <v>65</v>
      </c>
      <c r="K1685" s="3" t="s">
        <v>66</v>
      </c>
      <c r="L1685" s="2" t="s">
        <v>16493</v>
      </c>
      <c r="M1685" s="2" t="s">
        <v>16494</v>
      </c>
      <c r="N1685" s="3" t="s">
        <v>1196</v>
      </c>
      <c r="P1685" s="3" t="s">
        <v>140</v>
      </c>
      <c r="Q1685" s="2" t="s">
        <v>16495</v>
      </c>
      <c r="R1685" s="3" t="s">
        <v>71</v>
      </c>
      <c r="S1685" s="4">
        <v>2</v>
      </c>
      <c r="T1685" s="4">
        <v>2</v>
      </c>
      <c r="U1685" s="5" t="s">
        <v>909</v>
      </c>
      <c r="V1685" s="5" t="s">
        <v>909</v>
      </c>
      <c r="W1685" s="5" t="s">
        <v>72</v>
      </c>
      <c r="X1685" s="5" t="s">
        <v>72</v>
      </c>
      <c r="Y1685" s="4">
        <v>74</v>
      </c>
      <c r="Z1685" s="4">
        <v>1</v>
      </c>
      <c r="AA1685" s="4">
        <v>3</v>
      </c>
      <c r="AB1685" s="4">
        <v>1</v>
      </c>
      <c r="AC1685" s="4">
        <v>1</v>
      </c>
      <c r="AD1685" s="4">
        <v>37</v>
      </c>
      <c r="AE1685" s="4">
        <v>38</v>
      </c>
      <c r="AF1685" s="4">
        <v>0</v>
      </c>
      <c r="AG1685" s="4">
        <v>0</v>
      </c>
      <c r="AH1685" s="4">
        <v>36</v>
      </c>
      <c r="AI1685" s="4">
        <v>37</v>
      </c>
      <c r="AJ1685" s="4">
        <v>0</v>
      </c>
      <c r="AK1685" s="4">
        <v>1</v>
      </c>
      <c r="AL1685" s="4">
        <v>27</v>
      </c>
      <c r="AM1685" s="4">
        <v>28</v>
      </c>
      <c r="AN1685" s="4">
        <v>0</v>
      </c>
      <c r="AO1685" s="4">
        <v>0</v>
      </c>
      <c r="AP1685" s="4">
        <v>0</v>
      </c>
      <c r="AQ1685" s="4">
        <v>1</v>
      </c>
      <c r="AR1685" s="3" t="s">
        <v>65</v>
      </c>
      <c r="AS1685" s="3" t="s">
        <v>65</v>
      </c>
      <c r="AT1685" s="3" t="s">
        <v>209</v>
      </c>
      <c r="AU1685" s="6" t="str">
        <f>HYPERLINK("http://catalog.hathitrust.org/Record/005221938","HathiTrust Record")</f>
        <v>HathiTrust Record</v>
      </c>
      <c r="AV1685" s="6" t="str">
        <f>HYPERLINK("http://mcgill.on.worldcat.org/oclc/62871471","Catalog Record")</f>
        <v>Catalog Record</v>
      </c>
      <c r="AW1685" s="6" t="str">
        <f>HYPERLINK("http://www.worldcat.org/oclc/62871471","WorldCat Record")</f>
        <v>WorldCat Record</v>
      </c>
      <c r="AX1685" s="3" t="s">
        <v>16496</v>
      </c>
      <c r="AY1685" s="3" t="s">
        <v>16497</v>
      </c>
      <c r="AZ1685" s="3" t="s">
        <v>16498</v>
      </c>
      <c r="BA1685" s="3" t="s">
        <v>16498</v>
      </c>
      <c r="BB1685" s="3" t="s">
        <v>16499</v>
      </c>
      <c r="BC1685" s="3" t="s">
        <v>77</v>
      </c>
      <c r="BD1685" s="3" t="s">
        <v>78</v>
      </c>
      <c r="BE1685" s="3" t="s">
        <v>16500</v>
      </c>
      <c r="BF1685" s="3" t="s">
        <v>16499</v>
      </c>
      <c r="BG1685" s="3" t="s">
        <v>16501</v>
      </c>
    </row>
    <row r="1686" spans="1:59" ht="72.5" x14ac:dyDescent="0.35">
      <c r="A1686" s="2" t="s">
        <v>59</v>
      </c>
      <c r="B1686" s="2" t="s">
        <v>60</v>
      </c>
      <c r="C1686" s="2" t="s">
        <v>16502</v>
      </c>
      <c r="D1686" s="2" t="s">
        <v>16503</v>
      </c>
      <c r="E1686" s="2" t="s">
        <v>16504</v>
      </c>
      <c r="G1686" s="3" t="s">
        <v>65</v>
      </c>
      <c r="I1686" s="3" t="s">
        <v>65</v>
      </c>
      <c r="J1686" s="3" t="s">
        <v>65</v>
      </c>
      <c r="K1686" s="3" t="s">
        <v>66</v>
      </c>
      <c r="M1686" s="2" t="s">
        <v>16505</v>
      </c>
      <c r="N1686" s="3" t="s">
        <v>247</v>
      </c>
      <c r="P1686" s="3" t="s">
        <v>69</v>
      </c>
      <c r="R1686" s="3" t="s">
        <v>71</v>
      </c>
      <c r="S1686" s="4">
        <v>27</v>
      </c>
      <c r="T1686" s="4">
        <v>27</v>
      </c>
      <c r="U1686" s="5" t="s">
        <v>16506</v>
      </c>
      <c r="V1686" s="5" t="s">
        <v>16506</v>
      </c>
      <c r="W1686" s="5" t="s">
        <v>72</v>
      </c>
      <c r="X1686" s="5" t="s">
        <v>72</v>
      </c>
      <c r="Y1686" s="4">
        <v>437</v>
      </c>
      <c r="Z1686" s="4">
        <v>22</v>
      </c>
      <c r="AA1686" s="4">
        <v>24</v>
      </c>
      <c r="AB1686" s="4">
        <v>2</v>
      </c>
      <c r="AC1686" s="4">
        <v>4</v>
      </c>
      <c r="AD1686" s="4">
        <v>104</v>
      </c>
      <c r="AE1686" s="4">
        <v>105</v>
      </c>
      <c r="AF1686" s="4">
        <v>1</v>
      </c>
      <c r="AG1686" s="4">
        <v>2</v>
      </c>
      <c r="AH1686" s="4">
        <v>93</v>
      </c>
      <c r="AI1686" s="4">
        <v>93</v>
      </c>
      <c r="AJ1686" s="4">
        <v>13</v>
      </c>
      <c r="AK1686" s="4">
        <v>14</v>
      </c>
      <c r="AL1686" s="4">
        <v>53</v>
      </c>
      <c r="AM1686" s="4">
        <v>53</v>
      </c>
      <c r="AN1686" s="4">
        <v>0</v>
      </c>
      <c r="AO1686" s="4">
        <v>0</v>
      </c>
      <c r="AP1686" s="4">
        <v>15</v>
      </c>
      <c r="AQ1686" s="4">
        <v>15</v>
      </c>
      <c r="AR1686" s="3" t="s">
        <v>65</v>
      </c>
      <c r="AS1686" s="3" t="s">
        <v>65</v>
      </c>
      <c r="AT1686" s="3" t="s">
        <v>209</v>
      </c>
      <c r="AU1686" s="6" t="str">
        <f>HYPERLINK("http://catalog.hathitrust.org/Record/004547151","HathiTrust Record")</f>
        <v>HathiTrust Record</v>
      </c>
      <c r="AV1686" s="6" t="str">
        <f>HYPERLINK("http://mcgill.on.worldcat.org/oclc/28547937","Catalog Record")</f>
        <v>Catalog Record</v>
      </c>
      <c r="AW1686" s="6" t="str">
        <f>HYPERLINK("http://www.worldcat.org/oclc/28547937","WorldCat Record")</f>
        <v>WorldCat Record</v>
      </c>
      <c r="AX1686" s="3" t="s">
        <v>16507</v>
      </c>
      <c r="AY1686" s="3" t="s">
        <v>16508</v>
      </c>
      <c r="AZ1686" s="3" t="s">
        <v>16509</v>
      </c>
      <c r="BA1686" s="3" t="s">
        <v>16509</v>
      </c>
      <c r="BB1686" s="3" t="s">
        <v>16510</v>
      </c>
      <c r="BC1686" s="3" t="s">
        <v>77</v>
      </c>
      <c r="BD1686" s="3" t="s">
        <v>78</v>
      </c>
      <c r="BE1686" s="3" t="s">
        <v>16511</v>
      </c>
      <c r="BF1686" s="3" t="s">
        <v>16510</v>
      </c>
      <c r="BG1686" s="3" t="s">
        <v>16512</v>
      </c>
    </row>
    <row r="1687" spans="1:59" ht="72.5" x14ac:dyDescent="0.35">
      <c r="A1687" s="2" t="s">
        <v>59</v>
      </c>
      <c r="B1687" s="2" t="s">
        <v>60</v>
      </c>
      <c r="C1687" s="2" t="s">
        <v>16513</v>
      </c>
      <c r="D1687" s="2" t="s">
        <v>16514</v>
      </c>
      <c r="E1687" s="2" t="s">
        <v>16515</v>
      </c>
      <c r="G1687" s="3" t="s">
        <v>65</v>
      </c>
      <c r="I1687" s="3" t="s">
        <v>65</v>
      </c>
      <c r="J1687" s="3" t="s">
        <v>65</v>
      </c>
      <c r="K1687" s="3" t="s">
        <v>66</v>
      </c>
      <c r="M1687" s="2" t="s">
        <v>16516</v>
      </c>
      <c r="N1687" s="3" t="s">
        <v>126</v>
      </c>
      <c r="P1687" s="3" t="s">
        <v>69</v>
      </c>
      <c r="Q1687" s="2" t="s">
        <v>16517</v>
      </c>
      <c r="R1687" s="3" t="s">
        <v>71</v>
      </c>
      <c r="S1687" s="4">
        <v>4</v>
      </c>
      <c r="T1687" s="4">
        <v>4</v>
      </c>
      <c r="U1687" s="5" t="s">
        <v>2678</v>
      </c>
      <c r="V1687" s="5" t="s">
        <v>2678</v>
      </c>
      <c r="W1687" s="5" t="s">
        <v>72</v>
      </c>
      <c r="X1687" s="5" t="s">
        <v>72</v>
      </c>
      <c r="Y1687" s="4">
        <v>83</v>
      </c>
      <c r="Z1687" s="4">
        <v>8</v>
      </c>
      <c r="AA1687" s="4">
        <v>88</v>
      </c>
      <c r="AB1687" s="4">
        <v>2</v>
      </c>
      <c r="AC1687" s="4">
        <v>17</v>
      </c>
      <c r="AD1687" s="4">
        <v>43</v>
      </c>
      <c r="AE1687" s="4">
        <v>115</v>
      </c>
      <c r="AF1687" s="4">
        <v>1</v>
      </c>
      <c r="AG1687" s="4">
        <v>8</v>
      </c>
      <c r="AH1687" s="4">
        <v>40</v>
      </c>
      <c r="AI1687" s="4">
        <v>80</v>
      </c>
      <c r="AJ1687" s="4">
        <v>6</v>
      </c>
      <c r="AK1687" s="4">
        <v>20</v>
      </c>
      <c r="AL1687" s="4">
        <v>28</v>
      </c>
      <c r="AM1687" s="4">
        <v>44</v>
      </c>
      <c r="AN1687" s="4">
        <v>0</v>
      </c>
      <c r="AO1687" s="4">
        <v>0</v>
      </c>
      <c r="AP1687" s="4">
        <v>6</v>
      </c>
      <c r="AQ1687" s="4">
        <v>41</v>
      </c>
      <c r="AR1687" s="3" t="s">
        <v>65</v>
      </c>
      <c r="AS1687" s="3" t="s">
        <v>65</v>
      </c>
      <c r="AT1687" s="3" t="s">
        <v>65</v>
      </c>
      <c r="AV1687" s="6" t="str">
        <f>HYPERLINK("http://mcgill.on.worldcat.org/oclc/703204492","Catalog Record")</f>
        <v>Catalog Record</v>
      </c>
      <c r="AW1687" s="6" t="str">
        <f>HYPERLINK("http://www.worldcat.org/oclc/703204492","WorldCat Record")</f>
        <v>WorldCat Record</v>
      </c>
      <c r="AX1687" s="3" t="s">
        <v>16518</v>
      </c>
      <c r="AY1687" s="3" t="s">
        <v>16519</v>
      </c>
      <c r="AZ1687" s="3" t="s">
        <v>16520</v>
      </c>
      <c r="BA1687" s="3" t="s">
        <v>16520</v>
      </c>
      <c r="BB1687" s="3" t="s">
        <v>16521</v>
      </c>
      <c r="BC1687" s="3" t="s">
        <v>77</v>
      </c>
      <c r="BD1687" s="3" t="s">
        <v>78</v>
      </c>
      <c r="BE1687" s="3" t="s">
        <v>16522</v>
      </c>
      <c r="BF1687" s="3" t="s">
        <v>16521</v>
      </c>
      <c r="BG1687" s="3" t="s">
        <v>16523</v>
      </c>
    </row>
    <row r="1688" spans="1:59" ht="58" x14ac:dyDescent="0.35">
      <c r="A1688" s="2" t="s">
        <v>59</v>
      </c>
      <c r="B1688" s="2" t="s">
        <v>60</v>
      </c>
      <c r="C1688" s="2" t="s">
        <v>16524</v>
      </c>
      <c r="D1688" s="2" t="s">
        <v>16525</v>
      </c>
      <c r="E1688" s="2" t="s">
        <v>16526</v>
      </c>
      <c r="G1688" s="3" t="s">
        <v>65</v>
      </c>
      <c r="I1688" s="3" t="s">
        <v>65</v>
      </c>
      <c r="J1688" s="3" t="s">
        <v>65</v>
      </c>
      <c r="K1688" s="3" t="s">
        <v>66</v>
      </c>
      <c r="L1688" s="2" t="s">
        <v>1018</v>
      </c>
      <c r="M1688" s="2" t="s">
        <v>16527</v>
      </c>
      <c r="N1688" s="3" t="s">
        <v>3448</v>
      </c>
      <c r="P1688" s="3" t="s">
        <v>140</v>
      </c>
      <c r="Q1688" s="2" t="s">
        <v>16528</v>
      </c>
      <c r="R1688" s="3" t="s">
        <v>71</v>
      </c>
      <c r="S1688" s="4">
        <v>17</v>
      </c>
      <c r="T1688" s="4">
        <v>17</v>
      </c>
      <c r="U1688" s="5" t="s">
        <v>4357</v>
      </c>
      <c r="V1688" s="5" t="s">
        <v>4357</v>
      </c>
      <c r="W1688" s="5" t="s">
        <v>72</v>
      </c>
      <c r="X1688" s="5" t="s">
        <v>72</v>
      </c>
      <c r="Y1688" s="4">
        <v>119</v>
      </c>
      <c r="Z1688" s="4">
        <v>13</v>
      </c>
      <c r="AA1688" s="4">
        <v>14</v>
      </c>
      <c r="AB1688" s="4">
        <v>2</v>
      </c>
      <c r="AC1688" s="4">
        <v>2</v>
      </c>
      <c r="AD1688" s="4">
        <v>56</v>
      </c>
      <c r="AE1688" s="4">
        <v>59</v>
      </c>
      <c r="AF1688" s="4">
        <v>1</v>
      </c>
      <c r="AG1688" s="4">
        <v>1</v>
      </c>
      <c r="AH1688" s="4">
        <v>49</v>
      </c>
      <c r="AI1688" s="4">
        <v>52</v>
      </c>
      <c r="AJ1688" s="4">
        <v>10</v>
      </c>
      <c r="AK1688" s="4">
        <v>11</v>
      </c>
      <c r="AL1688" s="4">
        <v>35</v>
      </c>
      <c r="AM1688" s="4">
        <v>36</v>
      </c>
      <c r="AN1688" s="4">
        <v>0</v>
      </c>
      <c r="AO1688" s="4">
        <v>0</v>
      </c>
      <c r="AP1688" s="4">
        <v>10</v>
      </c>
      <c r="AQ1688" s="4">
        <v>11</v>
      </c>
      <c r="AR1688" s="3" t="s">
        <v>65</v>
      </c>
      <c r="AS1688" s="3" t="s">
        <v>65</v>
      </c>
      <c r="AT1688" s="3" t="s">
        <v>209</v>
      </c>
      <c r="AU1688" s="6" t="str">
        <f>HYPERLINK("http://catalog.hathitrust.org/Record/001219390","HathiTrust Record")</f>
        <v>HathiTrust Record</v>
      </c>
      <c r="AV1688" s="6" t="str">
        <f>HYPERLINK("http://mcgill.on.worldcat.org/oclc/742173","Catalog Record")</f>
        <v>Catalog Record</v>
      </c>
      <c r="AW1688" s="6" t="str">
        <f>HYPERLINK("http://www.worldcat.org/oclc/742173","WorldCat Record")</f>
        <v>WorldCat Record</v>
      </c>
      <c r="AX1688" s="3" t="s">
        <v>16529</v>
      </c>
      <c r="AY1688" s="3" t="s">
        <v>16530</v>
      </c>
      <c r="AZ1688" s="3" t="s">
        <v>16531</v>
      </c>
      <c r="BA1688" s="3" t="s">
        <v>16531</v>
      </c>
      <c r="BB1688" s="3" t="s">
        <v>16532</v>
      </c>
      <c r="BC1688" s="3" t="s">
        <v>77</v>
      </c>
      <c r="BD1688" s="3" t="s">
        <v>78</v>
      </c>
      <c r="BF1688" s="3" t="s">
        <v>16532</v>
      </c>
      <c r="BG1688" s="3" t="s">
        <v>16533</v>
      </c>
    </row>
    <row r="1689" spans="1:59" ht="72.5" x14ac:dyDescent="0.35">
      <c r="A1689" s="2" t="s">
        <v>59</v>
      </c>
      <c r="B1689" s="2" t="s">
        <v>60</v>
      </c>
      <c r="C1689" s="2" t="s">
        <v>16534</v>
      </c>
      <c r="D1689" s="2" t="s">
        <v>16535</v>
      </c>
      <c r="E1689" s="2" t="s">
        <v>16536</v>
      </c>
      <c r="G1689" s="3" t="s">
        <v>65</v>
      </c>
      <c r="I1689" s="3" t="s">
        <v>65</v>
      </c>
      <c r="J1689" s="3" t="s">
        <v>65</v>
      </c>
      <c r="K1689" s="3" t="s">
        <v>66</v>
      </c>
      <c r="L1689" s="2" t="s">
        <v>16537</v>
      </c>
      <c r="M1689" s="2" t="s">
        <v>16538</v>
      </c>
      <c r="N1689" s="3" t="s">
        <v>2460</v>
      </c>
      <c r="P1689" s="3" t="s">
        <v>69</v>
      </c>
      <c r="R1689" s="3" t="s">
        <v>71</v>
      </c>
      <c r="S1689" s="4">
        <v>32</v>
      </c>
      <c r="T1689" s="4">
        <v>32</v>
      </c>
      <c r="U1689" s="5" t="s">
        <v>16539</v>
      </c>
      <c r="V1689" s="5" t="s">
        <v>16539</v>
      </c>
      <c r="W1689" s="5" t="s">
        <v>72</v>
      </c>
      <c r="X1689" s="5" t="s">
        <v>72</v>
      </c>
      <c r="Y1689" s="4">
        <v>420</v>
      </c>
      <c r="Z1689" s="4">
        <v>27</v>
      </c>
      <c r="AA1689" s="4">
        <v>27</v>
      </c>
      <c r="AB1689" s="4">
        <v>2</v>
      </c>
      <c r="AC1689" s="4">
        <v>2</v>
      </c>
      <c r="AD1689" s="4">
        <v>106</v>
      </c>
      <c r="AE1689" s="4">
        <v>106</v>
      </c>
      <c r="AF1689" s="4">
        <v>0</v>
      </c>
      <c r="AG1689" s="4">
        <v>0</v>
      </c>
      <c r="AH1689" s="4">
        <v>96</v>
      </c>
      <c r="AI1689" s="4">
        <v>96</v>
      </c>
      <c r="AJ1689" s="4">
        <v>17</v>
      </c>
      <c r="AK1689" s="4">
        <v>17</v>
      </c>
      <c r="AL1689" s="4">
        <v>51</v>
      </c>
      <c r="AM1689" s="4">
        <v>51</v>
      </c>
      <c r="AN1689" s="4">
        <v>0</v>
      </c>
      <c r="AO1689" s="4">
        <v>0</v>
      </c>
      <c r="AP1689" s="4">
        <v>18</v>
      </c>
      <c r="AQ1689" s="4">
        <v>18</v>
      </c>
      <c r="AR1689" s="3" t="s">
        <v>65</v>
      </c>
      <c r="AS1689" s="3" t="s">
        <v>65</v>
      </c>
      <c r="AT1689" s="3" t="s">
        <v>209</v>
      </c>
      <c r="AU1689" s="6" t="str">
        <f>HYPERLINK("http://catalog.hathitrust.org/Record/000912333","HathiTrust Record")</f>
        <v>HathiTrust Record</v>
      </c>
      <c r="AV1689" s="6" t="str">
        <f>HYPERLINK("http://mcgill.on.worldcat.org/oclc/16684028","Catalog Record")</f>
        <v>Catalog Record</v>
      </c>
      <c r="AW1689" s="6" t="str">
        <f>HYPERLINK("http://www.worldcat.org/oclc/16684028","WorldCat Record")</f>
        <v>WorldCat Record</v>
      </c>
      <c r="AX1689" s="3" t="s">
        <v>16540</v>
      </c>
      <c r="AY1689" s="3" t="s">
        <v>16541</v>
      </c>
      <c r="AZ1689" s="3" t="s">
        <v>16542</v>
      </c>
      <c r="BA1689" s="3" t="s">
        <v>16542</v>
      </c>
      <c r="BB1689" s="3" t="s">
        <v>16543</v>
      </c>
      <c r="BC1689" s="3" t="s">
        <v>77</v>
      </c>
      <c r="BD1689" s="3" t="s">
        <v>78</v>
      </c>
      <c r="BE1689" s="3" t="s">
        <v>16544</v>
      </c>
      <c r="BF1689" s="3" t="s">
        <v>16543</v>
      </c>
      <c r="BG1689" s="3" t="s">
        <v>16545</v>
      </c>
    </row>
    <row r="1690" spans="1:59" ht="72.5" x14ac:dyDescent="0.35">
      <c r="A1690" s="2" t="s">
        <v>59</v>
      </c>
      <c r="B1690" s="2" t="s">
        <v>60</v>
      </c>
      <c r="C1690" s="2" t="s">
        <v>16546</v>
      </c>
      <c r="D1690" s="2" t="s">
        <v>16547</v>
      </c>
      <c r="E1690" s="2" t="s">
        <v>16548</v>
      </c>
      <c r="G1690" s="3" t="s">
        <v>65</v>
      </c>
      <c r="I1690" s="3" t="s">
        <v>209</v>
      </c>
      <c r="J1690" s="3" t="s">
        <v>209</v>
      </c>
      <c r="K1690" s="3" t="s">
        <v>66</v>
      </c>
      <c r="L1690" s="2" t="s">
        <v>16549</v>
      </c>
      <c r="M1690" s="2" t="s">
        <v>16550</v>
      </c>
      <c r="N1690" s="3" t="s">
        <v>5060</v>
      </c>
      <c r="P1690" s="3" t="s">
        <v>69</v>
      </c>
      <c r="R1690" s="3" t="s">
        <v>71</v>
      </c>
      <c r="S1690" s="4">
        <v>26</v>
      </c>
      <c r="T1690" s="4">
        <v>30</v>
      </c>
      <c r="U1690" s="5" t="s">
        <v>16551</v>
      </c>
      <c r="V1690" s="5" t="s">
        <v>16551</v>
      </c>
      <c r="W1690" s="5" t="s">
        <v>72</v>
      </c>
      <c r="X1690" s="5" t="s">
        <v>72</v>
      </c>
      <c r="Y1690" s="4">
        <v>17</v>
      </c>
      <c r="Z1690" s="4">
        <v>6</v>
      </c>
      <c r="AA1690" s="4">
        <v>37</v>
      </c>
      <c r="AB1690" s="4">
        <v>1</v>
      </c>
      <c r="AC1690" s="4">
        <v>3</v>
      </c>
      <c r="AD1690" s="4">
        <v>6</v>
      </c>
      <c r="AE1690" s="4">
        <v>110</v>
      </c>
      <c r="AF1690" s="4">
        <v>0</v>
      </c>
      <c r="AG1690" s="4">
        <v>2</v>
      </c>
      <c r="AH1690" s="4">
        <v>4</v>
      </c>
      <c r="AI1690" s="4">
        <v>91</v>
      </c>
      <c r="AJ1690" s="4">
        <v>3</v>
      </c>
      <c r="AK1690" s="4">
        <v>18</v>
      </c>
      <c r="AL1690" s="4">
        <v>2</v>
      </c>
      <c r="AM1690" s="4">
        <v>51</v>
      </c>
      <c r="AN1690" s="4">
        <v>0</v>
      </c>
      <c r="AO1690" s="4">
        <v>0</v>
      </c>
      <c r="AP1690" s="4">
        <v>4</v>
      </c>
      <c r="AQ1690" s="4">
        <v>25</v>
      </c>
      <c r="AR1690" s="3" t="s">
        <v>65</v>
      </c>
      <c r="AS1690" s="3" t="s">
        <v>65</v>
      </c>
      <c r="AT1690" s="3" t="s">
        <v>65</v>
      </c>
      <c r="AV1690" s="6" t="str">
        <f>HYPERLINK("http://mcgill.on.worldcat.org/oclc/270882885","Catalog Record")</f>
        <v>Catalog Record</v>
      </c>
      <c r="AW1690" s="6" t="str">
        <f>HYPERLINK("http://www.worldcat.org/oclc/270882885","WorldCat Record")</f>
        <v>WorldCat Record</v>
      </c>
      <c r="AX1690" s="3" t="s">
        <v>16552</v>
      </c>
      <c r="AY1690" s="3" t="s">
        <v>16553</v>
      </c>
      <c r="AZ1690" s="3" t="s">
        <v>16554</v>
      </c>
      <c r="BA1690" s="3" t="s">
        <v>16554</v>
      </c>
      <c r="BB1690" s="3" t="s">
        <v>16555</v>
      </c>
      <c r="BC1690" s="3" t="s">
        <v>77</v>
      </c>
      <c r="BD1690" s="3" t="s">
        <v>78</v>
      </c>
      <c r="BF1690" s="3" t="s">
        <v>16555</v>
      </c>
      <c r="BG1690" s="3" t="s">
        <v>16556</v>
      </c>
    </row>
    <row r="1691" spans="1:59" ht="72.5" x14ac:dyDescent="0.35">
      <c r="A1691" s="2" t="s">
        <v>59</v>
      </c>
      <c r="B1691" s="2" t="s">
        <v>60</v>
      </c>
      <c r="C1691" s="2" t="s">
        <v>16546</v>
      </c>
      <c r="D1691" s="2" t="s">
        <v>16547</v>
      </c>
      <c r="E1691" s="2" t="s">
        <v>16548</v>
      </c>
      <c r="G1691" s="3" t="s">
        <v>65</v>
      </c>
      <c r="I1691" s="3" t="s">
        <v>209</v>
      </c>
      <c r="J1691" s="3" t="s">
        <v>209</v>
      </c>
      <c r="K1691" s="3" t="s">
        <v>66</v>
      </c>
      <c r="L1691" s="2" t="s">
        <v>16549</v>
      </c>
      <c r="M1691" s="2" t="s">
        <v>16550</v>
      </c>
      <c r="N1691" s="3" t="s">
        <v>5060</v>
      </c>
      <c r="P1691" s="3" t="s">
        <v>69</v>
      </c>
      <c r="R1691" s="3" t="s">
        <v>71</v>
      </c>
      <c r="S1691" s="4">
        <v>4</v>
      </c>
      <c r="T1691" s="4">
        <v>30</v>
      </c>
      <c r="U1691" s="5" t="s">
        <v>16557</v>
      </c>
      <c r="V1691" s="5" t="s">
        <v>16551</v>
      </c>
      <c r="W1691" s="5" t="s">
        <v>72</v>
      </c>
      <c r="X1691" s="5" t="s">
        <v>72</v>
      </c>
      <c r="Y1691" s="4">
        <v>17</v>
      </c>
      <c r="Z1691" s="4">
        <v>6</v>
      </c>
      <c r="AA1691" s="4">
        <v>37</v>
      </c>
      <c r="AB1691" s="4">
        <v>1</v>
      </c>
      <c r="AC1691" s="4">
        <v>3</v>
      </c>
      <c r="AD1691" s="4">
        <v>6</v>
      </c>
      <c r="AE1691" s="4">
        <v>110</v>
      </c>
      <c r="AF1691" s="4">
        <v>0</v>
      </c>
      <c r="AG1691" s="4">
        <v>2</v>
      </c>
      <c r="AH1691" s="4">
        <v>4</v>
      </c>
      <c r="AI1691" s="4">
        <v>91</v>
      </c>
      <c r="AJ1691" s="4">
        <v>3</v>
      </c>
      <c r="AK1691" s="4">
        <v>18</v>
      </c>
      <c r="AL1691" s="4">
        <v>2</v>
      </c>
      <c r="AM1691" s="4">
        <v>51</v>
      </c>
      <c r="AN1691" s="4">
        <v>0</v>
      </c>
      <c r="AO1691" s="4">
        <v>0</v>
      </c>
      <c r="AP1691" s="4">
        <v>4</v>
      </c>
      <c r="AQ1691" s="4">
        <v>25</v>
      </c>
      <c r="AR1691" s="3" t="s">
        <v>65</v>
      </c>
      <c r="AS1691" s="3" t="s">
        <v>65</v>
      </c>
      <c r="AT1691" s="3" t="s">
        <v>65</v>
      </c>
      <c r="AV1691" s="6" t="str">
        <f>HYPERLINK("http://mcgill.on.worldcat.org/oclc/270882885","Catalog Record")</f>
        <v>Catalog Record</v>
      </c>
      <c r="AW1691" s="6" t="str">
        <f>HYPERLINK("http://www.worldcat.org/oclc/270882885","WorldCat Record")</f>
        <v>WorldCat Record</v>
      </c>
      <c r="AX1691" s="3" t="s">
        <v>16552</v>
      </c>
      <c r="AY1691" s="3" t="s">
        <v>16553</v>
      </c>
      <c r="AZ1691" s="3" t="s">
        <v>16554</v>
      </c>
      <c r="BA1691" s="3" t="s">
        <v>16554</v>
      </c>
      <c r="BB1691" s="3" t="s">
        <v>16558</v>
      </c>
      <c r="BC1691" s="3" t="s">
        <v>77</v>
      </c>
      <c r="BD1691" s="3" t="s">
        <v>78</v>
      </c>
      <c r="BF1691" s="3" t="s">
        <v>16558</v>
      </c>
      <c r="BG1691" s="3" t="s">
        <v>16559</v>
      </c>
    </row>
    <row r="1692" spans="1:59" ht="58" x14ac:dyDescent="0.35">
      <c r="A1692" s="2" t="s">
        <v>59</v>
      </c>
      <c r="B1692" s="2" t="s">
        <v>60</v>
      </c>
      <c r="C1692" s="2" t="s">
        <v>16560</v>
      </c>
      <c r="D1692" s="2" t="s">
        <v>16561</v>
      </c>
      <c r="E1692" s="2" t="s">
        <v>16562</v>
      </c>
      <c r="F1692" s="3" t="s">
        <v>16563</v>
      </c>
      <c r="G1692" s="3" t="s">
        <v>209</v>
      </c>
      <c r="I1692" s="3" t="s">
        <v>65</v>
      </c>
      <c r="J1692" s="3" t="s">
        <v>65</v>
      </c>
      <c r="K1692" s="3" t="s">
        <v>66</v>
      </c>
      <c r="L1692" s="2" t="s">
        <v>16417</v>
      </c>
      <c r="M1692" s="2" t="s">
        <v>16564</v>
      </c>
      <c r="N1692" s="3" t="s">
        <v>99</v>
      </c>
      <c r="P1692" s="3" t="s">
        <v>140</v>
      </c>
      <c r="Q1692" s="2" t="s">
        <v>16565</v>
      </c>
      <c r="R1692" s="3" t="s">
        <v>71</v>
      </c>
      <c r="S1692" s="4">
        <v>1</v>
      </c>
      <c r="T1692" s="4">
        <v>2</v>
      </c>
      <c r="U1692" s="5" t="s">
        <v>16566</v>
      </c>
      <c r="V1692" s="5" t="s">
        <v>16566</v>
      </c>
      <c r="W1692" s="5" t="s">
        <v>72</v>
      </c>
      <c r="X1692" s="5" t="s">
        <v>72</v>
      </c>
      <c r="Y1692" s="4">
        <v>9</v>
      </c>
      <c r="Z1692" s="4">
        <v>4</v>
      </c>
      <c r="AA1692" s="4">
        <v>4</v>
      </c>
      <c r="AB1692" s="4">
        <v>1</v>
      </c>
      <c r="AC1692" s="4">
        <v>1</v>
      </c>
      <c r="AD1692" s="4">
        <v>7</v>
      </c>
      <c r="AE1692" s="4">
        <v>7</v>
      </c>
      <c r="AF1692" s="4">
        <v>0</v>
      </c>
      <c r="AG1692" s="4">
        <v>0</v>
      </c>
      <c r="AH1692" s="4">
        <v>6</v>
      </c>
      <c r="AI1692" s="4">
        <v>6</v>
      </c>
      <c r="AJ1692" s="4">
        <v>2</v>
      </c>
      <c r="AK1692" s="4">
        <v>2</v>
      </c>
      <c r="AL1692" s="4">
        <v>3</v>
      </c>
      <c r="AM1692" s="4">
        <v>3</v>
      </c>
      <c r="AN1692" s="4">
        <v>0</v>
      </c>
      <c r="AO1692" s="4">
        <v>0</v>
      </c>
      <c r="AP1692" s="4">
        <v>2</v>
      </c>
      <c r="AQ1692" s="4">
        <v>2</v>
      </c>
      <c r="AR1692" s="3" t="s">
        <v>65</v>
      </c>
      <c r="AS1692" s="3" t="s">
        <v>65</v>
      </c>
      <c r="AT1692" s="3" t="s">
        <v>65</v>
      </c>
      <c r="AV1692" s="6" t="str">
        <f>HYPERLINK("http://mcgill.on.worldcat.org/oclc/81261033","Catalog Record")</f>
        <v>Catalog Record</v>
      </c>
      <c r="AW1692" s="6" t="str">
        <f>HYPERLINK("http://www.worldcat.org/oclc/81261033","WorldCat Record")</f>
        <v>WorldCat Record</v>
      </c>
      <c r="AX1692" s="3" t="s">
        <v>16567</v>
      </c>
      <c r="AY1692" s="3" t="s">
        <v>16568</v>
      </c>
      <c r="AZ1692" s="3" t="s">
        <v>16569</v>
      </c>
      <c r="BA1692" s="3" t="s">
        <v>16569</v>
      </c>
      <c r="BB1692" s="3" t="s">
        <v>16570</v>
      </c>
      <c r="BC1692" s="3" t="s">
        <v>77</v>
      </c>
      <c r="BD1692" s="3" t="s">
        <v>78</v>
      </c>
      <c r="BE1692" s="3" t="s">
        <v>16571</v>
      </c>
      <c r="BF1692" s="3" t="s">
        <v>16570</v>
      </c>
      <c r="BG1692" s="3" t="s">
        <v>16572</v>
      </c>
    </row>
    <row r="1693" spans="1:59" ht="58" x14ac:dyDescent="0.35">
      <c r="A1693" s="2" t="s">
        <v>59</v>
      </c>
      <c r="B1693" s="2" t="s">
        <v>60</v>
      </c>
      <c r="C1693" s="2" t="s">
        <v>16560</v>
      </c>
      <c r="D1693" s="2" t="s">
        <v>16561</v>
      </c>
      <c r="E1693" s="2" t="s">
        <v>16562</v>
      </c>
      <c r="F1693" s="3" t="s">
        <v>16573</v>
      </c>
      <c r="G1693" s="3" t="s">
        <v>209</v>
      </c>
      <c r="I1693" s="3" t="s">
        <v>65</v>
      </c>
      <c r="J1693" s="3" t="s">
        <v>65</v>
      </c>
      <c r="K1693" s="3" t="s">
        <v>66</v>
      </c>
      <c r="L1693" s="2" t="s">
        <v>16417</v>
      </c>
      <c r="M1693" s="2" t="s">
        <v>16564</v>
      </c>
      <c r="N1693" s="3" t="s">
        <v>99</v>
      </c>
      <c r="P1693" s="3" t="s">
        <v>140</v>
      </c>
      <c r="Q1693" s="2" t="s">
        <v>16565</v>
      </c>
      <c r="R1693" s="3" t="s">
        <v>71</v>
      </c>
      <c r="S1693" s="4">
        <v>1</v>
      </c>
      <c r="T1693" s="4">
        <v>2</v>
      </c>
      <c r="U1693" s="5" t="s">
        <v>16566</v>
      </c>
      <c r="V1693" s="5" t="s">
        <v>16566</v>
      </c>
      <c r="W1693" s="5" t="s">
        <v>72</v>
      </c>
      <c r="X1693" s="5" t="s">
        <v>72</v>
      </c>
      <c r="Y1693" s="4">
        <v>9</v>
      </c>
      <c r="Z1693" s="4">
        <v>4</v>
      </c>
      <c r="AA1693" s="4">
        <v>4</v>
      </c>
      <c r="AB1693" s="4">
        <v>1</v>
      </c>
      <c r="AC1693" s="4">
        <v>1</v>
      </c>
      <c r="AD1693" s="4">
        <v>7</v>
      </c>
      <c r="AE1693" s="4">
        <v>7</v>
      </c>
      <c r="AF1693" s="4">
        <v>0</v>
      </c>
      <c r="AG1693" s="4">
        <v>0</v>
      </c>
      <c r="AH1693" s="4">
        <v>6</v>
      </c>
      <c r="AI1693" s="4">
        <v>6</v>
      </c>
      <c r="AJ1693" s="4">
        <v>2</v>
      </c>
      <c r="AK1693" s="4">
        <v>2</v>
      </c>
      <c r="AL1693" s="4">
        <v>3</v>
      </c>
      <c r="AM1693" s="4">
        <v>3</v>
      </c>
      <c r="AN1693" s="4">
        <v>0</v>
      </c>
      <c r="AO1693" s="4">
        <v>0</v>
      </c>
      <c r="AP1693" s="4">
        <v>2</v>
      </c>
      <c r="AQ1693" s="4">
        <v>2</v>
      </c>
      <c r="AR1693" s="3" t="s">
        <v>65</v>
      </c>
      <c r="AS1693" s="3" t="s">
        <v>65</v>
      </c>
      <c r="AT1693" s="3" t="s">
        <v>65</v>
      </c>
      <c r="AV1693" s="6" t="str">
        <f>HYPERLINK("http://mcgill.on.worldcat.org/oclc/81261033","Catalog Record")</f>
        <v>Catalog Record</v>
      </c>
      <c r="AW1693" s="6" t="str">
        <f>HYPERLINK("http://www.worldcat.org/oclc/81261033","WorldCat Record")</f>
        <v>WorldCat Record</v>
      </c>
      <c r="AX1693" s="3" t="s">
        <v>16567</v>
      </c>
      <c r="AY1693" s="3" t="s">
        <v>16568</v>
      </c>
      <c r="AZ1693" s="3" t="s">
        <v>16569</v>
      </c>
      <c r="BA1693" s="3" t="s">
        <v>16569</v>
      </c>
      <c r="BB1693" s="3" t="s">
        <v>16574</v>
      </c>
      <c r="BC1693" s="3" t="s">
        <v>77</v>
      </c>
      <c r="BD1693" s="3" t="s">
        <v>78</v>
      </c>
      <c r="BE1693" s="3" t="s">
        <v>16571</v>
      </c>
      <c r="BF1693" s="3" t="s">
        <v>16574</v>
      </c>
      <c r="BG1693" s="3" t="s">
        <v>16575</v>
      </c>
    </row>
    <row r="1694" spans="1:59" ht="58" x14ac:dyDescent="0.35">
      <c r="A1694" s="2" t="s">
        <v>59</v>
      </c>
      <c r="B1694" s="2" t="s">
        <v>60</v>
      </c>
      <c r="C1694" s="2" t="s">
        <v>16576</v>
      </c>
      <c r="D1694" s="2" t="s">
        <v>16577</v>
      </c>
      <c r="E1694" s="2" t="s">
        <v>16578</v>
      </c>
      <c r="G1694" s="3" t="s">
        <v>65</v>
      </c>
      <c r="I1694" s="3" t="s">
        <v>65</v>
      </c>
      <c r="J1694" s="3" t="s">
        <v>65</v>
      </c>
      <c r="K1694" s="3" t="s">
        <v>66</v>
      </c>
      <c r="L1694" s="2" t="s">
        <v>16399</v>
      </c>
      <c r="M1694" s="2" t="s">
        <v>16579</v>
      </c>
      <c r="N1694" s="3" t="s">
        <v>188</v>
      </c>
      <c r="P1694" s="3" t="s">
        <v>140</v>
      </c>
      <c r="Q1694" s="2" t="s">
        <v>16580</v>
      </c>
      <c r="R1694" s="3" t="s">
        <v>71</v>
      </c>
      <c r="S1694" s="4">
        <v>0</v>
      </c>
      <c r="T1694" s="4">
        <v>0</v>
      </c>
      <c r="W1694" s="5" t="s">
        <v>72</v>
      </c>
      <c r="X1694" s="5" t="s">
        <v>72</v>
      </c>
      <c r="Y1694" s="4">
        <v>47</v>
      </c>
      <c r="Z1694" s="4">
        <v>2</v>
      </c>
      <c r="AA1694" s="4">
        <v>7</v>
      </c>
      <c r="AB1694" s="4">
        <v>1</v>
      </c>
      <c r="AC1694" s="4">
        <v>2</v>
      </c>
      <c r="AD1694" s="4">
        <v>32</v>
      </c>
      <c r="AE1694" s="4">
        <v>43</v>
      </c>
      <c r="AF1694" s="4">
        <v>0</v>
      </c>
      <c r="AG1694" s="4">
        <v>1</v>
      </c>
      <c r="AH1694" s="4">
        <v>31</v>
      </c>
      <c r="AI1694" s="4">
        <v>40</v>
      </c>
      <c r="AJ1694" s="4">
        <v>1</v>
      </c>
      <c r="AK1694" s="4">
        <v>3</v>
      </c>
      <c r="AL1694" s="4">
        <v>23</v>
      </c>
      <c r="AM1694" s="4">
        <v>29</v>
      </c>
      <c r="AN1694" s="4">
        <v>0</v>
      </c>
      <c r="AO1694" s="4">
        <v>0</v>
      </c>
      <c r="AP1694" s="4">
        <v>1</v>
      </c>
      <c r="AQ1694" s="4">
        <v>4</v>
      </c>
      <c r="AR1694" s="3" t="s">
        <v>65</v>
      </c>
      <c r="AS1694" s="3" t="s">
        <v>65</v>
      </c>
      <c r="AT1694" s="3" t="s">
        <v>65</v>
      </c>
      <c r="AV1694" s="6" t="str">
        <f>HYPERLINK("http://mcgill.on.worldcat.org/oclc/1000395715","Catalog Record")</f>
        <v>Catalog Record</v>
      </c>
      <c r="AW1694" s="6" t="str">
        <f>HYPERLINK("http://www.worldcat.org/oclc/1000395715","WorldCat Record")</f>
        <v>WorldCat Record</v>
      </c>
      <c r="AX1694" s="3" t="s">
        <v>16581</v>
      </c>
      <c r="AY1694" s="3" t="s">
        <v>16582</v>
      </c>
      <c r="AZ1694" s="3" t="s">
        <v>16583</v>
      </c>
      <c r="BA1694" s="3" t="s">
        <v>16583</v>
      </c>
      <c r="BB1694" s="3" t="s">
        <v>16584</v>
      </c>
      <c r="BC1694" s="3" t="s">
        <v>77</v>
      </c>
      <c r="BD1694" s="3" t="s">
        <v>78</v>
      </c>
      <c r="BE1694" s="3" t="s">
        <v>16585</v>
      </c>
      <c r="BF1694" s="3" t="s">
        <v>16584</v>
      </c>
      <c r="BG1694" s="3" t="s">
        <v>16586</v>
      </c>
    </row>
    <row r="1695" spans="1:59" ht="72.5" x14ac:dyDescent="0.35">
      <c r="A1695" s="2" t="s">
        <v>59</v>
      </c>
      <c r="B1695" s="2" t="s">
        <v>60</v>
      </c>
      <c r="C1695" s="2" t="s">
        <v>16587</v>
      </c>
      <c r="D1695" s="2" t="s">
        <v>16588</v>
      </c>
      <c r="E1695" s="2" t="s">
        <v>16589</v>
      </c>
      <c r="G1695" s="3" t="s">
        <v>65</v>
      </c>
      <c r="I1695" s="3" t="s">
        <v>65</v>
      </c>
      <c r="J1695" s="3" t="s">
        <v>65</v>
      </c>
      <c r="K1695" s="3" t="s">
        <v>66</v>
      </c>
      <c r="L1695" s="2" t="s">
        <v>16590</v>
      </c>
      <c r="M1695" s="2" t="s">
        <v>16591</v>
      </c>
      <c r="N1695" s="3" t="s">
        <v>99</v>
      </c>
      <c r="P1695" s="3" t="s">
        <v>140</v>
      </c>
      <c r="Q1695" s="2" t="s">
        <v>16592</v>
      </c>
      <c r="R1695" s="3" t="s">
        <v>71</v>
      </c>
      <c r="S1695" s="4">
        <v>1</v>
      </c>
      <c r="T1695" s="4">
        <v>1</v>
      </c>
      <c r="U1695" s="5" t="s">
        <v>16593</v>
      </c>
      <c r="V1695" s="5" t="s">
        <v>16593</v>
      </c>
      <c r="W1695" s="5" t="s">
        <v>72</v>
      </c>
      <c r="X1695" s="5" t="s">
        <v>72</v>
      </c>
      <c r="Y1695" s="4">
        <v>31</v>
      </c>
      <c r="Z1695" s="4">
        <v>3</v>
      </c>
      <c r="AA1695" s="4">
        <v>3</v>
      </c>
      <c r="AB1695" s="4">
        <v>1</v>
      </c>
      <c r="AC1695" s="4">
        <v>1</v>
      </c>
      <c r="AD1695" s="4">
        <v>20</v>
      </c>
      <c r="AE1695" s="4">
        <v>20</v>
      </c>
      <c r="AF1695" s="4">
        <v>0</v>
      </c>
      <c r="AG1695" s="4">
        <v>0</v>
      </c>
      <c r="AH1695" s="4">
        <v>19</v>
      </c>
      <c r="AI1695" s="4">
        <v>19</v>
      </c>
      <c r="AJ1695" s="4">
        <v>1</v>
      </c>
      <c r="AK1695" s="4">
        <v>1</v>
      </c>
      <c r="AL1695" s="4">
        <v>17</v>
      </c>
      <c r="AM1695" s="4">
        <v>17</v>
      </c>
      <c r="AN1695" s="4">
        <v>0</v>
      </c>
      <c r="AO1695" s="4">
        <v>0</v>
      </c>
      <c r="AP1695" s="4">
        <v>1</v>
      </c>
      <c r="AQ1695" s="4">
        <v>1</v>
      </c>
      <c r="AR1695" s="3" t="s">
        <v>65</v>
      </c>
      <c r="AS1695" s="3" t="s">
        <v>65</v>
      </c>
      <c r="AT1695" s="3" t="s">
        <v>209</v>
      </c>
      <c r="AU1695" s="6" t="str">
        <f>HYPERLINK("http://catalog.hathitrust.org/Record/005551297","HathiTrust Record")</f>
        <v>HathiTrust Record</v>
      </c>
      <c r="AV1695" s="6" t="str">
        <f>HYPERLINK("http://mcgill.on.worldcat.org/oclc/77571205","Catalog Record")</f>
        <v>Catalog Record</v>
      </c>
      <c r="AW1695" s="6" t="str">
        <f>HYPERLINK("http://www.worldcat.org/oclc/77571205","WorldCat Record")</f>
        <v>WorldCat Record</v>
      </c>
      <c r="AX1695" s="3" t="s">
        <v>16594</v>
      </c>
      <c r="AY1695" s="3" t="s">
        <v>16595</v>
      </c>
      <c r="AZ1695" s="3" t="s">
        <v>16596</v>
      </c>
      <c r="BA1695" s="3" t="s">
        <v>16596</v>
      </c>
      <c r="BB1695" s="3" t="s">
        <v>16597</v>
      </c>
      <c r="BC1695" s="3" t="s">
        <v>77</v>
      </c>
      <c r="BD1695" s="3" t="s">
        <v>78</v>
      </c>
      <c r="BE1695" s="3" t="s">
        <v>16598</v>
      </c>
      <c r="BF1695" s="3" t="s">
        <v>16597</v>
      </c>
      <c r="BG1695" s="3" t="s">
        <v>16599</v>
      </c>
    </row>
    <row r="1696" spans="1:59" ht="72.5" x14ac:dyDescent="0.35">
      <c r="A1696" s="2" t="s">
        <v>59</v>
      </c>
      <c r="B1696" s="2" t="s">
        <v>60</v>
      </c>
      <c r="C1696" s="2" t="s">
        <v>16600</v>
      </c>
      <c r="D1696" s="2" t="s">
        <v>16601</v>
      </c>
      <c r="E1696" s="2" t="s">
        <v>16602</v>
      </c>
      <c r="G1696" s="3" t="s">
        <v>65</v>
      </c>
      <c r="I1696" s="3" t="s">
        <v>65</v>
      </c>
      <c r="J1696" s="3" t="s">
        <v>65</v>
      </c>
      <c r="K1696" s="3" t="s">
        <v>66</v>
      </c>
      <c r="L1696" s="2" t="s">
        <v>16603</v>
      </c>
      <c r="M1696" s="2" t="s">
        <v>16604</v>
      </c>
      <c r="N1696" s="3" t="s">
        <v>113</v>
      </c>
      <c r="P1696" s="3" t="s">
        <v>140</v>
      </c>
      <c r="Q1696" s="2" t="s">
        <v>16605</v>
      </c>
      <c r="R1696" s="3" t="s">
        <v>71</v>
      </c>
      <c r="S1696" s="4">
        <v>0</v>
      </c>
      <c r="T1696" s="4">
        <v>0</v>
      </c>
      <c r="W1696" s="5" t="s">
        <v>72</v>
      </c>
      <c r="X1696" s="5" t="s">
        <v>72</v>
      </c>
      <c r="Y1696" s="4">
        <v>44</v>
      </c>
      <c r="Z1696" s="4">
        <v>3</v>
      </c>
      <c r="AA1696" s="4">
        <v>4</v>
      </c>
      <c r="AB1696" s="4">
        <v>1</v>
      </c>
      <c r="AC1696" s="4">
        <v>2</v>
      </c>
      <c r="AD1696" s="4">
        <v>27</v>
      </c>
      <c r="AE1696" s="4">
        <v>28</v>
      </c>
      <c r="AF1696" s="4">
        <v>0</v>
      </c>
      <c r="AG1696" s="4">
        <v>1</v>
      </c>
      <c r="AH1696" s="4">
        <v>26</v>
      </c>
      <c r="AI1696" s="4">
        <v>26</v>
      </c>
      <c r="AJ1696" s="4">
        <v>1</v>
      </c>
      <c r="AK1696" s="4">
        <v>2</v>
      </c>
      <c r="AL1696" s="4">
        <v>22</v>
      </c>
      <c r="AM1696" s="4">
        <v>22</v>
      </c>
      <c r="AN1696" s="4">
        <v>0</v>
      </c>
      <c r="AO1696" s="4">
        <v>0</v>
      </c>
      <c r="AP1696" s="4">
        <v>1</v>
      </c>
      <c r="AQ1696" s="4">
        <v>1</v>
      </c>
      <c r="AR1696" s="3" t="s">
        <v>65</v>
      </c>
      <c r="AS1696" s="3" t="s">
        <v>65</v>
      </c>
      <c r="AT1696" s="3" t="s">
        <v>65</v>
      </c>
      <c r="AV1696" s="6" t="str">
        <f>HYPERLINK("http://mcgill.on.worldcat.org/oclc/703877844","Catalog Record")</f>
        <v>Catalog Record</v>
      </c>
      <c r="AW1696" s="6" t="str">
        <f>HYPERLINK("http://www.worldcat.org/oclc/703877844","WorldCat Record")</f>
        <v>WorldCat Record</v>
      </c>
      <c r="AX1696" s="3" t="s">
        <v>16606</v>
      </c>
      <c r="AY1696" s="3" t="s">
        <v>16607</v>
      </c>
      <c r="AZ1696" s="3" t="s">
        <v>16608</v>
      </c>
      <c r="BA1696" s="3" t="s">
        <v>16608</v>
      </c>
      <c r="BB1696" s="3" t="s">
        <v>16609</v>
      </c>
      <c r="BC1696" s="3" t="s">
        <v>77</v>
      </c>
      <c r="BD1696" s="3" t="s">
        <v>78</v>
      </c>
      <c r="BE1696" s="3" t="s">
        <v>16610</v>
      </c>
      <c r="BF1696" s="3" t="s">
        <v>16609</v>
      </c>
      <c r="BG1696" s="3" t="s">
        <v>16611</v>
      </c>
    </row>
    <row r="1697" spans="1:59" ht="72.5" x14ac:dyDescent="0.35">
      <c r="A1697" s="2" t="s">
        <v>59</v>
      </c>
      <c r="B1697" s="2" t="s">
        <v>60</v>
      </c>
      <c r="C1697" s="2" t="s">
        <v>16612</v>
      </c>
      <c r="D1697" s="2" t="s">
        <v>16613</v>
      </c>
      <c r="E1697" s="2" t="s">
        <v>16614</v>
      </c>
      <c r="G1697" s="3" t="s">
        <v>65</v>
      </c>
      <c r="I1697" s="3" t="s">
        <v>65</v>
      </c>
      <c r="J1697" s="3" t="s">
        <v>65</v>
      </c>
      <c r="K1697" s="3" t="s">
        <v>66</v>
      </c>
      <c r="L1697" s="2" t="s">
        <v>16615</v>
      </c>
      <c r="M1697" s="2" t="s">
        <v>16616</v>
      </c>
      <c r="N1697" s="3" t="s">
        <v>479</v>
      </c>
      <c r="P1697" s="3" t="s">
        <v>69</v>
      </c>
      <c r="R1697" s="3" t="s">
        <v>71</v>
      </c>
      <c r="S1697" s="4">
        <v>10</v>
      </c>
      <c r="T1697" s="4">
        <v>10</v>
      </c>
      <c r="U1697" s="5" t="s">
        <v>16617</v>
      </c>
      <c r="V1697" s="5" t="s">
        <v>16617</v>
      </c>
      <c r="W1697" s="5" t="s">
        <v>72</v>
      </c>
      <c r="X1697" s="5" t="s">
        <v>72</v>
      </c>
      <c r="Y1697" s="4">
        <v>174</v>
      </c>
      <c r="Z1697" s="4">
        <v>13</v>
      </c>
      <c r="AA1697" s="4">
        <v>14</v>
      </c>
      <c r="AB1697" s="4">
        <v>1</v>
      </c>
      <c r="AC1697" s="4">
        <v>2</v>
      </c>
      <c r="AD1697" s="4">
        <v>93</v>
      </c>
      <c r="AE1697" s="4">
        <v>93</v>
      </c>
      <c r="AF1697" s="4">
        <v>0</v>
      </c>
      <c r="AG1697" s="4">
        <v>0</v>
      </c>
      <c r="AH1697" s="4">
        <v>89</v>
      </c>
      <c r="AI1697" s="4">
        <v>89</v>
      </c>
      <c r="AJ1697" s="4">
        <v>10</v>
      </c>
      <c r="AK1697" s="4">
        <v>10</v>
      </c>
      <c r="AL1697" s="4">
        <v>51</v>
      </c>
      <c r="AM1697" s="4">
        <v>51</v>
      </c>
      <c r="AN1697" s="4">
        <v>0</v>
      </c>
      <c r="AO1697" s="4">
        <v>0</v>
      </c>
      <c r="AP1697" s="4">
        <v>10</v>
      </c>
      <c r="AQ1697" s="4">
        <v>10</v>
      </c>
      <c r="AR1697" s="3" t="s">
        <v>65</v>
      </c>
      <c r="AS1697" s="3" t="s">
        <v>65</v>
      </c>
      <c r="AT1697" s="3" t="s">
        <v>65</v>
      </c>
      <c r="AV1697" s="6" t="str">
        <f>HYPERLINK("http://mcgill.on.worldcat.org/oclc/155715218","Catalog Record")</f>
        <v>Catalog Record</v>
      </c>
      <c r="AW1697" s="6" t="str">
        <f>HYPERLINK("http://www.worldcat.org/oclc/155715218","WorldCat Record")</f>
        <v>WorldCat Record</v>
      </c>
      <c r="AX1697" s="3" t="s">
        <v>16618</v>
      </c>
      <c r="AY1697" s="3" t="s">
        <v>16619</v>
      </c>
      <c r="AZ1697" s="3" t="s">
        <v>16620</v>
      </c>
      <c r="BA1697" s="3" t="s">
        <v>16620</v>
      </c>
      <c r="BB1697" s="3" t="s">
        <v>16621</v>
      </c>
      <c r="BC1697" s="3" t="s">
        <v>77</v>
      </c>
      <c r="BD1697" s="3" t="s">
        <v>78</v>
      </c>
      <c r="BE1697" s="3" t="s">
        <v>16622</v>
      </c>
      <c r="BF1697" s="3" t="s">
        <v>16621</v>
      </c>
      <c r="BG1697" s="3" t="s">
        <v>16623</v>
      </c>
    </row>
    <row r="1698" spans="1:59" ht="72.5" x14ac:dyDescent="0.35">
      <c r="A1698" s="2" t="s">
        <v>59</v>
      </c>
      <c r="B1698" s="2" t="s">
        <v>60</v>
      </c>
      <c r="C1698" s="2" t="s">
        <v>16624</v>
      </c>
      <c r="D1698" s="2" t="s">
        <v>16625</v>
      </c>
      <c r="E1698" s="2" t="s">
        <v>16626</v>
      </c>
      <c r="G1698" s="3" t="s">
        <v>65</v>
      </c>
      <c r="I1698" s="3" t="s">
        <v>65</v>
      </c>
      <c r="J1698" s="3" t="s">
        <v>65</v>
      </c>
      <c r="K1698" s="3" t="s">
        <v>66</v>
      </c>
      <c r="M1698" s="2" t="s">
        <v>3922</v>
      </c>
      <c r="N1698" s="3" t="s">
        <v>152</v>
      </c>
      <c r="O1698" s="2" t="s">
        <v>365</v>
      </c>
      <c r="P1698" s="3" t="s">
        <v>69</v>
      </c>
      <c r="Q1698" s="2" t="s">
        <v>16627</v>
      </c>
      <c r="R1698" s="3" t="s">
        <v>71</v>
      </c>
      <c r="S1698" s="4">
        <v>3</v>
      </c>
      <c r="T1698" s="4">
        <v>3</v>
      </c>
      <c r="U1698" s="5" t="s">
        <v>7704</v>
      </c>
      <c r="V1698" s="5" t="s">
        <v>7704</v>
      </c>
      <c r="W1698" s="5" t="s">
        <v>72</v>
      </c>
      <c r="X1698" s="5" t="s">
        <v>72</v>
      </c>
      <c r="Y1698" s="4">
        <v>31</v>
      </c>
      <c r="Z1698" s="4">
        <v>3</v>
      </c>
      <c r="AA1698" s="4">
        <v>3</v>
      </c>
      <c r="AB1698" s="4">
        <v>1</v>
      </c>
      <c r="AC1698" s="4">
        <v>1</v>
      </c>
      <c r="AD1698" s="4">
        <v>18</v>
      </c>
      <c r="AE1698" s="4">
        <v>18</v>
      </c>
      <c r="AF1698" s="4">
        <v>0</v>
      </c>
      <c r="AG1698" s="4">
        <v>0</v>
      </c>
      <c r="AH1698" s="4">
        <v>17</v>
      </c>
      <c r="AI1698" s="4">
        <v>17</v>
      </c>
      <c r="AJ1698" s="4">
        <v>1</v>
      </c>
      <c r="AK1698" s="4">
        <v>1</v>
      </c>
      <c r="AL1698" s="4">
        <v>15</v>
      </c>
      <c r="AM1698" s="4">
        <v>15</v>
      </c>
      <c r="AN1698" s="4">
        <v>0</v>
      </c>
      <c r="AO1698" s="4">
        <v>0</v>
      </c>
      <c r="AP1698" s="4">
        <v>1</v>
      </c>
      <c r="AQ1698" s="4">
        <v>1</v>
      </c>
      <c r="AR1698" s="3" t="s">
        <v>65</v>
      </c>
      <c r="AS1698" s="3" t="s">
        <v>65</v>
      </c>
      <c r="AT1698" s="3" t="s">
        <v>65</v>
      </c>
      <c r="AV1698" s="6" t="str">
        <f>HYPERLINK("http://mcgill.on.worldcat.org/oclc/846459294","Catalog Record")</f>
        <v>Catalog Record</v>
      </c>
      <c r="AW1698" s="6" t="str">
        <f>HYPERLINK("http://www.worldcat.org/oclc/846459294","WorldCat Record")</f>
        <v>WorldCat Record</v>
      </c>
      <c r="AX1698" s="3" t="s">
        <v>16628</v>
      </c>
      <c r="AY1698" s="3" t="s">
        <v>16629</v>
      </c>
      <c r="AZ1698" s="3" t="s">
        <v>16630</v>
      </c>
      <c r="BA1698" s="3" t="s">
        <v>16630</v>
      </c>
      <c r="BB1698" s="3" t="s">
        <v>16631</v>
      </c>
      <c r="BC1698" s="3" t="s">
        <v>77</v>
      </c>
      <c r="BD1698" s="3" t="s">
        <v>78</v>
      </c>
      <c r="BE1698" s="3" t="s">
        <v>16632</v>
      </c>
      <c r="BF1698" s="3" t="s">
        <v>16631</v>
      </c>
      <c r="BG1698" s="3" t="s">
        <v>16633</v>
      </c>
    </row>
    <row r="1699" spans="1:59" ht="72.5" x14ac:dyDescent="0.35">
      <c r="A1699" s="2" t="s">
        <v>59</v>
      </c>
      <c r="B1699" s="2" t="s">
        <v>60</v>
      </c>
      <c r="C1699" s="2" t="s">
        <v>16634</v>
      </c>
      <c r="D1699" s="2" t="s">
        <v>16635</v>
      </c>
      <c r="E1699" s="2" t="s">
        <v>16636</v>
      </c>
      <c r="G1699" s="3" t="s">
        <v>65</v>
      </c>
      <c r="I1699" s="3" t="s">
        <v>65</v>
      </c>
      <c r="J1699" s="3" t="s">
        <v>65</v>
      </c>
      <c r="K1699" s="3" t="s">
        <v>66</v>
      </c>
      <c r="L1699" s="2" t="s">
        <v>16637</v>
      </c>
      <c r="M1699" s="2" t="s">
        <v>16638</v>
      </c>
      <c r="N1699" s="3" t="s">
        <v>139</v>
      </c>
      <c r="P1699" s="3" t="s">
        <v>140</v>
      </c>
      <c r="Q1699" s="2" t="s">
        <v>16639</v>
      </c>
      <c r="R1699" s="3" t="s">
        <v>71</v>
      </c>
      <c r="S1699" s="4">
        <v>0</v>
      </c>
      <c r="T1699" s="4">
        <v>0</v>
      </c>
      <c r="W1699" s="5" t="s">
        <v>72</v>
      </c>
      <c r="X1699" s="5" t="s">
        <v>72</v>
      </c>
      <c r="Y1699" s="4">
        <v>22</v>
      </c>
      <c r="Z1699" s="4">
        <v>3</v>
      </c>
      <c r="AA1699" s="4">
        <v>3</v>
      </c>
      <c r="AB1699" s="4">
        <v>1</v>
      </c>
      <c r="AC1699" s="4">
        <v>1</v>
      </c>
      <c r="AD1699" s="4">
        <v>10</v>
      </c>
      <c r="AE1699" s="4">
        <v>10</v>
      </c>
      <c r="AF1699" s="4">
        <v>0</v>
      </c>
      <c r="AG1699" s="4">
        <v>0</v>
      </c>
      <c r="AH1699" s="4">
        <v>9</v>
      </c>
      <c r="AI1699" s="4">
        <v>9</v>
      </c>
      <c r="AJ1699" s="4">
        <v>1</v>
      </c>
      <c r="AK1699" s="4">
        <v>1</v>
      </c>
      <c r="AL1699" s="4">
        <v>10</v>
      </c>
      <c r="AM1699" s="4">
        <v>10</v>
      </c>
      <c r="AN1699" s="4">
        <v>0</v>
      </c>
      <c r="AO1699" s="4">
        <v>0</v>
      </c>
      <c r="AP1699" s="4">
        <v>1</v>
      </c>
      <c r="AQ1699" s="4">
        <v>1</v>
      </c>
      <c r="AR1699" s="3" t="s">
        <v>65</v>
      </c>
      <c r="AS1699" s="3" t="s">
        <v>65</v>
      </c>
      <c r="AT1699" s="3" t="s">
        <v>65</v>
      </c>
      <c r="AV1699" s="6" t="str">
        <f>HYPERLINK("http://mcgill.on.worldcat.org/oclc/796781889","Catalog Record")</f>
        <v>Catalog Record</v>
      </c>
      <c r="AW1699" s="6" t="str">
        <f>HYPERLINK("http://www.worldcat.org/oclc/796781889","WorldCat Record")</f>
        <v>WorldCat Record</v>
      </c>
      <c r="AX1699" s="3" t="s">
        <v>16640</v>
      </c>
      <c r="AY1699" s="3" t="s">
        <v>16641</v>
      </c>
      <c r="AZ1699" s="3" t="s">
        <v>16642</v>
      </c>
      <c r="BA1699" s="3" t="s">
        <v>16642</v>
      </c>
      <c r="BB1699" s="3" t="s">
        <v>16643</v>
      </c>
      <c r="BC1699" s="3" t="s">
        <v>77</v>
      </c>
      <c r="BD1699" s="3" t="s">
        <v>78</v>
      </c>
      <c r="BE1699" s="3" t="s">
        <v>16644</v>
      </c>
      <c r="BF1699" s="3" t="s">
        <v>16643</v>
      </c>
      <c r="BG1699" s="3" t="s">
        <v>16645</v>
      </c>
    </row>
    <row r="1700" spans="1:59" ht="58" x14ac:dyDescent="0.35">
      <c r="A1700" s="2" t="s">
        <v>59</v>
      </c>
      <c r="B1700" s="2" t="s">
        <v>60</v>
      </c>
      <c r="C1700" s="2" t="s">
        <v>16646</v>
      </c>
      <c r="D1700" s="2" t="s">
        <v>16647</v>
      </c>
      <c r="E1700" s="2" t="s">
        <v>16648</v>
      </c>
      <c r="F1700" s="3" t="s">
        <v>245</v>
      </c>
      <c r="G1700" s="3" t="s">
        <v>209</v>
      </c>
      <c r="I1700" s="3" t="s">
        <v>65</v>
      </c>
      <c r="J1700" s="3" t="s">
        <v>65</v>
      </c>
      <c r="K1700" s="3" t="s">
        <v>66</v>
      </c>
      <c r="L1700" s="2" t="s">
        <v>16649</v>
      </c>
      <c r="M1700" s="2" t="s">
        <v>16650</v>
      </c>
      <c r="N1700" s="3" t="s">
        <v>5439</v>
      </c>
      <c r="O1700" s="2" t="s">
        <v>16651</v>
      </c>
      <c r="P1700" s="3" t="s">
        <v>140</v>
      </c>
      <c r="Q1700" s="2" t="s">
        <v>15535</v>
      </c>
      <c r="R1700" s="3" t="s">
        <v>71</v>
      </c>
      <c r="S1700" s="4">
        <v>1</v>
      </c>
      <c r="T1700" s="4">
        <v>1</v>
      </c>
      <c r="U1700" s="5" t="s">
        <v>4881</v>
      </c>
      <c r="V1700" s="5" t="s">
        <v>4881</v>
      </c>
      <c r="W1700" s="5" t="s">
        <v>72</v>
      </c>
      <c r="X1700" s="5" t="s">
        <v>72</v>
      </c>
      <c r="Y1700" s="4">
        <v>1</v>
      </c>
      <c r="Z1700" s="4">
        <v>1</v>
      </c>
      <c r="AA1700" s="4">
        <v>1</v>
      </c>
      <c r="AB1700" s="4">
        <v>1</v>
      </c>
      <c r="AC1700" s="4">
        <v>1</v>
      </c>
      <c r="AD1700" s="4">
        <v>0</v>
      </c>
      <c r="AE1700" s="4">
        <v>0</v>
      </c>
      <c r="AF1700" s="4">
        <v>0</v>
      </c>
      <c r="AG1700" s="4">
        <v>0</v>
      </c>
      <c r="AH1700" s="4">
        <v>0</v>
      </c>
      <c r="AI1700" s="4">
        <v>0</v>
      </c>
      <c r="AJ1700" s="4">
        <v>0</v>
      </c>
      <c r="AK1700" s="4">
        <v>0</v>
      </c>
      <c r="AL1700" s="4">
        <v>0</v>
      </c>
      <c r="AM1700" s="4">
        <v>0</v>
      </c>
      <c r="AN1700" s="4">
        <v>0</v>
      </c>
      <c r="AO1700" s="4">
        <v>0</v>
      </c>
      <c r="AP1700" s="4">
        <v>0</v>
      </c>
      <c r="AQ1700" s="4">
        <v>0</v>
      </c>
      <c r="AR1700" s="3" t="s">
        <v>65</v>
      </c>
      <c r="AS1700" s="3" t="s">
        <v>65</v>
      </c>
      <c r="AT1700" s="3" t="s">
        <v>65</v>
      </c>
      <c r="AV1700" s="6" t="str">
        <f>HYPERLINK("http://mcgill.on.worldcat.org/oclc/277565297","Catalog Record")</f>
        <v>Catalog Record</v>
      </c>
      <c r="AW1700" s="6" t="str">
        <f>HYPERLINK("http://www.worldcat.org/oclc/277565297","WorldCat Record")</f>
        <v>WorldCat Record</v>
      </c>
      <c r="AX1700" s="3" t="s">
        <v>16652</v>
      </c>
      <c r="AY1700" s="3" t="s">
        <v>16653</v>
      </c>
      <c r="AZ1700" s="3" t="s">
        <v>16654</v>
      </c>
      <c r="BA1700" s="3" t="s">
        <v>16654</v>
      </c>
      <c r="BB1700" s="3" t="s">
        <v>16655</v>
      </c>
      <c r="BC1700" s="3" t="s">
        <v>77</v>
      </c>
      <c r="BD1700" s="3" t="s">
        <v>78</v>
      </c>
      <c r="BF1700" s="3" t="s">
        <v>16655</v>
      </c>
      <c r="BG1700" s="3" t="s">
        <v>16656</v>
      </c>
    </row>
    <row r="1701" spans="1:59" ht="58" x14ac:dyDescent="0.35">
      <c r="A1701" s="2" t="s">
        <v>59</v>
      </c>
      <c r="B1701" s="2" t="s">
        <v>60</v>
      </c>
      <c r="C1701" s="2" t="s">
        <v>16646</v>
      </c>
      <c r="D1701" s="2" t="s">
        <v>16647</v>
      </c>
      <c r="E1701" s="2" t="s">
        <v>16648</v>
      </c>
      <c r="F1701" s="3" t="s">
        <v>8361</v>
      </c>
      <c r="G1701" s="3" t="s">
        <v>209</v>
      </c>
      <c r="I1701" s="3" t="s">
        <v>65</v>
      </c>
      <c r="J1701" s="3" t="s">
        <v>65</v>
      </c>
      <c r="K1701" s="3" t="s">
        <v>66</v>
      </c>
      <c r="L1701" s="2" t="s">
        <v>16649</v>
      </c>
      <c r="M1701" s="2" t="s">
        <v>16650</v>
      </c>
      <c r="N1701" s="3" t="s">
        <v>5439</v>
      </c>
      <c r="O1701" s="2" t="s">
        <v>16651</v>
      </c>
      <c r="P1701" s="3" t="s">
        <v>140</v>
      </c>
      <c r="Q1701" s="2" t="s">
        <v>15535</v>
      </c>
      <c r="R1701" s="3" t="s">
        <v>71</v>
      </c>
      <c r="S1701" s="4">
        <v>0</v>
      </c>
      <c r="T1701" s="4">
        <v>1</v>
      </c>
      <c r="V1701" s="5" t="s">
        <v>4881</v>
      </c>
      <c r="W1701" s="5" t="s">
        <v>72</v>
      </c>
      <c r="X1701" s="5" t="s">
        <v>72</v>
      </c>
      <c r="Y1701" s="4">
        <v>1</v>
      </c>
      <c r="Z1701" s="4">
        <v>1</v>
      </c>
      <c r="AA1701" s="4">
        <v>1</v>
      </c>
      <c r="AB1701" s="4">
        <v>1</v>
      </c>
      <c r="AC1701" s="4">
        <v>1</v>
      </c>
      <c r="AD1701" s="4">
        <v>0</v>
      </c>
      <c r="AE1701" s="4">
        <v>0</v>
      </c>
      <c r="AF1701" s="4">
        <v>0</v>
      </c>
      <c r="AG1701" s="4">
        <v>0</v>
      </c>
      <c r="AH1701" s="4">
        <v>0</v>
      </c>
      <c r="AI1701" s="4">
        <v>0</v>
      </c>
      <c r="AJ1701" s="4">
        <v>0</v>
      </c>
      <c r="AK1701" s="4">
        <v>0</v>
      </c>
      <c r="AL1701" s="4">
        <v>0</v>
      </c>
      <c r="AM1701" s="4">
        <v>0</v>
      </c>
      <c r="AN1701" s="4">
        <v>0</v>
      </c>
      <c r="AO1701" s="4">
        <v>0</v>
      </c>
      <c r="AP1701" s="4">
        <v>0</v>
      </c>
      <c r="AQ1701" s="4">
        <v>0</v>
      </c>
      <c r="AR1701" s="3" t="s">
        <v>65</v>
      </c>
      <c r="AS1701" s="3" t="s">
        <v>65</v>
      </c>
      <c r="AT1701" s="3" t="s">
        <v>65</v>
      </c>
      <c r="AV1701" s="6" t="str">
        <f>HYPERLINK("http://mcgill.on.worldcat.org/oclc/277565297","Catalog Record")</f>
        <v>Catalog Record</v>
      </c>
      <c r="AW1701" s="6" t="str">
        <f>HYPERLINK("http://www.worldcat.org/oclc/277565297","WorldCat Record")</f>
        <v>WorldCat Record</v>
      </c>
      <c r="AX1701" s="3" t="s">
        <v>16652</v>
      </c>
      <c r="AY1701" s="3" t="s">
        <v>16653</v>
      </c>
      <c r="AZ1701" s="3" t="s">
        <v>16654</v>
      </c>
      <c r="BA1701" s="3" t="s">
        <v>16654</v>
      </c>
      <c r="BB1701" s="3" t="s">
        <v>16657</v>
      </c>
      <c r="BC1701" s="3" t="s">
        <v>77</v>
      </c>
      <c r="BD1701" s="3" t="s">
        <v>78</v>
      </c>
      <c r="BF1701" s="3" t="s">
        <v>16657</v>
      </c>
      <c r="BG1701" s="3" t="s">
        <v>16658</v>
      </c>
    </row>
    <row r="1702" spans="1:59" ht="58" x14ac:dyDescent="0.35">
      <c r="A1702" s="2" t="s">
        <v>59</v>
      </c>
      <c r="B1702" s="2" t="s">
        <v>60</v>
      </c>
      <c r="C1702" s="2" t="s">
        <v>16659</v>
      </c>
      <c r="D1702" s="2" t="s">
        <v>16660</v>
      </c>
      <c r="E1702" s="2" t="s">
        <v>16661</v>
      </c>
      <c r="F1702" s="3" t="s">
        <v>245</v>
      </c>
      <c r="G1702" s="3" t="s">
        <v>209</v>
      </c>
      <c r="I1702" s="3" t="s">
        <v>65</v>
      </c>
      <c r="J1702" s="3" t="s">
        <v>65</v>
      </c>
      <c r="K1702" s="3" t="s">
        <v>66</v>
      </c>
      <c r="L1702" s="2" t="s">
        <v>16649</v>
      </c>
      <c r="M1702" s="2" t="s">
        <v>16662</v>
      </c>
      <c r="N1702" s="3" t="s">
        <v>1085</v>
      </c>
      <c r="O1702" s="2" t="s">
        <v>16663</v>
      </c>
      <c r="P1702" s="3" t="s">
        <v>140</v>
      </c>
      <c r="Q1702" s="2" t="s">
        <v>15535</v>
      </c>
      <c r="R1702" s="3" t="s">
        <v>71</v>
      </c>
      <c r="S1702" s="4">
        <v>2</v>
      </c>
      <c r="T1702" s="4">
        <v>2</v>
      </c>
      <c r="U1702" s="5" t="s">
        <v>16664</v>
      </c>
      <c r="V1702" s="5" t="s">
        <v>16664</v>
      </c>
      <c r="W1702" s="5" t="s">
        <v>72</v>
      </c>
      <c r="X1702" s="5" t="s">
        <v>72</v>
      </c>
      <c r="Y1702" s="4">
        <v>1</v>
      </c>
      <c r="Z1702" s="4">
        <v>1</v>
      </c>
      <c r="AA1702" s="4">
        <v>1</v>
      </c>
      <c r="AB1702" s="4">
        <v>1</v>
      </c>
      <c r="AC1702" s="4">
        <v>1</v>
      </c>
      <c r="AD1702" s="4">
        <v>0</v>
      </c>
      <c r="AE1702" s="4">
        <v>0</v>
      </c>
      <c r="AF1702" s="4">
        <v>0</v>
      </c>
      <c r="AG1702" s="4">
        <v>0</v>
      </c>
      <c r="AH1702" s="4">
        <v>0</v>
      </c>
      <c r="AI1702" s="4">
        <v>0</v>
      </c>
      <c r="AJ1702" s="4">
        <v>0</v>
      </c>
      <c r="AK1702" s="4">
        <v>0</v>
      </c>
      <c r="AL1702" s="4">
        <v>0</v>
      </c>
      <c r="AM1702" s="4">
        <v>0</v>
      </c>
      <c r="AN1702" s="4">
        <v>0</v>
      </c>
      <c r="AO1702" s="4">
        <v>0</v>
      </c>
      <c r="AP1702" s="4">
        <v>0</v>
      </c>
      <c r="AQ1702" s="4">
        <v>0</v>
      </c>
      <c r="AR1702" s="3" t="s">
        <v>65</v>
      </c>
      <c r="AS1702" s="3" t="s">
        <v>65</v>
      </c>
      <c r="AT1702" s="3" t="s">
        <v>65</v>
      </c>
      <c r="AV1702" s="6" t="str">
        <f>HYPERLINK("http://mcgill.on.worldcat.org/oclc/428093086","Catalog Record")</f>
        <v>Catalog Record</v>
      </c>
      <c r="AW1702" s="6" t="str">
        <f>HYPERLINK("http://www.worldcat.org/oclc/428093086","WorldCat Record")</f>
        <v>WorldCat Record</v>
      </c>
      <c r="AX1702" s="3" t="s">
        <v>16665</v>
      </c>
      <c r="AY1702" s="3" t="s">
        <v>16666</v>
      </c>
      <c r="AZ1702" s="3" t="s">
        <v>16667</v>
      </c>
      <c r="BA1702" s="3" t="s">
        <v>16667</v>
      </c>
      <c r="BB1702" s="3" t="s">
        <v>16668</v>
      </c>
      <c r="BC1702" s="3" t="s">
        <v>77</v>
      </c>
      <c r="BD1702" s="3" t="s">
        <v>78</v>
      </c>
      <c r="BE1702" s="3" t="s">
        <v>16669</v>
      </c>
      <c r="BF1702" s="3" t="s">
        <v>16668</v>
      </c>
      <c r="BG1702" s="3" t="s">
        <v>16670</v>
      </c>
    </row>
    <row r="1703" spans="1:59" ht="58" x14ac:dyDescent="0.35">
      <c r="A1703" s="2" t="s">
        <v>59</v>
      </c>
      <c r="B1703" s="2" t="s">
        <v>60</v>
      </c>
      <c r="C1703" s="2" t="s">
        <v>16659</v>
      </c>
      <c r="D1703" s="2" t="s">
        <v>16660</v>
      </c>
      <c r="E1703" s="2" t="s">
        <v>16661</v>
      </c>
      <c r="F1703" s="3" t="s">
        <v>258</v>
      </c>
      <c r="G1703" s="3" t="s">
        <v>209</v>
      </c>
      <c r="I1703" s="3" t="s">
        <v>65</v>
      </c>
      <c r="J1703" s="3" t="s">
        <v>65</v>
      </c>
      <c r="K1703" s="3" t="s">
        <v>66</v>
      </c>
      <c r="L1703" s="2" t="s">
        <v>16649</v>
      </c>
      <c r="M1703" s="2" t="s">
        <v>16662</v>
      </c>
      <c r="N1703" s="3" t="s">
        <v>1085</v>
      </c>
      <c r="O1703" s="2" t="s">
        <v>16663</v>
      </c>
      <c r="P1703" s="3" t="s">
        <v>140</v>
      </c>
      <c r="Q1703" s="2" t="s">
        <v>15535</v>
      </c>
      <c r="R1703" s="3" t="s">
        <v>71</v>
      </c>
      <c r="S1703" s="4">
        <v>0</v>
      </c>
      <c r="T1703" s="4">
        <v>2</v>
      </c>
      <c r="V1703" s="5" t="s">
        <v>16664</v>
      </c>
      <c r="W1703" s="5" t="s">
        <v>72</v>
      </c>
      <c r="X1703" s="5" t="s">
        <v>72</v>
      </c>
      <c r="Y1703" s="4">
        <v>1</v>
      </c>
      <c r="Z1703" s="4">
        <v>1</v>
      </c>
      <c r="AA1703" s="4">
        <v>1</v>
      </c>
      <c r="AB1703" s="4">
        <v>1</v>
      </c>
      <c r="AC1703" s="4">
        <v>1</v>
      </c>
      <c r="AD1703" s="4">
        <v>0</v>
      </c>
      <c r="AE1703" s="4">
        <v>0</v>
      </c>
      <c r="AF1703" s="4">
        <v>0</v>
      </c>
      <c r="AG1703" s="4">
        <v>0</v>
      </c>
      <c r="AH1703" s="4">
        <v>0</v>
      </c>
      <c r="AI1703" s="4">
        <v>0</v>
      </c>
      <c r="AJ1703" s="4">
        <v>0</v>
      </c>
      <c r="AK1703" s="4">
        <v>0</v>
      </c>
      <c r="AL1703" s="4">
        <v>0</v>
      </c>
      <c r="AM1703" s="4">
        <v>0</v>
      </c>
      <c r="AN1703" s="4">
        <v>0</v>
      </c>
      <c r="AO1703" s="4">
        <v>0</v>
      </c>
      <c r="AP1703" s="4">
        <v>0</v>
      </c>
      <c r="AQ1703" s="4">
        <v>0</v>
      </c>
      <c r="AR1703" s="3" t="s">
        <v>65</v>
      </c>
      <c r="AS1703" s="3" t="s">
        <v>65</v>
      </c>
      <c r="AT1703" s="3" t="s">
        <v>65</v>
      </c>
      <c r="AV1703" s="6" t="str">
        <f>HYPERLINK("http://mcgill.on.worldcat.org/oclc/428093086","Catalog Record")</f>
        <v>Catalog Record</v>
      </c>
      <c r="AW1703" s="6" t="str">
        <f>HYPERLINK("http://www.worldcat.org/oclc/428093086","WorldCat Record")</f>
        <v>WorldCat Record</v>
      </c>
      <c r="AX1703" s="3" t="s">
        <v>16665</v>
      </c>
      <c r="AY1703" s="3" t="s">
        <v>16666</v>
      </c>
      <c r="AZ1703" s="3" t="s">
        <v>16667</v>
      </c>
      <c r="BA1703" s="3" t="s">
        <v>16667</v>
      </c>
      <c r="BB1703" s="3" t="s">
        <v>16671</v>
      </c>
      <c r="BC1703" s="3" t="s">
        <v>77</v>
      </c>
      <c r="BD1703" s="3" t="s">
        <v>78</v>
      </c>
      <c r="BE1703" s="3" t="s">
        <v>16669</v>
      </c>
      <c r="BF1703" s="3" t="s">
        <v>16671</v>
      </c>
      <c r="BG1703" s="3" t="s">
        <v>16672</v>
      </c>
    </row>
    <row r="1704" spans="1:59" ht="58" x14ac:dyDescent="0.35">
      <c r="A1704" s="2" t="s">
        <v>59</v>
      </c>
      <c r="B1704" s="2" t="s">
        <v>60</v>
      </c>
      <c r="C1704" s="2" t="s">
        <v>16673</v>
      </c>
      <c r="D1704" s="2" t="s">
        <v>16674</v>
      </c>
      <c r="E1704" s="2" t="s">
        <v>16675</v>
      </c>
      <c r="G1704" s="3" t="s">
        <v>65</v>
      </c>
      <c r="I1704" s="3" t="s">
        <v>65</v>
      </c>
      <c r="J1704" s="3" t="s">
        <v>65</v>
      </c>
      <c r="K1704" s="3" t="s">
        <v>66</v>
      </c>
      <c r="L1704" s="2" t="s">
        <v>16676</v>
      </c>
      <c r="M1704" s="2" t="s">
        <v>16677</v>
      </c>
      <c r="N1704" s="3" t="s">
        <v>188</v>
      </c>
      <c r="O1704" s="2" t="s">
        <v>235</v>
      </c>
      <c r="P1704" s="3" t="s">
        <v>140</v>
      </c>
      <c r="Q1704" s="2" t="s">
        <v>16678</v>
      </c>
      <c r="R1704" s="3" t="s">
        <v>71</v>
      </c>
      <c r="S1704" s="4">
        <v>0</v>
      </c>
      <c r="T1704" s="4">
        <v>0</v>
      </c>
      <c r="W1704" s="5" t="s">
        <v>72</v>
      </c>
      <c r="X1704" s="5" t="s">
        <v>72</v>
      </c>
      <c r="Y1704" s="4">
        <v>33</v>
      </c>
      <c r="Z1704" s="4">
        <v>2</v>
      </c>
      <c r="AA1704" s="4">
        <v>2</v>
      </c>
      <c r="AB1704" s="4">
        <v>1</v>
      </c>
      <c r="AC1704" s="4">
        <v>1</v>
      </c>
      <c r="AD1704" s="4">
        <v>23</v>
      </c>
      <c r="AE1704" s="4">
        <v>23</v>
      </c>
      <c r="AF1704" s="4">
        <v>0</v>
      </c>
      <c r="AG1704" s="4">
        <v>0</v>
      </c>
      <c r="AH1704" s="4">
        <v>22</v>
      </c>
      <c r="AI1704" s="4">
        <v>22</v>
      </c>
      <c r="AJ1704" s="4">
        <v>1</v>
      </c>
      <c r="AK1704" s="4">
        <v>1</v>
      </c>
      <c r="AL1704" s="4">
        <v>17</v>
      </c>
      <c r="AM1704" s="4">
        <v>17</v>
      </c>
      <c r="AN1704" s="4">
        <v>0</v>
      </c>
      <c r="AO1704" s="4">
        <v>0</v>
      </c>
      <c r="AP1704" s="4">
        <v>1</v>
      </c>
      <c r="AQ1704" s="4">
        <v>1</v>
      </c>
      <c r="AR1704" s="3" t="s">
        <v>65</v>
      </c>
      <c r="AS1704" s="3" t="s">
        <v>65</v>
      </c>
      <c r="AT1704" s="3" t="s">
        <v>65</v>
      </c>
      <c r="AV1704" s="6" t="str">
        <f>HYPERLINK("http://mcgill.on.worldcat.org/oclc/1014004263","Catalog Record")</f>
        <v>Catalog Record</v>
      </c>
      <c r="AW1704" s="6" t="str">
        <f>HYPERLINK("http://www.worldcat.org/oclc/1014004263","WorldCat Record")</f>
        <v>WorldCat Record</v>
      </c>
      <c r="AX1704" s="3" t="s">
        <v>16679</v>
      </c>
      <c r="AY1704" s="3" t="s">
        <v>16680</v>
      </c>
      <c r="AZ1704" s="3" t="s">
        <v>16681</v>
      </c>
      <c r="BA1704" s="3" t="s">
        <v>16681</v>
      </c>
      <c r="BB1704" s="3" t="s">
        <v>16682</v>
      </c>
      <c r="BC1704" s="3" t="s">
        <v>77</v>
      </c>
      <c r="BD1704" s="3" t="s">
        <v>78</v>
      </c>
      <c r="BE1704" s="3" t="s">
        <v>16683</v>
      </c>
      <c r="BF1704" s="3" t="s">
        <v>16682</v>
      </c>
      <c r="BG1704" s="3" t="s">
        <v>16684</v>
      </c>
    </row>
    <row r="1705" spans="1:59" ht="58" x14ac:dyDescent="0.35">
      <c r="A1705" s="2" t="s">
        <v>59</v>
      </c>
      <c r="B1705" s="2" t="s">
        <v>60</v>
      </c>
      <c r="C1705" s="2" t="s">
        <v>16685</v>
      </c>
      <c r="D1705" s="2" t="s">
        <v>16686</v>
      </c>
      <c r="E1705" s="2" t="s">
        <v>16687</v>
      </c>
      <c r="G1705" s="3" t="s">
        <v>65</v>
      </c>
      <c r="I1705" s="3" t="s">
        <v>65</v>
      </c>
      <c r="J1705" s="3" t="s">
        <v>65</v>
      </c>
      <c r="K1705" s="3" t="s">
        <v>66</v>
      </c>
      <c r="M1705" s="2" t="s">
        <v>16688</v>
      </c>
      <c r="N1705" s="3" t="s">
        <v>152</v>
      </c>
      <c r="P1705" s="3" t="s">
        <v>4819</v>
      </c>
      <c r="Q1705" s="2" t="s">
        <v>16689</v>
      </c>
      <c r="R1705" s="3" t="s">
        <v>71</v>
      </c>
      <c r="S1705" s="4">
        <v>0</v>
      </c>
      <c r="T1705" s="4">
        <v>0</v>
      </c>
      <c r="W1705" s="5" t="s">
        <v>72</v>
      </c>
      <c r="X1705" s="5" t="s">
        <v>72</v>
      </c>
      <c r="Y1705" s="4">
        <v>76</v>
      </c>
      <c r="Z1705" s="4">
        <v>3</v>
      </c>
      <c r="AA1705" s="4">
        <v>4</v>
      </c>
      <c r="AB1705" s="4">
        <v>1</v>
      </c>
      <c r="AC1705" s="4">
        <v>2</v>
      </c>
      <c r="AD1705" s="4">
        <v>31</v>
      </c>
      <c r="AE1705" s="4">
        <v>32</v>
      </c>
      <c r="AF1705" s="4">
        <v>0</v>
      </c>
      <c r="AG1705" s="4">
        <v>1</v>
      </c>
      <c r="AH1705" s="4">
        <v>30</v>
      </c>
      <c r="AI1705" s="4">
        <v>31</v>
      </c>
      <c r="AJ1705" s="4">
        <v>1</v>
      </c>
      <c r="AK1705" s="4">
        <v>2</v>
      </c>
      <c r="AL1705" s="4">
        <v>25</v>
      </c>
      <c r="AM1705" s="4">
        <v>25</v>
      </c>
      <c r="AN1705" s="4">
        <v>0</v>
      </c>
      <c r="AO1705" s="4">
        <v>0</v>
      </c>
      <c r="AP1705" s="4">
        <v>1</v>
      </c>
      <c r="AQ1705" s="4">
        <v>2</v>
      </c>
      <c r="AR1705" s="3" t="s">
        <v>65</v>
      </c>
      <c r="AS1705" s="3" t="s">
        <v>65</v>
      </c>
      <c r="AT1705" s="3" t="s">
        <v>65</v>
      </c>
      <c r="AV1705" s="6" t="str">
        <f>HYPERLINK("http://mcgill.on.worldcat.org/oclc/839241011","Catalog Record")</f>
        <v>Catalog Record</v>
      </c>
      <c r="AW1705" s="6" t="str">
        <f>HYPERLINK("http://www.worldcat.org/oclc/839241011","WorldCat Record")</f>
        <v>WorldCat Record</v>
      </c>
      <c r="AX1705" s="3" t="s">
        <v>16690</v>
      </c>
      <c r="AY1705" s="3" t="s">
        <v>16691</v>
      </c>
      <c r="AZ1705" s="3" t="s">
        <v>16692</v>
      </c>
      <c r="BA1705" s="3" t="s">
        <v>16692</v>
      </c>
      <c r="BB1705" s="3" t="s">
        <v>16693</v>
      </c>
      <c r="BC1705" s="3" t="s">
        <v>77</v>
      </c>
      <c r="BD1705" s="3" t="s">
        <v>78</v>
      </c>
      <c r="BE1705" s="3" t="s">
        <v>16694</v>
      </c>
      <c r="BF1705" s="3" t="s">
        <v>16693</v>
      </c>
      <c r="BG1705" s="3" t="s">
        <v>16695</v>
      </c>
    </row>
    <row r="1706" spans="1:59" ht="58" x14ac:dyDescent="0.35">
      <c r="A1706" s="2" t="s">
        <v>59</v>
      </c>
      <c r="B1706" s="2" t="s">
        <v>60</v>
      </c>
      <c r="C1706" s="2" t="s">
        <v>16696</v>
      </c>
      <c r="D1706" s="2" t="s">
        <v>16697</v>
      </c>
      <c r="E1706" s="2" t="s">
        <v>16698</v>
      </c>
      <c r="G1706" s="3" t="s">
        <v>65</v>
      </c>
      <c r="I1706" s="3" t="s">
        <v>65</v>
      </c>
      <c r="J1706" s="3" t="s">
        <v>65</v>
      </c>
      <c r="K1706" s="3" t="s">
        <v>66</v>
      </c>
      <c r="L1706" s="2" t="s">
        <v>16649</v>
      </c>
      <c r="M1706" s="2" t="s">
        <v>9779</v>
      </c>
      <c r="N1706" s="3" t="s">
        <v>126</v>
      </c>
      <c r="O1706" s="2" t="s">
        <v>365</v>
      </c>
      <c r="P1706" s="3" t="s">
        <v>140</v>
      </c>
      <c r="R1706" s="3" t="s">
        <v>71</v>
      </c>
      <c r="S1706" s="4">
        <v>0</v>
      </c>
      <c r="T1706" s="4">
        <v>0</v>
      </c>
      <c r="W1706" s="5" t="s">
        <v>72</v>
      </c>
      <c r="X1706" s="5" t="s">
        <v>72</v>
      </c>
      <c r="Y1706" s="4">
        <v>45</v>
      </c>
      <c r="Z1706" s="4">
        <v>4</v>
      </c>
      <c r="AA1706" s="4">
        <v>4</v>
      </c>
      <c r="AB1706" s="4">
        <v>1</v>
      </c>
      <c r="AC1706" s="4">
        <v>1</v>
      </c>
      <c r="AD1706" s="4">
        <v>33</v>
      </c>
      <c r="AE1706" s="4">
        <v>34</v>
      </c>
      <c r="AF1706" s="4">
        <v>0</v>
      </c>
      <c r="AG1706" s="4">
        <v>0</v>
      </c>
      <c r="AH1706" s="4">
        <v>32</v>
      </c>
      <c r="AI1706" s="4">
        <v>33</v>
      </c>
      <c r="AJ1706" s="4">
        <v>2</v>
      </c>
      <c r="AK1706" s="4">
        <v>2</v>
      </c>
      <c r="AL1706" s="4">
        <v>28</v>
      </c>
      <c r="AM1706" s="4">
        <v>28</v>
      </c>
      <c r="AN1706" s="4">
        <v>0</v>
      </c>
      <c r="AO1706" s="4">
        <v>0</v>
      </c>
      <c r="AP1706" s="4">
        <v>2</v>
      </c>
      <c r="AQ1706" s="4">
        <v>2</v>
      </c>
      <c r="AR1706" s="3" t="s">
        <v>65</v>
      </c>
      <c r="AS1706" s="3" t="s">
        <v>65</v>
      </c>
      <c r="AT1706" s="3" t="s">
        <v>65</v>
      </c>
      <c r="AV1706" s="6" t="str">
        <f>HYPERLINK("http://mcgill.on.worldcat.org/oclc/719414089","Catalog Record")</f>
        <v>Catalog Record</v>
      </c>
      <c r="AW1706" s="6" t="str">
        <f>HYPERLINK("http://www.worldcat.org/oclc/719414089","WorldCat Record")</f>
        <v>WorldCat Record</v>
      </c>
      <c r="AX1706" s="3" t="s">
        <v>16699</v>
      </c>
      <c r="AY1706" s="3" t="s">
        <v>16700</v>
      </c>
      <c r="AZ1706" s="3" t="s">
        <v>16701</v>
      </c>
      <c r="BA1706" s="3" t="s">
        <v>16701</v>
      </c>
      <c r="BB1706" s="3" t="s">
        <v>16702</v>
      </c>
      <c r="BC1706" s="3" t="s">
        <v>77</v>
      </c>
      <c r="BD1706" s="3" t="s">
        <v>78</v>
      </c>
      <c r="BE1706" s="3" t="s">
        <v>16703</v>
      </c>
      <c r="BF1706" s="3" t="s">
        <v>16702</v>
      </c>
      <c r="BG1706" s="3" t="s">
        <v>16704</v>
      </c>
    </row>
    <row r="1707" spans="1:59" ht="58" x14ac:dyDescent="0.35">
      <c r="A1707" s="2" t="s">
        <v>59</v>
      </c>
      <c r="B1707" s="2" t="s">
        <v>60</v>
      </c>
      <c r="C1707" s="2" t="s">
        <v>16705</v>
      </c>
      <c r="D1707" s="2" t="s">
        <v>16706</v>
      </c>
      <c r="E1707" s="2" t="s">
        <v>16707</v>
      </c>
      <c r="G1707" s="3" t="s">
        <v>65</v>
      </c>
      <c r="I1707" s="3" t="s">
        <v>65</v>
      </c>
      <c r="J1707" s="3" t="s">
        <v>65</v>
      </c>
      <c r="K1707" s="3" t="s">
        <v>66</v>
      </c>
      <c r="L1707" s="2" t="s">
        <v>16708</v>
      </c>
      <c r="M1707" s="2" t="s">
        <v>16709</v>
      </c>
      <c r="N1707" s="3" t="s">
        <v>139</v>
      </c>
      <c r="P1707" s="3" t="s">
        <v>140</v>
      </c>
      <c r="Q1707" s="2" t="s">
        <v>16710</v>
      </c>
      <c r="R1707" s="3" t="s">
        <v>71</v>
      </c>
      <c r="S1707" s="4">
        <v>1</v>
      </c>
      <c r="T1707" s="4">
        <v>1</v>
      </c>
      <c r="U1707" s="5" t="s">
        <v>9117</v>
      </c>
      <c r="V1707" s="5" t="s">
        <v>9117</v>
      </c>
      <c r="W1707" s="5" t="s">
        <v>72</v>
      </c>
      <c r="X1707" s="5" t="s">
        <v>72</v>
      </c>
      <c r="Y1707" s="4">
        <v>47</v>
      </c>
      <c r="Z1707" s="4">
        <v>4</v>
      </c>
      <c r="AA1707" s="4">
        <v>4</v>
      </c>
      <c r="AB1707" s="4">
        <v>1</v>
      </c>
      <c r="AC1707" s="4">
        <v>1</v>
      </c>
      <c r="AD1707" s="4">
        <v>31</v>
      </c>
      <c r="AE1707" s="4">
        <v>31</v>
      </c>
      <c r="AF1707" s="4">
        <v>0</v>
      </c>
      <c r="AG1707" s="4">
        <v>0</v>
      </c>
      <c r="AH1707" s="4">
        <v>30</v>
      </c>
      <c r="AI1707" s="4">
        <v>30</v>
      </c>
      <c r="AJ1707" s="4">
        <v>2</v>
      </c>
      <c r="AK1707" s="4">
        <v>2</v>
      </c>
      <c r="AL1707" s="4">
        <v>23</v>
      </c>
      <c r="AM1707" s="4">
        <v>23</v>
      </c>
      <c r="AN1707" s="4">
        <v>0</v>
      </c>
      <c r="AO1707" s="4">
        <v>0</v>
      </c>
      <c r="AP1707" s="4">
        <v>2</v>
      </c>
      <c r="AQ1707" s="4">
        <v>2</v>
      </c>
      <c r="AR1707" s="3" t="s">
        <v>65</v>
      </c>
      <c r="AS1707" s="3" t="s">
        <v>65</v>
      </c>
      <c r="AT1707" s="3" t="s">
        <v>65</v>
      </c>
      <c r="AV1707" s="6" t="str">
        <f>HYPERLINK("http://mcgill.on.worldcat.org/oclc/780945707","Catalog Record")</f>
        <v>Catalog Record</v>
      </c>
      <c r="AW1707" s="6" t="str">
        <f>HYPERLINK("http://www.worldcat.org/oclc/780945707","WorldCat Record")</f>
        <v>WorldCat Record</v>
      </c>
      <c r="AX1707" s="3" t="s">
        <v>16711</v>
      </c>
      <c r="AY1707" s="3" t="s">
        <v>16712</v>
      </c>
      <c r="AZ1707" s="3" t="s">
        <v>16713</v>
      </c>
      <c r="BA1707" s="3" t="s">
        <v>16713</v>
      </c>
      <c r="BB1707" s="3" t="s">
        <v>16714</v>
      </c>
      <c r="BC1707" s="3" t="s">
        <v>77</v>
      </c>
      <c r="BD1707" s="3" t="s">
        <v>78</v>
      </c>
      <c r="BE1707" s="3" t="s">
        <v>16715</v>
      </c>
      <c r="BF1707" s="3" t="s">
        <v>16714</v>
      </c>
      <c r="BG1707" s="3" t="s">
        <v>16716</v>
      </c>
    </row>
    <row r="1708" spans="1:59" ht="58" x14ac:dyDescent="0.35">
      <c r="A1708" s="2" t="s">
        <v>59</v>
      </c>
      <c r="B1708" s="2" t="s">
        <v>60</v>
      </c>
      <c r="C1708" s="2" t="s">
        <v>16717</v>
      </c>
      <c r="D1708" s="2" t="s">
        <v>16718</v>
      </c>
      <c r="E1708" s="2" t="s">
        <v>16719</v>
      </c>
      <c r="G1708" s="3" t="s">
        <v>65</v>
      </c>
      <c r="I1708" s="3" t="s">
        <v>65</v>
      </c>
      <c r="J1708" s="3" t="s">
        <v>65</v>
      </c>
      <c r="K1708" s="3" t="s">
        <v>66</v>
      </c>
      <c r="L1708" s="2" t="s">
        <v>16720</v>
      </c>
      <c r="M1708" s="2" t="s">
        <v>16721</v>
      </c>
      <c r="N1708" s="3" t="s">
        <v>16722</v>
      </c>
      <c r="P1708" s="3" t="s">
        <v>140</v>
      </c>
      <c r="R1708" s="3" t="s">
        <v>71</v>
      </c>
      <c r="S1708" s="4">
        <v>4</v>
      </c>
      <c r="T1708" s="4">
        <v>4</v>
      </c>
      <c r="U1708" s="5" t="s">
        <v>3537</v>
      </c>
      <c r="V1708" s="5" t="s">
        <v>3537</v>
      </c>
      <c r="W1708" s="5" t="s">
        <v>72</v>
      </c>
      <c r="X1708" s="5" t="s">
        <v>72</v>
      </c>
      <c r="Y1708" s="4">
        <v>20</v>
      </c>
      <c r="Z1708" s="4">
        <v>2</v>
      </c>
      <c r="AA1708" s="4">
        <v>5</v>
      </c>
      <c r="AB1708" s="4">
        <v>1</v>
      </c>
      <c r="AC1708" s="4">
        <v>1</v>
      </c>
      <c r="AD1708" s="4">
        <v>12</v>
      </c>
      <c r="AE1708" s="4">
        <v>17</v>
      </c>
      <c r="AF1708" s="4">
        <v>0</v>
      </c>
      <c r="AG1708" s="4">
        <v>0</v>
      </c>
      <c r="AH1708" s="4">
        <v>10</v>
      </c>
      <c r="AI1708" s="4">
        <v>14</v>
      </c>
      <c r="AJ1708" s="4">
        <v>0</v>
      </c>
      <c r="AK1708" s="4">
        <v>1</v>
      </c>
      <c r="AL1708" s="4">
        <v>10</v>
      </c>
      <c r="AM1708" s="4">
        <v>12</v>
      </c>
      <c r="AN1708" s="4">
        <v>0</v>
      </c>
      <c r="AO1708" s="4">
        <v>0</v>
      </c>
      <c r="AP1708" s="4">
        <v>1</v>
      </c>
      <c r="AQ1708" s="4">
        <v>3</v>
      </c>
      <c r="AR1708" s="3" t="s">
        <v>65</v>
      </c>
      <c r="AS1708" s="3" t="s">
        <v>65</v>
      </c>
      <c r="AT1708" s="3" t="s">
        <v>65</v>
      </c>
      <c r="AU1708" s="6" t="str">
        <f>HYPERLINK("http://catalog.hathitrust.org/Record/008969214","HathiTrust Record")</f>
        <v>HathiTrust Record</v>
      </c>
      <c r="AV1708" s="6" t="str">
        <f>HYPERLINK("http://mcgill.on.worldcat.org/oclc/13880294","Catalog Record")</f>
        <v>Catalog Record</v>
      </c>
      <c r="AW1708" s="6" t="str">
        <f>HYPERLINK("http://www.worldcat.org/oclc/13880294","WorldCat Record")</f>
        <v>WorldCat Record</v>
      </c>
      <c r="AX1708" s="3" t="s">
        <v>16723</v>
      </c>
      <c r="AY1708" s="3" t="s">
        <v>16724</v>
      </c>
      <c r="AZ1708" s="3" t="s">
        <v>16725</v>
      </c>
      <c r="BA1708" s="3" t="s">
        <v>16725</v>
      </c>
      <c r="BB1708" s="3" t="s">
        <v>16726</v>
      </c>
      <c r="BC1708" s="3" t="s">
        <v>77</v>
      </c>
      <c r="BD1708" s="3" t="s">
        <v>78</v>
      </c>
      <c r="BF1708" s="3" t="s">
        <v>16726</v>
      </c>
      <c r="BG1708" s="3" t="s">
        <v>16727</v>
      </c>
    </row>
    <row r="1709" spans="1:59" ht="72.5" x14ac:dyDescent="0.35">
      <c r="A1709" s="2" t="s">
        <v>59</v>
      </c>
      <c r="B1709" s="2" t="s">
        <v>60</v>
      </c>
      <c r="C1709" s="2" t="s">
        <v>16728</v>
      </c>
      <c r="D1709" s="2" t="s">
        <v>16729</v>
      </c>
      <c r="E1709" s="2" t="s">
        <v>16730</v>
      </c>
      <c r="G1709" s="3" t="s">
        <v>65</v>
      </c>
      <c r="I1709" s="3" t="s">
        <v>65</v>
      </c>
      <c r="J1709" s="3" t="s">
        <v>65</v>
      </c>
      <c r="K1709" s="3" t="s">
        <v>66</v>
      </c>
      <c r="L1709" s="2" t="s">
        <v>16731</v>
      </c>
      <c r="M1709" s="2" t="s">
        <v>16732</v>
      </c>
      <c r="N1709" s="3" t="s">
        <v>188</v>
      </c>
      <c r="P1709" s="3" t="s">
        <v>140</v>
      </c>
      <c r="Q1709" s="2" t="s">
        <v>16733</v>
      </c>
      <c r="R1709" s="3" t="s">
        <v>71</v>
      </c>
      <c r="S1709" s="4">
        <v>0</v>
      </c>
      <c r="T1709" s="4">
        <v>0</v>
      </c>
      <c r="W1709" s="5" t="s">
        <v>72</v>
      </c>
      <c r="X1709" s="5" t="s">
        <v>72</v>
      </c>
      <c r="Y1709" s="4">
        <v>27</v>
      </c>
      <c r="Z1709" s="4">
        <v>1</v>
      </c>
      <c r="AA1709" s="4">
        <v>1</v>
      </c>
      <c r="AB1709" s="4">
        <v>1</v>
      </c>
      <c r="AC1709" s="4">
        <v>1</v>
      </c>
      <c r="AD1709" s="4">
        <v>20</v>
      </c>
      <c r="AE1709" s="4">
        <v>20</v>
      </c>
      <c r="AF1709" s="4">
        <v>0</v>
      </c>
      <c r="AG1709" s="4">
        <v>0</v>
      </c>
      <c r="AH1709" s="4">
        <v>19</v>
      </c>
      <c r="AI1709" s="4">
        <v>19</v>
      </c>
      <c r="AJ1709" s="4">
        <v>0</v>
      </c>
      <c r="AK1709" s="4">
        <v>0</v>
      </c>
      <c r="AL1709" s="4">
        <v>17</v>
      </c>
      <c r="AM1709" s="4">
        <v>17</v>
      </c>
      <c r="AN1709" s="4">
        <v>0</v>
      </c>
      <c r="AO1709" s="4">
        <v>0</v>
      </c>
      <c r="AP1709" s="4">
        <v>0</v>
      </c>
      <c r="AQ1709" s="4">
        <v>0</v>
      </c>
      <c r="AR1709" s="3" t="s">
        <v>65</v>
      </c>
      <c r="AS1709" s="3" t="s">
        <v>65</v>
      </c>
      <c r="AT1709" s="3" t="s">
        <v>65</v>
      </c>
      <c r="AV1709" s="6" t="str">
        <f>HYPERLINK("http://mcgill.on.worldcat.org/oclc/1019738884","Catalog Record")</f>
        <v>Catalog Record</v>
      </c>
      <c r="AW1709" s="6" t="str">
        <f>HYPERLINK("http://www.worldcat.org/oclc/1019738884","WorldCat Record")</f>
        <v>WorldCat Record</v>
      </c>
      <c r="AX1709" s="3" t="s">
        <v>16734</v>
      </c>
      <c r="AY1709" s="3" t="s">
        <v>16735</v>
      </c>
      <c r="AZ1709" s="3" t="s">
        <v>16736</v>
      </c>
      <c r="BA1709" s="3" t="s">
        <v>16736</v>
      </c>
      <c r="BB1709" s="3" t="s">
        <v>16737</v>
      </c>
      <c r="BC1709" s="3" t="s">
        <v>77</v>
      </c>
      <c r="BD1709" s="3" t="s">
        <v>78</v>
      </c>
      <c r="BE1709" s="3" t="s">
        <v>16738</v>
      </c>
      <c r="BF1709" s="3" t="s">
        <v>16737</v>
      </c>
      <c r="BG1709" s="3" t="s">
        <v>16739</v>
      </c>
    </row>
    <row r="1710" spans="1:59" ht="72.5" x14ac:dyDescent="0.35">
      <c r="A1710" s="2" t="s">
        <v>59</v>
      </c>
      <c r="B1710" s="2" t="s">
        <v>60</v>
      </c>
      <c r="C1710" s="2" t="s">
        <v>16740</v>
      </c>
      <c r="D1710" s="2" t="s">
        <v>16741</v>
      </c>
      <c r="E1710" s="2" t="s">
        <v>16742</v>
      </c>
      <c r="G1710" s="3" t="s">
        <v>65</v>
      </c>
      <c r="I1710" s="3" t="s">
        <v>65</v>
      </c>
      <c r="J1710" s="3" t="s">
        <v>65</v>
      </c>
      <c r="K1710" s="3" t="s">
        <v>66</v>
      </c>
      <c r="L1710" s="2" t="s">
        <v>16743</v>
      </c>
      <c r="M1710" s="2" t="s">
        <v>16744</v>
      </c>
      <c r="N1710" s="3" t="s">
        <v>525</v>
      </c>
      <c r="P1710" s="3" t="s">
        <v>69</v>
      </c>
      <c r="R1710" s="3" t="s">
        <v>71</v>
      </c>
      <c r="S1710" s="4">
        <v>1</v>
      </c>
      <c r="T1710" s="4">
        <v>1</v>
      </c>
      <c r="U1710" s="5" t="s">
        <v>3537</v>
      </c>
      <c r="V1710" s="5" t="s">
        <v>3537</v>
      </c>
      <c r="W1710" s="5" t="s">
        <v>72</v>
      </c>
      <c r="X1710" s="5" t="s">
        <v>72</v>
      </c>
      <c r="Y1710" s="4">
        <v>130</v>
      </c>
      <c r="Z1710" s="4">
        <v>11</v>
      </c>
      <c r="AA1710" s="4">
        <v>15</v>
      </c>
      <c r="AB1710" s="4">
        <v>2</v>
      </c>
      <c r="AC1710" s="4">
        <v>5</v>
      </c>
      <c r="AD1710" s="4">
        <v>49</v>
      </c>
      <c r="AE1710" s="4">
        <v>53</v>
      </c>
      <c r="AF1710" s="4">
        <v>0</v>
      </c>
      <c r="AG1710" s="4">
        <v>1</v>
      </c>
      <c r="AH1710" s="4">
        <v>46</v>
      </c>
      <c r="AI1710" s="4">
        <v>48</v>
      </c>
      <c r="AJ1710" s="4">
        <v>6</v>
      </c>
      <c r="AK1710" s="4">
        <v>8</v>
      </c>
      <c r="AL1710" s="4">
        <v>35</v>
      </c>
      <c r="AM1710" s="4">
        <v>36</v>
      </c>
      <c r="AN1710" s="4">
        <v>0</v>
      </c>
      <c r="AO1710" s="4">
        <v>0</v>
      </c>
      <c r="AP1710" s="4">
        <v>6</v>
      </c>
      <c r="AQ1710" s="4">
        <v>8</v>
      </c>
      <c r="AR1710" s="3" t="s">
        <v>65</v>
      </c>
      <c r="AS1710" s="3" t="s">
        <v>65</v>
      </c>
      <c r="AT1710" s="3" t="s">
        <v>209</v>
      </c>
      <c r="AU1710" s="6" t="str">
        <f>HYPERLINK("http://catalog.hathitrust.org/Record/004376645","HathiTrust Record")</f>
        <v>HathiTrust Record</v>
      </c>
      <c r="AV1710" s="6" t="str">
        <f>HYPERLINK("http://mcgill.on.worldcat.org/oclc/53871848","Catalog Record")</f>
        <v>Catalog Record</v>
      </c>
      <c r="AW1710" s="6" t="str">
        <f>HYPERLINK("http://www.worldcat.org/oclc/53871848","WorldCat Record")</f>
        <v>WorldCat Record</v>
      </c>
      <c r="AX1710" s="3" t="s">
        <v>16745</v>
      </c>
      <c r="AY1710" s="3" t="s">
        <v>16746</v>
      </c>
      <c r="AZ1710" s="3" t="s">
        <v>16747</v>
      </c>
      <c r="BA1710" s="3" t="s">
        <v>16747</v>
      </c>
      <c r="BB1710" s="3" t="s">
        <v>16748</v>
      </c>
      <c r="BC1710" s="3" t="s">
        <v>77</v>
      </c>
      <c r="BD1710" s="3" t="s">
        <v>78</v>
      </c>
      <c r="BE1710" s="3" t="s">
        <v>16749</v>
      </c>
      <c r="BF1710" s="3" t="s">
        <v>16748</v>
      </c>
      <c r="BG1710" s="3" t="s">
        <v>16750</v>
      </c>
    </row>
    <row r="1711" spans="1:59" ht="72.5" x14ac:dyDescent="0.35">
      <c r="A1711" s="2" t="s">
        <v>59</v>
      </c>
      <c r="B1711" s="2" t="s">
        <v>60</v>
      </c>
      <c r="C1711" s="2" t="s">
        <v>16751</v>
      </c>
      <c r="D1711" s="2" t="s">
        <v>16752</v>
      </c>
      <c r="E1711" s="2" t="s">
        <v>16753</v>
      </c>
      <c r="G1711" s="3" t="s">
        <v>65</v>
      </c>
      <c r="I1711" s="3" t="s">
        <v>65</v>
      </c>
      <c r="J1711" s="3" t="s">
        <v>65</v>
      </c>
      <c r="K1711" s="3" t="s">
        <v>66</v>
      </c>
      <c r="L1711" s="2" t="s">
        <v>16754</v>
      </c>
      <c r="M1711" s="2" t="s">
        <v>16755</v>
      </c>
      <c r="N1711" s="3" t="s">
        <v>1032</v>
      </c>
      <c r="P1711" s="3" t="s">
        <v>69</v>
      </c>
      <c r="Q1711" s="2" t="s">
        <v>16756</v>
      </c>
      <c r="R1711" s="3" t="s">
        <v>71</v>
      </c>
      <c r="S1711" s="4">
        <v>2</v>
      </c>
      <c r="T1711" s="4">
        <v>2</v>
      </c>
      <c r="U1711" s="5" t="s">
        <v>16757</v>
      </c>
      <c r="V1711" s="5" t="s">
        <v>16757</v>
      </c>
      <c r="W1711" s="5" t="s">
        <v>72</v>
      </c>
      <c r="X1711" s="5" t="s">
        <v>72</v>
      </c>
      <c r="Y1711" s="4">
        <v>218</v>
      </c>
      <c r="Z1711" s="4">
        <v>15</v>
      </c>
      <c r="AA1711" s="4">
        <v>16</v>
      </c>
      <c r="AB1711" s="4">
        <v>1</v>
      </c>
      <c r="AC1711" s="4">
        <v>1</v>
      </c>
      <c r="AD1711" s="4">
        <v>79</v>
      </c>
      <c r="AE1711" s="4">
        <v>90</v>
      </c>
      <c r="AF1711" s="4">
        <v>0</v>
      </c>
      <c r="AG1711" s="4">
        <v>0</v>
      </c>
      <c r="AH1711" s="4">
        <v>73</v>
      </c>
      <c r="AI1711" s="4">
        <v>84</v>
      </c>
      <c r="AJ1711" s="4">
        <v>9</v>
      </c>
      <c r="AK1711" s="4">
        <v>9</v>
      </c>
      <c r="AL1711" s="4">
        <v>43</v>
      </c>
      <c r="AM1711" s="4">
        <v>47</v>
      </c>
      <c r="AN1711" s="4">
        <v>0</v>
      </c>
      <c r="AO1711" s="4">
        <v>0</v>
      </c>
      <c r="AP1711" s="4">
        <v>10</v>
      </c>
      <c r="AQ1711" s="4">
        <v>11</v>
      </c>
      <c r="AR1711" s="3" t="s">
        <v>65</v>
      </c>
      <c r="AS1711" s="3" t="s">
        <v>65</v>
      </c>
      <c r="AT1711" s="3" t="s">
        <v>209</v>
      </c>
      <c r="AU1711" s="6" t="str">
        <f>HYPERLINK("http://catalog.hathitrust.org/Record/002972848","HathiTrust Record")</f>
        <v>HathiTrust Record</v>
      </c>
      <c r="AV1711" s="6" t="str">
        <f>HYPERLINK("http://mcgill.on.worldcat.org/oclc/30398477","Catalog Record")</f>
        <v>Catalog Record</v>
      </c>
      <c r="AW1711" s="6" t="str">
        <f>HYPERLINK("http://www.worldcat.org/oclc/30398477","WorldCat Record")</f>
        <v>WorldCat Record</v>
      </c>
      <c r="AX1711" s="3" t="s">
        <v>16758</v>
      </c>
      <c r="AY1711" s="3" t="s">
        <v>16759</v>
      </c>
      <c r="AZ1711" s="3" t="s">
        <v>16760</v>
      </c>
      <c r="BA1711" s="3" t="s">
        <v>16760</v>
      </c>
      <c r="BB1711" s="3" t="s">
        <v>16761</v>
      </c>
      <c r="BC1711" s="3" t="s">
        <v>77</v>
      </c>
      <c r="BD1711" s="3" t="s">
        <v>78</v>
      </c>
      <c r="BE1711" s="3" t="s">
        <v>16762</v>
      </c>
      <c r="BF1711" s="3" t="s">
        <v>16761</v>
      </c>
      <c r="BG1711" s="3" t="s">
        <v>16763</v>
      </c>
    </row>
    <row r="1712" spans="1:59" ht="58" x14ac:dyDescent="0.35">
      <c r="A1712" s="2" t="s">
        <v>59</v>
      </c>
      <c r="B1712" s="2" t="s">
        <v>60</v>
      </c>
      <c r="C1712" s="2" t="s">
        <v>16764</v>
      </c>
      <c r="D1712" s="2" t="s">
        <v>16765</v>
      </c>
      <c r="E1712" s="2" t="s">
        <v>16766</v>
      </c>
      <c r="F1712" s="3" t="s">
        <v>503</v>
      </c>
      <c r="G1712" s="3" t="s">
        <v>209</v>
      </c>
      <c r="I1712" s="3" t="s">
        <v>65</v>
      </c>
      <c r="J1712" s="3" t="s">
        <v>209</v>
      </c>
      <c r="K1712" s="3" t="s">
        <v>66</v>
      </c>
      <c r="L1712" s="2" t="s">
        <v>16754</v>
      </c>
      <c r="M1712" s="2" t="s">
        <v>16767</v>
      </c>
      <c r="N1712" s="3" t="s">
        <v>9636</v>
      </c>
      <c r="P1712" s="3" t="s">
        <v>140</v>
      </c>
      <c r="Q1712" s="2" t="s">
        <v>16768</v>
      </c>
      <c r="R1712" s="3" t="s">
        <v>71</v>
      </c>
      <c r="S1712" s="4">
        <v>0</v>
      </c>
      <c r="T1712" s="4">
        <v>2</v>
      </c>
      <c r="V1712" s="5" t="s">
        <v>16769</v>
      </c>
      <c r="W1712" s="5" t="s">
        <v>72</v>
      </c>
      <c r="X1712" s="5" t="s">
        <v>72</v>
      </c>
      <c r="Y1712" s="4">
        <v>94</v>
      </c>
      <c r="Z1712" s="4">
        <v>6</v>
      </c>
      <c r="AA1712" s="4">
        <v>11</v>
      </c>
      <c r="AB1712" s="4">
        <v>1</v>
      </c>
      <c r="AC1712" s="4">
        <v>1</v>
      </c>
      <c r="AD1712" s="4">
        <v>42</v>
      </c>
      <c r="AE1712" s="4">
        <v>65</v>
      </c>
      <c r="AF1712" s="4">
        <v>0</v>
      </c>
      <c r="AG1712" s="4">
        <v>0</v>
      </c>
      <c r="AH1712" s="4">
        <v>41</v>
      </c>
      <c r="AI1712" s="4">
        <v>61</v>
      </c>
      <c r="AJ1712" s="4">
        <v>4</v>
      </c>
      <c r="AK1712" s="4">
        <v>6</v>
      </c>
      <c r="AL1712" s="4">
        <v>30</v>
      </c>
      <c r="AM1712" s="4">
        <v>45</v>
      </c>
      <c r="AN1712" s="4">
        <v>0</v>
      </c>
      <c r="AO1712" s="4">
        <v>0</v>
      </c>
      <c r="AP1712" s="4">
        <v>4</v>
      </c>
      <c r="AQ1712" s="4">
        <v>6</v>
      </c>
      <c r="AR1712" s="3" t="s">
        <v>65</v>
      </c>
      <c r="AS1712" s="3" t="s">
        <v>65</v>
      </c>
      <c r="AT1712" s="3" t="s">
        <v>65</v>
      </c>
      <c r="AU1712" s="6" t="str">
        <f>HYPERLINK("http://catalog.hathitrust.org/Record/001219487","HathiTrust Record")</f>
        <v>HathiTrust Record</v>
      </c>
      <c r="AV1712" s="6" t="str">
        <f>HYPERLINK("http://mcgill.on.worldcat.org/oclc/8744827","Catalog Record")</f>
        <v>Catalog Record</v>
      </c>
      <c r="AW1712" s="6" t="str">
        <f>HYPERLINK("http://www.worldcat.org/oclc/8744827","WorldCat Record")</f>
        <v>WorldCat Record</v>
      </c>
      <c r="AX1712" s="3" t="s">
        <v>16770</v>
      </c>
      <c r="AY1712" s="3" t="s">
        <v>16771</v>
      </c>
      <c r="AZ1712" s="3" t="s">
        <v>16772</v>
      </c>
      <c r="BA1712" s="3" t="s">
        <v>16772</v>
      </c>
      <c r="BB1712" s="3" t="s">
        <v>16773</v>
      </c>
      <c r="BC1712" s="3" t="s">
        <v>77</v>
      </c>
      <c r="BD1712" s="3" t="s">
        <v>78</v>
      </c>
      <c r="BF1712" s="3" t="s">
        <v>16773</v>
      </c>
      <c r="BG1712" s="3" t="s">
        <v>16774</v>
      </c>
    </row>
    <row r="1713" spans="1:59" ht="58" x14ac:dyDescent="0.35">
      <c r="A1713" s="2" t="s">
        <v>59</v>
      </c>
      <c r="B1713" s="2" t="s">
        <v>60</v>
      </c>
      <c r="C1713" s="2" t="s">
        <v>16764</v>
      </c>
      <c r="D1713" s="2" t="s">
        <v>16765</v>
      </c>
      <c r="E1713" s="2" t="s">
        <v>16766</v>
      </c>
      <c r="F1713" s="3" t="s">
        <v>490</v>
      </c>
      <c r="G1713" s="3" t="s">
        <v>209</v>
      </c>
      <c r="I1713" s="3" t="s">
        <v>65</v>
      </c>
      <c r="J1713" s="3" t="s">
        <v>209</v>
      </c>
      <c r="K1713" s="3" t="s">
        <v>66</v>
      </c>
      <c r="L1713" s="2" t="s">
        <v>16754</v>
      </c>
      <c r="M1713" s="2" t="s">
        <v>16767</v>
      </c>
      <c r="N1713" s="3" t="s">
        <v>9636</v>
      </c>
      <c r="P1713" s="3" t="s">
        <v>140</v>
      </c>
      <c r="Q1713" s="2" t="s">
        <v>16768</v>
      </c>
      <c r="R1713" s="3" t="s">
        <v>71</v>
      </c>
      <c r="S1713" s="4">
        <v>2</v>
      </c>
      <c r="T1713" s="4">
        <v>2</v>
      </c>
      <c r="U1713" s="5" t="s">
        <v>16769</v>
      </c>
      <c r="V1713" s="5" t="s">
        <v>16769</v>
      </c>
      <c r="W1713" s="5" t="s">
        <v>72</v>
      </c>
      <c r="X1713" s="5" t="s">
        <v>72</v>
      </c>
      <c r="Y1713" s="4">
        <v>94</v>
      </c>
      <c r="Z1713" s="4">
        <v>6</v>
      </c>
      <c r="AA1713" s="4">
        <v>11</v>
      </c>
      <c r="AB1713" s="4">
        <v>1</v>
      </c>
      <c r="AC1713" s="4">
        <v>1</v>
      </c>
      <c r="AD1713" s="4">
        <v>42</v>
      </c>
      <c r="AE1713" s="4">
        <v>65</v>
      </c>
      <c r="AF1713" s="4">
        <v>0</v>
      </c>
      <c r="AG1713" s="4">
        <v>0</v>
      </c>
      <c r="AH1713" s="4">
        <v>41</v>
      </c>
      <c r="AI1713" s="4">
        <v>61</v>
      </c>
      <c r="AJ1713" s="4">
        <v>4</v>
      </c>
      <c r="AK1713" s="4">
        <v>6</v>
      </c>
      <c r="AL1713" s="4">
        <v>30</v>
      </c>
      <c r="AM1713" s="4">
        <v>45</v>
      </c>
      <c r="AN1713" s="4">
        <v>0</v>
      </c>
      <c r="AO1713" s="4">
        <v>0</v>
      </c>
      <c r="AP1713" s="4">
        <v>4</v>
      </c>
      <c r="AQ1713" s="4">
        <v>6</v>
      </c>
      <c r="AR1713" s="3" t="s">
        <v>65</v>
      </c>
      <c r="AS1713" s="3" t="s">
        <v>65</v>
      </c>
      <c r="AT1713" s="3" t="s">
        <v>65</v>
      </c>
      <c r="AU1713" s="6" t="str">
        <f>HYPERLINK("http://catalog.hathitrust.org/Record/001219487","HathiTrust Record")</f>
        <v>HathiTrust Record</v>
      </c>
      <c r="AV1713" s="6" t="str">
        <f>HYPERLINK("http://mcgill.on.worldcat.org/oclc/8744827","Catalog Record")</f>
        <v>Catalog Record</v>
      </c>
      <c r="AW1713" s="6" t="str">
        <f>HYPERLINK("http://www.worldcat.org/oclc/8744827","WorldCat Record")</f>
        <v>WorldCat Record</v>
      </c>
      <c r="AX1713" s="3" t="s">
        <v>16770</v>
      </c>
      <c r="AY1713" s="3" t="s">
        <v>16771</v>
      </c>
      <c r="AZ1713" s="3" t="s">
        <v>16772</v>
      </c>
      <c r="BA1713" s="3" t="s">
        <v>16772</v>
      </c>
      <c r="BB1713" s="3" t="s">
        <v>16775</v>
      </c>
      <c r="BC1713" s="3" t="s">
        <v>77</v>
      </c>
      <c r="BD1713" s="3" t="s">
        <v>78</v>
      </c>
      <c r="BF1713" s="3" t="s">
        <v>16775</v>
      </c>
      <c r="BG1713" s="3" t="s">
        <v>16776</v>
      </c>
    </row>
    <row r="1714" spans="1:59" ht="58" x14ac:dyDescent="0.35">
      <c r="A1714" s="2" t="s">
        <v>59</v>
      </c>
      <c r="B1714" s="2" t="s">
        <v>60</v>
      </c>
      <c r="C1714" s="2" t="s">
        <v>16777</v>
      </c>
      <c r="D1714" s="2" t="s">
        <v>16778</v>
      </c>
      <c r="E1714" s="2" t="s">
        <v>16779</v>
      </c>
      <c r="G1714" s="3" t="s">
        <v>65</v>
      </c>
      <c r="I1714" s="3" t="s">
        <v>65</v>
      </c>
      <c r="J1714" s="3" t="s">
        <v>65</v>
      </c>
      <c r="K1714" s="3" t="s">
        <v>66</v>
      </c>
      <c r="L1714" s="2" t="s">
        <v>16780</v>
      </c>
      <c r="M1714" s="2" t="s">
        <v>16781</v>
      </c>
      <c r="N1714" s="3" t="s">
        <v>68</v>
      </c>
      <c r="P1714" s="3" t="s">
        <v>69</v>
      </c>
      <c r="Q1714" s="2" t="s">
        <v>16782</v>
      </c>
      <c r="R1714" s="3" t="s">
        <v>71</v>
      </c>
      <c r="S1714" s="4">
        <v>1</v>
      </c>
      <c r="T1714" s="4">
        <v>1</v>
      </c>
      <c r="U1714" s="5" t="s">
        <v>3065</v>
      </c>
      <c r="V1714" s="5" t="s">
        <v>3065</v>
      </c>
      <c r="W1714" s="5" t="s">
        <v>72</v>
      </c>
      <c r="X1714" s="5" t="s">
        <v>72</v>
      </c>
      <c r="Y1714" s="4">
        <v>62</v>
      </c>
      <c r="Z1714" s="4">
        <v>3</v>
      </c>
      <c r="AA1714" s="4">
        <v>10</v>
      </c>
      <c r="AB1714" s="4">
        <v>1</v>
      </c>
      <c r="AC1714" s="4">
        <v>6</v>
      </c>
      <c r="AD1714" s="4">
        <v>33</v>
      </c>
      <c r="AE1714" s="4">
        <v>42</v>
      </c>
      <c r="AF1714" s="4">
        <v>0</v>
      </c>
      <c r="AG1714" s="4">
        <v>3</v>
      </c>
      <c r="AH1714" s="4">
        <v>32</v>
      </c>
      <c r="AI1714" s="4">
        <v>36</v>
      </c>
      <c r="AJ1714" s="4">
        <v>1</v>
      </c>
      <c r="AK1714" s="4">
        <v>4</v>
      </c>
      <c r="AL1714" s="4">
        <v>25</v>
      </c>
      <c r="AM1714" s="4">
        <v>27</v>
      </c>
      <c r="AN1714" s="4">
        <v>0</v>
      </c>
      <c r="AO1714" s="4">
        <v>0</v>
      </c>
      <c r="AP1714" s="4">
        <v>1</v>
      </c>
      <c r="AQ1714" s="4">
        <v>6</v>
      </c>
      <c r="AR1714" s="3" t="s">
        <v>65</v>
      </c>
      <c r="AS1714" s="3" t="s">
        <v>65</v>
      </c>
      <c r="AT1714" s="3" t="s">
        <v>65</v>
      </c>
      <c r="AV1714" s="6" t="str">
        <f>HYPERLINK("http://mcgill.on.worldcat.org/oclc/947807253","Catalog Record")</f>
        <v>Catalog Record</v>
      </c>
      <c r="AW1714" s="6" t="str">
        <f>HYPERLINK("http://www.worldcat.org/oclc/947807253","WorldCat Record")</f>
        <v>WorldCat Record</v>
      </c>
      <c r="AX1714" s="3" t="s">
        <v>16783</v>
      </c>
      <c r="AY1714" s="3" t="s">
        <v>16784</v>
      </c>
      <c r="AZ1714" s="3" t="s">
        <v>16785</v>
      </c>
      <c r="BA1714" s="3" t="s">
        <v>16785</v>
      </c>
      <c r="BB1714" s="3" t="s">
        <v>16786</v>
      </c>
      <c r="BC1714" s="3" t="s">
        <v>77</v>
      </c>
      <c r="BD1714" s="3" t="s">
        <v>78</v>
      </c>
      <c r="BE1714" s="3" t="s">
        <v>16787</v>
      </c>
      <c r="BF1714" s="3" t="s">
        <v>16786</v>
      </c>
      <c r="BG1714" s="3" t="s">
        <v>16788</v>
      </c>
    </row>
    <row r="1715" spans="1:59" ht="58" x14ac:dyDescent="0.35">
      <c r="A1715" s="2" t="s">
        <v>59</v>
      </c>
      <c r="B1715" s="2" t="s">
        <v>60</v>
      </c>
      <c r="C1715" s="2" t="s">
        <v>16789</v>
      </c>
      <c r="D1715" s="2" t="s">
        <v>16790</v>
      </c>
      <c r="E1715" s="2" t="s">
        <v>16791</v>
      </c>
      <c r="G1715" s="3" t="s">
        <v>65</v>
      </c>
      <c r="I1715" s="3" t="s">
        <v>65</v>
      </c>
      <c r="J1715" s="3" t="s">
        <v>65</v>
      </c>
      <c r="K1715" s="3" t="s">
        <v>66</v>
      </c>
      <c r="L1715" s="2" t="s">
        <v>16792</v>
      </c>
      <c r="M1715" s="2" t="s">
        <v>16793</v>
      </c>
      <c r="N1715" s="3" t="s">
        <v>139</v>
      </c>
      <c r="P1715" s="3" t="s">
        <v>140</v>
      </c>
      <c r="Q1715" s="2" t="s">
        <v>16794</v>
      </c>
      <c r="R1715" s="3" t="s">
        <v>71</v>
      </c>
      <c r="S1715" s="4">
        <v>1</v>
      </c>
      <c r="T1715" s="4">
        <v>1</v>
      </c>
      <c r="U1715" s="5" t="s">
        <v>16795</v>
      </c>
      <c r="V1715" s="5" t="s">
        <v>16795</v>
      </c>
      <c r="W1715" s="5" t="s">
        <v>72</v>
      </c>
      <c r="X1715" s="5" t="s">
        <v>72</v>
      </c>
      <c r="Y1715" s="4">
        <v>10</v>
      </c>
      <c r="Z1715" s="4">
        <v>1</v>
      </c>
      <c r="AA1715" s="4">
        <v>3</v>
      </c>
      <c r="AB1715" s="4">
        <v>1</v>
      </c>
      <c r="AC1715" s="4">
        <v>1</v>
      </c>
      <c r="AD1715" s="4">
        <v>1</v>
      </c>
      <c r="AE1715" s="4">
        <v>23</v>
      </c>
      <c r="AF1715" s="4">
        <v>0</v>
      </c>
      <c r="AG1715" s="4">
        <v>0</v>
      </c>
      <c r="AH1715" s="4">
        <v>1</v>
      </c>
      <c r="AI1715" s="4">
        <v>22</v>
      </c>
      <c r="AJ1715" s="4">
        <v>0</v>
      </c>
      <c r="AK1715" s="4">
        <v>1</v>
      </c>
      <c r="AL1715" s="4">
        <v>1</v>
      </c>
      <c r="AM1715" s="4">
        <v>19</v>
      </c>
      <c r="AN1715" s="4">
        <v>0</v>
      </c>
      <c r="AO1715" s="4">
        <v>0</v>
      </c>
      <c r="AP1715" s="4">
        <v>0</v>
      </c>
      <c r="AQ1715" s="4">
        <v>1</v>
      </c>
      <c r="AR1715" s="3" t="s">
        <v>65</v>
      </c>
      <c r="AS1715" s="3" t="s">
        <v>65</v>
      </c>
      <c r="AT1715" s="3" t="s">
        <v>65</v>
      </c>
      <c r="AV1715" s="6" t="str">
        <f>HYPERLINK("http://mcgill.on.worldcat.org/oclc/789632023","Catalog Record")</f>
        <v>Catalog Record</v>
      </c>
      <c r="AW1715" s="6" t="str">
        <f>HYPERLINK("http://www.worldcat.org/oclc/789632023","WorldCat Record")</f>
        <v>WorldCat Record</v>
      </c>
      <c r="AX1715" s="3" t="s">
        <v>16796</v>
      </c>
      <c r="AY1715" s="3" t="s">
        <v>16797</v>
      </c>
      <c r="AZ1715" s="3" t="s">
        <v>16798</v>
      </c>
      <c r="BA1715" s="3" t="s">
        <v>16798</v>
      </c>
      <c r="BB1715" s="3" t="s">
        <v>16799</v>
      </c>
      <c r="BC1715" s="3" t="s">
        <v>5567</v>
      </c>
      <c r="BD1715" s="3" t="s">
        <v>78</v>
      </c>
      <c r="BE1715" s="3" t="s">
        <v>16800</v>
      </c>
      <c r="BF1715" s="3" t="s">
        <v>16799</v>
      </c>
      <c r="BG1715" s="3" t="s">
        <v>16801</v>
      </c>
    </row>
    <row r="1716" spans="1:59" ht="58" x14ac:dyDescent="0.35">
      <c r="A1716" s="2" t="s">
        <v>59</v>
      </c>
      <c r="B1716" s="2" t="s">
        <v>60</v>
      </c>
      <c r="C1716" s="2" t="s">
        <v>16802</v>
      </c>
      <c r="D1716" s="2" t="s">
        <v>16803</v>
      </c>
      <c r="E1716" s="2" t="s">
        <v>16804</v>
      </c>
      <c r="G1716" s="3" t="s">
        <v>65</v>
      </c>
      <c r="I1716" s="3" t="s">
        <v>65</v>
      </c>
      <c r="J1716" s="3" t="s">
        <v>65</v>
      </c>
      <c r="K1716" s="3" t="s">
        <v>66</v>
      </c>
      <c r="L1716" s="2" t="s">
        <v>6923</v>
      </c>
      <c r="M1716" s="2" t="s">
        <v>16805</v>
      </c>
      <c r="N1716" s="3" t="s">
        <v>1196</v>
      </c>
      <c r="P1716" s="3" t="s">
        <v>140</v>
      </c>
      <c r="Q1716" s="2" t="s">
        <v>16806</v>
      </c>
      <c r="R1716" s="3" t="s">
        <v>71</v>
      </c>
      <c r="S1716" s="4">
        <v>1</v>
      </c>
      <c r="T1716" s="4">
        <v>1</v>
      </c>
      <c r="U1716" s="5" t="s">
        <v>16807</v>
      </c>
      <c r="V1716" s="5" t="s">
        <v>16807</v>
      </c>
      <c r="W1716" s="5" t="s">
        <v>72</v>
      </c>
      <c r="X1716" s="5" t="s">
        <v>72</v>
      </c>
      <c r="Y1716" s="4">
        <v>61</v>
      </c>
      <c r="Z1716" s="4">
        <v>4</v>
      </c>
      <c r="AA1716" s="4">
        <v>22</v>
      </c>
      <c r="AB1716" s="4">
        <v>1</v>
      </c>
      <c r="AC1716" s="4">
        <v>3</v>
      </c>
      <c r="AD1716" s="4">
        <v>33</v>
      </c>
      <c r="AE1716" s="4">
        <v>68</v>
      </c>
      <c r="AF1716" s="4">
        <v>0</v>
      </c>
      <c r="AG1716" s="4">
        <v>1</v>
      </c>
      <c r="AH1716" s="4">
        <v>32</v>
      </c>
      <c r="AI1716" s="4">
        <v>61</v>
      </c>
      <c r="AJ1716" s="4">
        <v>2</v>
      </c>
      <c r="AK1716" s="4">
        <v>15</v>
      </c>
      <c r="AL1716" s="4">
        <v>25</v>
      </c>
      <c r="AM1716" s="4">
        <v>30</v>
      </c>
      <c r="AN1716" s="4">
        <v>0</v>
      </c>
      <c r="AO1716" s="4">
        <v>0</v>
      </c>
      <c r="AP1716" s="4">
        <v>2</v>
      </c>
      <c r="AQ1716" s="4">
        <v>17</v>
      </c>
      <c r="AR1716" s="3" t="s">
        <v>65</v>
      </c>
      <c r="AS1716" s="3" t="s">
        <v>65</v>
      </c>
      <c r="AT1716" s="3" t="s">
        <v>209</v>
      </c>
      <c r="AU1716" s="6" t="str">
        <f>HYPERLINK("http://catalog.hathitrust.org/Record/005025260","HathiTrust Record")</f>
        <v>HathiTrust Record</v>
      </c>
      <c r="AV1716" s="6" t="str">
        <f>HYPERLINK("http://mcgill.on.worldcat.org/oclc/59140399","Catalog Record")</f>
        <v>Catalog Record</v>
      </c>
      <c r="AW1716" s="6" t="str">
        <f>HYPERLINK("http://www.worldcat.org/oclc/59140399","WorldCat Record")</f>
        <v>WorldCat Record</v>
      </c>
      <c r="AX1716" s="3" t="s">
        <v>16808</v>
      </c>
      <c r="AY1716" s="3" t="s">
        <v>16809</v>
      </c>
      <c r="AZ1716" s="3" t="s">
        <v>16810</v>
      </c>
      <c r="BA1716" s="3" t="s">
        <v>16810</v>
      </c>
      <c r="BB1716" s="3" t="s">
        <v>16811</v>
      </c>
      <c r="BC1716" s="3" t="s">
        <v>77</v>
      </c>
      <c r="BD1716" s="3" t="s">
        <v>78</v>
      </c>
      <c r="BE1716" s="3" t="s">
        <v>16812</v>
      </c>
      <c r="BF1716" s="3" t="s">
        <v>16811</v>
      </c>
      <c r="BG1716" s="3" t="s">
        <v>16813</v>
      </c>
    </row>
    <row r="1717" spans="1:59" ht="72.5" x14ac:dyDescent="0.35">
      <c r="A1717" s="2" t="s">
        <v>59</v>
      </c>
      <c r="B1717" s="2" t="s">
        <v>60</v>
      </c>
      <c r="C1717" s="2" t="s">
        <v>16814</v>
      </c>
      <c r="D1717" s="2" t="s">
        <v>16815</v>
      </c>
      <c r="E1717" s="2" t="s">
        <v>16816</v>
      </c>
      <c r="G1717" s="3" t="s">
        <v>65</v>
      </c>
      <c r="I1717" s="3" t="s">
        <v>65</v>
      </c>
      <c r="J1717" s="3" t="s">
        <v>65</v>
      </c>
      <c r="K1717" s="3" t="s">
        <v>66</v>
      </c>
      <c r="L1717" s="2" t="s">
        <v>16817</v>
      </c>
      <c r="M1717" s="2" t="s">
        <v>16818</v>
      </c>
      <c r="N1717" s="3" t="s">
        <v>68</v>
      </c>
      <c r="P1717" s="3" t="s">
        <v>140</v>
      </c>
      <c r="Q1717" s="2" t="s">
        <v>16819</v>
      </c>
      <c r="R1717" s="3" t="s">
        <v>71</v>
      </c>
      <c r="S1717" s="4">
        <v>0</v>
      </c>
      <c r="T1717" s="4">
        <v>0</v>
      </c>
      <c r="W1717" s="5" t="s">
        <v>72</v>
      </c>
      <c r="X1717" s="5" t="s">
        <v>72</v>
      </c>
      <c r="Y1717" s="4">
        <v>23</v>
      </c>
      <c r="Z1717" s="4">
        <v>1</v>
      </c>
      <c r="AA1717" s="4">
        <v>1</v>
      </c>
      <c r="AB1717" s="4">
        <v>1</v>
      </c>
      <c r="AC1717" s="4">
        <v>1</v>
      </c>
      <c r="AD1717" s="4">
        <v>19</v>
      </c>
      <c r="AE1717" s="4">
        <v>21</v>
      </c>
      <c r="AF1717" s="4">
        <v>0</v>
      </c>
      <c r="AG1717" s="4">
        <v>0</v>
      </c>
      <c r="AH1717" s="4">
        <v>18</v>
      </c>
      <c r="AI1717" s="4">
        <v>20</v>
      </c>
      <c r="AJ1717" s="4">
        <v>0</v>
      </c>
      <c r="AK1717" s="4">
        <v>0</v>
      </c>
      <c r="AL1717" s="4">
        <v>15</v>
      </c>
      <c r="AM1717" s="4">
        <v>17</v>
      </c>
      <c r="AN1717" s="4">
        <v>0</v>
      </c>
      <c r="AO1717" s="4">
        <v>0</v>
      </c>
      <c r="AP1717" s="4">
        <v>0</v>
      </c>
      <c r="AQ1717" s="4">
        <v>0</v>
      </c>
      <c r="AR1717" s="3" t="s">
        <v>65</v>
      </c>
      <c r="AS1717" s="3" t="s">
        <v>65</v>
      </c>
      <c r="AT1717" s="3" t="s">
        <v>65</v>
      </c>
      <c r="AV1717" s="6" t="str">
        <f>HYPERLINK("http://mcgill.on.worldcat.org/oclc/1082298397","Catalog Record")</f>
        <v>Catalog Record</v>
      </c>
      <c r="AW1717" s="6" t="str">
        <f>HYPERLINK("http://www.worldcat.org/oclc/1082298397","WorldCat Record")</f>
        <v>WorldCat Record</v>
      </c>
      <c r="AX1717" s="3" t="s">
        <v>16820</v>
      </c>
      <c r="AY1717" s="3" t="s">
        <v>16821</v>
      </c>
      <c r="AZ1717" s="3" t="s">
        <v>16822</v>
      </c>
      <c r="BA1717" s="3" t="s">
        <v>16822</v>
      </c>
      <c r="BB1717" s="3" t="s">
        <v>16823</v>
      </c>
      <c r="BC1717" s="3" t="s">
        <v>77</v>
      </c>
      <c r="BD1717" s="3" t="s">
        <v>78</v>
      </c>
      <c r="BE1717" s="3" t="s">
        <v>16824</v>
      </c>
      <c r="BF1717" s="3" t="s">
        <v>16823</v>
      </c>
      <c r="BG1717" s="3" t="s">
        <v>16825</v>
      </c>
    </row>
    <row r="1718" spans="1:59" ht="58" x14ac:dyDescent="0.35">
      <c r="A1718" s="2" t="s">
        <v>59</v>
      </c>
      <c r="B1718" s="2" t="s">
        <v>60</v>
      </c>
      <c r="C1718" s="2" t="s">
        <v>16826</v>
      </c>
      <c r="D1718" s="2" t="s">
        <v>16827</v>
      </c>
      <c r="E1718" s="2" t="s">
        <v>16828</v>
      </c>
      <c r="G1718" s="3" t="s">
        <v>65</v>
      </c>
      <c r="I1718" s="3" t="s">
        <v>65</v>
      </c>
      <c r="J1718" s="3" t="s">
        <v>65</v>
      </c>
      <c r="K1718" s="3" t="s">
        <v>66</v>
      </c>
      <c r="M1718" s="2" t="s">
        <v>16829</v>
      </c>
      <c r="N1718" s="3" t="s">
        <v>126</v>
      </c>
      <c r="P1718" s="3" t="s">
        <v>616</v>
      </c>
      <c r="Q1718" s="2" t="s">
        <v>16830</v>
      </c>
      <c r="R1718" s="3" t="s">
        <v>71</v>
      </c>
      <c r="S1718" s="4">
        <v>4</v>
      </c>
      <c r="T1718" s="4">
        <v>4</v>
      </c>
      <c r="U1718" s="5" t="s">
        <v>16831</v>
      </c>
      <c r="V1718" s="5" t="s">
        <v>16831</v>
      </c>
      <c r="W1718" s="5" t="s">
        <v>72</v>
      </c>
      <c r="X1718" s="5" t="s">
        <v>72</v>
      </c>
      <c r="Y1718" s="4">
        <v>40</v>
      </c>
      <c r="Z1718" s="4">
        <v>4</v>
      </c>
      <c r="AA1718" s="4">
        <v>4</v>
      </c>
      <c r="AB1718" s="4">
        <v>1</v>
      </c>
      <c r="AC1718" s="4">
        <v>1</v>
      </c>
      <c r="AD1718" s="4">
        <v>21</v>
      </c>
      <c r="AE1718" s="4">
        <v>21</v>
      </c>
      <c r="AF1718" s="4">
        <v>0</v>
      </c>
      <c r="AG1718" s="4">
        <v>0</v>
      </c>
      <c r="AH1718" s="4">
        <v>20</v>
      </c>
      <c r="AI1718" s="4">
        <v>20</v>
      </c>
      <c r="AJ1718" s="4">
        <v>2</v>
      </c>
      <c r="AK1718" s="4">
        <v>2</v>
      </c>
      <c r="AL1718" s="4">
        <v>16</v>
      </c>
      <c r="AM1718" s="4">
        <v>16</v>
      </c>
      <c r="AN1718" s="4">
        <v>0</v>
      </c>
      <c r="AO1718" s="4">
        <v>0</v>
      </c>
      <c r="AP1718" s="4">
        <v>2</v>
      </c>
      <c r="AQ1718" s="4">
        <v>2</v>
      </c>
      <c r="AR1718" s="3" t="s">
        <v>65</v>
      </c>
      <c r="AS1718" s="3" t="s">
        <v>65</v>
      </c>
      <c r="AT1718" s="3" t="s">
        <v>65</v>
      </c>
      <c r="AV1718" s="6" t="str">
        <f>HYPERLINK("http://mcgill.on.worldcat.org/oclc/795130277","Catalog Record")</f>
        <v>Catalog Record</v>
      </c>
      <c r="AW1718" s="6" t="str">
        <f>HYPERLINK("http://www.worldcat.org/oclc/795130277","WorldCat Record")</f>
        <v>WorldCat Record</v>
      </c>
      <c r="AX1718" s="3" t="s">
        <v>16832</v>
      </c>
      <c r="AY1718" s="3" t="s">
        <v>16833</v>
      </c>
      <c r="AZ1718" s="3" t="s">
        <v>16834</v>
      </c>
      <c r="BA1718" s="3" t="s">
        <v>16834</v>
      </c>
      <c r="BB1718" s="3" t="s">
        <v>16835</v>
      </c>
      <c r="BC1718" s="3" t="s">
        <v>77</v>
      </c>
      <c r="BD1718" s="3" t="s">
        <v>78</v>
      </c>
      <c r="BE1718" s="3" t="s">
        <v>16836</v>
      </c>
      <c r="BF1718" s="3" t="s">
        <v>16835</v>
      </c>
      <c r="BG1718" s="3" t="s">
        <v>16837</v>
      </c>
    </row>
    <row r="1719" spans="1:59" ht="58" x14ac:dyDescent="0.35">
      <c r="A1719" s="2" t="s">
        <v>59</v>
      </c>
      <c r="B1719" s="2" t="s">
        <v>60</v>
      </c>
      <c r="C1719" s="2" t="s">
        <v>16838</v>
      </c>
      <c r="D1719" s="2" t="s">
        <v>16839</v>
      </c>
      <c r="E1719" s="2" t="s">
        <v>16840</v>
      </c>
      <c r="G1719" s="3" t="s">
        <v>65</v>
      </c>
      <c r="I1719" s="3" t="s">
        <v>65</v>
      </c>
      <c r="J1719" s="3" t="s">
        <v>65</v>
      </c>
      <c r="K1719" s="3" t="s">
        <v>66</v>
      </c>
      <c r="M1719" s="2" t="s">
        <v>16841</v>
      </c>
      <c r="N1719" s="3" t="s">
        <v>99</v>
      </c>
      <c r="P1719" s="3" t="s">
        <v>140</v>
      </c>
      <c r="Q1719" s="2" t="s">
        <v>16842</v>
      </c>
      <c r="R1719" s="3" t="s">
        <v>71</v>
      </c>
      <c r="S1719" s="4">
        <v>2</v>
      </c>
      <c r="T1719" s="4">
        <v>2</v>
      </c>
      <c r="U1719" s="5" t="s">
        <v>16843</v>
      </c>
      <c r="V1719" s="5" t="s">
        <v>16843</v>
      </c>
      <c r="W1719" s="5" t="s">
        <v>72</v>
      </c>
      <c r="X1719" s="5" t="s">
        <v>72</v>
      </c>
      <c r="Y1719" s="4">
        <v>11</v>
      </c>
      <c r="Z1719" s="4">
        <v>1</v>
      </c>
      <c r="AA1719" s="4">
        <v>1</v>
      </c>
      <c r="AB1719" s="4">
        <v>1</v>
      </c>
      <c r="AC1719" s="4">
        <v>1</v>
      </c>
      <c r="AD1719" s="4">
        <v>6</v>
      </c>
      <c r="AE1719" s="4">
        <v>6</v>
      </c>
      <c r="AF1719" s="4">
        <v>0</v>
      </c>
      <c r="AG1719" s="4">
        <v>0</v>
      </c>
      <c r="AH1719" s="4">
        <v>5</v>
      </c>
      <c r="AI1719" s="4">
        <v>5</v>
      </c>
      <c r="AJ1719" s="4">
        <v>0</v>
      </c>
      <c r="AK1719" s="4">
        <v>0</v>
      </c>
      <c r="AL1719" s="4">
        <v>5</v>
      </c>
      <c r="AM1719" s="4">
        <v>5</v>
      </c>
      <c r="AN1719" s="4">
        <v>0</v>
      </c>
      <c r="AO1719" s="4">
        <v>0</v>
      </c>
      <c r="AP1719" s="4">
        <v>0</v>
      </c>
      <c r="AQ1719" s="4">
        <v>0</v>
      </c>
      <c r="AR1719" s="3" t="s">
        <v>65</v>
      </c>
      <c r="AS1719" s="3" t="s">
        <v>65</v>
      </c>
      <c r="AT1719" s="3" t="s">
        <v>65</v>
      </c>
      <c r="AV1719" s="6" t="str">
        <f>HYPERLINK("http://mcgill.on.worldcat.org/oclc/82148877","Catalog Record")</f>
        <v>Catalog Record</v>
      </c>
      <c r="AW1719" s="6" t="str">
        <f>HYPERLINK("http://www.worldcat.org/oclc/82148877","WorldCat Record")</f>
        <v>WorldCat Record</v>
      </c>
      <c r="AX1719" s="3" t="s">
        <v>16844</v>
      </c>
      <c r="AY1719" s="3" t="s">
        <v>16845</v>
      </c>
      <c r="AZ1719" s="3" t="s">
        <v>16846</v>
      </c>
      <c r="BA1719" s="3" t="s">
        <v>16846</v>
      </c>
      <c r="BB1719" s="3" t="s">
        <v>16847</v>
      </c>
      <c r="BC1719" s="3" t="s">
        <v>77</v>
      </c>
      <c r="BD1719" s="3" t="s">
        <v>78</v>
      </c>
      <c r="BF1719" s="3" t="s">
        <v>16847</v>
      </c>
      <c r="BG1719" s="3" t="s">
        <v>16848</v>
      </c>
    </row>
    <row r="1720" spans="1:59" ht="58" x14ac:dyDescent="0.35">
      <c r="A1720" s="2" t="s">
        <v>59</v>
      </c>
      <c r="B1720" s="2" t="s">
        <v>60</v>
      </c>
      <c r="C1720" s="2" t="s">
        <v>16849</v>
      </c>
      <c r="D1720" s="2" t="s">
        <v>16850</v>
      </c>
      <c r="E1720" s="2" t="s">
        <v>16851</v>
      </c>
      <c r="G1720" s="3" t="s">
        <v>65</v>
      </c>
      <c r="I1720" s="3" t="s">
        <v>65</v>
      </c>
      <c r="J1720" s="3" t="s">
        <v>65</v>
      </c>
      <c r="K1720" s="3" t="s">
        <v>66</v>
      </c>
      <c r="L1720" s="2" t="s">
        <v>16852</v>
      </c>
      <c r="M1720" s="2" t="s">
        <v>16853</v>
      </c>
      <c r="N1720" s="3" t="s">
        <v>86</v>
      </c>
      <c r="P1720" s="3" t="s">
        <v>69</v>
      </c>
      <c r="Q1720" s="2" t="s">
        <v>16854</v>
      </c>
      <c r="R1720" s="3" t="s">
        <v>71</v>
      </c>
      <c r="S1720" s="4">
        <v>0</v>
      </c>
      <c r="T1720" s="4">
        <v>0</v>
      </c>
      <c r="W1720" s="5" t="s">
        <v>6469</v>
      </c>
      <c r="X1720" s="5" t="s">
        <v>6469</v>
      </c>
      <c r="Y1720" s="4">
        <v>121</v>
      </c>
      <c r="Z1720" s="4">
        <v>8</v>
      </c>
      <c r="AA1720" s="4">
        <v>8</v>
      </c>
      <c r="AB1720" s="4">
        <v>1</v>
      </c>
      <c r="AC1720" s="4">
        <v>1</v>
      </c>
      <c r="AD1720" s="4">
        <v>50</v>
      </c>
      <c r="AE1720" s="4">
        <v>50</v>
      </c>
      <c r="AF1720" s="4">
        <v>0</v>
      </c>
      <c r="AG1720" s="4">
        <v>0</v>
      </c>
      <c r="AH1720" s="4">
        <v>48</v>
      </c>
      <c r="AI1720" s="4">
        <v>48</v>
      </c>
      <c r="AJ1720" s="4">
        <v>5</v>
      </c>
      <c r="AK1720" s="4">
        <v>5</v>
      </c>
      <c r="AL1720" s="4">
        <v>31</v>
      </c>
      <c r="AM1720" s="4">
        <v>31</v>
      </c>
      <c r="AN1720" s="4">
        <v>0</v>
      </c>
      <c r="AO1720" s="4">
        <v>0</v>
      </c>
      <c r="AP1720" s="4">
        <v>5</v>
      </c>
      <c r="AQ1720" s="4">
        <v>5</v>
      </c>
      <c r="AR1720" s="3" t="s">
        <v>65</v>
      </c>
      <c r="AS1720" s="3" t="s">
        <v>65</v>
      </c>
      <c r="AT1720" s="3" t="s">
        <v>65</v>
      </c>
      <c r="AV1720" s="6" t="str">
        <f>HYPERLINK("http://mcgill.on.worldcat.org/oclc/1006441588","Catalog Record")</f>
        <v>Catalog Record</v>
      </c>
      <c r="AW1720" s="6" t="str">
        <f>HYPERLINK("http://www.worldcat.org/oclc/1006441588","WorldCat Record")</f>
        <v>WorldCat Record</v>
      </c>
      <c r="AX1720" s="3" t="s">
        <v>16855</v>
      </c>
      <c r="AY1720" s="3" t="s">
        <v>16856</v>
      </c>
      <c r="AZ1720" s="3" t="s">
        <v>16857</v>
      </c>
      <c r="BA1720" s="3" t="s">
        <v>16857</v>
      </c>
      <c r="BB1720" s="3" t="s">
        <v>16858</v>
      </c>
      <c r="BC1720" s="3" t="s">
        <v>77</v>
      </c>
      <c r="BD1720" s="3" t="s">
        <v>78</v>
      </c>
      <c r="BE1720" s="3" t="s">
        <v>16859</v>
      </c>
      <c r="BF1720" s="3" t="s">
        <v>16858</v>
      </c>
      <c r="BG1720" s="3" t="s">
        <v>16860</v>
      </c>
    </row>
    <row r="1721" spans="1:59" ht="58" x14ac:dyDescent="0.35">
      <c r="A1721" s="2" t="s">
        <v>59</v>
      </c>
      <c r="B1721" s="2" t="s">
        <v>60</v>
      </c>
      <c r="C1721" s="2" t="s">
        <v>16861</v>
      </c>
      <c r="D1721" s="2" t="s">
        <v>16862</v>
      </c>
      <c r="E1721" s="2" t="s">
        <v>16863</v>
      </c>
      <c r="G1721" s="3" t="s">
        <v>65</v>
      </c>
      <c r="I1721" s="3" t="s">
        <v>65</v>
      </c>
      <c r="J1721" s="3" t="s">
        <v>65</v>
      </c>
      <c r="K1721" s="3" t="s">
        <v>66</v>
      </c>
      <c r="L1721" s="2" t="s">
        <v>16864</v>
      </c>
      <c r="M1721" s="2" t="s">
        <v>16865</v>
      </c>
      <c r="N1721" s="3" t="s">
        <v>906</v>
      </c>
      <c r="P1721" s="3" t="s">
        <v>69</v>
      </c>
      <c r="R1721" s="3" t="s">
        <v>71</v>
      </c>
      <c r="S1721" s="4">
        <v>10</v>
      </c>
      <c r="T1721" s="4">
        <v>10</v>
      </c>
      <c r="U1721" s="5" t="s">
        <v>16866</v>
      </c>
      <c r="V1721" s="5" t="s">
        <v>16866</v>
      </c>
      <c r="W1721" s="5" t="s">
        <v>72</v>
      </c>
      <c r="X1721" s="5" t="s">
        <v>72</v>
      </c>
      <c r="Y1721" s="4">
        <v>360</v>
      </c>
      <c r="Z1721" s="4">
        <v>22</v>
      </c>
      <c r="AA1721" s="4">
        <v>23</v>
      </c>
      <c r="AB1721" s="4">
        <v>2</v>
      </c>
      <c r="AC1721" s="4">
        <v>2</v>
      </c>
      <c r="AD1721" s="4">
        <v>105</v>
      </c>
      <c r="AE1721" s="4">
        <v>107</v>
      </c>
      <c r="AF1721" s="4">
        <v>1</v>
      </c>
      <c r="AG1721" s="4">
        <v>1</v>
      </c>
      <c r="AH1721" s="4">
        <v>97</v>
      </c>
      <c r="AI1721" s="4">
        <v>99</v>
      </c>
      <c r="AJ1721" s="4">
        <v>12</v>
      </c>
      <c r="AK1721" s="4">
        <v>12</v>
      </c>
      <c r="AL1721" s="4">
        <v>53</v>
      </c>
      <c r="AM1721" s="4">
        <v>55</v>
      </c>
      <c r="AN1721" s="4">
        <v>0</v>
      </c>
      <c r="AO1721" s="4">
        <v>0</v>
      </c>
      <c r="AP1721" s="4">
        <v>14</v>
      </c>
      <c r="AQ1721" s="4">
        <v>14</v>
      </c>
      <c r="AR1721" s="3" t="s">
        <v>65</v>
      </c>
      <c r="AS1721" s="3" t="s">
        <v>65</v>
      </c>
      <c r="AT1721" s="3" t="s">
        <v>209</v>
      </c>
      <c r="AU1721" s="6" t="str">
        <f>HYPERLINK("http://catalog.hathitrust.org/Record/000135399","HathiTrust Record")</f>
        <v>HathiTrust Record</v>
      </c>
      <c r="AV1721" s="6" t="str">
        <f>HYPERLINK("http://mcgill.on.worldcat.org/oclc/3844142","Catalog Record")</f>
        <v>Catalog Record</v>
      </c>
      <c r="AW1721" s="6" t="str">
        <f>HYPERLINK("http://www.worldcat.org/oclc/3844142","WorldCat Record")</f>
        <v>WorldCat Record</v>
      </c>
      <c r="AX1721" s="3" t="s">
        <v>16867</v>
      </c>
      <c r="AY1721" s="3" t="s">
        <v>16868</v>
      </c>
      <c r="AZ1721" s="3" t="s">
        <v>16869</v>
      </c>
      <c r="BA1721" s="3" t="s">
        <v>16869</v>
      </c>
      <c r="BB1721" s="3" t="s">
        <v>16870</v>
      </c>
      <c r="BC1721" s="3" t="s">
        <v>77</v>
      </c>
      <c r="BD1721" s="3" t="s">
        <v>78</v>
      </c>
      <c r="BE1721" s="3" t="s">
        <v>16871</v>
      </c>
      <c r="BF1721" s="3" t="s">
        <v>16870</v>
      </c>
      <c r="BG1721" s="3" t="s">
        <v>16872</v>
      </c>
    </row>
    <row r="1722" spans="1:59" ht="58" x14ac:dyDescent="0.35">
      <c r="A1722" s="2" t="s">
        <v>59</v>
      </c>
      <c r="B1722" s="2" t="s">
        <v>60</v>
      </c>
      <c r="C1722" s="2" t="s">
        <v>16873</v>
      </c>
      <c r="D1722" s="2" t="s">
        <v>16874</v>
      </c>
      <c r="E1722" s="2" t="s">
        <v>16875</v>
      </c>
      <c r="G1722" s="3" t="s">
        <v>65</v>
      </c>
      <c r="I1722" s="3" t="s">
        <v>65</v>
      </c>
      <c r="J1722" s="3" t="s">
        <v>65</v>
      </c>
      <c r="K1722" s="3" t="s">
        <v>66</v>
      </c>
      <c r="M1722" s="2" t="s">
        <v>16876</v>
      </c>
      <c r="N1722" s="3" t="s">
        <v>126</v>
      </c>
      <c r="P1722" s="3" t="s">
        <v>140</v>
      </c>
      <c r="Q1722" s="2" t="s">
        <v>16877</v>
      </c>
      <c r="R1722" s="3" t="s">
        <v>71</v>
      </c>
      <c r="S1722" s="4">
        <v>0</v>
      </c>
      <c r="T1722" s="4">
        <v>0</v>
      </c>
      <c r="W1722" s="5" t="s">
        <v>72</v>
      </c>
      <c r="X1722" s="5" t="s">
        <v>72</v>
      </c>
      <c r="Y1722" s="4">
        <v>49</v>
      </c>
      <c r="Z1722" s="4">
        <v>4</v>
      </c>
      <c r="AA1722" s="4">
        <v>4</v>
      </c>
      <c r="AB1722" s="4">
        <v>1</v>
      </c>
      <c r="AC1722" s="4">
        <v>1</v>
      </c>
      <c r="AD1722" s="4">
        <v>33</v>
      </c>
      <c r="AE1722" s="4">
        <v>33</v>
      </c>
      <c r="AF1722" s="4">
        <v>0</v>
      </c>
      <c r="AG1722" s="4">
        <v>0</v>
      </c>
      <c r="AH1722" s="4">
        <v>32</v>
      </c>
      <c r="AI1722" s="4">
        <v>32</v>
      </c>
      <c r="AJ1722" s="4">
        <v>2</v>
      </c>
      <c r="AK1722" s="4">
        <v>2</v>
      </c>
      <c r="AL1722" s="4">
        <v>23</v>
      </c>
      <c r="AM1722" s="4">
        <v>23</v>
      </c>
      <c r="AN1722" s="4">
        <v>0</v>
      </c>
      <c r="AO1722" s="4">
        <v>0</v>
      </c>
      <c r="AP1722" s="4">
        <v>2</v>
      </c>
      <c r="AQ1722" s="4">
        <v>2</v>
      </c>
      <c r="AR1722" s="3" t="s">
        <v>65</v>
      </c>
      <c r="AS1722" s="3" t="s">
        <v>65</v>
      </c>
      <c r="AT1722" s="3" t="s">
        <v>65</v>
      </c>
      <c r="AV1722" s="6" t="str">
        <f>HYPERLINK("http://mcgill.on.worldcat.org/oclc/760053779","Catalog Record")</f>
        <v>Catalog Record</v>
      </c>
      <c r="AW1722" s="6" t="str">
        <f>HYPERLINK("http://www.worldcat.org/oclc/760053779","WorldCat Record")</f>
        <v>WorldCat Record</v>
      </c>
      <c r="AX1722" s="3" t="s">
        <v>16878</v>
      </c>
      <c r="AY1722" s="3" t="s">
        <v>16879</v>
      </c>
      <c r="AZ1722" s="3" t="s">
        <v>16880</v>
      </c>
      <c r="BA1722" s="3" t="s">
        <v>16880</v>
      </c>
      <c r="BB1722" s="3" t="s">
        <v>16881</v>
      </c>
      <c r="BC1722" s="3" t="s">
        <v>77</v>
      </c>
      <c r="BD1722" s="3" t="s">
        <v>78</v>
      </c>
      <c r="BE1722" s="3" t="s">
        <v>16882</v>
      </c>
      <c r="BF1722" s="3" t="s">
        <v>16881</v>
      </c>
      <c r="BG1722" s="3" t="s">
        <v>16883</v>
      </c>
    </row>
    <row r="1723" spans="1:59" ht="58" x14ac:dyDescent="0.35">
      <c r="A1723" s="2" t="s">
        <v>59</v>
      </c>
      <c r="B1723" s="2" t="s">
        <v>60</v>
      </c>
      <c r="C1723" s="2" t="s">
        <v>16884</v>
      </c>
      <c r="D1723" s="2" t="s">
        <v>16885</v>
      </c>
      <c r="E1723" s="2" t="s">
        <v>16886</v>
      </c>
      <c r="G1723" s="3" t="s">
        <v>65</v>
      </c>
      <c r="I1723" s="3" t="s">
        <v>65</v>
      </c>
      <c r="J1723" s="3" t="s">
        <v>65</v>
      </c>
      <c r="K1723" s="3" t="s">
        <v>66</v>
      </c>
      <c r="L1723" s="2" t="s">
        <v>7495</v>
      </c>
      <c r="M1723" s="2" t="s">
        <v>16887</v>
      </c>
      <c r="N1723" s="3" t="s">
        <v>214</v>
      </c>
      <c r="O1723" s="2" t="s">
        <v>16888</v>
      </c>
      <c r="P1723" s="3" t="s">
        <v>140</v>
      </c>
      <c r="Q1723" s="2" t="s">
        <v>16889</v>
      </c>
      <c r="R1723" s="3" t="s">
        <v>71</v>
      </c>
      <c r="S1723" s="4">
        <v>5</v>
      </c>
      <c r="T1723" s="4">
        <v>5</v>
      </c>
      <c r="U1723" s="5" t="s">
        <v>16890</v>
      </c>
      <c r="V1723" s="5" t="s">
        <v>16890</v>
      </c>
      <c r="W1723" s="5" t="s">
        <v>72</v>
      </c>
      <c r="X1723" s="5" t="s">
        <v>72</v>
      </c>
      <c r="Y1723" s="4">
        <v>134</v>
      </c>
      <c r="Z1723" s="4">
        <v>17</v>
      </c>
      <c r="AA1723" s="4">
        <v>17</v>
      </c>
      <c r="AB1723" s="4">
        <v>1</v>
      </c>
      <c r="AC1723" s="4">
        <v>1</v>
      </c>
      <c r="AD1723" s="4">
        <v>63</v>
      </c>
      <c r="AE1723" s="4">
        <v>63</v>
      </c>
      <c r="AF1723" s="4">
        <v>0</v>
      </c>
      <c r="AG1723" s="4">
        <v>0</v>
      </c>
      <c r="AH1723" s="4">
        <v>57</v>
      </c>
      <c r="AI1723" s="4">
        <v>57</v>
      </c>
      <c r="AJ1723" s="4">
        <v>10</v>
      </c>
      <c r="AK1723" s="4">
        <v>10</v>
      </c>
      <c r="AL1723" s="4">
        <v>35</v>
      </c>
      <c r="AM1723" s="4">
        <v>35</v>
      </c>
      <c r="AN1723" s="4">
        <v>0</v>
      </c>
      <c r="AO1723" s="4">
        <v>0</v>
      </c>
      <c r="AP1723" s="4">
        <v>11</v>
      </c>
      <c r="AQ1723" s="4">
        <v>11</v>
      </c>
      <c r="AR1723" s="3" t="s">
        <v>65</v>
      </c>
      <c r="AS1723" s="3" t="s">
        <v>65</v>
      </c>
      <c r="AT1723" s="3" t="s">
        <v>65</v>
      </c>
      <c r="AV1723" s="6" t="str">
        <f>HYPERLINK("http://mcgill.on.worldcat.org/oclc/10405237","Catalog Record")</f>
        <v>Catalog Record</v>
      </c>
      <c r="AW1723" s="6" t="str">
        <f>HYPERLINK("http://www.worldcat.org/oclc/10405237","WorldCat Record")</f>
        <v>WorldCat Record</v>
      </c>
      <c r="AX1723" s="3" t="s">
        <v>16891</v>
      </c>
      <c r="AY1723" s="3" t="s">
        <v>16892</v>
      </c>
      <c r="AZ1723" s="3" t="s">
        <v>16893</v>
      </c>
      <c r="BA1723" s="3" t="s">
        <v>16893</v>
      </c>
      <c r="BB1723" s="3" t="s">
        <v>16894</v>
      </c>
      <c r="BC1723" s="3" t="s">
        <v>77</v>
      </c>
      <c r="BD1723" s="3" t="s">
        <v>106</v>
      </c>
      <c r="BE1723" s="3" t="s">
        <v>16895</v>
      </c>
      <c r="BF1723" s="3" t="s">
        <v>16894</v>
      </c>
      <c r="BG1723" s="3" t="s">
        <v>16896</v>
      </c>
    </row>
    <row r="1724" spans="1:59" ht="58" x14ac:dyDescent="0.35">
      <c r="A1724" s="2" t="s">
        <v>59</v>
      </c>
      <c r="B1724" s="2" t="s">
        <v>60</v>
      </c>
      <c r="C1724" s="2" t="s">
        <v>16897</v>
      </c>
      <c r="D1724" s="2" t="s">
        <v>16898</v>
      </c>
      <c r="E1724" s="2" t="s">
        <v>16899</v>
      </c>
      <c r="G1724" s="3" t="s">
        <v>65</v>
      </c>
      <c r="I1724" s="3" t="s">
        <v>65</v>
      </c>
      <c r="J1724" s="3" t="s">
        <v>65</v>
      </c>
      <c r="K1724" s="3" t="s">
        <v>66</v>
      </c>
      <c r="L1724" s="2" t="s">
        <v>5011</v>
      </c>
      <c r="M1724" s="2" t="s">
        <v>16900</v>
      </c>
      <c r="N1724" s="3" t="s">
        <v>113</v>
      </c>
      <c r="P1724" s="3" t="s">
        <v>69</v>
      </c>
      <c r="Q1724" s="2" t="s">
        <v>16901</v>
      </c>
      <c r="R1724" s="3" t="s">
        <v>71</v>
      </c>
      <c r="S1724" s="4">
        <v>1</v>
      </c>
      <c r="T1724" s="4">
        <v>1</v>
      </c>
      <c r="U1724" s="5" t="s">
        <v>6808</v>
      </c>
      <c r="V1724" s="5" t="s">
        <v>6808</v>
      </c>
      <c r="W1724" s="5" t="s">
        <v>72</v>
      </c>
      <c r="X1724" s="5" t="s">
        <v>72</v>
      </c>
      <c r="Y1724" s="4">
        <v>93</v>
      </c>
      <c r="Z1724" s="4">
        <v>12</v>
      </c>
      <c r="AA1724" s="4">
        <v>15</v>
      </c>
      <c r="AB1724" s="4">
        <v>1</v>
      </c>
      <c r="AC1724" s="4">
        <v>4</v>
      </c>
      <c r="AD1724" s="4">
        <v>50</v>
      </c>
      <c r="AE1724" s="4">
        <v>53</v>
      </c>
      <c r="AF1724" s="4">
        <v>0</v>
      </c>
      <c r="AG1724" s="4">
        <v>0</v>
      </c>
      <c r="AH1724" s="4">
        <v>45</v>
      </c>
      <c r="AI1724" s="4">
        <v>48</v>
      </c>
      <c r="AJ1724" s="4">
        <v>9</v>
      </c>
      <c r="AK1724" s="4">
        <v>9</v>
      </c>
      <c r="AL1724" s="4">
        <v>29</v>
      </c>
      <c r="AM1724" s="4">
        <v>30</v>
      </c>
      <c r="AN1724" s="4">
        <v>0</v>
      </c>
      <c r="AO1724" s="4">
        <v>0</v>
      </c>
      <c r="AP1724" s="4">
        <v>10</v>
      </c>
      <c r="AQ1724" s="4">
        <v>10</v>
      </c>
      <c r="AR1724" s="3" t="s">
        <v>65</v>
      </c>
      <c r="AS1724" s="3" t="s">
        <v>65</v>
      </c>
      <c r="AT1724" s="3" t="s">
        <v>65</v>
      </c>
      <c r="AV1724" s="6" t="str">
        <f>HYPERLINK("http://mcgill.on.worldcat.org/oclc/645889641","Catalog Record")</f>
        <v>Catalog Record</v>
      </c>
      <c r="AW1724" s="6" t="str">
        <f>HYPERLINK("http://www.worldcat.org/oclc/645889641","WorldCat Record")</f>
        <v>WorldCat Record</v>
      </c>
      <c r="AX1724" s="3" t="s">
        <v>16902</v>
      </c>
      <c r="AY1724" s="3" t="s">
        <v>16903</v>
      </c>
      <c r="AZ1724" s="3" t="s">
        <v>16904</v>
      </c>
      <c r="BA1724" s="3" t="s">
        <v>16904</v>
      </c>
      <c r="BB1724" s="3" t="s">
        <v>16905</v>
      </c>
      <c r="BC1724" s="3" t="s">
        <v>77</v>
      </c>
      <c r="BD1724" s="3" t="s">
        <v>78</v>
      </c>
      <c r="BE1724" s="3" t="s">
        <v>16906</v>
      </c>
      <c r="BF1724" s="3" t="s">
        <v>16905</v>
      </c>
      <c r="BG1724" s="3" t="s">
        <v>16907</v>
      </c>
    </row>
    <row r="1725" spans="1:59" ht="58" x14ac:dyDescent="0.35">
      <c r="A1725" s="2" t="s">
        <v>59</v>
      </c>
      <c r="B1725" s="2" t="s">
        <v>60</v>
      </c>
      <c r="C1725" s="2" t="s">
        <v>16908</v>
      </c>
      <c r="D1725" s="2" t="s">
        <v>16909</v>
      </c>
      <c r="E1725" s="2" t="s">
        <v>16910</v>
      </c>
      <c r="F1725" s="3" t="s">
        <v>10611</v>
      </c>
      <c r="G1725" s="3" t="s">
        <v>209</v>
      </c>
      <c r="I1725" s="3" t="s">
        <v>65</v>
      </c>
      <c r="J1725" s="3" t="s">
        <v>65</v>
      </c>
      <c r="K1725" s="3" t="s">
        <v>66</v>
      </c>
      <c r="L1725" s="2" t="s">
        <v>16911</v>
      </c>
      <c r="M1725" s="2" t="s">
        <v>16912</v>
      </c>
      <c r="N1725" s="3" t="s">
        <v>1944</v>
      </c>
      <c r="P1725" s="3" t="s">
        <v>140</v>
      </c>
      <c r="Q1725" s="2" t="s">
        <v>16913</v>
      </c>
      <c r="R1725" s="3" t="s">
        <v>71</v>
      </c>
      <c r="S1725" s="4">
        <v>1</v>
      </c>
      <c r="T1725" s="4">
        <v>5</v>
      </c>
      <c r="U1725" s="5" t="s">
        <v>16914</v>
      </c>
      <c r="V1725" s="5" t="s">
        <v>16914</v>
      </c>
      <c r="W1725" s="5" t="s">
        <v>72</v>
      </c>
      <c r="X1725" s="5" t="s">
        <v>72</v>
      </c>
      <c r="Y1725" s="4">
        <v>65</v>
      </c>
      <c r="Z1725" s="4">
        <v>6</v>
      </c>
      <c r="AA1725" s="4">
        <v>6</v>
      </c>
      <c r="AB1725" s="4">
        <v>2</v>
      </c>
      <c r="AC1725" s="4">
        <v>2</v>
      </c>
      <c r="AD1725" s="4">
        <v>37</v>
      </c>
      <c r="AE1725" s="4">
        <v>37</v>
      </c>
      <c r="AF1725" s="4">
        <v>0</v>
      </c>
      <c r="AG1725" s="4">
        <v>0</v>
      </c>
      <c r="AH1725" s="4">
        <v>34</v>
      </c>
      <c r="AI1725" s="4">
        <v>34</v>
      </c>
      <c r="AJ1725" s="4">
        <v>2</v>
      </c>
      <c r="AK1725" s="4">
        <v>2</v>
      </c>
      <c r="AL1725" s="4">
        <v>30</v>
      </c>
      <c r="AM1725" s="4">
        <v>30</v>
      </c>
      <c r="AN1725" s="4">
        <v>0</v>
      </c>
      <c r="AO1725" s="4">
        <v>0</v>
      </c>
      <c r="AP1725" s="4">
        <v>2</v>
      </c>
      <c r="AQ1725" s="4">
        <v>2</v>
      </c>
      <c r="AR1725" s="3" t="s">
        <v>65</v>
      </c>
      <c r="AS1725" s="3" t="s">
        <v>65</v>
      </c>
      <c r="AT1725" s="3" t="s">
        <v>209</v>
      </c>
      <c r="AU1725" s="6" t="str">
        <f>HYPERLINK("http://catalog.hathitrust.org/Record/003575930","HathiTrust Record")</f>
        <v>HathiTrust Record</v>
      </c>
      <c r="AV1725" s="6" t="str">
        <f>HYPERLINK("http://mcgill.on.worldcat.org/oclc/47301810","Catalog Record")</f>
        <v>Catalog Record</v>
      </c>
      <c r="AW1725" s="6" t="str">
        <f>HYPERLINK("http://www.worldcat.org/oclc/47301810","WorldCat Record")</f>
        <v>WorldCat Record</v>
      </c>
      <c r="AX1725" s="3" t="s">
        <v>16915</v>
      </c>
      <c r="AY1725" s="3" t="s">
        <v>16916</v>
      </c>
      <c r="AZ1725" s="3" t="s">
        <v>16917</v>
      </c>
      <c r="BA1725" s="3" t="s">
        <v>16917</v>
      </c>
      <c r="BB1725" s="3" t="s">
        <v>16918</v>
      </c>
      <c r="BC1725" s="3" t="s">
        <v>77</v>
      </c>
      <c r="BD1725" s="3" t="s">
        <v>78</v>
      </c>
      <c r="BE1725" s="3" t="s">
        <v>16919</v>
      </c>
      <c r="BF1725" s="3" t="s">
        <v>16918</v>
      </c>
      <c r="BG1725" s="3" t="s">
        <v>16920</v>
      </c>
    </row>
    <row r="1726" spans="1:59" ht="58" x14ac:dyDescent="0.35">
      <c r="A1726" s="2" t="s">
        <v>59</v>
      </c>
      <c r="B1726" s="2" t="s">
        <v>60</v>
      </c>
      <c r="C1726" s="2" t="s">
        <v>16908</v>
      </c>
      <c r="D1726" s="2" t="s">
        <v>16909</v>
      </c>
      <c r="E1726" s="2" t="s">
        <v>16910</v>
      </c>
      <c r="F1726" s="3" t="s">
        <v>10617</v>
      </c>
      <c r="G1726" s="3" t="s">
        <v>209</v>
      </c>
      <c r="I1726" s="3" t="s">
        <v>65</v>
      </c>
      <c r="J1726" s="3" t="s">
        <v>65</v>
      </c>
      <c r="K1726" s="3" t="s">
        <v>66</v>
      </c>
      <c r="L1726" s="2" t="s">
        <v>16911</v>
      </c>
      <c r="M1726" s="2" t="s">
        <v>16912</v>
      </c>
      <c r="N1726" s="3" t="s">
        <v>1944</v>
      </c>
      <c r="P1726" s="3" t="s">
        <v>140</v>
      </c>
      <c r="Q1726" s="2" t="s">
        <v>16913</v>
      </c>
      <c r="R1726" s="3" t="s">
        <v>71</v>
      </c>
      <c r="S1726" s="4">
        <v>1</v>
      </c>
      <c r="T1726" s="4">
        <v>5</v>
      </c>
      <c r="U1726" s="5" t="s">
        <v>16914</v>
      </c>
      <c r="V1726" s="5" t="s">
        <v>16914</v>
      </c>
      <c r="W1726" s="5" t="s">
        <v>72</v>
      </c>
      <c r="X1726" s="5" t="s">
        <v>72</v>
      </c>
      <c r="Y1726" s="4">
        <v>65</v>
      </c>
      <c r="Z1726" s="4">
        <v>6</v>
      </c>
      <c r="AA1726" s="4">
        <v>6</v>
      </c>
      <c r="AB1726" s="4">
        <v>2</v>
      </c>
      <c r="AC1726" s="4">
        <v>2</v>
      </c>
      <c r="AD1726" s="4">
        <v>37</v>
      </c>
      <c r="AE1726" s="4">
        <v>37</v>
      </c>
      <c r="AF1726" s="4">
        <v>0</v>
      </c>
      <c r="AG1726" s="4">
        <v>0</v>
      </c>
      <c r="AH1726" s="4">
        <v>34</v>
      </c>
      <c r="AI1726" s="4">
        <v>34</v>
      </c>
      <c r="AJ1726" s="4">
        <v>2</v>
      </c>
      <c r="AK1726" s="4">
        <v>2</v>
      </c>
      <c r="AL1726" s="4">
        <v>30</v>
      </c>
      <c r="AM1726" s="4">
        <v>30</v>
      </c>
      <c r="AN1726" s="4">
        <v>0</v>
      </c>
      <c r="AO1726" s="4">
        <v>0</v>
      </c>
      <c r="AP1726" s="4">
        <v>2</v>
      </c>
      <c r="AQ1726" s="4">
        <v>2</v>
      </c>
      <c r="AR1726" s="3" t="s">
        <v>65</v>
      </c>
      <c r="AS1726" s="3" t="s">
        <v>65</v>
      </c>
      <c r="AT1726" s="3" t="s">
        <v>209</v>
      </c>
      <c r="AU1726" s="6" t="str">
        <f>HYPERLINK("http://catalog.hathitrust.org/Record/003575930","HathiTrust Record")</f>
        <v>HathiTrust Record</v>
      </c>
      <c r="AV1726" s="6" t="str">
        <f>HYPERLINK("http://mcgill.on.worldcat.org/oclc/47301810","Catalog Record")</f>
        <v>Catalog Record</v>
      </c>
      <c r="AW1726" s="6" t="str">
        <f>HYPERLINK("http://www.worldcat.org/oclc/47301810","WorldCat Record")</f>
        <v>WorldCat Record</v>
      </c>
      <c r="AX1726" s="3" t="s">
        <v>16915</v>
      </c>
      <c r="AY1726" s="3" t="s">
        <v>16916</v>
      </c>
      <c r="AZ1726" s="3" t="s">
        <v>16917</v>
      </c>
      <c r="BA1726" s="3" t="s">
        <v>16917</v>
      </c>
      <c r="BB1726" s="3" t="s">
        <v>16921</v>
      </c>
      <c r="BC1726" s="3" t="s">
        <v>77</v>
      </c>
      <c r="BD1726" s="3" t="s">
        <v>78</v>
      </c>
      <c r="BE1726" s="3" t="s">
        <v>16919</v>
      </c>
      <c r="BF1726" s="3" t="s">
        <v>16921</v>
      </c>
      <c r="BG1726" s="3" t="s">
        <v>16922</v>
      </c>
    </row>
    <row r="1727" spans="1:59" ht="58" x14ac:dyDescent="0.35">
      <c r="A1727" s="2" t="s">
        <v>59</v>
      </c>
      <c r="B1727" s="2" t="s">
        <v>60</v>
      </c>
      <c r="C1727" s="2" t="s">
        <v>16908</v>
      </c>
      <c r="D1727" s="2" t="s">
        <v>16909</v>
      </c>
      <c r="E1727" s="2" t="s">
        <v>16910</v>
      </c>
      <c r="F1727" s="3" t="s">
        <v>10601</v>
      </c>
      <c r="G1727" s="3" t="s">
        <v>209</v>
      </c>
      <c r="I1727" s="3" t="s">
        <v>65</v>
      </c>
      <c r="J1727" s="3" t="s">
        <v>65</v>
      </c>
      <c r="K1727" s="3" t="s">
        <v>66</v>
      </c>
      <c r="L1727" s="2" t="s">
        <v>16911</v>
      </c>
      <c r="M1727" s="2" t="s">
        <v>16912</v>
      </c>
      <c r="N1727" s="3" t="s">
        <v>1944</v>
      </c>
      <c r="P1727" s="3" t="s">
        <v>140</v>
      </c>
      <c r="Q1727" s="2" t="s">
        <v>16913</v>
      </c>
      <c r="R1727" s="3" t="s">
        <v>71</v>
      </c>
      <c r="S1727" s="4">
        <v>2</v>
      </c>
      <c r="T1727" s="4">
        <v>5</v>
      </c>
      <c r="U1727" s="5" t="s">
        <v>16914</v>
      </c>
      <c r="V1727" s="5" t="s">
        <v>16914</v>
      </c>
      <c r="W1727" s="5" t="s">
        <v>72</v>
      </c>
      <c r="X1727" s="5" t="s">
        <v>72</v>
      </c>
      <c r="Y1727" s="4">
        <v>65</v>
      </c>
      <c r="Z1727" s="4">
        <v>6</v>
      </c>
      <c r="AA1727" s="4">
        <v>6</v>
      </c>
      <c r="AB1727" s="4">
        <v>2</v>
      </c>
      <c r="AC1727" s="4">
        <v>2</v>
      </c>
      <c r="AD1727" s="4">
        <v>37</v>
      </c>
      <c r="AE1727" s="4">
        <v>37</v>
      </c>
      <c r="AF1727" s="4">
        <v>0</v>
      </c>
      <c r="AG1727" s="4">
        <v>0</v>
      </c>
      <c r="AH1727" s="4">
        <v>34</v>
      </c>
      <c r="AI1727" s="4">
        <v>34</v>
      </c>
      <c r="AJ1727" s="4">
        <v>2</v>
      </c>
      <c r="AK1727" s="4">
        <v>2</v>
      </c>
      <c r="AL1727" s="4">
        <v>30</v>
      </c>
      <c r="AM1727" s="4">
        <v>30</v>
      </c>
      <c r="AN1727" s="4">
        <v>0</v>
      </c>
      <c r="AO1727" s="4">
        <v>0</v>
      </c>
      <c r="AP1727" s="4">
        <v>2</v>
      </c>
      <c r="AQ1727" s="4">
        <v>2</v>
      </c>
      <c r="AR1727" s="3" t="s">
        <v>65</v>
      </c>
      <c r="AS1727" s="3" t="s">
        <v>65</v>
      </c>
      <c r="AT1727" s="3" t="s">
        <v>209</v>
      </c>
      <c r="AU1727" s="6" t="str">
        <f>HYPERLINK("http://catalog.hathitrust.org/Record/003575930","HathiTrust Record")</f>
        <v>HathiTrust Record</v>
      </c>
      <c r="AV1727" s="6" t="str">
        <f>HYPERLINK("http://mcgill.on.worldcat.org/oclc/47301810","Catalog Record")</f>
        <v>Catalog Record</v>
      </c>
      <c r="AW1727" s="6" t="str">
        <f>HYPERLINK("http://www.worldcat.org/oclc/47301810","WorldCat Record")</f>
        <v>WorldCat Record</v>
      </c>
      <c r="AX1727" s="3" t="s">
        <v>16915</v>
      </c>
      <c r="AY1727" s="3" t="s">
        <v>16916</v>
      </c>
      <c r="AZ1727" s="3" t="s">
        <v>16917</v>
      </c>
      <c r="BA1727" s="3" t="s">
        <v>16917</v>
      </c>
      <c r="BB1727" s="3" t="s">
        <v>16923</v>
      </c>
      <c r="BC1727" s="3" t="s">
        <v>77</v>
      </c>
      <c r="BD1727" s="3" t="s">
        <v>78</v>
      </c>
      <c r="BE1727" s="3" t="s">
        <v>16919</v>
      </c>
      <c r="BF1727" s="3" t="s">
        <v>16923</v>
      </c>
      <c r="BG1727" s="3" t="s">
        <v>16924</v>
      </c>
    </row>
    <row r="1728" spans="1:59" ht="58" x14ac:dyDescent="0.35">
      <c r="A1728" s="2" t="s">
        <v>59</v>
      </c>
      <c r="B1728" s="2" t="s">
        <v>60</v>
      </c>
      <c r="C1728" s="2" t="s">
        <v>16908</v>
      </c>
      <c r="D1728" s="2" t="s">
        <v>16909</v>
      </c>
      <c r="E1728" s="2" t="s">
        <v>16910</v>
      </c>
      <c r="F1728" s="3" t="s">
        <v>10614</v>
      </c>
      <c r="G1728" s="3" t="s">
        <v>209</v>
      </c>
      <c r="I1728" s="3" t="s">
        <v>65</v>
      </c>
      <c r="J1728" s="3" t="s">
        <v>65</v>
      </c>
      <c r="K1728" s="3" t="s">
        <v>66</v>
      </c>
      <c r="L1728" s="2" t="s">
        <v>16911</v>
      </c>
      <c r="M1728" s="2" t="s">
        <v>16912</v>
      </c>
      <c r="N1728" s="3" t="s">
        <v>1944</v>
      </c>
      <c r="P1728" s="3" t="s">
        <v>140</v>
      </c>
      <c r="Q1728" s="2" t="s">
        <v>16913</v>
      </c>
      <c r="R1728" s="3" t="s">
        <v>71</v>
      </c>
      <c r="S1728" s="4">
        <v>1</v>
      </c>
      <c r="T1728" s="4">
        <v>5</v>
      </c>
      <c r="U1728" s="5" t="s">
        <v>16914</v>
      </c>
      <c r="V1728" s="5" t="s">
        <v>16914</v>
      </c>
      <c r="W1728" s="5" t="s">
        <v>72</v>
      </c>
      <c r="X1728" s="5" t="s">
        <v>72</v>
      </c>
      <c r="Y1728" s="4">
        <v>65</v>
      </c>
      <c r="Z1728" s="4">
        <v>6</v>
      </c>
      <c r="AA1728" s="4">
        <v>6</v>
      </c>
      <c r="AB1728" s="4">
        <v>2</v>
      </c>
      <c r="AC1728" s="4">
        <v>2</v>
      </c>
      <c r="AD1728" s="4">
        <v>37</v>
      </c>
      <c r="AE1728" s="4">
        <v>37</v>
      </c>
      <c r="AF1728" s="4">
        <v>0</v>
      </c>
      <c r="AG1728" s="4">
        <v>0</v>
      </c>
      <c r="AH1728" s="4">
        <v>34</v>
      </c>
      <c r="AI1728" s="4">
        <v>34</v>
      </c>
      <c r="AJ1728" s="4">
        <v>2</v>
      </c>
      <c r="AK1728" s="4">
        <v>2</v>
      </c>
      <c r="AL1728" s="4">
        <v>30</v>
      </c>
      <c r="AM1728" s="4">
        <v>30</v>
      </c>
      <c r="AN1728" s="4">
        <v>0</v>
      </c>
      <c r="AO1728" s="4">
        <v>0</v>
      </c>
      <c r="AP1728" s="4">
        <v>2</v>
      </c>
      <c r="AQ1728" s="4">
        <v>2</v>
      </c>
      <c r="AR1728" s="3" t="s">
        <v>65</v>
      </c>
      <c r="AS1728" s="3" t="s">
        <v>65</v>
      </c>
      <c r="AT1728" s="3" t="s">
        <v>209</v>
      </c>
      <c r="AU1728" s="6" t="str">
        <f>HYPERLINK("http://catalog.hathitrust.org/Record/003575930","HathiTrust Record")</f>
        <v>HathiTrust Record</v>
      </c>
      <c r="AV1728" s="6" t="str">
        <f>HYPERLINK("http://mcgill.on.worldcat.org/oclc/47301810","Catalog Record")</f>
        <v>Catalog Record</v>
      </c>
      <c r="AW1728" s="6" t="str">
        <f>HYPERLINK("http://www.worldcat.org/oclc/47301810","WorldCat Record")</f>
        <v>WorldCat Record</v>
      </c>
      <c r="AX1728" s="3" t="s">
        <v>16915</v>
      </c>
      <c r="AY1728" s="3" t="s">
        <v>16916</v>
      </c>
      <c r="AZ1728" s="3" t="s">
        <v>16917</v>
      </c>
      <c r="BA1728" s="3" t="s">
        <v>16917</v>
      </c>
      <c r="BB1728" s="3" t="s">
        <v>16925</v>
      </c>
      <c r="BC1728" s="3" t="s">
        <v>77</v>
      </c>
      <c r="BD1728" s="3" t="s">
        <v>78</v>
      </c>
      <c r="BE1728" s="3" t="s">
        <v>16919</v>
      </c>
      <c r="BF1728" s="3" t="s">
        <v>16925</v>
      </c>
      <c r="BG1728" s="3" t="s">
        <v>16926</v>
      </c>
    </row>
    <row r="1729" spans="1:59" ht="58" x14ac:dyDescent="0.35">
      <c r="A1729" s="2" t="s">
        <v>59</v>
      </c>
      <c r="B1729" s="2" t="s">
        <v>60</v>
      </c>
      <c r="C1729" s="2" t="s">
        <v>16927</v>
      </c>
      <c r="D1729" s="2" t="s">
        <v>16928</v>
      </c>
      <c r="E1729" s="2" t="s">
        <v>16929</v>
      </c>
      <c r="G1729" s="3" t="s">
        <v>65</v>
      </c>
      <c r="I1729" s="3" t="s">
        <v>65</v>
      </c>
      <c r="J1729" s="3" t="s">
        <v>65</v>
      </c>
      <c r="K1729" s="3" t="s">
        <v>66</v>
      </c>
      <c r="L1729" s="2" t="s">
        <v>5011</v>
      </c>
      <c r="M1729" s="2" t="s">
        <v>16930</v>
      </c>
      <c r="N1729" s="3" t="s">
        <v>5060</v>
      </c>
      <c r="P1729" s="3" t="s">
        <v>69</v>
      </c>
      <c r="R1729" s="3" t="s">
        <v>71</v>
      </c>
      <c r="S1729" s="4">
        <v>7</v>
      </c>
      <c r="T1729" s="4">
        <v>7</v>
      </c>
      <c r="U1729" s="5" t="s">
        <v>16914</v>
      </c>
      <c r="V1729" s="5" t="s">
        <v>16914</v>
      </c>
      <c r="W1729" s="5" t="s">
        <v>72</v>
      </c>
      <c r="X1729" s="5" t="s">
        <v>72</v>
      </c>
      <c r="Y1729" s="4">
        <v>424</v>
      </c>
      <c r="Z1729" s="4">
        <v>25</v>
      </c>
      <c r="AA1729" s="4">
        <v>90</v>
      </c>
      <c r="AB1729" s="4">
        <v>3</v>
      </c>
      <c r="AC1729" s="4">
        <v>15</v>
      </c>
      <c r="AD1729" s="4">
        <v>113</v>
      </c>
      <c r="AE1729" s="4">
        <v>147</v>
      </c>
      <c r="AF1729" s="4">
        <v>2</v>
      </c>
      <c r="AG1729" s="4">
        <v>8</v>
      </c>
      <c r="AH1729" s="4">
        <v>100</v>
      </c>
      <c r="AI1729" s="4">
        <v>109</v>
      </c>
      <c r="AJ1729" s="4">
        <v>14</v>
      </c>
      <c r="AK1729" s="4">
        <v>24</v>
      </c>
      <c r="AL1729" s="4">
        <v>54</v>
      </c>
      <c r="AM1729" s="4">
        <v>56</v>
      </c>
      <c r="AN1729" s="4">
        <v>0</v>
      </c>
      <c r="AO1729" s="4">
        <v>0</v>
      </c>
      <c r="AP1729" s="4">
        <v>19</v>
      </c>
      <c r="AQ1729" s="4">
        <v>47</v>
      </c>
      <c r="AR1729" s="3" t="s">
        <v>65</v>
      </c>
      <c r="AS1729" s="3" t="s">
        <v>65</v>
      </c>
      <c r="AT1729" s="3" t="s">
        <v>65</v>
      </c>
      <c r="AV1729" s="6" t="str">
        <f>HYPERLINK("http://mcgill.on.worldcat.org/oclc/323286","Catalog Record")</f>
        <v>Catalog Record</v>
      </c>
      <c r="AW1729" s="6" t="str">
        <f>HYPERLINK("http://www.worldcat.org/oclc/323286","WorldCat Record")</f>
        <v>WorldCat Record</v>
      </c>
      <c r="AX1729" s="3" t="s">
        <v>16931</v>
      </c>
      <c r="AY1729" s="3" t="s">
        <v>16932</v>
      </c>
      <c r="AZ1729" s="3" t="s">
        <v>16933</v>
      </c>
      <c r="BA1729" s="3" t="s">
        <v>16933</v>
      </c>
      <c r="BB1729" s="3" t="s">
        <v>16934</v>
      </c>
      <c r="BC1729" s="3" t="s">
        <v>77</v>
      </c>
      <c r="BD1729" s="3" t="s">
        <v>78</v>
      </c>
      <c r="BF1729" s="3" t="s">
        <v>16934</v>
      </c>
      <c r="BG1729" s="3" t="s">
        <v>16935</v>
      </c>
    </row>
    <row r="1730" spans="1:59" ht="58" x14ac:dyDescent="0.35">
      <c r="A1730" s="2" t="s">
        <v>59</v>
      </c>
      <c r="B1730" s="2" t="s">
        <v>60</v>
      </c>
      <c r="C1730" s="2" t="s">
        <v>16936</v>
      </c>
      <c r="D1730" s="2" t="s">
        <v>16937</v>
      </c>
      <c r="E1730" s="2" t="s">
        <v>16938</v>
      </c>
      <c r="G1730" s="3" t="s">
        <v>65</v>
      </c>
      <c r="I1730" s="3" t="s">
        <v>65</v>
      </c>
      <c r="J1730" s="3" t="s">
        <v>65</v>
      </c>
      <c r="K1730" s="3" t="s">
        <v>66</v>
      </c>
      <c r="L1730" s="2" t="s">
        <v>16939</v>
      </c>
      <c r="M1730" s="2" t="s">
        <v>16940</v>
      </c>
      <c r="N1730" s="3" t="s">
        <v>3994</v>
      </c>
      <c r="P1730" s="3" t="s">
        <v>140</v>
      </c>
      <c r="R1730" s="3" t="s">
        <v>71</v>
      </c>
      <c r="S1730" s="4">
        <v>3</v>
      </c>
      <c r="T1730" s="4">
        <v>3</v>
      </c>
      <c r="U1730" s="5" t="s">
        <v>16941</v>
      </c>
      <c r="V1730" s="5" t="s">
        <v>16941</v>
      </c>
      <c r="W1730" s="5" t="s">
        <v>72</v>
      </c>
      <c r="X1730" s="5" t="s">
        <v>72</v>
      </c>
      <c r="Y1730" s="4">
        <v>39</v>
      </c>
      <c r="Z1730" s="4">
        <v>2</v>
      </c>
      <c r="AA1730" s="4">
        <v>4</v>
      </c>
      <c r="AB1730" s="4">
        <v>1</v>
      </c>
      <c r="AC1730" s="4">
        <v>1</v>
      </c>
      <c r="AD1730" s="4">
        <v>20</v>
      </c>
      <c r="AE1730" s="4">
        <v>21</v>
      </c>
      <c r="AF1730" s="4">
        <v>0</v>
      </c>
      <c r="AG1730" s="4">
        <v>0</v>
      </c>
      <c r="AH1730" s="4">
        <v>17</v>
      </c>
      <c r="AI1730" s="4">
        <v>18</v>
      </c>
      <c r="AJ1730" s="4">
        <v>0</v>
      </c>
      <c r="AK1730" s="4">
        <v>1</v>
      </c>
      <c r="AL1730" s="4">
        <v>15</v>
      </c>
      <c r="AM1730" s="4">
        <v>16</v>
      </c>
      <c r="AN1730" s="4">
        <v>0</v>
      </c>
      <c r="AO1730" s="4">
        <v>0</v>
      </c>
      <c r="AP1730" s="4">
        <v>1</v>
      </c>
      <c r="AQ1730" s="4">
        <v>2</v>
      </c>
      <c r="AR1730" s="3" t="s">
        <v>65</v>
      </c>
      <c r="AS1730" s="3" t="s">
        <v>65</v>
      </c>
      <c r="AT1730" s="3" t="s">
        <v>209</v>
      </c>
      <c r="AU1730" s="6" t="str">
        <f>HYPERLINK("http://catalog.hathitrust.org/Record/006681648","HathiTrust Record")</f>
        <v>HathiTrust Record</v>
      </c>
      <c r="AV1730" s="6" t="str">
        <f>HYPERLINK("http://mcgill.on.worldcat.org/oclc/18426490","Catalog Record")</f>
        <v>Catalog Record</v>
      </c>
      <c r="AW1730" s="6" t="str">
        <f>HYPERLINK("http://www.worldcat.org/oclc/18426490","WorldCat Record")</f>
        <v>WorldCat Record</v>
      </c>
      <c r="AX1730" s="3" t="s">
        <v>16942</v>
      </c>
      <c r="AY1730" s="3" t="s">
        <v>16943</v>
      </c>
      <c r="AZ1730" s="3" t="s">
        <v>16944</v>
      </c>
      <c r="BA1730" s="3" t="s">
        <v>16944</v>
      </c>
      <c r="BB1730" s="3" t="s">
        <v>16945</v>
      </c>
      <c r="BC1730" s="3" t="s">
        <v>77</v>
      </c>
      <c r="BD1730" s="3" t="s">
        <v>78</v>
      </c>
      <c r="BF1730" s="3" t="s">
        <v>16945</v>
      </c>
      <c r="BG1730" s="3" t="s">
        <v>16946</v>
      </c>
    </row>
    <row r="1731" spans="1:59" ht="58" x14ac:dyDescent="0.35">
      <c r="A1731" s="2" t="s">
        <v>59</v>
      </c>
      <c r="B1731" s="2" t="s">
        <v>60</v>
      </c>
      <c r="C1731" s="2" t="s">
        <v>16947</v>
      </c>
      <c r="D1731" s="2" t="s">
        <v>16948</v>
      </c>
      <c r="E1731" s="2" t="s">
        <v>16949</v>
      </c>
      <c r="G1731" s="3" t="s">
        <v>65</v>
      </c>
      <c r="I1731" s="3" t="s">
        <v>65</v>
      </c>
      <c r="J1731" s="3" t="s">
        <v>65</v>
      </c>
      <c r="K1731" s="3" t="s">
        <v>66</v>
      </c>
      <c r="L1731" s="2" t="s">
        <v>16950</v>
      </c>
      <c r="M1731" s="2" t="s">
        <v>16951</v>
      </c>
      <c r="N1731" s="3" t="s">
        <v>4688</v>
      </c>
      <c r="P1731" s="3" t="s">
        <v>140</v>
      </c>
      <c r="Q1731" s="2" t="s">
        <v>16952</v>
      </c>
      <c r="R1731" s="3" t="s">
        <v>71</v>
      </c>
      <c r="S1731" s="4">
        <v>5</v>
      </c>
      <c r="T1731" s="4">
        <v>5</v>
      </c>
      <c r="U1731" s="5" t="s">
        <v>15949</v>
      </c>
      <c r="V1731" s="5" t="s">
        <v>15949</v>
      </c>
      <c r="W1731" s="5" t="s">
        <v>72</v>
      </c>
      <c r="X1731" s="5" t="s">
        <v>72</v>
      </c>
      <c r="Y1731" s="4">
        <v>58</v>
      </c>
      <c r="Z1731" s="4">
        <v>5</v>
      </c>
      <c r="AA1731" s="4">
        <v>5</v>
      </c>
      <c r="AB1731" s="4">
        <v>1</v>
      </c>
      <c r="AC1731" s="4">
        <v>1</v>
      </c>
      <c r="AD1731" s="4">
        <v>31</v>
      </c>
      <c r="AE1731" s="4">
        <v>31</v>
      </c>
      <c r="AF1731" s="4">
        <v>0</v>
      </c>
      <c r="AG1731" s="4">
        <v>0</v>
      </c>
      <c r="AH1731" s="4">
        <v>30</v>
      </c>
      <c r="AI1731" s="4">
        <v>30</v>
      </c>
      <c r="AJ1731" s="4">
        <v>3</v>
      </c>
      <c r="AK1731" s="4">
        <v>3</v>
      </c>
      <c r="AL1731" s="4">
        <v>24</v>
      </c>
      <c r="AM1731" s="4">
        <v>24</v>
      </c>
      <c r="AN1731" s="4">
        <v>0</v>
      </c>
      <c r="AO1731" s="4">
        <v>0</v>
      </c>
      <c r="AP1731" s="4">
        <v>3</v>
      </c>
      <c r="AQ1731" s="4">
        <v>3</v>
      </c>
      <c r="AR1731" s="3" t="s">
        <v>65</v>
      </c>
      <c r="AS1731" s="3" t="s">
        <v>65</v>
      </c>
      <c r="AT1731" s="3" t="s">
        <v>209</v>
      </c>
      <c r="AU1731" s="6" t="str">
        <f>HYPERLINK("http://catalog.hathitrust.org/Record/006681652","HathiTrust Record")</f>
        <v>HathiTrust Record</v>
      </c>
      <c r="AV1731" s="6" t="str">
        <f>HYPERLINK("http://mcgill.on.worldcat.org/oclc/14590052","Catalog Record")</f>
        <v>Catalog Record</v>
      </c>
      <c r="AW1731" s="6" t="str">
        <f>HYPERLINK("http://www.worldcat.org/oclc/14590052","WorldCat Record")</f>
        <v>WorldCat Record</v>
      </c>
      <c r="AX1731" s="3" t="s">
        <v>16953</v>
      </c>
      <c r="AY1731" s="3" t="s">
        <v>16954</v>
      </c>
      <c r="AZ1731" s="3" t="s">
        <v>16955</v>
      </c>
      <c r="BA1731" s="3" t="s">
        <v>16955</v>
      </c>
      <c r="BB1731" s="3" t="s">
        <v>16956</v>
      </c>
      <c r="BC1731" s="3" t="s">
        <v>77</v>
      </c>
      <c r="BD1731" s="3" t="s">
        <v>78</v>
      </c>
      <c r="BE1731" s="3" t="s">
        <v>16957</v>
      </c>
      <c r="BF1731" s="3" t="s">
        <v>16956</v>
      </c>
      <c r="BG1731" s="3" t="s">
        <v>16958</v>
      </c>
    </row>
    <row r="1732" spans="1:59" ht="72.5" x14ac:dyDescent="0.35">
      <c r="A1732" s="2" t="s">
        <v>59</v>
      </c>
      <c r="B1732" s="2" t="s">
        <v>60</v>
      </c>
      <c r="C1732" s="2" t="s">
        <v>16959</v>
      </c>
      <c r="D1732" s="2" t="s">
        <v>16960</v>
      </c>
      <c r="E1732" s="2" t="s">
        <v>16961</v>
      </c>
      <c r="G1732" s="3" t="s">
        <v>65</v>
      </c>
      <c r="I1732" s="3" t="s">
        <v>65</v>
      </c>
      <c r="J1732" s="3" t="s">
        <v>65</v>
      </c>
      <c r="K1732" s="3" t="s">
        <v>66</v>
      </c>
      <c r="L1732" s="2" t="s">
        <v>16962</v>
      </c>
      <c r="M1732" s="2" t="s">
        <v>16963</v>
      </c>
      <c r="N1732" s="3" t="s">
        <v>364</v>
      </c>
      <c r="P1732" s="3" t="s">
        <v>616</v>
      </c>
      <c r="Q1732" s="2" t="s">
        <v>16964</v>
      </c>
      <c r="R1732" s="3" t="s">
        <v>71</v>
      </c>
      <c r="S1732" s="4">
        <v>1</v>
      </c>
      <c r="T1732" s="4">
        <v>1</v>
      </c>
      <c r="U1732" s="5" t="s">
        <v>5013</v>
      </c>
      <c r="V1732" s="5" t="s">
        <v>5013</v>
      </c>
      <c r="W1732" s="5" t="s">
        <v>72</v>
      </c>
      <c r="X1732" s="5" t="s">
        <v>72</v>
      </c>
      <c r="Y1732" s="4">
        <v>25</v>
      </c>
      <c r="Z1732" s="4">
        <v>5</v>
      </c>
      <c r="AA1732" s="4">
        <v>7</v>
      </c>
      <c r="AB1732" s="4">
        <v>1</v>
      </c>
      <c r="AC1732" s="4">
        <v>3</v>
      </c>
      <c r="AD1732" s="4">
        <v>12</v>
      </c>
      <c r="AE1732" s="4">
        <v>14</v>
      </c>
      <c r="AF1732" s="4">
        <v>0</v>
      </c>
      <c r="AG1732" s="4">
        <v>2</v>
      </c>
      <c r="AH1732" s="4">
        <v>11</v>
      </c>
      <c r="AI1732" s="4">
        <v>12</v>
      </c>
      <c r="AJ1732" s="4">
        <v>1</v>
      </c>
      <c r="AK1732" s="4">
        <v>3</v>
      </c>
      <c r="AL1732" s="4">
        <v>8</v>
      </c>
      <c r="AM1732" s="4">
        <v>8</v>
      </c>
      <c r="AN1732" s="4">
        <v>0</v>
      </c>
      <c r="AO1732" s="4">
        <v>0</v>
      </c>
      <c r="AP1732" s="4">
        <v>1</v>
      </c>
      <c r="AQ1732" s="4">
        <v>2</v>
      </c>
      <c r="AR1732" s="3" t="s">
        <v>65</v>
      </c>
      <c r="AS1732" s="3" t="s">
        <v>65</v>
      </c>
      <c r="AT1732" s="3" t="s">
        <v>209</v>
      </c>
      <c r="AU1732" s="6" t="str">
        <f>HYPERLINK("http://catalog.hathitrust.org/Record/004237926","HathiTrust Record")</f>
        <v>HathiTrust Record</v>
      </c>
      <c r="AV1732" s="6" t="str">
        <f>HYPERLINK("http://mcgill.on.worldcat.org/oclc/51096257","Catalog Record")</f>
        <v>Catalog Record</v>
      </c>
      <c r="AW1732" s="6" t="str">
        <f>HYPERLINK("http://www.worldcat.org/oclc/51096257","WorldCat Record")</f>
        <v>WorldCat Record</v>
      </c>
      <c r="AX1732" s="3" t="s">
        <v>16965</v>
      </c>
      <c r="AY1732" s="3" t="s">
        <v>16966</v>
      </c>
      <c r="AZ1732" s="3" t="s">
        <v>16967</v>
      </c>
      <c r="BA1732" s="3" t="s">
        <v>16967</v>
      </c>
      <c r="BB1732" s="3" t="s">
        <v>16968</v>
      </c>
      <c r="BC1732" s="3" t="s">
        <v>77</v>
      </c>
      <c r="BD1732" s="3" t="s">
        <v>78</v>
      </c>
      <c r="BE1732" s="3" t="s">
        <v>16969</v>
      </c>
      <c r="BF1732" s="3" t="s">
        <v>16968</v>
      </c>
      <c r="BG1732" s="3" t="s">
        <v>16970</v>
      </c>
    </row>
    <row r="1733" spans="1:59" ht="58" x14ac:dyDescent="0.35">
      <c r="A1733" s="2" t="s">
        <v>59</v>
      </c>
      <c r="B1733" s="2" t="s">
        <v>60</v>
      </c>
      <c r="C1733" s="2" t="s">
        <v>16971</v>
      </c>
      <c r="D1733" s="2" t="s">
        <v>16972</v>
      </c>
      <c r="E1733" s="2" t="s">
        <v>16973</v>
      </c>
      <c r="G1733" s="3" t="s">
        <v>65</v>
      </c>
      <c r="I1733" s="3" t="s">
        <v>65</v>
      </c>
      <c r="J1733" s="3" t="s">
        <v>65</v>
      </c>
      <c r="K1733" s="3" t="s">
        <v>66</v>
      </c>
      <c r="L1733" s="2" t="s">
        <v>16974</v>
      </c>
      <c r="M1733" s="2" t="s">
        <v>16975</v>
      </c>
      <c r="N1733" s="3" t="s">
        <v>1122</v>
      </c>
      <c r="P1733" s="3" t="s">
        <v>140</v>
      </c>
      <c r="Q1733" s="2" t="s">
        <v>16976</v>
      </c>
      <c r="R1733" s="3" t="s">
        <v>71</v>
      </c>
      <c r="S1733" s="4">
        <v>2</v>
      </c>
      <c r="T1733" s="4">
        <v>2</v>
      </c>
      <c r="U1733" s="5" t="s">
        <v>16977</v>
      </c>
      <c r="V1733" s="5" t="s">
        <v>16977</v>
      </c>
      <c r="W1733" s="5" t="s">
        <v>72</v>
      </c>
      <c r="X1733" s="5" t="s">
        <v>72</v>
      </c>
      <c r="Y1733" s="4">
        <v>51</v>
      </c>
      <c r="Z1733" s="4">
        <v>2</v>
      </c>
      <c r="AA1733" s="4">
        <v>2</v>
      </c>
      <c r="AB1733" s="4">
        <v>1</v>
      </c>
      <c r="AC1733" s="4">
        <v>1</v>
      </c>
      <c r="AD1733" s="4">
        <v>36</v>
      </c>
      <c r="AE1733" s="4">
        <v>37</v>
      </c>
      <c r="AF1733" s="4">
        <v>0</v>
      </c>
      <c r="AG1733" s="4">
        <v>0</v>
      </c>
      <c r="AH1733" s="4">
        <v>35</v>
      </c>
      <c r="AI1733" s="4">
        <v>36</v>
      </c>
      <c r="AJ1733" s="4">
        <v>1</v>
      </c>
      <c r="AK1733" s="4">
        <v>1</v>
      </c>
      <c r="AL1733" s="4">
        <v>26</v>
      </c>
      <c r="AM1733" s="4">
        <v>27</v>
      </c>
      <c r="AN1733" s="4">
        <v>0</v>
      </c>
      <c r="AO1733" s="4">
        <v>0</v>
      </c>
      <c r="AP1733" s="4">
        <v>1</v>
      </c>
      <c r="AQ1733" s="4">
        <v>1</v>
      </c>
      <c r="AR1733" s="3" t="s">
        <v>65</v>
      </c>
      <c r="AS1733" s="3" t="s">
        <v>65</v>
      </c>
      <c r="AT1733" s="3" t="s">
        <v>65</v>
      </c>
      <c r="AV1733" s="6" t="str">
        <f>HYPERLINK("http://mcgill.on.worldcat.org/oclc/503242147","Catalog Record")</f>
        <v>Catalog Record</v>
      </c>
      <c r="AW1733" s="6" t="str">
        <f>HYPERLINK("http://www.worldcat.org/oclc/503242147","WorldCat Record")</f>
        <v>WorldCat Record</v>
      </c>
      <c r="AX1733" s="3" t="s">
        <v>16978</v>
      </c>
      <c r="AY1733" s="3" t="s">
        <v>16979</v>
      </c>
      <c r="AZ1733" s="3" t="s">
        <v>16980</v>
      </c>
      <c r="BA1733" s="3" t="s">
        <v>16980</v>
      </c>
      <c r="BB1733" s="3" t="s">
        <v>16981</v>
      </c>
      <c r="BC1733" s="3" t="s">
        <v>77</v>
      </c>
      <c r="BD1733" s="3" t="s">
        <v>78</v>
      </c>
      <c r="BE1733" s="3" t="s">
        <v>16982</v>
      </c>
      <c r="BF1733" s="3" t="s">
        <v>16981</v>
      </c>
      <c r="BG1733" s="3" t="s">
        <v>16983</v>
      </c>
    </row>
    <row r="1734" spans="1:59" ht="58" x14ac:dyDescent="0.35">
      <c r="A1734" s="2" t="s">
        <v>59</v>
      </c>
      <c r="B1734" s="2" t="s">
        <v>60</v>
      </c>
      <c r="C1734" s="2" t="s">
        <v>16984</v>
      </c>
      <c r="D1734" s="2" t="s">
        <v>16985</v>
      </c>
      <c r="E1734" s="2" t="s">
        <v>16986</v>
      </c>
      <c r="G1734" s="3" t="s">
        <v>65</v>
      </c>
      <c r="I1734" s="3" t="s">
        <v>65</v>
      </c>
      <c r="J1734" s="3" t="s">
        <v>65</v>
      </c>
      <c r="K1734" s="3" t="s">
        <v>66</v>
      </c>
      <c r="L1734" s="2" t="s">
        <v>16987</v>
      </c>
      <c r="M1734" s="2" t="s">
        <v>16988</v>
      </c>
      <c r="N1734" s="3" t="s">
        <v>3385</v>
      </c>
      <c r="P1734" s="3" t="s">
        <v>140</v>
      </c>
      <c r="Q1734" s="2" t="s">
        <v>16989</v>
      </c>
      <c r="R1734" s="3" t="s">
        <v>71</v>
      </c>
      <c r="S1734" s="4">
        <v>2</v>
      </c>
      <c r="T1734" s="4">
        <v>2</v>
      </c>
      <c r="U1734" s="5" t="s">
        <v>16977</v>
      </c>
      <c r="V1734" s="5" t="s">
        <v>16977</v>
      </c>
      <c r="W1734" s="5" t="s">
        <v>72</v>
      </c>
      <c r="X1734" s="5" t="s">
        <v>72</v>
      </c>
      <c r="Y1734" s="4">
        <v>33</v>
      </c>
      <c r="Z1734" s="4">
        <v>3</v>
      </c>
      <c r="AA1734" s="4">
        <v>3</v>
      </c>
      <c r="AB1734" s="4">
        <v>1</v>
      </c>
      <c r="AC1734" s="4">
        <v>1</v>
      </c>
      <c r="AD1734" s="4">
        <v>16</v>
      </c>
      <c r="AE1734" s="4">
        <v>16</v>
      </c>
      <c r="AF1734" s="4">
        <v>0</v>
      </c>
      <c r="AG1734" s="4">
        <v>0</v>
      </c>
      <c r="AH1734" s="4">
        <v>15</v>
      </c>
      <c r="AI1734" s="4">
        <v>15</v>
      </c>
      <c r="AJ1734" s="4">
        <v>1</v>
      </c>
      <c r="AK1734" s="4">
        <v>1</v>
      </c>
      <c r="AL1734" s="4">
        <v>12</v>
      </c>
      <c r="AM1734" s="4">
        <v>12</v>
      </c>
      <c r="AN1734" s="4">
        <v>0</v>
      </c>
      <c r="AO1734" s="4">
        <v>0</v>
      </c>
      <c r="AP1734" s="4">
        <v>1</v>
      </c>
      <c r="AQ1734" s="4">
        <v>1</v>
      </c>
      <c r="AR1734" s="3" t="s">
        <v>65</v>
      </c>
      <c r="AS1734" s="3" t="s">
        <v>65</v>
      </c>
      <c r="AT1734" s="3" t="s">
        <v>65</v>
      </c>
      <c r="AV1734" s="6" t="str">
        <f>HYPERLINK("http://mcgill.on.worldcat.org/oclc/43055524","Catalog Record")</f>
        <v>Catalog Record</v>
      </c>
      <c r="AW1734" s="6" t="str">
        <f>HYPERLINK("http://www.worldcat.org/oclc/43055524","WorldCat Record")</f>
        <v>WorldCat Record</v>
      </c>
      <c r="AX1734" s="3" t="s">
        <v>16990</v>
      </c>
      <c r="AY1734" s="3" t="s">
        <v>16991</v>
      </c>
      <c r="AZ1734" s="3" t="s">
        <v>16992</v>
      </c>
      <c r="BA1734" s="3" t="s">
        <v>16992</v>
      </c>
      <c r="BB1734" s="3" t="s">
        <v>16993</v>
      </c>
      <c r="BC1734" s="3" t="s">
        <v>77</v>
      </c>
      <c r="BD1734" s="3" t="s">
        <v>78</v>
      </c>
      <c r="BF1734" s="3" t="s">
        <v>16993</v>
      </c>
      <c r="BG1734" s="3" t="s">
        <v>16994</v>
      </c>
    </row>
    <row r="1735" spans="1:59" ht="58" x14ac:dyDescent="0.35">
      <c r="A1735" s="2" t="s">
        <v>59</v>
      </c>
      <c r="B1735" s="2" t="s">
        <v>60</v>
      </c>
      <c r="C1735" s="2" t="s">
        <v>16995</v>
      </c>
      <c r="D1735" s="2" t="s">
        <v>16996</v>
      </c>
      <c r="E1735" s="2" t="s">
        <v>16997</v>
      </c>
      <c r="G1735" s="3" t="s">
        <v>65</v>
      </c>
      <c r="I1735" s="3" t="s">
        <v>65</v>
      </c>
      <c r="J1735" s="3" t="s">
        <v>65</v>
      </c>
      <c r="K1735" s="3" t="s">
        <v>66</v>
      </c>
      <c r="L1735" s="2" t="s">
        <v>16998</v>
      </c>
      <c r="M1735" s="2" t="s">
        <v>16999</v>
      </c>
      <c r="N1735" s="3" t="s">
        <v>3994</v>
      </c>
      <c r="P1735" s="3" t="s">
        <v>140</v>
      </c>
      <c r="R1735" s="3" t="s">
        <v>71</v>
      </c>
      <c r="S1735" s="4">
        <v>1</v>
      </c>
      <c r="T1735" s="4">
        <v>1</v>
      </c>
      <c r="U1735" s="5" t="s">
        <v>17000</v>
      </c>
      <c r="V1735" s="5" t="s">
        <v>17000</v>
      </c>
      <c r="W1735" s="5" t="s">
        <v>72</v>
      </c>
      <c r="X1735" s="5" t="s">
        <v>72</v>
      </c>
      <c r="Y1735" s="4">
        <v>13</v>
      </c>
      <c r="Z1735" s="4">
        <v>1</v>
      </c>
      <c r="AA1735" s="4">
        <v>1</v>
      </c>
      <c r="AB1735" s="4">
        <v>1</v>
      </c>
      <c r="AC1735" s="4">
        <v>1</v>
      </c>
      <c r="AD1735" s="4">
        <v>5</v>
      </c>
      <c r="AE1735" s="4">
        <v>5</v>
      </c>
      <c r="AF1735" s="4">
        <v>0</v>
      </c>
      <c r="AG1735" s="4">
        <v>0</v>
      </c>
      <c r="AH1735" s="4">
        <v>5</v>
      </c>
      <c r="AI1735" s="4">
        <v>5</v>
      </c>
      <c r="AJ1735" s="4">
        <v>0</v>
      </c>
      <c r="AK1735" s="4">
        <v>0</v>
      </c>
      <c r="AL1735" s="4">
        <v>4</v>
      </c>
      <c r="AM1735" s="4">
        <v>4</v>
      </c>
      <c r="AN1735" s="4">
        <v>0</v>
      </c>
      <c r="AO1735" s="4">
        <v>0</v>
      </c>
      <c r="AP1735" s="4">
        <v>0</v>
      </c>
      <c r="AQ1735" s="4">
        <v>0</v>
      </c>
      <c r="AR1735" s="3" t="s">
        <v>65</v>
      </c>
      <c r="AS1735" s="3" t="s">
        <v>65</v>
      </c>
      <c r="AT1735" s="3" t="s">
        <v>65</v>
      </c>
      <c r="AV1735" s="6" t="str">
        <f>HYPERLINK("http://mcgill.on.worldcat.org/oclc/16763770","Catalog Record")</f>
        <v>Catalog Record</v>
      </c>
      <c r="AW1735" s="6" t="str">
        <f>HYPERLINK("http://www.worldcat.org/oclc/16763770","WorldCat Record")</f>
        <v>WorldCat Record</v>
      </c>
      <c r="AX1735" s="3" t="s">
        <v>17001</v>
      </c>
      <c r="AY1735" s="3" t="s">
        <v>17002</v>
      </c>
      <c r="AZ1735" s="3" t="s">
        <v>17003</v>
      </c>
      <c r="BA1735" s="3" t="s">
        <v>17003</v>
      </c>
      <c r="BB1735" s="3" t="s">
        <v>17004</v>
      </c>
      <c r="BC1735" s="3" t="s">
        <v>77</v>
      </c>
      <c r="BD1735" s="3" t="s">
        <v>78</v>
      </c>
      <c r="BF1735" s="3" t="s">
        <v>17004</v>
      </c>
      <c r="BG1735" s="3" t="s">
        <v>17005</v>
      </c>
    </row>
    <row r="1736" spans="1:59" ht="58" x14ac:dyDescent="0.35">
      <c r="A1736" s="2" t="s">
        <v>59</v>
      </c>
      <c r="B1736" s="2" t="s">
        <v>60</v>
      </c>
      <c r="C1736" s="2" t="s">
        <v>17006</v>
      </c>
      <c r="D1736" s="2" t="s">
        <v>17007</v>
      </c>
      <c r="E1736" s="2" t="s">
        <v>17008</v>
      </c>
      <c r="G1736" s="3" t="s">
        <v>65</v>
      </c>
      <c r="I1736" s="3" t="s">
        <v>65</v>
      </c>
      <c r="J1736" s="3" t="s">
        <v>65</v>
      </c>
      <c r="K1736" s="3" t="s">
        <v>66</v>
      </c>
      <c r="L1736" s="2" t="s">
        <v>17009</v>
      </c>
      <c r="M1736" s="2" t="s">
        <v>17010</v>
      </c>
      <c r="N1736" s="3" t="s">
        <v>2460</v>
      </c>
      <c r="P1736" s="3" t="s">
        <v>140</v>
      </c>
      <c r="Q1736" s="2" t="s">
        <v>17011</v>
      </c>
      <c r="R1736" s="3" t="s">
        <v>71</v>
      </c>
      <c r="S1736" s="4">
        <v>6</v>
      </c>
      <c r="T1736" s="4">
        <v>6</v>
      </c>
      <c r="U1736" s="5" t="s">
        <v>17012</v>
      </c>
      <c r="V1736" s="5" t="s">
        <v>17012</v>
      </c>
      <c r="W1736" s="5" t="s">
        <v>72</v>
      </c>
      <c r="X1736" s="5" t="s">
        <v>72</v>
      </c>
      <c r="Y1736" s="4">
        <v>19</v>
      </c>
      <c r="Z1736" s="4">
        <v>4</v>
      </c>
      <c r="AA1736" s="4">
        <v>4</v>
      </c>
      <c r="AB1736" s="4">
        <v>1</v>
      </c>
      <c r="AC1736" s="4">
        <v>1</v>
      </c>
      <c r="AD1736" s="4">
        <v>7</v>
      </c>
      <c r="AE1736" s="4">
        <v>16</v>
      </c>
      <c r="AF1736" s="4">
        <v>0</v>
      </c>
      <c r="AG1736" s="4">
        <v>0</v>
      </c>
      <c r="AH1736" s="4">
        <v>6</v>
      </c>
      <c r="AI1736" s="4">
        <v>15</v>
      </c>
      <c r="AJ1736" s="4">
        <v>2</v>
      </c>
      <c r="AK1736" s="4">
        <v>2</v>
      </c>
      <c r="AL1736" s="4">
        <v>5</v>
      </c>
      <c r="AM1736" s="4">
        <v>12</v>
      </c>
      <c r="AN1736" s="4">
        <v>0</v>
      </c>
      <c r="AO1736" s="4">
        <v>0</v>
      </c>
      <c r="AP1736" s="4">
        <v>2</v>
      </c>
      <c r="AQ1736" s="4">
        <v>2</v>
      </c>
      <c r="AR1736" s="3" t="s">
        <v>65</v>
      </c>
      <c r="AS1736" s="3" t="s">
        <v>65</v>
      </c>
      <c r="AT1736" s="3" t="s">
        <v>65</v>
      </c>
      <c r="AV1736" s="6" t="str">
        <f>HYPERLINK("http://mcgill.on.worldcat.org/oclc/22882434","Catalog Record")</f>
        <v>Catalog Record</v>
      </c>
      <c r="AW1736" s="6" t="str">
        <f>HYPERLINK("http://www.worldcat.org/oclc/22882434","WorldCat Record")</f>
        <v>WorldCat Record</v>
      </c>
      <c r="AX1736" s="3" t="s">
        <v>17013</v>
      </c>
      <c r="AY1736" s="3" t="s">
        <v>17014</v>
      </c>
      <c r="AZ1736" s="3" t="s">
        <v>17015</v>
      </c>
      <c r="BA1736" s="3" t="s">
        <v>17015</v>
      </c>
      <c r="BB1736" s="3" t="s">
        <v>17016</v>
      </c>
      <c r="BC1736" s="3" t="s">
        <v>77</v>
      </c>
      <c r="BD1736" s="3" t="s">
        <v>78</v>
      </c>
      <c r="BE1736" s="3" t="s">
        <v>17017</v>
      </c>
      <c r="BF1736" s="3" t="s">
        <v>17016</v>
      </c>
      <c r="BG1736" s="3" t="s">
        <v>17018</v>
      </c>
    </row>
    <row r="1737" spans="1:59" ht="58" x14ac:dyDescent="0.35">
      <c r="A1737" s="2" t="s">
        <v>59</v>
      </c>
      <c r="B1737" s="2" t="s">
        <v>60</v>
      </c>
      <c r="C1737" s="2" t="s">
        <v>17019</v>
      </c>
      <c r="D1737" s="2" t="s">
        <v>17020</v>
      </c>
      <c r="E1737" s="2" t="s">
        <v>17021</v>
      </c>
      <c r="F1737" s="3" t="s">
        <v>258</v>
      </c>
      <c r="G1737" s="3" t="s">
        <v>209</v>
      </c>
      <c r="I1737" s="3" t="s">
        <v>65</v>
      </c>
      <c r="J1737" s="3" t="s">
        <v>65</v>
      </c>
      <c r="K1737" s="3" t="s">
        <v>66</v>
      </c>
      <c r="L1737" s="2" t="s">
        <v>17022</v>
      </c>
      <c r="M1737" s="2" t="s">
        <v>17023</v>
      </c>
      <c r="N1737" s="3" t="s">
        <v>126</v>
      </c>
      <c r="P1737" s="3" t="s">
        <v>140</v>
      </c>
      <c r="Q1737" s="2" t="s">
        <v>17024</v>
      </c>
      <c r="R1737" s="3" t="s">
        <v>71</v>
      </c>
      <c r="S1737" s="4">
        <v>1</v>
      </c>
      <c r="T1737" s="4">
        <v>2</v>
      </c>
      <c r="U1737" s="5" t="s">
        <v>17025</v>
      </c>
      <c r="V1737" s="5" t="s">
        <v>17025</v>
      </c>
      <c r="W1737" s="5" t="s">
        <v>72</v>
      </c>
      <c r="X1737" s="5" t="s">
        <v>72</v>
      </c>
      <c r="Y1737" s="4">
        <v>18</v>
      </c>
      <c r="Z1737" s="4">
        <v>1</v>
      </c>
      <c r="AA1737" s="4">
        <v>1</v>
      </c>
      <c r="AB1737" s="4">
        <v>1</v>
      </c>
      <c r="AC1737" s="4">
        <v>1</v>
      </c>
      <c r="AD1737" s="4">
        <v>9</v>
      </c>
      <c r="AE1737" s="4">
        <v>9</v>
      </c>
      <c r="AF1737" s="4">
        <v>0</v>
      </c>
      <c r="AG1737" s="4">
        <v>0</v>
      </c>
      <c r="AH1737" s="4">
        <v>9</v>
      </c>
      <c r="AI1737" s="4">
        <v>9</v>
      </c>
      <c r="AJ1737" s="4">
        <v>0</v>
      </c>
      <c r="AK1737" s="4">
        <v>0</v>
      </c>
      <c r="AL1737" s="4">
        <v>5</v>
      </c>
      <c r="AM1737" s="4">
        <v>5</v>
      </c>
      <c r="AN1737" s="4">
        <v>0</v>
      </c>
      <c r="AO1737" s="4">
        <v>0</v>
      </c>
      <c r="AP1737" s="4">
        <v>0</v>
      </c>
      <c r="AQ1737" s="4">
        <v>0</v>
      </c>
      <c r="AR1737" s="3" t="s">
        <v>65</v>
      </c>
      <c r="AS1737" s="3" t="s">
        <v>65</v>
      </c>
      <c r="AT1737" s="3" t="s">
        <v>209</v>
      </c>
      <c r="AU1737" s="6" t="str">
        <f>HYPERLINK("http://catalog.hathitrust.org/Record/011405050","HathiTrust Record")</f>
        <v>HathiTrust Record</v>
      </c>
      <c r="AV1737" s="6" t="str">
        <f>HYPERLINK("http://mcgill.on.worldcat.org/oclc/767734822","Catalog Record")</f>
        <v>Catalog Record</v>
      </c>
      <c r="AW1737" s="6" t="str">
        <f>HYPERLINK("http://www.worldcat.org/oclc/767734822","WorldCat Record")</f>
        <v>WorldCat Record</v>
      </c>
      <c r="AX1737" s="3" t="s">
        <v>17026</v>
      </c>
      <c r="AY1737" s="3" t="s">
        <v>17027</v>
      </c>
      <c r="AZ1737" s="3" t="s">
        <v>17028</v>
      </c>
      <c r="BA1737" s="3" t="s">
        <v>17028</v>
      </c>
      <c r="BB1737" s="3" t="s">
        <v>17029</v>
      </c>
      <c r="BC1737" s="3" t="s">
        <v>77</v>
      </c>
      <c r="BD1737" s="3" t="s">
        <v>78</v>
      </c>
      <c r="BE1737" s="3" t="s">
        <v>17030</v>
      </c>
      <c r="BF1737" s="3" t="s">
        <v>17029</v>
      </c>
      <c r="BG1737" s="3" t="s">
        <v>17031</v>
      </c>
    </row>
    <row r="1738" spans="1:59" ht="58" x14ac:dyDescent="0.35">
      <c r="A1738" s="2" t="s">
        <v>59</v>
      </c>
      <c r="B1738" s="2" t="s">
        <v>60</v>
      </c>
      <c r="C1738" s="2" t="s">
        <v>17019</v>
      </c>
      <c r="D1738" s="2" t="s">
        <v>17020</v>
      </c>
      <c r="E1738" s="2" t="s">
        <v>17021</v>
      </c>
      <c r="F1738" s="3" t="s">
        <v>245</v>
      </c>
      <c r="G1738" s="3" t="s">
        <v>209</v>
      </c>
      <c r="I1738" s="3" t="s">
        <v>65</v>
      </c>
      <c r="J1738" s="3" t="s">
        <v>65</v>
      </c>
      <c r="K1738" s="3" t="s">
        <v>66</v>
      </c>
      <c r="L1738" s="2" t="s">
        <v>17022</v>
      </c>
      <c r="M1738" s="2" t="s">
        <v>17023</v>
      </c>
      <c r="N1738" s="3" t="s">
        <v>126</v>
      </c>
      <c r="P1738" s="3" t="s">
        <v>140</v>
      </c>
      <c r="Q1738" s="2" t="s">
        <v>17024</v>
      </c>
      <c r="R1738" s="3" t="s">
        <v>71</v>
      </c>
      <c r="S1738" s="4">
        <v>1</v>
      </c>
      <c r="T1738" s="4">
        <v>2</v>
      </c>
      <c r="U1738" s="5" t="s">
        <v>17025</v>
      </c>
      <c r="V1738" s="5" t="s">
        <v>17025</v>
      </c>
      <c r="W1738" s="5" t="s">
        <v>72</v>
      </c>
      <c r="X1738" s="5" t="s">
        <v>72</v>
      </c>
      <c r="Y1738" s="4">
        <v>18</v>
      </c>
      <c r="Z1738" s="4">
        <v>1</v>
      </c>
      <c r="AA1738" s="4">
        <v>1</v>
      </c>
      <c r="AB1738" s="4">
        <v>1</v>
      </c>
      <c r="AC1738" s="4">
        <v>1</v>
      </c>
      <c r="AD1738" s="4">
        <v>9</v>
      </c>
      <c r="AE1738" s="4">
        <v>9</v>
      </c>
      <c r="AF1738" s="4">
        <v>0</v>
      </c>
      <c r="AG1738" s="4">
        <v>0</v>
      </c>
      <c r="AH1738" s="4">
        <v>9</v>
      </c>
      <c r="AI1738" s="4">
        <v>9</v>
      </c>
      <c r="AJ1738" s="4">
        <v>0</v>
      </c>
      <c r="AK1738" s="4">
        <v>0</v>
      </c>
      <c r="AL1738" s="4">
        <v>5</v>
      </c>
      <c r="AM1738" s="4">
        <v>5</v>
      </c>
      <c r="AN1738" s="4">
        <v>0</v>
      </c>
      <c r="AO1738" s="4">
        <v>0</v>
      </c>
      <c r="AP1738" s="4">
        <v>0</v>
      </c>
      <c r="AQ1738" s="4">
        <v>0</v>
      </c>
      <c r="AR1738" s="3" t="s">
        <v>65</v>
      </c>
      <c r="AS1738" s="3" t="s">
        <v>65</v>
      </c>
      <c r="AT1738" s="3" t="s">
        <v>209</v>
      </c>
      <c r="AU1738" s="6" t="str">
        <f>HYPERLINK("http://catalog.hathitrust.org/Record/011405050","HathiTrust Record")</f>
        <v>HathiTrust Record</v>
      </c>
      <c r="AV1738" s="6" t="str">
        <f>HYPERLINK("http://mcgill.on.worldcat.org/oclc/767734822","Catalog Record")</f>
        <v>Catalog Record</v>
      </c>
      <c r="AW1738" s="6" t="str">
        <f>HYPERLINK("http://www.worldcat.org/oclc/767734822","WorldCat Record")</f>
        <v>WorldCat Record</v>
      </c>
      <c r="AX1738" s="3" t="s">
        <v>17026</v>
      </c>
      <c r="AY1738" s="3" t="s">
        <v>17027</v>
      </c>
      <c r="AZ1738" s="3" t="s">
        <v>17028</v>
      </c>
      <c r="BA1738" s="3" t="s">
        <v>17028</v>
      </c>
      <c r="BB1738" s="3" t="s">
        <v>17032</v>
      </c>
      <c r="BC1738" s="3" t="s">
        <v>77</v>
      </c>
      <c r="BD1738" s="3" t="s">
        <v>78</v>
      </c>
      <c r="BE1738" s="3" t="s">
        <v>17030</v>
      </c>
      <c r="BF1738" s="3" t="s">
        <v>17032</v>
      </c>
      <c r="BG1738" s="3" t="s">
        <v>17033</v>
      </c>
    </row>
    <row r="1739" spans="1:59" ht="58" x14ac:dyDescent="0.35">
      <c r="A1739" s="2" t="s">
        <v>59</v>
      </c>
      <c r="B1739" s="2" t="s">
        <v>60</v>
      </c>
      <c r="C1739" s="2" t="s">
        <v>17034</v>
      </c>
      <c r="D1739" s="2" t="s">
        <v>17035</v>
      </c>
      <c r="E1739" s="2" t="s">
        <v>17036</v>
      </c>
      <c r="G1739" s="3" t="s">
        <v>65</v>
      </c>
      <c r="I1739" s="3" t="s">
        <v>65</v>
      </c>
      <c r="J1739" s="3" t="s">
        <v>65</v>
      </c>
      <c r="K1739" s="3" t="s">
        <v>66</v>
      </c>
      <c r="L1739" s="2" t="s">
        <v>17037</v>
      </c>
      <c r="M1739" s="2" t="s">
        <v>17038</v>
      </c>
      <c r="N1739" s="3" t="s">
        <v>139</v>
      </c>
      <c r="P1739" s="3" t="s">
        <v>140</v>
      </c>
      <c r="Q1739" s="2" t="s">
        <v>17039</v>
      </c>
      <c r="R1739" s="3" t="s">
        <v>71</v>
      </c>
      <c r="S1739" s="4">
        <v>3</v>
      </c>
      <c r="T1739" s="4">
        <v>3</v>
      </c>
      <c r="U1739" s="5" t="s">
        <v>17040</v>
      </c>
      <c r="V1739" s="5" t="s">
        <v>17040</v>
      </c>
      <c r="W1739" s="5" t="s">
        <v>72</v>
      </c>
      <c r="X1739" s="5" t="s">
        <v>72</v>
      </c>
      <c r="Y1739" s="4">
        <v>43</v>
      </c>
      <c r="Z1739" s="4">
        <v>12</v>
      </c>
      <c r="AA1739" s="4">
        <v>12</v>
      </c>
      <c r="AB1739" s="4">
        <v>1</v>
      </c>
      <c r="AC1739" s="4">
        <v>1</v>
      </c>
      <c r="AD1739" s="4">
        <v>26</v>
      </c>
      <c r="AE1739" s="4">
        <v>26</v>
      </c>
      <c r="AF1739" s="4">
        <v>0</v>
      </c>
      <c r="AG1739" s="4">
        <v>0</v>
      </c>
      <c r="AH1739" s="4">
        <v>23</v>
      </c>
      <c r="AI1739" s="4">
        <v>23</v>
      </c>
      <c r="AJ1739" s="4">
        <v>9</v>
      </c>
      <c r="AK1739" s="4">
        <v>9</v>
      </c>
      <c r="AL1739" s="4">
        <v>13</v>
      </c>
      <c r="AM1739" s="4">
        <v>13</v>
      </c>
      <c r="AN1739" s="4">
        <v>0</v>
      </c>
      <c r="AO1739" s="4">
        <v>0</v>
      </c>
      <c r="AP1739" s="4">
        <v>9</v>
      </c>
      <c r="AQ1739" s="4">
        <v>9</v>
      </c>
      <c r="AR1739" s="3" t="s">
        <v>65</v>
      </c>
      <c r="AS1739" s="3" t="s">
        <v>65</v>
      </c>
      <c r="AT1739" s="3" t="s">
        <v>65</v>
      </c>
      <c r="AV1739" s="6" t="str">
        <f>HYPERLINK("http://mcgill.on.worldcat.org/oclc/821652747","Catalog Record")</f>
        <v>Catalog Record</v>
      </c>
      <c r="AW1739" s="6" t="str">
        <f>HYPERLINK("http://www.worldcat.org/oclc/821652747","WorldCat Record")</f>
        <v>WorldCat Record</v>
      </c>
      <c r="AX1739" s="3" t="s">
        <v>17041</v>
      </c>
      <c r="AY1739" s="3" t="s">
        <v>17042</v>
      </c>
      <c r="AZ1739" s="3" t="s">
        <v>17043</v>
      </c>
      <c r="BA1739" s="3" t="s">
        <v>17043</v>
      </c>
      <c r="BB1739" s="3" t="s">
        <v>17044</v>
      </c>
      <c r="BC1739" s="3" t="s">
        <v>77</v>
      </c>
      <c r="BD1739" s="3" t="s">
        <v>78</v>
      </c>
      <c r="BE1739" s="3" t="s">
        <v>17045</v>
      </c>
      <c r="BF1739" s="3" t="s">
        <v>17044</v>
      </c>
      <c r="BG1739" s="3" t="s">
        <v>17046</v>
      </c>
    </row>
    <row r="1740" spans="1:59" ht="58" x14ac:dyDescent="0.35">
      <c r="A1740" s="2" t="s">
        <v>59</v>
      </c>
      <c r="B1740" s="2" t="s">
        <v>60</v>
      </c>
      <c r="C1740" s="2" t="s">
        <v>17047</v>
      </c>
      <c r="D1740" s="2" t="s">
        <v>17048</v>
      </c>
      <c r="E1740" s="2" t="s">
        <v>17049</v>
      </c>
      <c r="G1740" s="3" t="s">
        <v>65</v>
      </c>
      <c r="I1740" s="3" t="s">
        <v>65</v>
      </c>
      <c r="J1740" s="3" t="s">
        <v>65</v>
      </c>
      <c r="K1740" s="3" t="s">
        <v>66</v>
      </c>
      <c r="L1740" s="2" t="s">
        <v>17050</v>
      </c>
      <c r="M1740" s="2" t="s">
        <v>17051</v>
      </c>
      <c r="N1740" s="3" t="s">
        <v>493</v>
      </c>
      <c r="P1740" s="3" t="s">
        <v>140</v>
      </c>
      <c r="Q1740" s="2" t="s">
        <v>17052</v>
      </c>
      <c r="R1740" s="3" t="s">
        <v>71</v>
      </c>
      <c r="S1740" s="4">
        <v>9</v>
      </c>
      <c r="T1740" s="4">
        <v>9</v>
      </c>
      <c r="U1740" s="5" t="s">
        <v>7397</v>
      </c>
      <c r="V1740" s="5" t="s">
        <v>7397</v>
      </c>
      <c r="W1740" s="5" t="s">
        <v>72</v>
      </c>
      <c r="X1740" s="5" t="s">
        <v>72</v>
      </c>
      <c r="Y1740" s="4">
        <v>163</v>
      </c>
      <c r="Z1740" s="4">
        <v>13</v>
      </c>
      <c r="AA1740" s="4">
        <v>28</v>
      </c>
      <c r="AB1740" s="4">
        <v>1</v>
      </c>
      <c r="AC1740" s="4">
        <v>1</v>
      </c>
      <c r="AD1740" s="4">
        <v>65</v>
      </c>
      <c r="AE1740" s="4">
        <v>74</v>
      </c>
      <c r="AF1740" s="4">
        <v>0</v>
      </c>
      <c r="AG1740" s="4">
        <v>0</v>
      </c>
      <c r="AH1740" s="4">
        <v>61</v>
      </c>
      <c r="AI1740" s="4">
        <v>66</v>
      </c>
      <c r="AJ1740" s="4">
        <v>7</v>
      </c>
      <c r="AK1740" s="4">
        <v>9</v>
      </c>
      <c r="AL1740" s="4">
        <v>41</v>
      </c>
      <c r="AM1740" s="4">
        <v>42</v>
      </c>
      <c r="AN1740" s="4">
        <v>0</v>
      </c>
      <c r="AO1740" s="4">
        <v>0</v>
      </c>
      <c r="AP1740" s="4">
        <v>6</v>
      </c>
      <c r="AQ1740" s="4">
        <v>12</v>
      </c>
      <c r="AR1740" s="3" t="s">
        <v>65</v>
      </c>
      <c r="AS1740" s="3" t="s">
        <v>65</v>
      </c>
      <c r="AT1740" s="3" t="s">
        <v>209</v>
      </c>
      <c r="AU1740" s="6" t="str">
        <f>HYPERLINK("http://catalog.hathitrust.org/Record/001806996","HathiTrust Record")</f>
        <v>HathiTrust Record</v>
      </c>
      <c r="AV1740" s="6" t="str">
        <f>HYPERLINK("http://mcgill.on.worldcat.org/oclc/6672570","Catalog Record")</f>
        <v>Catalog Record</v>
      </c>
      <c r="AW1740" s="6" t="str">
        <f>HYPERLINK("http://www.worldcat.org/oclc/6672570","WorldCat Record")</f>
        <v>WorldCat Record</v>
      </c>
      <c r="AX1740" s="3" t="s">
        <v>17053</v>
      </c>
      <c r="AY1740" s="3" t="s">
        <v>17054</v>
      </c>
      <c r="AZ1740" s="3" t="s">
        <v>17055</v>
      </c>
      <c r="BA1740" s="3" t="s">
        <v>17055</v>
      </c>
      <c r="BB1740" s="3" t="s">
        <v>17056</v>
      </c>
      <c r="BC1740" s="3" t="s">
        <v>77</v>
      </c>
      <c r="BD1740" s="3" t="s">
        <v>78</v>
      </c>
      <c r="BF1740" s="3" t="s">
        <v>17056</v>
      </c>
      <c r="BG1740" s="3" t="s">
        <v>17057</v>
      </c>
    </row>
    <row r="1741" spans="1:59" ht="58" x14ac:dyDescent="0.35">
      <c r="A1741" s="2" t="s">
        <v>59</v>
      </c>
      <c r="B1741" s="2" t="s">
        <v>60</v>
      </c>
      <c r="C1741" s="2" t="s">
        <v>17058</v>
      </c>
      <c r="D1741" s="2" t="s">
        <v>17059</v>
      </c>
      <c r="E1741" s="2" t="s">
        <v>17060</v>
      </c>
      <c r="G1741" s="3" t="s">
        <v>65</v>
      </c>
      <c r="I1741" s="3" t="s">
        <v>65</v>
      </c>
      <c r="J1741" s="3" t="s">
        <v>65</v>
      </c>
      <c r="K1741" s="3" t="s">
        <v>66</v>
      </c>
      <c r="L1741" s="2" t="s">
        <v>17061</v>
      </c>
      <c r="M1741" s="2" t="s">
        <v>17062</v>
      </c>
      <c r="N1741" s="3" t="s">
        <v>214</v>
      </c>
      <c r="P1741" s="3" t="s">
        <v>69</v>
      </c>
      <c r="R1741" s="3" t="s">
        <v>71</v>
      </c>
      <c r="S1741" s="4">
        <v>13</v>
      </c>
      <c r="T1741" s="4">
        <v>13</v>
      </c>
      <c r="U1741" s="5" t="s">
        <v>17063</v>
      </c>
      <c r="V1741" s="5" t="s">
        <v>17063</v>
      </c>
      <c r="W1741" s="5" t="s">
        <v>72</v>
      </c>
      <c r="X1741" s="5" t="s">
        <v>72</v>
      </c>
      <c r="Y1741" s="4">
        <v>361</v>
      </c>
      <c r="Z1741" s="4">
        <v>24</v>
      </c>
      <c r="AA1741" s="4">
        <v>24</v>
      </c>
      <c r="AB1741" s="4">
        <v>1</v>
      </c>
      <c r="AC1741" s="4">
        <v>1</v>
      </c>
      <c r="AD1741" s="4">
        <v>114</v>
      </c>
      <c r="AE1741" s="4">
        <v>114</v>
      </c>
      <c r="AF1741" s="4">
        <v>0</v>
      </c>
      <c r="AG1741" s="4">
        <v>0</v>
      </c>
      <c r="AH1741" s="4">
        <v>101</v>
      </c>
      <c r="AI1741" s="4">
        <v>101</v>
      </c>
      <c r="AJ1741" s="4">
        <v>17</v>
      </c>
      <c r="AK1741" s="4">
        <v>17</v>
      </c>
      <c r="AL1741" s="4">
        <v>55</v>
      </c>
      <c r="AM1741" s="4">
        <v>55</v>
      </c>
      <c r="AN1741" s="4">
        <v>0</v>
      </c>
      <c r="AO1741" s="4">
        <v>0</v>
      </c>
      <c r="AP1741" s="4">
        <v>21</v>
      </c>
      <c r="AQ1741" s="4">
        <v>21</v>
      </c>
      <c r="AR1741" s="3" t="s">
        <v>65</v>
      </c>
      <c r="AS1741" s="3" t="s">
        <v>65</v>
      </c>
      <c r="AT1741" s="3" t="s">
        <v>209</v>
      </c>
      <c r="AU1741" s="6" t="str">
        <f>HYPERLINK("http://catalog.hathitrust.org/Record/000245900","HathiTrust Record")</f>
        <v>HathiTrust Record</v>
      </c>
      <c r="AV1741" s="6" t="str">
        <f>HYPERLINK("http://mcgill.on.worldcat.org/oclc/9970606","Catalog Record")</f>
        <v>Catalog Record</v>
      </c>
      <c r="AW1741" s="6" t="str">
        <f>HYPERLINK("http://www.worldcat.org/oclc/9970606","WorldCat Record")</f>
        <v>WorldCat Record</v>
      </c>
      <c r="AX1741" s="3" t="s">
        <v>17064</v>
      </c>
      <c r="AY1741" s="3" t="s">
        <v>17065</v>
      </c>
      <c r="AZ1741" s="3" t="s">
        <v>17066</v>
      </c>
      <c r="BA1741" s="3" t="s">
        <v>17066</v>
      </c>
      <c r="BB1741" s="3" t="s">
        <v>17067</v>
      </c>
      <c r="BC1741" s="3" t="s">
        <v>77</v>
      </c>
      <c r="BD1741" s="3" t="s">
        <v>78</v>
      </c>
      <c r="BE1741" s="3" t="s">
        <v>17068</v>
      </c>
      <c r="BF1741" s="3" t="s">
        <v>17067</v>
      </c>
      <c r="BG1741" s="3" t="s">
        <v>17069</v>
      </c>
    </row>
    <row r="1742" spans="1:59" ht="58" x14ac:dyDescent="0.35">
      <c r="A1742" s="2" t="s">
        <v>59</v>
      </c>
      <c r="B1742" s="2" t="s">
        <v>60</v>
      </c>
      <c r="C1742" s="2" t="s">
        <v>17070</v>
      </c>
      <c r="D1742" s="2" t="s">
        <v>17071</v>
      </c>
      <c r="E1742" s="2" t="s">
        <v>17072</v>
      </c>
      <c r="G1742" s="3" t="s">
        <v>65</v>
      </c>
      <c r="I1742" s="3" t="s">
        <v>65</v>
      </c>
      <c r="J1742" s="3" t="s">
        <v>65</v>
      </c>
      <c r="K1742" s="3" t="s">
        <v>66</v>
      </c>
      <c r="L1742" s="2" t="s">
        <v>15486</v>
      </c>
      <c r="M1742" s="2" t="s">
        <v>17073</v>
      </c>
      <c r="N1742" s="3" t="s">
        <v>247</v>
      </c>
      <c r="P1742" s="3" t="s">
        <v>69</v>
      </c>
      <c r="R1742" s="3" t="s">
        <v>71</v>
      </c>
      <c r="S1742" s="4">
        <v>6</v>
      </c>
      <c r="T1742" s="4">
        <v>6</v>
      </c>
      <c r="U1742" s="5" t="s">
        <v>5084</v>
      </c>
      <c r="V1742" s="5" t="s">
        <v>5084</v>
      </c>
      <c r="W1742" s="5" t="s">
        <v>72</v>
      </c>
      <c r="X1742" s="5" t="s">
        <v>72</v>
      </c>
      <c r="Y1742" s="4">
        <v>114</v>
      </c>
      <c r="Z1742" s="4">
        <v>9</v>
      </c>
      <c r="AA1742" s="4">
        <v>11</v>
      </c>
      <c r="AB1742" s="4">
        <v>1</v>
      </c>
      <c r="AC1742" s="4">
        <v>3</v>
      </c>
      <c r="AD1742" s="4">
        <v>55</v>
      </c>
      <c r="AE1742" s="4">
        <v>56</v>
      </c>
      <c r="AF1742" s="4">
        <v>0</v>
      </c>
      <c r="AG1742" s="4">
        <v>1</v>
      </c>
      <c r="AH1742" s="4">
        <v>51</v>
      </c>
      <c r="AI1742" s="4">
        <v>51</v>
      </c>
      <c r="AJ1742" s="4">
        <v>7</v>
      </c>
      <c r="AK1742" s="4">
        <v>8</v>
      </c>
      <c r="AL1742" s="4">
        <v>36</v>
      </c>
      <c r="AM1742" s="4">
        <v>36</v>
      </c>
      <c r="AN1742" s="4">
        <v>0</v>
      </c>
      <c r="AO1742" s="4">
        <v>0</v>
      </c>
      <c r="AP1742" s="4">
        <v>6</v>
      </c>
      <c r="AQ1742" s="4">
        <v>6</v>
      </c>
      <c r="AR1742" s="3" t="s">
        <v>65</v>
      </c>
      <c r="AS1742" s="3" t="s">
        <v>65</v>
      </c>
      <c r="AT1742" s="3" t="s">
        <v>209</v>
      </c>
      <c r="AU1742" s="6" t="str">
        <f>HYPERLINK("http://catalog.hathitrust.org/Record/002871753","HathiTrust Record")</f>
        <v>HathiTrust Record</v>
      </c>
      <c r="AV1742" s="6" t="str">
        <f>HYPERLINK("http://mcgill.on.worldcat.org/oclc/30108746","Catalog Record")</f>
        <v>Catalog Record</v>
      </c>
      <c r="AW1742" s="6" t="str">
        <f>HYPERLINK("http://www.worldcat.org/oclc/30108746","WorldCat Record")</f>
        <v>WorldCat Record</v>
      </c>
      <c r="AX1742" s="3" t="s">
        <v>17074</v>
      </c>
      <c r="AY1742" s="3" t="s">
        <v>17075</v>
      </c>
      <c r="AZ1742" s="3" t="s">
        <v>17076</v>
      </c>
      <c r="BA1742" s="3" t="s">
        <v>17076</v>
      </c>
      <c r="BB1742" s="3" t="s">
        <v>17077</v>
      </c>
      <c r="BC1742" s="3" t="s">
        <v>77</v>
      </c>
      <c r="BD1742" s="3" t="s">
        <v>78</v>
      </c>
      <c r="BE1742" s="3" t="s">
        <v>17078</v>
      </c>
      <c r="BF1742" s="3" t="s">
        <v>17077</v>
      </c>
      <c r="BG1742" s="3" t="s">
        <v>17079</v>
      </c>
    </row>
    <row r="1743" spans="1:59" ht="72.5" x14ac:dyDescent="0.35">
      <c r="A1743" s="2" t="s">
        <v>59</v>
      </c>
      <c r="B1743" s="2" t="s">
        <v>60</v>
      </c>
      <c r="C1743" s="2" t="s">
        <v>17080</v>
      </c>
      <c r="D1743" s="2" t="s">
        <v>17081</v>
      </c>
      <c r="E1743" s="2" t="s">
        <v>17082</v>
      </c>
      <c r="G1743" s="3" t="s">
        <v>65</v>
      </c>
      <c r="I1743" s="3" t="s">
        <v>65</v>
      </c>
      <c r="J1743" s="3" t="s">
        <v>65</v>
      </c>
      <c r="K1743" s="3" t="s">
        <v>66</v>
      </c>
      <c r="M1743" s="2" t="s">
        <v>17083</v>
      </c>
      <c r="N1743" s="3" t="s">
        <v>99</v>
      </c>
      <c r="P1743" s="3" t="s">
        <v>140</v>
      </c>
      <c r="Q1743" s="2" t="s">
        <v>17084</v>
      </c>
      <c r="R1743" s="3" t="s">
        <v>71</v>
      </c>
      <c r="S1743" s="4">
        <v>2</v>
      </c>
      <c r="T1743" s="4">
        <v>2</v>
      </c>
      <c r="U1743" s="5" t="s">
        <v>17085</v>
      </c>
      <c r="V1743" s="5" t="s">
        <v>17085</v>
      </c>
      <c r="W1743" s="5" t="s">
        <v>72</v>
      </c>
      <c r="X1743" s="5" t="s">
        <v>72</v>
      </c>
      <c r="Y1743" s="4">
        <v>41</v>
      </c>
      <c r="Z1743" s="4">
        <v>4</v>
      </c>
      <c r="AA1743" s="4">
        <v>4</v>
      </c>
      <c r="AB1743" s="4">
        <v>1</v>
      </c>
      <c r="AC1743" s="4">
        <v>1</v>
      </c>
      <c r="AD1743" s="4">
        <v>28</v>
      </c>
      <c r="AE1743" s="4">
        <v>29</v>
      </c>
      <c r="AF1743" s="4">
        <v>0</v>
      </c>
      <c r="AG1743" s="4">
        <v>0</v>
      </c>
      <c r="AH1743" s="4">
        <v>27</v>
      </c>
      <c r="AI1743" s="4">
        <v>28</v>
      </c>
      <c r="AJ1743" s="4">
        <v>2</v>
      </c>
      <c r="AK1743" s="4">
        <v>2</v>
      </c>
      <c r="AL1743" s="4">
        <v>22</v>
      </c>
      <c r="AM1743" s="4">
        <v>23</v>
      </c>
      <c r="AN1743" s="4">
        <v>0</v>
      </c>
      <c r="AO1743" s="4">
        <v>0</v>
      </c>
      <c r="AP1743" s="4">
        <v>2</v>
      </c>
      <c r="AQ1743" s="4">
        <v>2</v>
      </c>
      <c r="AR1743" s="3" t="s">
        <v>65</v>
      </c>
      <c r="AS1743" s="3" t="s">
        <v>65</v>
      </c>
      <c r="AT1743" s="3" t="s">
        <v>209</v>
      </c>
      <c r="AU1743" s="6" t="str">
        <f>HYPERLINK("http://catalog.hathitrust.org/Record/005616139","HathiTrust Record")</f>
        <v>HathiTrust Record</v>
      </c>
      <c r="AV1743" s="6" t="str">
        <f>HYPERLINK("http://mcgill.on.worldcat.org/oclc/173263827","Catalog Record")</f>
        <v>Catalog Record</v>
      </c>
      <c r="AW1743" s="6" t="str">
        <f>HYPERLINK("http://www.worldcat.org/oclc/173263827","WorldCat Record")</f>
        <v>WorldCat Record</v>
      </c>
      <c r="AX1743" s="3" t="s">
        <v>17086</v>
      </c>
      <c r="AY1743" s="3" t="s">
        <v>17087</v>
      </c>
      <c r="AZ1743" s="3" t="s">
        <v>17088</v>
      </c>
      <c r="BA1743" s="3" t="s">
        <v>17088</v>
      </c>
      <c r="BB1743" s="3" t="s">
        <v>17089</v>
      </c>
      <c r="BC1743" s="3" t="s">
        <v>77</v>
      </c>
      <c r="BD1743" s="3" t="s">
        <v>78</v>
      </c>
      <c r="BE1743" s="3" t="s">
        <v>17090</v>
      </c>
      <c r="BF1743" s="3" t="s">
        <v>17089</v>
      </c>
      <c r="BG1743" s="3" t="s">
        <v>17091</v>
      </c>
    </row>
    <row r="1744" spans="1:59" ht="58" x14ac:dyDescent="0.35">
      <c r="A1744" s="2" t="s">
        <v>59</v>
      </c>
      <c r="B1744" s="2" t="s">
        <v>60</v>
      </c>
      <c r="C1744" s="2" t="s">
        <v>17092</v>
      </c>
      <c r="D1744" s="2" t="s">
        <v>17093</v>
      </c>
      <c r="E1744" s="2" t="s">
        <v>17094</v>
      </c>
      <c r="G1744" s="3" t="s">
        <v>65</v>
      </c>
      <c r="I1744" s="3" t="s">
        <v>65</v>
      </c>
      <c r="J1744" s="3" t="s">
        <v>65</v>
      </c>
      <c r="K1744" s="3" t="s">
        <v>66</v>
      </c>
      <c r="L1744" s="2" t="s">
        <v>17095</v>
      </c>
      <c r="M1744" s="2" t="s">
        <v>17096</v>
      </c>
      <c r="N1744" s="3" t="s">
        <v>3994</v>
      </c>
      <c r="P1744" s="3" t="s">
        <v>140</v>
      </c>
      <c r="Q1744" s="2" t="s">
        <v>17097</v>
      </c>
      <c r="R1744" s="3" t="s">
        <v>71</v>
      </c>
      <c r="S1744" s="4">
        <v>2</v>
      </c>
      <c r="T1744" s="4">
        <v>2</v>
      </c>
      <c r="U1744" s="5" t="s">
        <v>16795</v>
      </c>
      <c r="V1744" s="5" t="s">
        <v>16795</v>
      </c>
      <c r="W1744" s="5" t="s">
        <v>72</v>
      </c>
      <c r="X1744" s="5" t="s">
        <v>72</v>
      </c>
      <c r="Y1744" s="4">
        <v>110</v>
      </c>
      <c r="Z1744" s="4">
        <v>10</v>
      </c>
      <c r="AA1744" s="4">
        <v>11</v>
      </c>
      <c r="AB1744" s="4">
        <v>2</v>
      </c>
      <c r="AC1744" s="4">
        <v>2</v>
      </c>
      <c r="AD1744" s="4">
        <v>48</v>
      </c>
      <c r="AE1744" s="4">
        <v>48</v>
      </c>
      <c r="AF1744" s="4">
        <v>1</v>
      </c>
      <c r="AG1744" s="4">
        <v>1</v>
      </c>
      <c r="AH1744" s="4">
        <v>42</v>
      </c>
      <c r="AI1744" s="4">
        <v>42</v>
      </c>
      <c r="AJ1744" s="4">
        <v>6</v>
      </c>
      <c r="AK1744" s="4">
        <v>6</v>
      </c>
      <c r="AL1744" s="4">
        <v>32</v>
      </c>
      <c r="AM1744" s="4">
        <v>32</v>
      </c>
      <c r="AN1744" s="4">
        <v>0</v>
      </c>
      <c r="AO1744" s="4">
        <v>0</v>
      </c>
      <c r="AP1744" s="4">
        <v>7</v>
      </c>
      <c r="AQ1744" s="4">
        <v>7</v>
      </c>
      <c r="AR1744" s="3" t="s">
        <v>65</v>
      </c>
      <c r="AS1744" s="3" t="s">
        <v>65</v>
      </c>
      <c r="AT1744" s="3" t="s">
        <v>209</v>
      </c>
      <c r="AU1744" s="6" t="str">
        <f>HYPERLINK("http://catalog.hathitrust.org/Record/001219954","HathiTrust Record")</f>
        <v>HathiTrust Record</v>
      </c>
      <c r="AV1744" s="6" t="str">
        <f>HYPERLINK("http://mcgill.on.worldcat.org/oclc/2300715","Catalog Record")</f>
        <v>Catalog Record</v>
      </c>
      <c r="AW1744" s="6" t="str">
        <f>HYPERLINK("http://www.worldcat.org/oclc/2300715","WorldCat Record")</f>
        <v>WorldCat Record</v>
      </c>
      <c r="AX1744" s="3" t="s">
        <v>17098</v>
      </c>
      <c r="AY1744" s="3" t="s">
        <v>17099</v>
      </c>
      <c r="AZ1744" s="3" t="s">
        <v>17100</v>
      </c>
      <c r="BA1744" s="3" t="s">
        <v>17100</v>
      </c>
      <c r="BB1744" s="3" t="s">
        <v>17101</v>
      </c>
      <c r="BC1744" s="3" t="s">
        <v>77</v>
      </c>
      <c r="BD1744" s="3" t="s">
        <v>78</v>
      </c>
      <c r="BF1744" s="3" t="s">
        <v>17101</v>
      </c>
      <c r="BG1744" s="3" t="s">
        <v>17102</v>
      </c>
    </row>
    <row r="1745" spans="1:59" ht="58" x14ac:dyDescent="0.35">
      <c r="A1745" s="2" t="s">
        <v>59</v>
      </c>
      <c r="B1745" s="2" t="s">
        <v>60</v>
      </c>
      <c r="C1745" s="2" t="s">
        <v>17103</v>
      </c>
      <c r="D1745" s="2" t="s">
        <v>17104</v>
      </c>
      <c r="E1745" s="2" t="s">
        <v>17105</v>
      </c>
      <c r="G1745" s="3" t="s">
        <v>65</v>
      </c>
      <c r="I1745" s="3" t="s">
        <v>65</v>
      </c>
      <c r="J1745" s="3" t="s">
        <v>65</v>
      </c>
      <c r="K1745" s="3" t="s">
        <v>66</v>
      </c>
      <c r="L1745" s="2" t="s">
        <v>17106</v>
      </c>
      <c r="M1745" s="2" t="s">
        <v>17107</v>
      </c>
      <c r="N1745" s="3" t="s">
        <v>139</v>
      </c>
      <c r="P1745" s="3" t="s">
        <v>140</v>
      </c>
      <c r="Q1745" s="2" t="s">
        <v>17108</v>
      </c>
      <c r="R1745" s="3" t="s">
        <v>71</v>
      </c>
      <c r="S1745" s="4">
        <v>0</v>
      </c>
      <c r="T1745" s="4">
        <v>0</v>
      </c>
      <c r="W1745" s="5" t="s">
        <v>72</v>
      </c>
      <c r="X1745" s="5" t="s">
        <v>72</v>
      </c>
      <c r="Y1745" s="4">
        <v>41</v>
      </c>
      <c r="Z1745" s="4">
        <v>4</v>
      </c>
      <c r="AA1745" s="4">
        <v>4</v>
      </c>
      <c r="AB1745" s="4">
        <v>1</v>
      </c>
      <c r="AC1745" s="4">
        <v>1</v>
      </c>
      <c r="AD1745" s="4">
        <v>26</v>
      </c>
      <c r="AE1745" s="4">
        <v>26</v>
      </c>
      <c r="AF1745" s="4">
        <v>0</v>
      </c>
      <c r="AG1745" s="4">
        <v>0</v>
      </c>
      <c r="AH1745" s="4">
        <v>25</v>
      </c>
      <c r="AI1745" s="4">
        <v>25</v>
      </c>
      <c r="AJ1745" s="4">
        <v>2</v>
      </c>
      <c r="AK1745" s="4">
        <v>2</v>
      </c>
      <c r="AL1745" s="4">
        <v>19</v>
      </c>
      <c r="AM1745" s="4">
        <v>19</v>
      </c>
      <c r="AN1745" s="4">
        <v>0</v>
      </c>
      <c r="AO1745" s="4">
        <v>0</v>
      </c>
      <c r="AP1745" s="4">
        <v>2</v>
      </c>
      <c r="AQ1745" s="4">
        <v>2</v>
      </c>
      <c r="AR1745" s="3" t="s">
        <v>65</v>
      </c>
      <c r="AS1745" s="3" t="s">
        <v>65</v>
      </c>
      <c r="AT1745" s="3" t="s">
        <v>65</v>
      </c>
      <c r="AV1745" s="6" t="str">
        <f>HYPERLINK("http://mcgill.on.worldcat.org/oclc/903598962","Catalog Record")</f>
        <v>Catalog Record</v>
      </c>
      <c r="AW1745" s="6" t="str">
        <f>HYPERLINK("http://www.worldcat.org/oclc/903598962","WorldCat Record")</f>
        <v>WorldCat Record</v>
      </c>
      <c r="AX1745" s="3" t="s">
        <v>17109</v>
      </c>
      <c r="AY1745" s="3" t="s">
        <v>17110</v>
      </c>
      <c r="AZ1745" s="3" t="s">
        <v>17111</v>
      </c>
      <c r="BA1745" s="3" t="s">
        <v>17111</v>
      </c>
      <c r="BB1745" s="3" t="s">
        <v>17112</v>
      </c>
      <c r="BC1745" s="3" t="s">
        <v>77</v>
      </c>
      <c r="BD1745" s="3" t="s">
        <v>78</v>
      </c>
      <c r="BE1745" s="3" t="s">
        <v>17113</v>
      </c>
      <c r="BF1745" s="3" t="s">
        <v>17112</v>
      </c>
      <c r="BG1745" s="3" t="s">
        <v>17114</v>
      </c>
    </row>
    <row r="1746" spans="1:59" ht="58" x14ac:dyDescent="0.35">
      <c r="A1746" s="2" t="s">
        <v>59</v>
      </c>
      <c r="B1746" s="2" t="s">
        <v>60</v>
      </c>
      <c r="C1746" s="2" t="s">
        <v>17115</v>
      </c>
      <c r="D1746" s="2" t="s">
        <v>17116</v>
      </c>
      <c r="E1746" s="2" t="s">
        <v>17117</v>
      </c>
      <c r="G1746" s="3" t="s">
        <v>65</v>
      </c>
      <c r="I1746" s="3" t="s">
        <v>65</v>
      </c>
      <c r="J1746" s="3" t="s">
        <v>65</v>
      </c>
      <c r="K1746" s="3" t="s">
        <v>66</v>
      </c>
      <c r="L1746" s="2" t="s">
        <v>17118</v>
      </c>
      <c r="M1746" s="2" t="s">
        <v>17119</v>
      </c>
      <c r="N1746" s="3" t="s">
        <v>479</v>
      </c>
      <c r="P1746" s="3" t="s">
        <v>69</v>
      </c>
      <c r="R1746" s="3" t="s">
        <v>71</v>
      </c>
      <c r="S1746" s="4">
        <v>6</v>
      </c>
      <c r="T1746" s="4">
        <v>6</v>
      </c>
      <c r="U1746" s="5" t="s">
        <v>5537</v>
      </c>
      <c r="V1746" s="5" t="s">
        <v>5537</v>
      </c>
      <c r="W1746" s="5" t="s">
        <v>72</v>
      </c>
      <c r="X1746" s="5" t="s">
        <v>72</v>
      </c>
      <c r="Y1746" s="4">
        <v>204</v>
      </c>
      <c r="Z1746" s="4">
        <v>11</v>
      </c>
      <c r="AA1746" s="4">
        <v>16</v>
      </c>
      <c r="AB1746" s="4">
        <v>1</v>
      </c>
      <c r="AC1746" s="4">
        <v>3</v>
      </c>
      <c r="AD1746" s="4">
        <v>81</v>
      </c>
      <c r="AE1746" s="4">
        <v>84</v>
      </c>
      <c r="AF1746" s="4">
        <v>0</v>
      </c>
      <c r="AG1746" s="4">
        <v>0</v>
      </c>
      <c r="AH1746" s="4">
        <v>74</v>
      </c>
      <c r="AI1746" s="4">
        <v>76</v>
      </c>
      <c r="AJ1746" s="4">
        <v>7</v>
      </c>
      <c r="AK1746" s="4">
        <v>9</v>
      </c>
      <c r="AL1746" s="4">
        <v>45</v>
      </c>
      <c r="AM1746" s="4">
        <v>45</v>
      </c>
      <c r="AN1746" s="4">
        <v>0</v>
      </c>
      <c r="AO1746" s="4">
        <v>0</v>
      </c>
      <c r="AP1746" s="4">
        <v>9</v>
      </c>
      <c r="AQ1746" s="4">
        <v>12</v>
      </c>
      <c r="AR1746" s="3" t="s">
        <v>65</v>
      </c>
      <c r="AS1746" s="3" t="s">
        <v>65</v>
      </c>
      <c r="AT1746" s="3" t="s">
        <v>65</v>
      </c>
      <c r="AV1746" s="6" t="str">
        <f>HYPERLINK("http://mcgill.on.worldcat.org/oclc/233813735","Catalog Record")</f>
        <v>Catalog Record</v>
      </c>
      <c r="AW1746" s="6" t="str">
        <f>HYPERLINK("http://www.worldcat.org/oclc/233813735","WorldCat Record")</f>
        <v>WorldCat Record</v>
      </c>
      <c r="AX1746" s="3" t="s">
        <v>17120</v>
      </c>
      <c r="AY1746" s="3" t="s">
        <v>17121</v>
      </c>
      <c r="AZ1746" s="3" t="s">
        <v>17122</v>
      </c>
      <c r="BA1746" s="3" t="s">
        <v>17122</v>
      </c>
      <c r="BB1746" s="3" t="s">
        <v>17123</v>
      </c>
      <c r="BC1746" s="3" t="s">
        <v>77</v>
      </c>
      <c r="BD1746" s="3" t="s">
        <v>106</v>
      </c>
      <c r="BE1746" s="3" t="s">
        <v>17124</v>
      </c>
      <c r="BF1746" s="3" t="s">
        <v>17123</v>
      </c>
      <c r="BG1746" s="3" t="s">
        <v>17125</v>
      </c>
    </row>
    <row r="1747" spans="1:59" ht="58" x14ac:dyDescent="0.35">
      <c r="A1747" s="2" t="s">
        <v>59</v>
      </c>
      <c r="B1747" s="2" t="s">
        <v>60</v>
      </c>
      <c r="C1747" s="2" t="s">
        <v>17126</v>
      </c>
      <c r="D1747" s="2" t="s">
        <v>17127</v>
      </c>
      <c r="E1747" s="2" t="s">
        <v>17128</v>
      </c>
      <c r="F1747" s="3" t="s">
        <v>915</v>
      </c>
      <c r="G1747" s="3" t="s">
        <v>209</v>
      </c>
      <c r="I1747" s="3" t="s">
        <v>65</v>
      </c>
      <c r="J1747" s="3" t="s">
        <v>65</v>
      </c>
      <c r="K1747" s="3" t="s">
        <v>66</v>
      </c>
      <c r="L1747" s="2" t="s">
        <v>17118</v>
      </c>
      <c r="M1747" s="2" t="s">
        <v>17129</v>
      </c>
      <c r="N1747" s="3" t="s">
        <v>1151</v>
      </c>
      <c r="P1747" s="3" t="s">
        <v>140</v>
      </c>
      <c r="Q1747" s="2" t="s">
        <v>17130</v>
      </c>
      <c r="R1747" s="3" t="s">
        <v>71</v>
      </c>
      <c r="S1747" s="4">
        <v>17</v>
      </c>
      <c r="T1747" s="4">
        <v>37</v>
      </c>
      <c r="U1747" s="5" t="s">
        <v>17131</v>
      </c>
      <c r="V1747" s="5" t="s">
        <v>17131</v>
      </c>
      <c r="W1747" s="5" t="s">
        <v>72</v>
      </c>
      <c r="X1747" s="5" t="s">
        <v>72</v>
      </c>
      <c r="Y1747" s="4">
        <v>76</v>
      </c>
      <c r="Z1747" s="4">
        <v>8</v>
      </c>
      <c r="AA1747" s="4">
        <v>11</v>
      </c>
      <c r="AB1747" s="4">
        <v>1</v>
      </c>
      <c r="AC1747" s="4">
        <v>1</v>
      </c>
      <c r="AD1747" s="4">
        <v>42</v>
      </c>
      <c r="AE1747" s="4">
        <v>43</v>
      </c>
      <c r="AF1747" s="4">
        <v>0</v>
      </c>
      <c r="AG1747" s="4">
        <v>0</v>
      </c>
      <c r="AH1747" s="4">
        <v>38</v>
      </c>
      <c r="AI1747" s="4">
        <v>39</v>
      </c>
      <c r="AJ1747" s="4">
        <v>7</v>
      </c>
      <c r="AK1747" s="4">
        <v>8</v>
      </c>
      <c r="AL1747" s="4">
        <v>28</v>
      </c>
      <c r="AM1747" s="4">
        <v>29</v>
      </c>
      <c r="AN1747" s="4">
        <v>0</v>
      </c>
      <c r="AO1747" s="4">
        <v>0</v>
      </c>
      <c r="AP1747" s="4">
        <v>6</v>
      </c>
      <c r="AQ1747" s="4">
        <v>7</v>
      </c>
      <c r="AR1747" s="3" t="s">
        <v>65</v>
      </c>
      <c r="AS1747" s="3" t="s">
        <v>65</v>
      </c>
      <c r="AT1747" s="3" t="s">
        <v>209</v>
      </c>
      <c r="AU1747" s="6" t="str">
        <f>HYPERLINK("http://catalog.hathitrust.org/Record/000212047","HathiTrust Record")</f>
        <v>HathiTrust Record</v>
      </c>
      <c r="AV1747" s="6" t="str">
        <f>HYPERLINK("http://mcgill.on.worldcat.org/oclc/2856429","Catalog Record")</f>
        <v>Catalog Record</v>
      </c>
      <c r="AW1747" s="6" t="str">
        <f>HYPERLINK("http://www.worldcat.org/oclc/2856429","WorldCat Record")</f>
        <v>WorldCat Record</v>
      </c>
      <c r="AX1747" s="3" t="s">
        <v>17132</v>
      </c>
      <c r="AY1747" s="3" t="s">
        <v>17133</v>
      </c>
      <c r="AZ1747" s="3" t="s">
        <v>17134</v>
      </c>
      <c r="BA1747" s="3" t="s">
        <v>17134</v>
      </c>
      <c r="BB1747" s="3" t="s">
        <v>17135</v>
      </c>
      <c r="BC1747" s="3" t="s">
        <v>77</v>
      </c>
      <c r="BD1747" s="3" t="s">
        <v>78</v>
      </c>
      <c r="BF1747" s="3" t="s">
        <v>17135</v>
      </c>
      <c r="BG1747" s="3" t="s">
        <v>17136</v>
      </c>
    </row>
    <row r="1748" spans="1:59" ht="58" x14ac:dyDescent="0.35">
      <c r="A1748" s="2" t="s">
        <v>59</v>
      </c>
      <c r="B1748" s="2" t="s">
        <v>60</v>
      </c>
      <c r="C1748" s="2" t="s">
        <v>17126</v>
      </c>
      <c r="D1748" s="2" t="s">
        <v>17127</v>
      </c>
      <c r="E1748" s="2" t="s">
        <v>17128</v>
      </c>
      <c r="F1748" s="3" t="s">
        <v>991</v>
      </c>
      <c r="G1748" s="3" t="s">
        <v>209</v>
      </c>
      <c r="I1748" s="3" t="s">
        <v>65</v>
      </c>
      <c r="J1748" s="3" t="s">
        <v>65</v>
      </c>
      <c r="K1748" s="3" t="s">
        <v>66</v>
      </c>
      <c r="L1748" s="2" t="s">
        <v>17118</v>
      </c>
      <c r="M1748" s="2" t="s">
        <v>17129</v>
      </c>
      <c r="N1748" s="3" t="s">
        <v>1151</v>
      </c>
      <c r="P1748" s="3" t="s">
        <v>140</v>
      </c>
      <c r="Q1748" s="2" t="s">
        <v>17130</v>
      </c>
      <c r="R1748" s="3" t="s">
        <v>71</v>
      </c>
      <c r="S1748" s="4">
        <v>20</v>
      </c>
      <c r="T1748" s="4">
        <v>37</v>
      </c>
      <c r="U1748" s="5" t="s">
        <v>17131</v>
      </c>
      <c r="V1748" s="5" t="s">
        <v>17131</v>
      </c>
      <c r="W1748" s="5" t="s">
        <v>72</v>
      </c>
      <c r="X1748" s="5" t="s">
        <v>72</v>
      </c>
      <c r="Y1748" s="4">
        <v>76</v>
      </c>
      <c r="Z1748" s="4">
        <v>8</v>
      </c>
      <c r="AA1748" s="4">
        <v>11</v>
      </c>
      <c r="AB1748" s="4">
        <v>1</v>
      </c>
      <c r="AC1748" s="4">
        <v>1</v>
      </c>
      <c r="AD1748" s="4">
        <v>42</v>
      </c>
      <c r="AE1748" s="4">
        <v>43</v>
      </c>
      <c r="AF1748" s="4">
        <v>0</v>
      </c>
      <c r="AG1748" s="4">
        <v>0</v>
      </c>
      <c r="AH1748" s="4">
        <v>38</v>
      </c>
      <c r="AI1748" s="4">
        <v>39</v>
      </c>
      <c r="AJ1748" s="4">
        <v>7</v>
      </c>
      <c r="AK1748" s="4">
        <v>8</v>
      </c>
      <c r="AL1748" s="4">
        <v>28</v>
      </c>
      <c r="AM1748" s="4">
        <v>29</v>
      </c>
      <c r="AN1748" s="4">
        <v>0</v>
      </c>
      <c r="AO1748" s="4">
        <v>0</v>
      </c>
      <c r="AP1748" s="4">
        <v>6</v>
      </c>
      <c r="AQ1748" s="4">
        <v>7</v>
      </c>
      <c r="AR1748" s="3" t="s">
        <v>65</v>
      </c>
      <c r="AS1748" s="3" t="s">
        <v>65</v>
      </c>
      <c r="AT1748" s="3" t="s">
        <v>209</v>
      </c>
      <c r="AU1748" s="6" t="str">
        <f>HYPERLINK("http://catalog.hathitrust.org/Record/000212047","HathiTrust Record")</f>
        <v>HathiTrust Record</v>
      </c>
      <c r="AV1748" s="6" t="str">
        <f>HYPERLINK("http://mcgill.on.worldcat.org/oclc/2856429","Catalog Record")</f>
        <v>Catalog Record</v>
      </c>
      <c r="AW1748" s="6" t="str">
        <f>HYPERLINK("http://www.worldcat.org/oclc/2856429","WorldCat Record")</f>
        <v>WorldCat Record</v>
      </c>
      <c r="AX1748" s="3" t="s">
        <v>17132</v>
      </c>
      <c r="AY1748" s="3" t="s">
        <v>17133</v>
      </c>
      <c r="AZ1748" s="3" t="s">
        <v>17134</v>
      </c>
      <c r="BA1748" s="3" t="s">
        <v>17134</v>
      </c>
      <c r="BB1748" s="3" t="s">
        <v>17137</v>
      </c>
      <c r="BC1748" s="3" t="s">
        <v>77</v>
      </c>
      <c r="BD1748" s="3" t="s">
        <v>78</v>
      </c>
      <c r="BF1748" s="3" t="s">
        <v>17137</v>
      </c>
      <c r="BG1748" s="3" t="s">
        <v>17138</v>
      </c>
    </row>
    <row r="1749" spans="1:59" ht="58" x14ac:dyDescent="0.35">
      <c r="A1749" s="2" t="s">
        <v>59</v>
      </c>
      <c r="B1749" s="2" t="s">
        <v>60</v>
      </c>
      <c r="C1749" s="2" t="s">
        <v>17139</v>
      </c>
      <c r="D1749" s="2" t="s">
        <v>17140</v>
      </c>
      <c r="E1749" s="2" t="s">
        <v>17141</v>
      </c>
      <c r="G1749" s="3" t="s">
        <v>65</v>
      </c>
      <c r="I1749" s="3" t="s">
        <v>65</v>
      </c>
      <c r="J1749" s="3" t="s">
        <v>65</v>
      </c>
      <c r="K1749" s="3" t="s">
        <v>66</v>
      </c>
      <c r="L1749" s="2" t="s">
        <v>17142</v>
      </c>
      <c r="M1749" s="2" t="s">
        <v>7758</v>
      </c>
      <c r="N1749" s="3" t="s">
        <v>164</v>
      </c>
      <c r="P1749" s="3" t="s">
        <v>69</v>
      </c>
      <c r="Q1749" s="2" t="s">
        <v>1197</v>
      </c>
      <c r="R1749" s="3" t="s">
        <v>71</v>
      </c>
      <c r="S1749" s="4">
        <v>3</v>
      </c>
      <c r="T1749" s="4">
        <v>3</v>
      </c>
      <c r="U1749" s="5" t="s">
        <v>5537</v>
      </c>
      <c r="V1749" s="5" t="s">
        <v>5537</v>
      </c>
      <c r="W1749" s="5" t="s">
        <v>72</v>
      </c>
      <c r="X1749" s="5" t="s">
        <v>72</v>
      </c>
      <c r="Y1749" s="4">
        <v>135</v>
      </c>
      <c r="Z1749" s="4">
        <v>16</v>
      </c>
      <c r="AA1749" s="4">
        <v>92</v>
      </c>
      <c r="AB1749" s="4">
        <v>1</v>
      </c>
      <c r="AC1749" s="4">
        <v>16</v>
      </c>
      <c r="AD1749" s="4">
        <v>77</v>
      </c>
      <c r="AE1749" s="4">
        <v>135</v>
      </c>
      <c r="AF1749" s="4">
        <v>0</v>
      </c>
      <c r="AG1749" s="4">
        <v>8</v>
      </c>
      <c r="AH1749" s="4">
        <v>68</v>
      </c>
      <c r="AI1749" s="4">
        <v>94</v>
      </c>
      <c r="AJ1749" s="4">
        <v>11</v>
      </c>
      <c r="AK1749" s="4">
        <v>24</v>
      </c>
      <c r="AL1749" s="4">
        <v>46</v>
      </c>
      <c r="AM1749" s="4">
        <v>52</v>
      </c>
      <c r="AN1749" s="4">
        <v>0</v>
      </c>
      <c r="AO1749" s="4">
        <v>0</v>
      </c>
      <c r="AP1749" s="4">
        <v>10</v>
      </c>
      <c r="AQ1749" s="4">
        <v>48</v>
      </c>
      <c r="AR1749" s="3" t="s">
        <v>209</v>
      </c>
      <c r="AS1749" s="3" t="s">
        <v>65</v>
      </c>
      <c r="AT1749" s="3" t="s">
        <v>65</v>
      </c>
      <c r="AV1749" s="6" t="str">
        <f>HYPERLINK("http://mcgill.on.worldcat.org/oclc/880237302","Catalog Record")</f>
        <v>Catalog Record</v>
      </c>
      <c r="AW1749" s="6" t="str">
        <f>HYPERLINK("http://www.worldcat.org/oclc/880237302","WorldCat Record")</f>
        <v>WorldCat Record</v>
      </c>
      <c r="AX1749" s="3" t="s">
        <v>17143</v>
      </c>
      <c r="AY1749" s="3" t="s">
        <v>17144</v>
      </c>
      <c r="AZ1749" s="3" t="s">
        <v>17145</v>
      </c>
      <c r="BA1749" s="3" t="s">
        <v>17145</v>
      </c>
      <c r="BB1749" s="3" t="s">
        <v>17146</v>
      </c>
      <c r="BC1749" s="3" t="s">
        <v>77</v>
      </c>
      <c r="BD1749" s="3" t="s">
        <v>106</v>
      </c>
      <c r="BE1749" s="3" t="s">
        <v>17147</v>
      </c>
      <c r="BF1749" s="3" t="s">
        <v>17146</v>
      </c>
      <c r="BG1749" s="3" t="s">
        <v>17148</v>
      </c>
    </row>
    <row r="1750" spans="1:59" ht="58" x14ac:dyDescent="0.35">
      <c r="A1750" s="2" t="s">
        <v>59</v>
      </c>
      <c r="B1750" s="2" t="s">
        <v>60</v>
      </c>
      <c r="C1750" s="2" t="s">
        <v>17149</v>
      </c>
      <c r="D1750" s="2" t="s">
        <v>17150</v>
      </c>
      <c r="E1750" s="2" t="s">
        <v>17151</v>
      </c>
      <c r="G1750" s="3" t="s">
        <v>65</v>
      </c>
      <c r="I1750" s="3" t="s">
        <v>65</v>
      </c>
      <c r="J1750" s="3" t="s">
        <v>65</v>
      </c>
      <c r="K1750" s="3" t="s">
        <v>66</v>
      </c>
      <c r="M1750" s="2" t="s">
        <v>17152</v>
      </c>
      <c r="N1750" s="3" t="s">
        <v>68</v>
      </c>
      <c r="P1750" s="3" t="s">
        <v>616</v>
      </c>
      <c r="Q1750" s="2" t="s">
        <v>17153</v>
      </c>
      <c r="R1750" s="3" t="s">
        <v>71</v>
      </c>
      <c r="S1750" s="4">
        <v>0</v>
      </c>
      <c r="T1750" s="4">
        <v>0</v>
      </c>
      <c r="W1750" s="5" t="s">
        <v>72</v>
      </c>
      <c r="X1750" s="5" t="s">
        <v>72</v>
      </c>
      <c r="Y1750" s="4">
        <v>62</v>
      </c>
      <c r="Z1750" s="4">
        <v>5</v>
      </c>
      <c r="AA1750" s="4">
        <v>6</v>
      </c>
      <c r="AB1750" s="4">
        <v>1</v>
      </c>
      <c r="AC1750" s="4">
        <v>2</v>
      </c>
      <c r="AD1750" s="4">
        <v>37</v>
      </c>
      <c r="AE1750" s="4">
        <v>38</v>
      </c>
      <c r="AF1750" s="4">
        <v>0</v>
      </c>
      <c r="AG1750" s="4">
        <v>1</v>
      </c>
      <c r="AH1750" s="4">
        <v>34</v>
      </c>
      <c r="AI1750" s="4">
        <v>35</v>
      </c>
      <c r="AJ1750" s="4">
        <v>4</v>
      </c>
      <c r="AK1750" s="4">
        <v>5</v>
      </c>
      <c r="AL1750" s="4">
        <v>25</v>
      </c>
      <c r="AM1750" s="4">
        <v>25</v>
      </c>
      <c r="AN1750" s="4">
        <v>0</v>
      </c>
      <c r="AO1750" s="4">
        <v>0</v>
      </c>
      <c r="AP1750" s="4">
        <v>4</v>
      </c>
      <c r="AQ1750" s="4">
        <v>5</v>
      </c>
      <c r="AR1750" s="3" t="s">
        <v>65</v>
      </c>
      <c r="AS1750" s="3" t="s">
        <v>65</v>
      </c>
      <c r="AT1750" s="3" t="s">
        <v>65</v>
      </c>
      <c r="AV1750" s="6" t="str">
        <f>HYPERLINK("http://mcgill.on.worldcat.org/oclc/964359853","Catalog Record")</f>
        <v>Catalog Record</v>
      </c>
      <c r="AW1750" s="6" t="str">
        <f>HYPERLINK("http://www.worldcat.org/oclc/964359853","WorldCat Record")</f>
        <v>WorldCat Record</v>
      </c>
      <c r="AX1750" s="3" t="s">
        <v>17154</v>
      </c>
      <c r="AY1750" s="3" t="s">
        <v>17155</v>
      </c>
      <c r="AZ1750" s="3" t="s">
        <v>17156</v>
      </c>
      <c r="BA1750" s="3" t="s">
        <v>17156</v>
      </c>
      <c r="BB1750" s="3" t="s">
        <v>17157</v>
      </c>
      <c r="BC1750" s="3" t="s">
        <v>77</v>
      </c>
      <c r="BD1750" s="3" t="s">
        <v>78</v>
      </c>
      <c r="BE1750" s="3" t="s">
        <v>17158</v>
      </c>
      <c r="BF1750" s="3" t="s">
        <v>17157</v>
      </c>
      <c r="BG1750" s="3" t="s">
        <v>17159</v>
      </c>
    </row>
    <row r="1751" spans="1:59" ht="58" x14ac:dyDescent="0.35">
      <c r="A1751" s="2" t="s">
        <v>59</v>
      </c>
      <c r="B1751" s="2" t="s">
        <v>60</v>
      </c>
      <c r="C1751" s="2" t="s">
        <v>17160</v>
      </c>
      <c r="D1751" s="2" t="s">
        <v>17161</v>
      </c>
      <c r="E1751" s="2" t="s">
        <v>17162</v>
      </c>
      <c r="G1751" s="3" t="s">
        <v>65</v>
      </c>
      <c r="I1751" s="3" t="s">
        <v>65</v>
      </c>
      <c r="J1751" s="3" t="s">
        <v>65</v>
      </c>
      <c r="K1751" s="3" t="s">
        <v>66</v>
      </c>
      <c r="L1751" s="2" t="s">
        <v>17163</v>
      </c>
      <c r="M1751" s="2" t="s">
        <v>17164</v>
      </c>
      <c r="N1751" s="3" t="s">
        <v>152</v>
      </c>
      <c r="P1751" s="3" t="s">
        <v>69</v>
      </c>
      <c r="Q1751" s="2" t="s">
        <v>17165</v>
      </c>
      <c r="R1751" s="3" t="s">
        <v>71</v>
      </c>
      <c r="S1751" s="4">
        <v>0</v>
      </c>
      <c r="T1751" s="4">
        <v>0</v>
      </c>
      <c r="W1751" s="5" t="s">
        <v>72</v>
      </c>
      <c r="X1751" s="5" t="s">
        <v>72</v>
      </c>
      <c r="Y1751" s="4">
        <v>42</v>
      </c>
      <c r="Z1751" s="4">
        <v>10</v>
      </c>
      <c r="AA1751" s="4">
        <v>10</v>
      </c>
      <c r="AB1751" s="4">
        <v>1</v>
      </c>
      <c r="AC1751" s="4">
        <v>1</v>
      </c>
      <c r="AD1751" s="4">
        <v>25</v>
      </c>
      <c r="AE1751" s="4">
        <v>25</v>
      </c>
      <c r="AF1751" s="4">
        <v>0</v>
      </c>
      <c r="AG1751" s="4">
        <v>0</v>
      </c>
      <c r="AH1751" s="4">
        <v>21</v>
      </c>
      <c r="AI1751" s="4">
        <v>21</v>
      </c>
      <c r="AJ1751" s="4">
        <v>6</v>
      </c>
      <c r="AK1751" s="4">
        <v>6</v>
      </c>
      <c r="AL1751" s="4">
        <v>16</v>
      </c>
      <c r="AM1751" s="4">
        <v>16</v>
      </c>
      <c r="AN1751" s="4">
        <v>0</v>
      </c>
      <c r="AO1751" s="4">
        <v>0</v>
      </c>
      <c r="AP1751" s="4">
        <v>5</v>
      </c>
      <c r="AQ1751" s="4">
        <v>5</v>
      </c>
      <c r="AR1751" s="3" t="s">
        <v>209</v>
      </c>
      <c r="AS1751" s="3" t="s">
        <v>65</v>
      </c>
      <c r="AT1751" s="3" t="s">
        <v>65</v>
      </c>
      <c r="AV1751" s="6" t="str">
        <f>HYPERLINK("http://mcgill.on.worldcat.org/oclc/853309031","Catalog Record")</f>
        <v>Catalog Record</v>
      </c>
      <c r="AW1751" s="6" t="str">
        <f>HYPERLINK("http://www.worldcat.org/oclc/853309031","WorldCat Record")</f>
        <v>WorldCat Record</v>
      </c>
      <c r="AX1751" s="3" t="s">
        <v>17166</v>
      </c>
      <c r="AY1751" s="3" t="s">
        <v>17167</v>
      </c>
      <c r="AZ1751" s="3" t="s">
        <v>17168</v>
      </c>
      <c r="BA1751" s="3" t="s">
        <v>17168</v>
      </c>
      <c r="BB1751" s="3" t="s">
        <v>17169</v>
      </c>
      <c r="BC1751" s="3" t="s">
        <v>77</v>
      </c>
      <c r="BD1751" s="3" t="s">
        <v>78</v>
      </c>
      <c r="BE1751" s="3" t="s">
        <v>17170</v>
      </c>
      <c r="BF1751" s="3" t="s">
        <v>17169</v>
      </c>
      <c r="BG1751" s="3" t="s">
        <v>17171</v>
      </c>
    </row>
    <row r="1752" spans="1:59" ht="58" x14ac:dyDescent="0.35">
      <c r="A1752" s="2" t="s">
        <v>59</v>
      </c>
      <c r="B1752" s="2" t="s">
        <v>60</v>
      </c>
      <c r="C1752" s="2" t="s">
        <v>17172</v>
      </c>
      <c r="D1752" s="2" t="s">
        <v>17173</v>
      </c>
      <c r="E1752" s="2" t="s">
        <v>17174</v>
      </c>
      <c r="G1752" s="3" t="s">
        <v>65</v>
      </c>
      <c r="I1752" s="3" t="s">
        <v>65</v>
      </c>
      <c r="J1752" s="3" t="s">
        <v>65</v>
      </c>
      <c r="K1752" s="3" t="s">
        <v>66</v>
      </c>
      <c r="L1752" s="2" t="s">
        <v>17175</v>
      </c>
      <c r="M1752" s="2" t="s">
        <v>17176</v>
      </c>
      <c r="N1752" s="3" t="s">
        <v>463</v>
      </c>
      <c r="P1752" s="3" t="s">
        <v>4819</v>
      </c>
      <c r="R1752" s="3" t="s">
        <v>71</v>
      </c>
      <c r="S1752" s="4">
        <v>1</v>
      </c>
      <c r="T1752" s="4">
        <v>1</v>
      </c>
      <c r="U1752" s="5" t="s">
        <v>10660</v>
      </c>
      <c r="V1752" s="5" t="s">
        <v>10660</v>
      </c>
      <c r="W1752" s="5" t="s">
        <v>72</v>
      </c>
      <c r="X1752" s="5" t="s">
        <v>72</v>
      </c>
      <c r="Y1752" s="4">
        <v>9</v>
      </c>
      <c r="Z1752" s="4">
        <v>1</v>
      </c>
      <c r="AA1752" s="4">
        <v>2</v>
      </c>
      <c r="AB1752" s="4">
        <v>1</v>
      </c>
      <c r="AC1752" s="4">
        <v>1</v>
      </c>
      <c r="AD1752" s="4">
        <v>4</v>
      </c>
      <c r="AE1752" s="4">
        <v>7</v>
      </c>
      <c r="AF1752" s="4">
        <v>0</v>
      </c>
      <c r="AG1752" s="4">
        <v>0</v>
      </c>
      <c r="AH1752" s="4">
        <v>4</v>
      </c>
      <c r="AI1752" s="4">
        <v>7</v>
      </c>
      <c r="AJ1752" s="4">
        <v>0</v>
      </c>
      <c r="AK1752" s="4">
        <v>1</v>
      </c>
      <c r="AL1752" s="4">
        <v>3</v>
      </c>
      <c r="AM1752" s="4">
        <v>5</v>
      </c>
      <c r="AN1752" s="4">
        <v>0</v>
      </c>
      <c r="AO1752" s="4">
        <v>0</v>
      </c>
      <c r="AP1752" s="4">
        <v>0</v>
      </c>
      <c r="AQ1752" s="4">
        <v>1</v>
      </c>
      <c r="AR1752" s="3" t="s">
        <v>65</v>
      </c>
      <c r="AS1752" s="3" t="s">
        <v>65</v>
      </c>
      <c r="AT1752" s="3" t="s">
        <v>65</v>
      </c>
      <c r="AV1752" s="6" t="str">
        <f>HYPERLINK("http://mcgill.on.worldcat.org/oclc/11028042","Catalog Record")</f>
        <v>Catalog Record</v>
      </c>
      <c r="AW1752" s="6" t="str">
        <f>HYPERLINK("http://www.worldcat.org/oclc/11028042","WorldCat Record")</f>
        <v>WorldCat Record</v>
      </c>
      <c r="AX1752" s="3" t="s">
        <v>17177</v>
      </c>
      <c r="AY1752" s="3" t="s">
        <v>17178</v>
      </c>
      <c r="AZ1752" s="3" t="s">
        <v>17179</v>
      </c>
      <c r="BA1752" s="3" t="s">
        <v>17179</v>
      </c>
      <c r="BB1752" s="3" t="s">
        <v>17180</v>
      </c>
      <c r="BC1752" s="3" t="s">
        <v>77</v>
      </c>
      <c r="BD1752" s="3" t="s">
        <v>78</v>
      </c>
      <c r="BF1752" s="3" t="s">
        <v>17180</v>
      </c>
      <c r="BG1752" s="3" t="s">
        <v>17181</v>
      </c>
    </row>
    <row r="1753" spans="1:59" ht="58" x14ac:dyDescent="0.35">
      <c r="A1753" s="2" t="s">
        <v>59</v>
      </c>
      <c r="B1753" s="2" t="s">
        <v>60</v>
      </c>
      <c r="C1753" s="2" t="s">
        <v>17182</v>
      </c>
      <c r="D1753" s="2" t="s">
        <v>17183</v>
      </c>
      <c r="E1753" s="2" t="s">
        <v>17184</v>
      </c>
      <c r="G1753" s="3" t="s">
        <v>65</v>
      </c>
      <c r="I1753" s="3" t="s">
        <v>65</v>
      </c>
      <c r="J1753" s="3" t="s">
        <v>65</v>
      </c>
      <c r="K1753" s="3" t="s">
        <v>66</v>
      </c>
      <c r="L1753" s="2" t="s">
        <v>17175</v>
      </c>
      <c r="M1753" s="2" t="s">
        <v>6992</v>
      </c>
      <c r="N1753" s="3" t="s">
        <v>1932</v>
      </c>
      <c r="P1753" s="3" t="s">
        <v>69</v>
      </c>
      <c r="R1753" s="3" t="s">
        <v>71</v>
      </c>
      <c r="S1753" s="4">
        <v>10</v>
      </c>
      <c r="T1753" s="4">
        <v>10</v>
      </c>
      <c r="U1753" s="5" t="s">
        <v>17185</v>
      </c>
      <c r="V1753" s="5" t="s">
        <v>17185</v>
      </c>
      <c r="W1753" s="5" t="s">
        <v>72</v>
      </c>
      <c r="X1753" s="5" t="s">
        <v>72</v>
      </c>
      <c r="Y1753" s="4">
        <v>217</v>
      </c>
      <c r="Z1753" s="4">
        <v>7</v>
      </c>
      <c r="AA1753" s="4">
        <v>9</v>
      </c>
      <c r="AB1753" s="4">
        <v>1</v>
      </c>
      <c r="AC1753" s="4">
        <v>2</v>
      </c>
      <c r="AD1753" s="4">
        <v>64</v>
      </c>
      <c r="AE1753" s="4">
        <v>66</v>
      </c>
      <c r="AF1753" s="4">
        <v>0</v>
      </c>
      <c r="AG1753" s="4">
        <v>0</v>
      </c>
      <c r="AH1753" s="4">
        <v>62</v>
      </c>
      <c r="AI1753" s="4">
        <v>63</v>
      </c>
      <c r="AJ1753" s="4">
        <v>2</v>
      </c>
      <c r="AK1753" s="4">
        <v>2</v>
      </c>
      <c r="AL1753" s="4">
        <v>39</v>
      </c>
      <c r="AM1753" s="4">
        <v>39</v>
      </c>
      <c r="AN1753" s="4">
        <v>0</v>
      </c>
      <c r="AO1753" s="4">
        <v>0</v>
      </c>
      <c r="AP1753" s="4">
        <v>3</v>
      </c>
      <c r="AQ1753" s="4">
        <v>4</v>
      </c>
      <c r="AR1753" s="3" t="s">
        <v>65</v>
      </c>
      <c r="AS1753" s="3" t="s">
        <v>65</v>
      </c>
      <c r="AT1753" s="3" t="s">
        <v>65</v>
      </c>
      <c r="AV1753" s="6" t="str">
        <f>HYPERLINK("http://mcgill.on.worldcat.org/oclc/30894762","Catalog Record")</f>
        <v>Catalog Record</v>
      </c>
      <c r="AW1753" s="6" t="str">
        <f>HYPERLINK("http://www.worldcat.org/oclc/30894762","WorldCat Record")</f>
        <v>WorldCat Record</v>
      </c>
      <c r="AX1753" s="3" t="s">
        <v>17186</v>
      </c>
      <c r="AY1753" s="3" t="s">
        <v>17187</v>
      </c>
      <c r="AZ1753" s="3" t="s">
        <v>17188</v>
      </c>
      <c r="BA1753" s="3" t="s">
        <v>17188</v>
      </c>
      <c r="BB1753" s="3" t="s">
        <v>17189</v>
      </c>
      <c r="BC1753" s="3" t="s">
        <v>77</v>
      </c>
      <c r="BD1753" s="3" t="s">
        <v>78</v>
      </c>
      <c r="BE1753" s="3" t="s">
        <v>17190</v>
      </c>
      <c r="BF1753" s="3" t="s">
        <v>17189</v>
      </c>
      <c r="BG1753" s="3" t="s">
        <v>17191</v>
      </c>
    </row>
    <row r="1754" spans="1:59" ht="58" x14ac:dyDescent="0.35">
      <c r="A1754" s="2" t="s">
        <v>59</v>
      </c>
      <c r="B1754" s="2" t="s">
        <v>60</v>
      </c>
      <c r="C1754" s="2" t="s">
        <v>17192</v>
      </c>
      <c r="D1754" s="2" t="s">
        <v>17193</v>
      </c>
      <c r="E1754" s="2" t="s">
        <v>17194</v>
      </c>
      <c r="G1754" s="3" t="s">
        <v>65</v>
      </c>
      <c r="I1754" s="3" t="s">
        <v>65</v>
      </c>
      <c r="J1754" s="3" t="s">
        <v>65</v>
      </c>
      <c r="K1754" s="3" t="s">
        <v>66</v>
      </c>
      <c r="L1754" s="2" t="s">
        <v>17195</v>
      </c>
      <c r="M1754" s="2" t="s">
        <v>17196</v>
      </c>
      <c r="N1754" s="3" t="s">
        <v>831</v>
      </c>
      <c r="P1754" s="3" t="s">
        <v>69</v>
      </c>
      <c r="Q1754" s="2" t="s">
        <v>17197</v>
      </c>
      <c r="R1754" s="3" t="s">
        <v>71</v>
      </c>
      <c r="S1754" s="4">
        <v>19</v>
      </c>
      <c r="T1754" s="4">
        <v>19</v>
      </c>
      <c r="U1754" s="5" t="s">
        <v>10660</v>
      </c>
      <c r="V1754" s="5" t="s">
        <v>10660</v>
      </c>
      <c r="W1754" s="5" t="s">
        <v>72</v>
      </c>
      <c r="X1754" s="5" t="s">
        <v>72</v>
      </c>
      <c r="Y1754" s="4">
        <v>342</v>
      </c>
      <c r="Z1754" s="4">
        <v>19</v>
      </c>
      <c r="AA1754" s="4">
        <v>19</v>
      </c>
      <c r="AB1754" s="4">
        <v>1</v>
      </c>
      <c r="AC1754" s="4">
        <v>1</v>
      </c>
      <c r="AD1754" s="4">
        <v>109</v>
      </c>
      <c r="AE1754" s="4">
        <v>109</v>
      </c>
      <c r="AF1754" s="4">
        <v>0</v>
      </c>
      <c r="AG1754" s="4">
        <v>0</v>
      </c>
      <c r="AH1754" s="4">
        <v>99</v>
      </c>
      <c r="AI1754" s="4">
        <v>99</v>
      </c>
      <c r="AJ1754" s="4">
        <v>15</v>
      </c>
      <c r="AK1754" s="4">
        <v>15</v>
      </c>
      <c r="AL1754" s="4">
        <v>54</v>
      </c>
      <c r="AM1754" s="4">
        <v>54</v>
      </c>
      <c r="AN1754" s="4">
        <v>0</v>
      </c>
      <c r="AO1754" s="4">
        <v>0</v>
      </c>
      <c r="AP1754" s="4">
        <v>15</v>
      </c>
      <c r="AQ1754" s="4">
        <v>15</v>
      </c>
      <c r="AR1754" s="3" t="s">
        <v>65</v>
      </c>
      <c r="AS1754" s="3" t="s">
        <v>65</v>
      </c>
      <c r="AT1754" s="3" t="s">
        <v>209</v>
      </c>
      <c r="AU1754" s="6" t="str">
        <f>HYPERLINK("http://catalog.hathitrust.org/Record/000201310","HathiTrust Record")</f>
        <v>HathiTrust Record</v>
      </c>
      <c r="AV1754" s="6" t="str">
        <f>HYPERLINK("http://mcgill.on.worldcat.org/oclc/8560547","Catalog Record")</f>
        <v>Catalog Record</v>
      </c>
      <c r="AW1754" s="6" t="str">
        <f>HYPERLINK("http://www.worldcat.org/oclc/8560547","WorldCat Record")</f>
        <v>WorldCat Record</v>
      </c>
      <c r="AX1754" s="3" t="s">
        <v>17198</v>
      </c>
      <c r="AY1754" s="3" t="s">
        <v>17199</v>
      </c>
      <c r="AZ1754" s="3" t="s">
        <v>17200</v>
      </c>
      <c r="BA1754" s="3" t="s">
        <v>17200</v>
      </c>
      <c r="BB1754" s="3" t="s">
        <v>17201</v>
      </c>
      <c r="BC1754" s="3" t="s">
        <v>77</v>
      </c>
      <c r="BD1754" s="3" t="s">
        <v>78</v>
      </c>
      <c r="BE1754" s="3" t="s">
        <v>17202</v>
      </c>
      <c r="BF1754" s="3" t="s">
        <v>17201</v>
      </c>
      <c r="BG1754" s="3" t="s">
        <v>17203</v>
      </c>
    </row>
    <row r="1755" spans="1:59" ht="58" x14ac:dyDescent="0.35">
      <c r="A1755" s="2" t="s">
        <v>59</v>
      </c>
      <c r="B1755" s="2" t="s">
        <v>60</v>
      </c>
      <c r="C1755" s="2" t="s">
        <v>17204</v>
      </c>
      <c r="D1755" s="2" t="s">
        <v>17205</v>
      </c>
      <c r="E1755" s="2" t="s">
        <v>17206</v>
      </c>
      <c r="G1755" s="3" t="s">
        <v>65</v>
      </c>
      <c r="I1755" s="3" t="s">
        <v>65</v>
      </c>
      <c r="J1755" s="3" t="s">
        <v>65</v>
      </c>
      <c r="K1755" s="3" t="s">
        <v>66</v>
      </c>
      <c r="M1755" s="2" t="s">
        <v>17207</v>
      </c>
      <c r="N1755" s="3" t="s">
        <v>176</v>
      </c>
      <c r="P1755" s="3" t="s">
        <v>69</v>
      </c>
      <c r="Q1755" s="2" t="s">
        <v>17208</v>
      </c>
      <c r="R1755" s="3" t="s">
        <v>71</v>
      </c>
      <c r="S1755" s="4">
        <v>0</v>
      </c>
      <c r="T1755" s="4">
        <v>0</v>
      </c>
      <c r="W1755" s="5" t="s">
        <v>72</v>
      </c>
      <c r="X1755" s="5" t="s">
        <v>72</v>
      </c>
      <c r="Y1755" s="4">
        <v>79</v>
      </c>
      <c r="Z1755" s="4">
        <v>7</v>
      </c>
      <c r="AA1755" s="4">
        <v>12</v>
      </c>
      <c r="AB1755" s="4">
        <v>1</v>
      </c>
      <c r="AC1755" s="4">
        <v>4</v>
      </c>
      <c r="AD1755" s="4">
        <v>41</v>
      </c>
      <c r="AE1755" s="4">
        <v>47</v>
      </c>
      <c r="AF1755" s="4">
        <v>0</v>
      </c>
      <c r="AG1755" s="4">
        <v>0</v>
      </c>
      <c r="AH1755" s="4">
        <v>39</v>
      </c>
      <c r="AI1755" s="4">
        <v>45</v>
      </c>
      <c r="AJ1755" s="4">
        <v>5</v>
      </c>
      <c r="AK1755" s="4">
        <v>7</v>
      </c>
      <c r="AL1755" s="4">
        <v>28</v>
      </c>
      <c r="AM1755" s="4">
        <v>30</v>
      </c>
      <c r="AN1755" s="4">
        <v>0</v>
      </c>
      <c r="AO1755" s="4">
        <v>0</v>
      </c>
      <c r="AP1755" s="4">
        <v>5</v>
      </c>
      <c r="AQ1755" s="4">
        <v>7</v>
      </c>
      <c r="AR1755" s="3" t="s">
        <v>65</v>
      </c>
      <c r="AS1755" s="3" t="s">
        <v>65</v>
      </c>
      <c r="AT1755" s="3" t="s">
        <v>65</v>
      </c>
      <c r="AV1755" s="6" t="str">
        <f>HYPERLINK("http://mcgill.on.worldcat.org/oclc/903873517","Catalog Record")</f>
        <v>Catalog Record</v>
      </c>
      <c r="AW1755" s="6" t="str">
        <f>HYPERLINK("http://www.worldcat.org/oclc/903873517","WorldCat Record")</f>
        <v>WorldCat Record</v>
      </c>
      <c r="AX1755" s="3" t="s">
        <v>17209</v>
      </c>
      <c r="AY1755" s="3" t="s">
        <v>17210</v>
      </c>
      <c r="AZ1755" s="3" t="s">
        <v>17211</v>
      </c>
      <c r="BA1755" s="3" t="s">
        <v>17211</v>
      </c>
      <c r="BB1755" s="3" t="s">
        <v>17212</v>
      </c>
      <c r="BC1755" s="3" t="s">
        <v>77</v>
      </c>
      <c r="BD1755" s="3" t="s">
        <v>78</v>
      </c>
      <c r="BE1755" s="3" t="s">
        <v>17213</v>
      </c>
      <c r="BF1755" s="3" t="s">
        <v>17212</v>
      </c>
      <c r="BG1755" s="3" t="s">
        <v>17214</v>
      </c>
    </row>
    <row r="1756" spans="1:59" ht="58" x14ac:dyDescent="0.35">
      <c r="A1756" s="2" t="s">
        <v>59</v>
      </c>
      <c r="B1756" s="2" t="s">
        <v>60</v>
      </c>
      <c r="C1756" s="2" t="s">
        <v>17215</v>
      </c>
      <c r="D1756" s="2" t="s">
        <v>17216</v>
      </c>
      <c r="E1756" s="2" t="s">
        <v>17217</v>
      </c>
      <c r="G1756" s="3" t="s">
        <v>65</v>
      </c>
      <c r="I1756" s="3" t="s">
        <v>65</v>
      </c>
      <c r="J1756" s="3" t="s">
        <v>65</v>
      </c>
      <c r="K1756" s="3" t="s">
        <v>66</v>
      </c>
      <c r="L1756" s="2" t="s">
        <v>17175</v>
      </c>
      <c r="M1756" s="2" t="s">
        <v>17218</v>
      </c>
      <c r="N1756" s="3" t="s">
        <v>113</v>
      </c>
      <c r="P1756" s="3" t="s">
        <v>69</v>
      </c>
      <c r="Q1756" s="2" t="s">
        <v>17219</v>
      </c>
      <c r="R1756" s="3" t="s">
        <v>71</v>
      </c>
      <c r="S1756" s="4">
        <v>2</v>
      </c>
      <c r="T1756" s="4">
        <v>2</v>
      </c>
      <c r="U1756" s="5" t="s">
        <v>10660</v>
      </c>
      <c r="V1756" s="5" t="s">
        <v>10660</v>
      </c>
      <c r="W1756" s="5" t="s">
        <v>72</v>
      </c>
      <c r="X1756" s="5" t="s">
        <v>72</v>
      </c>
      <c r="Y1756" s="4">
        <v>199</v>
      </c>
      <c r="Z1756" s="4">
        <v>16</v>
      </c>
      <c r="AA1756" s="4">
        <v>76</v>
      </c>
      <c r="AB1756" s="4">
        <v>1</v>
      </c>
      <c r="AC1756" s="4">
        <v>14</v>
      </c>
      <c r="AD1756" s="4">
        <v>80</v>
      </c>
      <c r="AE1756" s="4">
        <v>125</v>
      </c>
      <c r="AF1756" s="4">
        <v>0</v>
      </c>
      <c r="AG1756" s="4">
        <v>8</v>
      </c>
      <c r="AH1756" s="4">
        <v>74</v>
      </c>
      <c r="AI1756" s="4">
        <v>95</v>
      </c>
      <c r="AJ1756" s="4">
        <v>12</v>
      </c>
      <c r="AK1756" s="4">
        <v>21</v>
      </c>
      <c r="AL1756" s="4">
        <v>44</v>
      </c>
      <c r="AM1756" s="4">
        <v>53</v>
      </c>
      <c r="AN1756" s="4">
        <v>0</v>
      </c>
      <c r="AO1756" s="4">
        <v>0</v>
      </c>
      <c r="AP1756" s="4">
        <v>12</v>
      </c>
      <c r="AQ1756" s="4">
        <v>37</v>
      </c>
      <c r="AR1756" s="3" t="s">
        <v>65</v>
      </c>
      <c r="AS1756" s="3" t="s">
        <v>65</v>
      </c>
      <c r="AT1756" s="3" t="s">
        <v>65</v>
      </c>
      <c r="AV1756" s="6" t="str">
        <f>HYPERLINK("http://mcgill.on.worldcat.org/oclc/587198941","Catalog Record")</f>
        <v>Catalog Record</v>
      </c>
      <c r="AW1756" s="6" t="str">
        <f>HYPERLINK("http://www.worldcat.org/oclc/587198941","WorldCat Record")</f>
        <v>WorldCat Record</v>
      </c>
      <c r="AX1756" s="3" t="s">
        <v>17220</v>
      </c>
      <c r="AY1756" s="3" t="s">
        <v>17221</v>
      </c>
      <c r="AZ1756" s="3" t="s">
        <v>17222</v>
      </c>
      <c r="BA1756" s="3" t="s">
        <v>17222</v>
      </c>
      <c r="BB1756" s="3" t="s">
        <v>17223</v>
      </c>
      <c r="BC1756" s="3" t="s">
        <v>77</v>
      </c>
      <c r="BD1756" s="3" t="s">
        <v>78</v>
      </c>
      <c r="BE1756" s="3" t="s">
        <v>17224</v>
      </c>
      <c r="BF1756" s="3" t="s">
        <v>17223</v>
      </c>
      <c r="BG1756" s="3" t="s">
        <v>17225</v>
      </c>
    </row>
    <row r="1757" spans="1:59" ht="58" x14ac:dyDescent="0.35">
      <c r="A1757" s="2" t="s">
        <v>59</v>
      </c>
      <c r="B1757" s="2" t="s">
        <v>60</v>
      </c>
      <c r="C1757" s="2" t="s">
        <v>17226</v>
      </c>
      <c r="D1757" s="2" t="s">
        <v>17227</v>
      </c>
      <c r="E1757" s="2" t="s">
        <v>17228</v>
      </c>
      <c r="F1757" s="3" t="s">
        <v>10617</v>
      </c>
      <c r="G1757" s="3" t="s">
        <v>209</v>
      </c>
      <c r="I1757" s="3" t="s">
        <v>65</v>
      </c>
      <c r="J1757" s="3" t="s">
        <v>209</v>
      </c>
      <c r="K1757" s="3" t="s">
        <v>66</v>
      </c>
      <c r="L1757" s="2" t="s">
        <v>17229</v>
      </c>
      <c r="M1757" s="2" t="s">
        <v>17230</v>
      </c>
      <c r="N1757" s="3" t="s">
        <v>1944</v>
      </c>
      <c r="P1757" s="3" t="s">
        <v>140</v>
      </c>
      <c r="Q1757" s="2" t="s">
        <v>17231</v>
      </c>
      <c r="R1757" s="3" t="s">
        <v>71</v>
      </c>
      <c r="S1757" s="4">
        <v>4</v>
      </c>
      <c r="T1757" s="4">
        <v>8</v>
      </c>
      <c r="U1757" s="5" t="s">
        <v>6927</v>
      </c>
      <c r="V1757" s="5" t="s">
        <v>6927</v>
      </c>
      <c r="W1757" s="5" t="s">
        <v>72</v>
      </c>
      <c r="X1757" s="5" t="s">
        <v>72</v>
      </c>
      <c r="Y1757" s="4">
        <v>80</v>
      </c>
      <c r="Z1757" s="4">
        <v>5</v>
      </c>
      <c r="AA1757" s="4">
        <v>13</v>
      </c>
      <c r="AB1757" s="4">
        <v>1</v>
      </c>
      <c r="AC1757" s="4">
        <v>2</v>
      </c>
      <c r="AD1757" s="4">
        <v>39</v>
      </c>
      <c r="AE1757" s="4">
        <v>60</v>
      </c>
      <c r="AF1757" s="4">
        <v>0</v>
      </c>
      <c r="AG1757" s="4">
        <v>1</v>
      </c>
      <c r="AH1757" s="4">
        <v>38</v>
      </c>
      <c r="AI1757" s="4">
        <v>55</v>
      </c>
      <c r="AJ1757" s="4">
        <v>2</v>
      </c>
      <c r="AK1757" s="4">
        <v>9</v>
      </c>
      <c r="AL1757" s="4">
        <v>29</v>
      </c>
      <c r="AM1757" s="4">
        <v>37</v>
      </c>
      <c r="AN1757" s="4">
        <v>0</v>
      </c>
      <c r="AO1757" s="4">
        <v>0</v>
      </c>
      <c r="AP1757" s="4">
        <v>2</v>
      </c>
      <c r="AQ1757" s="4">
        <v>8</v>
      </c>
      <c r="AR1757" s="3" t="s">
        <v>65</v>
      </c>
      <c r="AS1757" s="3" t="s">
        <v>65</v>
      </c>
      <c r="AT1757" s="3" t="s">
        <v>209</v>
      </c>
      <c r="AU1757" s="6" t="str">
        <f>HYPERLINK("http://catalog.hathitrust.org/Record/004145058","HathiTrust Record")</f>
        <v>HathiTrust Record</v>
      </c>
      <c r="AV1757" s="6" t="str">
        <f>HYPERLINK("http://mcgill.on.worldcat.org/oclc/45412810","Catalog Record")</f>
        <v>Catalog Record</v>
      </c>
      <c r="AW1757" s="6" t="str">
        <f>HYPERLINK("http://www.worldcat.org/oclc/45412810","WorldCat Record")</f>
        <v>WorldCat Record</v>
      </c>
      <c r="AX1757" s="3" t="s">
        <v>17232</v>
      </c>
      <c r="AY1757" s="3" t="s">
        <v>17233</v>
      </c>
      <c r="AZ1757" s="3" t="s">
        <v>17234</v>
      </c>
      <c r="BA1757" s="3" t="s">
        <v>17234</v>
      </c>
      <c r="BB1757" s="3" t="s">
        <v>17235</v>
      </c>
      <c r="BC1757" s="3" t="s">
        <v>77</v>
      </c>
      <c r="BD1757" s="3" t="s">
        <v>78</v>
      </c>
      <c r="BE1757" s="3" t="s">
        <v>17236</v>
      </c>
      <c r="BF1757" s="3" t="s">
        <v>17235</v>
      </c>
      <c r="BG1757" s="3" t="s">
        <v>17237</v>
      </c>
    </row>
    <row r="1758" spans="1:59" ht="58" x14ac:dyDescent="0.35">
      <c r="A1758" s="2" t="s">
        <v>59</v>
      </c>
      <c r="B1758" s="2" t="s">
        <v>60</v>
      </c>
      <c r="C1758" s="2" t="s">
        <v>17226</v>
      </c>
      <c r="D1758" s="2" t="s">
        <v>17227</v>
      </c>
      <c r="E1758" s="2" t="s">
        <v>17228</v>
      </c>
      <c r="F1758" s="3" t="s">
        <v>10601</v>
      </c>
      <c r="G1758" s="3" t="s">
        <v>209</v>
      </c>
      <c r="I1758" s="3" t="s">
        <v>65</v>
      </c>
      <c r="J1758" s="3" t="s">
        <v>209</v>
      </c>
      <c r="K1758" s="3" t="s">
        <v>66</v>
      </c>
      <c r="L1758" s="2" t="s">
        <v>17229</v>
      </c>
      <c r="M1758" s="2" t="s">
        <v>17230</v>
      </c>
      <c r="N1758" s="3" t="s">
        <v>1944</v>
      </c>
      <c r="P1758" s="3" t="s">
        <v>140</v>
      </c>
      <c r="Q1758" s="2" t="s">
        <v>17231</v>
      </c>
      <c r="R1758" s="3" t="s">
        <v>71</v>
      </c>
      <c r="S1758" s="4">
        <v>4</v>
      </c>
      <c r="T1758" s="4">
        <v>8</v>
      </c>
      <c r="U1758" s="5" t="s">
        <v>6927</v>
      </c>
      <c r="V1758" s="5" t="s">
        <v>6927</v>
      </c>
      <c r="W1758" s="5" t="s">
        <v>72</v>
      </c>
      <c r="X1758" s="5" t="s">
        <v>72</v>
      </c>
      <c r="Y1758" s="4">
        <v>80</v>
      </c>
      <c r="Z1758" s="4">
        <v>5</v>
      </c>
      <c r="AA1758" s="4">
        <v>13</v>
      </c>
      <c r="AB1758" s="4">
        <v>1</v>
      </c>
      <c r="AC1758" s="4">
        <v>2</v>
      </c>
      <c r="AD1758" s="4">
        <v>39</v>
      </c>
      <c r="AE1758" s="4">
        <v>60</v>
      </c>
      <c r="AF1758" s="4">
        <v>0</v>
      </c>
      <c r="AG1758" s="4">
        <v>1</v>
      </c>
      <c r="AH1758" s="4">
        <v>38</v>
      </c>
      <c r="AI1758" s="4">
        <v>55</v>
      </c>
      <c r="AJ1758" s="4">
        <v>2</v>
      </c>
      <c r="AK1758" s="4">
        <v>9</v>
      </c>
      <c r="AL1758" s="4">
        <v>29</v>
      </c>
      <c r="AM1758" s="4">
        <v>37</v>
      </c>
      <c r="AN1758" s="4">
        <v>0</v>
      </c>
      <c r="AO1758" s="4">
        <v>0</v>
      </c>
      <c r="AP1758" s="4">
        <v>2</v>
      </c>
      <c r="AQ1758" s="4">
        <v>8</v>
      </c>
      <c r="AR1758" s="3" t="s">
        <v>65</v>
      </c>
      <c r="AS1758" s="3" t="s">
        <v>65</v>
      </c>
      <c r="AT1758" s="3" t="s">
        <v>209</v>
      </c>
      <c r="AU1758" s="6" t="str">
        <f>HYPERLINK("http://catalog.hathitrust.org/Record/004145058","HathiTrust Record")</f>
        <v>HathiTrust Record</v>
      </c>
      <c r="AV1758" s="6" t="str">
        <f>HYPERLINK("http://mcgill.on.worldcat.org/oclc/45412810","Catalog Record")</f>
        <v>Catalog Record</v>
      </c>
      <c r="AW1758" s="6" t="str">
        <f>HYPERLINK("http://www.worldcat.org/oclc/45412810","WorldCat Record")</f>
        <v>WorldCat Record</v>
      </c>
      <c r="AX1758" s="3" t="s">
        <v>17232</v>
      </c>
      <c r="AY1758" s="3" t="s">
        <v>17233</v>
      </c>
      <c r="AZ1758" s="3" t="s">
        <v>17234</v>
      </c>
      <c r="BA1758" s="3" t="s">
        <v>17234</v>
      </c>
      <c r="BB1758" s="3" t="s">
        <v>17238</v>
      </c>
      <c r="BC1758" s="3" t="s">
        <v>77</v>
      </c>
      <c r="BD1758" s="3" t="s">
        <v>78</v>
      </c>
      <c r="BE1758" s="3" t="s">
        <v>17236</v>
      </c>
      <c r="BF1758" s="3" t="s">
        <v>17238</v>
      </c>
      <c r="BG1758" s="3" t="s">
        <v>17239</v>
      </c>
    </row>
    <row r="1759" spans="1:59" ht="72.5" x14ac:dyDescent="0.35">
      <c r="A1759" s="2" t="s">
        <v>59</v>
      </c>
      <c r="B1759" s="2" t="s">
        <v>60</v>
      </c>
      <c r="C1759" s="2" t="s">
        <v>17240</v>
      </c>
      <c r="D1759" s="2" t="s">
        <v>17241</v>
      </c>
      <c r="E1759" s="2" t="s">
        <v>17242</v>
      </c>
      <c r="F1759" s="3" t="s">
        <v>245</v>
      </c>
      <c r="G1759" s="3" t="s">
        <v>209</v>
      </c>
      <c r="I1759" s="3" t="s">
        <v>65</v>
      </c>
      <c r="J1759" s="3" t="s">
        <v>65</v>
      </c>
      <c r="K1759" s="3" t="s">
        <v>66</v>
      </c>
      <c r="L1759" s="2" t="s">
        <v>17243</v>
      </c>
      <c r="M1759" s="2" t="s">
        <v>17244</v>
      </c>
      <c r="N1759" s="3" t="s">
        <v>139</v>
      </c>
      <c r="P1759" s="3" t="s">
        <v>69</v>
      </c>
      <c r="Q1759" s="2" t="s">
        <v>17245</v>
      </c>
      <c r="R1759" s="3" t="s">
        <v>71</v>
      </c>
      <c r="S1759" s="4">
        <v>1</v>
      </c>
      <c r="T1759" s="4">
        <v>1</v>
      </c>
      <c r="U1759" s="5" t="s">
        <v>6927</v>
      </c>
      <c r="V1759" s="5" t="s">
        <v>6927</v>
      </c>
      <c r="W1759" s="5" t="s">
        <v>72</v>
      </c>
      <c r="X1759" s="5" t="s">
        <v>72</v>
      </c>
      <c r="Y1759" s="4">
        <v>103</v>
      </c>
      <c r="Z1759" s="4">
        <v>24</v>
      </c>
      <c r="AA1759" s="4">
        <v>24</v>
      </c>
      <c r="AB1759" s="4">
        <v>1</v>
      </c>
      <c r="AC1759" s="4">
        <v>1</v>
      </c>
      <c r="AD1759" s="4">
        <v>55</v>
      </c>
      <c r="AE1759" s="4">
        <v>55</v>
      </c>
      <c r="AF1759" s="4">
        <v>0</v>
      </c>
      <c r="AG1759" s="4">
        <v>0</v>
      </c>
      <c r="AH1759" s="4">
        <v>43</v>
      </c>
      <c r="AI1759" s="4">
        <v>43</v>
      </c>
      <c r="AJ1759" s="4">
        <v>15</v>
      </c>
      <c r="AK1759" s="4">
        <v>15</v>
      </c>
      <c r="AL1759" s="4">
        <v>25</v>
      </c>
      <c r="AM1759" s="4">
        <v>25</v>
      </c>
      <c r="AN1759" s="4">
        <v>0</v>
      </c>
      <c r="AO1759" s="4">
        <v>0</v>
      </c>
      <c r="AP1759" s="4">
        <v>18</v>
      </c>
      <c r="AQ1759" s="4">
        <v>18</v>
      </c>
      <c r="AR1759" s="3" t="s">
        <v>209</v>
      </c>
      <c r="AS1759" s="3" t="s">
        <v>65</v>
      </c>
      <c r="AT1759" s="3" t="s">
        <v>65</v>
      </c>
      <c r="AV1759" s="6" t="str">
        <f>HYPERLINK("http://mcgill.on.worldcat.org/oclc/785765276","Catalog Record")</f>
        <v>Catalog Record</v>
      </c>
      <c r="AW1759" s="6" t="str">
        <f>HYPERLINK("http://www.worldcat.org/oclc/785765276","WorldCat Record")</f>
        <v>WorldCat Record</v>
      </c>
      <c r="AX1759" s="3" t="s">
        <v>17246</v>
      </c>
      <c r="AY1759" s="3" t="s">
        <v>17247</v>
      </c>
      <c r="AZ1759" s="3" t="s">
        <v>17248</v>
      </c>
      <c r="BA1759" s="3" t="s">
        <v>17248</v>
      </c>
      <c r="BB1759" s="3" t="s">
        <v>17249</v>
      </c>
      <c r="BC1759" s="3" t="s">
        <v>77</v>
      </c>
      <c r="BD1759" s="3" t="s">
        <v>78</v>
      </c>
      <c r="BE1759" s="3" t="s">
        <v>17250</v>
      </c>
      <c r="BF1759" s="3" t="s">
        <v>17249</v>
      </c>
      <c r="BG1759" s="3" t="s">
        <v>17251</v>
      </c>
    </row>
    <row r="1760" spans="1:59" ht="58" x14ac:dyDescent="0.35">
      <c r="A1760" s="2" t="s">
        <v>59</v>
      </c>
      <c r="B1760" s="2" t="s">
        <v>60</v>
      </c>
      <c r="C1760" s="2" t="s">
        <v>17252</v>
      </c>
      <c r="D1760" s="2" t="s">
        <v>17253</v>
      </c>
      <c r="E1760" s="2" t="s">
        <v>17254</v>
      </c>
      <c r="G1760" s="3" t="s">
        <v>65</v>
      </c>
      <c r="I1760" s="3" t="s">
        <v>65</v>
      </c>
      <c r="J1760" s="3" t="s">
        <v>209</v>
      </c>
      <c r="K1760" s="3" t="s">
        <v>66</v>
      </c>
      <c r="L1760" s="2" t="s">
        <v>17255</v>
      </c>
      <c r="M1760" s="2" t="s">
        <v>17256</v>
      </c>
      <c r="N1760" s="3" t="s">
        <v>176</v>
      </c>
      <c r="P1760" s="3" t="s">
        <v>69</v>
      </c>
      <c r="Q1760" s="2" t="s">
        <v>17257</v>
      </c>
      <c r="R1760" s="3" t="s">
        <v>71</v>
      </c>
      <c r="S1760" s="4">
        <v>2</v>
      </c>
      <c r="T1760" s="4">
        <v>2</v>
      </c>
      <c r="U1760" s="5" t="s">
        <v>9173</v>
      </c>
      <c r="V1760" s="5" t="s">
        <v>9173</v>
      </c>
      <c r="W1760" s="5" t="s">
        <v>72</v>
      </c>
      <c r="X1760" s="5" t="s">
        <v>72</v>
      </c>
      <c r="Y1760" s="4">
        <v>92</v>
      </c>
      <c r="Z1760" s="4">
        <v>4</v>
      </c>
      <c r="AA1760" s="4">
        <v>25</v>
      </c>
      <c r="AB1760" s="4">
        <v>1</v>
      </c>
      <c r="AC1760" s="4">
        <v>1</v>
      </c>
      <c r="AD1760" s="4">
        <v>51</v>
      </c>
      <c r="AE1760" s="4">
        <v>106</v>
      </c>
      <c r="AF1760" s="4">
        <v>0</v>
      </c>
      <c r="AG1760" s="4">
        <v>0</v>
      </c>
      <c r="AH1760" s="4">
        <v>48</v>
      </c>
      <c r="AI1760" s="4">
        <v>91</v>
      </c>
      <c r="AJ1760" s="4">
        <v>3</v>
      </c>
      <c r="AK1760" s="4">
        <v>16</v>
      </c>
      <c r="AL1760" s="4">
        <v>31</v>
      </c>
      <c r="AM1760" s="4">
        <v>55</v>
      </c>
      <c r="AN1760" s="4">
        <v>0</v>
      </c>
      <c r="AO1760" s="4">
        <v>0</v>
      </c>
      <c r="AP1760" s="4">
        <v>2</v>
      </c>
      <c r="AQ1760" s="4">
        <v>18</v>
      </c>
      <c r="AR1760" s="3" t="s">
        <v>209</v>
      </c>
      <c r="AS1760" s="3" t="s">
        <v>65</v>
      </c>
      <c r="AT1760" s="3" t="s">
        <v>65</v>
      </c>
      <c r="AV1760" s="6" t="str">
        <f>HYPERLINK("http://mcgill.on.worldcat.org/oclc/910009726","Catalog Record")</f>
        <v>Catalog Record</v>
      </c>
      <c r="AW1760" s="6" t="str">
        <f>HYPERLINK("http://www.worldcat.org/oclc/910009726","WorldCat Record")</f>
        <v>WorldCat Record</v>
      </c>
      <c r="AX1760" s="3" t="s">
        <v>17258</v>
      </c>
      <c r="AY1760" s="3" t="s">
        <v>17259</v>
      </c>
      <c r="AZ1760" s="3" t="s">
        <v>17260</v>
      </c>
      <c r="BA1760" s="3" t="s">
        <v>17260</v>
      </c>
      <c r="BB1760" s="3" t="s">
        <v>17261</v>
      </c>
      <c r="BC1760" s="3" t="s">
        <v>77</v>
      </c>
      <c r="BD1760" s="3" t="s">
        <v>78</v>
      </c>
      <c r="BE1760" s="3" t="s">
        <v>17262</v>
      </c>
      <c r="BF1760" s="3" t="s">
        <v>17261</v>
      </c>
      <c r="BG1760" s="3" t="s">
        <v>17263</v>
      </c>
    </row>
    <row r="1761" spans="1:59" ht="58" x14ac:dyDescent="0.35">
      <c r="A1761" s="2" t="s">
        <v>59</v>
      </c>
      <c r="B1761" s="2" t="s">
        <v>60</v>
      </c>
      <c r="C1761" s="2" t="s">
        <v>17264</v>
      </c>
      <c r="D1761" s="2" t="s">
        <v>17265</v>
      </c>
      <c r="E1761" s="2" t="s">
        <v>17266</v>
      </c>
      <c r="G1761" s="3" t="s">
        <v>65</v>
      </c>
      <c r="I1761" s="3" t="s">
        <v>65</v>
      </c>
      <c r="J1761" s="3" t="s">
        <v>65</v>
      </c>
      <c r="K1761" s="3" t="s">
        <v>66</v>
      </c>
      <c r="L1761" s="2" t="s">
        <v>17267</v>
      </c>
      <c r="M1761" s="2" t="s">
        <v>17268</v>
      </c>
      <c r="N1761" s="3" t="s">
        <v>2210</v>
      </c>
      <c r="P1761" s="3" t="s">
        <v>69</v>
      </c>
      <c r="R1761" s="3" t="s">
        <v>71</v>
      </c>
      <c r="S1761" s="4">
        <v>7</v>
      </c>
      <c r="T1761" s="4">
        <v>7</v>
      </c>
      <c r="U1761" s="5" t="s">
        <v>17269</v>
      </c>
      <c r="V1761" s="5" t="s">
        <v>17269</v>
      </c>
      <c r="W1761" s="5" t="s">
        <v>72</v>
      </c>
      <c r="X1761" s="5" t="s">
        <v>72</v>
      </c>
      <c r="Y1761" s="4">
        <v>306</v>
      </c>
      <c r="Z1761" s="4">
        <v>19</v>
      </c>
      <c r="AA1761" s="4">
        <v>34</v>
      </c>
      <c r="AB1761" s="4">
        <v>1</v>
      </c>
      <c r="AC1761" s="4">
        <v>4</v>
      </c>
      <c r="AD1761" s="4">
        <v>106</v>
      </c>
      <c r="AE1761" s="4">
        <v>119</v>
      </c>
      <c r="AF1761" s="4">
        <v>0</v>
      </c>
      <c r="AG1761" s="4">
        <v>0</v>
      </c>
      <c r="AH1761" s="4">
        <v>98</v>
      </c>
      <c r="AI1761" s="4">
        <v>105</v>
      </c>
      <c r="AJ1761" s="4">
        <v>12</v>
      </c>
      <c r="AK1761" s="4">
        <v>13</v>
      </c>
      <c r="AL1761" s="4">
        <v>54</v>
      </c>
      <c r="AM1761" s="4">
        <v>57</v>
      </c>
      <c r="AN1761" s="4">
        <v>0</v>
      </c>
      <c r="AO1761" s="4">
        <v>0</v>
      </c>
      <c r="AP1761" s="4">
        <v>15</v>
      </c>
      <c r="AQ1761" s="4">
        <v>22</v>
      </c>
      <c r="AR1761" s="3" t="s">
        <v>65</v>
      </c>
      <c r="AS1761" s="3" t="s">
        <v>65</v>
      </c>
      <c r="AT1761" s="3" t="s">
        <v>65</v>
      </c>
      <c r="AV1761" s="6" t="str">
        <f>HYPERLINK("http://mcgill.on.worldcat.org/oclc/49873331","Catalog Record")</f>
        <v>Catalog Record</v>
      </c>
      <c r="AW1761" s="6" t="str">
        <f>HYPERLINK("http://www.worldcat.org/oclc/49873331","WorldCat Record")</f>
        <v>WorldCat Record</v>
      </c>
      <c r="AX1761" s="3" t="s">
        <v>17270</v>
      </c>
      <c r="AY1761" s="3" t="s">
        <v>17271</v>
      </c>
      <c r="AZ1761" s="3" t="s">
        <v>17272</v>
      </c>
      <c r="BA1761" s="3" t="s">
        <v>17272</v>
      </c>
      <c r="BB1761" s="3" t="s">
        <v>17273</v>
      </c>
      <c r="BC1761" s="3" t="s">
        <v>77</v>
      </c>
      <c r="BD1761" s="3" t="s">
        <v>78</v>
      </c>
      <c r="BE1761" s="3" t="s">
        <v>17274</v>
      </c>
      <c r="BF1761" s="3" t="s">
        <v>17273</v>
      </c>
      <c r="BG1761" s="3" t="s">
        <v>17275</v>
      </c>
    </row>
    <row r="1762" spans="1:59" ht="58" x14ac:dyDescent="0.35">
      <c r="A1762" s="2" t="s">
        <v>59</v>
      </c>
      <c r="B1762" s="2" t="s">
        <v>60</v>
      </c>
      <c r="C1762" s="2" t="s">
        <v>17276</v>
      </c>
      <c r="D1762" s="2" t="s">
        <v>17277</v>
      </c>
      <c r="E1762" s="2" t="s">
        <v>17278</v>
      </c>
      <c r="G1762" s="3" t="s">
        <v>65</v>
      </c>
      <c r="I1762" s="3" t="s">
        <v>65</v>
      </c>
      <c r="J1762" s="3" t="s">
        <v>65</v>
      </c>
      <c r="K1762" s="3" t="s">
        <v>66</v>
      </c>
      <c r="L1762" s="2" t="s">
        <v>17279</v>
      </c>
      <c r="M1762" s="2" t="s">
        <v>17280</v>
      </c>
      <c r="N1762" s="3" t="s">
        <v>479</v>
      </c>
      <c r="P1762" s="3" t="s">
        <v>69</v>
      </c>
      <c r="Q1762" s="2" t="s">
        <v>1197</v>
      </c>
      <c r="R1762" s="3" t="s">
        <v>71</v>
      </c>
      <c r="S1762" s="4">
        <v>5</v>
      </c>
      <c r="T1762" s="4">
        <v>5</v>
      </c>
      <c r="U1762" s="5" t="s">
        <v>17269</v>
      </c>
      <c r="V1762" s="5" t="s">
        <v>17269</v>
      </c>
      <c r="W1762" s="5" t="s">
        <v>72</v>
      </c>
      <c r="X1762" s="5" t="s">
        <v>72</v>
      </c>
      <c r="Y1762" s="4">
        <v>169</v>
      </c>
      <c r="Z1762" s="4">
        <v>28</v>
      </c>
      <c r="AA1762" s="4">
        <v>108</v>
      </c>
      <c r="AB1762" s="4">
        <v>1</v>
      </c>
      <c r="AC1762" s="4">
        <v>19</v>
      </c>
      <c r="AD1762" s="4">
        <v>88</v>
      </c>
      <c r="AE1762" s="4">
        <v>140</v>
      </c>
      <c r="AF1762" s="4">
        <v>0</v>
      </c>
      <c r="AG1762" s="4">
        <v>8</v>
      </c>
      <c r="AH1762" s="4">
        <v>70</v>
      </c>
      <c r="AI1762" s="4">
        <v>96</v>
      </c>
      <c r="AJ1762" s="4">
        <v>19</v>
      </c>
      <c r="AK1762" s="4">
        <v>27</v>
      </c>
      <c r="AL1762" s="4">
        <v>41</v>
      </c>
      <c r="AM1762" s="4">
        <v>50</v>
      </c>
      <c r="AN1762" s="4">
        <v>0</v>
      </c>
      <c r="AO1762" s="4">
        <v>0</v>
      </c>
      <c r="AP1762" s="4">
        <v>23</v>
      </c>
      <c r="AQ1762" s="4">
        <v>52</v>
      </c>
      <c r="AR1762" s="3" t="s">
        <v>209</v>
      </c>
      <c r="AS1762" s="3" t="s">
        <v>65</v>
      </c>
      <c r="AT1762" s="3" t="s">
        <v>209</v>
      </c>
      <c r="AU1762" s="6" t="str">
        <f>HYPERLINK("http://catalog.hathitrust.org/Record/005938194","HathiTrust Record")</f>
        <v>HathiTrust Record</v>
      </c>
      <c r="AV1762" s="6" t="str">
        <f>HYPERLINK("http://mcgill.on.worldcat.org/oclc/184738247","Catalog Record")</f>
        <v>Catalog Record</v>
      </c>
      <c r="AW1762" s="6" t="str">
        <f>HYPERLINK("http://www.worldcat.org/oclc/184738247","WorldCat Record")</f>
        <v>WorldCat Record</v>
      </c>
      <c r="AX1762" s="3" t="s">
        <v>17281</v>
      </c>
      <c r="AY1762" s="3" t="s">
        <v>17282</v>
      </c>
      <c r="AZ1762" s="3" t="s">
        <v>17283</v>
      </c>
      <c r="BA1762" s="3" t="s">
        <v>17283</v>
      </c>
      <c r="BB1762" s="3" t="s">
        <v>17284</v>
      </c>
      <c r="BC1762" s="3" t="s">
        <v>77</v>
      </c>
      <c r="BD1762" s="3" t="s">
        <v>78</v>
      </c>
      <c r="BE1762" s="3" t="s">
        <v>17285</v>
      </c>
      <c r="BF1762" s="3" t="s">
        <v>17284</v>
      </c>
      <c r="BG1762" s="3" t="s">
        <v>17286</v>
      </c>
    </row>
    <row r="1763" spans="1:59" ht="58" x14ac:dyDescent="0.35">
      <c r="A1763" s="2" t="s">
        <v>59</v>
      </c>
      <c r="B1763" s="2" t="s">
        <v>60</v>
      </c>
      <c r="C1763" s="2" t="s">
        <v>17287</v>
      </c>
      <c r="D1763" s="2" t="s">
        <v>17288</v>
      </c>
      <c r="E1763" s="2" t="s">
        <v>17289</v>
      </c>
      <c r="G1763" s="3" t="s">
        <v>65</v>
      </c>
      <c r="I1763" s="3" t="s">
        <v>65</v>
      </c>
      <c r="J1763" s="3" t="s">
        <v>65</v>
      </c>
      <c r="K1763" s="3" t="s">
        <v>66</v>
      </c>
      <c r="L1763" s="2" t="s">
        <v>17290</v>
      </c>
      <c r="M1763" s="2" t="s">
        <v>4006</v>
      </c>
      <c r="N1763" s="3" t="s">
        <v>152</v>
      </c>
      <c r="P1763" s="3" t="s">
        <v>69</v>
      </c>
      <c r="Q1763" s="2" t="s">
        <v>1197</v>
      </c>
      <c r="R1763" s="3" t="s">
        <v>71</v>
      </c>
      <c r="S1763" s="4">
        <v>0</v>
      </c>
      <c r="T1763" s="4">
        <v>0</v>
      </c>
      <c r="U1763" s="5" t="s">
        <v>17291</v>
      </c>
      <c r="V1763" s="5" t="s">
        <v>17291</v>
      </c>
      <c r="W1763" s="5" t="s">
        <v>72</v>
      </c>
      <c r="X1763" s="5" t="s">
        <v>72</v>
      </c>
      <c r="Y1763" s="4">
        <v>127</v>
      </c>
      <c r="Z1763" s="4">
        <v>17</v>
      </c>
      <c r="AA1763" s="4">
        <v>94</v>
      </c>
      <c r="AB1763" s="4">
        <v>1</v>
      </c>
      <c r="AC1763" s="4">
        <v>17</v>
      </c>
      <c r="AD1763" s="4">
        <v>78</v>
      </c>
      <c r="AE1763" s="4">
        <v>137</v>
      </c>
      <c r="AF1763" s="4">
        <v>0</v>
      </c>
      <c r="AG1763" s="4">
        <v>8</v>
      </c>
      <c r="AH1763" s="4">
        <v>68</v>
      </c>
      <c r="AI1763" s="4">
        <v>95</v>
      </c>
      <c r="AJ1763" s="4">
        <v>12</v>
      </c>
      <c r="AK1763" s="4">
        <v>25</v>
      </c>
      <c r="AL1763" s="4">
        <v>47</v>
      </c>
      <c r="AM1763" s="4">
        <v>52</v>
      </c>
      <c r="AN1763" s="4">
        <v>0</v>
      </c>
      <c r="AO1763" s="4">
        <v>0</v>
      </c>
      <c r="AP1763" s="4">
        <v>12</v>
      </c>
      <c r="AQ1763" s="4">
        <v>49</v>
      </c>
      <c r="AR1763" s="3" t="s">
        <v>209</v>
      </c>
      <c r="AS1763" s="3" t="s">
        <v>65</v>
      </c>
      <c r="AT1763" s="3" t="s">
        <v>65</v>
      </c>
      <c r="AV1763" s="6" t="str">
        <f>HYPERLINK("http://mcgill.on.worldcat.org/oclc/851238360","Catalog Record")</f>
        <v>Catalog Record</v>
      </c>
      <c r="AW1763" s="6" t="str">
        <f>HYPERLINK("http://www.worldcat.org/oclc/851238360","WorldCat Record")</f>
        <v>WorldCat Record</v>
      </c>
      <c r="AX1763" s="3" t="s">
        <v>17292</v>
      </c>
      <c r="AY1763" s="3" t="s">
        <v>17293</v>
      </c>
      <c r="AZ1763" s="3" t="s">
        <v>17294</v>
      </c>
      <c r="BA1763" s="3" t="s">
        <v>17294</v>
      </c>
      <c r="BB1763" s="3" t="s">
        <v>17295</v>
      </c>
      <c r="BC1763" s="3" t="s">
        <v>77</v>
      </c>
      <c r="BD1763" s="3" t="s">
        <v>78</v>
      </c>
      <c r="BE1763" s="3" t="s">
        <v>17296</v>
      </c>
      <c r="BF1763" s="3" t="s">
        <v>17295</v>
      </c>
      <c r="BG1763" s="3" t="s">
        <v>17297</v>
      </c>
    </row>
    <row r="1764" spans="1:59" ht="58" x14ac:dyDescent="0.35">
      <c r="A1764" s="2" t="s">
        <v>59</v>
      </c>
      <c r="B1764" s="2" t="s">
        <v>60</v>
      </c>
      <c r="C1764" s="2" t="s">
        <v>17298</v>
      </c>
      <c r="D1764" s="2" t="s">
        <v>17299</v>
      </c>
      <c r="E1764" s="2" t="s">
        <v>17300</v>
      </c>
      <c r="G1764" s="3" t="s">
        <v>65</v>
      </c>
      <c r="I1764" s="3" t="s">
        <v>65</v>
      </c>
      <c r="J1764" s="3" t="s">
        <v>65</v>
      </c>
      <c r="K1764" s="3" t="s">
        <v>66</v>
      </c>
      <c r="L1764" s="2" t="s">
        <v>17301</v>
      </c>
      <c r="M1764" s="2" t="s">
        <v>17302</v>
      </c>
      <c r="N1764" s="3" t="s">
        <v>1967</v>
      </c>
      <c r="P1764" s="3" t="s">
        <v>69</v>
      </c>
      <c r="Q1764" s="2" t="s">
        <v>17303</v>
      </c>
      <c r="R1764" s="3" t="s">
        <v>71</v>
      </c>
      <c r="S1764" s="4">
        <v>1</v>
      </c>
      <c r="T1764" s="4">
        <v>1</v>
      </c>
      <c r="U1764" s="5" t="s">
        <v>6927</v>
      </c>
      <c r="V1764" s="5" t="s">
        <v>6927</v>
      </c>
      <c r="W1764" s="5" t="s">
        <v>72</v>
      </c>
      <c r="X1764" s="5" t="s">
        <v>72</v>
      </c>
      <c r="Y1764" s="4">
        <v>81</v>
      </c>
      <c r="Z1764" s="4">
        <v>10</v>
      </c>
      <c r="AA1764" s="4">
        <v>10</v>
      </c>
      <c r="AB1764" s="4">
        <v>1</v>
      </c>
      <c r="AC1764" s="4">
        <v>1</v>
      </c>
      <c r="AD1764" s="4">
        <v>42</v>
      </c>
      <c r="AE1764" s="4">
        <v>42</v>
      </c>
      <c r="AF1764" s="4">
        <v>0</v>
      </c>
      <c r="AG1764" s="4">
        <v>0</v>
      </c>
      <c r="AH1764" s="4">
        <v>41</v>
      </c>
      <c r="AI1764" s="4">
        <v>41</v>
      </c>
      <c r="AJ1764" s="4">
        <v>8</v>
      </c>
      <c r="AK1764" s="4">
        <v>8</v>
      </c>
      <c r="AL1764" s="4">
        <v>19</v>
      </c>
      <c r="AM1764" s="4">
        <v>19</v>
      </c>
      <c r="AN1764" s="4">
        <v>0</v>
      </c>
      <c r="AO1764" s="4">
        <v>0</v>
      </c>
      <c r="AP1764" s="4">
        <v>8</v>
      </c>
      <c r="AQ1764" s="4">
        <v>8</v>
      </c>
      <c r="AR1764" s="3" t="s">
        <v>65</v>
      </c>
      <c r="AS1764" s="3" t="s">
        <v>65</v>
      </c>
      <c r="AT1764" s="3" t="s">
        <v>65</v>
      </c>
      <c r="AV1764" s="6" t="str">
        <f>HYPERLINK("http://mcgill.on.worldcat.org/oclc/53118802","Catalog Record")</f>
        <v>Catalog Record</v>
      </c>
      <c r="AW1764" s="6" t="str">
        <f>HYPERLINK("http://www.worldcat.org/oclc/53118802","WorldCat Record")</f>
        <v>WorldCat Record</v>
      </c>
      <c r="AX1764" s="3" t="s">
        <v>17304</v>
      </c>
      <c r="AY1764" s="3" t="s">
        <v>17305</v>
      </c>
      <c r="AZ1764" s="3" t="s">
        <v>17306</v>
      </c>
      <c r="BA1764" s="3" t="s">
        <v>17306</v>
      </c>
      <c r="BB1764" s="3" t="s">
        <v>17307</v>
      </c>
      <c r="BC1764" s="3" t="s">
        <v>77</v>
      </c>
      <c r="BD1764" s="3" t="s">
        <v>78</v>
      </c>
      <c r="BE1764" s="3" t="s">
        <v>17308</v>
      </c>
      <c r="BF1764" s="3" t="s">
        <v>17307</v>
      </c>
      <c r="BG1764" s="3" t="s">
        <v>17309</v>
      </c>
    </row>
    <row r="1765" spans="1:59" ht="58" x14ac:dyDescent="0.35">
      <c r="A1765" s="2" t="s">
        <v>59</v>
      </c>
      <c r="B1765" s="2" t="s">
        <v>60</v>
      </c>
      <c r="C1765" s="2" t="s">
        <v>17310</v>
      </c>
      <c r="D1765" s="2" t="s">
        <v>17311</v>
      </c>
      <c r="E1765" s="2" t="s">
        <v>17312</v>
      </c>
      <c r="F1765" s="3" t="s">
        <v>245</v>
      </c>
      <c r="G1765" s="3" t="s">
        <v>209</v>
      </c>
      <c r="I1765" s="3" t="s">
        <v>65</v>
      </c>
      <c r="J1765" s="3" t="s">
        <v>65</v>
      </c>
      <c r="K1765" s="3" t="s">
        <v>66</v>
      </c>
      <c r="L1765" s="2" t="s">
        <v>17313</v>
      </c>
      <c r="M1765" s="2" t="s">
        <v>4594</v>
      </c>
      <c r="N1765" s="3" t="s">
        <v>126</v>
      </c>
      <c r="P1765" s="3" t="s">
        <v>140</v>
      </c>
      <c r="Q1765" s="2" t="s">
        <v>17314</v>
      </c>
      <c r="R1765" s="3" t="s">
        <v>71</v>
      </c>
      <c r="S1765" s="4">
        <v>0</v>
      </c>
      <c r="T1765" s="4">
        <v>0</v>
      </c>
      <c r="W1765" s="5" t="s">
        <v>72</v>
      </c>
      <c r="X1765" s="5" t="s">
        <v>72</v>
      </c>
      <c r="Y1765" s="4">
        <v>22</v>
      </c>
      <c r="Z1765" s="4">
        <v>1</v>
      </c>
      <c r="AA1765" s="4">
        <v>1</v>
      </c>
      <c r="AB1765" s="4">
        <v>1</v>
      </c>
      <c r="AC1765" s="4">
        <v>1</v>
      </c>
      <c r="AD1765" s="4">
        <v>13</v>
      </c>
      <c r="AE1765" s="4">
        <v>13</v>
      </c>
      <c r="AF1765" s="4">
        <v>0</v>
      </c>
      <c r="AG1765" s="4">
        <v>0</v>
      </c>
      <c r="AH1765" s="4">
        <v>12</v>
      </c>
      <c r="AI1765" s="4">
        <v>12</v>
      </c>
      <c r="AJ1765" s="4">
        <v>0</v>
      </c>
      <c r="AK1765" s="4">
        <v>0</v>
      </c>
      <c r="AL1765" s="4">
        <v>10</v>
      </c>
      <c r="AM1765" s="4">
        <v>10</v>
      </c>
      <c r="AN1765" s="4">
        <v>0</v>
      </c>
      <c r="AO1765" s="4">
        <v>0</v>
      </c>
      <c r="AP1765" s="4">
        <v>0</v>
      </c>
      <c r="AQ1765" s="4">
        <v>0</v>
      </c>
      <c r="AR1765" s="3" t="s">
        <v>65</v>
      </c>
      <c r="AS1765" s="3" t="s">
        <v>65</v>
      </c>
      <c r="AT1765" s="3" t="s">
        <v>65</v>
      </c>
      <c r="AV1765" s="6" t="str">
        <f>HYPERLINK("http://mcgill.on.worldcat.org/oclc/778325219","Catalog Record")</f>
        <v>Catalog Record</v>
      </c>
      <c r="AW1765" s="6" t="str">
        <f>HYPERLINK("http://www.worldcat.org/oclc/778325219","WorldCat Record")</f>
        <v>WorldCat Record</v>
      </c>
      <c r="AX1765" s="3" t="s">
        <v>17315</v>
      </c>
      <c r="AY1765" s="3" t="s">
        <v>17316</v>
      </c>
      <c r="AZ1765" s="3" t="s">
        <v>17317</v>
      </c>
      <c r="BA1765" s="3" t="s">
        <v>17317</v>
      </c>
      <c r="BB1765" s="3" t="s">
        <v>17318</v>
      </c>
      <c r="BC1765" s="3" t="s">
        <v>77</v>
      </c>
      <c r="BD1765" s="3" t="s">
        <v>78</v>
      </c>
      <c r="BE1765" s="3" t="s">
        <v>17319</v>
      </c>
      <c r="BF1765" s="3" t="s">
        <v>17318</v>
      </c>
      <c r="BG1765" s="3" t="s">
        <v>17320</v>
      </c>
    </row>
    <row r="1766" spans="1:59" ht="58" x14ac:dyDescent="0.35">
      <c r="A1766" s="2" t="s">
        <v>59</v>
      </c>
      <c r="B1766" s="2" t="s">
        <v>60</v>
      </c>
      <c r="C1766" s="2" t="s">
        <v>17310</v>
      </c>
      <c r="D1766" s="2" t="s">
        <v>17311</v>
      </c>
      <c r="E1766" s="2" t="s">
        <v>17312</v>
      </c>
      <c r="F1766" s="3" t="s">
        <v>258</v>
      </c>
      <c r="G1766" s="3" t="s">
        <v>209</v>
      </c>
      <c r="I1766" s="3" t="s">
        <v>65</v>
      </c>
      <c r="J1766" s="3" t="s">
        <v>65</v>
      </c>
      <c r="K1766" s="3" t="s">
        <v>66</v>
      </c>
      <c r="L1766" s="2" t="s">
        <v>17313</v>
      </c>
      <c r="M1766" s="2" t="s">
        <v>4594</v>
      </c>
      <c r="N1766" s="3" t="s">
        <v>126</v>
      </c>
      <c r="P1766" s="3" t="s">
        <v>140</v>
      </c>
      <c r="Q1766" s="2" t="s">
        <v>17314</v>
      </c>
      <c r="R1766" s="3" t="s">
        <v>71</v>
      </c>
      <c r="S1766" s="4">
        <v>0</v>
      </c>
      <c r="T1766" s="4">
        <v>0</v>
      </c>
      <c r="W1766" s="5" t="s">
        <v>72</v>
      </c>
      <c r="X1766" s="5" t="s">
        <v>72</v>
      </c>
      <c r="Y1766" s="4">
        <v>22</v>
      </c>
      <c r="Z1766" s="4">
        <v>1</v>
      </c>
      <c r="AA1766" s="4">
        <v>1</v>
      </c>
      <c r="AB1766" s="4">
        <v>1</v>
      </c>
      <c r="AC1766" s="4">
        <v>1</v>
      </c>
      <c r="AD1766" s="4">
        <v>13</v>
      </c>
      <c r="AE1766" s="4">
        <v>13</v>
      </c>
      <c r="AF1766" s="4">
        <v>0</v>
      </c>
      <c r="AG1766" s="4">
        <v>0</v>
      </c>
      <c r="AH1766" s="4">
        <v>12</v>
      </c>
      <c r="AI1766" s="4">
        <v>12</v>
      </c>
      <c r="AJ1766" s="4">
        <v>0</v>
      </c>
      <c r="AK1766" s="4">
        <v>0</v>
      </c>
      <c r="AL1766" s="4">
        <v>10</v>
      </c>
      <c r="AM1766" s="4">
        <v>10</v>
      </c>
      <c r="AN1766" s="4">
        <v>0</v>
      </c>
      <c r="AO1766" s="4">
        <v>0</v>
      </c>
      <c r="AP1766" s="4">
        <v>0</v>
      </c>
      <c r="AQ1766" s="4">
        <v>0</v>
      </c>
      <c r="AR1766" s="3" t="s">
        <v>65</v>
      </c>
      <c r="AS1766" s="3" t="s">
        <v>65</v>
      </c>
      <c r="AT1766" s="3" t="s">
        <v>65</v>
      </c>
      <c r="AV1766" s="6" t="str">
        <f>HYPERLINK("http://mcgill.on.worldcat.org/oclc/778325219","Catalog Record")</f>
        <v>Catalog Record</v>
      </c>
      <c r="AW1766" s="6" t="str">
        <f>HYPERLINK("http://www.worldcat.org/oclc/778325219","WorldCat Record")</f>
        <v>WorldCat Record</v>
      </c>
      <c r="AX1766" s="3" t="s">
        <v>17315</v>
      </c>
      <c r="AY1766" s="3" t="s">
        <v>17316</v>
      </c>
      <c r="AZ1766" s="3" t="s">
        <v>17317</v>
      </c>
      <c r="BA1766" s="3" t="s">
        <v>17317</v>
      </c>
      <c r="BB1766" s="3" t="s">
        <v>17321</v>
      </c>
      <c r="BC1766" s="3" t="s">
        <v>77</v>
      </c>
      <c r="BD1766" s="3" t="s">
        <v>78</v>
      </c>
      <c r="BE1766" s="3" t="s">
        <v>17319</v>
      </c>
      <c r="BF1766" s="3" t="s">
        <v>17321</v>
      </c>
      <c r="BG1766" s="3" t="s">
        <v>17322</v>
      </c>
    </row>
    <row r="1767" spans="1:59" ht="58" x14ac:dyDescent="0.35">
      <c r="A1767" s="2" t="s">
        <v>59</v>
      </c>
      <c r="B1767" s="2" t="s">
        <v>60</v>
      </c>
      <c r="C1767" s="2" t="s">
        <v>17323</v>
      </c>
      <c r="D1767" s="2" t="s">
        <v>17324</v>
      </c>
      <c r="E1767" s="2" t="s">
        <v>17325</v>
      </c>
      <c r="G1767" s="3" t="s">
        <v>65</v>
      </c>
      <c r="I1767" s="3" t="s">
        <v>65</v>
      </c>
      <c r="J1767" s="3" t="s">
        <v>65</v>
      </c>
      <c r="K1767" s="3" t="s">
        <v>66</v>
      </c>
      <c r="L1767" s="2" t="s">
        <v>17326</v>
      </c>
      <c r="M1767" s="2" t="s">
        <v>17327</v>
      </c>
      <c r="N1767" s="3" t="s">
        <v>139</v>
      </c>
      <c r="P1767" s="3" t="s">
        <v>140</v>
      </c>
      <c r="Q1767" s="2" t="s">
        <v>17328</v>
      </c>
      <c r="R1767" s="3" t="s">
        <v>71</v>
      </c>
      <c r="S1767" s="4">
        <v>1</v>
      </c>
      <c r="T1767" s="4">
        <v>1</v>
      </c>
      <c r="U1767" s="5" t="s">
        <v>17329</v>
      </c>
      <c r="V1767" s="5" t="s">
        <v>17329</v>
      </c>
      <c r="W1767" s="5" t="s">
        <v>72</v>
      </c>
      <c r="X1767" s="5" t="s">
        <v>72</v>
      </c>
      <c r="Y1767" s="4">
        <v>60</v>
      </c>
      <c r="Z1767" s="4">
        <v>4</v>
      </c>
      <c r="AA1767" s="4">
        <v>4</v>
      </c>
      <c r="AB1767" s="4">
        <v>1</v>
      </c>
      <c r="AC1767" s="4">
        <v>1</v>
      </c>
      <c r="AD1767" s="4">
        <v>41</v>
      </c>
      <c r="AE1767" s="4">
        <v>41</v>
      </c>
      <c r="AF1767" s="4">
        <v>0</v>
      </c>
      <c r="AG1767" s="4">
        <v>0</v>
      </c>
      <c r="AH1767" s="4">
        <v>40</v>
      </c>
      <c r="AI1767" s="4">
        <v>40</v>
      </c>
      <c r="AJ1767" s="4">
        <v>2</v>
      </c>
      <c r="AK1767" s="4">
        <v>2</v>
      </c>
      <c r="AL1767" s="4">
        <v>31</v>
      </c>
      <c r="AM1767" s="4">
        <v>31</v>
      </c>
      <c r="AN1767" s="4">
        <v>0</v>
      </c>
      <c r="AO1767" s="4">
        <v>0</v>
      </c>
      <c r="AP1767" s="4">
        <v>2</v>
      </c>
      <c r="AQ1767" s="4">
        <v>2</v>
      </c>
      <c r="AR1767" s="3" t="s">
        <v>65</v>
      </c>
      <c r="AS1767" s="3" t="s">
        <v>65</v>
      </c>
      <c r="AT1767" s="3" t="s">
        <v>65</v>
      </c>
      <c r="AV1767" s="6" t="str">
        <f>HYPERLINK("http://mcgill.on.worldcat.org/oclc/811589487","Catalog Record")</f>
        <v>Catalog Record</v>
      </c>
      <c r="AW1767" s="6" t="str">
        <f>HYPERLINK("http://www.worldcat.org/oclc/811589487","WorldCat Record")</f>
        <v>WorldCat Record</v>
      </c>
      <c r="AX1767" s="3" t="s">
        <v>17330</v>
      </c>
      <c r="AY1767" s="3" t="s">
        <v>17331</v>
      </c>
      <c r="AZ1767" s="3" t="s">
        <v>17332</v>
      </c>
      <c r="BA1767" s="3" t="s">
        <v>17332</v>
      </c>
      <c r="BB1767" s="3" t="s">
        <v>17333</v>
      </c>
      <c r="BC1767" s="3" t="s">
        <v>77</v>
      </c>
      <c r="BD1767" s="3" t="s">
        <v>78</v>
      </c>
      <c r="BE1767" s="3" t="s">
        <v>17334</v>
      </c>
      <c r="BF1767" s="3" t="s">
        <v>17333</v>
      </c>
      <c r="BG1767" s="3" t="s">
        <v>17335</v>
      </c>
    </row>
    <row r="1768" spans="1:59" ht="58" x14ac:dyDescent="0.35">
      <c r="A1768" s="2" t="s">
        <v>59</v>
      </c>
      <c r="B1768" s="2" t="s">
        <v>60</v>
      </c>
      <c r="C1768" s="2" t="s">
        <v>17336</v>
      </c>
      <c r="D1768" s="2" t="s">
        <v>17337</v>
      </c>
      <c r="E1768" s="2" t="s">
        <v>17338</v>
      </c>
      <c r="G1768" s="3" t="s">
        <v>209</v>
      </c>
      <c r="I1768" s="3" t="s">
        <v>65</v>
      </c>
      <c r="J1768" s="3" t="s">
        <v>65</v>
      </c>
      <c r="K1768" s="3" t="s">
        <v>66</v>
      </c>
      <c r="L1768" s="2" t="s">
        <v>940</v>
      </c>
      <c r="M1768" s="2" t="s">
        <v>17339</v>
      </c>
      <c r="N1768" s="3" t="s">
        <v>7039</v>
      </c>
      <c r="O1768" s="2" t="s">
        <v>17340</v>
      </c>
      <c r="P1768" s="3" t="s">
        <v>140</v>
      </c>
      <c r="Q1768" s="2" t="s">
        <v>17341</v>
      </c>
      <c r="R1768" s="3" t="s">
        <v>71</v>
      </c>
      <c r="S1768" s="4">
        <v>1</v>
      </c>
      <c r="T1768" s="4">
        <v>1</v>
      </c>
      <c r="U1768" s="5" t="s">
        <v>17342</v>
      </c>
      <c r="V1768" s="5" t="s">
        <v>17342</v>
      </c>
      <c r="W1768" s="5" t="s">
        <v>72</v>
      </c>
      <c r="X1768" s="5" t="s">
        <v>72</v>
      </c>
      <c r="Y1768" s="4">
        <v>8</v>
      </c>
      <c r="Z1768" s="4">
        <v>3</v>
      </c>
      <c r="AA1768" s="4">
        <v>9</v>
      </c>
      <c r="AB1768" s="4">
        <v>1</v>
      </c>
      <c r="AC1768" s="4">
        <v>2</v>
      </c>
      <c r="AD1768" s="4">
        <v>3</v>
      </c>
      <c r="AE1768" s="4">
        <v>35</v>
      </c>
      <c r="AF1768" s="4">
        <v>0</v>
      </c>
      <c r="AG1768" s="4">
        <v>1</v>
      </c>
      <c r="AH1768" s="4">
        <v>1</v>
      </c>
      <c r="AI1768" s="4">
        <v>30</v>
      </c>
      <c r="AJ1768" s="4">
        <v>1</v>
      </c>
      <c r="AK1768" s="4">
        <v>5</v>
      </c>
      <c r="AL1768" s="4">
        <v>1</v>
      </c>
      <c r="AM1768" s="4">
        <v>21</v>
      </c>
      <c r="AN1768" s="4">
        <v>0</v>
      </c>
      <c r="AO1768" s="4">
        <v>0</v>
      </c>
      <c r="AP1768" s="4">
        <v>2</v>
      </c>
      <c r="AQ1768" s="4">
        <v>6</v>
      </c>
      <c r="AR1768" s="3" t="s">
        <v>65</v>
      </c>
      <c r="AS1768" s="3" t="s">
        <v>65</v>
      </c>
      <c r="AT1768" s="3" t="s">
        <v>65</v>
      </c>
      <c r="AV1768" s="6" t="str">
        <f>HYPERLINK("http://mcgill.on.worldcat.org/oclc/61591059","Catalog Record")</f>
        <v>Catalog Record</v>
      </c>
      <c r="AW1768" s="6" t="str">
        <f>HYPERLINK("http://www.worldcat.org/oclc/61591059","WorldCat Record")</f>
        <v>WorldCat Record</v>
      </c>
      <c r="AX1768" s="3" t="s">
        <v>17343</v>
      </c>
      <c r="AY1768" s="3" t="s">
        <v>17344</v>
      </c>
      <c r="AZ1768" s="3" t="s">
        <v>17345</v>
      </c>
      <c r="BA1768" s="3" t="s">
        <v>17345</v>
      </c>
      <c r="BB1768" s="3" t="s">
        <v>17346</v>
      </c>
      <c r="BC1768" s="3" t="s">
        <v>77</v>
      </c>
      <c r="BD1768" s="3" t="s">
        <v>78</v>
      </c>
      <c r="BF1768" s="3" t="s">
        <v>17346</v>
      </c>
      <c r="BG1768" s="3" t="s">
        <v>17347</v>
      </c>
    </row>
    <row r="1769" spans="1:59" ht="58" x14ac:dyDescent="0.35">
      <c r="A1769" s="2" t="s">
        <v>59</v>
      </c>
      <c r="B1769" s="2" t="s">
        <v>60</v>
      </c>
      <c r="C1769" s="2" t="s">
        <v>17348</v>
      </c>
      <c r="D1769" s="2" t="s">
        <v>17349</v>
      </c>
      <c r="E1769" s="2" t="s">
        <v>17350</v>
      </c>
      <c r="G1769" s="3" t="s">
        <v>65</v>
      </c>
      <c r="I1769" s="3" t="s">
        <v>65</v>
      </c>
      <c r="J1769" s="3" t="s">
        <v>65</v>
      </c>
      <c r="K1769" s="3" t="s">
        <v>66</v>
      </c>
      <c r="L1769" s="2" t="s">
        <v>940</v>
      </c>
      <c r="M1769" s="2" t="s">
        <v>17351</v>
      </c>
      <c r="N1769" s="3" t="s">
        <v>126</v>
      </c>
      <c r="P1769" s="3" t="s">
        <v>69</v>
      </c>
      <c r="Q1769" s="2" t="s">
        <v>17352</v>
      </c>
      <c r="R1769" s="3" t="s">
        <v>71</v>
      </c>
      <c r="S1769" s="4">
        <v>0</v>
      </c>
      <c r="T1769" s="4">
        <v>0</v>
      </c>
      <c r="W1769" s="5" t="s">
        <v>72</v>
      </c>
      <c r="X1769" s="5" t="s">
        <v>72</v>
      </c>
      <c r="Y1769" s="4">
        <v>61</v>
      </c>
      <c r="Z1769" s="4">
        <v>10</v>
      </c>
      <c r="AA1769" s="4">
        <v>12</v>
      </c>
      <c r="AB1769" s="4">
        <v>1</v>
      </c>
      <c r="AC1769" s="4">
        <v>2</v>
      </c>
      <c r="AD1769" s="4">
        <v>37</v>
      </c>
      <c r="AE1769" s="4">
        <v>40</v>
      </c>
      <c r="AF1769" s="4">
        <v>0</v>
      </c>
      <c r="AG1769" s="4">
        <v>0</v>
      </c>
      <c r="AH1769" s="4">
        <v>35</v>
      </c>
      <c r="AI1769" s="4">
        <v>37</v>
      </c>
      <c r="AJ1769" s="4">
        <v>7</v>
      </c>
      <c r="AK1769" s="4">
        <v>7</v>
      </c>
      <c r="AL1769" s="4">
        <v>23</v>
      </c>
      <c r="AM1769" s="4">
        <v>24</v>
      </c>
      <c r="AN1769" s="4">
        <v>0</v>
      </c>
      <c r="AO1769" s="4">
        <v>0</v>
      </c>
      <c r="AP1769" s="4">
        <v>7</v>
      </c>
      <c r="AQ1769" s="4">
        <v>8</v>
      </c>
      <c r="AR1769" s="3" t="s">
        <v>65</v>
      </c>
      <c r="AS1769" s="3" t="s">
        <v>65</v>
      </c>
      <c r="AT1769" s="3" t="s">
        <v>65</v>
      </c>
      <c r="AV1769" s="6" t="str">
        <f>HYPERLINK("http://mcgill.on.worldcat.org/oclc/733755467","Catalog Record")</f>
        <v>Catalog Record</v>
      </c>
      <c r="AW1769" s="6" t="str">
        <f>HYPERLINK("http://www.worldcat.org/oclc/733755467","WorldCat Record")</f>
        <v>WorldCat Record</v>
      </c>
      <c r="AX1769" s="3" t="s">
        <v>17353</v>
      </c>
      <c r="AY1769" s="3" t="s">
        <v>17354</v>
      </c>
      <c r="AZ1769" s="3" t="s">
        <v>17355</v>
      </c>
      <c r="BA1769" s="3" t="s">
        <v>17355</v>
      </c>
      <c r="BB1769" s="3" t="s">
        <v>17356</v>
      </c>
      <c r="BC1769" s="3" t="s">
        <v>77</v>
      </c>
      <c r="BD1769" s="3" t="s">
        <v>78</v>
      </c>
      <c r="BE1769" s="3" t="s">
        <v>17357</v>
      </c>
      <c r="BF1769" s="3" t="s">
        <v>17356</v>
      </c>
      <c r="BG1769" s="3" t="s">
        <v>17358</v>
      </c>
    </row>
    <row r="1770" spans="1:59" ht="58" x14ac:dyDescent="0.35">
      <c r="A1770" s="2" t="s">
        <v>59</v>
      </c>
      <c r="B1770" s="2" t="s">
        <v>60</v>
      </c>
      <c r="C1770" s="2" t="s">
        <v>17359</v>
      </c>
      <c r="D1770" s="2" t="s">
        <v>17360</v>
      </c>
      <c r="E1770" s="2" t="s">
        <v>17361</v>
      </c>
      <c r="G1770" s="3" t="s">
        <v>65</v>
      </c>
      <c r="I1770" s="3" t="s">
        <v>65</v>
      </c>
      <c r="J1770" s="3" t="s">
        <v>209</v>
      </c>
      <c r="K1770" s="3" t="s">
        <v>213</v>
      </c>
      <c r="L1770" s="2" t="s">
        <v>940</v>
      </c>
      <c r="M1770" s="2" t="s">
        <v>17362</v>
      </c>
      <c r="N1770" s="3" t="s">
        <v>5338</v>
      </c>
      <c r="O1770" s="2" t="s">
        <v>17363</v>
      </c>
      <c r="P1770" s="3" t="s">
        <v>140</v>
      </c>
      <c r="R1770" s="3" t="s">
        <v>71</v>
      </c>
      <c r="S1770" s="4">
        <v>12</v>
      </c>
      <c r="T1770" s="4">
        <v>12</v>
      </c>
      <c r="U1770" s="5" t="s">
        <v>17364</v>
      </c>
      <c r="V1770" s="5" t="s">
        <v>17364</v>
      </c>
      <c r="W1770" s="5" t="s">
        <v>72</v>
      </c>
      <c r="X1770" s="5" t="s">
        <v>72</v>
      </c>
      <c r="Y1770" s="4">
        <v>1</v>
      </c>
      <c r="Z1770" s="4">
        <v>1</v>
      </c>
      <c r="AA1770" s="4">
        <v>55</v>
      </c>
      <c r="AB1770" s="4">
        <v>1</v>
      </c>
      <c r="AC1770" s="4">
        <v>9</v>
      </c>
      <c r="AD1770" s="4">
        <v>0</v>
      </c>
      <c r="AE1770" s="4">
        <v>130</v>
      </c>
      <c r="AF1770" s="4">
        <v>0</v>
      </c>
      <c r="AG1770" s="4">
        <v>4</v>
      </c>
      <c r="AH1770" s="4">
        <v>0</v>
      </c>
      <c r="AI1770" s="4">
        <v>108</v>
      </c>
      <c r="AJ1770" s="4">
        <v>0</v>
      </c>
      <c r="AK1770" s="4">
        <v>21</v>
      </c>
      <c r="AL1770" s="4">
        <v>0</v>
      </c>
      <c r="AM1770" s="4">
        <v>59</v>
      </c>
      <c r="AN1770" s="4">
        <v>0</v>
      </c>
      <c r="AO1770" s="4">
        <v>13</v>
      </c>
      <c r="AP1770" s="4">
        <v>0</v>
      </c>
      <c r="AQ1770" s="4">
        <v>28</v>
      </c>
      <c r="AR1770" s="3" t="s">
        <v>65</v>
      </c>
      <c r="AS1770" s="3" t="s">
        <v>65</v>
      </c>
      <c r="AT1770" s="3" t="s">
        <v>65</v>
      </c>
      <c r="AV1770" s="6" t="str">
        <f>HYPERLINK("http://mcgill.on.worldcat.org/oclc/61591512","Catalog Record")</f>
        <v>Catalog Record</v>
      </c>
      <c r="AW1770" s="6" t="str">
        <f>HYPERLINK("http://www.worldcat.org/oclc/61591512","WorldCat Record")</f>
        <v>WorldCat Record</v>
      </c>
      <c r="AX1770" s="3" t="s">
        <v>17365</v>
      </c>
      <c r="AY1770" s="3" t="s">
        <v>17366</v>
      </c>
      <c r="AZ1770" s="3" t="s">
        <v>17367</v>
      </c>
      <c r="BA1770" s="3" t="s">
        <v>17367</v>
      </c>
      <c r="BB1770" s="3" t="s">
        <v>17368</v>
      </c>
      <c r="BC1770" s="3" t="s">
        <v>77</v>
      </c>
      <c r="BD1770" s="3" t="s">
        <v>78</v>
      </c>
      <c r="BF1770" s="3" t="s">
        <v>17368</v>
      </c>
      <c r="BG1770" s="3" t="s">
        <v>17369</v>
      </c>
    </row>
    <row r="1771" spans="1:59" ht="58" x14ac:dyDescent="0.35">
      <c r="A1771" s="2" t="s">
        <v>59</v>
      </c>
      <c r="B1771" s="2" t="s">
        <v>60</v>
      </c>
      <c r="C1771" s="2" t="s">
        <v>17370</v>
      </c>
      <c r="D1771" s="2" t="s">
        <v>17371</v>
      </c>
      <c r="E1771" s="2" t="s">
        <v>17372</v>
      </c>
      <c r="G1771" s="3" t="s">
        <v>65</v>
      </c>
      <c r="I1771" s="3" t="s">
        <v>65</v>
      </c>
      <c r="J1771" s="3" t="s">
        <v>209</v>
      </c>
      <c r="K1771" s="3" t="s">
        <v>213</v>
      </c>
      <c r="L1771" s="2" t="s">
        <v>940</v>
      </c>
      <c r="M1771" s="2" t="s">
        <v>17373</v>
      </c>
      <c r="N1771" s="3" t="s">
        <v>493</v>
      </c>
      <c r="O1771" s="2" t="s">
        <v>17374</v>
      </c>
      <c r="P1771" s="3" t="s">
        <v>140</v>
      </c>
      <c r="R1771" s="3" t="s">
        <v>71</v>
      </c>
      <c r="S1771" s="4">
        <v>10</v>
      </c>
      <c r="T1771" s="4">
        <v>10</v>
      </c>
      <c r="U1771" s="5" t="s">
        <v>17375</v>
      </c>
      <c r="V1771" s="5" t="s">
        <v>17375</v>
      </c>
      <c r="W1771" s="5" t="s">
        <v>72</v>
      </c>
      <c r="X1771" s="5" t="s">
        <v>72</v>
      </c>
      <c r="Y1771" s="4">
        <v>12</v>
      </c>
      <c r="Z1771" s="4">
        <v>2</v>
      </c>
      <c r="AA1771" s="4">
        <v>55</v>
      </c>
      <c r="AB1771" s="4">
        <v>1</v>
      </c>
      <c r="AC1771" s="4">
        <v>9</v>
      </c>
      <c r="AD1771" s="4">
        <v>3</v>
      </c>
      <c r="AE1771" s="4">
        <v>130</v>
      </c>
      <c r="AF1771" s="4">
        <v>0</v>
      </c>
      <c r="AG1771" s="4">
        <v>4</v>
      </c>
      <c r="AH1771" s="4">
        <v>2</v>
      </c>
      <c r="AI1771" s="4">
        <v>108</v>
      </c>
      <c r="AJ1771" s="4">
        <v>0</v>
      </c>
      <c r="AK1771" s="4">
        <v>21</v>
      </c>
      <c r="AL1771" s="4">
        <v>1</v>
      </c>
      <c r="AM1771" s="4">
        <v>59</v>
      </c>
      <c r="AN1771" s="4">
        <v>0</v>
      </c>
      <c r="AO1771" s="4">
        <v>13</v>
      </c>
      <c r="AP1771" s="4">
        <v>1</v>
      </c>
      <c r="AQ1771" s="4">
        <v>28</v>
      </c>
      <c r="AR1771" s="3" t="s">
        <v>65</v>
      </c>
      <c r="AS1771" s="3" t="s">
        <v>65</v>
      </c>
      <c r="AT1771" s="3" t="s">
        <v>65</v>
      </c>
      <c r="AV1771" s="6" t="str">
        <f>HYPERLINK("http://mcgill.on.worldcat.org/oclc/12445034","Catalog Record")</f>
        <v>Catalog Record</v>
      </c>
      <c r="AW1771" s="6" t="str">
        <f>HYPERLINK("http://www.worldcat.org/oclc/12445034","WorldCat Record")</f>
        <v>WorldCat Record</v>
      </c>
      <c r="AX1771" s="3" t="s">
        <v>17365</v>
      </c>
      <c r="AY1771" s="3" t="s">
        <v>17376</v>
      </c>
      <c r="AZ1771" s="3" t="s">
        <v>17377</v>
      </c>
      <c r="BA1771" s="3" t="s">
        <v>17377</v>
      </c>
      <c r="BB1771" s="3" t="s">
        <v>17378</v>
      </c>
      <c r="BC1771" s="3" t="s">
        <v>77</v>
      </c>
      <c r="BD1771" s="3" t="s">
        <v>78</v>
      </c>
      <c r="BF1771" s="3" t="s">
        <v>17378</v>
      </c>
      <c r="BG1771" s="3" t="s">
        <v>17379</v>
      </c>
    </row>
    <row r="1772" spans="1:59" ht="58" x14ac:dyDescent="0.35">
      <c r="A1772" s="2" t="s">
        <v>59</v>
      </c>
      <c r="B1772" s="2" t="s">
        <v>60</v>
      </c>
      <c r="C1772" s="2" t="s">
        <v>17380</v>
      </c>
      <c r="D1772" s="2" t="s">
        <v>17381</v>
      </c>
      <c r="E1772" s="2" t="s">
        <v>17382</v>
      </c>
      <c r="G1772" s="3" t="s">
        <v>65</v>
      </c>
      <c r="I1772" s="3" t="s">
        <v>65</v>
      </c>
      <c r="J1772" s="3" t="s">
        <v>209</v>
      </c>
      <c r="K1772" s="3" t="s">
        <v>213</v>
      </c>
      <c r="L1772" s="2" t="s">
        <v>940</v>
      </c>
      <c r="M1772" s="2" t="s">
        <v>17383</v>
      </c>
      <c r="N1772" s="3" t="s">
        <v>577</v>
      </c>
      <c r="O1772" s="2" t="s">
        <v>17384</v>
      </c>
      <c r="P1772" s="3" t="s">
        <v>140</v>
      </c>
      <c r="Q1772" s="2" t="s">
        <v>17385</v>
      </c>
      <c r="R1772" s="3" t="s">
        <v>71</v>
      </c>
      <c r="S1772" s="4">
        <v>10</v>
      </c>
      <c r="T1772" s="4">
        <v>10</v>
      </c>
      <c r="U1772" s="5" t="s">
        <v>17386</v>
      </c>
      <c r="V1772" s="5" t="s">
        <v>17386</v>
      </c>
      <c r="W1772" s="5" t="s">
        <v>72</v>
      </c>
      <c r="X1772" s="5" t="s">
        <v>72</v>
      </c>
      <c r="Y1772" s="4">
        <v>6</v>
      </c>
      <c r="Z1772" s="4">
        <v>1</v>
      </c>
      <c r="AA1772" s="4">
        <v>55</v>
      </c>
      <c r="AB1772" s="4">
        <v>1</v>
      </c>
      <c r="AC1772" s="4">
        <v>9</v>
      </c>
      <c r="AD1772" s="4">
        <v>1</v>
      </c>
      <c r="AE1772" s="4">
        <v>130</v>
      </c>
      <c r="AF1772" s="4">
        <v>0</v>
      </c>
      <c r="AG1772" s="4">
        <v>4</v>
      </c>
      <c r="AH1772" s="4">
        <v>1</v>
      </c>
      <c r="AI1772" s="4">
        <v>108</v>
      </c>
      <c r="AJ1772" s="4">
        <v>0</v>
      </c>
      <c r="AK1772" s="4">
        <v>21</v>
      </c>
      <c r="AL1772" s="4">
        <v>1</v>
      </c>
      <c r="AM1772" s="4">
        <v>59</v>
      </c>
      <c r="AN1772" s="4">
        <v>0</v>
      </c>
      <c r="AO1772" s="4">
        <v>13</v>
      </c>
      <c r="AP1772" s="4">
        <v>0</v>
      </c>
      <c r="AQ1772" s="4">
        <v>28</v>
      </c>
      <c r="AR1772" s="3" t="s">
        <v>65</v>
      </c>
      <c r="AS1772" s="3" t="s">
        <v>65</v>
      </c>
      <c r="AT1772" s="3" t="s">
        <v>65</v>
      </c>
      <c r="AV1772" s="6" t="str">
        <f>HYPERLINK("http://mcgill.on.worldcat.org/oclc/61549163","Catalog Record")</f>
        <v>Catalog Record</v>
      </c>
      <c r="AW1772" s="6" t="str">
        <f>HYPERLINK("http://www.worldcat.org/oclc/61549163","WorldCat Record")</f>
        <v>WorldCat Record</v>
      </c>
      <c r="AX1772" s="3" t="s">
        <v>17365</v>
      </c>
      <c r="AY1772" s="3" t="s">
        <v>17387</v>
      </c>
      <c r="AZ1772" s="3" t="s">
        <v>17388</v>
      </c>
      <c r="BA1772" s="3" t="s">
        <v>17388</v>
      </c>
      <c r="BB1772" s="3" t="s">
        <v>17389</v>
      </c>
      <c r="BC1772" s="3" t="s">
        <v>77</v>
      </c>
      <c r="BD1772" s="3" t="s">
        <v>78</v>
      </c>
      <c r="BF1772" s="3" t="s">
        <v>17389</v>
      </c>
      <c r="BG1772" s="3" t="s">
        <v>17390</v>
      </c>
    </row>
    <row r="1773" spans="1:59" ht="58" x14ac:dyDescent="0.35">
      <c r="A1773" s="2" t="s">
        <v>59</v>
      </c>
      <c r="B1773" s="2" t="s">
        <v>60</v>
      </c>
      <c r="C1773" s="2" t="s">
        <v>17391</v>
      </c>
      <c r="D1773" s="2" t="s">
        <v>17392</v>
      </c>
      <c r="E1773" s="2" t="s">
        <v>17393</v>
      </c>
      <c r="F1773" s="3" t="s">
        <v>245</v>
      </c>
      <c r="G1773" s="3" t="s">
        <v>209</v>
      </c>
      <c r="I1773" s="3" t="s">
        <v>65</v>
      </c>
      <c r="J1773" s="3" t="s">
        <v>65</v>
      </c>
      <c r="K1773" s="3" t="s">
        <v>66</v>
      </c>
      <c r="L1773" s="2" t="s">
        <v>940</v>
      </c>
      <c r="M1773" s="2" t="s">
        <v>17394</v>
      </c>
      <c r="N1773" s="3" t="s">
        <v>113</v>
      </c>
      <c r="P1773" s="3" t="s">
        <v>140</v>
      </c>
      <c r="Q1773" s="2" t="s">
        <v>17395</v>
      </c>
      <c r="R1773" s="3" t="s">
        <v>71</v>
      </c>
      <c r="S1773" s="4">
        <v>0</v>
      </c>
      <c r="T1773" s="4">
        <v>0</v>
      </c>
      <c r="W1773" s="5" t="s">
        <v>72</v>
      </c>
      <c r="X1773" s="5" t="s">
        <v>72</v>
      </c>
      <c r="Y1773" s="4">
        <v>48</v>
      </c>
      <c r="Z1773" s="4">
        <v>4</v>
      </c>
      <c r="AA1773" s="4">
        <v>5</v>
      </c>
      <c r="AB1773" s="4">
        <v>1</v>
      </c>
      <c r="AC1773" s="4">
        <v>1</v>
      </c>
      <c r="AD1773" s="4">
        <v>33</v>
      </c>
      <c r="AE1773" s="4">
        <v>39</v>
      </c>
      <c r="AF1773" s="4">
        <v>0</v>
      </c>
      <c r="AG1773" s="4">
        <v>0</v>
      </c>
      <c r="AH1773" s="4">
        <v>32</v>
      </c>
      <c r="AI1773" s="4">
        <v>38</v>
      </c>
      <c r="AJ1773" s="4">
        <v>2</v>
      </c>
      <c r="AK1773" s="4">
        <v>3</v>
      </c>
      <c r="AL1773" s="4">
        <v>27</v>
      </c>
      <c r="AM1773" s="4">
        <v>30</v>
      </c>
      <c r="AN1773" s="4">
        <v>0</v>
      </c>
      <c r="AO1773" s="4">
        <v>0</v>
      </c>
      <c r="AP1773" s="4">
        <v>2</v>
      </c>
      <c r="AQ1773" s="4">
        <v>3</v>
      </c>
      <c r="AR1773" s="3" t="s">
        <v>65</v>
      </c>
      <c r="AS1773" s="3" t="s">
        <v>65</v>
      </c>
      <c r="AT1773" s="3" t="s">
        <v>65</v>
      </c>
      <c r="AV1773" s="6" t="str">
        <f>HYPERLINK("http://mcgill.on.worldcat.org/oclc/704509565","Catalog Record")</f>
        <v>Catalog Record</v>
      </c>
      <c r="AW1773" s="6" t="str">
        <f>HYPERLINK("http://www.worldcat.org/oclc/704509565","WorldCat Record")</f>
        <v>WorldCat Record</v>
      </c>
      <c r="AX1773" s="3" t="s">
        <v>17396</v>
      </c>
      <c r="AY1773" s="3" t="s">
        <v>17397</v>
      </c>
      <c r="AZ1773" s="3" t="s">
        <v>17398</v>
      </c>
      <c r="BA1773" s="3" t="s">
        <v>17398</v>
      </c>
      <c r="BB1773" s="3" t="s">
        <v>17399</v>
      </c>
      <c r="BC1773" s="3" t="s">
        <v>77</v>
      </c>
      <c r="BD1773" s="3" t="s">
        <v>78</v>
      </c>
      <c r="BE1773" s="3" t="s">
        <v>17400</v>
      </c>
      <c r="BF1773" s="3" t="s">
        <v>17399</v>
      </c>
      <c r="BG1773" s="3" t="s">
        <v>17401</v>
      </c>
    </row>
    <row r="1774" spans="1:59" ht="58" x14ac:dyDescent="0.35">
      <c r="A1774" s="2" t="s">
        <v>59</v>
      </c>
      <c r="B1774" s="2" t="s">
        <v>60</v>
      </c>
      <c r="C1774" s="2" t="s">
        <v>17402</v>
      </c>
      <c r="D1774" s="2" t="s">
        <v>17403</v>
      </c>
      <c r="E1774" s="2" t="s">
        <v>17404</v>
      </c>
      <c r="G1774" s="3" t="s">
        <v>65</v>
      </c>
      <c r="I1774" s="3" t="s">
        <v>209</v>
      </c>
      <c r="J1774" s="3" t="s">
        <v>65</v>
      </c>
      <c r="K1774" s="3" t="s">
        <v>66</v>
      </c>
      <c r="L1774" s="2" t="s">
        <v>17405</v>
      </c>
      <c r="M1774" s="2" t="s">
        <v>17406</v>
      </c>
      <c r="N1774" s="3" t="s">
        <v>756</v>
      </c>
      <c r="P1774" s="3" t="s">
        <v>69</v>
      </c>
      <c r="R1774" s="3" t="s">
        <v>71</v>
      </c>
      <c r="S1774" s="4">
        <v>10</v>
      </c>
      <c r="T1774" s="4">
        <v>15</v>
      </c>
      <c r="U1774" s="5" t="s">
        <v>17407</v>
      </c>
      <c r="V1774" s="5" t="s">
        <v>17408</v>
      </c>
      <c r="W1774" s="5" t="s">
        <v>72</v>
      </c>
      <c r="X1774" s="5" t="s">
        <v>72</v>
      </c>
      <c r="Y1774" s="4">
        <v>558</v>
      </c>
      <c r="Z1774" s="4">
        <v>33</v>
      </c>
      <c r="AA1774" s="4">
        <v>36</v>
      </c>
      <c r="AB1774" s="4">
        <v>2</v>
      </c>
      <c r="AC1774" s="4">
        <v>2</v>
      </c>
      <c r="AD1774" s="4">
        <v>123</v>
      </c>
      <c r="AE1774" s="4">
        <v>127</v>
      </c>
      <c r="AF1774" s="4">
        <v>1</v>
      </c>
      <c r="AG1774" s="4">
        <v>1</v>
      </c>
      <c r="AH1774" s="4">
        <v>100</v>
      </c>
      <c r="AI1774" s="4">
        <v>103</v>
      </c>
      <c r="AJ1774" s="4">
        <v>19</v>
      </c>
      <c r="AK1774" s="4">
        <v>21</v>
      </c>
      <c r="AL1774" s="4">
        <v>55</v>
      </c>
      <c r="AM1774" s="4">
        <v>56</v>
      </c>
      <c r="AN1774" s="4">
        <v>0</v>
      </c>
      <c r="AO1774" s="4">
        <v>0</v>
      </c>
      <c r="AP1774" s="4">
        <v>27</v>
      </c>
      <c r="AQ1774" s="4">
        <v>30</v>
      </c>
      <c r="AR1774" s="3" t="s">
        <v>65</v>
      </c>
      <c r="AS1774" s="3" t="s">
        <v>65</v>
      </c>
      <c r="AT1774" s="3" t="s">
        <v>209</v>
      </c>
      <c r="AU1774" s="6" t="str">
        <f>HYPERLINK("http://catalog.hathitrust.org/Record/001807156","HathiTrust Record")</f>
        <v>HathiTrust Record</v>
      </c>
      <c r="AV1774" s="6" t="str">
        <f>HYPERLINK("http://mcgill.on.worldcat.org/oclc/32970","Catalog Record")</f>
        <v>Catalog Record</v>
      </c>
      <c r="AW1774" s="6" t="str">
        <f>HYPERLINK("http://www.worldcat.org/oclc/32970","WorldCat Record")</f>
        <v>WorldCat Record</v>
      </c>
      <c r="AX1774" s="3" t="s">
        <v>17409</v>
      </c>
      <c r="AY1774" s="3" t="s">
        <v>17410</v>
      </c>
      <c r="AZ1774" s="3" t="s">
        <v>17411</v>
      </c>
      <c r="BA1774" s="3" t="s">
        <v>17411</v>
      </c>
      <c r="BB1774" s="3" t="s">
        <v>17412</v>
      </c>
      <c r="BC1774" s="3" t="s">
        <v>77</v>
      </c>
      <c r="BD1774" s="3" t="s">
        <v>78</v>
      </c>
      <c r="BE1774" s="3" t="s">
        <v>17413</v>
      </c>
      <c r="BF1774" s="3" t="s">
        <v>17412</v>
      </c>
      <c r="BG1774" s="3" t="s">
        <v>17414</v>
      </c>
    </row>
    <row r="1775" spans="1:59" ht="58" x14ac:dyDescent="0.35">
      <c r="A1775" s="2" t="s">
        <v>59</v>
      </c>
      <c r="B1775" s="2" t="s">
        <v>60</v>
      </c>
      <c r="C1775" s="2" t="s">
        <v>17402</v>
      </c>
      <c r="D1775" s="2" t="s">
        <v>17403</v>
      </c>
      <c r="E1775" s="2" t="s">
        <v>17404</v>
      </c>
      <c r="G1775" s="3" t="s">
        <v>65</v>
      </c>
      <c r="I1775" s="3" t="s">
        <v>209</v>
      </c>
      <c r="J1775" s="3" t="s">
        <v>65</v>
      </c>
      <c r="K1775" s="3" t="s">
        <v>66</v>
      </c>
      <c r="L1775" s="2" t="s">
        <v>17405</v>
      </c>
      <c r="M1775" s="2" t="s">
        <v>17406</v>
      </c>
      <c r="N1775" s="3" t="s">
        <v>756</v>
      </c>
      <c r="P1775" s="3" t="s">
        <v>69</v>
      </c>
      <c r="R1775" s="3" t="s">
        <v>71</v>
      </c>
      <c r="S1775" s="4">
        <v>5</v>
      </c>
      <c r="T1775" s="4">
        <v>15</v>
      </c>
      <c r="U1775" s="5" t="s">
        <v>17408</v>
      </c>
      <c r="V1775" s="5" t="s">
        <v>17408</v>
      </c>
      <c r="W1775" s="5" t="s">
        <v>72</v>
      </c>
      <c r="X1775" s="5" t="s">
        <v>72</v>
      </c>
      <c r="Y1775" s="4">
        <v>558</v>
      </c>
      <c r="Z1775" s="4">
        <v>33</v>
      </c>
      <c r="AA1775" s="4">
        <v>36</v>
      </c>
      <c r="AB1775" s="4">
        <v>2</v>
      </c>
      <c r="AC1775" s="4">
        <v>2</v>
      </c>
      <c r="AD1775" s="4">
        <v>123</v>
      </c>
      <c r="AE1775" s="4">
        <v>127</v>
      </c>
      <c r="AF1775" s="4">
        <v>1</v>
      </c>
      <c r="AG1775" s="4">
        <v>1</v>
      </c>
      <c r="AH1775" s="4">
        <v>100</v>
      </c>
      <c r="AI1775" s="4">
        <v>103</v>
      </c>
      <c r="AJ1775" s="4">
        <v>19</v>
      </c>
      <c r="AK1775" s="4">
        <v>21</v>
      </c>
      <c r="AL1775" s="4">
        <v>55</v>
      </c>
      <c r="AM1775" s="4">
        <v>56</v>
      </c>
      <c r="AN1775" s="4">
        <v>0</v>
      </c>
      <c r="AO1775" s="4">
        <v>0</v>
      </c>
      <c r="AP1775" s="4">
        <v>27</v>
      </c>
      <c r="AQ1775" s="4">
        <v>30</v>
      </c>
      <c r="AR1775" s="3" t="s">
        <v>65</v>
      </c>
      <c r="AS1775" s="3" t="s">
        <v>65</v>
      </c>
      <c r="AT1775" s="3" t="s">
        <v>209</v>
      </c>
      <c r="AU1775" s="6" t="str">
        <f>HYPERLINK("http://catalog.hathitrust.org/Record/001807156","HathiTrust Record")</f>
        <v>HathiTrust Record</v>
      </c>
      <c r="AV1775" s="6" t="str">
        <f>HYPERLINK("http://mcgill.on.worldcat.org/oclc/32970","Catalog Record")</f>
        <v>Catalog Record</v>
      </c>
      <c r="AW1775" s="6" t="str">
        <f>HYPERLINK("http://www.worldcat.org/oclc/32970","WorldCat Record")</f>
        <v>WorldCat Record</v>
      </c>
      <c r="AX1775" s="3" t="s">
        <v>17409</v>
      </c>
      <c r="AY1775" s="3" t="s">
        <v>17410</v>
      </c>
      <c r="AZ1775" s="3" t="s">
        <v>17411</v>
      </c>
      <c r="BA1775" s="3" t="s">
        <v>17411</v>
      </c>
      <c r="BB1775" s="3" t="s">
        <v>17415</v>
      </c>
      <c r="BC1775" s="3" t="s">
        <v>77</v>
      </c>
      <c r="BD1775" s="3" t="s">
        <v>78</v>
      </c>
      <c r="BE1775" s="3" t="s">
        <v>17413</v>
      </c>
      <c r="BF1775" s="3" t="s">
        <v>17415</v>
      </c>
      <c r="BG1775" s="3" t="s">
        <v>17416</v>
      </c>
    </row>
    <row r="1776" spans="1:59" ht="58" x14ac:dyDescent="0.35">
      <c r="A1776" s="2" t="s">
        <v>59</v>
      </c>
      <c r="B1776" s="2" t="s">
        <v>60</v>
      </c>
      <c r="C1776" s="2" t="s">
        <v>17417</v>
      </c>
      <c r="D1776" s="2" t="s">
        <v>17418</v>
      </c>
      <c r="E1776" s="2" t="s">
        <v>17419</v>
      </c>
      <c r="G1776" s="3" t="s">
        <v>65</v>
      </c>
      <c r="I1776" s="3" t="s">
        <v>65</v>
      </c>
      <c r="J1776" s="3" t="s">
        <v>65</v>
      </c>
      <c r="K1776" s="3" t="s">
        <v>66</v>
      </c>
      <c r="L1776" s="2" t="s">
        <v>17420</v>
      </c>
      <c r="M1776" s="2" t="s">
        <v>17421</v>
      </c>
      <c r="N1776" s="3" t="s">
        <v>139</v>
      </c>
      <c r="P1776" s="3" t="s">
        <v>140</v>
      </c>
      <c r="R1776" s="3" t="s">
        <v>71</v>
      </c>
      <c r="S1776" s="4">
        <v>0</v>
      </c>
      <c r="T1776" s="4">
        <v>0</v>
      </c>
      <c r="U1776" s="5" t="s">
        <v>2341</v>
      </c>
      <c r="V1776" s="5" t="s">
        <v>2341</v>
      </c>
      <c r="W1776" s="5" t="s">
        <v>72</v>
      </c>
      <c r="X1776" s="5" t="s">
        <v>72</v>
      </c>
      <c r="Y1776" s="4">
        <v>22</v>
      </c>
      <c r="Z1776" s="4">
        <v>4</v>
      </c>
      <c r="AA1776" s="4">
        <v>4</v>
      </c>
      <c r="AB1776" s="4">
        <v>1</v>
      </c>
      <c r="AC1776" s="4">
        <v>1</v>
      </c>
      <c r="AD1776" s="4">
        <v>15</v>
      </c>
      <c r="AE1776" s="4">
        <v>15</v>
      </c>
      <c r="AF1776" s="4">
        <v>0</v>
      </c>
      <c r="AG1776" s="4">
        <v>0</v>
      </c>
      <c r="AH1776" s="4">
        <v>14</v>
      </c>
      <c r="AI1776" s="4">
        <v>14</v>
      </c>
      <c r="AJ1776" s="4">
        <v>2</v>
      </c>
      <c r="AK1776" s="4">
        <v>2</v>
      </c>
      <c r="AL1776" s="4">
        <v>10</v>
      </c>
      <c r="AM1776" s="4">
        <v>10</v>
      </c>
      <c r="AN1776" s="4">
        <v>0</v>
      </c>
      <c r="AO1776" s="4">
        <v>0</v>
      </c>
      <c r="AP1776" s="4">
        <v>2</v>
      </c>
      <c r="AQ1776" s="4">
        <v>2</v>
      </c>
      <c r="AR1776" s="3" t="s">
        <v>65</v>
      </c>
      <c r="AS1776" s="3" t="s">
        <v>65</v>
      </c>
      <c r="AT1776" s="3" t="s">
        <v>65</v>
      </c>
      <c r="AV1776" s="6" t="str">
        <f>HYPERLINK("http://mcgill.on.worldcat.org/oclc/843755365","Catalog Record")</f>
        <v>Catalog Record</v>
      </c>
      <c r="AW1776" s="6" t="str">
        <f>HYPERLINK("http://www.worldcat.org/oclc/843755365","WorldCat Record")</f>
        <v>WorldCat Record</v>
      </c>
      <c r="AX1776" s="3" t="s">
        <v>17422</v>
      </c>
      <c r="AY1776" s="3" t="s">
        <v>17423</v>
      </c>
      <c r="AZ1776" s="3" t="s">
        <v>17424</v>
      </c>
      <c r="BA1776" s="3" t="s">
        <v>17424</v>
      </c>
      <c r="BB1776" s="3" t="s">
        <v>17425</v>
      </c>
      <c r="BC1776" s="3" t="s">
        <v>77</v>
      </c>
      <c r="BD1776" s="3" t="s">
        <v>78</v>
      </c>
      <c r="BE1776" s="3" t="s">
        <v>17426</v>
      </c>
      <c r="BF1776" s="3" t="s">
        <v>17425</v>
      </c>
      <c r="BG1776" s="3" t="s">
        <v>17427</v>
      </c>
    </row>
    <row r="1777" spans="1:59" ht="72.5" x14ac:dyDescent="0.35">
      <c r="A1777" s="2" t="s">
        <v>59</v>
      </c>
      <c r="B1777" s="2" t="s">
        <v>60</v>
      </c>
      <c r="C1777" s="2" t="s">
        <v>17428</v>
      </c>
      <c r="D1777" s="2" t="s">
        <v>17429</v>
      </c>
      <c r="E1777" s="2" t="s">
        <v>17430</v>
      </c>
      <c r="G1777" s="3" t="s">
        <v>65</v>
      </c>
      <c r="I1777" s="3" t="s">
        <v>65</v>
      </c>
      <c r="J1777" s="3" t="s">
        <v>65</v>
      </c>
      <c r="K1777" s="3" t="s">
        <v>66</v>
      </c>
      <c r="L1777" s="2" t="s">
        <v>940</v>
      </c>
      <c r="M1777" s="2" t="s">
        <v>17327</v>
      </c>
      <c r="N1777" s="3" t="s">
        <v>139</v>
      </c>
      <c r="O1777" s="2" t="s">
        <v>17431</v>
      </c>
      <c r="P1777" s="3" t="s">
        <v>140</v>
      </c>
      <c r="Q1777" s="2" t="s">
        <v>17432</v>
      </c>
      <c r="R1777" s="3" t="s">
        <v>71</v>
      </c>
      <c r="S1777" s="4">
        <v>2</v>
      </c>
      <c r="T1777" s="4">
        <v>2</v>
      </c>
      <c r="U1777" s="5" t="s">
        <v>15628</v>
      </c>
      <c r="V1777" s="5" t="s">
        <v>15628</v>
      </c>
      <c r="W1777" s="5" t="s">
        <v>72</v>
      </c>
      <c r="X1777" s="5" t="s">
        <v>72</v>
      </c>
      <c r="Y1777" s="4">
        <v>55</v>
      </c>
      <c r="Z1777" s="4">
        <v>4</v>
      </c>
      <c r="AA1777" s="4">
        <v>4</v>
      </c>
      <c r="AB1777" s="4">
        <v>1</v>
      </c>
      <c r="AC1777" s="4">
        <v>1</v>
      </c>
      <c r="AD1777" s="4">
        <v>32</v>
      </c>
      <c r="AE1777" s="4">
        <v>32</v>
      </c>
      <c r="AF1777" s="4">
        <v>0</v>
      </c>
      <c r="AG1777" s="4">
        <v>0</v>
      </c>
      <c r="AH1777" s="4">
        <v>31</v>
      </c>
      <c r="AI1777" s="4">
        <v>31</v>
      </c>
      <c r="AJ1777" s="4">
        <v>2</v>
      </c>
      <c r="AK1777" s="4">
        <v>2</v>
      </c>
      <c r="AL1777" s="4">
        <v>25</v>
      </c>
      <c r="AM1777" s="4">
        <v>25</v>
      </c>
      <c r="AN1777" s="4">
        <v>0</v>
      </c>
      <c r="AO1777" s="4">
        <v>0</v>
      </c>
      <c r="AP1777" s="4">
        <v>2</v>
      </c>
      <c r="AQ1777" s="4">
        <v>2</v>
      </c>
      <c r="AR1777" s="3" t="s">
        <v>65</v>
      </c>
      <c r="AS1777" s="3" t="s">
        <v>65</v>
      </c>
      <c r="AT1777" s="3" t="s">
        <v>65</v>
      </c>
      <c r="AV1777" s="6" t="str">
        <f>HYPERLINK("http://mcgill.on.worldcat.org/oclc/809029834","Catalog Record")</f>
        <v>Catalog Record</v>
      </c>
      <c r="AW1777" s="6" t="str">
        <f>HYPERLINK("http://www.worldcat.org/oclc/809029834","WorldCat Record")</f>
        <v>WorldCat Record</v>
      </c>
      <c r="AX1777" s="3" t="s">
        <v>17433</v>
      </c>
      <c r="AY1777" s="3" t="s">
        <v>17434</v>
      </c>
      <c r="AZ1777" s="3" t="s">
        <v>17435</v>
      </c>
      <c r="BA1777" s="3" t="s">
        <v>17435</v>
      </c>
      <c r="BB1777" s="3" t="s">
        <v>17436</v>
      </c>
      <c r="BC1777" s="3" t="s">
        <v>77</v>
      </c>
      <c r="BD1777" s="3" t="s">
        <v>78</v>
      </c>
      <c r="BE1777" s="3" t="s">
        <v>17437</v>
      </c>
      <c r="BF1777" s="3" t="s">
        <v>17436</v>
      </c>
      <c r="BG1777" s="3" t="s">
        <v>17438</v>
      </c>
    </row>
    <row r="1778" spans="1:59" ht="58" x14ac:dyDescent="0.35">
      <c r="A1778" s="2" t="s">
        <v>59</v>
      </c>
      <c r="B1778" s="2" t="s">
        <v>60</v>
      </c>
      <c r="C1778" s="2" t="s">
        <v>17439</v>
      </c>
      <c r="D1778" s="2" t="s">
        <v>17440</v>
      </c>
      <c r="E1778" s="2" t="s">
        <v>17441</v>
      </c>
      <c r="G1778" s="3" t="s">
        <v>65</v>
      </c>
      <c r="I1778" s="3" t="s">
        <v>65</v>
      </c>
      <c r="J1778" s="3" t="s">
        <v>65</v>
      </c>
      <c r="K1778" s="3" t="s">
        <v>66</v>
      </c>
      <c r="L1778" s="2" t="s">
        <v>17442</v>
      </c>
      <c r="M1778" s="2" t="s">
        <v>5868</v>
      </c>
      <c r="N1778" s="3" t="s">
        <v>221</v>
      </c>
      <c r="P1778" s="3" t="s">
        <v>140</v>
      </c>
      <c r="Q1778" s="2" t="s">
        <v>17443</v>
      </c>
      <c r="R1778" s="3" t="s">
        <v>71</v>
      </c>
      <c r="S1778" s="4">
        <v>1</v>
      </c>
      <c r="T1778" s="4">
        <v>1</v>
      </c>
      <c r="U1778" s="5" t="s">
        <v>17444</v>
      </c>
      <c r="V1778" s="5" t="s">
        <v>17444</v>
      </c>
      <c r="W1778" s="5" t="s">
        <v>72</v>
      </c>
      <c r="X1778" s="5" t="s">
        <v>72</v>
      </c>
      <c r="Y1778" s="4">
        <v>41</v>
      </c>
      <c r="Z1778" s="4">
        <v>1</v>
      </c>
      <c r="AA1778" s="4">
        <v>2</v>
      </c>
      <c r="AB1778" s="4">
        <v>1</v>
      </c>
      <c r="AC1778" s="4">
        <v>2</v>
      </c>
      <c r="AD1778" s="4">
        <v>26</v>
      </c>
      <c r="AE1778" s="4">
        <v>26</v>
      </c>
      <c r="AF1778" s="4">
        <v>0</v>
      </c>
      <c r="AG1778" s="4">
        <v>0</v>
      </c>
      <c r="AH1778" s="4">
        <v>25</v>
      </c>
      <c r="AI1778" s="4">
        <v>25</v>
      </c>
      <c r="AJ1778" s="4">
        <v>0</v>
      </c>
      <c r="AK1778" s="4">
        <v>0</v>
      </c>
      <c r="AL1778" s="4">
        <v>22</v>
      </c>
      <c r="AM1778" s="4">
        <v>22</v>
      </c>
      <c r="AN1778" s="4">
        <v>0</v>
      </c>
      <c r="AO1778" s="4">
        <v>0</v>
      </c>
      <c r="AP1778" s="4">
        <v>0</v>
      </c>
      <c r="AQ1778" s="4">
        <v>0</v>
      </c>
      <c r="AR1778" s="3" t="s">
        <v>65</v>
      </c>
      <c r="AS1778" s="3" t="s">
        <v>65</v>
      </c>
      <c r="AT1778" s="3" t="s">
        <v>209</v>
      </c>
      <c r="AU1778" s="6" t="str">
        <f>HYPERLINK("http://catalog.hathitrust.org/Record/005689196","HathiTrust Record")</f>
        <v>HathiTrust Record</v>
      </c>
      <c r="AV1778" s="6" t="str">
        <f>HYPERLINK("http://mcgill.on.worldcat.org/oclc/224388373","Catalog Record")</f>
        <v>Catalog Record</v>
      </c>
      <c r="AW1778" s="6" t="str">
        <f>HYPERLINK("http://www.worldcat.org/oclc/224388373","WorldCat Record")</f>
        <v>WorldCat Record</v>
      </c>
      <c r="AX1778" s="3" t="s">
        <v>17445</v>
      </c>
      <c r="AY1778" s="3" t="s">
        <v>17446</v>
      </c>
      <c r="AZ1778" s="3" t="s">
        <v>17447</v>
      </c>
      <c r="BA1778" s="3" t="s">
        <v>17447</v>
      </c>
      <c r="BB1778" s="3" t="s">
        <v>17448</v>
      </c>
      <c r="BC1778" s="3" t="s">
        <v>77</v>
      </c>
      <c r="BD1778" s="3" t="s">
        <v>78</v>
      </c>
      <c r="BE1778" s="3" t="s">
        <v>17449</v>
      </c>
      <c r="BF1778" s="3" t="s">
        <v>17448</v>
      </c>
      <c r="BG1778" s="3" t="s">
        <v>17450</v>
      </c>
    </row>
    <row r="1779" spans="1:59" ht="58" x14ac:dyDescent="0.35">
      <c r="A1779" s="2" t="s">
        <v>59</v>
      </c>
      <c r="B1779" s="2" t="s">
        <v>60</v>
      </c>
      <c r="C1779" s="2" t="s">
        <v>17451</v>
      </c>
      <c r="D1779" s="2" t="s">
        <v>17452</v>
      </c>
      <c r="E1779" s="2" t="s">
        <v>17453</v>
      </c>
      <c r="G1779" s="3" t="s">
        <v>65</v>
      </c>
      <c r="I1779" s="3" t="s">
        <v>65</v>
      </c>
      <c r="J1779" s="3" t="s">
        <v>65</v>
      </c>
      <c r="K1779" s="3" t="s">
        <v>66</v>
      </c>
      <c r="L1779" s="2" t="s">
        <v>940</v>
      </c>
      <c r="M1779" s="2" t="s">
        <v>17454</v>
      </c>
      <c r="N1779" s="3" t="s">
        <v>5130</v>
      </c>
      <c r="P1779" s="3" t="s">
        <v>69</v>
      </c>
      <c r="R1779" s="3" t="s">
        <v>71</v>
      </c>
      <c r="S1779" s="4">
        <v>45</v>
      </c>
      <c r="T1779" s="4">
        <v>45</v>
      </c>
      <c r="U1779" s="5" t="s">
        <v>944</v>
      </c>
      <c r="V1779" s="5" t="s">
        <v>944</v>
      </c>
      <c r="W1779" s="5" t="s">
        <v>72</v>
      </c>
      <c r="X1779" s="5" t="s">
        <v>72</v>
      </c>
      <c r="Y1779" s="4">
        <v>437</v>
      </c>
      <c r="Z1779" s="4">
        <v>31</v>
      </c>
      <c r="AA1779" s="4">
        <v>32</v>
      </c>
      <c r="AB1779" s="4">
        <v>2</v>
      </c>
      <c r="AC1779" s="4">
        <v>3</v>
      </c>
      <c r="AD1779" s="4">
        <v>119</v>
      </c>
      <c r="AE1779" s="4">
        <v>120</v>
      </c>
      <c r="AF1779" s="4">
        <v>1</v>
      </c>
      <c r="AG1779" s="4">
        <v>2</v>
      </c>
      <c r="AH1779" s="4">
        <v>102</v>
      </c>
      <c r="AI1779" s="4">
        <v>103</v>
      </c>
      <c r="AJ1779" s="4">
        <v>19</v>
      </c>
      <c r="AK1779" s="4">
        <v>20</v>
      </c>
      <c r="AL1779" s="4">
        <v>53</v>
      </c>
      <c r="AM1779" s="4">
        <v>53</v>
      </c>
      <c r="AN1779" s="4">
        <v>0</v>
      </c>
      <c r="AO1779" s="4">
        <v>0</v>
      </c>
      <c r="AP1779" s="4">
        <v>27</v>
      </c>
      <c r="AQ1779" s="4">
        <v>28</v>
      </c>
      <c r="AR1779" s="3" t="s">
        <v>65</v>
      </c>
      <c r="AS1779" s="3" t="s">
        <v>65</v>
      </c>
      <c r="AT1779" s="3" t="s">
        <v>209</v>
      </c>
      <c r="AU1779" s="6" t="str">
        <f>HYPERLINK("http://catalog.hathitrust.org/Record/001463216","HathiTrust Record")</f>
        <v>HathiTrust Record</v>
      </c>
      <c r="AV1779" s="6" t="str">
        <f>HYPERLINK("http://mcgill.on.worldcat.org/oclc/674111","Catalog Record")</f>
        <v>Catalog Record</v>
      </c>
      <c r="AW1779" s="6" t="str">
        <f>HYPERLINK("http://www.worldcat.org/oclc/674111","WorldCat Record")</f>
        <v>WorldCat Record</v>
      </c>
      <c r="AX1779" s="3" t="s">
        <v>17455</v>
      </c>
      <c r="AY1779" s="3" t="s">
        <v>17456</v>
      </c>
      <c r="AZ1779" s="3" t="s">
        <v>17457</v>
      </c>
      <c r="BA1779" s="3" t="s">
        <v>17457</v>
      </c>
      <c r="BB1779" s="3" t="s">
        <v>17458</v>
      </c>
      <c r="BC1779" s="3" t="s">
        <v>77</v>
      </c>
      <c r="BD1779" s="3" t="s">
        <v>78</v>
      </c>
      <c r="BE1779" s="3" t="s">
        <v>17459</v>
      </c>
      <c r="BF1779" s="3" t="s">
        <v>17458</v>
      </c>
      <c r="BG1779" s="3" t="s">
        <v>17460</v>
      </c>
    </row>
    <row r="1780" spans="1:59" ht="58" x14ac:dyDescent="0.35">
      <c r="A1780" s="2" t="s">
        <v>59</v>
      </c>
      <c r="B1780" s="2" t="s">
        <v>60</v>
      </c>
      <c r="C1780" s="2" t="s">
        <v>17461</v>
      </c>
      <c r="D1780" s="2" t="s">
        <v>17462</v>
      </c>
      <c r="E1780" s="2" t="s">
        <v>17463</v>
      </c>
      <c r="G1780" s="3" t="s">
        <v>65</v>
      </c>
      <c r="I1780" s="3" t="s">
        <v>65</v>
      </c>
      <c r="J1780" s="3" t="s">
        <v>65</v>
      </c>
      <c r="K1780" s="3" t="s">
        <v>66</v>
      </c>
      <c r="L1780" s="2" t="s">
        <v>940</v>
      </c>
      <c r="M1780" s="2" t="s">
        <v>17464</v>
      </c>
      <c r="N1780" s="3" t="s">
        <v>1151</v>
      </c>
      <c r="P1780" s="3" t="s">
        <v>140</v>
      </c>
      <c r="R1780" s="3" t="s">
        <v>71</v>
      </c>
      <c r="S1780" s="4">
        <v>2</v>
      </c>
      <c r="T1780" s="4">
        <v>2</v>
      </c>
      <c r="U1780" s="5" t="s">
        <v>10660</v>
      </c>
      <c r="V1780" s="5" t="s">
        <v>10660</v>
      </c>
      <c r="W1780" s="5" t="s">
        <v>72</v>
      </c>
      <c r="X1780" s="5" t="s">
        <v>72</v>
      </c>
      <c r="Y1780" s="4">
        <v>20</v>
      </c>
      <c r="Z1780" s="4">
        <v>2</v>
      </c>
      <c r="AA1780" s="4">
        <v>2</v>
      </c>
      <c r="AB1780" s="4">
        <v>1</v>
      </c>
      <c r="AC1780" s="4">
        <v>1</v>
      </c>
      <c r="AD1780" s="4">
        <v>13</v>
      </c>
      <c r="AE1780" s="4">
        <v>13</v>
      </c>
      <c r="AF1780" s="4">
        <v>0</v>
      </c>
      <c r="AG1780" s="4">
        <v>0</v>
      </c>
      <c r="AH1780" s="4">
        <v>12</v>
      </c>
      <c r="AI1780" s="4">
        <v>12</v>
      </c>
      <c r="AJ1780" s="4">
        <v>0</v>
      </c>
      <c r="AK1780" s="4">
        <v>0</v>
      </c>
      <c r="AL1780" s="4">
        <v>10</v>
      </c>
      <c r="AM1780" s="4">
        <v>10</v>
      </c>
      <c r="AN1780" s="4">
        <v>0</v>
      </c>
      <c r="AO1780" s="4">
        <v>0</v>
      </c>
      <c r="AP1780" s="4">
        <v>0</v>
      </c>
      <c r="AQ1780" s="4">
        <v>0</v>
      </c>
      <c r="AR1780" s="3" t="s">
        <v>65</v>
      </c>
      <c r="AS1780" s="3" t="s">
        <v>65</v>
      </c>
      <c r="AT1780" s="3" t="s">
        <v>209</v>
      </c>
      <c r="AU1780" s="6" t="str">
        <f>HYPERLINK("http://catalog.hathitrust.org/Record/007862389","HathiTrust Record")</f>
        <v>HathiTrust Record</v>
      </c>
      <c r="AV1780" s="6" t="str">
        <f>HYPERLINK("http://mcgill.on.worldcat.org/oclc/3445656","Catalog Record")</f>
        <v>Catalog Record</v>
      </c>
      <c r="AW1780" s="6" t="str">
        <f>HYPERLINK("http://www.worldcat.org/oclc/3445656","WorldCat Record")</f>
        <v>WorldCat Record</v>
      </c>
      <c r="AX1780" s="3" t="s">
        <v>17465</v>
      </c>
      <c r="AY1780" s="3" t="s">
        <v>17466</v>
      </c>
      <c r="AZ1780" s="3" t="s">
        <v>17467</v>
      </c>
      <c r="BA1780" s="3" t="s">
        <v>17467</v>
      </c>
      <c r="BB1780" s="3" t="s">
        <v>17468</v>
      </c>
      <c r="BC1780" s="3" t="s">
        <v>77</v>
      </c>
      <c r="BD1780" s="3" t="s">
        <v>78</v>
      </c>
      <c r="BF1780" s="3" t="s">
        <v>17468</v>
      </c>
      <c r="BG1780" s="3" t="s">
        <v>17469</v>
      </c>
    </row>
    <row r="1781" spans="1:59" ht="58" x14ac:dyDescent="0.35">
      <c r="A1781" s="2" t="s">
        <v>59</v>
      </c>
      <c r="B1781" s="2" t="s">
        <v>60</v>
      </c>
      <c r="C1781" s="2" t="s">
        <v>17470</v>
      </c>
      <c r="D1781" s="2" t="s">
        <v>17471</v>
      </c>
      <c r="E1781" s="2" t="s">
        <v>17472</v>
      </c>
      <c r="G1781" s="3" t="s">
        <v>65</v>
      </c>
      <c r="I1781" s="3" t="s">
        <v>65</v>
      </c>
      <c r="J1781" s="3" t="s">
        <v>65</v>
      </c>
      <c r="K1781" s="3" t="s">
        <v>66</v>
      </c>
      <c r="L1781" s="2" t="s">
        <v>940</v>
      </c>
      <c r="M1781" s="2" t="s">
        <v>7285</v>
      </c>
      <c r="N1781" s="3" t="s">
        <v>831</v>
      </c>
      <c r="P1781" s="3" t="s">
        <v>69</v>
      </c>
      <c r="Q1781" s="2" t="s">
        <v>17473</v>
      </c>
      <c r="R1781" s="3" t="s">
        <v>71</v>
      </c>
      <c r="S1781" s="4">
        <v>7</v>
      </c>
      <c r="T1781" s="4">
        <v>7</v>
      </c>
      <c r="U1781" s="5" t="s">
        <v>17474</v>
      </c>
      <c r="V1781" s="5" t="s">
        <v>17474</v>
      </c>
      <c r="W1781" s="5" t="s">
        <v>72</v>
      </c>
      <c r="X1781" s="5" t="s">
        <v>72</v>
      </c>
      <c r="Y1781" s="4">
        <v>406</v>
      </c>
      <c r="Z1781" s="4">
        <v>26</v>
      </c>
      <c r="AA1781" s="4">
        <v>26</v>
      </c>
      <c r="AB1781" s="4">
        <v>1</v>
      </c>
      <c r="AC1781" s="4">
        <v>1</v>
      </c>
      <c r="AD1781" s="4">
        <v>108</v>
      </c>
      <c r="AE1781" s="4">
        <v>108</v>
      </c>
      <c r="AF1781" s="4">
        <v>0</v>
      </c>
      <c r="AG1781" s="4">
        <v>0</v>
      </c>
      <c r="AH1781" s="4">
        <v>97</v>
      </c>
      <c r="AI1781" s="4">
        <v>97</v>
      </c>
      <c r="AJ1781" s="4">
        <v>16</v>
      </c>
      <c r="AK1781" s="4">
        <v>16</v>
      </c>
      <c r="AL1781" s="4">
        <v>53</v>
      </c>
      <c r="AM1781" s="4">
        <v>53</v>
      </c>
      <c r="AN1781" s="4">
        <v>0</v>
      </c>
      <c r="AO1781" s="4">
        <v>0</v>
      </c>
      <c r="AP1781" s="4">
        <v>19</v>
      </c>
      <c r="AQ1781" s="4">
        <v>19</v>
      </c>
      <c r="AR1781" s="3" t="s">
        <v>65</v>
      </c>
      <c r="AS1781" s="3" t="s">
        <v>65</v>
      </c>
      <c r="AT1781" s="3" t="s">
        <v>65</v>
      </c>
      <c r="AV1781" s="6" t="str">
        <f>HYPERLINK("http://mcgill.on.worldcat.org/oclc/7672608","Catalog Record")</f>
        <v>Catalog Record</v>
      </c>
      <c r="AW1781" s="6" t="str">
        <f>HYPERLINK("http://www.worldcat.org/oclc/7672608","WorldCat Record")</f>
        <v>WorldCat Record</v>
      </c>
      <c r="AX1781" s="3" t="s">
        <v>17475</v>
      </c>
      <c r="AY1781" s="3" t="s">
        <v>17476</v>
      </c>
      <c r="AZ1781" s="3" t="s">
        <v>17477</v>
      </c>
      <c r="BA1781" s="3" t="s">
        <v>17477</v>
      </c>
      <c r="BB1781" s="3" t="s">
        <v>17478</v>
      </c>
      <c r="BC1781" s="3" t="s">
        <v>77</v>
      </c>
      <c r="BD1781" s="3" t="s">
        <v>78</v>
      </c>
      <c r="BE1781" s="3" t="s">
        <v>17479</v>
      </c>
      <c r="BF1781" s="3" t="s">
        <v>17478</v>
      </c>
      <c r="BG1781" s="3" t="s">
        <v>17480</v>
      </c>
    </row>
    <row r="1782" spans="1:59" ht="72.5" x14ac:dyDescent="0.35">
      <c r="A1782" s="2" t="s">
        <v>59</v>
      </c>
      <c r="B1782" s="2" t="s">
        <v>60</v>
      </c>
      <c r="C1782" s="2" t="s">
        <v>17481</v>
      </c>
      <c r="D1782" s="2" t="s">
        <v>17482</v>
      </c>
      <c r="E1782" s="2" t="s">
        <v>17483</v>
      </c>
      <c r="G1782" s="3" t="s">
        <v>65</v>
      </c>
      <c r="I1782" s="3" t="s">
        <v>65</v>
      </c>
      <c r="J1782" s="3" t="s">
        <v>65</v>
      </c>
      <c r="K1782" s="3" t="s">
        <v>66</v>
      </c>
      <c r="L1782" s="2" t="s">
        <v>940</v>
      </c>
      <c r="M1782" s="2" t="s">
        <v>17484</v>
      </c>
      <c r="N1782" s="3" t="s">
        <v>1835</v>
      </c>
      <c r="P1782" s="3" t="s">
        <v>69</v>
      </c>
      <c r="Q1782" s="2" t="s">
        <v>17485</v>
      </c>
      <c r="R1782" s="3" t="s">
        <v>71</v>
      </c>
      <c r="S1782" s="4">
        <v>16</v>
      </c>
      <c r="T1782" s="4">
        <v>16</v>
      </c>
      <c r="U1782" s="5" t="s">
        <v>17486</v>
      </c>
      <c r="V1782" s="5" t="s">
        <v>17486</v>
      </c>
      <c r="W1782" s="5" t="s">
        <v>72</v>
      </c>
      <c r="X1782" s="5" t="s">
        <v>72</v>
      </c>
      <c r="Y1782" s="4">
        <v>216</v>
      </c>
      <c r="Z1782" s="4">
        <v>21</v>
      </c>
      <c r="AA1782" s="4">
        <v>24</v>
      </c>
      <c r="AB1782" s="4">
        <v>1</v>
      </c>
      <c r="AC1782" s="4">
        <v>2</v>
      </c>
      <c r="AD1782" s="4">
        <v>85</v>
      </c>
      <c r="AE1782" s="4">
        <v>86</v>
      </c>
      <c r="AF1782" s="4">
        <v>0</v>
      </c>
      <c r="AG1782" s="4">
        <v>0</v>
      </c>
      <c r="AH1782" s="4">
        <v>76</v>
      </c>
      <c r="AI1782" s="4">
        <v>77</v>
      </c>
      <c r="AJ1782" s="4">
        <v>15</v>
      </c>
      <c r="AK1782" s="4">
        <v>15</v>
      </c>
      <c r="AL1782" s="4">
        <v>42</v>
      </c>
      <c r="AM1782" s="4">
        <v>42</v>
      </c>
      <c r="AN1782" s="4">
        <v>0</v>
      </c>
      <c r="AO1782" s="4">
        <v>0</v>
      </c>
      <c r="AP1782" s="4">
        <v>18</v>
      </c>
      <c r="AQ1782" s="4">
        <v>19</v>
      </c>
      <c r="AR1782" s="3" t="s">
        <v>65</v>
      </c>
      <c r="AS1782" s="3" t="s">
        <v>65</v>
      </c>
      <c r="AT1782" s="3" t="s">
        <v>209</v>
      </c>
      <c r="AU1782" s="6" t="str">
        <f>HYPERLINK("http://catalog.hathitrust.org/Record/000227669","HathiTrust Record")</f>
        <v>HathiTrust Record</v>
      </c>
      <c r="AV1782" s="6" t="str">
        <f>HYPERLINK("http://mcgill.on.worldcat.org/oclc/5410483","Catalog Record")</f>
        <v>Catalog Record</v>
      </c>
      <c r="AW1782" s="6" t="str">
        <f>HYPERLINK("http://www.worldcat.org/oclc/5410483","WorldCat Record")</f>
        <v>WorldCat Record</v>
      </c>
      <c r="AX1782" s="3" t="s">
        <v>17487</v>
      </c>
      <c r="AY1782" s="3" t="s">
        <v>17488</v>
      </c>
      <c r="AZ1782" s="3" t="s">
        <v>17489</v>
      </c>
      <c r="BA1782" s="3" t="s">
        <v>17489</v>
      </c>
      <c r="BB1782" s="3" t="s">
        <v>17490</v>
      </c>
      <c r="BC1782" s="3" t="s">
        <v>77</v>
      </c>
      <c r="BD1782" s="3" t="s">
        <v>78</v>
      </c>
      <c r="BE1782" s="3" t="s">
        <v>17491</v>
      </c>
      <c r="BF1782" s="3" t="s">
        <v>17490</v>
      </c>
      <c r="BG1782" s="3" t="s">
        <v>17492</v>
      </c>
    </row>
    <row r="1783" spans="1:59" ht="72.5" x14ac:dyDescent="0.35">
      <c r="A1783" s="2" t="s">
        <v>59</v>
      </c>
      <c r="B1783" s="2" t="s">
        <v>60</v>
      </c>
      <c r="C1783" s="2" t="s">
        <v>17493</v>
      </c>
      <c r="D1783" s="2" t="s">
        <v>17494</v>
      </c>
      <c r="E1783" s="2" t="s">
        <v>17495</v>
      </c>
      <c r="G1783" s="3" t="s">
        <v>65</v>
      </c>
      <c r="I1783" s="3" t="s">
        <v>209</v>
      </c>
      <c r="J1783" s="3" t="s">
        <v>65</v>
      </c>
      <c r="K1783" s="3" t="s">
        <v>66</v>
      </c>
      <c r="L1783" s="2" t="s">
        <v>940</v>
      </c>
      <c r="M1783" s="2" t="s">
        <v>17496</v>
      </c>
      <c r="N1783" s="3" t="s">
        <v>1122</v>
      </c>
      <c r="P1783" s="3" t="s">
        <v>69</v>
      </c>
      <c r="Q1783" s="2" t="s">
        <v>9163</v>
      </c>
      <c r="R1783" s="3" t="s">
        <v>71</v>
      </c>
      <c r="S1783" s="4">
        <v>2</v>
      </c>
      <c r="T1783" s="4">
        <v>5</v>
      </c>
      <c r="U1783" s="5" t="s">
        <v>1896</v>
      </c>
      <c r="V1783" s="5" t="s">
        <v>1896</v>
      </c>
      <c r="W1783" s="5" t="s">
        <v>72</v>
      </c>
      <c r="X1783" s="5" t="s">
        <v>72</v>
      </c>
      <c r="Y1783" s="4">
        <v>151</v>
      </c>
      <c r="Z1783" s="4">
        <v>18</v>
      </c>
      <c r="AA1783" s="4">
        <v>99</v>
      </c>
      <c r="AB1783" s="4">
        <v>1</v>
      </c>
      <c r="AC1783" s="4">
        <v>17</v>
      </c>
      <c r="AD1783" s="4">
        <v>59</v>
      </c>
      <c r="AE1783" s="4">
        <v>116</v>
      </c>
      <c r="AF1783" s="4">
        <v>0</v>
      </c>
      <c r="AG1783" s="4">
        <v>8</v>
      </c>
      <c r="AH1783" s="4">
        <v>54</v>
      </c>
      <c r="AI1783" s="4">
        <v>82</v>
      </c>
      <c r="AJ1783" s="4">
        <v>10</v>
      </c>
      <c r="AK1783" s="4">
        <v>22</v>
      </c>
      <c r="AL1783" s="4">
        <v>39</v>
      </c>
      <c r="AM1783" s="4">
        <v>48</v>
      </c>
      <c r="AN1783" s="4">
        <v>0</v>
      </c>
      <c r="AO1783" s="4">
        <v>0</v>
      </c>
      <c r="AP1783" s="4">
        <v>10</v>
      </c>
      <c r="AQ1783" s="4">
        <v>43</v>
      </c>
      <c r="AR1783" s="3" t="s">
        <v>65</v>
      </c>
      <c r="AS1783" s="3" t="s">
        <v>65</v>
      </c>
      <c r="AT1783" s="3" t="s">
        <v>65</v>
      </c>
      <c r="AV1783" s="6" t="str">
        <f>HYPERLINK("http://mcgill.on.worldcat.org/oclc/243546110","Catalog Record")</f>
        <v>Catalog Record</v>
      </c>
      <c r="AW1783" s="6" t="str">
        <f>HYPERLINK("http://www.worldcat.org/oclc/243546110","WorldCat Record")</f>
        <v>WorldCat Record</v>
      </c>
      <c r="AX1783" s="3" t="s">
        <v>17497</v>
      </c>
      <c r="AY1783" s="3" t="s">
        <v>17498</v>
      </c>
      <c r="AZ1783" s="3" t="s">
        <v>17499</v>
      </c>
      <c r="BA1783" s="3" t="s">
        <v>17499</v>
      </c>
      <c r="BB1783" s="3" t="s">
        <v>17500</v>
      </c>
      <c r="BC1783" s="3" t="s">
        <v>77</v>
      </c>
      <c r="BD1783" s="3" t="s">
        <v>78</v>
      </c>
      <c r="BE1783" s="3" t="s">
        <v>17501</v>
      </c>
      <c r="BF1783" s="3" t="s">
        <v>17500</v>
      </c>
      <c r="BG1783" s="3" t="s">
        <v>17502</v>
      </c>
    </row>
    <row r="1784" spans="1:59" ht="72.5" x14ac:dyDescent="0.35">
      <c r="A1784" s="2" t="s">
        <v>59</v>
      </c>
      <c r="B1784" s="2" t="s">
        <v>60</v>
      </c>
      <c r="C1784" s="2" t="s">
        <v>17493</v>
      </c>
      <c r="D1784" s="2" t="s">
        <v>17494</v>
      </c>
      <c r="E1784" s="2" t="s">
        <v>17495</v>
      </c>
      <c r="G1784" s="3" t="s">
        <v>65</v>
      </c>
      <c r="I1784" s="3" t="s">
        <v>209</v>
      </c>
      <c r="J1784" s="3" t="s">
        <v>65</v>
      </c>
      <c r="K1784" s="3" t="s">
        <v>66</v>
      </c>
      <c r="L1784" s="2" t="s">
        <v>940</v>
      </c>
      <c r="M1784" s="2" t="s">
        <v>17496</v>
      </c>
      <c r="N1784" s="3" t="s">
        <v>1122</v>
      </c>
      <c r="P1784" s="3" t="s">
        <v>69</v>
      </c>
      <c r="Q1784" s="2" t="s">
        <v>9163</v>
      </c>
      <c r="R1784" s="3" t="s">
        <v>71</v>
      </c>
      <c r="S1784" s="4">
        <v>3</v>
      </c>
      <c r="T1784" s="4">
        <v>5</v>
      </c>
      <c r="U1784" s="5" t="s">
        <v>17025</v>
      </c>
      <c r="V1784" s="5" t="s">
        <v>1896</v>
      </c>
      <c r="W1784" s="5" t="s">
        <v>72</v>
      </c>
      <c r="X1784" s="5" t="s">
        <v>72</v>
      </c>
      <c r="Y1784" s="4">
        <v>151</v>
      </c>
      <c r="Z1784" s="4">
        <v>18</v>
      </c>
      <c r="AA1784" s="4">
        <v>99</v>
      </c>
      <c r="AB1784" s="4">
        <v>1</v>
      </c>
      <c r="AC1784" s="4">
        <v>17</v>
      </c>
      <c r="AD1784" s="4">
        <v>59</v>
      </c>
      <c r="AE1784" s="4">
        <v>116</v>
      </c>
      <c r="AF1784" s="4">
        <v>0</v>
      </c>
      <c r="AG1784" s="4">
        <v>8</v>
      </c>
      <c r="AH1784" s="4">
        <v>54</v>
      </c>
      <c r="AI1784" s="4">
        <v>82</v>
      </c>
      <c r="AJ1784" s="4">
        <v>10</v>
      </c>
      <c r="AK1784" s="4">
        <v>22</v>
      </c>
      <c r="AL1784" s="4">
        <v>39</v>
      </c>
      <c r="AM1784" s="4">
        <v>48</v>
      </c>
      <c r="AN1784" s="4">
        <v>0</v>
      </c>
      <c r="AO1784" s="4">
        <v>0</v>
      </c>
      <c r="AP1784" s="4">
        <v>10</v>
      </c>
      <c r="AQ1784" s="4">
        <v>43</v>
      </c>
      <c r="AR1784" s="3" t="s">
        <v>65</v>
      </c>
      <c r="AS1784" s="3" t="s">
        <v>65</v>
      </c>
      <c r="AT1784" s="3" t="s">
        <v>65</v>
      </c>
      <c r="AV1784" s="6" t="str">
        <f>HYPERLINK("http://mcgill.on.worldcat.org/oclc/243546110","Catalog Record")</f>
        <v>Catalog Record</v>
      </c>
      <c r="AW1784" s="6" t="str">
        <f>HYPERLINK("http://www.worldcat.org/oclc/243546110","WorldCat Record")</f>
        <v>WorldCat Record</v>
      </c>
      <c r="AX1784" s="3" t="s">
        <v>17497</v>
      </c>
      <c r="AY1784" s="3" t="s">
        <v>17498</v>
      </c>
      <c r="AZ1784" s="3" t="s">
        <v>17499</v>
      </c>
      <c r="BA1784" s="3" t="s">
        <v>17499</v>
      </c>
      <c r="BB1784" s="3" t="s">
        <v>17503</v>
      </c>
      <c r="BC1784" s="3" t="s">
        <v>77</v>
      </c>
      <c r="BD1784" s="3" t="s">
        <v>78</v>
      </c>
      <c r="BE1784" s="3" t="s">
        <v>17501</v>
      </c>
      <c r="BF1784" s="3" t="s">
        <v>17503</v>
      </c>
      <c r="BG1784" s="3" t="s">
        <v>17504</v>
      </c>
    </row>
    <row r="1785" spans="1:59" ht="58" x14ac:dyDescent="0.35">
      <c r="A1785" s="2" t="s">
        <v>59</v>
      </c>
      <c r="B1785" s="2" t="s">
        <v>60</v>
      </c>
      <c r="C1785" s="2" t="s">
        <v>17505</v>
      </c>
      <c r="D1785" s="2" t="s">
        <v>17506</v>
      </c>
      <c r="E1785" s="2" t="s">
        <v>17507</v>
      </c>
      <c r="G1785" s="3" t="s">
        <v>65</v>
      </c>
      <c r="I1785" s="3" t="s">
        <v>65</v>
      </c>
      <c r="J1785" s="3" t="s">
        <v>65</v>
      </c>
      <c r="K1785" s="3" t="s">
        <v>66</v>
      </c>
      <c r="L1785" s="2" t="s">
        <v>17508</v>
      </c>
      <c r="M1785" s="2" t="s">
        <v>17509</v>
      </c>
      <c r="N1785" s="3" t="s">
        <v>831</v>
      </c>
      <c r="O1785" s="2" t="s">
        <v>654</v>
      </c>
      <c r="P1785" s="3" t="s">
        <v>140</v>
      </c>
      <c r="Q1785" s="2" t="s">
        <v>17510</v>
      </c>
      <c r="R1785" s="3" t="s">
        <v>71</v>
      </c>
      <c r="S1785" s="4">
        <v>3</v>
      </c>
      <c r="T1785" s="4">
        <v>3</v>
      </c>
      <c r="U1785" s="5" t="s">
        <v>17511</v>
      </c>
      <c r="V1785" s="5" t="s">
        <v>17511</v>
      </c>
      <c r="W1785" s="5" t="s">
        <v>72</v>
      </c>
      <c r="X1785" s="5" t="s">
        <v>72</v>
      </c>
      <c r="Y1785" s="4">
        <v>97</v>
      </c>
      <c r="Z1785" s="4">
        <v>11</v>
      </c>
      <c r="AA1785" s="4">
        <v>11</v>
      </c>
      <c r="AB1785" s="4">
        <v>1</v>
      </c>
      <c r="AC1785" s="4">
        <v>1</v>
      </c>
      <c r="AD1785" s="4">
        <v>51</v>
      </c>
      <c r="AE1785" s="4">
        <v>51</v>
      </c>
      <c r="AF1785" s="4">
        <v>0</v>
      </c>
      <c r="AG1785" s="4">
        <v>0</v>
      </c>
      <c r="AH1785" s="4">
        <v>47</v>
      </c>
      <c r="AI1785" s="4">
        <v>47</v>
      </c>
      <c r="AJ1785" s="4">
        <v>9</v>
      </c>
      <c r="AK1785" s="4">
        <v>9</v>
      </c>
      <c r="AL1785" s="4">
        <v>33</v>
      </c>
      <c r="AM1785" s="4">
        <v>33</v>
      </c>
      <c r="AN1785" s="4">
        <v>0</v>
      </c>
      <c r="AO1785" s="4">
        <v>0</v>
      </c>
      <c r="AP1785" s="4">
        <v>9</v>
      </c>
      <c r="AQ1785" s="4">
        <v>9</v>
      </c>
      <c r="AR1785" s="3" t="s">
        <v>65</v>
      </c>
      <c r="AS1785" s="3" t="s">
        <v>65</v>
      </c>
      <c r="AT1785" s="3" t="s">
        <v>65</v>
      </c>
      <c r="AV1785" s="6" t="str">
        <f>HYPERLINK("http://mcgill.on.worldcat.org/oclc/10045415","Catalog Record")</f>
        <v>Catalog Record</v>
      </c>
      <c r="AW1785" s="6" t="str">
        <f>HYPERLINK("http://www.worldcat.org/oclc/10045415","WorldCat Record")</f>
        <v>WorldCat Record</v>
      </c>
      <c r="AX1785" s="3" t="s">
        <v>17512</v>
      </c>
      <c r="AY1785" s="3" t="s">
        <v>17513</v>
      </c>
      <c r="AZ1785" s="3" t="s">
        <v>17514</v>
      </c>
      <c r="BA1785" s="3" t="s">
        <v>17514</v>
      </c>
      <c r="BB1785" s="3" t="s">
        <v>17515</v>
      </c>
      <c r="BC1785" s="3" t="s">
        <v>77</v>
      </c>
      <c r="BD1785" s="3" t="s">
        <v>78</v>
      </c>
      <c r="BF1785" s="3" t="s">
        <v>17515</v>
      </c>
      <c r="BG1785" s="3" t="s">
        <v>17516</v>
      </c>
    </row>
    <row r="1786" spans="1:59" ht="58" x14ac:dyDescent="0.35">
      <c r="A1786" s="2" t="s">
        <v>59</v>
      </c>
      <c r="B1786" s="2" t="s">
        <v>60</v>
      </c>
      <c r="C1786" s="2" t="s">
        <v>17517</v>
      </c>
      <c r="D1786" s="2" t="s">
        <v>17518</v>
      </c>
      <c r="E1786" s="2" t="s">
        <v>17519</v>
      </c>
      <c r="G1786" s="3" t="s">
        <v>65</v>
      </c>
      <c r="I1786" s="3" t="s">
        <v>65</v>
      </c>
      <c r="J1786" s="3" t="s">
        <v>65</v>
      </c>
      <c r="K1786" s="3" t="s">
        <v>66</v>
      </c>
      <c r="L1786" s="2" t="s">
        <v>17520</v>
      </c>
      <c r="M1786" s="2" t="s">
        <v>17521</v>
      </c>
      <c r="N1786" s="3" t="s">
        <v>5439</v>
      </c>
      <c r="P1786" s="3" t="s">
        <v>616</v>
      </c>
      <c r="R1786" s="3" t="s">
        <v>71</v>
      </c>
      <c r="S1786" s="4">
        <v>7</v>
      </c>
      <c r="T1786" s="4">
        <v>7</v>
      </c>
      <c r="U1786" s="5" t="s">
        <v>17522</v>
      </c>
      <c r="V1786" s="5" t="s">
        <v>17522</v>
      </c>
      <c r="W1786" s="5" t="s">
        <v>72</v>
      </c>
      <c r="X1786" s="5" t="s">
        <v>72</v>
      </c>
      <c r="Y1786" s="4">
        <v>198</v>
      </c>
      <c r="Z1786" s="4">
        <v>15</v>
      </c>
      <c r="AA1786" s="4">
        <v>19</v>
      </c>
      <c r="AB1786" s="4">
        <v>2</v>
      </c>
      <c r="AC1786" s="4">
        <v>3</v>
      </c>
      <c r="AD1786" s="4">
        <v>81</v>
      </c>
      <c r="AE1786" s="4">
        <v>85</v>
      </c>
      <c r="AF1786" s="4">
        <v>1</v>
      </c>
      <c r="AG1786" s="4">
        <v>2</v>
      </c>
      <c r="AH1786" s="4">
        <v>71</v>
      </c>
      <c r="AI1786" s="4">
        <v>73</v>
      </c>
      <c r="AJ1786" s="4">
        <v>10</v>
      </c>
      <c r="AK1786" s="4">
        <v>14</v>
      </c>
      <c r="AL1786" s="4">
        <v>44</v>
      </c>
      <c r="AM1786" s="4">
        <v>44</v>
      </c>
      <c r="AN1786" s="4">
        <v>0</v>
      </c>
      <c r="AO1786" s="4">
        <v>0</v>
      </c>
      <c r="AP1786" s="4">
        <v>14</v>
      </c>
      <c r="AQ1786" s="4">
        <v>17</v>
      </c>
      <c r="AR1786" s="3" t="s">
        <v>65</v>
      </c>
      <c r="AS1786" s="3" t="s">
        <v>65</v>
      </c>
      <c r="AT1786" s="3" t="s">
        <v>209</v>
      </c>
      <c r="AU1786" s="6" t="str">
        <f>HYPERLINK("http://catalog.hathitrust.org/Record/001227009","HathiTrust Record")</f>
        <v>HathiTrust Record</v>
      </c>
      <c r="AV1786" s="6" t="str">
        <f>HYPERLINK("http://mcgill.on.worldcat.org/oclc/512793","Catalog Record")</f>
        <v>Catalog Record</v>
      </c>
      <c r="AW1786" s="6" t="str">
        <f>HYPERLINK("http://www.worldcat.org/oclc/512793","WorldCat Record")</f>
        <v>WorldCat Record</v>
      </c>
      <c r="AX1786" s="3" t="s">
        <v>17523</v>
      </c>
      <c r="AY1786" s="3" t="s">
        <v>17524</v>
      </c>
      <c r="AZ1786" s="3" t="s">
        <v>17525</v>
      </c>
      <c r="BA1786" s="3" t="s">
        <v>17525</v>
      </c>
      <c r="BB1786" s="3" t="s">
        <v>17526</v>
      </c>
      <c r="BC1786" s="3" t="s">
        <v>5567</v>
      </c>
      <c r="BD1786" s="3" t="s">
        <v>78</v>
      </c>
      <c r="BF1786" s="3" t="s">
        <v>17526</v>
      </c>
      <c r="BG1786" s="3" t="s">
        <v>17527</v>
      </c>
    </row>
    <row r="1787" spans="1:59" ht="58" x14ac:dyDescent="0.35">
      <c r="A1787" s="2" t="s">
        <v>59</v>
      </c>
      <c r="B1787" s="2" t="s">
        <v>60</v>
      </c>
      <c r="C1787" s="2" t="s">
        <v>17528</v>
      </c>
      <c r="D1787" s="2" t="s">
        <v>17529</v>
      </c>
      <c r="E1787" s="2" t="s">
        <v>17530</v>
      </c>
      <c r="G1787" s="3" t="s">
        <v>65</v>
      </c>
      <c r="I1787" s="3" t="s">
        <v>65</v>
      </c>
      <c r="J1787" s="3" t="s">
        <v>65</v>
      </c>
      <c r="K1787" s="3" t="s">
        <v>66</v>
      </c>
      <c r="M1787" s="2" t="s">
        <v>17531</v>
      </c>
      <c r="N1787" s="3" t="s">
        <v>1967</v>
      </c>
      <c r="P1787" s="3" t="s">
        <v>140</v>
      </c>
      <c r="Q1787" s="2" t="s">
        <v>17532</v>
      </c>
      <c r="R1787" s="3" t="s">
        <v>71</v>
      </c>
      <c r="S1787" s="4">
        <v>3</v>
      </c>
      <c r="T1787" s="4">
        <v>3</v>
      </c>
      <c r="U1787" s="5" t="s">
        <v>17522</v>
      </c>
      <c r="V1787" s="5" t="s">
        <v>17522</v>
      </c>
      <c r="W1787" s="5" t="s">
        <v>72</v>
      </c>
      <c r="X1787" s="5" t="s">
        <v>72</v>
      </c>
      <c r="Y1787" s="4">
        <v>61</v>
      </c>
      <c r="Z1787" s="4">
        <v>4</v>
      </c>
      <c r="AA1787" s="4">
        <v>4</v>
      </c>
      <c r="AB1787" s="4">
        <v>1</v>
      </c>
      <c r="AC1787" s="4">
        <v>1</v>
      </c>
      <c r="AD1787" s="4">
        <v>37</v>
      </c>
      <c r="AE1787" s="4">
        <v>37</v>
      </c>
      <c r="AF1787" s="4">
        <v>0</v>
      </c>
      <c r="AG1787" s="4">
        <v>0</v>
      </c>
      <c r="AH1787" s="4">
        <v>36</v>
      </c>
      <c r="AI1787" s="4">
        <v>36</v>
      </c>
      <c r="AJ1787" s="4">
        <v>2</v>
      </c>
      <c r="AK1787" s="4">
        <v>2</v>
      </c>
      <c r="AL1787" s="4">
        <v>26</v>
      </c>
      <c r="AM1787" s="4">
        <v>26</v>
      </c>
      <c r="AN1787" s="4">
        <v>0</v>
      </c>
      <c r="AO1787" s="4">
        <v>0</v>
      </c>
      <c r="AP1787" s="4">
        <v>2</v>
      </c>
      <c r="AQ1787" s="4">
        <v>2</v>
      </c>
      <c r="AR1787" s="3" t="s">
        <v>65</v>
      </c>
      <c r="AS1787" s="3" t="s">
        <v>65</v>
      </c>
      <c r="AT1787" s="3" t="s">
        <v>209</v>
      </c>
      <c r="AU1787" s="6" t="str">
        <f>HYPERLINK("http://catalog.hathitrust.org/Record/004342668","HathiTrust Record")</f>
        <v>HathiTrust Record</v>
      </c>
      <c r="AV1787" s="6" t="str">
        <f>HYPERLINK("http://mcgill.on.worldcat.org/oclc/53823949","Catalog Record")</f>
        <v>Catalog Record</v>
      </c>
      <c r="AW1787" s="6" t="str">
        <f>HYPERLINK("http://www.worldcat.org/oclc/53823949","WorldCat Record")</f>
        <v>WorldCat Record</v>
      </c>
      <c r="AX1787" s="3" t="s">
        <v>17533</v>
      </c>
      <c r="AY1787" s="3" t="s">
        <v>17534</v>
      </c>
      <c r="AZ1787" s="3" t="s">
        <v>17535</v>
      </c>
      <c r="BA1787" s="3" t="s">
        <v>17535</v>
      </c>
      <c r="BB1787" s="3" t="s">
        <v>17536</v>
      </c>
      <c r="BC1787" s="3" t="s">
        <v>77</v>
      </c>
      <c r="BD1787" s="3" t="s">
        <v>78</v>
      </c>
      <c r="BE1787" s="3" t="s">
        <v>17537</v>
      </c>
      <c r="BF1787" s="3" t="s">
        <v>17536</v>
      </c>
      <c r="BG1787" s="3" t="s">
        <v>17538</v>
      </c>
    </row>
    <row r="1788" spans="1:59" ht="58" x14ac:dyDescent="0.35">
      <c r="A1788" s="2" t="s">
        <v>59</v>
      </c>
      <c r="B1788" s="2" t="s">
        <v>60</v>
      </c>
      <c r="C1788" s="2" t="s">
        <v>17539</v>
      </c>
      <c r="D1788" s="2" t="s">
        <v>17540</v>
      </c>
      <c r="E1788" s="2" t="s">
        <v>17541</v>
      </c>
      <c r="F1788" s="3" t="s">
        <v>255</v>
      </c>
      <c r="G1788" s="3" t="s">
        <v>209</v>
      </c>
      <c r="I1788" s="3" t="s">
        <v>65</v>
      </c>
      <c r="J1788" s="3" t="s">
        <v>65</v>
      </c>
      <c r="K1788" s="3" t="s">
        <v>66</v>
      </c>
      <c r="M1788" s="2" t="s">
        <v>17542</v>
      </c>
      <c r="N1788" s="3" t="s">
        <v>3385</v>
      </c>
      <c r="P1788" s="3" t="s">
        <v>140</v>
      </c>
      <c r="Q1788" s="2" t="s">
        <v>17543</v>
      </c>
      <c r="R1788" s="3" t="s">
        <v>71</v>
      </c>
      <c r="S1788" s="4">
        <v>3</v>
      </c>
      <c r="T1788" s="4">
        <v>12</v>
      </c>
      <c r="U1788" s="5" t="s">
        <v>17544</v>
      </c>
      <c r="V1788" s="5" t="s">
        <v>17545</v>
      </c>
      <c r="W1788" s="5" t="s">
        <v>72</v>
      </c>
      <c r="X1788" s="5" t="s">
        <v>72</v>
      </c>
      <c r="Y1788" s="4">
        <v>80</v>
      </c>
      <c r="Z1788" s="4">
        <v>4</v>
      </c>
      <c r="AA1788" s="4">
        <v>4</v>
      </c>
      <c r="AB1788" s="4">
        <v>1</v>
      </c>
      <c r="AC1788" s="4">
        <v>1</v>
      </c>
      <c r="AD1788" s="4">
        <v>44</v>
      </c>
      <c r="AE1788" s="4">
        <v>45</v>
      </c>
      <c r="AF1788" s="4">
        <v>0</v>
      </c>
      <c r="AG1788" s="4">
        <v>0</v>
      </c>
      <c r="AH1788" s="4">
        <v>42</v>
      </c>
      <c r="AI1788" s="4">
        <v>43</v>
      </c>
      <c r="AJ1788" s="4">
        <v>2</v>
      </c>
      <c r="AK1788" s="4">
        <v>2</v>
      </c>
      <c r="AL1788" s="4">
        <v>34</v>
      </c>
      <c r="AM1788" s="4">
        <v>35</v>
      </c>
      <c r="AN1788" s="4">
        <v>0</v>
      </c>
      <c r="AO1788" s="4">
        <v>0</v>
      </c>
      <c r="AP1788" s="4">
        <v>2</v>
      </c>
      <c r="AQ1788" s="4">
        <v>2</v>
      </c>
      <c r="AR1788" s="3" t="s">
        <v>65</v>
      </c>
      <c r="AS1788" s="3" t="s">
        <v>65</v>
      </c>
      <c r="AT1788" s="3" t="s">
        <v>209</v>
      </c>
      <c r="AU1788" s="6" t="str">
        <f>HYPERLINK("http://catalog.hathitrust.org/Record/003344373","HathiTrust Record")</f>
        <v>HathiTrust Record</v>
      </c>
      <c r="AV1788" s="6" t="str">
        <f>HYPERLINK("http://mcgill.on.worldcat.org/oclc/41873015","Catalog Record")</f>
        <v>Catalog Record</v>
      </c>
      <c r="AW1788" s="6" t="str">
        <f>HYPERLINK("http://www.worldcat.org/oclc/41873015","WorldCat Record")</f>
        <v>WorldCat Record</v>
      </c>
      <c r="AX1788" s="3" t="s">
        <v>17546</v>
      </c>
      <c r="AY1788" s="3" t="s">
        <v>17547</v>
      </c>
      <c r="AZ1788" s="3" t="s">
        <v>17548</v>
      </c>
      <c r="BA1788" s="3" t="s">
        <v>17548</v>
      </c>
      <c r="BB1788" s="3" t="s">
        <v>17549</v>
      </c>
      <c r="BC1788" s="3" t="s">
        <v>77</v>
      </c>
      <c r="BD1788" s="3" t="s">
        <v>78</v>
      </c>
      <c r="BE1788" s="3" t="s">
        <v>17550</v>
      </c>
      <c r="BF1788" s="3" t="s">
        <v>17549</v>
      </c>
      <c r="BG1788" s="3" t="s">
        <v>17551</v>
      </c>
    </row>
    <row r="1789" spans="1:59" ht="58" x14ac:dyDescent="0.35">
      <c r="A1789" s="2" t="s">
        <v>59</v>
      </c>
      <c r="B1789" s="2" t="s">
        <v>60</v>
      </c>
      <c r="C1789" s="2" t="s">
        <v>17539</v>
      </c>
      <c r="D1789" s="2" t="s">
        <v>17540</v>
      </c>
      <c r="E1789" s="2" t="s">
        <v>17541</v>
      </c>
      <c r="F1789" s="3" t="s">
        <v>245</v>
      </c>
      <c r="G1789" s="3" t="s">
        <v>209</v>
      </c>
      <c r="I1789" s="3" t="s">
        <v>65</v>
      </c>
      <c r="J1789" s="3" t="s">
        <v>65</v>
      </c>
      <c r="K1789" s="3" t="s">
        <v>66</v>
      </c>
      <c r="M1789" s="2" t="s">
        <v>17542</v>
      </c>
      <c r="N1789" s="3" t="s">
        <v>3385</v>
      </c>
      <c r="P1789" s="3" t="s">
        <v>140</v>
      </c>
      <c r="Q1789" s="2" t="s">
        <v>17543</v>
      </c>
      <c r="R1789" s="3" t="s">
        <v>71</v>
      </c>
      <c r="S1789" s="4">
        <v>5</v>
      </c>
      <c r="T1789" s="4">
        <v>12</v>
      </c>
      <c r="U1789" s="5" t="s">
        <v>17545</v>
      </c>
      <c r="V1789" s="5" t="s">
        <v>17545</v>
      </c>
      <c r="W1789" s="5" t="s">
        <v>72</v>
      </c>
      <c r="X1789" s="5" t="s">
        <v>72</v>
      </c>
      <c r="Y1789" s="4">
        <v>80</v>
      </c>
      <c r="Z1789" s="4">
        <v>4</v>
      </c>
      <c r="AA1789" s="4">
        <v>4</v>
      </c>
      <c r="AB1789" s="4">
        <v>1</v>
      </c>
      <c r="AC1789" s="4">
        <v>1</v>
      </c>
      <c r="AD1789" s="4">
        <v>44</v>
      </c>
      <c r="AE1789" s="4">
        <v>45</v>
      </c>
      <c r="AF1789" s="4">
        <v>0</v>
      </c>
      <c r="AG1789" s="4">
        <v>0</v>
      </c>
      <c r="AH1789" s="4">
        <v>42</v>
      </c>
      <c r="AI1789" s="4">
        <v>43</v>
      </c>
      <c r="AJ1789" s="4">
        <v>2</v>
      </c>
      <c r="AK1789" s="4">
        <v>2</v>
      </c>
      <c r="AL1789" s="4">
        <v>34</v>
      </c>
      <c r="AM1789" s="4">
        <v>35</v>
      </c>
      <c r="AN1789" s="4">
        <v>0</v>
      </c>
      <c r="AO1789" s="4">
        <v>0</v>
      </c>
      <c r="AP1789" s="4">
        <v>2</v>
      </c>
      <c r="AQ1789" s="4">
        <v>2</v>
      </c>
      <c r="AR1789" s="3" t="s">
        <v>65</v>
      </c>
      <c r="AS1789" s="3" t="s">
        <v>65</v>
      </c>
      <c r="AT1789" s="3" t="s">
        <v>209</v>
      </c>
      <c r="AU1789" s="6" t="str">
        <f>HYPERLINK("http://catalog.hathitrust.org/Record/003344373","HathiTrust Record")</f>
        <v>HathiTrust Record</v>
      </c>
      <c r="AV1789" s="6" t="str">
        <f>HYPERLINK("http://mcgill.on.worldcat.org/oclc/41873015","Catalog Record")</f>
        <v>Catalog Record</v>
      </c>
      <c r="AW1789" s="6" t="str">
        <f>HYPERLINK("http://www.worldcat.org/oclc/41873015","WorldCat Record")</f>
        <v>WorldCat Record</v>
      </c>
      <c r="AX1789" s="3" t="s">
        <v>17546</v>
      </c>
      <c r="AY1789" s="3" t="s">
        <v>17547</v>
      </c>
      <c r="AZ1789" s="3" t="s">
        <v>17548</v>
      </c>
      <c r="BA1789" s="3" t="s">
        <v>17548</v>
      </c>
      <c r="BB1789" s="3" t="s">
        <v>17552</v>
      </c>
      <c r="BC1789" s="3" t="s">
        <v>77</v>
      </c>
      <c r="BD1789" s="3" t="s">
        <v>78</v>
      </c>
      <c r="BE1789" s="3" t="s">
        <v>17550</v>
      </c>
      <c r="BF1789" s="3" t="s">
        <v>17552</v>
      </c>
      <c r="BG1789" s="3" t="s">
        <v>17553</v>
      </c>
    </row>
    <row r="1790" spans="1:59" ht="58" x14ac:dyDescent="0.35">
      <c r="A1790" s="2" t="s">
        <v>59</v>
      </c>
      <c r="B1790" s="2" t="s">
        <v>60</v>
      </c>
      <c r="C1790" s="2" t="s">
        <v>17539</v>
      </c>
      <c r="D1790" s="2" t="s">
        <v>17540</v>
      </c>
      <c r="E1790" s="2" t="s">
        <v>17541</v>
      </c>
      <c r="F1790" s="3" t="s">
        <v>258</v>
      </c>
      <c r="G1790" s="3" t="s">
        <v>209</v>
      </c>
      <c r="I1790" s="3" t="s">
        <v>65</v>
      </c>
      <c r="J1790" s="3" t="s">
        <v>65</v>
      </c>
      <c r="K1790" s="3" t="s">
        <v>66</v>
      </c>
      <c r="M1790" s="2" t="s">
        <v>17542</v>
      </c>
      <c r="N1790" s="3" t="s">
        <v>3385</v>
      </c>
      <c r="P1790" s="3" t="s">
        <v>140</v>
      </c>
      <c r="Q1790" s="2" t="s">
        <v>17543</v>
      </c>
      <c r="R1790" s="3" t="s">
        <v>71</v>
      </c>
      <c r="S1790" s="4">
        <v>4</v>
      </c>
      <c r="T1790" s="4">
        <v>12</v>
      </c>
      <c r="U1790" s="5" t="s">
        <v>17554</v>
      </c>
      <c r="V1790" s="5" t="s">
        <v>17545</v>
      </c>
      <c r="W1790" s="5" t="s">
        <v>72</v>
      </c>
      <c r="X1790" s="5" t="s">
        <v>72</v>
      </c>
      <c r="Y1790" s="4">
        <v>80</v>
      </c>
      <c r="Z1790" s="4">
        <v>4</v>
      </c>
      <c r="AA1790" s="4">
        <v>4</v>
      </c>
      <c r="AB1790" s="4">
        <v>1</v>
      </c>
      <c r="AC1790" s="4">
        <v>1</v>
      </c>
      <c r="AD1790" s="4">
        <v>44</v>
      </c>
      <c r="AE1790" s="4">
        <v>45</v>
      </c>
      <c r="AF1790" s="4">
        <v>0</v>
      </c>
      <c r="AG1790" s="4">
        <v>0</v>
      </c>
      <c r="AH1790" s="4">
        <v>42</v>
      </c>
      <c r="AI1790" s="4">
        <v>43</v>
      </c>
      <c r="AJ1790" s="4">
        <v>2</v>
      </c>
      <c r="AK1790" s="4">
        <v>2</v>
      </c>
      <c r="AL1790" s="4">
        <v>34</v>
      </c>
      <c r="AM1790" s="4">
        <v>35</v>
      </c>
      <c r="AN1790" s="4">
        <v>0</v>
      </c>
      <c r="AO1790" s="4">
        <v>0</v>
      </c>
      <c r="AP1790" s="4">
        <v>2</v>
      </c>
      <c r="AQ1790" s="4">
        <v>2</v>
      </c>
      <c r="AR1790" s="3" t="s">
        <v>65</v>
      </c>
      <c r="AS1790" s="3" t="s">
        <v>65</v>
      </c>
      <c r="AT1790" s="3" t="s">
        <v>209</v>
      </c>
      <c r="AU1790" s="6" t="str">
        <f>HYPERLINK("http://catalog.hathitrust.org/Record/003344373","HathiTrust Record")</f>
        <v>HathiTrust Record</v>
      </c>
      <c r="AV1790" s="6" t="str">
        <f>HYPERLINK("http://mcgill.on.worldcat.org/oclc/41873015","Catalog Record")</f>
        <v>Catalog Record</v>
      </c>
      <c r="AW1790" s="6" t="str">
        <f>HYPERLINK("http://www.worldcat.org/oclc/41873015","WorldCat Record")</f>
        <v>WorldCat Record</v>
      </c>
      <c r="AX1790" s="3" t="s">
        <v>17546</v>
      </c>
      <c r="AY1790" s="3" t="s">
        <v>17547</v>
      </c>
      <c r="AZ1790" s="3" t="s">
        <v>17548</v>
      </c>
      <c r="BA1790" s="3" t="s">
        <v>17548</v>
      </c>
      <c r="BB1790" s="3" t="s">
        <v>17555</v>
      </c>
      <c r="BC1790" s="3" t="s">
        <v>77</v>
      </c>
      <c r="BD1790" s="3" t="s">
        <v>78</v>
      </c>
      <c r="BE1790" s="3" t="s">
        <v>17550</v>
      </c>
      <c r="BF1790" s="3" t="s">
        <v>17555</v>
      </c>
      <c r="BG1790" s="3" t="s">
        <v>17556</v>
      </c>
    </row>
    <row r="1791" spans="1:59" ht="58" x14ac:dyDescent="0.35">
      <c r="A1791" s="2" t="s">
        <v>59</v>
      </c>
      <c r="B1791" s="2" t="s">
        <v>60</v>
      </c>
      <c r="C1791" s="2" t="s">
        <v>17557</v>
      </c>
      <c r="D1791" s="2" t="s">
        <v>17558</v>
      </c>
      <c r="E1791" s="2" t="s">
        <v>17559</v>
      </c>
      <c r="F1791" s="3" t="s">
        <v>2207</v>
      </c>
      <c r="G1791" s="3" t="s">
        <v>65</v>
      </c>
      <c r="I1791" s="3" t="s">
        <v>65</v>
      </c>
      <c r="J1791" s="3" t="s">
        <v>65</v>
      </c>
      <c r="K1791" s="3" t="s">
        <v>66</v>
      </c>
      <c r="L1791" s="2" t="s">
        <v>17560</v>
      </c>
      <c r="M1791" s="2" t="s">
        <v>17561</v>
      </c>
      <c r="N1791" s="3" t="s">
        <v>113</v>
      </c>
      <c r="P1791" s="3" t="s">
        <v>140</v>
      </c>
      <c r="Q1791" s="2" t="s">
        <v>17562</v>
      </c>
      <c r="R1791" s="3" t="s">
        <v>71</v>
      </c>
      <c r="S1791" s="4">
        <v>2</v>
      </c>
      <c r="T1791" s="4">
        <v>2</v>
      </c>
      <c r="U1791" s="5" t="s">
        <v>17563</v>
      </c>
      <c r="V1791" s="5" t="s">
        <v>17563</v>
      </c>
      <c r="W1791" s="5" t="s">
        <v>72</v>
      </c>
      <c r="X1791" s="5" t="s">
        <v>72</v>
      </c>
      <c r="Y1791" s="4">
        <v>58</v>
      </c>
      <c r="Z1791" s="4">
        <v>4</v>
      </c>
      <c r="AA1791" s="4">
        <v>4</v>
      </c>
      <c r="AB1791" s="4">
        <v>1</v>
      </c>
      <c r="AC1791" s="4">
        <v>1</v>
      </c>
      <c r="AD1791" s="4">
        <v>40</v>
      </c>
      <c r="AE1791" s="4">
        <v>40</v>
      </c>
      <c r="AF1791" s="4">
        <v>0</v>
      </c>
      <c r="AG1791" s="4">
        <v>0</v>
      </c>
      <c r="AH1791" s="4">
        <v>38</v>
      </c>
      <c r="AI1791" s="4">
        <v>38</v>
      </c>
      <c r="AJ1791" s="4">
        <v>2</v>
      </c>
      <c r="AK1791" s="4">
        <v>2</v>
      </c>
      <c r="AL1791" s="4">
        <v>32</v>
      </c>
      <c r="AM1791" s="4">
        <v>32</v>
      </c>
      <c r="AN1791" s="4">
        <v>0</v>
      </c>
      <c r="AO1791" s="4">
        <v>0</v>
      </c>
      <c r="AP1791" s="4">
        <v>2</v>
      </c>
      <c r="AQ1791" s="4">
        <v>2</v>
      </c>
      <c r="AR1791" s="3" t="s">
        <v>65</v>
      </c>
      <c r="AS1791" s="3" t="s">
        <v>65</v>
      </c>
      <c r="AT1791" s="3" t="s">
        <v>65</v>
      </c>
      <c r="AV1791" s="6" t="str">
        <f>HYPERLINK("http://mcgill.on.worldcat.org/oclc/610839855","Catalog Record")</f>
        <v>Catalog Record</v>
      </c>
      <c r="AW1791" s="6" t="str">
        <f>HYPERLINK("http://www.worldcat.org/oclc/610839855","WorldCat Record")</f>
        <v>WorldCat Record</v>
      </c>
      <c r="AX1791" s="3" t="s">
        <v>17564</v>
      </c>
      <c r="AY1791" s="3" t="s">
        <v>17565</v>
      </c>
      <c r="AZ1791" s="3" t="s">
        <v>17566</v>
      </c>
      <c r="BA1791" s="3" t="s">
        <v>17566</v>
      </c>
      <c r="BB1791" s="3" t="s">
        <v>17567</v>
      </c>
      <c r="BC1791" s="3" t="s">
        <v>77</v>
      </c>
      <c r="BD1791" s="3" t="s">
        <v>78</v>
      </c>
      <c r="BE1791" s="3" t="s">
        <v>17568</v>
      </c>
      <c r="BF1791" s="3" t="s">
        <v>17567</v>
      </c>
      <c r="BG1791" s="3" t="s">
        <v>17569</v>
      </c>
    </row>
    <row r="1792" spans="1:59" ht="58" x14ac:dyDescent="0.35">
      <c r="A1792" s="2" t="s">
        <v>59</v>
      </c>
      <c r="B1792" s="2" t="s">
        <v>60</v>
      </c>
      <c r="C1792" s="2" t="s">
        <v>17570</v>
      </c>
      <c r="D1792" s="2" t="s">
        <v>17571</v>
      </c>
      <c r="E1792" s="2" t="s">
        <v>17572</v>
      </c>
      <c r="G1792" s="3" t="s">
        <v>65</v>
      </c>
      <c r="I1792" s="3" t="s">
        <v>65</v>
      </c>
      <c r="J1792" s="3" t="s">
        <v>65</v>
      </c>
      <c r="K1792" s="3" t="s">
        <v>66</v>
      </c>
      <c r="L1792" s="2" t="s">
        <v>17573</v>
      </c>
      <c r="M1792" s="2" t="s">
        <v>17574</v>
      </c>
      <c r="N1792" s="3" t="s">
        <v>113</v>
      </c>
      <c r="P1792" s="3" t="s">
        <v>140</v>
      </c>
      <c r="Q1792" s="2" t="s">
        <v>17575</v>
      </c>
      <c r="R1792" s="3" t="s">
        <v>71</v>
      </c>
      <c r="S1792" s="4">
        <v>0</v>
      </c>
      <c r="T1792" s="4">
        <v>0</v>
      </c>
      <c r="W1792" s="5" t="s">
        <v>72</v>
      </c>
      <c r="X1792" s="5" t="s">
        <v>72</v>
      </c>
      <c r="Y1792" s="4">
        <v>38</v>
      </c>
      <c r="Z1792" s="4">
        <v>2</v>
      </c>
      <c r="AA1792" s="4">
        <v>2</v>
      </c>
      <c r="AB1792" s="4">
        <v>1</v>
      </c>
      <c r="AC1792" s="4">
        <v>1</v>
      </c>
      <c r="AD1792" s="4">
        <v>27</v>
      </c>
      <c r="AE1792" s="4">
        <v>27</v>
      </c>
      <c r="AF1792" s="4">
        <v>0</v>
      </c>
      <c r="AG1792" s="4">
        <v>0</v>
      </c>
      <c r="AH1792" s="4">
        <v>26</v>
      </c>
      <c r="AI1792" s="4">
        <v>26</v>
      </c>
      <c r="AJ1792" s="4">
        <v>1</v>
      </c>
      <c r="AK1792" s="4">
        <v>1</v>
      </c>
      <c r="AL1792" s="4">
        <v>20</v>
      </c>
      <c r="AM1792" s="4">
        <v>20</v>
      </c>
      <c r="AN1792" s="4">
        <v>0</v>
      </c>
      <c r="AO1792" s="4">
        <v>0</v>
      </c>
      <c r="AP1792" s="4">
        <v>1</v>
      </c>
      <c r="AQ1792" s="4">
        <v>1</v>
      </c>
      <c r="AR1792" s="3" t="s">
        <v>65</v>
      </c>
      <c r="AS1792" s="3" t="s">
        <v>65</v>
      </c>
      <c r="AT1792" s="3" t="s">
        <v>65</v>
      </c>
      <c r="AV1792" s="6" t="str">
        <f>HYPERLINK("http://mcgill.on.worldcat.org/oclc/694828902","Catalog Record")</f>
        <v>Catalog Record</v>
      </c>
      <c r="AW1792" s="6" t="str">
        <f>HYPERLINK("http://www.worldcat.org/oclc/694828902","WorldCat Record")</f>
        <v>WorldCat Record</v>
      </c>
      <c r="AX1792" s="3" t="s">
        <v>17576</v>
      </c>
      <c r="AY1792" s="3" t="s">
        <v>17577</v>
      </c>
      <c r="AZ1792" s="3" t="s">
        <v>17578</v>
      </c>
      <c r="BA1792" s="3" t="s">
        <v>17578</v>
      </c>
      <c r="BB1792" s="3" t="s">
        <v>17579</v>
      </c>
      <c r="BC1792" s="3" t="s">
        <v>77</v>
      </c>
      <c r="BD1792" s="3" t="s">
        <v>78</v>
      </c>
      <c r="BE1792" s="3" t="s">
        <v>17580</v>
      </c>
      <c r="BF1792" s="3" t="s">
        <v>17579</v>
      </c>
      <c r="BG1792" s="3" t="s">
        <v>17581</v>
      </c>
    </row>
    <row r="1793" spans="1:59" ht="58" x14ac:dyDescent="0.35">
      <c r="A1793" s="2" t="s">
        <v>59</v>
      </c>
      <c r="B1793" s="2" t="s">
        <v>60</v>
      </c>
      <c r="C1793" s="2" t="s">
        <v>17582</v>
      </c>
      <c r="D1793" s="2" t="s">
        <v>17583</v>
      </c>
      <c r="E1793" s="2" t="s">
        <v>17584</v>
      </c>
      <c r="G1793" s="3" t="s">
        <v>65</v>
      </c>
      <c r="I1793" s="3" t="s">
        <v>65</v>
      </c>
      <c r="J1793" s="3" t="s">
        <v>65</v>
      </c>
      <c r="K1793" s="3" t="s">
        <v>66</v>
      </c>
      <c r="M1793" s="2" t="s">
        <v>17585</v>
      </c>
      <c r="N1793" s="3" t="s">
        <v>139</v>
      </c>
      <c r="P1793" s="3" t="s">
        <v>140</v>
      </c>
      <c r="R1793" s="3" t="s">
        <v>71</v>
      </c>
      <c r="S1793" s="4">
        <v>0</v>
      </c>
      <c r="T1793" s="4">
        <v>0</v>
      </c>
      <c r="W1793" s="5" t="s">
        <v>72</v>
      </c>
      <c r="X1793" s="5" t="s">
        <v>72</v>
      </c>
      <c r="Y1793" s="4">
        <v>25</v>
      </c>
      <c r="Z1793" s="4">
        <v>1</v>
      </c>
      <c r="AA1793" s="4">
        <v>1</v>
      </c>
      <c r="AB1793" s="4">
        <v>1</v>
      </c>
      <c r="AC1793" s="4">
        <v>1</v>
      </c>
      <c r="AD1793" s="4">
        <v>21</v>
      </c>
      <c r="AE1793" s="4">
        <v>21</v>
      </c>
      <c r="AF1793" s="4">
        <v>0</v>
      </c>
      <c r="AG1793" s="4">
        <v>0</v>
      </c>
      <c r="AH1793" s="4">
        <v>20</v>
      </c>
      <c r="AI1793" s="4">
        <v>20</v>
      </c>
      <c r="AJ1793" s="4">
        <v>0</v>
      </c>
      <c r="AK1793" s="4">
        <v>0</v>
      </c>
      <c r="AL1793" s="4">
        <v>17</v>
      </c>
      <c r="AM1793" s="4">
        <v>17</v>
      </c>
      <c r="AN1793" s="4">
        <v>0</v>
      </c>
      <c r="AO1793" s="4">
        <v>0</v>
      </c>
      <c r="AP1793" s="4">
        <v>0</v>
      </c>
      <c r="AQ1793" s="4">
        <v>0</v>
      </c>
      <c r="AR1793" s="3" t="s">
        <v>65</v>
      </c>
      <c r="AS1793" s="3" t="s">
        <v>65</v>
      </c>
      <c r="AT1793" s="3" t="s">
        <v>65</v>
      </c>
      <c r="AV1793" s="6" t="str">
        <f>HYPERLINK("http://mcgill.on.worldcat.org/oclc/805053021","Catalog Record")</f>
        <v>Catalog Record</v>
      </c>
      <c r="AW1793" s="6" t="str">
        <f>HYPERLINK("http://www.worldcat.org/oclc/805053021","WorldCat Record")</f>
        <v>WorldCat Record</v>
      </c>
      <c r="AX1793" s="3" t="s">
        <v>17586</v>
      </c>
      <c r="AY1793" s="3" t="s">
        <v>17587</v>
      </c>
      <c r="AZ1793" s="3" t="s">
        <v>17588</v>
      </c>
      <c r="BA1793" s="3" t="s">
        <v>17588</v>
      </c>
      <c r="BB1793" s="3" t="s">
        <v>17589</v>
      </c>
      <c r="BC1793" s="3" t="s">
        <v>77</v>
      </c>
      <c r="BD1793" s="3" t="s">
        <v>78</v>
      </c>
      <c r="BF1793" s="3" t="s">
        <v>17589</v>
      </c>
      <c r="BG1793" s="3" t="s">
        <v>17590</v>
      </c>
    </row>
    <row r="1794" spans="1:59" ht="58" x14ac:dyDescent="0.35">
      <c r="A1794" s="2" t="s">
        <v>59</v>
      </c>
      <c r="B1794" s="2" t="s">
        <v>60</v>
      </c>
      <c r="C1794" s="2" t="s">
        <v>17591</v>
      </c>
      <c r="D1794" s="2" t="s">
        <v>17592</v>
      </c>
      <c r="E1794" s="2" t="s">
        <v>17593</v>
      </c>
      <c r="G1794" s="3" t="s">
        <v>65</v>
      </c>
      <c r="I1794" s="3" t="s">
        <v>65</v>
      </c>
      <c r="J1794" s="3" t="s">
        <v>65</v>
      </c>
      <c r="K1794" s="3" t="s">
        <v>66</v>
      </c>
      <c r="L1794" s="2" t="s">
        <v>17594</v>
      </c>
      <c r="M1794" s="2" t="s">
        <v>17595</v>
      </c>
      <c r="N1794" s="3" t="s">
        <v>176</v>
      </c>
      <c r="O1794" s="2" t="s">
        <v>17596</v>
      </c>
      <c r="P1794" s="3" t="s">
        <v>7374</v>
      </c>
      <c r="Q1794" s="2" t="s">
        <v>17597</v>
      </c>
      <c r="R1794" s="3" t="s">
        <v>71</v>
      </c>
      <c r="S1794" s="4">
        <v>0</v>
      </c>
      <c r="T1794" s="4">
        <v>0</v>
      </c>
      <c r="W1794" s="5" t="s">
        <v>72</v>
      </c>
      <c r="X1794" s="5" t="s">
        <v>72</v>
      </c>
      <c r="Y1794" s="4">
        <v>13</v>
      </c>
      <c r="Z1794" s="4">
        <v>4</v>
      </c>
      <c r="AA1794" s="4">
        <v>4</v>
      </c>
      <c r="AB1794" s="4">
        <v>1</v>
      </c>
      <c r="AC1794" s="4">
        <v>1</v>
      </c>
      <c r="AD1794" s="4">
        <v>11</v>
      </c>
      <c r="AE1794" s="4">
        <v>11</v>
      </c>
      <c r="AF1794" s="4">
        <v>0</v>
      </c>
      <c r="AG1794" s="4">
        <v>0</v>
      </c>
      <c r="AH1794" s="4">
        <v>11</v>
      </c>
      <c r="AI1794" s="4">
        <v>11</v>
      </c>
      <c r="AJ1794" s="4">
        <v>2</v>
      </c>
      <c r="AK1794" s="4">
        <v>2</v>
      </c>
      <c r="AL1794" s="4">
        <v>7</v>
      </c>
      <c r="AM1794" s="4">
        <v>7</v>
      </c>
      <c r="AN1794" s="4">
        <v>0</v>
      </c>
      <c r="AO1794" s="4">
        <v>0</v>
      </c>
      <c r="AP1794" s="4">
        <v>2</v>
      </c>
      <c r="AQ1794" s="4">
        <v>2</v>
      </c>
      <c r="AR1794" s="3" t="s">
        <v>65</v>
      </c>
      <c r="AS1794" s="3" t="s">
        <v>65</v>
      </c>
      <c r="AT1794" s="3" t="s">
        <v>65</v>
      </c>
      <c r="AV1794" s="6" t="str">
        <f>HYPERLINK("http://mcgill.on.worldcat.org/oclc/919322016","Catalog Record")</f>
        <v>Catalog Record</v>
      </c>
      <c r="AW1794" s="6" t="str">
        <f>HYPERLINK("http://www.worldcat.org/oclc/919322016","WorldCat Record")</f>
        <v>WorldCat Record</v>
      </c>
      <c r="AX1794" s="3" t="s">
        <v>17598</v>
      </c>
      <c r="AY1794" s="3" t="s">
        <v>17599</v>
      </c>
      <c r="AZ1794" s="3" t="s">
        <v>17600</v>
      </c>
      <c r="BA1794" s="3" t="s">
        <v>17600</v>
      </c>
      <c r="BB1794" s="3" t="s">
        <v>17601</v>
      </c>
      <c r="BC1794" s="3" t="s">
        <v>77</v>
      </c>
      <c r="BD1794" s="3" t="s">
        <v>78</v>
      </c>
      <c r="BE1794" s="3" t="s">
        <v>17602</v>
      </c>
      <c r="BF1794" s="3" t="s">
        <v>17601</v>
      </c>
      <c r="BG1794" s="3" t="s">
        <v>17603</v>
      </c>
    </row>
    <row r="1795" spans="1:59" ht="58" x14ac:dyDescent="0.35">
      <c r="A1795" s="2" t="s">
        <v>59</v>
      </c>
      <c r="B1795" s="2" t="s">
        <v>60</v>
      </c>
      <c r="C1795" s="2" t="s">
        <v>17604</v>
      </c>
      <c r="D1795" s="2" t="s">
        <v>17605</v>
      </c>
      <c r="E1795" s="2" t="s">
        <v>17606</v>
      </c>
      <c r="G1795" s="3" t="s">
        <v>65</v>
      </c>
      <c r="I1795" s="3" t="s">
        <v>65</v>
      </c>
      <c r="J1795" s="3" t="s">
        <v>65</v>
      </c>
      <c r="K1795" s="3" t="s">
        <v>66</v>
      </c>
      <c r="L1795" s="2" t="s">
        <v>17607</v>
      </c>
      <c r="M1795" s="2" t="s">
        <v>17608</v>
      </c>
      <c r="N1795" s="3" t="s">
        <v>1895</v>
      </c>
      <c r="P1795" s="3" t="s">
        <v>69</v>
      </c>
      <c r="Q1795" s="2" t="s">
        <v>17609</v>
      </c>
      <c r="R1795" s="3" t="s">
        <v>71</v>
      </c>
      <c r="S1795" s="4">
        <v>7</v>
      </c>
      <c r="T1795" s="4">
        <v>7</v>
      </c>
      <c r="U1795" s="5" t="s">
        <v>2474</v>
      </c>
      <c r="V1795" s="5" t="s">
        <v>2474</v>
      </c>
      <c r="W1795" s="5" t="s">
        <v>72</v>
      </c>
      <c r="X1795" s="5" t="s">
        <v>72</v>
      </c>
      <c r="Y1795" s="4">
        <v>104</v>
      </c>
      <c r="Z1795" s="4">
        <v>10</v>
      </c>
      <c r="AA1795" s="4">
        <v>15</v>
      </c>
      <c r="AB1795" s="4">
        <v>1</v>
      </c>
      <c r="AC1795" s="4">
        <v>3</v>
      </c>
      <c r="AD1795" s="4">
        <v>55</v>
      </c>
      <c r="AE1795" s="4">
        <v>58</v>
      </c>
      <c r="AF1795" s="4">
        <v>0</v>
      </c>
      <c r="AG1795" s="4">
        <v>0</v>
      </c>
      <c r="AH1795" s="4">
        <v>51</v>
      </c>
      <c r="AI1795" s="4">
        <v>54</v>
      </c>
      <c r="AJ1795" s="4">
        <v>8</v>
      </c>
      <c r="AK1795" s="4">
        <v>9</v>
      </c>
      <c r="AL1795" s="4">
        <v>32</v>
      </c>
      <c r="AM1795" s="4">
        <v>34</v>
      </c>
      <c r="AN1795" s="4">
        <v>0</v>
      </c>
      <c r="AO1795" s="4">
        <v>0</v>
      </c>
      <c r="AP1795" s="4">
        <v>9</v>
      </c>
      <c r="AQ1795" s="4">
        <v>10</v>
      </c>
      <c r="AR1795" s="3" t="s">
        <v>65</v>
      </c>
      <c r="AS1795" s="3" t="s">
        <v>65</v>
      </c>
      <c r="AT1795" s="3" t="s">
        <v>209</v>
      </c>
      <c r="AU1795" s="6" t="str">
        <f>HYPERLINK("http://catalog.hathitrust.org/Record/003984450","HathiTrust Record")</f>
        <v>HathiTrust Record</v>
      </c>
      <c r="AV1795" s="6" t="str">
        <f>HYPERLINK("http://mcgill.on.worldcat.org/oclc/39678660","Catalog Record")</f>
        <v>Catalog Record</v>
      </c>
      <c r="AW1795" s="6" t="str">
        <f>HYPERLINK("http://www.worldcat.org/oclc/39678660","WorldCat Record")</f>
        <v>WorldCat Record</v>
      </c>
      <c r="AX1795" s="3" t="s">
        <v>17610</v>
      </c>
      <c r="AY1795" s="3" t="s">
        <v>17611</v>
      </c>
      <c r="AZ1795" s="3" t="s">
        <v>17612</v>
      </c>
      <c r="BA1795" s="3" t="s">
        <v>17612</v>
      </c>
      <c r="BB1795" s="3" t="s">
        <v>17613</v>
      </c>
      <c r="BC1795" s="3" t="s">
        <v>77</v>
      </c>
      <c r="BD1795" s="3" t="s">
        <v>78</v>
      </c>
      <c r="BE1795" s="3" t="s">
        <v>17614</v>
      </c>
      <c r="BF1795" s="3" t="s">
        <v>17613</v>
      </c>
      <c r="BG1795" s="3" t="s">
        <v>17615</v>
      </c>
    </row>
    <row r="1796" spans="1:59" ht="58" x14ac:dyDescent="0.35">
      <c r="A1796" s="2" t="s">
        <v>59</v>
      </c>
      <c r="B1796" s="2" t="s">
        <v>60</v>
      </c>
      <c r="C1796" s="2" t="s">
        <v>17616</v>
      </c>
      <c r="D1796" s="2" t="s">
        <v>17617</v>
      </c>
      <c r="E1796" s="2" t="s">
        <v>17618</v>
      </c>
      <c r="G1796" s="3" t="s">
        <v>65</v>
      </c>
      <c r="I1796" s="3" t="s">
        <v>65</v>
      </c>
      <c r="J1796" s="3" t="s">
        <v>65</v>
      </c>
      <c r="K1796" s="3" t="s">
        <v>66</v>
      </c>
      <c r="L1796" s="2" t="s">
        <v>17619</v>
      </c>
      <c r="M1796" s="2" t="s">
        <v>17620</v>
      </c>
      <c r="N1796" s="3" t="s">
        <v>214</v>
      </c>
      <c r="P1796" s="3" t="s">
        <v>69</v>
      </c>
      <c r="R1796" s="3" t="s">
        <v>71</v>
      </c>
      <c r="S1796" s="4">
        <v>8</v>
      </c>
      <c r="T1796" s="4">
        <v>8</v>
      </c>
      <c r="U1796" s="5" t="s">
        <v>2474</v>
      </c>
      <c r="V1796" s="5" t="s">
        <v>2474</v>
      </c>
      <c r="W1796" s="5" t="s">
        <v>72</v>
      </c>
      <c r="X1796" s="5" t="s">
        <v>72</v>
      </c>
      <c r="Y1796" s="4">
        <v>345</v>
      </c>
      <c r="Z1796" s="4">
        <v>20</v>
      </c>
      <c r="AA1796" s="4">
        <v>20</v>
      </c>
      <c r="AB1796" s="4">
        <v>1</v>
      </c>
      <c r="AC1796" s="4">
        <v>1</v>
      </c>
      <c r="AD1796" s="4">
        <v>112</v>
      </c>
      <c r="AE1796" s="4">
        <v>112</v>
      </c>
      <c r="AF1796" s="4">
        <v>0</v>
      </c>
      <c r="AG1796" s="4">
        <v>0</v>
      </c>
      <c r="AH1796" s="4">
        <v>103</v>
      </c>
      <c r="AI1796" s="4">
        <v>103</v>
      </c>
      <c r="AJ1796" s="4">
        <v>12</v>
      </c>
      <c r="AK1796" s="4">
        <v>12</v>
      </c>
      <c r="AL1796" s="4">
        <v>56</v>
      </c>
      <c r="AM1796" s="4">
        <v>56</v>
      </c>
      <c r="AN1796" s="4">
        <v>0</v>
      </c>
      <c r="AO1796" s="4">
        <v>0</v>
      </c>
      <c r="AP1796" s="4">
        <v>16</v>
      </c>
      <c r="AQ1796" s="4">
        <v>16</v>
      </c>
      <c r="AR1796" s="3" t="s">
        <v>65</v>
      </c>
      <c r="AS1796" s="3" t="s">
        <v>65</v>
      </c>
      <c r="AT1796" s="3" t="s">
        <v>209</v>
      </c>
      <c r="AU1796" s="6" t="str">
        <f>HYPERLINK("http://catalog.hathitrust.org/Record/000113594","HathiTrust Record")</f>
        <v>HathiTrust Record</v>
      </c>
      <c r="AV1796" s="6" t="str">
        <f>HYPERLINK("http://mcgill.on.worldcat.org/oclc/9393343","Catalog Record")</f>
        <v>Catalog Record</v>
      </c>
      <c r="AW1796" s="6" t="str">
        <f>HYPERLINK("http://www.worldcat.org/oclc/9393343","WorldCat Record")</f>
        <v>WorldCat Record</v>
      </c>
      <c r="AX1796" s="3" t="s">
        <v>17621</v>
      </c>
      <c r="AY1796" s="3" t="s">
        <v>17622</v>
      </c>
      <c r="AZ1796" s="3" t="s">
        <v>17623</v>
      </c>
      <c r="BA1796" s="3" t="s">
        <v>17623</v>
      </c>
      <c r="BB1796" s="3" t="s">
        <v>17624</v>
      </c>
      <c r="BC1796" s="3" t="s">
        <v>77</v>
      </c>
      <c r="BD1796" s="3" t="s">
        <v>78</v>
      </c>
      <c r="BE1796" s="3" t="s">
        <v>17625</v>
      </c>
      <c r="BF1796" s="3" t="s">
        <v>17624</v>
      </c>
      <c r="BG1796" s="3" t="s">
        <v>17626</v>
      </c>
    </row>
    <row r="1797" spans="1:59" ht="58" x14ac:dyDescent="0.35">
      <c r="A1797" s="2" t="s">
        <v>59</v>
      </c>
      <c r="B1797" s="2" t="s">
        <v>60</v>
      </c>
      <c r="C1797" s="2" t="s">
        <v>17627</v>
      </c>
      <c r="D1797" s="2" t="s">
        <v>17628</v>
      </c>
      <c r="E1797" s="2" t="s">
        <v>17629</v>
      </c>
      <c r="G1797" s="3" t="s">
        <v>65</v>
      </c>
      <c r="I1797" s="3" t="s">
        <v>65</v>
      </c>
      <c r="J1797" s="3" t="s">
        <v>65</v>
      </c>
      <c r="K1797" s="3" t="s">
        <v>66</v>
      </c>
      <c r="L1797" s="2" t="s">
        <v>17630</v>
      </c>
      <c r="M1797" s="2" t="s">
        <v>17631</v>
      </c>
      <c r="N1797" s="3" t="s">
        <v>17632</v>
      </c>
      <c r="P1797" s="3" t="s">
        <v>616</v>
      </c>
      <c r="R1797" s="3" t="s">
        <v>71</v>
      </c>
      <c r="S1797" s="4">
        <v>6</v>
      </c>
      <c r="T1797" s="4">
        <v>6</v>
      </c>
      <c r="U1797" s="5" t="s">
        <v>17633</v>
      </c>
      <c r="V1797" s="5" t="s">
        <v>17633</v>
      </c>
      <c r="W1797" s="5" t="s">
        <v>72</v>
      </c>
      <c r="X1797" s="5" t="s">
        <v>72</v>
      </c>
      <c r="Y1797" s="4">
        <v>89</v>
      </c>
      <c r="Z1797" s="4">
        <v>6</v>
      </c>
      <c r="AA1797" s="4">
        <v>11</v>
      </c>
      <c r="AB1797" s="4">
        <v>1</v>
      </c>
      <c r="AC1797" s="4">
        <v>2</v>
      </c>
      <c r="AD1797" s="4">
        <v>37</v>
      </c>
      <c r="AE1797" s="4">
        <v>68</v>
      </c>
      <c r="AF1797" s="4">
        <v>0</v>
      </c>
      <c r="AG1797" s="4">
        <v>1</v>
      </c>
      <c r="AH1797" s="4">
        <v>35</v>
      </c>
      <c r="AI1797" s="4">
        <v>62</v>
      </c>
      <c r="AJ1797" s="4">
        <v>3</v>
      </c>
      <c r="AK1797" s="4">
        <v>8</v>
      </c>
      <c r="AL1797" s="4">
        <v>25</v>
      </c>
      <c r="AM1797" s="4">
        <v>37</v>
      </c>
      <c r="AN1797" s="4">
        <v>0</v>
      </c>
      <c r="AO1797" s="4">
        <v>0</v>
      </c>
      <c r="AP1797" s="4">
        <v>3</v>
      </c>
      <c r="AQ1797" s="4">
        <v>7</v>
      </c>
      <c r="AR1797" s="3" t="s">
        <v>65</v>
      </c>
      <c r="AS1797" s="3" t="s">
        <v>65</v>
      </c>
      <c r="AT1797" s="3" t="s">
        <v>209</v>
      </c>
      <c r="AU1797" s="6" t="str">
        <f>HYPERLINK("http://catalog.hathitrust.org/Record/000631884","HathiTrust Record")</f>
        <v>HathiTrust Record</v>
      </c>
      <c r="AV1797" s="6" t="str">
        <f>HYPERLINK("http://mcgill.on.worldcat.org/oclc/1220579","Catalog Record")</f>
        <v>Catalog Record</v>
      </c>
      <c r="AW1797" s="6" t="str">
        <f>HYPERLINK("http://www.worldcat.org/oclc/1220579","WorldCat Record")</f>
        <v>WorldCat Record</v>
      </c>
      <c r="AX1797" s="3" t="s">
        <v>17634</v>
      </c>
      <c r="AY1797" s="3" t="s">
        <v>17635</v>
      </c>
      <c r="AZ1797" s="3" t="s">
        <v>17636</v>
      </c>
      <c r="BA1797" s="3" t="s">
        <v>17636</v>
      </c>
      <c r="BB1797" s="3" t="s">
        <v>17637</v>
      </c>
      <c r="BC1797" s="3" t="s">
        <v>77</v>
      </c>
      <c r="BD1797" s="3" t="s">
        <v>78</v>
      </c>
      <c r="BF1797" s="3" t="s">
        <v>17637</v>
      </c>
      <c r="BG1797" s="3" t="s">
        <v>17638</v>
      </c>
    </row>
    <row r="1798" spans="1:59" ht="72.5" x14ac:dyDescent="0.35">
      <c r="A1798" s="2" t="s">
        <v>59</v>
      </c>
      <c r="B1798" s="2" t="s">
        <v>60</v>
      </c>
      <c r="C1798" s="2" t="s">
        <v>17639</v>
      </c>
      <c r="D1798" s="2" t="s">
        <v>17640</v>
      </c>
      <c r="E1798" s="2" t="s">
        <v>17641</v>
      </c>
      <c r="G1798" s="3" t="s">
        <v>65</v>
      </c>
      <c r="I1798" s="3" t="s">
        <v>65</v>
      </c>
      <c r="J1798" s="3" t="s">
        <v>65</v>
      </c>
      <c r="K1798" s="3" t="s">
        <v>66</v>
      </c>
      <c r="L1798" s="2" t="s">
        <v>17642</v>
      </c>
      <c r="M1798" s="2" t="s">
        <v>17643</v>
      </c>
      <c r="N1798" s="3" t="s">
        <v>139</v>
      </c>
      <c r="O1798" s="2" t="s">
        <v>365</v>
      </c>
      <c r="P1798" s="3" t="s">
        <v>140</v>
      </c>
      <c r="Q1798" s="2" t="s">
        <v>17644</v>
      </c>
      <c r="R1798" s="3" t="s">
        <v>71</v>
      </c>
      <c r="S1798" s="4">
        <v>0</v>
      </c>
      <c r="T1798" s="4">
        <v>0</v>
      </c>
      <c r="W1798" s="5" t="s">
        <v>72</v>
      </c>
      <c r="X1798" s="5" t="s">
        <v>72</v>
      </c>
      <c r="Y1798" s="4">
        <v>31</v>
      </c>
      <c r="Z1798" s="4">
        <v>3</v>
      </c>
      <c r="AA1798" s="4">
        <v>3</v>
      </c>
      <c r="AB1798" s="4">
        <v>1</v>
      </c>
      <c r="AC1798" s="4">
        <v>1</v>
      </c>
      <c r="AD1798" s="4">
        <v>20</v>
      </c>
      <c r="AE1798" s="4">
        <v>20</v>
      </c>
      <c r="AF1798" s="4">
        <v>0</v>
      </c>
      <c r="AG1798" s="4">
        <v>0</v>
      </c>
      <c r="AH1798" s="4">
        <v>19</v>
      </c>
      <c r="AI1798" s="4">
        <v>19</v>
      </c>
      <c r="AJ1798" s="4">
        <v>1</v>
      </c>
      <c r="AK1798" s="4">
        <v>1</v>
      </c>
      <c r="AL1798" s="4">
        <v>17</v>
      </c>
      <c r="AM1798" s="4">
        <v>17</v>
      </c>
      <c r="AN1798" s="4">
        <v>0</v>
      </c>
      <c r="AO1798" s="4">
        <v>0</v>
      </c>
      <c r="AP1798" s="4">
        <v>1</v>
      </c>
      <c r="AQ1798" s="4">
        <v>1</v>
      </c>
      <c r="AR1798" s="3" t="s">
        <v>65</v>
      </c>
      <c r="AS1798" s="3" t="s">
        <v>65</v>
      </c>
      <c r="AT1798" s="3" t="s">
        <v>65</v>
      </c>
      <c r="AV1798" s="6" t="str">
        <f>HYPERLINK("http://mcgill.on.worldcat.org/oclc/834494781","Catalog Record")</f>
        <v>Catalog Record</v>
      </c>
      <c r="AW1798" s="6" t="str">
        <f>HYPERLINK("http://www.worldcat.org/oclc/834494781","WorldCat Record")</f>
        <v>WorldCat Record</v>
      </c>
      <c r="AX1798" s="3" t="s">
        <v>17645</v>
      </c>
      <c r="AY1798" s="3" t="s">
        <v>17646</v>
      </c>
      <c r="AZ1798" s="3" t="s">
        <v>17647</v>
      </c>
      <c r="BA1798" s="3" t="s">
        <v>17647</v>
      </c>
      <c r="BB1798" s="3" t="s">
        <v>17648</v>
      </c>
      <c r="BC1798" s="3" t="s">
        <v>77</v>
      </c>
      <c r="BD1798" s="3" t="s">
        <v>78</v>
      </c>
      <c r="BE1798" s="3" t="s">
        <v>17649</v>
      </c>
      <c r="BF1798" s="3" t="s">
        <v>17648</v>
      </c>
      <c r="BG1798" s="3" t="s">
        <v>17650</v>
      </c>
    </row>
    <row r="1799" spans="1:59" ht="58" x14ac:dyDescent="0.35">
      <c r="A1799" s="2" t="s">
        <v>59</v>
      </c>
      <c r="B1799" s="2" t="s">
        <v>60</v>
      </c>
      <c r="C1799" s="2" t="s">
        <v>17651</v>
      </c>
      <c r="D1799" s="2" t="s">
        <v>17652</v>
      </c>
      <c r="E1799" s="2" t="s">
        <v>17653</v>
      </c>
      <c r="G1799" s="3" t="s">
        <v>65</v>
      </c>
      <c r="I1799" s="3" t="s">
        <v>65</v>
      </c>
      <c r="J1799" s="3" t="s">
        <v>65</v>
      </c>
      <c r="K1799" s="3" t="s">
        <v>66</v>
      </c>
      <c r="L1799" s="2" t="s">
        <v>17654</v>
      </c>
      <c r="M1799" s="2" t="s">
        <v>2926</v>
      </c>
      <c r="N1799" s="3" t="s">
        <v>113</v>
      </c>
      <c r="P1799" s="3" t="s">
        <v>140</v>
      </c>
      <c r="Q1799" s="2" t="s">
        <v>17655</v>
      </c>
      <c r="R1799" s="3" t="s">
        <v>71</v>
      </c>
      <c r="S1799" s="4">
        <v>0</v>
      </c>
      <c r="T1799" s="4">
        <v>0</v>
      </c>
      <c r="W1799" s="5" t="s">
        <v>72</v>
      </c>
      <c r="X1799" s="5" t="s">
        <v>72</v>
      </c>
      <c r="Y1799" s="4">
        <v>46</v>
      </c>
      <c r="Z1799" s="4">
        <v>3</v>
      </c>
      <c r="AA1799" s="4">
        <v>3</v>
      </c>
      <c r="AB1799" s="4">
        <v>1</v>
      </c>
      <c r="AC1799" s="4">
        <v>1</v>
      </c>
      <c r="AD1799" s="4">
        <v>34</v>
      </c>
      <c r="AE1799" s="4">
        <v>34</v>
      </c>
      <c r="AF1799" s="4">
        <v>0</v>
      </c>
      <c r="AG1799" s="4">
        <v>0</v>
      </c>
      <c r="AH1799" s="4">
        <v>33</v>
      </c>
      <c r="AI1799" s="4">
        <v>33</v>
      </c>
      <c r="AJ1799" s="4">
        <v>1</v>
      </c>
      <c r="AK1799" s="4">
        <v>1</v>
      </c>
      <c r="AL1799" s="4">
        <v>26</v>
      </c>
      <c r="AM1799" s="4">
        <v>26</v>
      </c>
      <c r="AN1799" s="4">
        <v>5</v>
      </c>
      <c r="AO1799" s="4">
        <v>5</v>
      </c>
      <c r="AP1799" s="4">
        <v>1</v>
      </c>
      <c r="AQ1799" s="4">
        <v>1</v>
      </c>
      <c r="AR1799" s="3" t="s">
        <v>65</v>
      </c>
      <c r="AS1799" s="3" t="s">
        <v>65</v>
      </c>
      <c r="AT1799" s="3" t="s">
        <v>209</v>
      </c>
      <c r="AU1799" s="6" t="str">
        <f>HYPERLINK("http://catalog.hathitrust.org/Record/009363231","HathiTrust Record")</f>
        <v>HathiTrust Record</v>
      </c>
      <c r="AV1799" s="6" t="str">
        <f>HYPERLINK("http://mcgill.on.worldcat.org/oclc/652361792","Catalog Record")</f>
        <v>Catalog Record</v>
      </c>
      <c r="AW1799" s="6" t="str">
        <f>HYPERLINK("http://www.worldcat.org/oclc/652361792","WorldCat Record")</f>
        <v>WorldCat Record</v>
      </c>
      <c r="AX1799" s="3" t="s">
        <v>17656</v>
      </c>
      <c r="AY1799" s="3" t="s">
        <v>17657</v>
      </c>
      <c r="AZ1799" s="3" t="s">
        <v>17658</v>
      </c>
      <c r="BA1799" s="3" t="s">
        <v>17658</v>
      </c>
      <c r="BB1799" s="3" t="s">
        <v>17659</v>
      </c>
      <c r="BC1799" s="3" t="s">
        <v>77</v>
      </c>
      <c r="BD1799" s="3" t="s">
        <v>78</v>
      </c>
      <c r="BE1799" s="3" t="s">
        <v>17660</v>
      </c>
      <c r="BF1799" s="3" t="s">
        <v>17659</v>
      </c>
      <c r="BG1799" s="3" t="s">
        <v>17661</v>
      </c>
    </row>
    <row r="1800" spans="1:59" ht="58" x14ac:dyDescent="0.35">
      <c r="A1800" s="2" t="s">
        <v>59</v>
      </c>
      <c r="B1800" s="2" t="s">
        <v>60</v>
      </c>
      <c r="C1800" s="2" t="s">
        <v>17662</v>
      </c>
      <c r="D1800" s="2" t="s">
        <v>17663</v>
      </c>
      <c r="E1800" s="2" t="s">
        <v>17664</v>
      </c>
      <c r="G1800" s="3" t="s">
        <v>65</v>
      </c>
      <c r="I1800" s="3" t="s">
        <v>65</v>
      </c>
      <c r="J1800" s="3" t="s">
        <v>65</v>
      </c>
      <c r="K1800" s="3" t="s">
        <v>66</v>
      </c>
      <c r="M1800" s="2" t="s">
        <v>17665</v>
      </c>
      <c r="N1800" s="3" t="s">
        <v>68</v>
      </c>
      <c r="O1800" s="2" t="s">
        <v>235</v>
      </c>
      <c r="P1800" s="3" t="s">
        <v>140</v>
      </c>
      <c r="Q1800" s="2" t="s">
        <v>17666</v>
      </c>
      <c r="R1800" s="3" t="s">
        <v>71</v>
      </c>
      <c r="S1800" s="4">
        <v>0</v>
      </c>
      <c r="T1800" s="4">
        <v>0</v>
      </c>
      <c r="W1800" s="5" t="s">
        <v>72</v>
      </c>
      <c r="X1800" s="5" t="s">
        <v>72</v>
      </c>
      <c r="Y1800" s="4">
        <v>46</v>
      </c>
      <c r="Z1800" s="4">
        <v>4</v>
      </c>
      <c r="AA1800" s="4">
        <v>4</v>
      </c>
      <c r="AB1800" s="4">
        <v>1</v>
      </c>
      <c r="AC1800" s="4">
        <v>1</v>
      </c>
      <c r="AD1800" s="4">
        <v>32</v>
      </c>
      <c r="AE1800" s="4">
        <v>32</v>
      </c>
      <c r="AF1800" s="4">
        <v>0</v>
      </c>
      <c r="AG1800" s="4">
        <v>0</v>
      </c>
      <c r="AH1800" s="4">
        <v>31</v>
      </c>
      <c r="AI1800" s="4">
        <v>31</v>
      </c>
      <c r="AJ1800" s="4">
        <v>2</v>
      </c>
      <c r="AK1800" s="4">
        <v>2</v>
      </c>
      <c r="AL1800" s="4">
        <v>23</v>
      </c>
      <c r="AM1800" s="4">
        <v>23</v>
      </c>
      <c r="AN1800" s="4">
        <v>0</v>
      </c>
      <c r="AO1800" s="4">
        <v>0</v>
      </c>
      <c r="AP1800" s="4">
        <v>2</v>
      </c>
      <c r="AQ1800" s="4">
        <v>2</v>
      </c>
      <c r="AR1800" s="3" t="s">
        <v>65</v>
      </c>
      <c r="AS1800" s="3" t="s">
        <v>65</v>
      </c>
      <c r="AT1800" s="3" t="s">
        <v>65</v>
      </c>
      <c r="AV1800" s="6" t="str">
        <f>HYPERLINK("http://mcgill.on.worldcat.org/oclc/953719724","Catalog Record")</f>
        <v>Catalog Record</v>
      </c>
      <c r="AW1800" s="6" t="str">
        <f>HYPERLINK("http://www.worldcat.org/oclc/953719724","WorldCat Record")</f>
        <v>WorldCat Record</v>
      </c>
      <c r="AX1800" s="3" t="s">
        <v>17667</v>
      </c>
      <c r="AY1800" s="3" t="s">
        <v>17668</v>
      </c>
      <c r="AZ1800" s="3" t="s">
        <v>17669</v>
      </c>
      <c r="BA1800" s="3" t="s">
        <v>17669</v>
      </c>
      <c r="BB1800" s="3" t="s">
        <v>17670</v>
      </c>
      <c r="BC1800" s="3" t="s">
        <v>77</v>
      </c>
      <c r="BD1800" s="3" t="s">
        <v>78</v>
      </c>
      <c r="BE1800" s="3" t="s">
        <v>17671</v>
      </c>
      <c r="BF1800" s="3" t="s">
        <v>17670</v>
      </c>
      <c r="BG1800" s="3" t="s">
        <v>17672</v>
      </c>
    </row>
    <row r="1801" spans="1:59" ht="58" x14ac:dyDescent="0.35">
      <c r="A1801" s="2" t="s">
        <v>59</v>
      </c>
      <c r="B1801" s="2" t="s">
        <v>60</v>
      </c>
      <c r="C1801" s="2" t="s">
        <v>17673</v>
      </c>
      <c r="D1801" s="2" t="s">
        <v>17674</v>
      </c>
      <c r="E1801" s="2" t="s">
        <v>17675</v>
      </c>
      <c r="G1801" s="3" t="s">
        <v>65</v>
      </c>
      <c r="I1801" s="3" t="s">
        <v>65</v>
      </c>
      <c r="J1801" s="3" t="s">
        <v>65</v>
      </c>
      <c r="K1801" s="3" t="s">
        <v>66</v>
      </c>
      <c r="L1801" s="2" t="s">
        <v>17676</v>
      </c>
      <c r="M1801" s="2" t="s">
        <v>17677</v>
      </c>
      <c r="N1801" s="3" t="s">
        <v>126</v>
      </c>
      <c r="P1801" s="3" t="s">
        <v>140</v>
      </c>
      <c r="Q1801" s="2" t="s">
        <v>17678</v>
      </c>
      <c r="R1801" s="3" t="s">
        <v>71</v>
      </c>
      <c r="S1801" s="4">
        <v>0</v>
      </c>
      <c r="T1801" s="4">
        <v>0</v>
      </c>
      <c r="W1801" s="5" t="s">
        <v>72</v>
      </c>
      <c r="X1801" s="5" t="s">
        <v>72</v>
      </c>
      <c r="Y1801" s="4">
        <v>44</v>
      </c>
      <c r="Z1801" s="4">
        <v>4</v>
      </c>
      <c r="AA1801" s="4">
        <v>4</v>
      </c>
      <c r="AB1801" s="4">
        <v>1</v>
      </c>
      <c r="AC1801" s="4">
        <v>1</v>
      </c>
      <c r="AD1801" s="4">
        <v>28</v>
      </c>
      <c r="AE1801" s="4">
        <v>28</v>
      </c>
      <c r="AF1801" s="4">
        <v>0</v>
      </c>
      <c r="AG1801" s="4">
        <v>0</v>
      </c>
      <c r="AH1801" s="4">
        <v>27</v>
      </c>
      <c r="AI1801" s="4">
        <v>27</v>
      </c>
      <c r="AJ1801" s="4">
        <v>2</v>
      </c>
      <c r="AK1801" s="4">
        <v>2</v>
      </c>
      <c r="AL1801" s="4">
        <v>21</v>
      </c>
      <c r="AM1801" s="4">
        <v>21</v>
      </c>
      <c r="AN1801" s="4">
        <v>0</v>
      </c>
      <c r="AO1801" s="4">
        <v>0</v>
      </c>
      <c r="AP1801" s="4">
        <v>2</v>
      </c>
      <c r="AQ1801" s="4">
        <v>2</v>
      </c>
      <c r="AR1801" s="3" t="s">
        <v>65</v>
      </c>
      <c r="AS1801" s="3" t="s">
        <v>65</v>
      </c>
      <c r="AT1801" s="3" t="s">
        <v>65</v>
      </c>
      <c r="AV1801" s="6" t="str">
        <f>HYPERLINK("http://mcgill.on.worldcat.org/oclc/774488875","Catalog Record")</f>
        <v>Catalog Record</v>
      </c>
      <c r="AW1801" s="6" t="str">
        <f>HYPERLINK("http://www.worldcat.org/oclc/774488875","WorldCat Record")</f>
        <v>WorldCat Record</v>
      </c>
      <c r="AX1801" s="3" t="s">
        <v>17679</v>
      </c>
      <c r="AY1801" s="3" t="s">
        <v>17680</v>
      </c>
      <c r="AZ1801" s="3" t="s">
        <v>17681</v>
      </c>
      <c r="BA1801" s="3" t="s">
        <v>17681</v>
      </c>
      <c r="BB1801" s="3" t="s">
        <v>17682</v>
      </c>
      <c r="BC1801" s="3" t="s">
        <v>77</v>
      </c>
      <c r="BD1801" s="3" t="s">
        <v>78</v>
      </c>
      <c r="BE1801" s="3" t="s">
        <v>17683</v>
      </c>
      <c r="BF1801" s="3" t="s">
        <v>17682</v>
      </c>
      <c r="BG1801" s="3" t="s">
        <v>17684</v>
      </c>
    </row>
    <row r="1802" spans="1:59" ht="58" x14ac:dyDescent="0.35">
      <c r="A1802" s="2" t="s">
        <v>59</v>
      </c>
      <c r="B1802" s="2" t="s">
        <v>60</v>
      </c>
      <c r="C1802" s="2" t="s">
        <v>17685</v>
      </c>
      <c r="D1802" s="2" t="s">
        <v>17686</v>
      </c>
      <c r="E1802" s="2" t="s">
        <v>17687</v>
      </c>
      <c r="G1802" s="3" t="s">
        <v>65</v>
      </c>
      <c r="I1802" s="3" t="s">
        <v>65</v>
      </c>
      <c r="J1802" s="3" t="s">
        <v>65</v>
      </c>
      <c r="K1802" s="3" t="s">
        <v>66</v>
      </c>
      <c r="L1802" s="2" t="s">
        <v>17688</v>
      </c>
      <c r="M1802" s="2" t="s">
        <v>17689</v>
      </c>
      <c r="N1802" s="3" t="s">
        <v>2210</v>
      </c>
      <c r="P1802" s="3" t="s">
        <v>140</v>
      </c>
      <c r="Q1802" s="2" t="s">
        <v>17690</v>
      </c>
      <c r="R1802" s="3" t="s">
        <v>71</v>
      </c>
      <c r="S1802" s="4">
        <v>5</v>
      </c>
      <c r="T1802" s="4">
        <v>5</v>
      </c>
      <c r="U1802" s="5" t="s">
        <v>17691</v>
      </c>
      <c r="V1802" s="5" t="s">
        <v>17691</v>
      </c>
      <c r="W1802" s="5" t="s">
        <v>72</v>
      </c>
      <c r="X1802" s="5" t="s">
        <v>72</v>
      </c>
      <c r="Y1802" s="4">
        <v>58</v>
      </c>
      <c r="Z1802" s="4">
        <v>5</v>
      </c>
      <c r="AA1802" s="4">
        <v>5</v>
      </c>
      <c r="AB1802" s="4">
        <v>3</v>
      </c>
      <c r="AC1802" s="4">
        <v>3</v>
      </c>
      <c r="AD1802" s="4">
        <v>37</v>
      </c>
      <c r="AE1802" s="4">
        <v>37</v>
      </c>
      <c r="AF1802" s="4">
        <v>1</v>
      </c>
      <c r="AG1802" s="4">
        <v>1</v>
      </c>
      <c r="AH1802" s="4">
        <v>35</v>
      </c>
      <c r="AI1802" s="4">
        <v>35</v>
      </c>
      <c r="AJ1802" s="4">
        <v>2</v>
      </c>
      <c r="AK1802" s="4">
        <v>2</v>
      </c>
      <c r="AL1802" s="4">
        <v>28</v>
      </c>
      <c r="AM1802" s="4">
        <v>28</v>
      </c>
      <c r="AN1802" s="4">
        <v>0</v>
      </c>
      <c r="AO1802" s="4">
        <v>0</v>
      </c>
      <c r="AP1802" s="4">
        <v>2</v>
      </c>
      <c r="AQ1802" s="4">
        <v>2</v>
      </c>
      <c r="AR1802" s="3" t="s">
        <v>65</v>
      </c>
      <c r="AS1802" s="3" t="s">
        <v>65</v>
      </c>
      <c r="AT1802" s="3" t="s">
        <v>209</v>
      </c>
      <c r="AU1802" s="6" t="str">
        <f>HYPERLINK("http://catalog.hathitrust.org/Record/004253554","HathiTrust Record")</f>
        <v>HathiTrust Record</v>
      </c>
      <c r="AV1802" s="6" t="str">
        <f>HYPERLINK("http://mcgill.on.worldcat.org/oclc/49697494","Catalog Record")</f>
        <v>Catalog Record</v>
      </c>
      <c r="AW1802" s="6" t="str">
        <f>HYPERLINK("http://www.worldcat.org/oclc/49697494","WorldCat Record")</f>
        <v>WorldCat Record</v>
      </c>
      <c r="AX1802" s="3" t="s">
        <v>17692</v>
      </c>
      <c r="AY1802" s="3" t="s">
        <v>17693</v>
      </c>
      <c r="AZ1802" s="3" t="s">
        <v>17694</v>
      </c>
      <c r="BA1802" s="3" t="s">
        <v>17694</v>
      </c>
      <c r="BB1802" s="3" t="s">
        <v>17695</v>
      </c>
      <c r="BC1802" s="3" t="s">
        <v>77</v>
      </c>
      <c r="BD1802" s="3" t="s">
        <v>78</v>
      </c>
      <c r="BE1802" s="3" t="s">
        <v>17696</v>
      </c>
      <c r="BF1802" s="3" t="s">
        <v>17695</v>
      </c>
      <c r="BG1802" s="3" t="s">
        <v>17697</v>
      </c>
    </row>
    <row r="1803" spans="1:59" ht="58" x14ac:dyDescent="0.35">
      <c r="A1803" s="2" t="s">
        <v>59</v>
      </c>
      <c r="B1803" s="2" t="s">
        <v>60</v>
      </c>
      <c r="C1803" s="2" t="s">
        <v>17698</v>
      </c>
      <c r="D1803" s="2" t="s">
        <v>17699</v>
      </c>
      <c r="E1803" s="2" t="s">
        <v>17700</v>
      </c>
      <c r="G1803" s="3" t="s">
        <v>65</v>
      </c>
      <c r="I1803" s="3" t="s">
        <v>65</v>
      </c>
      <c r="J1803" s="3" t="s">
        <v>65</v>
      </c>
      <c r="K1803" s="3" t="s">
        <v>66</v>
      </c>
      <c r="L1803" s="2" t="s">
        <v>17701</v>
      </c>
      <c r="M1803" s="2" t="s">
        <v>2280</v>
      </c>
      <c r="N1803" s="3" t="s">
        <v>126</v>
      </c>
      <c r="P1803" s="3" t="s">
        <v>140</v>
      </c>
      <c r="Q1803" s="2" t="s">
        <v>17702</v>
      </c>
      <c r="R1803" s="3" t="s">
        <v>71</v>
      </c>
      <c r="S1803" s="4">
        <v>0</v>
      </c>
      <c r="T1803" s="4">
        <v>0</v>
      </c>
      <c r="W1803" s="5" t="s">
        <v>72</v>
      </c>
      <c r="X1803" s="5" t="s">
        <v>72</v>
      </c>
      <c r="Y1803" s="4">
        <v>36</v>
      </c>
      <c r="Z1803" s="4">
        <v>3</v>
      </c>
      <c r="AA1803" s="4">
        <v>3</v>
      </c>
      <c r="AB1803" s="4">
        <v>1</v>
      </c>
      <c r="AC1803" s="4">
        <v>1</v>
      </c>
      <c r="AD1803" s="4">
        <v>24</v>
      </c>
      <c r="AE1803" s="4">
        <v>24</v>
      </c>
      <c r="AF1803" s="4">
        <v>0</v>
      </c>
      <c r="AG1803" s="4">
        <v>0</v>
      </c>
      <c r="AH1803" s="4">
        <v>23</v>
      </c>
      <c r="AI1803" s="4">
        <v>23</v>
      </c>
      <c r="AJ1803" s="4">
        <v>1</v>
      </c>
      <c r="AK1803" s="4">
        <v>1</v>
      </c>
      <c r="AL1803" s="4">
        <v>21</v>
      </c>
      <c r="AM1803" s="4">
        <v>21</v>
      </c>
      <c r="AN1803" s="4">
        <v>0</v>
      </c>
      <c r="AO1803" s="4">
        <v>0</v>
      </c>
      <c r="AP1803" s="4">
        <v>1</v>
      </c>
      <c r="AQ1803" s="4">
        <v>1</v>
      </c>
      <c r="AR1803" s="3" t="s">
        <v>65</v>
      </c>
      <c r="AS1803" s="3" t="s">
        <v>65</v>
      </c>
      <c r="AT1803" s="3" t="s">
        <v>65</v>
      </c>
      <c r="AV1803" s="6" t="str">
        <f>HYPERLINK("http://mcgill.on.worldcat.org/oclc/721865834","Catalog Record")</f>
        <v>Catalog Record</v>
      </c>
      <c r="AW1803" s="6" t="str">
        <f>HYPERLINK("http://www.worldcat.org/oclc/721865834","WorldCat Record")</f>
        <v>WorldCat Record</v>
      </c>
      <c r="AX1803" s="3" t="s">
        <v>17703</v>
      </c>
      <c r="AY1803" s="3" t="s">
        <v>17704</v>
      </c>
      <c r="AZ1803" s="3" t="s">
        <v>17705</v>
      </c>
      <c r="BA1803" s="3" t="s">
        <v>17705</v>
      </c>
      <c r="BB1803" s="3" t="s">
        <v>17706</v>
      </c>
      <c r="BC1803" s="3" t="s">
        <v>77</v>
      </c>
      <c r="BD1803" s="3" t="s">
        <v>78</v>
      </c>
      <c r="BE1803" s="3" t="s">
        <v>17707</v>
      </c>
      <c r="BF1803" s="3" t="s">
        <v>17706</v>
      </c>
      <c r="BG1803" s="3" t="s">
        <v>17708</v>
      </c>
    </row>
    <row r="1804" spans="1:59" ht="58" x14ac:dyDescent="0.35">
      <c r="A1804" s="2" t="s">
        <v>59</v>
      </c>
      <c r="B1804" s="2" t="s">
        <v>60</v>
      </c>
      <c r="C1804" s="2" t="s">
        <v>17709</v>
      </c>
      <c r="D1804" s="2" t="s">
        <v>17710</v>
      </c>
      <c r="E1804" s="2" t="s">
        <v>17711</v>
      </c>
      <c r="G1804" s="3" t="s">
        <v>65</v>
      </c>
      <c r="I1804" s="3" t="s">
        <v>65</v>
      </c>
      <c r="J1804" s="3" t="s">
        <v>65</v>
      </c>
      <c r="K1804" s="3" t="s">
        <v>66</v>
      </c>
      <c r="L1804" s="2" t="s">
        <v>17712</v>
      </c>
      <c r="M1804" s="2" t="s">
        <v>17327</v>
      </c>
      <c r="N1804" s="3" t="s">
        <v>139</v>
      </c>
      <c r="P1804" s="3" t="s">
        <v>140</v>
      </c>
      <c r="Q1804" s="2" t="s">
        <v>17713</v>
      </c>
      <c r="R1804" s="3" t="s">
        <v>71</v>
      </c>
      <c r="S1804" s="4">
        <v>0</v>
      </c>
      <c r="T1804" s="4">
        <v>0</v>
      </c>
      <c r="W1804" s="5" t="s">
        <v>72</v>
      </c>
      <c r="X1804" s="5" t="s">
        <v>72</v>
      </c>
      <c r="Y1804" s="4">
        <v>28</v>
      </c>
      <c r="Z1804" s="4">
        <v>1</v>
      </c>
      <c r="AA1804" s="4">
        <v>1</v>
      </c>
      <c r="AB1804" s="4">
        <v>1</v>
      </c>
      <c r="AC1804" s="4">
        <v>1</v>
      </c>
      <c r="AD1804" s="4">
        <v>20</v>
      </c>
      <c r="AE1804" s="4">
        <v>22</v>
      </c>
      <c r="AF1804" s="4">
        <v>0</v>
      </c>
      <c r="AG1804" s="4">
        <v>0</v>
      </c>
      <c r="AH1804" s="4">
        <v>19</v>
      </c>
      <c r="AI1804" s="4">
        <v>21</v>
      </c>
      <c r="AJ1804" s="4">
        <v>0</v>
      </c>
      <c r="AK1804" s="4">
        <v>0</v>
      </c>
      <c r="AL1804" s="4">
        <v>17</v>
      </c>
      <c r="AM1804" s="4">
        <v>18</v>
      </c>
      <c r="AN1804" s="4">
        <v>0</v>
      </c>
      <c r="AO1804" s="4">
        <v>0</v>
      </c>
      <c r="AP1804" s="4">
        <v>0</v>
      </c>
      <c r="AQ1804" s="4">
        <v>0</v>
      </c>
      <c r="AR1804" s="3" t="s">
        <v>65</v>
      </c>
      <c r="AS1804" s="3" t="s">
        <v>65</v>
      </c>
      <c r="AT1804" s="3" t="s">
        <v>65</v>
      </c>
      <c r="AV1804" s="6" t="str">
        <f>HYPERLINK("http://mcgill.on.worldcat.org/oclc/836773700","Catalog Record")</f>
        <v>Catalog Record</v>
      </c>
      <c r="AW1804" s="6" t="str">
        <f>HYPERLINK("http://www.worldcat.org/oclc/836773700","WorldCat Record")</f>
        <v>WorldCat Record</v>
      </c>
      <c r="AX1804" s="3" t="s">
        <v>17714</v>
      </c>
      <c r="AY1804" s="3" t="s">
        <v>17715</v>
      </c>
      <c r="AZ1804" s="3" t="s">
        <v>17716</v>
      </c>
      <c r="BA1804" s="3" t="s">
        <v>17716</v>
      </c>
      <c r="BB1804" s="3" t="s">
        <v>17717</v>
      </c>
      <c r="BC1804" s="3" t="s">
        <v>77</v>
      </c>
      <c r="BD1804" s="3" t="s">
        <v>78</v>
      </c>
      <c r="BE1804" s="3" t="s">
        <v>17718</v>
      </c>
      <c r="BF1804" s="3" t="s">
        <v>17717</v>
      </c>
      <c r="BG1804" s="3" t="s">
        <v>17719</v>
      </c>
    </row>
    <row r="1805" spans="1:59" ht="58" x14ac:dyDescent="0.35">
      <c r="A1805" s="2" t="s">
        <v>59</v>
      </c>
      <c r="B1805" s="2" t="s">
        <v>60</v>
      </c>
      <c r="C1805" s="2" t="s">
        <v>17720</v>
      </c>
      <c r="D1805" s="2" t="s">
        <v>17721</v>
      </c>
      <c r="E1805" s="2" t="s">
        <v>17722</v>
      </c>
      <c r="G1805" s="3" t="s">
        <v>65</v>
      </c>
      <c r="I1805" s="3" t="s">
        <v>65</v>
      </c>
      <c r="J1805" s="3" t="s">
        <v>65</v>
      </c>
      <c r="K1805" s="3" t="s">
        <v>66</v>
      </c>
      <c r="M1805" s="2" t="s">
        <v>17723</v>
      </c>
      <c r="N1805" s="3" t="s">
        <v>139</v>
      </c>
      <c r="O1805" s="2" t="s">
        <v>365</v>
      </c>
      <c r="P1805" s="3" t="s">
        <v>140</v>
      </c>
      <c r="Q1805" s="2" t="s">
        <v>17724</v>
      </c>
      <c r="R1805" s="3" t="s">
        <v>71</v>
      </c>
      <c r="S1805" s="4">
        <v>0</v>
      </c>
      <c r="T1805" s="4">
        <v>0</v>
      </c>
      <c r="W1805" s="5" t="s">
        <v>72</v>
      </c>
      <c r="X1805" s="5" t="s">
        <v>72</v>
      </c>
      <c r="Y1805" s="4">
        <v>42</v>
      </c>
      <c r="Z1805" s="4">
        <v>3</v>
      </c>
      <c r="AA1805" s="4">
        <v>3</v>
      </c>
      <c r="AB1805" s="4">
        <v>1</v>
      </c>
      <c r="AC1805" s="4">
        <v>1</v>
      </c>
      <c r="AD1805" s="4">
        <v>28</v>
      </c>
      <c r="AE1805" s="4">
        <v>28</v>
      </c>
      <c r="AF1805" s="4">
        <v>0</v>
      </c>
      <c r="AG1805" s="4">
        <v>0</v>
      </c>
      <c r="AH1805" s="4">
        <v>27</v>
      </c>
      <c r="AI1805" s="4">
        <v>27</v>
      </c>
      <c r="AJ1805" s="4">
        <v>1</v>
      </c>
      <c r="AK1805" s="4">
        <v>1</v>
      </c>
      <c r="AL1805" s="4">
        <v>24</v>
      </c>
      <c r="AM1805" s="4">
        <v>24</v>
      </c>
      <c r="AN1805" s="4">
        <v>0</v>
      </c>
      <c r="AO1805" s="4">
        <v>0</v>
      </c>
      <c r="AP1805" s="4">
        <v>1</v>
      </c>
      <c r="AQ1805" s="4">
        <v>1</v>
      </c>
      <c r="AR1805" s="3" t="s">
        <v>65</v>
      </c>
      <c r="AS1805" s="3" t="s">
        <v>65</v>
      </c>
      <c r="AT1805" s="3" t="s">
        <v>65</v>
      </c>
      <c r="AV1805" s="6" t="str">
        <f>HYPERLINK("http://mcgill.on.worldcat.org/oclc/798054115","Catalog Record")</f>
        <v>Catalog Record</v>
      </c>
      <c r="AW1805" s="6" t="str">
        <f>HYPERLINK("http://www.worldcat.org/oclc/798054115","WorldCat Record")</f>
        <v>WorldCat Record</v>
      </c>
      <c r="AX1805" s="3" t="s">
        <v>17725</v>
      </c>
      <c r="AY1805" s="3" t="s">
        <v>17726</v>
      </c>
      <c r="AZ1805" s="3" t="s">
        <v>17727</v>
      </c>
      <c r="BA1805" s="3" t="s">
        <v>17727</v>
      </c>
      <c r="BB1805" s="3" t="s">
        <v>17728</v>
      </c>
      <c r="BC1805" s="3" t="s">
        <v>77</v>
      </c>
      <c r="BD1805" s="3" t="s">
        <v>78</v>
      </c>
      <c r="BE1805" s="3" t="s">
        <v>17729</v>
      </c>
      <c r="BF1805" s="3" t="s">
        <v>17728</v>
      </c>
      <c r="BG1805" s="3" t="s">
        <v>17730</v>
      </c>
    </row>
    <row r="1806" spans="1:59" ht="58" x14ac:dyDescent="0.35">
      <c r="A1806" s="2" t="s">
        <v>59</v>
      </c>
      <c r="B1806" s="2" t="s">
        <v>60</v>
      </c>
      <c r="C1806" s="2" t="s">
        <v>17731</v>
      </c>
      <c r="D1806" s="2" t="s">
        <v>17732</v>
      </c>
      <c r="E1806" s="2" t="s">
        <v>17733</v>
      </c>
      <c r="G1806" s="3" t="s">
        <v>65</v>
      </c>
      <c r="I1806" s="3" t="s">
        <v>65</v>
      </c>
      <c r="J1806" s="3" t="s">
        <v>65</v>
      </c>
      <c r="K1806" s="3" t="s">
        <v>66</v>
      </c>
      <c r="L1806" s="2" t="s">
        <v>17734</v>
      </c>
      <c r="M1806" s="2" t="s">
        <v>17735</v>
      </c>
      <c r="N1806" s="3" t="s">
        <v>364</v>
      </c>
      <c r="P1806" s="3" t="s">
        <v>140</v>
      </c>
      <c r="Q1806" s="2" t="s">
        <v>17736</v>
      </c>
      <c r="R1806" s="3" t="s">
        <v>71</v>
      </c>
      <c r="S1806" s="4">
        <v>3</v>
      </c>
      <c r="T1806" s="4">
        <v>3</v>
      </c>
      <c r="U1806" s="5" t="s">
        <v>16453</v>
      </c>
      <c r="V1806" s="5" t="s">
        <v>16453</v>
      </c>
      <c r="W1806" s="5" t="s">
        <v>72</v>
      </c>
      <c r="X1806" s="5" t="s">
        <v>72</v>
      </c>
      <c r="Y1806" s="4">
        <v>31</v>
      </c>
      <c r="Z1806" s="4">
        <v>1</v>
      </c>
      <c r="AA1806" s="4">
        <v>1</v>
      </c>
      <c r="AB1806" s="4">
        <v>1</v>
      </c>
      <c r="AC1806" s="4">
        <v>1</v>
      </c>
      <c r="AD1806" s="4">
        <v>17</v>
      </c>
      <c r="AE1806" s="4">
        <v>17</v>
      </c>
      <c r="AF1806" s="4">
        <v>0</v>
      </c>
      <c r="AG1806" s="4">
        <v>0</v>
      </c>
      <c r="AH1806" s="4">
        <v>16</v>
      </c>
      <c r="AI1806" s="4">
        <v>16</v>
      </c>
      <c r="AJ1806" s="4">
        <v>0</v>
      </c>
      <c r="AK1806" s="4">
        <v>0</v>
      </c>
      <c r="AL1806" s="4">
        <v>10</v>
      </c>
      <c r="AM1806" s="4">
        <v>10</v>
      </c>
      <c r="AN1806" s="4">
        <v>0</v>
      </c>
      <c r="AO1806" s="4">
        <v>0</v>
      </c>
      <c r="AP1806" s="4">
        <v>0</v>
      </c>
      <c r="AQ1806" s="4">
        <v>0</v>
      </c>
      <c r="AR1806" s="3" t="s">
        <v>65</v>
      </c>
      <c r="AS1806" s="3" t="s">
        <v>65</v>
      </c>
      <c r="AT1806" s="3" t="s">
        <v>65</v>
      </c>
      <c r="AV1806" s="6" t="str">
        <f>HYPERLINK("http://mcgill.on.worldcat.org/oclc/51266163","Catalog Record")</f>
        <v>Catalog Record</v>
      </c>
      <c r="AW1806" s="6" t="str">
        <f>HYPERLINK("http://www.worldcat.org/oclc/51266163","WorldCat Record")</f>
        <v>WorldCat Record</v>
      </c>
      <c r="AX1806" s="3" t="s">
        <v>17737</v>
      </c>
      <c r="AY1806" s="3" t="s">
        <v>17738</v>
      </c>
      <c r="AZ1806" s="3" t="s">
        <v>17739</v>
      </c>
      <c r="BA1806" s="3" t="s">
        <v>17739</v>
      </c>
      <c r="BB1806" s="3" t="s">
        <v>17740</v>
      </c>
      <c r="BC1806" s="3" t="s">
        <v>77</v>
      </c>
      <c r="BD1806" s="3" t="s">
        <v>78</v>
      </c>
      <c r="BE1806" s="3" t="s">
        <v>17741</v>
      </c>
      <c r="BF1806" s="3" t="s">
        <v>17740</v>
      </c>
      <c r="BG1806" s="3" t="s">
        <v>17742</v>
      </c>
    </row>
    <row r="1807" spans="1:59" ht="58" x14ac:dyDescent="0.35">
      <c r="A1807" s="2" t="s">
        <v>59</v>
      </c>
      <c r="B1807" s="2" t="s">
        <v>60</v>
      </c>
      <c r="C1807" s="2" t="s">
        <v>17743</v>
      </c>
      <c r="D1807" s="2" t="s">
        <v>17744</v>
      </c>
      <c r="E1807" s="2" t="s">
        <v>17745</v>
      </c>
      <c r="G1807" s="3" t="s">
        <v>65</v>
      </c>
      <c r="I1807" s="3" t="s">
        <v>65</v>
      </c>
      <c r="J1807" s="3" t="s">
        <v>65</v>
      </c>
      <c r="K1807" s="3" t="s">
        <v>66</v>
      </c>
      <c r="L1807" s="2" t="s">
        <v>17746</v>
      </c>
      <c r="M1807" s="2" t="s">
        <v>17747</v>
      </c>
      <c r="N1807" s="3" t="s">
        <v>831</v>
      </c>
      <c r="P1807" s="3" t="s">
        <v>140</v>
      </c>
      <c r="Q1807" s="2" t="s">
        <v>17748</v>
      </c>
      <c r="R1807" s="3" t="s">
        <v>71</v>
      </c>
      <c r="S1807" s="4">
        <v>2</v>
      </c>
      <c r="T1807" s="4">
        <v>2</v>
      </c>
      <c r="U1807" s="5" t="s">
        <v>17749</v>
      </c>
      <c r="V1807" s="5" t="s">
        <v>17749</v>
      </c>
      <c r="W1807" s="5" t="s">
        <v>72</v>
      </c>
      <c r="X1807" s="5" t="s">
        <v>72</v>
      </c>
      <c r="Y1807" s="4">
        <v>49</v>
      </c>
      <c r="Z1807" s="4">
        <v>5</v>
      </c>
      <c r="AA1807" s="4">
        <v>5</v>
      </c>
      <c r="AB1807" s="4">
        <v>1</v>
      </c>
      <c r="AC1807" s="4">
        <v>1</v>
      </c>
      <c r="AD1807" s="4">
        <v>30</v>
      </c>
      <c r="AE1807" s="4">
        <v>30</v>
      </c>
      <c r="AF1807" s="4">
        <v>0</v>
      </c>
      <c r="AG1807" s="4">
        <v>0</v>
      </c>
      <c r="AH1807" s="4">
        <v>27</v>
      </c>
      <c r="AI1807" s="4">
        <v>27</v>
      </c>
      <c r="AJ1807" s="4">
        <v>3</v>
      </c>
      <c r="AK1807" s="4">
        <v>3</v>
      </c>
      <c r="AL1807" s="4">
        <v>22</v>
      </c>
      <c r="AM1807" s="4">
        <v>22</v>
      </c>
      <c r="AN1807" s="4">
        <v>0</v>
      </c>
      <c r="AO1807" s="4">
        <v>0</v>
      </c>
      <c r="AP1807" s="4">
        <v>3</v>
      </c>
      <c r="AQ1807" s="4">
        <v>3</v>
      </c>
      <c r="AR1807" s="3" t="s">
        <v>65</v>
      </c>
      <c r="AS1807" s="3" t="s">
        <v>65</v>
      </c>
      <c r="AT1807" s="3" t="s">
        <v>209</v>
      </c>
      <c r="AU1807" s="6" t="str">
        <f>HYPERLINK("http://catalog.hathitrust.org/Record/006708848","HathiTrust Record")</f>
        <v>HathiTrust Record</v>
      </c>
      <c r="AV1807" s="6" t="str">
        <f>HYPERLINK("http://mcgill.on.worldcat.org/oclc/16110464","Catalog Record")</f>
        <v>Catalog Record</v>
      </c>
      <c r="AW1807" s="6" t="str">
        <f>HYPERLINK("http://www.worldcat.org/oclc/16110464","WorldCat Record")</f>
        <v>WorldCat Record</v>
      </c>
      <c r="AX1807" s="3" t="s">
        <v>17750</v>
      </c>
      <c r="AY1807" s="3" t="s">
        <v>17751</v>
      </c>
      <c r="AZ1807" s="3" t="s">
        <v>17752</v>
      </c>
      <c r="BA1807" s="3" t="s">
        <v>17752</v>
      </c>
      <c r="BB1807" s="3" t="s">
        <v>17753</v>
      </c>
      <c r="BC1807" s="3" t="s">
        <v>77</v>
      </c>
      <c r="BD1807" s="3" t="s">
        <v>78</v>
      </c>
      <c r="BF1807" s="3" t="s">
        <v>17753</v>
      </c>
      <c r="BG1807" s="3" t="s">
        <v>17754</v>
      </c>
    </row>
    <row r="1808" spans="1:59" ht="58" x14ac:dyDescent="0.35">
      <c r="A1808" s="2" t="s">
        <v>59</v>
      </c>
      <c r="B1808" s="2" t="s">
        <v>60</v>
      </c>
      <c r="C1808" s="2" t="s">
        <v>17755</v>
      </c>
      <c r="D1808" s="2" t="s">
        <v>17756</v>
      </c>
      <c r="E1808" s="2" t="s">
        <v>17757</v>
      </c>
      <c r="G1808" s="3" t="s">
        <v>65</v>
      </c>
      <c r="I1808" s="3" t="s">
        <v>65</v>
      </c>
      <c r="J1808" s="3" t="s">
        <v>65</v>
      </c>
      <c r="K1808" s="3" t="s">
        <v>66</v>
      </c>
      <c r="L1808" s="2" t="s">
        <v>17758</v>
      </c>
      <c r="M1808" s="2" t="s">
        <v>17759</v>
      </c>
      <c r="N1808" s="3" t="s">
        <v>139</v>
      </c>
      <c r="P1808" s="3" t="s">
        <v>140</v>
      </c>
      <c r="Q1808" s="2" t="s">
        <v>17760</v>
      </c>
      <c r="R1808" s="3" t="s">
        <v>71</v>
      </c>
      <c r="S1808" s="4">
        <v>0</v>
      </c>
      <c r="T1808" s="4">
        <v>0</v>
      </c>
      <c r="W1808" s="5" t="s">
        <v>72</v>
      </c>
      <c r="X1808" s="5" t="s">
        <v>72</v>
      </c>
      <c r="Y1808" s="4">
        <v>32</v>
      </c>
      <c r="Z1808" s="4">
        <v>3</v>
      </c>
      <c r="AA1808" s="4">
        <v>3</v>
      </c>
      <c r="AB1808" s="4">
        <v>1</v>
      </c>
      <c r="AC1808" s="4">
        <v>1</v>
      </c>
      <c r="AD1808" s="4">
        <v>21</v>
      </c>
      <c r="AE1808" s="4">
        <v>21</v>
      </c>
      <c r="AF1808" s="4">
        <v>0</v>
      </c>
      <c r="AG1808" s="4">
        <v>0</v>
      </c>
      <c r="AH1808" s="4">
        <v>20</v>
      </c>
      <c r="AI1808" s="4">
        <v>20</v>
      </c>
      <c r="AJ1808" s="4">
        <v>1</v>
      </c>
      <c r="AK1808" s="4">
        <v>1</v>
      </c>
      <c r="AL1808" s="4">
        <v>17</v>
      </c>
      <c r="AM1808" s="4">
        <v>17</v>
      </c>
      <c r="AN1808" s="4">
        <v>0</v>
      </c>
      <c r="AO1808" s="4">
        <v>0</v>
      </c>
      <c r="AP1808" s="4">
        <v>1</v>
      </c>
      <c r="AQ1808" s="4">
        <v>1</v>
      </c>
      <c r="AR1808" s="3" t="s">
        <v>65</v>
      </c>
      <c r="AS1808" s="3" t="s">
        <v>65</v>
      </c>
      <c r="AT1808" s="3" t="s">
        <v>65</v>
      </c>
      <c r="AV1808" s="6" t="str">
        <f>HYPERLINK("http://mcgill.on.worldcat.org/oclc/794362047","Catalog Record")</f>
        <v>Catalog Record</v>
      </c>
      <c r="AW1808" s="6" t="str">
        <f>HYPERLINK("http://www.worldcat.org/oclc/794362047","WorldCat Record")</f>
        <v>WorldCat Record</v>
      </c>
      <c r="AX1808" s="3" t="s">
        <v>17761</v>
      </c>
      <c r="AY1808" s="3" t="s">
        <v>17762</v>
      </c>
      <c r="AZ1808" s="3" t="s">
        <v>17763</v>
      </c>
      <c r="BA1808" s="3" t="s">
        <v>17763</v>
      </c>
      <c r="BB1808" s="3" t="s">
        <v>17764</v>
      </c>
      <c r="BC1808" s="3" t="s">
        <v>77</v>
      </c>
      <c r="BD1808" s="3" t="s">
        <v>78</v>
      </c>
      <c r="BE1808" s="3" t="s">
        <v>17765</v>
      </c>
      <c r="BF1808" s="3" t="s">
        <v>17764</v>
      </c>
      <c r="BG1808" s="3" t="s">
        <v>17766</v>
      </c>
    </row>
    <row r="1809" spans="1:59" ht="58" x14ac:dyDescent="0.35">
      <c r="A1809" s="2" t="s">
        <v>59</v>
      </c>
      <c r="B1809" s="2" t="s">
        <v>60</v>
      </c>
      <c r="C1809" s="2" t="s">
        <v>17767</v>
      </c>
      <c r="D1809" s="2" t="s">
        <v>17768</v>
      </c>
      <c r="E1809" s="2" t="s">
        <v>17769</v>
      </c>
      <c r="G1809" s="3" t="s">
        <v>65</v>
      </c>
      <c r="I1809" s="3" t="s">
        <v>65</v>
      </c>
      <c r="J1809" s="3" t="s">
        <v>65</v>
      </c>
      <c r="K1809" s="3" t="s">
        <v>66</v>
      </c>
      <c r="L1809" s="2" t="s">
        <v>17770</v>
      </c>
      <c r="M1809" s="2" t="s">
        <v>17771</v>
      </c>
      <c r="N1809" s="3" t="s">
        <v>126</v>
      </c>
      <c r="P1809" s="3" t="s">
        <v>140</v>
      </c>
      <c r="Q1809" s="2" t="s">
        <v>17772</v>
      </c>
      <c r="R1809" s="3" t="s">
        <v>71</v>
      </c>
      <c r="S1809" s="4">
        <v>0</v>
      </c>
      <c r="T1809" s="4">
        <v>0</v>
      </c>
      <c r="W1809" s="5" t="s">
        <v>72</v>
      </c>
      <c r="X1809" s="5" t="s">
        <v>72</v>
      </c>
      <c r="Y1809" s="4">
        <v>35</v>
      </c>
      <c r="Z1809" s="4">
        <v>4</v>
      </c>
      <c r="AA1809" s="4">
        <v>5</v>
      </c>
      <c r="AB1809" s="4">
        <v>1</v>
      </c>
      <c r="AC1809" s="4">
        <v>1</v>
      </c>
      <c r="AD1809" s="4">
        <v>22</v>
      </c>
      <c r="AE1809" s="4">
        <v>26</v>
      </c>
      <c r="AF1809" s="4">
        <v>0</v>
      </c>
      <c r="AG1809" s="4">
        <v>0</v>
      </c>
      <c r="AH1809" s="4">
        <v>21</v>
      </c>
      <c r="AI1809" s="4">
        <v>25</v>
      </c>
      <c r="AJ1809" s="4">
        <v>2</v>
      </c>
      <c r="AK1809" s="4">
        <v>3</v>
      </c>
      <c r="AL1809" s="4">
        <v>15</v>
      </c>
      <c r="AM1809" s="4">
        <v>17</v>
      </c>
      <c r="AN1809" s="4">
        <v>0</v>
      </c>
      <c r="AO1809" s="4">
        <v>0</v>
      </c>
      <c r="AP1809" s="4">
        <v>2</v>
      </c>
      <c r="AQ1809" s="4">
        <v>3</v>
      </c>
      <c r="AR1809" s="3" t="s">
        <v>65</v>
      </c>
      <c r="AS1809" s="3" t="s">
        <v>65</v>
      </c>
      <c r="AT1809" s="3" t="s">
        <v>65</v>
      </c>
      <c r="AV1809" s="6" t="str">
        <f>HYPERLINK("http://mcgill.on.worldcat.org/oclc/730398232","Catalog Record")</f>
        <v>Catalog Record</v>
      </c>
      <c r="AW1809" s="6" t="str">
        <f>HYPERLINK("http://www.worldcat.org/oclc/730398232","WorldCat Record")</f>
        <v>WorldCat Record</v>
      </c>
      <c r="AX1809" s="3" t="s">
        <v>17773</v>
      </c>
      <c r="AY1809" s="3" t="s">
        <v>17774</v>
      </c>
      <c r="AZ1809" s="3" t="s">
        <v>17775</v>
      </c>
      <c r="BA1809" s="3" t="s">
        <v>17775</v>
      </c>
      <c r="BB1809" s="3" t="s">
        <v>17776</v>
      </c>
      <c r="BC1809" s="3" t="s">
        <v>77</v>
      </c>
      <c r="BD1809" s="3" t="s">
        <v>78</v>
      </c>
      <c r="BE1809" s="3" t="s">
        <v>17777</v>
      </c>
      <c r="BF1809" s="3" t="s">
        <v>17776</v>
      </c>
      <c r="BG1809" s="3" t="s">
        <v>17778</v>
      </c>
    </row>
    <row r="1810" spans="1:59" ht="58" x14ac:dyDescent="0.35">
      <c r="A1810" s="2" t="s">
        <v>59</v>
      </c>
      <c r="B1810" s="2" t="s">
        <v>60</v>
      </c>
      <c r="C1810" s="2" t="s">
        <v>17779</v>
      </c>
      <c r="D1810" s="2" t="s">
        <v>17780</v>
      </c>
      <c r="E1810" s="2" t="s">
        <v>17781</v>
      </c>
      <c r="G1810" s="3" t="s">
        <v>65</v>
      </c>
      <c r="I1810" s="3" t="s">
        <v>65</v>
      </c>
      <c r="J1810" s="3" t="s">
        <v>209</v>
      </c>
      <c r="K1810" s="3" t="s">
        <v>66</v>
      </c>
      <c r="L1810" s="2" t="s">
        <v>17782</v>
      </c>
      <c r="M1810" s="2" t="s">
        <v>17783</v>
      </c>
      <c r="N1810" s="3" t="s">
        <v>2460</v>
      </c>
      <c r="O1810" s="2" t="s">
        <v>17784</v>
      </c>
      <c r="P1810" s="3" t="s">
        <v>140</v>
      </c>
      <c r="Q1810" s="2" t="s">
        <v>17785</v>
      </c>
      <c r="R1810" s="3" t="s">
        <v>71</v>
      </c>
      <c r="S1810" s="4">
        <v>4</v>
      </c>
      <c r="T1810" s="4">
        <v>4</v>
      </c>
      <c r="U1810" s="5" t="s">
        <v>15949</v>
      </c>
      <c r="V1810" s="5" t="s">
        <v>15949</v>
      </c>
      <c r="W1810" s="5" t="s">
        <v>72</v>
      </c>
      <c r="X1810" s="5" t="s">
        <v>72</v>
      </c>
      <c r="Y1810" s="4">
        <v>22</v>
      </c>
      <c r="Z1810" s="4">
        <v>3</v>
      </c>
      <c r="AA1810" s="4">
        <v>27</v>
      </c>
      <c r="AB1810" s="4">
        <v>2</v>
      </c>
      <c r="AC1810" s="4">
        <v>5</v>
      </c>
      <c r="AD1810" s="4">
        <v>3</v>
      </c>
      <c r="AE1810" s="4">
        <v>67</v>
      </c>
      <c r="AF1810" s="4">
        <v>0</v>
      </c>
      <c r="AG1810" s="4">
        <v>2</v>
      </c>
      <c r="AH1810" s="4">
        <v>2</v>
      </c>
      <c r="AI1810" s="4">
        <v>57</v>
      </c>
      <c r="AJ1810" s="4">
        <v>0</v>
      </c>
      <c r="AK1810" s="4">
        <v>10</v>
      </c>
      <c r="AL1810" s="4">
        <v>3</v>
      </c>
      <c r="AM1810" s="4">
        <v>36</v>
      </c>
      <c r="AN1810" s="4">
        <v>0</v>
      </c>
      <c r="AO1810" s="4">
        <v>2</v>
      </c>
      <c r="AP1810" s="4">
        <v>0</v>
      </c>
      <c r="AQ1810" s="4">
        <v>13</v>
      </c>
      <c r="AR1810" s="3" t="s">
        <v>65</v>
      </c>
      <c r="AS1810" s="3" t="s">
        <v>65</v>
      </c>
      <c r="AT1810" s="3" t="s">
        <v>65</v>
      </c>
      <c r="AV1810" s="6" t="str">
        <f>HYPERLINK("http://mcgill.on.worldcat.org/oclc/22619865","Catalog Record")</f>
        <v>Catalog Record</v>
      </c>
      <c r="AW1810" s="6" t="str">
        <f>HYPERLINK("http://www.worldcat.org/oclc/22619865","WorldCat Record")</f>
        <v>WorldCat Record</v>
      </c>
      <c r="AX1810" s="3" t="s">
        <v>17786</v>
      </c>
      <c r="AY1810" s="3" t="s">
        <v>17787</v>
      </c>
      <c r="AZ1810" s="3" t="s">
        <v>17788</v>
      </c>
      <c r="BA1810" s="3" t="s">
        <v>17788</v>
      </c>
      <c r="BB1810" s="3" t="s">
        <v>17789</v>
      </c>
      <c r="BC1810" s="3" t="s">
        <v>77</v>
      </c>
      <c r="BD1810" s="3" t="s">
        <v>78</v>
      </c>
      <c r="BE1810" s="3" t="s">
        <v>17790</v>
      </c>
      <c r="BF1810" s="3" t="s">
        <v>17789</v>
      </c>
      <c r="BG1810" s="3" t="s">
        <v>17791</v>
      </c>
    </row>
    <row r="1811" spans="1:59" ht="58" x14ac:dyDescent="0.35">
      <c r="A1811" s="2" t="s">
        <v>59</v>
      </c>
      <c r="B1811" s="2" t="s">
        <v>60</v>
      </c>
      <c r="C1811" s="2" t="s">
        <v>17792</v>
      </c>
      <c r="D1811" s="2" t="s">
        <v>17793</v>
      </c>
      <c r="E1811" s="2" t="s">
        <v>17794</v>
      </c>
      <c r="G1811" s="3" t="s">
        <v>209</v>
      </c>
      <c r="I1811" s="3" t="s">
        <v>65</v>
      </c>
      <c r="J1811" s="3" t="s">
        <v>65</v>
      </c>
      <c r="K1811" s="3" t="s">
        <v>66</v>
      </c>
      <c r="L1811" s="2" t="s">
        <v>17795</v>
      </c>
      <c r="M1811" s="2" t="s">
        <v>17796</v>
      </c>
      <c r="N1811" s="3" t="s">
        <v>188</v>
      </c>
      <c r="P1811" s="3" t="s">
        <v>140</v>
      </c>
      <c r="Q1811" s="2" t="s">
        <v>17797</v>
      </c>
      <c r="R1811" s="3" t="s">
        <v>71</v>
      </c>
      <c r="S1811" s="4">
        <v>0</v>
      </c>
      <c r="T1811" s="4">
        <v>0</v>
      </c>
      <c r="W1811" s="5" t="s">
        <v>72</v>
      </c>
      <c r="X1811" s="5" t="s">
        <v>72</v>
      </c>
      <c r="Y1811" s="4">
        <v>21</v>
      </c>
      <c r="Z1811" s="4">
        <v>2</v>
      </c>
      <c r="AA1811" s="4">
        <v>2</v>
      </c>
      <c r="AB1811" s="4">
        <v>1</v>
      </c>
      <c r="AC1811" s="4">
        <v>1</v>
      </c>
      <c r="AD1811" s="4">
        <v>16</v>
      </c>
      <c r="AE1811" s="4">
        <v>16</v>
      </c>
      <c r="AF1811" s="4">
        <v>0</v>
      </c>
      <c r="AG1811" s="4">
        <v>0</v>
      </c>
      <c r="AH1811" s="4">
        <v>15</v>
      </c>
      <c r="AI1811" s="4">
        <v>15</v>
      </c>
      <c r="AJ1811" s="4">
        <v>1</v>
      </c>
      <c r="AK1811" s="4">
        <v>1</v>
      </c>
      <c r="AL1811" s="4">
        <v>11</v>
      </c>
      <c r="AM1811" s="4">
        <v>11</v>
      </c>
      <c r="AN1811" s="4">
        <v>0</v>
      </c>
      <c r="AO1811" s="4">
        <v>0</v>
      </c>
      <c r="AP1811" s="4">
        <v>1</v>
      </c>
      <c r="AQ1811" s="4">
        <v>1</v>
      </c>
      <c r="AR1811" s="3" t="s">
        <v>65</v>
      </c>
      <c r="AS1811" s="3" t="s">
        <v>65</v>
      </c>
      <c r="AT1811" s="3" t="s">
        <v>65</v>
      </c>
      <c r="AV1811" s="6" t="str">
        <f>HYPERLINK("http://mcgill.on.worldcat.org/oclc/1003395933","Catalog Record")</f>
        <v>Catalog Record</v>
      </c>
      <c r="AW1811" s="6" t="str">
        <f>HYPERLINK("http://www.worldcat.org/oclc/1003395933","WorldCat Record")</f>
        <v>WorldCat Record</v>
      </c>
      <c r="AX1811" s="3" t="s">
        <v>17798</v>
      </c>
      <c r="AY1811" s="3" t="s">
        <v>17799</v>
      </c>
      <c r="AZ1811" s="3" t="s">
        <v>17800</v>
      </c>
      <c r="BA1811" s="3" t="s">
        <v>17800</v>
      </c>
      <c r="BB1811" s="3" t="s">
        <v>17801</v>
      </c>
      <c r="BC1811" s="3" t="s">
        <v>77</v>
      </c>
      <c r="BD1811" s="3" t="s">
        <v>78</v>
      </c>
      <c r="BE1811" s="3" t="s">
        <v>17802</v>
      </c>
      <c r="BF1811" s="3" t="s">
        <v>17801</v>
      </c>
      <c r="BG1811" s="3" t="s">
        <v>17803</v>
      </c>
    </row>
    <row r="1812" spans="1:59" ht="87" x14ac:dyDescent="0.35">
      <c r="A1812" s="2" t="s">
        <v>59</v>
      </c>
      <c r="B1812" s="2" t="s">
        <v>60</v>
      </c>
      <c r="C1812" s="2" t="s">
        <v>17804</v>
      </c>
      <c r="D1812" s="2" t="s">
        <v>17805</v>
      </c>
      <c r="E1812" s="2" t="s">
        <v>17806</v>
      </c>
      <c r="G1812" s="3" t="s">
        <v>65</v>
      </c>
      <c r="I1812" s="3" t="s">
        <v>65</v>
      </c>
      <c r="J1812" s="3" t="s">
        <v>65</v>
      </c>
      <c r="K1812" s="3" t="s">
        <v>66</v>
      </c>
      <c r="L1812" s="2" t="s">
        <v>17782</v>
      </c>
      <c r="M1812" s="2" t="s">
        <v>17807</v>
      </c>
      <c r="N1812" s="3" t="s">
        <v>7187</v>
      </c>
      <c r="O1812" s="2" t="s">
        <v>17808</v>
      </c>
      <c r="P1812" s="3" t="s">
        <v>140</v>
      </c>
      <c r="Q1812" s="2" t="s">
        <v>17809</v>
      </c>
      <c r="R1812" s="3" t="s">
        <v>71</v>
      </c>
      <c r="S1812" s="4">
        <v>5</v>
      </c>
      <c r="T1812" s="4">
        <v>5</v>
      </c>
      <c r="U1812" s="5" t="s">
        <v>17810</v>
      </c>
      <c r="V1812" s="5" t="s">
        <v>17810</v>
      </c>
      <c r="W1812" s="5" t="s">
        <v>72</v>
      </c>
      <c r="X1812" s="5" t="s">
        <v>72</v>
      </c>
      <c r="Y1812" s="4">
        <v>53</v>
      </c>
      <c r="Z1812" s="4">
        <v>4</v>
      </c>
      <c r="AA1812" s="4">
        <v>5</v>
      </c>
      <c r="AB1812" s="4">
        <v>2</v>
      </c>
      <c r="AC1812" s="4">
        <v>2</v>
      </c>
      <c r="AD1812" s="4">
        <v>28</v>
      </c>
      <c r="AE1812" s="4">
        <v>32</v>
      </c>
      <c r="AF1812" s="4">
        <v>1</v>
      </c>
      <c r="AG1812" s="4">
        <v>1</v>
      </c>
      <c r="AH1812" s="4">
        <v>24</v>
      </c>
      <c r="AI1812" s="4">
        <v>28</v>
      </c>
      <c r="AJ1812" s="4">
        <v>2</v>
      </c>
      <c r="AK1812" s="4">
        <v>2</v>
      </c>
      <c r="AL1812" s="4">
        <v>19</v>
      </c>
      <c r="AM1812" s="4">
        <v>23</v>
      </c>
      <c r="AN1812" s="4">
        <v>0</v>
      </c>
      <c r="AO1812" s="4">
        <v>0</v>
      </c>
      <c r="AP1812" s="4">
        <v>2</v>
      </c>
      <c r="AQ1812" s="4">
        <v>2</v>
      </c>
      <c r="AR1812" s="3" t="s">
        <v>65</v>
      </c>
      <c r="AS1812" s="3" t="s">
        <v>65</v>
      </c>
      <c r="AT1812" s="3" t="s">
        <v>65</v>
      </c>
      <c r="AV1812" s="6" t="str">
        <f>HYPERLINK("http://mcgill.on.worldcat.org/oclc/4034203","Catalog Record")</f>
        <v>Catalog Record</v>
      </c>
      <c r="AW1812" s="6" t="str">
        <f>HYPERLINK("http://www.worldcat.org/oclc/4034203","WorldCat Record")</f>
        <v>WorldCat Record</v>
      </c>
      <c r="AX1812" s="3" t="s">
        <v>17811</v>
      </c>
      <c r="AY1812" s="3" t="s">
        <v>17812</v>
      </c>
      <c r="AZ1812" s="3" t="s">
        <v>17813</v>
      </c>
      <c r="BA1812" s="3" t="s">
        <v>17813</v>
      </c>
      <c r="BB1812" s="3" t="s">
        <v>17814</v>
      </c>
      <c r="BC1812" s="3" t="s">
        <v>77</v>
      </c>
      <c r="BD1812" s="3" t="s">
        <v>78</v>
      </c>
      <c r="BF1812" s="3" t="s">
        <v>17814</v>
      </c>
      <c r="BG1812" s="3" t="s">
        <v>17815</v>
      </c>
    </row>
    <row r="1813" spans="1:59" ht="58" x14ac:dyDescent="0.35">
      <c r="A1813" s="2" t="s">
        <v>59</v>
      </c>
      <c r="B1813" s="2" t="s">
        <v>60</v>
      </c>
      <c r="C1813" s="2" t="s">
        <v>17816</v>
      </c>
      <c r="D1813" s="2" t="s">
        <v>17817</v>
      </c>
      <c r="E1813" s="2" t="s">
        <v>17818</v>
      </c>
      <c r="G1813" s="3" t="s">
        <v>65</v>
      </c>
      <c r="I1813" s="3" t="s">
        <v>65</v>
      </c>
      <c r="J1813" s="3" t="s">
        <v>209</v>
      </c>
      <c r="K1813" s="3" t="s">
        <v>66</v>
      </c>
      <c r="L1813" s="2" t="s">
        <v>17782</v>
      </c>
      <c r="M1813" s="2" t="s">
        <v>17819</v>
      </c>
      <c r="N1813" s="3" t="s">
        <v>214</v>
      </c>
      <c r="P1813" s="3" t="s">
        <v>140</v>
      </c>
      <c r="Q1813" s="2" t="s">
        <v>17820</v>
      </c>
      <c r="R1813" s="3" t="s">
        <v>71</v>
      </c>
      <c r="S1813" s="4">
        <v>2</v>
      </c>
      <c r="T1813" s="4">
        <v>2</v>
      </c>
      <c r="U1813" s="5" t="s">
        <v>17810</v>
      </c>
      <c r="V1813" s="5" t="s">
        <v>17810</v>
      </c>
      <c r="W1813" s="5" t="s">
        <v>72</v>
      </c>
      <c r="X1813" s="5" t="s">
        <v>72</v>
      </c>
      <c r="Y1813" s="4">
        <v>62</v>
      </c>
      <c r="Z1813" s="4">
        <v>5</v>
      </c>
      <c r="AA1813" s="4">
        <v>12</v>
      </c>
      <c r="AB1813" s="4">
        <v>1</v>
      </c>
      <c r="AC1813" s="4">
        <v>2</v>
      </c>
      <c r="AD1813" s="4">
        <v>34</v>
      </c>
      <c r="AE1813" s="4">
        <v>56</v>
      </c>
      <c r="AF1813" s="4">
        <v>0</v>
      </c>
      <c r="AG1813" s="4">
        <v>1</v>
      </c>
      <c r="AH1813" s="4">
        <v>31</v>
      </c>
      <c r="AI1813" s="4">
        <v>51</v>
      </c>
      <c r="AJ1813" s="4">
        <v>4</v>
      </c>
      <c r="AK1813" s="4">
        <v>7</v>
      </c>
      <c r="AL1813" s="4">
        <v>21</v>
      </c>
      <c r="AM1813" s="4">
        <v>36</v>
      </c>
      <c r="AN1813" s="4">
        <v>0</v>
      </c>
      <c r="AO1813" s="4">
        <v>0</v>
      </c>
      <c r="AP1813" s="4">
        <v>4</v>
      </c>
      <c r="AQ1813" s="4">
        <v>8</v>
      </c>
      <c r="AR1813" s="3" t="s">
        <v>65</v>
      </c>
      <c r="AS1813" s="3" t="s">
        <v>65</v>
      </c>
      <c r="AT1813" s="3" t="s">
        <v>65</v>
      </c>
      <c r="AV1813" s="6" t="str">
        <f>HYPERLINK("http://mcgill.on.worldcat.org/oclc/11366090","Catalog Record")</f>
        <v>Catalog Record</v>
      </c>
      <c r="AW1813" s="6" t="str">
        <f>HYPERLINK("http://www.worldcat.org/oclc/11366090","WorldCat Record")</f>
        <v>WorldCat Record</v>
      </c>
      <c r="AX1813" s="3" t="s">
        <v>17821</v>
      </c>
      <c r="AY1813" s="3" t="s">
        <v>17822</v>
      </c>
      <c r="AZ1813" s="3" t="s">
        <v>17823</v>
      </c>
      <c r="BA1813" s="3" t="s">
        <v>17823</v>
      </c>
      <c r="BB1813" s="3" t="s">
        <v>17824</v>
      </c>
      <c r="BC1813" s="3" t="s">
        <v>77</v>
      </c>
      <c r="BD1813" s="3" t="s">
        <v>78</v>
      </c>
      <c r="BF1813" s="3" t="s">
        <v>17824</v>
      </c>
      <c r="BG1813" s="3" t="s">
        <v>17825</v>
      </c>
    </row>
    <row r="1814" spans="1:59" ht="58" x14ac:dyDescent="0.35">
      <c r="A1814" s="2" t="s">
        <v>59</v>
      </c>
      <c r="B1814" s="2" t="s">
        <v>60</v>
      </c>
      <c r="C1814" s="2" t="s">
        <v>17826</v>
      </c>
      <c r="D1814" s="2" t="s">
        <v>17827</v>
      </c>
      <c r="E1814" s="2" t="s">
        <v>17828</v>
      </c>
      <c r="G1814" s="3" t="s">
        <v>65</v>
      </c>
      <c r="I1814" s="3" t="s">
        <v>65</v>
      </c>
      <c r="J1814" s="3" t="s">
        <v>65</v>
      </c>
      <c r="K1814" s="3" t="s">
        <v>66</v>
      </c>
      <c r="L1814" s="2" t="s">
        <v>17782</v>
      </c>
      <c r="M1814" s="2" t="s">
        <v>17829</v>
      </c>
      <c r="N1814" s="3" t="s">
        <v>126</v>
      </c>
      <c r="P1814" s="3" t="s">
        <v>140</v>
      </c>
      <c r="Q1814" s="2" t="s">
        <v>17830</v>
      </c>
      <c r="R1814" s="3" t="s">
        <v>71</v>
      </c>
      <c r="S1814" s="4">
        <v>0</v>
      </c>
      <c r="T1814" s="4">
        <v>0</v>
      </c>
      <c r="W1814" s="5" t="s">
        <v>72</v>
      </c>
      <c r="X1814" s="5" t="s">
        <v>72</v>
      </c>
      <c r="Y1814" s="4">
        <v>49</v>
      </c>
      <c r="Z1814" s="4">
        <v>4</v>
      </c>
      <c r="AA1814" s="4">
        <v>4</v>
      </c>
      <c r="AB1814" s="4">
        <v>1</v>
      </c>
      <c r="AC1814" s="4">
        <v>1</v>
      </c>
      <c r="AD1814" s="4">
        <v>35</v>
      </c>
      <c r="AE1814" s="4">
        <v>35</v>
      </c>
      <c r="AF1814" s="4">
        <v>0</v>
      </c>
      <c r="AG1814" s="4">
        <v>0</v>
      </c>
      <c r="AH1814" s="4">
        <v>34</v>
      </c>
      <c r="AI1814" s="4">
        <v>34</v>
      </c>
      <c r="AJ1814" s="4">
        <v>2</v>
      </c>
      <c r="AK1814" s="4">
        <v>2</v>
      </c>
      <c r="AL1814" s="4">
        <v>28</v>
      </c>
      <c r="AM1814" s="4">
        <v>28</v>
      </c>
      <c r="AN1814" s="4">
        <v>0</v>
      </c>
      <c r="AO1814" s="4">
        <v>0</v>
      </c>
      <c r="AP1814" s="4">
        <v>2</v>
      </c>
      <c r="AQ1814" s="4">
        <v>2</v>
      </c>
      <c r="AR1814" s="3" t="s">
        <v>65</v>
      </c>
      <c r="AS1814" s="3" t="s">
        <v>65</v>
      </c>
      <c r="AT1814" s="3" t="s">
        <v>65</v>
      </c>
      <c r="AV1814" s="6" t="str">
        <f>HYPERLINK("http://mcgill.on.worldcat.org/oclc/713177996","Catalog Record")</f>
        <v>Catalog Record</v>
      </c>
      <c r="AW1814" s="6" t="str">
        <f>HYPERLINK("http://www.worldcat.org/oclc/713177996","WorldCat Record")</f>
        <v>WorldCat Record</v>
      </c>
      <c r="AX1814" s="3" t="s">
        <v>17831</v>
      </c>
      <c r="AY1814" s="3" t="s">
        <v>17832</v>
      </c>
      <c r="AZ1814" s="3" t="s">
        <v>17833</v>
      </c>
      <c r="BA1814" s="3" t="s">
        <v>17833</v>
      </c>
      <c r="BB1814" s="3" t="s">
        <v>17834</v>
      </c>
      <c r="BC1814" s="3" t="s">
        <v>77</v>
      </c>
      <c r="BD1814" s="3" t="s">
        <v>78</v>
      </c>
      <c r="BE1814" s="3" t="s">
        <v>17835</v>
      </c>
      <c r="BF1814" s="3" t="s">
        <v>17834</v>
      </c>
      <c r="BG1814" s="3" t="s">
        <v>17836</v>
      </c>
    </row>
    <row r="1815" spans="1:59" ht="58" x14ac:dyDescent="0.35">
      <c r="A1815" s="2" t="s">
        <v>59</v>
      </c>
      <c r="B1815" s="2" t="s">
        <v>60</v>
      </c>
      <c r="C1815" s="2" t="s">
        <v>17837</v>
      </c>
      <c r="D1815" s="2" t="s">
        <v>17838</v>
      </c>
      <c r="E1815" s="2" t="s">
        <v>17839</v>
      </c>
      <c r="G1815" s="3" t="s">
        <v>65</v>
      </c>
      <c r="I1815" s="3" t="s">
        <v>65</v>
      </c>
      <c r="J1815" s="3" t="s">
        <v>65</v>
      </c>
      <c r="K1815" s="3" t="s">
        <v>66</v>
      </c>
      <c r="M1815" s="2" t="s">
        <v>17840</v>
      </c>
      <c r="N1815" s="3" t="s">
        <v>126</v>
      </c>
      <c r="O1815" s="2" t="s">
        <v>654</v>
      </c>
      <c r="P1815" s="3" t="s">
        <v>140</v>
      </c>
      <c r="R1815" s="3" t="s">
        <v>71</v>
      </c>
      <c r="S1815" s="4">
        <v>0</v>
      </c>
      <c r="T1815" s="4">
        <v>0</v>
      </c>
      <c r="W1815" s="5" t="s">
        <v>72</v>
      </c>
      <c r="X1815" s="5" t="s">
        <v>72</v>
      </c>
      <c r="Y1815" s="4">
        <v>30</v>
      </c>
      <c r="Z1815" s="4">
        <v>3</v>
      </c>
      <c r="AA1815" s="4">
        <v>3</v>
      </c>
      <c r="AB1815" s="4">
        <v>1</v>
      </c>
      <c r="AC1815" s="4">
        <v>1</v>
      </c>
      <c r="AD1815" s="4">
        <v>21</v>
      </c>
      <c r="AE1815" s="4">
        <v>21</v>
      </c>
      <c r="AF1815" s="4">
        <v>0</v>
      </c>
      <c r="AG1815" s="4">
        <v>0</v>
      </c>
      <c r="AH1815" s="4">
        <v>20</v>
      </c>
      <c r="AI1815" s="4">
        <v>20</v>
      </c>
      <c r="AJ1815" s="4">
        <v>1</v>
      </c>
      <c r="AK1815" s="4">
        <v>1</v>
      </c>
      <c r="AL1815" s="4">
        <v>15</v>
      </c>
      <c r="AM1815" s="4">
        <v>15</v>
      </c>
      <c r="AN1815" s="4">
        <v>0</v>
      </c>
      <c r="AO1815" s="4">
        <v>0</v>
      </c>
      <c r="AP1815" s="4">
        <v>1</v>
      </c>
      <c r="AQ1815" s="4">
        <v>1</v>
      </c>
      <c r="AR1815" s="3" t="s">
        <v>65</v>
      </c>
      <c r="AS1815" s="3" t="s">
        <v>65</v>
      </c>
      <c r="AT1815" s="3" t="s">
        <v>65</v>
      </c>
      <c r="AV1815" s="6" t="str">
        <f>HYPERLINK("http://mcgill.on.worldcat.org/oclc/774489397","Catalog Record")</f>
        <v>Catalog Record</v>
      </c>
      <c r="AW1815" s="6" t="str">
        <f>HYPERLINK("http://www.worldcat.org/oclc/774489397","WorldCat Record")</f>
        <v>WorldCat Record</v>
      </c>
      <c r="AX1815" s="3" t="s">
        <v>17841</v>
      </c>
      <c r="AY1815" s="3" t="s">
        <v>17842</v>
      </c>
      <c r="AZ1815" s="3" t="s">
        <v>17843</v>
      </c>
      <c r="BA1815" s="3" t="s">
        <v>17843</v>
      </c>
      <c r="BB1815" s="3" t="s">
        <v>17844</v>
      </c>
      <c r="BC1815" s="3" t="s">
        <v>77</v>
      </c>
      <c r="BD1815" s="3" t="s">
        <v>78</v>
      </c>
      <c r="BE1815" s="3" t="s">
        <v>17845</v>
      </c>
      <c r="BF1815" s="3" t="s">
        <v>17844</v>
      </c>
      <c r="BG1815" s="3" t="s">
        <v>17846</v>
      </c>
    </row>
    <row r="1816" spans="1:59" ht="58" x14ac:dyDescent="0.35">
      <c r="A1816" s="2" t="s">
        <v>59</v>
      </c>
      <c r="B1816" s="2" t="s">
        <v>60</v>
      </c>
      <c r="C1816" s="2" t="s">
        <v>17847</v>
      </c>
      <c r="D1816" s="2" t="s">
        <v>17848</v>
      </c>
      <c r="E1816" s="2" t="s">
        <v>17849</v>
      </c>
      <c r="G1816" s="3" t="s">
        <v>65</v>
      </c>
      <c r="I1816" s="3" t="s">
        <v>65</v>
      </c>
      <c r="J1816" s="3" t="s">
        <v>65</v>
      </c>
      <c r="K1816" s="3" t="s">
        <v>66</v>
      </c>
      <c r="L1816" s="2" t="s">
        <v>17850</v>
      </c>
      <c r="M1816" s="2" t="s">
        <v>17851</v>
      </c>
      <c r="N1816" s="3" t="s">
        <v>139</v>
      </c>
      <c r="P1816" s="3" t="s">
        <v>140</v>
      </c>
      <c r="Q1816" s="2" t="s">
        <v>17852</v>
      </c>
      <c r="R1816" s="3" t="s">
        <v>71</v>
      </c>
      <c r="S1816" s="4">
        <v>0</v>
      </c>
      <c r="T1816" s="4">
        <v>0</v>
      </c>
      <c r="W1816" s="5" t="s">
        <v>72</v>
      </c>
      <c r="X1816" s="5" t="s">
        <v>72</v>
      </c>
      <c r="Y1816" s="4">
        <v>5</v>
      </c>
      <c r="Z1816" s="4">
        <v>1</v>
      </c>
      <c r="AA1816" s="4">
        <v>1</v>
      </c>
      <c r="AB1816" s="4">
        <v>1</v>
      </c>
      <c r="AC1816" s="4">
        <v>1</v>
      </c>
      <c r="AD1816" s="4">
        <v>2</v>
      </c>
      <c r="AE1816" s="4">
        <v>18</v>
      </c>
      <c r="AF1816" s="4">
        <v>0</v>
      </c>
      <c r="AG1816" s="4">
        <v>0</v>
      </c>
      <c r="AH1816" s="4">
        <v>2</v>
      </c>
      <c r="AI1816" s="4">
        <v>17</v>
      </c>
      <c r="AJ1816" s="4">
        <v>0</v>
      </c>
      <c r="AK1816" s="4">
        <v>0</v>
      </c>
      <c r="AL1816" s="4">
        <v>2</v>
      </c>
      <c r="AM1816" s="4">
        <v>16</v>
      </c>
      <c r="AN1816" s="4">
        <v>0</v>
      </c>
      <c r="AO1816" s="4">
        <v>0</v>
      </c>
      <c r="AP1816" s="4">
        <v>0</v>
      </c>
      <c r="AQ1816" s="4">
        <v>0</v>
      </c>
      <c r="AR1816" s="3" t="s">
        <v>65</v>
      </c>
      <c r="AS1816" s="3" t="s">
        <v>65</v>
      </c>
      <c r="AT1816" s="3" t="s">
        <v>65</v>
      </c>
      <c r="AV1816" s="6" t="str">
        <f>HYPERLINK("http://mcgill.on.worldcat.org/oclc/794362324","Catalog Record")</f>
        <v>Catalog Record</v>
      </c>
      <c r="AW1816" s="6" t="str">
        <f>HYPERLINK("http://www.worldcat.org/oclc/794362324","WorldCat Record")</f>
        <v>WorldCat Record</v>
      </c>
      <c r="AX1816" s="3" t="s">
        <v>17853</v>
      </c>
      <c r="AY1816" s="3" t="s">
        <v>17854</v>
      </c>
      <c r="AZ1816" s="3" t="s">
        <v>17855</v>
      </c>
      <c r="BA1816" s="3" t="s">
        <v>17855</v>
      </c>
      <c r="BB1816" s="3" t="s">
        <v>17856</v>
      </c>
      <c r="BC1816" s="3" t="s">
        <v>77</v>
      </c>
      <c r="BD1816" s="3" t="s">
        <v>78</v>
      </c>
      <c r="BE1816" s="3" t="s">
        <v>17857</v>
      </c>
      <c r="BF1816" s="3" t="s">
        <v>17856</v>
      </c>
      <c r="BG1816" s="3" t="s">
        <v>17858</v>
      </c>
    </row>
    <row r="1817" spans="1:59" ht="72.5" x14ac:dyDescent="0.35">
      <c r="A1817" s="2" t="s">
        <v>59</v>
      </c>
      <c r="B1817" s="2" t="s">
        <v>60</v>
      </c>
      <c r="C1817" s="2" t="s">
        <v>17859</v>
      </c>
      <c r="D1817" s="2" t="s">
        <v>17860</v>
      </c>
      <c r="E1817" s="2" t="s">
        <v>17861</v>
      </c>
      <c r="G1817" s="3" t="s">
        <v>65</v>
      </c>
      <c r="I1817" s="3" t="s">
        <v>65</v>
      </c>
      <c r="J1817" s="3" t="s">
        <v>65</v>
      </c>
      <c r="K1817" s="3" t="s">
        <v>66</v>
      </c>
      <c r="L1817" s="2" t="s">
        <v>17862</v>
      </c>
      <c r="M1817" s="2" t="s">
        <v>17863</v>
      </c>
      <c r="N1817" s="3" t="s">
        <v>4688</v>
      </c>
      <c r="P1817" s="3" t="s">
        <v>140</v>
      </c>
      <c r="R1817" s="3" t="s">
        <v>71</v>
      </c>
      <c r="S1817" s="4">
        <v>6</v>
      </c>
      <c r="T1817" s="4">
        <v>6</v>
      </c>
      <c r="U1817" s="5" t="s">
        <v>17864</v>
      </c>
      <c r="V1817" s="5" t="s">
        <v>17864</v>
      </c>
      <c r="W1817" s="5" t="s">
        <v>72</v>
      </c>
      <c r="X1817" s="5" t="s">
        <v>72</v>
      </c>
      <c r="Y1817" s="4">
        <v>42</v>
      </c>
      <c r="Z1817" s="4">
        <v>7</v>
      </c>
      <c r="AA1817" s="4">
        <v>7</v>
      </c>
      <c r="AB1817" s="4">
        <v>2</v>
      </c>
      <c r="AC1817" s="4">
        <v>2</v>
      </c>
      <c r="AD1817" s="4">
        <v>33</v>
      </c>
      <c r="AE1817" s="4">
        <v>40</v>
      </c>
      <c r="AF1817" s="4">
        <v>0</v>
      </c>
      <c r="AG1817" s="4">
        <v>0</v>
      </c>
      <c r="AH1817" s="4">
        <v>32</v>
      </c>
      <c r="AI1817" s="4">
        <v>38</v>
      </c>
      <c r="AJ1817" s="4">
        <v>4</v>
      </c>
      <c r="AK1817" s="4">
        <v>4</v>
      </c>
      <c r="AL1817" s="4">
        <v>23</v>
      </c>
      <c r="AM1817" s="4">
        <v>28</v>
      </c>
      <c r="AN1817" s="4">
        <v>0</v>
      </c>
      <c r="AO1817" s="4">
        <v>0</v>
      </c>
      <c r="AP1817" s="4">
        <v>4</v>
      </c>
      <c r="AQ1817" s="4">
        <v>4</v>
      </c>
      <c r="AR1817" s="3" t="s">
        <v>65</v>
      </c>
      <c r="AS1817" s="3" t="s">
        <v>65</v>
      </c>
      <c r="AT1817" s="3" t="s">
        <v>209</v>
      </c>
      <c r="AU1817" s="6" t="str">
        <f>HYPERLINK("http://catalog.hathitrust.org/Record/000493240","HathiTrust Record")</f>
        <v>HathiTrust Record</v>
      </c>
      <c r="AV1817" s="6" t="str">
        <f>HYPERLINK("http://mcgill.on.worldcat.org/oclc/16003876","Catalog Record")</f>
        <v>Catalog Record</v>
      </c>
      <c r="AW1817" s="6" t="str">
        <f>HYPERLINK("http://www.worldcat.org/oclc/16003876","WorldCat Record")</f>
        <v>WorldCat Record</v>
      </c>
      <c r="AX1817" s="3" t="s">
        <v>17865</v>
      </c>
      <c r="AY1817" s="3" t="s">
        <v>17866</v>
      </c>
      <c r="AZ1817" s="3" t="s">
        <v>17867</v>
      </c>
      <c r="BA1817" s="3" t="s">
        <v>17867</v>
      </c>
      <c r="BB1817" s="3" t="s">
        <v>17868</v>
      </c>
      <c r="BC1817" s="3" t="s">
        <v>77</v>
      </c>
      <c r="BD1817" s="3" t="s">
        <v>78</v>
      </c>
      <c r="BF1817" s="3" t="s">
        <v>17868</v>
      </c>
      <c r="BG1817" s="3" t="s">
        <v>17869</v>
      </c>
    </row>
    <row r="1818" spans="1:59" ht="58" x14ac:dyDescent="0.35">
      <c r="A1818" s="2" t="s">
        <v>59</v>
      </c>
      <c r="B1818" s="2" t="s">
        <v>60</v>
      </c>
      <c r="C1818" s="2" t="s">
        <v>17870</v>
      </c>
      <c r="D1818" s="2" t="s">
        <v>17871</v>
      </c>
      <c r="E1818" s="2" t="s">
        <v>17872</v>
      </c>
      <c r="G1818" s="3" t="s">
        <v>65</v>
      </c>
      <c r="I1818" s="3" t="s">
        <v>65</v>
      </c>
      <c r="J1818" s="3" t="s">
        <v>65</v>
      </c>
      <c r="K1818" s="3" t="s">
        <v>66</v>
      </c>
      <c r="L1818" s="2" t="s">
        <v>17873</v>
      </c>
      <c r="M1818" s="2" t="s">
        <v>17874</v>
      </c>
      <c r="N1818" s="3" t="s">
        <v>126</v>
      </c>
      <c r="P1818" s="3" t="s">
        <v>140</v>
      </c>
      <c r="Q1818" s="2" t="s">
        <v>17875</v>
      </c>
      <c r="R1818" s="3" t="s">
        <v>71</v>
      </c>
      <c r="S1818" s="4">
        <v>0</v>
      </c>
      <c r="T1818" s="4">
        <v>0</v>
      </c>
      <c r="W1818" s="5" t="s">
        <v>72</v>
      </c>
      <c r="X1818" s="5" t="s">
        <v>72</v>
      </c>
      <c r="Y1818" s="4">
        <v>40</v>
      </c>
      <c r="Z1818" s="4">
        <v>4</v>
      </c>
      <c r="AA1818" s="4">
        <v>4</v>
      </c>
      <c r="AB1818" s="4">
        <v>1</v>
      </c>
      <c r="AC1818" s="4">
        <v>1</v>
      </c>
      <c r="AD1818" s="4">
        <v>27</v>
      </c>
      <c r="AE1818" s="4">
        <v>27</v>
      </c>
      <c r="AF1818" s="4">
        <v>0</v>
      </c>
      <c r="AG1818" s="4">
        <v>0</v>
      </c>
      <c r="AH1818" s="4">
        <v>26</v>
      </c>
      <c r="AI1818" s="4">
        <v>26</v>
      </c>
      <c r="AJ1818" s="4">
        <v>2</v>
      </c>
      <c r="AK1818" s="4">
        <v>2</v>
      </c>
      <c r="AL1818" s="4">
        <v>21</v>
      </c>
      <c r="AM1818" s="4">
        <v>21</v>
      </c>
      <c r="AN1818" s="4">
        <v>0</v>
      </c>
      <c r="AO1818" s="4">
        <v>0</v>
      </c>
      <c r="AP1818" s="4">
        <v>2</v>
      </c>
      <c r="AQ1818" s="4">
        <v>2</v>
      </c>
      <c r="AR1818" s="3" t="s">
        <v>65</v>
      </c>
      <c r="AS1818" s="3" t="s">
        <v>65</v>
      </c>
      <c r="AT1818" s="3" t="s">
        <v>65</v>
      </c>
      <c r="AV1818" s="6" t="str">
        <f>HYPERLINK("http://mcgill.on.worldcat.org/oclc/796781642","Catalog Record")</f>
        <v>Catalog Record</v>
      </c>
      <c r="AW1818" s="6" t="str">
        <f>HYPERLINK("http://www.worldcat.org/oclc/796781642","WorldCat Record")</f>
        <v>WorldCat Record</v>
      </c>
      <c r="AX1818" s="3" t="s">
        <v>17876</v>
      </c>
      <c r="AY1818" s="3" t="s">
        <v>17877</v>
      </c>
      <c r="AZ1818" s="3" t="s">
        <v>17878</v>
      </c>
      <c r="BA1818" s="3" t="s">
        <v>17878</v>
      </c>
      <c r="BB1818" s="3" t="s">
        <v>17879</v>
      </c>
      <c r="BC1818" s="3" t="s">
        <v>77</v>
      </c>
      <c r="BD1818" s="3" t="s">
        <v>78</v>
      </c>
      <c r="BE1818" s="3" t="s">
        <v>17880</v>
      </c>
      <c r="BF1818" s="3" t="s">
        <v>17879</v>
      </c>
      <c r="BG1818" s="3" t="s">
        <v>17881</v>
      </c>
    </row>
    <row r="1819" spans="1:59" ht="58" x14ac:dyDescent="0.35">
      <c r="A1819" s="2" t="s">
        <v>59</v>
      </c>
      <c r="B1819" s="2" t="s">
        <v>60</v>
      </c>
      <c r="C1819" s="2" t="s">
        <v>17882</v>
      </c>
      <c r="D1819" s="2" t="s">
        <v>17883</v>
      </c>
      <c r="E1819" s="2" t="s">
        <v>17884</v>
      </c>
      <c r="G1819" s="3" t="s">
        <v>65</v>
      </c>
      <c r="I1819" s="3" t="s">
        <v>65</v>
      </c>
      <c r="J1819" s="3" t="s">
        <v>65</v>
      </c>
      <c r="K1819" s="3" t="s">
        <v>66</v>
      </c>
      <c r="L1819" s="2" t="s">
        <v>17885</v>
      </c>
      <c r="M1819" s="2" t="s">
        <v>17886</v>
      </c>
      <c r="N1819" s="3" t="s">
        <v>139</v>
      </c>
      <c r="P1819" s="3" t="s">
        <v>140</v>
      </c>
      <c r="Q1819" s="2" t="s">
        <v>17887</v>
      </c>
      <c r="R1819" s="3" t="s">
        <v>71</v>
      </c>
      <c r="S1819" s="4">
        <v>0</v>
      </c>
      <c r="T1819" s="4">
        <v>0</v>
      </c>
      <c r="W1819" s="5" t="s">
        <v>72</v>
      </c>
      <c r="X1819" s="5" t="s">
        <v>72</v>
      </c>
      <c r="Y1819" s="4">
        <v>43</v>
      </c>
      <c r="Z1819" s="4">
        <v>4</v>
      </c>
      <c r="AA1819" s="4">
        <v>4</v>
      </c>
      <c r="AB1819" s="4">
        <v>1</v>
      </c>
      <c r="AC1819" s="4">
        <v>1</v>
      </c>
      <c r="AD1819" s="4">
        <v>28</v>
      </c>
      <c r="AE1819" s="4">
        <v>28</v>
      </c>
      <c r="AF1819" s="4">
        <v>0</v>
      </c>
      <c r="AG1819" s="4">
        <v>0</v>
      </c>
      <c r="AH1819" s="4">
        <v>27</v>
      </c>
      <c r="AI1819" s="4">
        <v>27</v>
      </c>
      <c r="AJ1819" s="4">
        <v>2</v>
      </c>
      <c r="AK1819" s="4">
        <v>2</v>
      </c>
      <c r="AL1819" s="4">
        <v>21</v>
      </c>
      <c r="AM1819" s="4">
        <v>21</v>
      </c>
      <c r="AN1819" s="4">
        <v>0</v>
      </c>
      <c r="AO1819" s="4">
        <v>0</v>
      </c>
      <c r="AP1819" s="4">
        <v>2</v>
      </c>
      <c r="AQ1819" s="4">
        <v>2</v>
      </c>
      <c r="AR1819" s="3" t="s">
        <v>65</v>
      </c>
      <c r="AS1819" s="3" t="s">
        <v>65</v>
      </c>
      <c r="AT1819" s="3" t="s">
        <v>65</v>
      </c>
      <c r="AV1819" s="6" t="str">
        <f>HYPERLINK("http://mcgill.on.worldcat.org/oclc/783120463","Catalog Record")</f>
        <v>Catalog Record</v>
      </c>
      <c r="AW1819" s="6" t="str">
        <f>HYPERLINK("http://www.worldcat.org/oclc/783120463","WorldCat Record")</f>
        <v>WorldCat Record</v>
      </c>
      <c r="AX1819" s="3" t="s">
        <v>17888</v>
      </c>
      <c r="AY1819" s="3" t="s">
        <v>17889</v>
      </c>
      <c r="AZ1819" s="3" t="s">
        <v>17890</v>
      </c>
      <c r="BA1819" s="3" t="s">
        <v>17890</v>
      </c>
      <c r="BB1819" s="3" t="s">
        <v>17891</v>
      </c>
      <c r="BC1819" s="3" t="s">
        <v>77</v>
      </c>
      <c r="BD1819" s="3" t="s">
        <v>78</v>
      </c>
      <c r="BE1819" s="3" t="s">
        <v>17892</v>
      </c>
      <c r="BF1819" s="3" t="s">
        <v>17891</v>
      </c>
      <c r="BG1819" s="3" t="s">
        <v>17893</v>
      </c>
    </row>
    <row r="1820" spans="1:59" ht="58" x14ac:dyDescent="0.35">
      <c r="A1820" s="2" t="s">
        <v>59</v>
      </c>
      <c r="B1820" s="2" t="s">
        <v>60</v>
      </c>
      <c r="C1820" s="2" t="s">
        <v>17894</v>
      </c>
      <c r="D1820" s="2" t="s">
        <v>17895</v>
      </c>
      <c r="E1820" s="2" t="s">
        <v>17896</v>
      </c>
      <c r="G1820" s="3" t="s">
        <v>65</v>
      </c>
      <c r="I1820" s="3" t="s">
        <v>65</v>
      </c>
      <c r="J1820" s="3" t="s">
        <v>65</v>
      </c>
      <c r="K1820" s="3" t="s">
        <v>66</v>
      </c>
      <c r="L1820" s="2" t="s">
        <v>17897</v>
      </c>
      <c r="M1820" s="2" t="s">
        <v>17898</v>
      </c>
      <c r="N1820" s="3" t="s">
        <v>139</v>
      </c>
      <c r="P1820" s="3" t="s">
        <v>69</v>
      </c>
      <c r="R1820" s="3" t="s">
        <v>71</v>
      </c>
      <c r="S1820" s="4">
        <v>1</v>
      </c>
      <c r="T1820" s="4">
        <v>1</v>
      </c>
      <c r="U1820" s="5" t="s">
        <v>17864</v>
      </c>
      <c r="V1820" s="5" t="s">
        <v>17864</v>
      </c>
      <c r="W1820" s="5" t="s">
        <v>72</v>
      </c>
      <c r="X1820" s="5" t="s">
        <v>72</v>
      </c>
      <c r="Y1820" s="4">
        <v>54</v>
      </c>
      <c r="Z1820" s="4">
        <v>12</v>
      </c>
      <c r="AA1820" s="4">
        <v>12</v>
      </c>
      <c r="AB1820" s="4">
        <v>1</v>
      </c>
      <c r="AC1820" s="4">
        <v>1</v>
      </c>
      <c r="AD1820" s="4">
        <v>29</v>
      </c>
      <c r="AE1820" s="4">
        <v>30</v>
      </c>
      <c r="AF1820" s="4">
        <v>0</v>
      </c>
      <c r="AG1820" s="4">
        <v>0</v>
      </c>
      <c r="AH1820" s="4">
        <v>28</v>
      </c>
      <c r="AI1820" s="4">
        <v>29</v>
      </c>
      <c r="AJ1820" s="4">
        <v>10</v>
      </c>
      <c r="AK1820" s="4">
        <v>10</v>
      </c>
      <c r="AL1820" s="4">
        <v>12</v>
      </c>
      <c r="AM1820" s="4">
        <v>13</v>
      </c>
      <c r="AN1820" s="4">
        <v>0</v>
      </c>
      <c r="AO1820" s="4">
        <v>0</v>
      </c>
      <c r="AP1820" s="4">
        <v>10</v>
      </c>
      <c r="AQ1820" s="4">
        <v>10</v>
      </c>
      <c r="AR1820" s="3" t="s">
        <v>65</v>
      </c>
      <c r="AS1820" s="3" t="s">
        <v>65</v>
      </c>
      <c r="AT1820" s="3" t="s">
        <v>65</v>
      </c>
      <c r="AV1820" s="6" t="str">
        <f>HYPERLINK("http://mcgill.on.worldcat.org/oclc/779864412","Catalog Record")</f>
        <v>Catalog Record</v>
      </c>
      <c r="AW1820" s="6" t="str">
        <f>HYPERLINK("http://www.worldcat.org/oclc/779864412","WorldCat Record")</f>
        <v>WorldCat Record</v>
      </c>
      <c r="AX1820" s="3" t="s">
        <v>17899</v>
      </c>
      <c r="AY1820" s="3" t="s">
        <v>17900</v>
      </c>
      <c r="AZ1820" s="3" t="s">
        <v>17901</v>
      </c>
      <c r="BA1820" s="3" t="s">
        <v>17901</v>
      </c>
      <c r="BB1820" s="3" t="s">
        <v>17902</v>
      </c>
      <c r="BC1820" s="3" t="s">
        <v>77</v>
      </c>
      <c r="BD1820" s="3" t="s">
        <v>78</v>
      </c>
      <c r="BE1820" s="3" t="s">
        <v>17903</v>
      </c>
      <c r="BF1820" s="3" t="s">
        <v>17902</v>
      </c>
      <c r="BG1820" s="3" t="s">
        <v>17904</v>
      </c>
    </row>
    <row r="1821" spans="1:59" ht="58" x14ac:dyDescent="0.35">
      <c r="A1821" s="2" t="s">
        <v>59</v>
      </c>
      <c r="B1821" s="2" t="s">
        <v>60</v>
      </c>
      <c r="C1821" s="2" t="s">
        <v>17905</v>
      </c>
      <c r="D1821" s="2" t="s">
        <v>17906</v>
      </c>
      <c r="E1821" s="2" t="s">
        <v>17907</v>
      </c>
      <c r="G1821" s="3" t="s">
        <v>65</v>
      </c>
      <c r="I1821" s="3" t="s">
        <v>65</v>
      </c>
      <c r="J1821" s="3" t="s">
        <v>65</v>
      </c>
      <c r="K1821" s="3" t="s">
        <v>66</v>
      </c>
      <c r="L1821" s="2" t="s">
        <v>2963</v>
      </c>
      <c r="M1821" s="2" t="s">
        <v>4509</v>
      </c>
      <c r="N1821" s="3" t="s">
        <v>139</v>
      </c>
      <c r="P1821" s="3" t="s">
        <v>140</v>
      </c>
      <c r="Q1821" s="2" t="s">
        <v>17908</v>
      </c>
      <c r="R1821" s="3" t="s">
        <v>71</v>
      </c>
      <c r="S1821" s="4">
        <v>0</v>
      </c>
      <c r="T1821" s="4">
        <v>0</v>
      </c>
      <c r="W1821" s="5" t="s">
        <v>72</v>
      </c>
      <c r="X1821" s="5" t="s">
        <v>72</v>
      </c>
      <c r="Y1821" s="4">
        <v>47</v>
      </c>
      <c r="Z1821" s="4">
        <v>5</v>
      </c>
      <c r="AA1821" s="4">
        <v>5</v>
      </c>
      <c r="AB1821" s="4">
        <v>1</v>
      </c>
      <c r="AC1821" s="4">
        <v>1</v>
      </c>
      <c r="AD1821" s="4">
        <v>39</v>
      </c>
      <c r="AE1821" s="4">
        <v>39</v>
      </c>
      <c r="AF1821" s="4">
        <v>0</v>
      </c>
      <c r="AG1821" s="4">
        <v>0</v>
      </c>
      <c r="AH1821" s="4">
        <v>38</v>
      </c>
      <c r="AI1821" s="4">
        <v>38</v>
      </c>
      <c r="AJ1821" s="4">
        <v>3</v>
      </c>
      <c r="AK1821" s="4">
        <v>3</v>
      </c>
      <c r="AL1821" s="4">
        <v>30</v>
      </c>
      <c r="AM1821" s="4">
        <v>30</v>
      </c>
      <c r="AN1821" s="4">
        <v>0</v>
      </c>
      <c r="AO1821" s="4">
        <v>0</v>
      </c>
      <c r="AP1821" s="4">
        <v>3</v>
      </c>
      <c r="AQ1821" s="4">
        <v>3</v>
      </c>
      <c r="AR1821" s="3" t="s">
        <v>65</v>
      </c>
      <c r="AS1821" s="3" t="s">
        <v>65</v>
      </c>
      <c r="AT1821" s="3" t="s">
        <v>65</v>
      </c>
      <c r="AV1821" s="6" t="str">
        <f>HYPERLINK("http://mcgill.on.worldcat.org/oclc/820790579","Catalog Record")</f>
        <v>Catalog Record</v>
      </c>
      <c r="AW1821" s="6" t="str">
        <f>HYPERLINK("http://www.worldcat.org/oclc/820790579","WorldCat Record")</f>
        <v>WorldCat Record</v>
      </c>
      <c r="AX1821" s="3" t="s">
        <v>17909</v>
      </c>
      <c r="AY1821" s="3" t="s">
        <v>17910</v>
      </c>
      <c r="AZ1821" s="3" t="s">
        <v>17911</v>
      </c>
      <c r="BA1821" s="3" t="s">
        <v>17911</v>
      </c>
      <c r="BB1821" s="3" t="s">
        <v>17912</v>
      </c>
      <c r="BC1821" s="3" t="s">
        <v>77</v>
      </c>
      <c r="BD1821" s="3" t="s">
        <v>78</v>
      </c>
      <c r="BE1821" s="3" t="s">
        <v>17913</v>
      </c>
      <c r="BF1821" s="3" t="s">
        <v>17912</v>
      </c>
      <c r="BG1821" s="3" t="s">
        <v>17914</v>
      </c>
    </row>
    <row r="1822" spans="1:59" ht="58" x14ac:dyDescent="0.35">
      <c r="A1822" s="2" t="s">
        <v>59</v>
      </c>
      <c r="B1822" s="2" t="s">
        <v>60</v>
      </c>
      <c r="C1822" s="2" t="s">
        <v>17915</v>
      </c>
      <c r="D1822" s="2" t="s">
        <v>17916</v>
      </c>
      <c r="E1822" s="2" t="s">
        <v>17917</v>
      </c>
      <c r="G1822" s="3" t="s">
        <v>65</v>
      </c>
      <c r="I1822" s="3" t="s">
        <v>65</v>
      </c>
      <c r="J1822" s="3" t="s">
        <v>65</v>
      </c>
      <c r="K1822" s="3" t="s">
        <v>66</v>
      </c>
      <c r="L1822" s="2" t="s">
        <v>17918</v>
      </c>
      <c r="M1822" s="2" t="s">
        <v>17919</v>
      </c>
      <c r="N1822" s="3" t="s">
        <v>164</v>
      </c>
      <c r="P1822" s="3" t="s">
        <v>140</v>
      </c>
      <c r="Q1822" s="2" t="s">
        <v>17920</v>
      </c>
      <c r="R1822" s="3" t="s">
        <v>71</v>
      </c>
      <c r="S1822" s="4">
        <v>0</v>
      </c>
      <c r="T1822" s="4">
        <v>0</v>
      </c>
      <c r="W1822" s="5" t="s">
        <v>72</v>
      </c>
      <c r="X1822" s="5" t="s">
        <v>72</v>
      </c>
      <c r="Y1822" s="4">
        <v>28</v>
      </c>
      <c r="Z1822" s="4">
        <v>2</v>
      </c>
      <c r="AA1822" s="4">
        <v>2</v>
      </c>
      <c r="AB1822" s="4">
        <v>1</v>
      </c>
      <c r="AC1822" s="4">
        <v>1</v>
      </c>
      <c r="AD1822" s="4">
        <v>21</v>
      </c>
      <c r="AE1822" s="4">
        <v>21</v>
      </c>
      <c r="AF1822" s="4">
        <v>0</v>
      </c>
      <c r="AG1822" s="4">
        <v>0</v>
      </c>
      <c r="AH1822" s="4">
        <v>21</v>
      </c>
      <c r="AI1822" s="4">
        <v>21</v>
      </c>
      <c r="AJ1822" s="4">
        <v>1</v>
      </c>
      <c r="AK1822" s="4">
        <v>1</v>
      </c>
      <c r="AL1822" s="4">
        <v>13</v>
      </c>
      <c r="AM1822" s="4">
        <v>13</v>
      </c>
      <c r="AN1822" s="4">
        <v>0</v>
      </c>
      <c r="AO1822" s="4">
        <v>0</v>
      </c>
      <c r="AP1822" s="4">
        <v>1</v>
      </c>
      <c r="AQ1822" s="4">
        <v>1</v>
      </c>
      <c r="AR1822" s="3" t="s">
        <v>65</v>
      </c>
      <c r="AS1822" s="3" t="s">
        <v>65</v>
      </c>
      <c r="AT1822" s="3" t="s">
        <v>65</v>
      </c>
      <c r="AV1822" s="6" t="str">
        <f>HYPERLINK("http://mcgill.on.worldcat.org/oclc/910505773","Catalog Record")</f>
        <v>Catalog Record</v>
      </c>
      <c r="AW1822" s="6" t="str">
        <f>HYPERLINK("http://www.worldcat.org/oclc/910505773","WorldCat Record")</f>
        <v>WorldCat Record</v>
      </c>
      <c r="AX1822" s="3" t="s">
        <v>17921</v>
      </c>
      <c r="AY1822" s="3" t="s">
        <v>17922</v>
      </c>
      <c r="AZ1822" s="3" t="s">
        <v>17923</v>
      </c>
      <c r="BA1822" s="3" t="s">
        <v>17923</v>
      </c>
      <c r="BB1822" s="3" t="s">
        <v>17924</v>
      </c>
      <c r="BC1822" s="3" t="s">
        <v>77</v>
      </c>
      <c r="BD1822" s="3" t="s">
        <v>78</v>
      </c>
      <c r="BE1822" s="3" t="s">
        <v>17925</v>
      </c>
      <c r="BF1822" s="3" t="s">
        <v>17924</v>
      </c>
      <c r="BG1822" s="3" t="s">
        <v>17926</v>
      </c>
    </row>
    <row r="1823" spans="1:59" ht="58" x14ac:dyDescent="0.35">
      <c r="A1823" s="2" t="s">
        <v>59</v>
      </c>
      <c r="B1823" s="2" t="s">
        <v>60</v>
      </c>
      <c r="C1823" s="2" t="s">
        <v>17927</v>
      </c>
      <c r="D1823" s="2" t="s">
        <v>17928</v>
      </c>
      <c r="E1823" s="2" t="s">
        <v>17929</v>
      </c>
      <c r="G1823" s="3" t="s">
        <v>65</v>
      </c>
      <c r="I1823" s="3" t="s">
        <v>65</v>
      </c>
      <c r="J1823" s="3" t="s">
        <v>65</v>
      </c>
      <c r="K1823" s="3" t="s">
        <v>66</v>
      </c>
      <c r="M1823" s="2" t="s">
        <v>4739</v>
      </c>
      <c r="N1823" s="3" t="s">
        <v>126</v>
      </c>
      <c r="P1823" s="3" t="s">
        <v>140</v>
      </c>
      <c r="R1823" s="3" t="s">
        <v>71</v>
      </c>
      <c r="S1823" s="4">
        <v>0</v>
      </c>
      <c r="T1823" s="4">
        <v>0</v>
      </c>
      <c r="W1823" s="5" t="s">
        <v>72</v>
      </c>
      <c r="X1823" s="5" t="s">
        <v>72</v>
      </c>
      <c r="Y1823" s="4">
        <v>34</v>
      </c>
      <c r="Z1823" s="4">
        <v>3</v>
      </c>
      <c r="AA1823" s="4">
        <v>3</v>
      </c>
      <c r="AB1823" s="4">
        <v>1</v>
      </c>
      <c r="AC1823" s="4">
        <v>1</v>
      </c>
      <c r="AD1823" s="4">
        <v>24</v>
      </c>
      <c r="AE1823" s="4">
        <v>24</v>
      </c>
      <c r="AF1823" s="4">
        <v>0</v>
      </c>
      <c r="AG1823" s="4">
        <v>0</v>
      </c>
      <c r="AH1823" s="4">
        <v>23</v>
      </c>
      <c r="AI1823" s="4">
        <v>23</v>
      </c>
      <c r="AJ1823" s="4">
        <v>1</v>
      </c>
      <c r="AK1823" s="4">
        <v>1</v>
      </c>
      <c r="AL1823" s="4">
        <v>19</v>
      </c>
      <c r="AM1823" s="4">
        <v>19</v>
      </c>
      <c r="AN1823" s="4">
        <v>0</v>
      </c>
      <c r="AO1823" s="4">
        <v>0</v>
      </c>
      <c r="AP1823" s="4">
        <v>1</v>
      </c>
      <c r="AQ1823" s="4">
        <v>1</v>
      </c>
      <c r="AR1823" s="3" t="s">
        <v>65</v>
      </c>
      <c r="AS1823" s="3" t="s">
        <v>65</v>
      </c>
      <c r="AT1823" s="3" t="s">
        <v>65</v>
      </c>
      <c r="AV1823" s="6" t="str">
        <f>HYPERLINK("http://mcgill.on.worldcat.org/oclc/709663845","Catalog Record")</f>
        <v>Catalog Record</v>
      </c>
      <c r="AW1823" s="6" t="str">
        <f>HYPERLINK("http://www.worldcat.org/oclc/709663845","WorldCat Record")</f>
        <v>WorldCat Record</v>
      </c>
      <c r="AX1823" s="3" t="s">
        <v>17930</v>
      </c>
      <c r="AY1823" s="3" t="s">
        <v>17931</v>
      </c>
      <c r="AZ1823" s="3" t="s">
        <v>17932</v>
      </c>
      <c r="BA1823" s="3" t="s">
        <v>17932</v>
      </c>
      <c r="BB1823" s="3" t="s">
        <v>17933</v>
      </c>
      <c r="BC1823" s="3" t="s">
        <v>77</v>
      </c>
      <c r="BD1823" s="3" t="s">
        <v>78</v>
      </c>
      <c r="BE1823" s="3" t="s">
        <v>17934</v>
      </c>
      <c r="BF1823" s="3" t="s">
        <v>17933</v>
      </c>
      <c r="BG1823" s="3" t="s">
        <v>17935</v>
      </c>
    </row>
    <row r="1824" spans="1:59" ht="58" x14ac:dyDescent="0.35">
      <c r="A1824" s="2" t="s">
        <v>59</v>
      </c>
      <c r="B1824" s="2" t="s">
        <v>60</v>
      </c>
      <c r="C1824" s="2" t="s">
        <v>17936</v>
      </c>
      <c r="D1824" s="2" t="s">
        <v>17937</v>
      </c>
      <c r="E1824" s="2" t="s">
        <v>17938</v>
      </c>
      <c r="G1824" s="3" t="s">
        <v>65</v>
      </c>
      <c r="I1824" s="3" t="s">
        <v>65</v>
      </c>
      <c r="J1824" s="3" t="s">
        <v>65</v>
      </c>
      <c r="K1824" s="3" t="s">
        <v>66</v>
      </c>
      <c r="L1824" s="2" t="s">
        <v>17939</v>
      </c>
      <c r="M1824" s="2" t="s">
        <v>17940</v>
      </c>
      <c r="N1824" s="3" t="s">
        <v>221</v>
      </c>
      <c r="P1824" s="3" t="s">
        <v>69</v>
      </c>
      <c r="Q1824" s="2" t="s">
        <v>17941</v>
      </c>
      <c r="R1824" s="3" t="s">
        <v>71</v>
      </c>
      <c r="S1824" s="4">
        <v>1</v>
      </c>
      <c r="T1824" s="4">
        <v>1</v>
      </c>
      <c r="U1824" s="5" t="s">
        <v>17942</v>
      </c>
      <c r="V1824" s="5" t="s">
        <v>17942</v>
      </c>
      <c r="W1824" s="5" t="s">
        <v>72</v>
      </c>
      <c r="X1824" s="5" t="s">
        <v>72</v>
      </c>
      <c r="Y1824" s="4">
        <v>74</v>
      </c>
      <c r="Z1824" s="4">
        <v>6</v>
      </c>
      <c r="AA1824" s="4">
        <v>7</v>
      </c>
      <c r="AB1824" s="4">
        <v>1</v>
      </c>
      <c r="AC1824" s="4">
        <v>2</v>
      </c>
      <c r="AD1824" s="4">
        <v>40</v>
      </c>
      <c r="AE1824" s="4">
        <v>40</v>
      </c>
      <c r="AF1824" s="4">
        <v>0</v>
      </c>
      <c r="AG1824" s="4">
        <v>0</v>
      </c>
      <c r="AH1824" s="4">
        <v>39</v>
      </c>
      <c r="AI1824" s="4">
        <v>39</v>
      </c>
      <c r="AJ1824" s="4">
        <v>2</v>
      </c>
      <c r="AK1824" s="4">
        <v>2</v>
      </c>
      <c r="AL1824" s="4">
        <v>30</v>
      </c>
      <c r="AM1824" s="4">
        <v>30</v>
      </c>
      <c r="AN1824" s="4">
        <v>0</v>
      </c>
      <c r="AO1824" s="4">
        <v>0</v>
      </c>
      <c r="AP1824" s="4">
        <v>2</v>
      </c>
      <c r="AQ1824" s="4">
        <v>2</v>
      </c>
      <c r="AR1824" s="3" t="s">
        <v>65</v>
      </c>
      <c r="AS1824" s="3" t="s">
        <v>65</v>
      </c>
      <c r="AT1824" s="3" t="s">
        <v>65</v>
      </c>
      <c r="AV1824" s="6" t="str">
        <f>HYPERLINK("http://mcgill.on.worldcat.org/oclc/85692018","Catalog Record")</f>
        <v>Catalog Record</v>
      </c>
      <c r="AW1824" s="6" t="str">
        <f>HYPERLINK("http://www.worldcat.org/oclc/85692018","WorldCat Record")</f>
        <v>WorldCat Record</v>
      </c>
      <c r="AX1824" s="3" t="s">
        <v>17943</v>
      </c>
      <c r="AY1824" s="3" t="s">
        <v>17944</v>
      </c>
      <c r="AZ1824" s="3" t="s">
        <v>17945</v>
      </c>
      <c r="BA1824" s="3" t="s">
        <v>17945</v>
      </c>
      <c r="BB1824" s="3" t="s">
        <v>17946</v>
      </c>
      <c r="BC1824" s="3" t="s">
        <v>77</v>
      </c>
      <c r="BD1824" s="3" t="s">
        <v>78</v>
      </c>
      <c r="BE1824" s="3" t="s">
        <v>17947</v>
      </c>
      <c r="BF1824" s="3" t="s">
        <v>17946</v>
      </c>
      <c r="BG1824" s="3" t="s">
        <v>17948</v>
      </c>
    </row>
    <row r="1825" spans="1:59" ht="58" x14ac:dyDescent="0.35">
      <c r="A1825" s="2" t="s">
        <v>59</v>
      </c>
      <c r="B1825" s="2" t="s">
        <v>60</v>
      </c>
      <c r="C1825" s="2" t="s">
        <v>17949</v>
      </c>
      <c r="D1825" s="2" t="s">
        <v>17950</v>
      </c>
      <c r="E1825" s="2" t="s">
        <v>17951</v>
      </c>
      <c r="G1825" s="3" t="s">
        <v>65</v>
      </c>
      <c r="I1825" s="3" t="s">
        <v>65</v>
      </c>
      <c r="J1825" s="3" t="s">
        <v>65</v>
      </c>
      <c r="K1825" s="3" t="s">
        <v>66</v>
      </c>
      <c r="L1825" s="2" t="s">
        <v>17939</v>
      </c>
      <c r="M1825" s="2" t="s">
        <v>17952</v>
      </c>
      <c r="N1825" s="3" t="s">
        <v>1835</v>
      </c>
      <c r="O1825" s="2" t="s">
        <v>16401</v>
      </c>
      <c r="P1825" s="3" t="s">
        <v>69</v>
      </c>
      <c r="R1825" s="3" t="s">
        <v>71</v>
      </c>
      <c r="S1825" s="4">
        <v>3</v>
      </c>
      <c r="T1825" s="4">
        <v>3</v>
      </c>
      <c r="U1825" s="5" t="s">
        <v>805</v>
      </c>
      <c r="V1825" s="5" t="s">
        <v>805</v>
      </c>
      <c r="W1825" s="5" t="s">
        <v>72</v>
      </c>
      <c r="X1825" s="5" t="s">
        <v>72</v>
      </c>
      <c r="Y1825" s="4">
        <v>350</v>
      </c>
      <c r="Z1825" s="4">
        <v>18</v>
      </c>
      <c r="AA1825" s="4">
        <v>19</v>
      </c>
      <c r="AB1825" s="4">
        <v>1</v>
      </c>
      <c r="AC1825" s="4">
        <v>1</v>
      </c>
      <c r="AD1825" s="4">
        <v>106</v>
      </c>
      <c r="AE1825" s="4">
        <v>106</v>
      </c>
      <c r="AF1825" s="4">
        <v>0</v>
      </c>
      <c r="AG1825" s="4">
        <v>0</v>
      </c>
      <c r="AH1825" s="4">
        <v>97</v>
      </c>
      <c r="AI1825" s="4">
        <v>97</v>
      </c>
      <c r="AJ1825" s="4">
        <v>13</v>
      </c>
      <c r="AK1825" s="4">
        <v>13</v>
      </c>
      <c r="AL1825" s="4">
        <v>52</v>
      </c>
      <c r="AM1825" s="4">
        <v>52</v>
      </c>
      <c r="AN1825" s="4">
        <v>0</v>
      </c>
      <c r="AO1825" s="4">
        <v>0</v>
      </c>
      <c r="AP1825" s="4">
        <v>12</v>
      </c>
      <c r="AQ1825" s="4">
        <v>12</v>
      </c>
      <c r="AR1825" s="3" t="s">
        <v>65</v>
      </c>
      <c r="AS1825" s="3" t="s">
        <v>65</v>
      </c>
      <c r="AT1825" s="3" t="s">
        <v>65</v>
      </c>
      <c r="AV1825" s="6" t="str">
        <f>HYPERLINK("http://mcgill.on.worldcat.org/oclc/6813025","Catalog Record")</f>
        <v>Catalog Record</v>
      </c>
      <c r="AW1825" s="6" t="str">
        <f>HYPERLINK("http://www.worldcat.org/oclc/6813025","WorldCat Record")</f>
        <v>WorldCat Record</v>
      </c>
      <c r="AX1825" s="3" t="s">
        <v>17953</v>
      </c>
      <c r="AY1825" s="3" t="s">
        <v>17954</v>
      </c>
      <c r="AZ1825" s="3" t="s">
        <v>17955</v>
      </c>
      <c r="BA1825" s="3" t="s">
        <v>17955</v>
      </c>
      <c r="BB1825" s="3" t="s">
        <v>17956</v>
      </c>
      <c r="BC1825" s="3" t="s">
        <v>77</v>
      </c>
      <c r="BD1825" s="3" t="s">
        <v>78</v>
      </c>
      <c r="BE1825" s="3" t="s">
        <v>17957</v>
      </c>
      <c r="BF1825" s="3" t="s">
        <v>17956</v>
      </c>
      <c r="BG1825" s="3" t="s">
        <v>17958</v>
      </c>
    </row>
    <row r="1826" spans="1:59" ht="58" x14ac:dyDescent="0.35">
      <c r="A1826" s="2" t="s">
        <v>59</v>
      </c>
      <c r="B1826" s="2" t="s">
        <v>60</v>
      </c>
      <c r="C1826" s="2" t="s">
        <v>17959</v>
      </c>
      <c r="D1826" s="2" t="s">
        <v>17960</v>
      </c>
      <c r="E1826" s="2" t="s">
        <v>17961</v>
      </c>
      <c r="G1826" s="3" t="s">
        <v>65</v>
      </c>
      <c r="I1826" s="3" t="s">
        <v>65</v>
      </c>
      <c r="J1826" s="3" t="s">
        <v>65</v>
      </c>
      <c r="K1826" s="3" t="s">
        <v>66</v>
      </c>
      <c r="L1826" s="2" t="s">
        <v>17962</v>
      </c>
      <c r="M1826" s="2" t="s">
        <v>17963</v>
      </c>
      <c r="N1826" s="3" t="s">
        <v>126</v>
      </c>
      <c r="P1826" s="3" t="s">
        <v>140</v>
      </c>
      <c r="Q1826" s="2" t="s">
        <v>17964</v>
      </c>
      <c r="R1826" s="3" t="s">
        <v>71</v>
      </c>
      <c r="S1826" s="4">
        <v>0</v>
      </c>
      <c r="T1826" s="4">
        <v>0</v>
      </c>
      <c r="W1826" s="5" t="s">
        <v>72</v>
      </c>
      <c r="X1826" s="5" t="s">
        <v>72</v>
      </c>
      <c r="Y1826" s="4">
        <v>25</v>
      </c>
      <c r="Z1826" s="4">
        <v>2</v>
      </c>
      <c r="AA1826" s="4">
        <v>2</v>
      </c>
      <c r="AB1826" s="4">
        <v>1</v>
      </c>
      <c r="AC1826" s="4">
        <v>1</v>
      </c>
      <c r="AD1826" s="4">
        <v>20</v>
      </c>
      <c r="AE1826" s="4">
        <v>20</v>
      </c>
      <c r="AF1826" s="4">
        <v>0</v>
      </c>
      <c r="AG1826" s="4">
        <v>0</v>
      </c>
      <c r="AH1826" s="4">
        <v>19</v>
      </c>
      <c r="AI1826" s="4">
        <v>19</v>
      </c>
      <c r="AJ1826" s="4">
        <v>1</v>
      </c>
      <c r="AK1826" s="4">
        <v>1</v>
      </c>
      <c r="AL1826" s="4">
        <v>15</v>
      </c>
      <c r="AM1826" s="4">
        <v>15</v>
      </c>
      <c r="AN1826" s="4">
        <v>0</v>
      </c>
      <c r="AO1826" s="4">
        <v>0</v>
      </c>
      <c r="AP1826" s="4">
        <v>1</v>
      </c>
      <c r="AQ1826" s="4">
        <v>1</v>
      </c>
      <c r="AR1826" s="3" t="s">
        <v>65</v>
      </c>
      <c r="AS1826" s="3" t="s">
        <v>65</v>
      </c>
      <c r="AT1826" s="3" t="s">
        <v>65</v>
      </c>
      <c r="AV1826" s="6" t="str">
        <f>HYPERLINK("http://mcgill.on.worldcat.org/oclc/778839117","Catalog Record")</f>
        <v>Catalog Record</v>
      </c>
      <c r="AW1826" s="6" t="str">
        <f>HYPERLINK("http://www.worldcat.org/oclc/778839117","WorldCat Record")</f>
        <v>WorldCat Record</v>
      </c>
      <c r="AX1826" s="3" t="s">
        <v>17965</v>
      </c>
      <c r="AY1826" s="3" t="s">
        <v>17966</v>
      </c>
      <c r="AZ1826" s="3" t="s">
        <v>17967</v>
      </c>
      <c r="BA1826" s="3" t="s">
        <v>17967</v>
      </c>
      <c r="BB1826" s="3" t="s">
        <v>17968</v>
      </c>
      <c r="BC1826" s="3" t="s">
        <v>77</v>
      </c>
      <c r="BD1826" s="3" t="s">
        <v>78</v>
      </c>
      <c r="BE1826" s="3" t="s">
        <v>17969</v>
      </c>
      <c r="BF1826" s="3" t="s">
        <v>17968</v>
      </c>
      <c r="BG1826" s="3" t="s">
        <v>17970</v>
      </c>
    </row>
    <row r="1827" spans="1:59" ht="58" x14ac:dyDescent="0.35">
      <c r="A1827" s="2" t="s">
        <v>59</v>
      </c>
      <c r="B1827" s="2" t="s">
        <v>60</v>
      </c>
      <c r="C1827" s="2" t="s">
        <v>17971</v>
      </c>
      <c r="D1827" s="2" t="s">
        <v>17972</v>
      </c>
      <c r="E1827" s="2" t="s">
        <v>17973</v>
      </c>
      <c r="G1827" s="3" t="s">
        <v>65</v>
      </c>
      <c r="I1827" s="3" t="s">
        <v>65</v>
      </c>
      <c r="J1827" s="3" t="s">
        <v>65</v>
      </c>
      <c r="K1827" s="3" t="s">
        <v>66</v>
      </c>
      <c r="L1827" s="2" t="s">
        <v>17974</v>
      </c>
      <c r="M1827" s="2" t="s">
        <v>13673</v>
      </c>
      <c r="N1827" s="3" t="s">
        <v>176</v>
      </c>
      <c r="P1827" s="3" t="s">
        <v>140</v>
      </c>
      <c r="Q1827" s="2" t="s">
        <v>17975</v>
      </c>
      <c r="R1827" s="3" t="s">
        <v>71</v>
      </c>
      <c r="S1827" s="4">
        <v>0</v>
      </c>
      <c r="T1827" s="4">
        <v>0</v>
      </c>
      <c r="W1827" s="5" t="s">
        <v>72</v>
      </c>
      <c r="X1827" s="5" t="s">
        <v>72</v>
      </c>
      <c r="Y1827" s="4">
        <v>37</v>
      </c>
      <c r="Z1827" s="4">
        <v>3</v>
      </c>
      <c r="AA1827" s="4">
        <v>3</v>
      </c>
      <c r="AB1827" s="4">
        <v>1</v>
      </c>
      <c r="AC1827" s="4">
        <v>1</v>
      </c>
      <c r="AD1827" s="4">
        <v>25</v>
      </c>
      <c r="AE1827" s="4">
        <v>25</v>
      </c>
      <c r="AF1827" s="4">
        <v>0</v>
      </c>
      <c r="AG1827" s="4">
        <v>0</v>
      </c>
      <c r="AH1827" s="4">
        <v>24</v>
      </c>
      <c r="AI1827" s="4">
        <v>24</v>
      </c>
      <c r="AJ1827" s="4">
        <v>1</v>
      </c>
      <c r="AK1827" s="4">
        <v>1</v>
      </c>
      <c r="AL1827" s="4">
        <v>21</v>
      </c>
      <c r="AM1827" s="4">
        <v>21</v>
      </c>
      <c r="AN1827" s="4">
        <v>0</v>
      </c>
      <c r="AO1827" s="4">
        <v>0</v>
      </c>
      <c r="AP1827" s="4">
        <v>1</v>
      </c>
      <c r="AQ1827" s="4">
        <v>1</v>
      </c>
      <c r="AR1827" s="3" t="s">
        <v>65</v>
      </c>
      <c r="AS1827" s="3" t="s">
        <v>65</v>
      </c>
      <c r="AT1827" s="3" t="s">
        <v>65</v>
      </c>
      <c r="AV1827" s="6" t="str">
        <f>HYPERLINK("http://mcgill.on.worldcat.org/oclc/912285991","Catalog Record")</f>
        <v>Catalog Record</v>
      </c>
      <c r="AW1827" s="6" t="str">
        <f>HYPERLINK("http://www.worldcat.org/oclc/912285991","WorldCat Record")</f>
        <v>WorldCat Record</v>
      </c>
      <c r="AX1827" s="3" t="s">
        <v>17976</v>
      </c>
      <c r="AY1827" s="3" t="s">
        <v>17977</v>
      </c>
      <c r="AZ1827" s="3" t="s">
        <v>17978</v>
      </c>
      <c r="BA1827" s="3" t="s">
        <v>17978</v>
      </c>
      <c r="BB1827" s="3" t="s">
        <v>17979</v>
      </c>
      <c r="BC1827" s="3" t="s">
        <v>77</v>
      </c>
      <c r="BD1827" s="3" t="s">
        <v>78</v>
      </c>
      <c r="BE1827" s="3" t="s">
        <v>17980</v>
      </c>
      <c r="BF1827" s="3" t="s">
        <v>17979</v>
      </c>
      <c r="BG1827" s="3" t="s">
        <v>17981</v>
      </c>
    </row>
    <row r="1828" spans="1:59" ht="58" x14ac:dyDescent="0.35">
      <c r="A1828" s="2" t="s">
        <v>59</v>
      </c>
      <c r="B1828" s="2" t="s">
        <v>60</v>
      </c>
      <c r="C1828" s="2" t="s">
        <v>17982</v>
      </c>
      <c r="D1828" s="2" t="s">
        <v>17983</v>
      </c>
      <c r="E1828" s="2" t="s">
        <v>17984</v>
      </c>
      <c r="G1828" s="3" t="s">
        <v>65</v>
      </c>
      <c r="I1828" s="3" t="s">
        <v>65</v>
      </c>
      <c r="J1828" s="3" t="s">
        <v>65</v>
      </c>
      <c r="K1828" s="3" t="s">
        <v>66</v>
      </c>
      <c r="L1828" s="2" t="s">
        <v>17985</v>
      </c>
      <c r="M1828" s="2" t="s">
        <v>17986</v>
      </c>
      <c r="N1828" s="3" t="s">
        <v>1173</v>
      </c>
      <c r="P1828" s="3" t="s">
        <v>140</v>
      </c>
      <c r="Q1828" s="2" t="s">
        <v>17987</v>
      </c>
      <c r="R1828" s="3" t="s">
        <v>71</v>
      </c>
      <c r="S1828" s="4">
        <v>2</v>
      </c>
      <c r="T1828" s="4">
        <v>2</v>
      </c>
      <c r="U1828" s="5" t="s">
        <v>3235</v>
      </c>
      <c r="V1828" s="5" t="s">
        <v>3235</v>
      </c>
      <c r="W1828" s="5" t="s">
        <v>72</v>
      </c>
      <c r="X1828" s="5" t="s">
        <v>72</v>
      </c>
      <c r="Y1828" s="4">
        <v>39</v>
      </c>
      <c r="Z1828" s="4">
        <v>4</v>
      </c>
      <c r="AA1828" s="4">
        <v>4</v>
      </c>
      <c r="AB1828" s="4">
        <v>1</v>
      </c>
      <c r="AC1828" s="4">
        <v>1</v>
      </c>
      <c r="AD1828" s="4">
        <v>25</v>
      </c>
      <c r="AE1828" s="4">
        <v>25</v>
      </c>
      <c r="AF1828" s="4">
        <v>0</v>
      </c>
      <c r="AG1828" s="4">
        <v>0</v>
      </c>
      <c r="AH1828" s="4">
        <v>22</v>
      </c>
      <c r="AI1828" s="4">
        <v>22</v>
      </c>
      <c r="AJ1828" s="4">
        <v>3</v>
      </c>
      <c r="AK1828" s="4">
        <v>3</v>
      </c>
      <c r="AL1828" s="4">
        <v>18</v>
      </c>
      <c r="AM1828" s="4">
        <v>18</v>
      </c>
      <c r="AN1828" s="4">
        <v>0</v>
      </c>
      <c r="AO1828" s="4">
        <v>0</v>
      </c>
      <c r="AP1828" s="4">
        <v>3</v>
      </c>
      <c r="AQ1828" s="4">
        <v>3</v>
      </c>
      <c r="AR1828" s="3" t="s">
        <v>65</v>
      </c>
      <c r="AS1828" s="3" t="s">
        <v>65</v>
      </c>
      <c r="AT1828" s="3" t="s">
        <v>65</v>
      </c>
      <c r="AV1828" s="6" t="str">
        <f>HYPERLINK("http://mcgill.on.worldcat.org/oclc/3218457","Catalog Record")</f>
        <v>Catalog Record</v>
      </c>
      <c r="AW1828" s="6" t="str">
        <f>HYPERLINK("http://www.worldcat.org/oclc/3218457","WorldCat Record")</f>
        <v>WorldCat Record</v>
      </c>
      <c r="AX1828" s="3" t="s">
        <v>17988</v>
      </c>
      <c r="AY1828" s="3" t="s">
        <v>17989</v>
      </c>
      <c r="AZ1828" s="3" t="s">
        <v>17990</v>
      </c>
      <c r="BA1828" s="3" t="s">
        <v>17990</v>
      </c>
      <c r="BB1828" s="3" t="s">
        <v>17991</v>
      </c>
      <c r="BC1828" s="3" t="s">
        <v>77</v>
      </c>
      <c r="BD1828" s="3" t="s">
        <v>78</v>
      </c>
      <c r="BF1828" s="3" t="s">
        <v>17991</v>
      </c>
      <c r="BG1828" s="3" t="s">
        <v>17992</v>
      </c>
    </row>
    <row r="1829" spans="1:59" ht="58" x14ac:dyDescent="0.35">
      <c r="A1829" s="2" t="s">
        <v>59</v>
      </c>
      <c r="B1829" s="2" t="s">
        <v>60</v>
      </c>
      <c r="C1829" s="2" t="s">
        <v>17993</v>
      </c>
      <c r="D1829" s="2" t="s">
        <v>17994</v>
      </c>
      <c r="E1829" s="2" t="s">
        <v>17995</v>
      </c>
      <c r="G1829" s="3" t="s">
        <v>65</v>
      </c>
      <c r="I1829" s="3" t="s">
        <v>65</v>
      </c>
      <c r="J1829" s="3" t="s">
        <v>65</v>
      </c>
      <c r="K1829" s="3" t="s">
        <v>66</v>
      </c>
      <c r="L1829" s="2" t="s">
        <v>17996</v>
      </c>
      <c r="M1829" s="2" t="s">
        <v>17997</v>
      </c>
      <c r="N1829" s="3" t="s">
        <v>1967</v>
      </c>
      <c r="P1829" s="3" t="s">
        <v>69</v>
      </c>
      <c r="Q1829" s="2" t="s">
        <v>15547</v>
      </c>
      <c r="R1829" s="3" t="s">
        <v>71</v>
      </c>
      <c r="S1829" s="4">
        <v>4</v>
      </c>
      <c r="T1829" s="4">
        <v>4</v>
      </c>
      <c r="U1829" s="5" t="s">
        <v>17998</v>
      </c>
      <c r="V1829" s="5" t="s">
        <v>17998</v>
      </c>
      <c r="W1829" s="5" t="s">
        <v>72</v>
      </c>
      <c r="X1829" s="5" t="s">
        <v>72</v>
      </c>
      <c r="Y1829" s="4">
        <v>262</v>
      </c>
      <c r="Z1829" s="4">
        <v>20</v>
      </c>
      <c r="AA1829" s="4">
        <v>116</v>
      </c>
      <c r="AB1829" s="4">
        <v>1</v>
      </c>
      <c r="AC1829" s="4">
        <v>18</v>
      </c>
      <c r="AD1829" s="4">
        <v>99</v>
      </c>
      <c r="AE1829" s="4">
        <v>148</v>
      </c>
      <c r="AF1829" s="4">
        <v>0</v>
      </c>
      <c r="AG1829" s="4">
        <v>8</v>
      </c>
      <c r="AH1829" s="4">
        <v>90</v>
      </c>
      <c r="AI1829" s="4">
        <v>105</v>
      </c>
      <c r="AJ1829" s="4">
        <v>10</v>
      </c>
      <c r="AK1829" s="4">
        <v>24</v>
      </c>
      <c r="AL1829" s="4">
        <v>54</v>
      </c>
      <c r="AM1829" s="4">
        <v>57</v>
      </c>
      <c r="AN1829" s="4">
        <v>0</v>
      </c>
      <c r="AO1829" s="4">
        <v>0</v>
      </c>
      <c r="AP1829" s="4">
        <v>12</v>
      </c>
      <c r="AQ1829" s="4">
        <v>50</v>
      </c>
      <c r="AR1829" s="3" t="s">
        <v>65</v>
      </c>
      <c r="AS1829" s="3" t="s">
        <v>65</v>
      </c>
      <c r="AT1829" s="3" t="s">
        <v>65</v>
      </c>
      <c r="AV1829" s="6" t="str">
        <f>HYPERLINK("http://mcgill.on.worldcat.org/oclc/51810535","Catalog Record")</f>
        <v>Catalog Record</v>
      </c>
      <c r="AW1829" s="6" t="str">
        <f>HYPERLINK("http://www.worldcat.org/oclc/51810535","WorldCat Record")</f>
        <v>WorldCat Record</v>
      </c>
      <c r="AX1829" s="3" t="s">
        <v>17999</v>
      </c>
      <c r="AY1829" s="3" t="s">
        <v>18000</v>
      </c>
      <c r="AZ1829" s="3" t="s">
        <v>18001</v>
      </c>
      <c r="BA1829" s="3" t="s">
        <v>18001</v>
      </c>
      <c r="BB1829" s="3" t="s">
        <v>18002</v>
      </c>
      <c r="BC1829" s="3" t="s">
        <v>77</v>
      </c>
      <c r="BD1829" s="3" t="s">
        <v>78</v>
      </c>
      <c r="BE1829" s="3" t="s">
        <v>18003</v>
      </c>
      <c r="BF1829" s="3" t="s">
        <v>18002</v>
      </c>
      <c r="BG1829" s="3" t="s">
        <v>18004</v>
      </c>
    </row>
    <row r="1830" spans="1:59" ht="58" x14ac:dyDescent="0.35">
      <c r="A1830" s="2" t="s">
        <v>59</v>
      </c>
      <c r="B1830" s="2" t="s">
        <v>60</v>
      </c>
      <c r="C1830" s="2" t="s">
        <v>18005</v>
      </c>
      <c r="D1830" s="2" t="s">
        <v>18006</v>
      </c>
      <c r="E1830" s="2" t="s">
        <v>18007</v>
      </c>
      <c r="G1830" s="3" t="s">
        <v>65</v>
      </c>
      <c r="I1830" s="3" t="s">
        <v>65</v>
      </c>
      <c r="J1830" s="3" t="s">
        <v>65</v>
      </c>
      <c r="K1830" s="3" t="s">
        <v>66</v>
      </c>
      <c r="L1830" s="2" t="s">
        <v>18008</v>
      </c>
      <c r="M1830" s="2" t="s">
        <v>18009</v>
      </c>
      <c r="N1830" s="3" t="s">
        <v>176</v>
      </c>
      <c r="P1830" s="3" t="s">
        <v>140</v>
      </c>
      <c r="Q1830" s="2" t="s">
        <v>18010</v>
      </c>
      <c r="R1830" s="3" t="s">
        <v>71</v>
      </c>
      <c r="S1830" s="4">
        <v>0</v>
      </c>
      <c r="T1830" s="4">
        <v>0</v>
      </c>
      <c r="W1830" s="5" t="s">
        <v>72</v>
      </c>
      <c r="X1830" s="5" t="s">
        <v>72</v>
      </c>
      <c r="Y1830" s="4">
        <v>11</v>
      </c>
      <c r="Z1830" s="4">
        <v>1</v>
      </c>
      <c r="AA1830" s="4">
        <v>4</v>
      </c>
      <c r="AB1830" s="4">
        <v>1</v>
      </c>
      <c r="AC1830" s="4">
        <v>1</v>
      </c>
      <c r="AD1830" s="4">
        <v>9</v>
      </c>
      <c r="AE1830" s="4">
        <v>21</v>
      </c>
      <c r="AF1830" s="4">
        <v>0</v>
      </c>
      <c r="AG1830" s="4">
        <v>0</v>
      </c>
      <c r="AH1830" s="4">
        <v>9</v>
      </c>
      <c r="AI1830" s="4">
        <v>20</v>
      </c>
      <c r="AJ1830" s="4">
        <v>0</v>
      </c>
      <c r="AK1830" s="4">
        <v>2</v>
      </c>
      <c r="AL1830" s="4">
        <v>7</v>
      </c>
      <c r="AM1830" s="4">
        <v>17</v>
      </c>
      <c r="AN1830" s="4">
        <v>0</v>
      </c>
      <c r="AO1830" s="4">
        <v>0</v>
      </c>
      <c r="AP1830" s="4">
        <v>0</v>
      </c>
      <c r="AQ1830" s="4">
        <v>2</v>
      </c>
      <c r="AR1830" s="3" t="s">
        <v>65</v>
      </c>
      <c r="AS1830" s="3" t="s">
        <v>65</v>
      </c>
      <c r="AT1830" s="3" t="s">
        <v>65</v>
      </c>
      <c r="AV1830" s="6" t="str">
        <f>HYPERLINK("http://mcgill.on.worldcat.org/oclc/926886299","Catalog Record")</f>
        <v>Catalog Record</v>
      </c>
      <c r="AW1830" s="6" t="str">
        <f>HYPERLINK("http://www.worldcat.org/oclc/926886299","WorldCat Record")</f>
        <v>WorldCat Record</v>
      </c>
      <c r="AX1830" s="3" t="s">
        <v>18011</v>
      </c>
      <c r="AY1830" s="3" t="s">
        <v>18012</v>
      </c>
      <c r="AZ1830" s="3" t="s">
        <v>18013</v>
      </c>
      <c r="BA1830" s="3" t="s">
        <v>18013</v>
      </c>
      <c r="BB1830" s="3" t="s">
        <v>18014</v>
      </c>
      <c r="BC1830" s="3" t="s">
        <v>77</v>
      </c>
      <c r="BD1830" s="3" t="s">
        <v>78</v>
      </c>
      <c r="BE1830" s="3" t="s">
        <v>18015</v>
      </c>
      <c r="BF1830" s="3" t="s">
        <v>18014</v>
      </c>
      <c r="BG1830" s="3" t="s">
        <v>18016</v>
      </c>
    </row>
    <row r="1831" spans="1:59" ht="58" x14ac:dyDescent="0.35">
      <c r="A1831" s="2" t="s">
        <v>59</v>
      </c>
      <c r="B1831" s="2" t="s">
        <v>60</v>
      </c>
      <c r="C1831" s="2" t="s">
        <v>18017</v>
      </c>
      <c r="D1831" s="2" t="s">
        <v>18018</v>
      </c>
      <c r="E1831" s="2" t="s">
        <v>18019</v>
      </c>
      <c r="G1831" s="3" t="s">
        <v>65</v>
      </c>
      <c r="I1831" s="3" t="s">
        <v>65</v>
      </c>
      <c r="J1831" s="3" t="s">
        <v>65</v>
      </c>
      <c r="K1831" s="3" t="s">
        <v>66</v>
      </c>
      <c r="L1831" s="2" t="s">
        <v>18020</v>
      </c>
      <c r="M1831" s="2" t="s">
        <v>18021</v>
      </c>
      <c r="N1831" s="3" t="s">
        <v>113</v>
      </c>
      <c r="P1831" s="3" t="s">
        <v>140</v>
      </c>
      <c r="Q1831" s="2" t="s">
        <v>18022</v>
      </c>
      <c r="R1831" s="3" t="s">
        <v>71</v>
      </c>
      <c r="S1831" s="4">
        <v>0</v>
      </c>
      <c r="T1831" s="4">
        <v>0</v>
      </c>
      <c r="W1831" s="5" t="s">
        <v>72</v>
      </c>
      <c r="X1831" s="5" t="s">
        <v>72</v>
      </c>
      <c r="Y1831" s="4">
        <v>49</v>
      </c>
      <c r="Z1831" s="4">
        <v>5</v>
      </c>
      <c r="AA1831" s="4">
        <v>5</v>
      </c>
      <c r="AB1831" s="4">
        <v>1</v>
      </c>
      <c r="AC1831" s="4">
        <v>1</v>
      </c>
      <c r="AD1831" s="4">
        <v>37</v>
      </c>
      <c r="AE1831" s="4">
        <v>37</v>
      </c>
      <c r="AF1831" s="4">
        <v>0</v>
      </c>
      <c r="AG1831" s="4">
        <v>0</v>
      </c>
      <c r="AH1831" s="4">
        <v>36</v>
      </c>
      <c r="AI1831" s="4">
        <v>36</v>
      </c>
      <c r="AJ1831" s="4">
        <v>3</v>
      </c>
      <c r="AK1831" s="4">
        <v>3</v>
      </c>
      <c r="AL1831" s="4">
        <v>27</v>
      </c>
      <c r="AM1831" s="4">
        <v>27</v>
      </c>
      <c r="AN1831" s="4">
        <v>0</v>
      </c>
      <c r="AO1831" s="4">
        <v>0</v>
      </c>
      <c r="AP1831" s="4">
        <v>3</v>
      </c>
      <c r="AQ1831" s="4">
        <v>3</v>
      </c>
      <c r="AR1831" s="3" t="s">
        <v>65</v>
      </c>
      <c r="AS1831" s="3" t="s">
        <v>65</v>
      </c>
      <c r="AT1831" s="3" t="s">
        <v>65</v>
      </c>
      <c r="AV1831" s="6" t="str">
        <f>HYPERLINK("http://mcgill.on.worldcat.org/oclc/644523758","Catalog Record")</f>
        <v>Catalog Record</v>
      </c>
      <c r="AW1831" s="6" t="str">
        <f>HYPERLINK("http://www.worldcat.org/oclc/644523758","WorldCat Record")</f>
        <v>WorldCat Record</v>
      </c>
      <c r="AX1831" s="3" t="s">
        <v>18023</v>
      </c>
      <c r="AY1831" s="3" t="s">
        <v>18024</v>
      </c>
      <c r="AZ1831" s="3" t="s">
        <v>18025</v>
      </c>
      <c r="BA1831" s="3" t="s">
        <v>18025</v>
      </c>
      <c r="BB1831" s="3" t="s">
        <v>18026</v>
      </c>
      <c r="BC1831" s="3" t="s">
        <v>77</v>
      </c>
      <c r="BD1831" s="3" t="s">
        <v>78</v>
      </c>
      <c r="BE1831" s="3" t="s">
        <v>18027</v>
      </c>
      <c r="BF1831" s="3" t="s">
        <v>18026</v>
      </c>
      <c r="BG1831" s="3" t="s">
        <v>18028</v>
      </c>
    </row>
    <row r="1832" spans="1:59" ht="58" x14ac:dyDescent="0.35">
      <c r="A1832" s="2" t="s">
        <v>59</v>
      </c>
      <c r="B1832" s="2" t="s">
        <v>60</v>
      </c>
      <c r="C1832" s="2" t="s">
        <v>18029</v>
      </c>
      <c r="D1832" s="2" t="s">
        <v>18030</v>
      </c>
      <c r="E1832" s="2" t="s">
        <v>18031</v>
      </c>
      <c r="G1832" s="3" t="s">
        <v>65</v>
      </c>
      <c r="I1832" s="3" t="s">
        <v>65</v>
      </c>
      <c r="J1832" s="3" t="s">
        <v>65</v>
      </c>
      <c r="K1832" s="3" t="s">
        <v>66</v>
      </c>
      <c r="L1832" s="2" t="s">
        <v>18032</v>
      </c>
      <c r="M1832" s="2" t="s">
        <v>18033</v>
      </c>
      <c r="N1832" s="3" t="s">
        <v>126</v>
      </c>
      <c r="P1832" s="3" t="s">
        <v>140</v>
      </c>
      <c r="Q1832" s="2" t="s">
        <v>18034</v>
      </c>
      <c r="R1832" s="3" t="s">
        <v>71</v>
      </c>
      <c r="S1832" s="4">
        <v>2</v>
      </c>
      <c r="T1832" s="4">
        <v>2</v>
      </c>
      <c r="U1832" s="5" t="s">
        <v>3618</v>
      </c>
      <c r="V1832" s="5" t="s">
        <v>3618</v>
      </c>
      <c r="W1832" s="5" t="s">
        <v>72</v>
      </c>
      <c r="X1832" s="5" t="s">
        <v>72</v>
      </c>
      <c r="Y1832" s="4">
        <v>29</v>
      </c>
      <c r="Z1832" s="4">
        <v>4</v>
      </c>
      <c r="AA1832" s="4">
        <v>4</v>
      </c>
      <c r="AB1832" s="4">
        <v>1</v>
      </c>
      <c r="AC1832" s="4">
        <v>1</v>
      </c>
      <c r="AD1832" s="4">
        <v>20</v>
      </c>
      <c r="AE1832" s="4">
        <v>20</v>
      </c>
      <c r="AF1832" s="4">
        <v>0</v>
      </c>
      <c r="AG1832" s="4">
        <v>0</v>
      </c>
      <c r="AH1832" s="4">
        <v>19</v>
      </c>
      <c r="AI1832" s="4">
        <v>19</v>
      </c>
      <c r="AJ1832" s="4">
        <v>2</v>
      </c>
      <c r="AK1832" s="4">
        <v>2</v>
      </c>
      <c r="AL1832" s="4">
        <v>14</v>
      </c>
      <c r="AM1832" s="4">
        <v>14</v>
      </c>
      <c r="AN1832" s="4">
        <v>0</v>
      </c>
      <c r="AO1832" s="4">
        <v>0</v>
      </c>
      <c r="AP1832" s="4">
        <v>2</v>
      </c>
      <c r="AQ1832" s="4">
        <v>2</v>
      </c>
      <c r="AR1832" s="3" t="s">
        <v>65</v>
      </c>
      <c r="AS1832" s="3" t="s">
        <v>65</v>
      </c>
      <c r="AT1832" s="3" t="s">
        <v>65</v>
      </c>
      <c r="AV1832" s="6" t="str">
        <f>HYPERLINK("http://mcgill.on.worldcat.org/oclc/785862834","Catalog Record")</f>
        <v>Catalog Record</v>
      </c>
      <c r="AW1832" s="6" t="str">
        <f>HYPERLINK("http://www.worldcat.org/oclc/785862834","WorldCat Record")</f>
        <v>WorldCat Record</v>
      </c>
      <c r="AX1832" s="3" t="s">
        <v>18035</v>
      </c>
      <c r="AY1832" s="3" t="s">
        <v>18036</v>
      </c>
      <c r="AZ1832" s="3" t="s">
        <v>18037</v>
      </c>
      <c r="BA1832" s="3" t="s">
        <v>18037</v>
      </c>
      <c r="BB1832" s="3" t="s">
        <v>18038</v>
      </c>
      <c r="BC1832" s="3" t="s">
        <v>77</v>
      </c>
      <c r="BD1832" s="3" t="s">
        <v>78</v>
      </c>
      <c r="BE1832" s="3" t="s">
        <v>18039</v>
      </c>
      <c r="BF1832" s="3" t="s">
        <v>18038</v>
      </c>
      <c r="BG1832" s="3" t="s">
        <v>18040</v>
      </c>
    </row>
    <row r="1833" spans="1:59" ht="58" x14ac:dyDescent="0.35">
      <c r="A1833" s="2" t="s">
        <v>59</v>
      </c>
      <c r="B1833" s="2" t="s">
        <v>60</v>
      </c>
      <c r="C1833" s="2" t="s">
        <v>18041</v>
      </c>
      <c r="D1833" s="2" t="s">
        <v>18042</v>
      </c>
      <c r="E1833" s="2" t="s">
        <v>18043</v>
      </c>
      <c r="G1833" s="3" t="s">
        <v>65</v>
      </c>
      <c r="I1833" s="3" t="s">
        <v>65</v>
      </c>
      <c r="J1833" s="3" t="s">
        <v>65</v>
      </c>
      <c r="K1833" s="3" t="s">
        <v>66</v>
      </c>
      <c r="L1833" s="2" t="s">
        <v>18044</v>
      </c>
      <c r="M1833" s="2" t="s">
        <v>18045</v>
      </c>
      <c r="N1833" s="3" t="s">
        <v>139</v>
      </c>
      <c r="P1833" s="3" t="s">
        <v>140</v>
      </c>
      <c r="Q1833" s="2" t="s">
        <v>18046</v>
      </c>
      <c r="R1833" s="3" t="s">
        <v>71</v>
      </c>
      <c r="S1833" s="4">
        <v>0</v>
      </c>
      <c r="T1833" s="4">
        <v>0</v>
      </c>
      <c r="W1833" s="5" t="s">
        <v>72</v>
      </c>
      <c r="X1833" s="5" t="s">
        <v>72</v>
      </c>
      <c r="Y1833" s="4">
        <v>36</v>
      </c>
      <c r="Z1833" s="4">
        <v>4</v>
      </c>
      <c r="AA1833" s="4">
        <v>4</v>
      </c>
      <c r="AB1833" s="4">
        <v>1</v>
      </c>
      <c r="AC1833" s="4">
        <v>1</v>
      </c>
      <c r="AD1833" s="4">
        <v>24</v>
      </c>
      <c r="AE1833" s="4">
        <v>24</v>
      </c>
      <c r="AF1833" s="4">
        <v>0</v>
      </c>
      <c r="AG1833" s="4">
        <v>0</v>
      </c>
      <c r="AH1833" s="4">
        <v>23</v>
      </c>
      <c r="AI1833" s="4">
        <v>23</v>
      </c>
      <c r="AJ1833" s="4">
        <v>2</v>
      </c>
      <c r="AK1833" s="4">
        <v>2</v>
      </c>
      <c r="AL1833" s="4">
        <v>20</v>
      </c>
      <c r="AM1833" s="4">
        <v>20</v>
      </c>
      <c r="AN1833" s="4">
        <v>0</v>
      </c>
      <c r="AO1833" s="4">
        <v>0</v>
      </c>
      <c r="AP1833" s="4">
        <v>2</v>
      </c>
      <c r="AQ1833" s="4">
        <v>2</v>
      </c>
      <c r="AR1833" s="3" t="s">
        <v>65</v>
      </c>
      <c r="AS1833" s="3" t="s">
        <v>65</v>
      </c>
      <c r="AT1833" s="3" t="s">
        <v>65</v>
      </c>
      <c r="AV1833" s="6" t="str">
        <f>HYPERLINK("http://mcgill.on.worldcat.org/oclc/801440292","Catalog Record")</f>
        <v>Catalog Record</v>
      </c>
      <c r="AW1833" s="6" t="str">
        <f>HYPERLINK("http://www.worldcat.org/oclc/801440292","WorldCat Record")</f>
        <v>WorldCat Record</v>
      </c>
      <c r="AX1833" s="3" t="s">
        <v>18047</v>
      </c>
      <c r="AY1833" s="3" t="s">
        <v>18048</v>
      </c>
      <c r="AZ1833" s="3" t="s">
        <v>18049</v>
      </c>
      <c r="BA1833" s="3" t="s">
        <v>18049</v>
      </c>
      <c r="BB1833" s="3" t="s">
        <v>18050</v>
      </c>
      <c r="BC1833" s="3" t="s">
        <v>77</v>
      </c>
      <c r="BD1833" s="3" t="s">
        <v>78</v>
      </c>
      <c r="BE1833" s="3" t="s">
        <v>18051</v>
      </c>
      <c r="BF1833" s="3" t="s">
        <v>18050</v>
      </c>
      <c r="BG1833" s="3" t="s">
        <v>18052</v>
      </c>
    </row>
    <row r="1834" spans="1:59" ht="58" x14ac:dyDescent="0.35">
      <c r="A1834" s="2" t="s">
        <v>59</v>
      </c>
      <c r="B1834" s="2" t="s">
        <v>60</v>
      </c>
      <c r="C1834" s="2" t="s">
        <v>18053</v>
      </c>
      <c r="D1834" s="2" t="s">
        <v>18054</v>
      </c>
      <c r="E1834" s="2" t="s">
        <v>18055</v>
      </c>
      <c r="G1834" s="3" t="s">
        <v>65</v>
      </c>
      <c r="I1834" s="3" t="s">
        <v>65</v>
      </c>
      <c r="J1834" s="3" t="s">
        <v>65</v>
      </c>
      <c r="K1834" s="3" t="s">
        <v>66</v>
      </c>
      <c r="L1834" s="2" t="s">
        <v>18056</v>
      </c>
      <c r="M1834" s="2" t="s">
        <v>4172</v>
      </c>
      <c r="N1834" s="3" t="s">
        <v>188</v>
      </c>
      <c r="P1834" s="3" t="s">
        <v>140</v>
      </c>
      <c r="Q1834" s="2" t="s">
        <v>18057</v>
      </c>
      <c r="R1834" s="3" t="s">
        <v>71</v>
      </c>
      <c r="S1834" s="4">
        <v>0</v>
      </c>
      <c r="T1834" s="4">
        <v>0</v>
      </c>
      <c r="W1834" s="5" t="s">
        <v>72</v>
      </c>
      <c r="X1834" s="5" t="s">
        <v>72</v>
      </c>
      <c r="Y1834" s="4">
        <v>26</v>
      </c>
      <c r="Z1834" s="4">
        <v>2</v>
      </c>
      <c r="AA1834" s="4">
        <v>2</v>
      </c>
      <c r="AB1834" s="4">
        <v>1</v>
      </c>
      <c r="AC1834" s="4">
        <v>1</v>
      </c>
      <c r="AD1834" s="4">
        <v>14</v>
      </c>
      <c r="AE1834" s="4">
        <v>14</v>
      </c>
      <c r="AF1834" s="4">
        <v>0</v>
      </c>
      <c r="AG1834" s="4">
        <v>0</v>
      </c>
      <c r="AH1834" s="4">
        <v>13</v>
      </c>
      <c r="AI1834" s="4">
        <v>13</v>
      </c>
      <c r="AJ1834" s="4">
        <v>1</v>
      </c>
      <c r="AK1834" s="4">
        <v>1</v>
      </c>
      <c r="AL1834" s="4">
        <v>12</v>
      </c>
      <c r="AM1834" s="4">
        <v>12</v>
      </c>
      <c r="AN1834" s="4">
        <v>0</v>
      </c>
      <c r="AO1834" s="4">
        <v>0</v>
      </c>
      <c r="AP1834" s="4">
        <v>1</v>
      </c>
      <c r="AQ1834" s="4">
        <v>1</v>
      </c>
      <c r="AR1834" s="3" t="s">
        <v>65</v>
      </c>
      <c r="AS1834" s="3" t="s">
        <v>65</v>
      </c>
      <c r="AT1834" s="3" t="s">
        <v>65</v>
      </c>
      <c r="AV1834" s="6" t="str">
        <f>HYPERLINK("http://mcgill.on.worldcat.org/oclc/990442280","Catalog Record")</f>
        <v>Catalog Record</v>
      </c>
      <c r="AW1834" s="6" t="str">
        <f>HYPERLINK("http://www.worldcat.org/oclc/990442280","WorldCat Record")</f>
        <v>WorldCat Record</v>
      </c>
      <c r="AX1834" s="3" t="s">
        <v>18058</v>
      </c>
      <c r="AY1834" s="3" t="s">
        <v>18059</v>
      </c>
      <c r="AZ1834" s="3" t="s">
        <v>18060</v>
      </c>
      <c r="BA1834" s="3" t="s">
        <v>18060</v>
      </c>
      <c r="BB1834" s="3" t="s">
        <v>18061</v>
      </c>
      <c r="BC1834" s="3" t="s">
        <v>77</v>
      </c>
      <c r="BD1834" s="3" t="s">
        <v>78</v>
      </c>
      <c r="BE1834" s="3" t="s">
        <v>18062</v>
      </c>
      <c r="BF1834" s="3" t="s">
        <v>18061</v>
      </c>
      <c r="BG1834" s="3" t="s">
        <v>18063</v>
      </c>
    </row>
    <row r="1835" spans="1:59" ht="58" x14ac:dyDescent="0.35">
      <c r="A1835" s="2" t="s">
        <v>59</v>
      </c>
      <c r="B1835" s="2" t="s">
        <v>60</v>
      </c>
      <c r="C1835" s="2" t="s">
        <v>18064</v>
      </c>
      <c r="D1835" s="2" t="s">
        <v>18065</v>
      </c>
      <c r="E1835" s="2" t="s">
        <v>18066</v>
      </c>
      <c r="F1835" s="3" t="s">
        <v>9886</v>
      </c>
      <c r="G1835" s="3" t="s">
        <v>209</v>
      </c>
      <c r="I1835" s="3" t="s">
        <v>65</v>
      </c>
      <c r="J1835" s="3" t="s">
        <v>65</v>
      </c>
      <c r="K1835" s="3" t="s">
        <v>66</v>
      </c>
      <c r="L1835" s="2" t="s">
        <v>18067</v>
      </c>
      <c r="M1835" s="2" t="s">
        <v>18068</v>
      </c>
      <c r="N1835" s="3" t="s">
        <v>352</v>
      </c>
      <c r="P1835" s="3" t="s">
        <v>140</v>
      </c>
      <c r="R1835" s="3" t="s">
        <v>71</v>
      </c>
      <c r="S1835" s="4">
        <v>0</v>
      </c>
      <c r="T1835" s="4">
        <v>2</v>
      </c>
      <c r="V1835" s="5" t="s">
        <v>18069</v>
      </c>
      <c r="W1835" s="5" t="s">
        <v>72</v>
      </c>
      <c r="X1835" s="5" t="s">
        <v>72</v>
      </c>
      <c r="Y1835" s="4">
        <v>14</v>
      </c>
      <c r="Z1835" s="4">
        <v>5</v>
      </c>
      <c r="AA1835" s="4">
        <v>9</v>
      </c>
      <c r="AB1835" s="4">
        <v>1</v>
      </c>
      <c r="AC1835" s="4">
        <v>1</v>
      </c>
      <c r="AD1835" s="4">
        <v>7</v>
      </c>
      <c r="AE1835" s="4">
        <v>44</v>
      </c>
      <c r="AF1835" s="4">
        <v>0</v>
      </c>
      <c r="AG1835" s="4">
        <v>0</v>
      </c>
      <c r="AH1835" s="4">
        <v>5</v>
      </c>
      <c r="AI1835" s="4">
        <v>41</v>
      </c>
      <c r="AJ1835" s="4">
        <v>2</v>
      </c>
      <c r="AK1835" s="4">
        <v>6</v>
      </c>
      <c r="AL1835" s="4">
        <v>5</v>
      </c>
      <c r="AM1835" s="4">
        <v>27</v>
      </c>
      <c r="AN1835" s="4">
        <v>0</v>
      </c>
      <c r="AO1835" s="4">
        <v>0</v>
      </c>
      <c r="AP1835" s="4">
        <v>2</v>
      </c>
      <c r="AQ1835" s="4">
        <v>6</v>
      </c>
      <c r="AR1835" s="3" t="s">
        <v>65</v>
      </c>
      <c r="AS1835" s="3" t="s">
        <v>65</v>
      </c>
      <c r="AT1835" s="3" t="s">
        <v>65</v>
      </c>
      <c r="AV1835" s="6" t="str">
        <f t="shared" ref="AV1835:AV1852" si="27">HYPERLINK("http://mcgill.on.worldcat.org/oclc/4450977","Catalog Record")</f>
        <v>Catalog Record</v>
      </c>
      <c r="AW1835" s="6" t="str">
        <f t="shared" ref="AW1835:AW1852" si="28">HYPERLINK("http://www.worldcat.org/oclc/4450977","WorldCat Record")</f>
        <v>WorldCat Record</v>
      </c>
      <c r="AX1835" s="3" t="s">
        <v>18070</v>
      </c>
      <c r="AY1835" s="3" t="s">
        <v>18071</v>
      </c>
      <c r="AZ1835" s="3" t="s">
        <v>18072</v>
      </c>
      <c r="BA1835" s="3" t="s">
        <v>18072</v>
      </c>
      <c r="BB1835" s="3" t="s">
        <v>18073</v>
      </c>
      <c r="BC1835" s="3" t="s">
        <v>77</v>
      </c>
      <c r="BD1835" s="3" t="s">
        <v>78</v>
      </c>
      <c r="BF1835" s="3" t="s">
        <v>18073</v>
      </c>
      <c r="BG1835" s="3" t="s">
        <v>18074</v>
      </c>
    </row>
    <row r="1836" spans="1:59" ht="58" x14ac:dyDescent="0.35">
      <c r="A1836" s="2" t="s">
        <v>59</v>
      </c>
      <c r="B1836" s="2" t="s">
        <v>60</v>
      </c>
      <c r="C1836" s="2" t="s">
        <v>18064</v>
      </c>
      <c r="D1836" s="2" t="s">
        <v>18065</v>
      </c>
      <c r="E1836" s="2" t="s">
        <v>18066</v>
      </c>
      <c r="F1836" s="3" t="s">
        <v>9882</v>
      </c>
      <c r="G1836" s="3" t="s">
        <v>209</v>
      </c>
      <c r="I1836" s="3" t="s">
        <v>65</v>
      </c>
      <c r="J1836" s="3" t="s">
        <v>65</v>
      </c>
      <c r="K1836" s="3" t="s">
        <v>66</v>
      </c>
      <c r="L1836" s="2" t="s">
        <v>18067</v>
      </c>
      <c r="M1836" s="2" t="s">
        <v>18068</v>
      </c>
      <c r="N1836" s="3" t="s">
        <v>352</v>
      </c>
      <c r="P1836" s="3" t="s">
        <v>140</v>
      </c>
      <c r="R1836" s="3" t="s">
        <v>71</v>
      </c>
      <c r="S1836" s="4">
        <v>0</v>
      </c>
      <c r="T1836" s="4">
        <v>2</v>
      </c>
      <c r="V1836" s="5" t="s">
        <v>18069</v>
      </c>
      <c r="W1836" s="5" t="s">
        <v>72</v>
      </c>
      <c r="X1836" s="5" t="s">
        <v>72</v>
      </c>
      <c r="Y1836" s="4">
        <v>14</v>
      </c>
      <c r="Z1836" s="4">
        <v>5</v>
      </c>
      <c r="AA1836" s="4">
        <v>9</v>
      </c>
      <c r="AB1836" s="4">
        <v>1</v>
      </c>
      <c r="AC1836" s="4">
        <v>1</v>
      </c>
      <c r="AD1836" s="4">
        <v>7</v>
      </c>
      <c r="AE1836" s="4">
        <v>44</v>
      </c>
      <c r="AF1836" s="4">
        <v>0</v>
      </c>
      <c r="AG1836" s="4">
        <v>0</v>
      </c>
      <c r="AH1836" s="4">
        <v>5</v>
      </c>
      <c r="AI1836" s="4">
        <v>41</v>
      </c>
      <c r="AJ1836" s="4">
        <v>2</v>
      </c>
      <c r="AK1836" s="4">
        <v>6</v>
      </c>
      <c r="AL1836" s="4">
        <v>5</v>
      </c>
      <c r="AM1836" s="4">
        <v>27</v>
      </c>
      <c r="AN1836" s="4">
        <v>0</v>
      </c>
      <c r="AO1836" s="4">
        <v>0</v>
      </c>
      <c r="AP1836" s="4">
        <v>2</v>
      </c>
      <c r="AQ1836" s="4">
        <v>6</v>
      </c>
      <c r="AR1836" s="3" t="s">
        <v>65</v>
      </c>
      <c r="AS1836" s="3" t="s">
        <v>65</v>
      </c>
      <c r="AT1836" s="3" t="s">
        <v>65</v>
      </c>
      <c r="AV1836" s="6" t="str">
        <f t="shared" si="27"/>
        <v>Catalog Record</v>
      </c>
      <c r="AW1836" s="6" t="str">
        <f t="shared" si="28"/>
        <v>WorldCat Record</v>
      </c>
      <c r="AX1836" s="3" t="s">
        <v>18070</v>
      </c>
      <c r="AY1836" s="3" t="s">
        <v>18071</v>
      </c>
      <c r="AZ1836" s="3" t="s">
        <v>18072</v>
      </c>
      <c r="BA1836" s="3" t="s">
        <v>18072</v>
      </c>
      <c r="BB1836" s="3" t="s">
        <v>18075</v>
      </c>
      <c r="BC1836" s="3" t="s">
        <v>77</v>
      </c>
      <c r="BD1836" s="3" t="s">
        <v>78</v>
      </c>
      <c r="BF1836" s="3" t="s">
        <v>18075</v>
      </c>
      <c r="BG1836" s="3" t="s">
        <v>18076</v>
      </c>
    </row>
    <row r="1837" spans="1:59" ht="58" x14ac:dyDescent="0.35">
      <c r="A1837" s="2" t="s">
        <v>59</v>
      </c>
      <c r="B1837" s="2" t="s">
        <v>60</v>
      </c>
      <c r="C1837" s="2" t="s">
        <v>18064</v>
      </c>
      <c r="D1837" s="2" t="s">
        <v>18065</v>
      </c>
      <c r="E1837" s="2" t="s">
        <v>18066</v>
      </c>
      <c r="F1837" s="3" t="s">
        <v>9887</v>
      </c>
      <c r="G1837" s="3" t="s">
        <v>209</v>
      </c>
      <c r="I1837" s="3" t="s">
        <v>65</v>
      </c>
      <c r="J1837" s="3" t="s">
        <v>65</v>
      </c>
      <c r="K1837" s="3" t="s">
        <v>66</v>
      </c>
      <c r="L1837" s="2" t="s">
        <v>18067</v>
      </c>
      <c r="M1837" s="2" t="s">
        <v>18068</v>
      </c>
      <c r="N1837" s="3" t="s">
        <v>352</v>
      </c>
      <c r="P1837" s="3" t="s">
        <v>140</v>
      </c>
      <c r="R1837" s="3" t="s">
        <v>71</v>
      </c>
      <c r="S1837" s="4">
        <v>0</v>
      </c>
      <c r="T1837" s="4">
        <v>2</v>
      </c>
      <c r="V1837" s="5" t="s">
        <v>18069</v>
      </c>
      <c r="W1837" s="5" t="s">
        <v>72</v>
      </c>
      <c r="X1837" s="5" t="s">
        <v>72</v>
      </c>
      <c r="Y1837" s="4">
        <v>14</v>
      </c>
      <c r="Z1837" s="4">
        <v>5</v>
      </c>
      <c r="AA1837" s="4">
        <v>9</v>
      </c>
      <c r="AB1837" s="4">
        <v>1</v>
      </c>
      <c r="AC1837" s="4">
        <v>1</v>
      </c>
      <c r="AD1837" s="4">
        <v>7</v>
      </c>
      <c r="AE1837" s="4">
        <v>44</v>
      </c>
      <c r="AF1837" s="4">
        <v>0</v>
      </c>
      <c r="AG1837" s="4">
        <v>0</v>
      </c>
      <c r="AH1837" s="4">
        <v>5</v>
      </c>
      <c r="AI1837" s="4">
        <v>41</v>
      </c>
      <c r="AJ1837" s="4">
        <v>2</v>
      </c>
      <c r="AK1837" s="4">
        <v>6</v>
      </c>
      <c r="AL1837" s="4">
        <v>5</v>
      </c>
      <c r="AM1837" s="4">
        <v>27</v>
      </c>
      <c r="AN1837" s="4">
        <v>0</v>
      </c>
      <c r="AO1837" s="4">
        <v>0</v>
      </c>
      <c r="AP1837" s="4">
        <v>2</v>
      </c>
      <c r="AQ1837" s="4">
        <v>6</v>
      </c>
      <c r="AR1837" s="3" t="s">
        <v>65</v>
      </c>
      <c r="AS1837" s="3" t="s">
        <v>65</v>
      </c>
      <c r="AT1837" s="3" t="s">
        <v>65</v>
      </c>
      <c r="AV1837" s="6" t="str">
        <f t="shared" si="27"/>
        <v>Catalog Record</v>
      </c>
      <c r="AW1837" s="6" t="str">
        <f t="shared" si="28"/>
        <v>WorldCat Record</v>
      </c>
      <c r="AX1837" s="3" t="s">
        <v>18070</v>
      </c>
      <c r="AY1837" s="3" t="s">
        <v>18071</v>
      </c>
      <c r="AZ1837" s="3" t="s">
        <v>18072</v>
      </c>
      <c r="BA1837" s="3" t="s">
        <v>18072</v>
      </c>
      <c r="BB1837" s="3" t="s">
        <v>18077</v>
      </c>
      <c r="BC1837" s="3" t="s">
        <v>77</v>
      </c>
      <c r="BD1837" s="3" t="s">
        <v>78</v>
      </c>
      <c r="BF1837" s="3" t="s">
        <v>18077</v>
      </c>
      <c r="BG1837" s="3" t="s">
        <v>18078</v>
      </c>
    </row>
    <row r="1838" spans="1:59" ht="58" x14ac:dyDescent="0.35">
      <c r="A1838" s="2" t="s">
        <v>59</v>
      </c>
      <c r="B1838" s="2" t="s">
        <v>60</v>
      </c>
      <c r="C1838" s="2" t="s">
        <v>18064</v>
      </c>
      <c r="D1838" s="2" t="s">
        <v>18065</v>
      </c>
      <c r="E1838" s="2" t="s">
        <v>18066</v>
      </c>
      <c r="F1838" s="3" t="s">
        <v>9889</v>
      </c>
      <c r="G1838" s="3" t="s">
        <v>209</v>
      </c>
      <c r="I1838" s="3" t="s">
        <v>65</v>
      </c>
      <c r="J1838" s="3" t="s">
        <v>65</v>
      </c>
      <c r="K1838" s="3" t="s">
        <v>66</v>
      </c>
      <c r="L1838" s="2" t="s">
        <v>18067</v>
      </c>
      <c r="M1838" s="2" t="s">
        <v>18068</v>
      </c>
      <c r="N1838" s="3" t="s">
        <v>352</v>
      </c>
      <c r="P1838" s="3" t="s">
        <v>140</v>
      </c>
      <c r="R1838" s="3" t="s">
        <v>71</v>
      </c>
      <c r="S1838" s="4">
        <v>0</v>
      </c>
      <c r="T1838" s="4">
        <v>2</v>
      </c>
      <c r="V1838" s="5" t="s">
        <v>18069</v>
      </c>
      <c r="W1838" s="5" t="s">
        <v>72</v>
      </c>
      <c r="X1838" s="5" t="s">
        <v>72</v>
      </c>
      <c r="Y1838" s="4">
        <v>14</v>
      </c>
      <c r="Z1838" s="4">
        <v>5</v>
      </c>
      <c r="AA1838" s="4">
        <v>9</v>
      </c>
      <c r="AB1838" s="4">
        <v>1</v>
      </c>
      <c r="AC1838" s="4">
        <v>1</v>
      </c>
      <c r="AD1838" s="4">
        <v>7</v>
      </c>
      <c r="AE1838" s="4">
        <v>44</v>
      </c>
      <c r="AF1838" s="4">
        <v>0</v>
      </c>
      <c r="AG1838" s="4">
        <v>0</v>
      </c>
      <c r="AH1838" s="4">
        <v>5</v>
      </c>
      <c r="AI1838" s="4">
        <v>41</v>
      </c>
      <c r="AJ1838" s="4">
        <v>2</v>
      </c>
      <c r="AK1838" s="4">
        <v>6</v>
      </c>
      <c r="AL1838" s="4">
        <v>5</v>
      </c>
      <c r="AM1838" s="4">
        <v>27</v>
      </c>
      <c r="AN1838" s="4">
        <v>0</v>
      </c>
      <c r="AO1838" s="4">
        <v>0</v>
      </c>
      <c r="AP1838" s="4">
        <v>2</v>
      </c>
      <c r="AQ1838" s="4">
        <v>6</v>
      </c>
      <c r="AR1838" s="3" t="s">
        <v>65</v>
      </c>
      <c r="AS1838" s="3" t="s">
        <v>65</v>
      </c>
      <c r="AT1838" s="3" t="s">
        <v>65</v>
      </c>
      <c r="AV1838" s="6" t="str">
        <f t="shared" si="27"/>
        <v>Catalog Record</v>
      </c>
      <c r="AW1838" s="6" t="str">
        <f t="shared" si="28"/>
        <v>WorldCat Record</v>
      </c>
      <c r="AX1838" s="3" t="s">
        <v>18070</v>
      </c>
      <c r="AY1838" s="3" t="s">
        <v>18071</v>
      </c>
      <c r="AZ1838" s="3" t="s">
        <v>18072</v>
      </c>
      <c r="BA1838" s="3" t="s">
        <v>18072</v>
      </c>
      <c r="BB1838" s="3" t="s">
        <v>18079</v>
      </c>
      <c r="BC1838" s="3" t="s">
        <v>77</v>
      </c>
      <c r="BD1838" s="3" t="s">
        <v>78</v>
      </c>
      <c r="BF1838" s="3" t="s">
        <v>18079</v>
      </c>
      <c r="BG1838" s="3" t="s">
        <v>18080</v>
      </c>
    </row>
    <row r="1839" spans="1:59" ht="58" x14ac:dyDescent="0.35">
      <c r="A1839" s="2" t="s">
        <v>59</v>
      </c>
      <c r="B1839" s="2" t="s">
        <v>60</v>
      </c>
      <c r="C1839" s="2" t="s">
        <v>18064</v>
      </c>
      <c r="D1839" s="2" t="s">
        <v>18065</v>
      </c>
      <c r="E1839" s="2" t="s">
        <v>18066</v>
      </c>
      <c r="F1839" s="3" t="s">
        <v>9885</v>
      </c>
      <c r="G1839" s="3" t="s">
        <v>209</v>
      </c>
      <c r="I1839" s="3" t="s">
        <v>65</v>
      </c>
      <c r="J1839" s="3" t="s">
        <v>65</v>
      </c>
      <c r="K1839" s="3" t="s">
        <v>66</v>
      </c>
      <c r="L1839" s="2" t="s">
        <v>18067</v>
      </c>
      <c r="M1839" s="2" t="s">
        <v>18068</v>
      </c>
      <c r="N1839" s="3" t="s">
        <v>352</v>
      </c>
      <c r="P1839" s="3" t="s">
        <v>140</v>
      </c>
      <c r="R1839" s="3" t="s">
        <v>71</v>
      </c>
      <c r="S1839" s="4">
        <v>0</v>
      </c>
      <c r="T1839" s="4">
        <v>2</v>
      </c>
      <c r="V1839" s="5" t="s">
        <v>18069</v>
      </c>
      <c r="W1839" s="5" t="s">
        <v>72</v>
      </c>
      <c r="X1839" s="5" t="s">
        <v>72</v>
      </c>
      <c r="Y1839" s="4">
        <v>14</v>
      </c>
      <c r="Z1839" s="4">
        <v>5</v>
      </c>
      <c r="AA1839" s="4">
        <v>9</v>
      </c>
      <c r="AB1839" s="4">
        <v>1</v>
      </c>
      <c r="AC1839" s="4">
        <v>1</v>
      </c>
      <c r="AD1839" s="4">
        <v>7</v>
      </c>
      <c r="AE1839" s="4">
        <v>44</v>
      </c>
      <c r="AF1839" s="4">
        <v>0</v>
      </c>
      <c r="AG1839" s="4">
        <v>0</v>
      </c>
      <c r="AH1839" s="4">
        <v>5</v>
      </c>
      <c r="AI1839" s="4">
        <v>41</v>
      </c>
      <c r="AJ1839" s="4">
        <v>2</v>
      </c>
      <c r="AK1839" s="4">
        <v>6</v>
      </c>
      <c r="AL1839" s="4">
        <v>5</v>
      </c>
      <c r="AM1839" s="4">
        <v>27</v>
      </c>
      <c r="AN1839" s="4">
        <v>0</v>
      </c>
      <c r="AO1839" s="4">
        <v>0</v>
      </c>
      <c r="AP1839" s="4">
        <v>2</v>
      </c>
      <c r="AQ1839" s="4">
        <v>6</v>
      </c>
      <c r="AR1839" s="3" t="s">
        <v>65</v>
      </c>
      <c r="AS1839" s="3" t="s">
        <v>65</v>
      </c>
      <c r="AT1839" s="3" t="s">
        <v>65</v>
      </c>
      <c r="AV1839" s="6" t="str">
        <f t="shared" si="27"/>
        <v>Catalog Record</v>
      </c>
      <c r="AW1839" s="6" t="str">
        <f t="shared" si="28"/>
        <v>WorldCat Record</v>
      </c>
      <c r="AX1839" s="3" t="s">
        <v>18070</v>
      </c>
      <c r="AY1839" s="3" t="s">
        <v>18071</v>
      </c>
      <c r="AZ1839" s="3" t="s">
        <v>18072</v>
      </c>
      <c r="BA1839" s="3" t="s">
        <v>18072</v>
      </c>
      <c r="BB1839" s="3" t="s">
        <v>18081</v>
      </c>
      <c r="BC1839" s="3" t="s">
        <v>77</v>
      </c>
      <c r="BD1839" s="3" t="s">
        <v>78</v>
      </c>
      <c r="BF1839" s="3" t="s">
        <v>18081</v>
      </c>
      <c r="BG1839" s="3" t="s">
        <v>18082</v>
      </c>
    </row>
    <row r="1840" spans="1:59" ht="58" x14ac:dyDescent="0.35">
      <c r="A1840" s="2" t="s">
        <v>59</v>
      </c>
      <c r="B1840" s="2" t="s">
        <v>60</v>
      </c>
      <c r="C1840" s="2" t="s">
        <v>18064</v>
      </c>
      <c r="D1840" s="2" t="s">
        <v>18065</v>
      </c>
      <c r="E1840" s="2" t="s">
        <v>18066</v>
      </c>
      <c r="F1840" s="3" t="s">
        <v>9881</v>
      </c>
      <c r="G1840" s="3" t="s">
        <v>209</v>
      </c>
      <c r="I1840" s="3" t="s">
        <v>65</v>
      </c>
      <c r="J1840" s="3" t="s">
        <v>65</v>
      </c>
      <c r="K1840" s="3" t="s">
        <v>66</v>
      </c>
      <c r="L1840" s="2" t="s">
        <v>18067</v>
      </c>
      <c r="M1840" s="2" t="s">
        <v>18068</v>
      </c>
      <c r="N1840" s="3" t="s">
        <v>352</v>
      </c>
      <c r="P1840" s="3" t="s">
        <v>140</v>
      </c>
      <c r="R1840" s="3" t="s">
        <v>71</v>
      </c>
      <c r="S1840" s="4">
        <v>0</v>
      </c>
      <c r="T1840" s="4">
        <v>2</v>
      </c>
      <c r="V1840" s="5" t="s">
        <v>18069</v>
      </c>
      <c r="W1840" s="5" t="s">
        <v>72</v>
      </c>
      <c r="X1840" s="5" t="s">
        <v>72</v>
      </c>
      <c r="Y1840" s="4">
        <v>14</v>
      </c>
      <c r="Z1840" s="4">
        <v>5</v>
      </c>
      <c r="AA1840" s="4">
        <v>9</v>
      </c>
      <c r="AB1840" s="4">
        <v>1</v>
      </c>
      <c r="AC1840" s="4">
        <v>1</v>
      </c>
      <c r="AD1840" s="4">
        <v>7</v>
      </c>
      <c r="AE1840" s="4">
        <v>44</v>
      </c>
      <c r="AF1840" s="4">
        <v>0</v>
      </c>
      <c r="AG1840" s="4">
        <v>0</v>
      </c>
      <c r="AH1840" s="4">
        <v>5</v>
      </c>
      <c r="AI1840" s="4">
        <v>41</v>
      </c>
      <c r="AJ1840" s="4">
        <v>2</v>
      </c>
      <c r="AK1840" s="4">
        <v>6</v>
      </c>
      <c r="AL1840" s="4">
        <v>5</v>
      </c>
      <c r="AM1840" s="4">
        <v>27</v>
      </c>
      <c r="AN1840" s="4">
        <v>0</v>
      </c>
      <c r="AO1840" s="4">
        <v>0</v>
      </c>
      <c r="AP1840" s="4">
        <v>2</v>
      </c>
      <c r="AQ1840" s="4">
        <v>6</v>
      </c>
      <c r="AR1840" s="3" t="s">
        <v>65</v>
      </c>
      <c r="AS1840" s="3" t="s">
        <v>65</v>
      </c>
      <c r="AT1840" s="3" t="s">
        <v>65</v>
      </c>
      <c r="AV1840" s="6" t="str">
        <f t="shared" si="27"/>
        <v>Catalog Record</v>
      </c>
      <c r="AW1840" s="6" t="str">
        <f t="shared" si="28"/>
        <v>WorldCat Record</v>
      </c>
      <c r="AX1840" s="3" t="s">
        <v>18070</v>
      </c>
      <c r="AY1840" s="3" t="s">
        <v>18071</v>
      </c>
      <c r="AZ1840" s="3" t="s">
        <v>18072</v>
      </c>
      <c r="BA1840" s="3" t="s">
        <v>18072</v>
      </c>
      <c r="BB1840" s="3" t="s">
        <v>18083</v>
      </c>
      <c r="BC1840" s="3" t="s">
        <v>77</v>
      </c>
      <c r="BD1840" s="3" t="s">
        <v>78</v>
      </c>
      <c r="BF1840" s="3" t="s">
        <v>18083</v>
      </c>
      <c r="BG1840" s="3" t="s">
        <v>18084</v>
      </c>
    </row>
    <row r="1841" spans="1:59" ht="58" x14ac:dyDescent="0.35">
      <c r="A1841" s="2" t="s">
        <v>59</v>
      </c>
      <c r="B1841" s="2" t="s">
        <v>60</v>
      </c>
      <c r="C1841" s="2" t="s">
        <v>18064</v>
      </c>
      <c r="D1841" s="2" t="s">
        <v>18065</v>
      </c>
      <c r="E1841" s="2" t="s">
        <v>18066</v>
      </c>
      <c r="F1841" s="3" t="s">
        <v>9888</v>
      </c>
      <c r="G1841" s="3" t="s">
        <v>209</v>
      </c>
      <c r="I1841" s="3" t="s">
        <v>65</v>
      </c>
      <c r="J1841" s="3" t="s">
        <v>65</v>
      </c>
      <c r="K1841" s="3" t="s">
        <v>66</v>
      </c>
      <c r="L1841" s="2" t="s">
        <v>18067</v>
      </c>
      <c r="M1841" s="2" t="s">
        <v>18068</v>
      </c>
      <c r="N1841" s="3" t="s">
        <v>352</v>
      </c>
      <c r="P1841" s="3" t="s">
        <v>140</v>
      </c>
      <c r="R1841" s="3" t="s">
        <v>71</v>
      </c>
      <c r="S1841" s="4">
        <v>0</v>
      </c>
      <c r="T1841" s="4">
        <v>2</v>
      </c>
      <c r="V1841" s="5" t="s">
        <v>18069</v>
      </c>
      <c r="W1841" s="5" t="s">
        <v>72</v>
      </c>
      <c r="X1841" s="5" t="s">
        <v>72</v>
      </c>
      <c r="Y1841" s="4">
        <v>14</v>
      </c>
      <c r="Z1841" s="4">
        <v>5</v>
      </c>
      <c r="AA1841" s="4">
        <v>9</v>
      </c>
      <c r="AB1841" s="4">
        <v>1</v>
      </c>
      <c r="AC1841" s="4">
        <v>1</v>
      </c>
      <c r="AD1841" s="4">
        <v>7</v>
      </c>
      <c r="AE1841" s="4">
        <v>44</v>
      </c>
      <c r="AF1841" s="4">
        <v>0</v>
      </c>
      <c r="AG1841" s="4">
        <v>0</v>
      </c>
      <c r="AH1841" s="4">
        <v>5</v>
      </c>
      <c r="AI1841" s="4">
        <v>41</v>
      </c>
      <c r="AJ1841" s="4">
        <v>2</v>
      </c>
      <c r="AK1841" s="4">
        <v>6</v>
      </c>
      <c r="AL1841" s="4">
        <v>5</v>
      </c>
      <c r="AM1841" s="4">
        <v>27</v>
      </c>
      <c r="AN1841" s="4">
        <v>0</v>
      </c>
      <c r="AO1841" s="4">
        <v>0</v>
      </c>
      <c r="AP1841" s="4">
        <v>2</v>
      </c>
      <c r="AQ1841" s="4">
        <v>6</v>
      </c>
      <c r="AR1841" s="3" t="s">
        <v>65</v>
      </c>
      <c r="AS1841" s="3" t="s">
        <v>65</v>
      </c>
      <c r="AT1841" s="3" t="s">
        <v>65</v>
      </c>
      <c r="AV1841" s="6" t="str">
        <f t="shared" si="27"/>
        <v>Catalog Record</v>
      </c>
      <c r="AW1841" s="6" t="str">
        <f t="shared" si="28"/>
        <v>WorldCat Record</v>
      </c>
      <c r="AX1841" s="3" t="s">
        <v>18070</v>
      </c>
      <c r="AY1841" s="3" t="s">
        <v>18071</v>
      </c>
      <c r="AZ1841" s="3" t="s">
        <v>18072</v>
      </c>
      <c r="BA1841" s="3" t="s">
        <v>18072</v>
      </c>
      <c r="BB1841" s="3" t="s">
        <v>18085</v>
      </c>
      <c r="BC1841" s="3" t="s">
        <v>77</v>
      </c>
      <c r="BD1841" s="3" t="s">
        <v>78</v>
      </c>
      <c r="BF1841" s="3" t="s">
        <v>18085</v>
      </c>
      <c r="BG1841" s="3" t="s">
        <v>18086</v>
      </c>
    </row>
    <row r="1842" spans="1:59" ht="58" x14ac:dyDescent="0.35">
      <c r="A1842" s="2" t="s">
        <v>59</v>
      </c>
      <c r="B1842" s="2" t="s">
        <v>60</v>
      </c>
      <c r="C1842" s="2" t="s">
        <v>18064</v>
      </c>
      <c r="D1842" s="2" t="s">
        <v>18065</v>
      </c>
      <c r="E1842" s="2" t="s">
        <v>18066</v>
      </c>
      <c r="F1842" s="3" t="s">
        <v>9891</v>
      </c>
      <c r="G1842" s="3" t="s">
        <v>209</v>
      </c>
      <c r="I1842" s="3" t="s">
        <v>65</v>
      </c>
      <c r="J1842" s="3" t="s">
        <v>65</v>
      </c>
      <c r="K1842" s="3" t="s">
        <v>66</v>
      </c>
      <c r="L1842" s="2" t="s">
        <v>18067</v>
      </c>
      <c r="M1842" s="2" t="s">
        <v>18068</v>
      </c>
      <c r="N1842" s="3" t="s">
        <v>352</v>
      </c>
      <c r="P1842" s="3" t="s">
        <v>140</v>
      </c>
      <c r="R1842" s="3" t="s">
        <v>71</v>
      </c>
      <c r="S1842" s="4">
        <v>0</v>
      </c>
      <c r="T1842" s="4">
        <v>2</v>
      </c>
      <c r="V1842" s="5" t="s">
        <v>18069</v>
      </c>
      <c r="W1842" s="5" t="s">
        <v>72</v>
      </c>
      <c r="X1842" s="5" t="s">
        <v>72</v>
      </c>
      <c r="Y1842" s="4">
        <v>14</v>
      </c>
      <c r="Z1842" s="4">
        <v>5</v>
      </c>
      <c r="AA1842" s="4">
        <v>9</v>
      </c>
      <c r="AB1842" s="4">
        <v>1</v>
      </c>
      <c r="AC1842" s="4">
        <v>1</v>
      </c>
      <c r="AD1842" s="4">
        <v>7</v>
      </c>
      <c r="AE1842" s="4">
        <v>44</v>
      </c>
      <c r="AF1842" s="4">
        <v>0</v>
      </c>
      <c r="AG1842" s="4">
        <v>0</v>
      </c>
      <c r="AH1842" s="4">
        <v>5</v>
      </c>
      <c r="AI1842" s="4">
        <v>41</v>
      </c>
      <c r="AJ1842" s="4">
        <v>2</v>
      </c>
      <c r="AK1842" s="4">
        <v>6</v>
      </c>
      <c r="AL1842" s="4">
        <v>5</v>
      </c>
      <c r="AM1842" s="4">
        <v>27</v>
      </c>
      <c r="AN1842" s="4">
        <v>0</v>
      </c>
      <c r="AO1842" s="4">
        <v>0</v>
      </c>
      <c r="AP1842" s="4">
        <v>2</v>
      </c>
      <c r="AQ1842" s="4">
        <v>6</v>
      </c>
      <c r="AR1842" s="3" t="s">
        <v>65</v>
      </c>
      <c r="AS1842" s="3" t="s">
        <v>65</v>
      </c>
      <c r="AT1842" s="3" t="s">
        <v>65</v>
      </c>
      <c r="AV1842" s="6" t="str">
        <f t="shared" si="27"/>
        <v>Catalog Record</v>
      </c>
      <c r="AW1842" s="6" t="str">
        <f t="shared" si="28"/>
        <v>WorldCat Record</v>
      </c>
      <c r="AX1842" s="3" t="s">
        <v>18070</v>
      </c>
      <c r="AY1842" s="3" t="s">
        <v>18071</v>
      </c>
      <c r="AZ1842" s="3" t="s">
        <v>18072</v>
      </c>
      <c r="BA1842" s="3" t="s">
        <v>18072</v>
      </c>
      <c r="BB1842" s="3" t="s">
        <v>18087</v>
      </c>
      <c r="BC1842" s="3" t="s">
        <v>77</v>
      </c>
      <c r="BD1842" s="3" t="s">
        <v>78</v>
      </c>
      <c r="BF1842" s="3" t="s">
        <v>18087</v>
      </c>
      <c r="BG1842" s="3" t="s">
        <v>18088</v>
      </c>
    </row>
    <row r="1843" spans="1:59" ht="58" x14ac:dyDescent="0.35">
      <c r="A1843" s="2" t="s">
        <v>59</v>
      </c>
      <c r="B1843" s="2" t="s">
        <v>60</v>
      </c>
      <c r="C1843" s="2" t="s">
        <v>18064</v>
      </c>
      <c r="D1843" s="2" t="s">
        <v>18065</v>
      </c>
      <c r="E1843" s="2" t="s">
        <v>18066</v>
      </c>
      <c r="F1843" s="3" t="s">
        <v>503</v>
      </c>
      <c r="G1843" s="3" t="s">
        <v>209</v>
      </c>
      <c r="I1843" s="3" t="s">
        <v>65</v>
      </c>
      <c r="J1843" s="3" t="s">
        <v>65</v>
      </c>
      <c r="K1843" s="3" t="s">
        <v>66</v>
      </c>
      <c r="L1843" s="2" t="s">
        <v>18067</v>
      </c>
      <c r="M1843" s="2" t="s">
        <v>18068</v>
      </c>
      <c r="N1843" s="3" t="s">
        <v>352</v>
      </c>
      <c r="P1843" s="3" t="s">
        <v>140</v>
      </c>
      <c r="R1843" s="3" t="s">
        <v>71</v>
      </c>
      <c r="S1843" s="4">
        <v>0</v>
      </c>
      <c r="T1843" s="4">
        <v>2</v>
      </c>
      <c r="V1843" s="5" t="s">
        <v>18069</v>
      </c>
      <c r="W1843" s="5" t="s">
        <v>72</v>
      </c>
      <c r="X1843" s="5" t="s">
        <v>72</v>
      </c>
      <c r="Y1843" s="4">
        <v>14</v>
      </c>
      <c r="Z1843" s="4">
        <v>5</v>
      </c>
      <c r="AA1843" s="4">
        <v>9</v>
      </c>
      <c r="AB1843" s="4">
        <v>1</v>
      </c>
      <c r="AC1843" s="4">
        <v>1</v>
      </c>
      <c r="AD1843" s="4">
        <v>7</v>
      </c>
      <c r="AE1843" s="4">
        <v>44</v>
      </c>
      <c r="AF1843" s="4">
        <v>0</v>
      </c>
      <c r="AG1843" s="4">
        <v>0</v>
      </c>
      <c r="AH1843" s="4">
        <v>5</v>
      </c>
      <c r="AI1843" s="4">
        <v>41</v>
      </c>
      <c r="AJ1843" s="4">
        <v>2</v>
      </c>
      <c r="AK1843" s="4">
        <v>6</v>
      </c>
      <c r="AL1843" s="4">
        <v>5</v>
      </c>
      <c r="AM1843" s="4">
        <v>27</v>
      </c>
      <c r="AN1843" s="4">
        <v>0</v>
      </c>
      <c r="AO1843" s="4">
        <v>0</v>
      </c>
      <c r="AP1843" s="4">
        <v>2</v>
      </c>
      <c r="AQ1843" s="4">
        <v>6</v>
      </c>
      <c r="AR1843" s="3" t="s">
        <v>65</v>
      </c>
      <c r="AS1843" s="3" t="s">
        <v>65</v>
      </c>
      <c r="AT1843" s="3" t="s">
        <v>65</v>
      </c>
      <c r="AV1843" s="6" t="str">
        <f t="shared" si="27"/>
        <v>Catalog Record</v>
      </c>
      <c r="AW1843" s="6" t="str">
        <f t="shared" si="28"/>
        <v>WorldCat Record</v>
      </c>
      <c r="AX1843" s="3" t="s">
        <v>18070</v>
      </c>
      <c r="AY1843" s="3" t="s">
        <v>18071</v>
      </c>
      <c r="AZ1843" s="3" t="s">
        <v>18072</v>
      </c>
      <c r="BA1843" s="3" t="s">
        <v>18072</v>
      </c>
      <c r="BB1843" s="3" t="s">
        <v>18089</v>
      </c>
      <c r="BC1843" s="3" t="s">
        <v>77</v>
      </c>
      <c r="BD1843" s="3" t="s">
        <v>78</v>
      </c>
      <c r="BF1843" s="3" t="s">
        <v>18089</v>
      </c>
      <c r="BG1843" s="3" t="s">
        <v>18090</v>
      </c>
    </row>
    <row r="1844" spans="1:59" ht="58" x14ac:dyDescent="0.35">
      <c r="A1844" s="2" t="s">
        <v>59</v>
      </c>
      <c r="B1844" s="2" t="s">
        <v>60</v>
      </c>
      <c r="C1844" s="2" t="s">
        <v>18064</v>
      </c>
      <c r="D1844" s="2" t="s">
        <v>18065</v>
      </c>
      <c r="E1844" s="2" t="s">
        <v>18066</v>
      </c>
      <c r="F1844" s="3" t="s">
        <v>843</v>
      </c>
      <c r="G1844" s="3" t="s">
        <v>209</v>
      </c>
      <c r="I1844" s="3" t="s">
        <v>65</v>
      </c>
      <c r="J1844" s="3" t="s">
        <v>65</v>
      </c>
      <c r="K1844" s="3" t="s">
        <v>66</v>
      </c>
      <c r="L1844" s="2" t="s">
        <v>18067</v>
      </c>
      <c r="M1844" s="2" t="s">
        <v>18068</v>
      </c>
      <c r="N1844" s="3" t="s">
        <v>352</v>
      </c>
      <c r="P1844" s="3" t="s">
        <v>140</v>
      </c>
      <c r="R1844" s="3" t="s">
        <v>71</v>
      </c>
      <c r="S1844" s="4">
        <v>0</v>
      </c>
      <c r="T1844" s="4">
        <v>2</v>
      </c>
      <c r="V1844" s="5" t="s">
        <v>18069</v>
      </c>
      <c r="W1844" s="5" t="s">
        <v>72</v>
      </c>
      <c r="X1844" s="5" t="s">
        <v>72</v>
      </c>
      <c r="Y1844" s="4">
        <v>14</v>
      </c>
      <c r="Z1844" s="4">
        <v>5</v>
      </c>
      <c r="AA1844" s="4">
        <v>9</v>
      </c>
      <c r="AB1844" s="4">
        <v>1</v>
      </c>
      <c r="AC1844" s="4">
        <v>1</v>
      </c>
      <c r="AD1844" s="4">
        <v>7</v>
      </c>
      <c r="AE1844" s="4">
        <v>44</v>
      </c>
      <c r="AF1844" s="4">
        <v>0</v>
      </c>
      <c r="AG1844" s="4">
        <v>0</v>
      </c>
      <c r="AH1844" s="4">
        <v>5</v>
      </c>
      <c r="AI1844" s="4">
        <v>41</v>
      </c>
      <c r="AJ1844" s="4">
        <v>2</v>
      </c>
      <c r="AK1844" s="4">
        <v>6</v>
      </c>
      <c r="AL1844" s="4">
        <v>5</v>
      </c>
      <c r="AM1844" s="4">
        <v>27</v>
      </c>
      <c r="AN1844" s="4">
        <v>0</v>
      </c>
      <c r="AO1844" s="4">
        <v>0</v>
      </c>
      <c r="AP1844" s="4">
        <v>2</v>
      </c>
      <c r="AQ1844" s="4">
        <v>6</v>
      </c>
      <c r="AR1844" s="3" t="s">
        <v>65</v>
      </c>
      <c r="AS1844" s="3" t="s">
        <v>65</v>
      </c>
      <c r="AT1844" s="3" t="s">
        <v>65</v>
      </c>
      <c r="AV1844" s="6" t="str">
        <f t="shared" si="27"/>
        <v>Catalog Record</v>
      </c>
      <c r="AW1844" s="6" t="str">
        <f t="shared" si="28"/>
        <v>WorldCat Record</v>
      </c>
      <c r="AX1844" s="3" t="s">
        <v>18070</v>
      </c>
      <c r="AY1844" s="3" t="s">
        <v>18071</v>
      </c>
      <c r="AZ1844" s="3" t="s">
        <v>18072</v>
      </c>
      <c r="BA1844" s="3" t="s">
        <v>18072</v>
      </c>
      <c r="BB1844" s="3" t="s">
        <v>18091</v>
      </c>
      <c r="BC1844" s="3" t="s">
        <v>77</v>
      </c>
      <c r="BD1844" s="3" t="s">
        <v>78</v>
      </c>
      <c r="BF1844" s="3" t="s">
        <v>18091</v>
      </c>
      <c r="BG1844" s="3" t="s">
        <v>18092</v>
      </c>
    </row>
    <row r="1845" spans="1:59" ht="58" x14ac:dyDescent="0.35">
      <c r="A1845" s="2" t="s">
        <v>59</v>
      </c>
      <c r="B1845" s="2" t="s">
        <v>60</v>
      </c>
      <c r="C1845" s="2" t="s">
        <v>18064</v>
      </c>
      <c r="D1845" s="2" t="s">
        <v>18065</v>
      </c>
      <c r="E1845" s="2" t="s">
        <v>18066</v>
      </c>
      <c r="F1845" s="3" t="s">
        <v>9883</v>
      </c>
      <c r="G1845" s="3" t="s">
        <v>209</v>
      </c>
      <c r="I1845" s="3" t="s">
        <v>65</v>
      </c>
      <c r="J1845" s="3" t="s">
        <v>65</v>
      </c>
      <c r="K1845" s="3" t="s">
        <v>66</v>
      </c>
      <c r="L1845" s="2" t="s">
        <v>18067</v>
      </c>
      <c r="M1845" s="2" t="s">
        <v>18068</v>
      </c>
      <c r="N1845" s="3" t="s">
        <v>352</v>
      </c>
      <c r="P1845" s="3" t="s">
        <v>140</v>
      </c>
      <c r="R1845" s="3" t="s">
        <v>71</v>
      </c>
      <c r="S1845" s="4">
        <v>0</v>
      </c>
      <c r="T1845" s="4">
        <v>2</v>
      </c>
      <c r="V1845" s="5" t="s">
        <v>18069</v>
      </c>
      <c r="W1845" s="5" t="s">
        <v>72</v>
      </c>
      <c r="X1845" s="5" t="s">
        <v>72</v>
      </c>
      <c r="Y1845" s="4">
        <v>14</v>
      </c>
      <c r="Z1845" s="4">
        <v>5</v>
      </c>
      <c r="AA1845" s="4">
        <v>9</v>
      </c>
      <c r="AB1845" s="4">
        <v>1</v>
      </c>
      <c r="AC1845" s="4">
        <v>1</v>
      </c>
      <c r="AD1845" s="4">
        <v>7</v>
      </c>
      <c r="AE1845" s="4">
        <v>44</v>
      </c>
      <c r="AF1845" s="4">
        <v>0</v>
      </c>
      <c r="AG1845" s="4">
        <v>0</v>
      </c>
      <c r="AH1845" s="4">
        <v>5</v>
      </c>
      <c r="AI1845" s="4">
        <v>41</v>
      </c>
      <c r="AJ1845" s="4">
        <v>2</v>
      </c>
      <c r="AK1845" s="4">
        <v>6</v>
      </c>
      <c r="AL1845" s="4">
        <v>5</v>
      </c>
      <c r="AM1845" s="4">
        <v>27</v>
      </c>
      <c r="AN1845" s="4">
        <v>0</v>
      </c>
      <c r="AO1845" s="4">
        <v>0</v>
      </c>
      <c r="AP1845" s="4">
        <v>2</v>
      </c>
      <c r="AQ1845" s="4">
        <v>6</v>
      </c>
      <c r="AR1845" s="3" t="s">
        <v>65</v>
      </c>
      <c r="AS1845" s="3" t="s">
        <v>65</v>
      </c>
      <c r="AT1845" s="3" t="s">
        <v>65</v>
      </c>
      <c r="AV1845" s="6" t="str">
        <f t="shared" si="27"/>
        <v>Catalog Record</v>
      </c>
      <c r="AW1845" s="6" t="str">
        <f t="shared" si="28"/>
        <v>WorldCat Record</v>
      </c>
      <c r="AX1845" s="3" t="s">
        <v>18070</v>
      </c>
      <c r="AY1845" s="3" t="s">
        <v>18071</v>
      </c>
      <c r="AZ1845" s="3" t="s">
        <v>18072</v>
      </c>
      <c r="BA1845" s="3" t="s">
        <v>18072</v>
      </c>
      <c r="BB1845" s="3" t="s">
        <v>18093</v>
      </c>
      <c r="BC1845" s="3" t="s">
        <v>77</v>
      </c>
      <c r="BD1845" s="3" t="s">
        <v>78</v>
      </c>
      <c r="BF1845" s="3" t="s">
        <v>18093</v>
      </c>
      <c r="BG1845" s="3" t="s">
        <v>18094</v>
      </c>
    </row>
    <row r="1846" spans="1:59" ht="58" x14ac:dyDescent="0.35">
      <c r="A1846" s="2" t="s">
        <v>59</v>
      </c>
      <c r="B1846" s="2" t="s">
        <v>60</v>
      </c>
      <c r="C1846" s="2" t="s">
        <v>18064</v>
      </c>
      <c r="D1846" s="2" t="s">
        <v>18065</v>
      </c>
      <c r="E1846" s="2" t="s">
        <v>18066</v>
      </c>
      <c r="F1846" s="3" t="s">
        <v>850</v>
      </c>
      <c r="G1846" s="3" t="s">
        <v>209</v>
      </c>
      <c r="I1846" s="3" t="s">
        <v>65</v>
      </c>
      <c r="J1846" s="3" t="s">
        <v>65</v>
      </c>
      <c r="K1846" s="3" t="s">
        <v>66</v>
      </c>
      <c r="L1846" s="2" t="s">
        <v>18067</v>
      </c>
      <c r="M1846" s="2" t="s">
        <v>18068</v>
      </c>
      <c r="N1846" s="3" t="s">
        <v>352</v>
      </c>
      <c r="P1846" s="3" t="s">
        <v>140</v>
      </c>
      <c r="R1846" s="3" t="s">
        <v>71</v>
      </c>
      <c r="S1846" s="4">
        <v>0</v>
      </c>
      <c r="T1846" s="4">
        <v>2</v>
      </c>
      <c r="V1846" s="5" t="s">
        <v>18069</v>
      </c>
      <c r="W1846" s="5" t="s">
        <v>72</v>
      </c>
      <c r="X1846" s="5" t="s">
        <v>72</v>
      </c>
      <c r="Y1846" s="4">
        <v>14</v>
      </c>
      <c r="Z1846" s="4">
        <v>5</v>
      </c>
      <c r="AA1846" s="4">
        <v>9</v>
      </c>
      <c r="AB1846" s="4">
        <v>1</v>
      </c>
      <c r="AC1846" s="4">
        <v>1</v>
      </c>
      <c r="AD1846" s="4">
        <v>7</v>
      </c>
      <c r="AE1846" s="4">
        <v>44</v>
      </c>
      <c r="AF1846" s="4">
        <v>0</v>
      </c>
      <c r="AG1846" s="4">
        <v>0</v>
      </c>
      <c r="AH1846" s="4">
        <v>5</v>
      </c>
      <c r="AI1846" s="4">
        <v>41</v>
      </c>
      <c r="AJ1846" s="4">
        <v>2</v>
      </c>
      <c r="AK1846" s="4">
        <v>6</v>
      </c>
      <c r="AL1846" s="4">
        <v>5</v>
      </c>
      <c r="AM1846" s="4">
        <v>27</v>
      </c>
      <c r="AN1846" s="4">
        <v>0</v>
      </c>
      <c r="AO1846" s="4">
        <v>0</v>
      </c>
      <c r="AP1846" s="4">
        <v>2</v>
      </c>
      <c r="AQ1846" s="4">
        <v>6</v>
      </c>
      <c r="AR1846" s="3" t="s">
        <v>65</v>
      </c>
      <c r="AS1846" s="3" t="s">
        <v>65</v>
      </c>
      <c r="AT1846" s="3" t="s">
        <v>65</v>
      </c>
      <c r="AV1846" s="6" t="str">
        <f t="shared" si="27"/>
        <v>Catalog Record</v>
      </c>
      <c r="AW1846" s="6" t="str">
        <f t="shared" si="28"/>
        <v>WorldCat Record</v>
      </c>
      <c r="AX1846" s="3" t="s">
        <v>18070</v>
      </c>
      <c r="AY1846" s="3" t="s">
        <v>18071</v>
      </c>
      <c r="AZ1846" s="3" t="s">
        <v>18072</v>
      </c>
      <c r="BA1846" s="3" t="s">
        <v>18072</v>
      </c>
      <c r="BB1846" s="3" t="s">
        <v>18095</v>
      </c>
      <c r="BC1846" s="3" t="s">
        <v>77</v>
      </c>
      <c r="BD1846" s="3" t="s">
        <v>78</v>
      </c>
      <c r="BF1846" s="3" t="s">
        <v>18095</v>
      </c>
      <c r="BG1846" s="3" t="s">
        <v>18096</v>
      </c>
    </row>
    <row r="1847" spans="1:59" ht="58" x14ac:dyDescent="0.35">
      <c r="A1847" s="2" t="s">
        <v>59</v>
      </c>
      <c r="B1847" s="2" t="s">
        <v>60</v>
      </c>
      <c r="C1847" s="2" t="s">
        <v>18064</v>
      </c>
      <c r="D1847" s="2" t="s">
        <v>18065</v>
      </c>
      <c r="E1847" s="2" t="s">
        <v>18066</v>
      </c>
      <c r="F1847" s="3" t="s">
        <v>3103</v>
      </c>
      <c r="G1847" s="3" t="s">
        <v>209</v>
      </c>
      <c r="I1847" s="3" t="s">
        <v>65</v>
      </c>
      <c r="J1847" s="3" t="s">
        <v>65</v>
      </c>
      <c r="K1847" s="3" t="s">
        <v>66</v>
      </c>
      <c r="L1847" s="2" t="s">
        <v>18067</v>
      </c>
      <c r="M1847" s="2" t="s">
        <v>18068</v>
      </c>
      <c r="N1847" s="3" t="s">
        <v>352</v>
      </c>
      <c r="P1847" s="3" t="s">
        <v>140</v>
      </c>
      <c r="R1847" s="3" t="s">
        <v>71</v>
      </c>
      <c r="S1847" s="4">
        <v>0</v>
      </c>
      <c r="T1847" s="4">
        <v>2</v>
      </c>
      <c r="V1847" s="5" t="s">
        <v>18069</v>
      </c>
      <c r="W1847" s="5" t="s">
        <v>72</v>
      </c>
      <c r="X1847" s="5" t="s">
        <v>72</v>
      </c>
      <c r="Y1847" s="4">
        <v>14</v>
      </c>
      <c r="Z1847" s="4">
        <v>5</v>
      </c>
      <c r="AA1847" s="4">
        <v>9</v>
      </c>
      <c r="AB1847" s="4">
        <v>1</v>
      </c>
      <c r="AC1847" s="4">
        <v>1</v>
      </c>
      <c r="AD1847" s="4">
        <v>7</v>
      </c>
      <c r="AE1847" s="4">
        <v>44</v>
      </c>
      <c r="AF1847" s="4">
        <v>0</v>
      </c>
      <c r="AG1847" s="4">
        <v>0</v>
      </c>
      <c r="AH1847" s="4">
        <v>5</v>
      </c>
      <c r="AI1847" s="4">
        <v>41</v>
      </c>
      <c r="AJ1847" s="4">
        <v>2</v>
      </c>
      <c r="AK1847" s="4">
        <v>6</v>
      </c>
      <c r="AL1847" s="4">
        <v>5</v>
      </c>
      <c r="AM1847" s="4">
        <v>27</v>
      </c>
      <c r="AN1847" s="4">
        <v>0</v>
      </c>
      <c r="AO1847" s="4">
        <v>0</v>
      </c>
      <c r="AP1847" s="4">
        <v>2</v>
      </c>
      <c r="AQ1847" s="4">
        <v>6</v>
      </c>
      <c r="AR1847" s="3" t="s">
        <v>65</v>
      </c>
      <c r="AS1847" s="3" t="s">
        <v>65</v>
      </c>
      <c r="AT1847" s="3" t="s">
        <v>65</v>
      </c>
      <c r="AV1847" s="6" t="str">
        <f t="shared" si="27"/>
        <v>Catalog Record</v>
      </c>
      <c r="AW1847" s="6" t="str">
        <f t="shared" si="28"/>
        <v>WorldCat Record</v>
      </c>
      <c r="AX1847" s="3" t="s">
        <v>18070</v>
      </c>
      <c r="AY1847" s="3" t="s">
        <v>18071</v>
      </c>
      <c r="AZ1847" s="3" t="s">
        <v>18072</v>
      </c>
      <c r="BA1847" s="3" t="s">
        <v>18072</v>
      </c>
      <c r="BB1847" s="3" t="s">
        <v>18097</v>
      </c>
      <c r="BC1847" s="3" t="s">
        <v>77</v>
      </c>
      <c r="BD1847" s="3" t="s">
        <v>78</v>
      </c>
      <c r="BF1847" s="3" t="s">
        <v>18097</v>
      </c>
      <c r="BG1847" s="3" t="s">
        <v>18098</v>
      </c>
    </row>
    <row r="1848" spans="1:59" ht="58" x14ac:dyDescent="0.35">
      <c r="A1848" s="2" t="s">
        <v>59</v>
      </c>
      <c r="B1848" s="2" t="s">
        <v>60</v>
      </c>
      <c r="C1848" s="2" t="s">
        <v>18064</v>
      </c>
      <c r="D1848" s="2" t="s">
        <v>18065</v>
      </c>
      <c r="E1848" s="2" t="s">
        <v>18066</v>
      </c>
      <c r="F1848" s="3" t="s">
        <v>9884</v>
      </c>
      <c r="G1848" s="3" t="s">
        <v>209</v>
      </c>
      <c r="I1848" s="3" t="s">
        <v>65</v>
      </c>
      <c r="J1848" s="3" t="s">
        <v>65</v>
      </c>
      <c r="K1848" s="3" t="s">
        <v>66</v>
      </c>
      <c r="L1848" s="2" t="s">
        <v>18067</v>
      </c>
      <c r="M1848" s="2" t="s">
        <v>18068</v>
      </c>
      <c r="N1848" s="3" t="s">
        <v>352</v>
      </c>
      <c r="P1848" s="3" t="s">
        <v>140</v>
      </c>
      <c r="R1848" s="3" t="s">
        <v>71</v>
      </c>
      <c r="S1848" s="4">
        <v>0</v>
      </c>
      <c r="T1848" s="4">
        <v>2</v>
      </c>
      <c r="V1848" s="5" t="s">
        <v>18069</v>
      </c>
      <c r="W1848" s="5" t="s">
        <v>72</v>
      </c>
      <c r="X1848" s="5" t="s">
        <v>72</v>
      </c>
      <c r="Y1848" s="4">
        <v>14</v>
      </c>
      <c r="Z1848" s="4">
        <v>5</v>
      </c>
      <c r="AA1848" s="4">
        <v>9</v>
      </c>
      <c r="AB1848" s="4">
        <v>1</v>
      </c>
      <c r="AC1848" s="4">
        <v>1</v>
      </c>
      <c r="AD1848" s="4">
        <v>7</v>
      </c>
      <c r="AE1848" s="4">
        <v>44</v>
      </c>
      <c r="AF1848" s="4">
        <v>0</v>
      </c>
      <c r="AG1848" s="4">
        <v>0</v>
      </c>
      <c r="AH1848" s="4">
        <v>5</v>
      </c>
      <c r="AI1848" s="4">
        <v>41</v>
      </c>
      <c r="AJ1848" s="4">
        <v>2</v>
      </c>
      <c r="AK1848" s="4">
        <v>6</v>
      </c>
      <c r="AL1848" s="4">
        <v>5</v>
      </c>
      <c r="AM1848" s="4">
        <v>27</v>
      </c>
      <c r="AN1848" s="4">
        <v>0</v>
      </c>
      <c r="AO1848" s="4">
        <v>0</v>
      </c>
      <c r="AP1848" s="4">
        <v>2</v>
      </c>
      <c r="AQ1848" s="4">
        <v>6</v>
      </c>
      <c r="AR1848" s="3" t="s">
        <v>65</v>
      </c>
      <c r="AS1848" s="3" t="s">
        <v>65</v>
      </c>
      <c r="AT1848" s="3" t="s">
        <v>65</v>
      </c>
      <c r="AV1848" s="6" t="str">
        <f t="shared" si="27"/>
        <v>Catalog Record</v>
      </c>
      <c r="AW1848" s="6" t="str">
        <f t="shared" si="28"/>
        <v>WorldCat Record</v>
      </c>
      <c r="AX1848" s="3" t="s">
        <v>18070</v>
      </c>
      <c r="AY1848" s="3" t="s">
        <v>18071</v>
      </c>
      <c r="AZ1848" s="3" t="s">
        <v>18072</v>
      </c>
      <c r="BA1848" s="3" t="s">
        <v>18072</v>
      </c>
      <c r="BB1848" s="3" t="s">
        <v>18099</v>
      </c>
      <c r="BC1848" s="3" t="s">
        <v>77</v>
      </c>
      <c r="BD1848" s="3" t="s">
        <v>78</v>
      </c>
      <c r="BF1848" s="3" t="s">
        <v>18099</v>
      </c>
      <c r="BG1848" s="3" t="s">
        <v>18100</v>
      </c>
    </row>
    <row r="1849" spans="1:59" ht="58" x14ac:dyDescent="0.35">
      <c r="A1849" s="2" t="s">
        <v>59</v>
      </c>
      <c r="B1849" s="2" t="s">
        <v>60</v>
      </c>
      <c r="C1849" s="2" t="s">
        <v>18064</v>
      </c>
      <c r="D1849" s="2" t="s">
        <v>18065</v>
      </c>
      <c r="E1849" s="2" t="s">
        <v>18066</v>
      </c>
      <c r="F1849" s="3" t="s">
        <v>9890</v>
      </c>
      <c r="G1849" s="3" t="s">
        <v>209</v>
      </c>
      <c r="I1849" s="3" t="s">
        <v>65</v>
      </c>
      <c r="J1849" s="3" t="s">
        <v>65</v>
      </c>
      <c r="K1849" s="3" t="s">
        <v>66</v>
      </c>
      <c r="L1849" s="2" t="s">
        <v>18067</v>
      </c>
      <c r="M1849" s="2" t="s">
        <v>18068</v>
      </c>
      <c r="N1849" s="3" t="s">
        <v>352</v>
      </c>
      <c r="P1849" s="3" t="s">
        <v>140</v>
      </c>
      <c r="R1849" s="3" t="s">
        <v>71</v>
      </c>
      <c r="S1849" s="4">
        <v>0</v>
      </c>
      <c r="T1849" s="4">
        <v>2</v>
      </c>
      <c r="V1849" s="5" t="s">
        <v>18069</v>
      </c>
      <c r="W1849" s="5" t="s">
        <v>72</v>
      </c>
      <c r="X1849" s="5" t="s">
        <v>72</v>
      </c>
      <c r="Y1849" s="4">
        <v>14</v>
      </c>
      <c r="Z1849" s="4">
        <v>5</v>
      </c>
      <c r="AA1849" s="4">
        <v>9</v>
      </c>
      <c r="AB1849" s="4">
        <v>1</v>
      </c>
      <c r="AC1849" s="4">
        <v>1</v>
      </c>
      <c r="AD1849" s="4">
        <v>7</v>
      </c>
      <c r="AE1849" s="4">
        <v>44</v>
      </c>
      <c r="AF1849" s="4">
        <v>0</v>
      </c>
      <c r="AG1849" s="4">
        <v>0</v>
      </c>
      <c r="AH1849" s="4">
        <v>5</v>
      </c>
      <c r="AI1849" s="4">
        <v>41</v>
      </c>
      <c r="AJ1849" s="4">
        <v>2</v>
      </c>
      <c r="AK1849" s="4">
        <v>6</v>
      </c>
      <c r="AL1849" s="4">
        <v>5</v>
      </c>
      <c r="AM1849" s="4">
        <v>27</v>
      </c>
      <c r="AN1849" s="4">
        <v>0</v>
      </c>
      <c r="AO1849" s="4">
        <v>0</v>
      </c>
      <c r="AP1849" s="4">
        <v>2</v>
      </c>
      <c r="AQ1849" s="4">
        <v>6</v>
      </c>
      <c r="AR1849" s="3" t="s">
        <v>65</v>
      </c>
      <c r="AS1849" s="3" t="s">
        <v>65</v>
      </c>
      <c r="AT1849" s="3" t="s">
        <v>65</v>
      </c>
      <c r="AV1849" s="6" t="str">
        <f t="shared" si="27"/>
        <v>Catalog Record</v>
      </c>
      <c r="AW1849" s="6" t="str">
        <f t="shared" si="28"/>
        <v>WorldCat Record</v>
      </c>
      <c r="AX1849" s="3" t="s">
        <v>18070</v>
      </c>
      <c r="AY1849" s="3" t="s">
        <v>18071</v>
      </c>
      <c r="AZ1849" s="3" t="s">
        <v>18072</v>
      </c>
      <c r="BA1849" s="3" t="s">
        <v>18072</v>
      </c>
      <c r="BB1849" s="3" t="s">
        <v>18101</v>
      </c>
      <c r="BC1849" s="3" t="s">
        <v>77</v>
      </c>
      <c r="BD1849" s="3" t="s">
        <v>78</v>
      </c>
      <c r="BF1849" s="3" t="s">
        <v>18101</v>
      </c>
      <c r="BG1849" s="3" t="s">
        <v>18102</v>
      </c>
    </row>
    <row r="1850" spans="1:59" ht="58" x14ac:dyDescent="0.35">
      <c r="A1850" s="2" t="s">
        <v>59</v>
      </c>
      <c r="B1850" s="2" t="s">
        <v>60</v>
      </c>
      <c r="C1850" s="2" t="s">
        <v>18064</v>
      </c>
      <c r="D1850" s="2" t="s">
        <v>18065</v>
      </c>
      <c r="E1850" s="2" t="s">
        <v>18066</v>
      </c>
      <c r="F1850" s="3" t="s">
        <v>9880</v>
      </c>
      <c r="G1850" s="3" t="s">
        <v>209</v>
      </c>
      <c r="I1850" s="3" t="s">
        <v>65</v>
      </c>
      <c r="J1850" s="3" t="s">
        <v>65</v>
      </c>
      <c r="K1850" s="3" t="s">
        <v>66</v>
      </c>
      <c r="L1850" s="2" t="s">
        <v>18067</v>
      </c>
      <c r="M1850" s="2" t="s">
        <v>18068</v>
      </c>
      <c r="N1850" s="3" t="s">
        <v>352</v>
      </c>
      <c r="P1850" s="3" t="s">
        <v>140</v>
      </c>
      <c r="R1850" s="3" t="s">
        <v>71</v>
      </c>
      <c r="S1850" s="4">
        <v>0</v>
      </c>
      <c r="T1850" s="4">
        <v>2</v>
      </c>
      <c r="V1850" s="5" t="s">
        <v>18069</v>
      </c>
      <c r="W1850" s="5" t="s">
        <v>72</v>
      </c>
      <c r="X1850" s="5" t="s">
        <v>72</v>
      </c>
      <c r="Y1850" s="4">
        <v>14</v>
      </c>
      <c r="Z1850" s="4">
        <v>5</v>
      </c>
      <c r="AA1850" s="4">
        <v>9</v>
      </c>
      <c r="AB1850" s="4">
        <v>1</v>
      </c>
      <c r="AC1850" s="4">
        <v>1</v>
      </c>
      <c r="AD1850" s="4">
        <v>7</v>
      </c>
      <c r="AE1850" s="4">
        <v>44</v>
      </c>
      <c r="AF1850" s="4">
        <v>0</v>
      </c>
      <c r="AG1850" s="4">
        <v>0</v>
      </c>
      <c r="AH1850" s="4">
        <v>5</v>
      </c>
      <c r="AI1850" s="4">
        <v>41</v>
      </c>
      <c r="AJ1850" s="4">
        <v>2</v>
      </c>
      <c r="AK1850" s="4">
        <v>6</v>
      </c>
      <c r="AL1850" s="4">
        <v>5</v>
      </c>
      <c r="AM1850" s="4">
        <v>27</v>
      </c>
      <c r="AN1850" s="4">
        <v>0</v>
      </c>
      <c r="AO1850" s="4">
        <v>0</v>
      </c>
      <c r="AP1850" s="4">
        <v>2</v>
      </c>
      <c r="AQ1850" s="4">
        <v>6</v>
      </c>
      <c r="AR1850" s="3" t="s">
        <v>65</v>
      </c>
      <c r="AS1850" s="3" t="s">
        <v>65</v>
      </c>
      <c r="AT1850" s="3" t="s">
        <v>65</v>
      </c>
      <c r="AV1850" s="6" t="str">
        <f t="shared" si="27"/>
        <v>Catalog Record</v>
      </c>
      <c r="AW1850" s="6" t="str">
        <f t="shared" si="28"/>
        <v>WorldCat Record</v>
      </c>
      <c r="AX1850" s="3" t="s">
        <v>18070</v>
      </c>
      <c r="AY1850" s="3" t="s">
        <v>18071</v>
      </c>
      <c r="AZ1850" s="3" t="s">
        <v>18072</v>
      </c>
      <c r="BA1850" s="3" t="s">
        <v>18072</v>
      </c>
      <c r="BB1850" s="3" t="s">
        <v>18103</v>
      </c>
      <c r="BC1850" s="3" t="s">
        <v>77</v>
      </c>
      <c r="BD1850" s="3" t="s">
        <v>78</v>
      </c>
      <c r="BF1850" s="3" t="s">
        <v>18103</v>
      </c>
      <c r="BG1850" s="3" t="s">
        <v>18104</v>
      </c>
    </row>
    <row r="1851" spans="1:59" ht="58" x14ac:dyDescent="0.35">
      <c r="A1851" s="2" t="s">
        <v>59</v>
      </c>
      <c r="B1851" s="2" t="s">
        <v>60</v>
      </c>
      <c r="C1851" s="2" t="s">
        <v>18064</v>
      </c>
      <c r="D1851" s="2" t="s">
        <v>18065</v>
      </c>
      <c r="E1851" s="2" t="s">
        <v>18066</v>
      </c>
      <c r="F1851" s="3" t="s">
        <v>490</v>
      </c>
      <c r="G1851" s="3" t="s">
        <v>209</v>
      </c>
      <c r="I1851" s="3" t="s">
        <v>65</v>
      </c>
      <c r="J1851" s="3" t="s">
        <v>65</v>
      </c>
      <c r="K1851" s="3" t="s">
        <v>66</v>
      </c>
      <c r="L1851" s="2" t="s">
        <v>18067</v>
      </c>
      <c r="M1851" s="2" t="s">
        <v>18068</v>
      </c>
      <c r="N1851" s="3" t="s">
        <v>352</v>
      </c>
      <c r="P1851" s="3" t="s">
        <v>140</v>
      </c>
      <c r="R1851" s="3" t="s">
        <v>71</v>
      </c>
      <c r="S1851" s="4">
        <v>2</v>
      </c>
      <c r="T1851" s="4">
        <v>2</v>
      </c>
      <c r="U1851" s="5" t="s">
        <v>18069</v>
      </c>
      <c r="V1851" s="5" t="s">
        <v>18069</v>
      </c>
      <c r="W1851" s="5" t="s">
        <v>72</v>
      </c>
      <c r="X1851" s="5" t="s">
        <v>72</v>
      </c>
      <c r="Y1851" s="4">
        <v>14</v>
      </c>
      <c r="Z1851" s="4">
        <v>5</v>
      </c>
      <c r="AA1851" s="4">
        <v>9</v>
      </c>
      <c r="AB1851" s="4">
        <v>1</v>
      </c>
      <c r="AC1851" s="4">
        <v>1</v>
      </c>
      <c r="AD1851" s="4">
        <v>7</v>
      </c>
      <c r="AE1851" s="4">
        <v>44</v>
      </c>
      <c r="AF1851" s="4">
        <v>0</v>
      </c>
      <c r="AG1851" s="4">
        <v>0</v>
      </c>
      <c r="AH1851" s="4">
        <v>5</v>
      </c>
      <c r="AI1851" s="4">
        <v>41</v>
      </c>
      <c r="AJ1851" s="4">
        <v>2</v>
      </c>
      <c r="AK1851" s="4">
        <v>6</v>
      </c>
      <c r="AL1851" s="4">
        <v>5</v>
      </c>
      <c r="AM1851" s="4">
        <v>27</v>
      </c>
      <c r="AN1851" s="4">
        <v>0</v>
      </c>
      <c r="AO1851" s="4">
        <v>0</v>
      </c>
      <c r="AP1851" s="4">
        <v>2</v>
      </c>
      <c r="AQ1851" s="4">
        <v>6</v>
      </c>
      <c r="AR1851" s="3" t="s">
        <v>65</v>
      </c>
      <c r="AS1851" s="3" t="s">
        <v>65</v>
      </c>
      <c r="AT1851" s="3" t="s">
        <v>65</v>
      </c>
      <c r="AV1851" s="6" t="str">
        <f t="shared" si="27"/>
        <v>Catalog Record</v>
      </c>
      <c r="AW1851" s="6" t="str">
        <f t="shared" si="28"/>
        <v>WorldCat Record</v>
      </c>
      <c r="AX1851" s="3" t="s">
        <v>18070</v>
      </c>
      <c r="AY1851" s="3" t="s">
        <v>18071</v>
      </c>
      <c r="AZ1851" s="3" t="s">
        <v>18072</v>
      </c>
      <c r="BA1851" s="3" t="s">
        <v>18072</v>
      </c>
      <c r="BB1851" s="3" t="s">
        <v>18105</v>
      </c>
      <c r="BC1851" s="3" t="s">
        <v>77</v>
      </c>
      <c r="BD1851" s="3" t="s">
        <v>78</v>
      </c>
      <c r="BF1851" s="3" t="s">
        <v>18105</v>
      </c>
      <c r="BG1851" s="3" t="s">
        <v>18106</v>
      </c>
    </row>
    <row r="1852" spans="1:59" ht="58" x14ac:dyDescent="0.35">
      <c r="A1852" s="2" t="s">
        <v>59</v>
      </c>
      <c r="B1852" s="2" t="s">
        <v>60</v>
      </c>
      <c r="C1852" s="2" t="s">
        <v>18064</v>
      </c>
      <c r="D1852" s="2" t="s">
        <v>18065</v>
      </c>
      <c r="E1852" s="2" t="s">
        <v>18066</v>
      </c>
      <c r="F1852" s="3" t="s">
        <v>9893</v>
      </c>
      <c r="G1852" s="3" t="s">
        <v>209</v>
      </c>
      <c r="I1852" s="3" t="s">
        <v>65</v>
      </c>
      <c r="J1852" s="3" t="s">
        <v>65</v>
      </c>
      <c r="K1852" s="3" t="s">
        <v>66</v>
      </c>
      <c r="L1852" s="2" t="s">
        <v>18067</v>
      </c>
      <c r="M1852" s="2" t="s">
        <v>18068</v>
      </c>
      <c r="N1852" s="3" t="s">
        <v>352</v>
      </c>
      <c r="P1852" s="3" t="s">
        <v>140</v>
      </c>
      <c r="R1852" s="3" t="s">
        <v>71</v>
      </c>
      <c r="S1852" s="4">
        <v>0</v>
      </c>
      <c r="T1852" s="4">
        <v>2</v>
      </c>
      <c r="V1852" s="5" t="s">
        <v>18069</v>
      </c>
      <c r="W1852" s="5" t="s">
        <v>72</v>
      </c>
      <c r="X1852" s="5" t="s">
        <v>72</v>
      </c>
      <c r="Y1852" s="4">
        <v>14</v>
      </c>
      <c r="Z1852" s="4">
        <v>5</v>
      </c>
      <c r="AA1852" s="4">
        <v>9</v>
      </c>
      <c r="AB1852" s="4">
        <v>1</v>
      </c>
      <c r="AC1852" s="4">
        <v>1</v>
      </c>
      <c r="AD1852" s="4">
        <v>7</v>
      </c>
      <c r="AE1852" s="4">
        <v>44</v>
      </c>
      <c r="AF1852" s="4">
        <v>0</v>
      </c>
      <c r="AG1852" s="4">
        <v>0</v>
      </c>
      <c r="AH1852" s="4">
        <v>5</v>
      </c>
      <c r="AI1852" s="4">
        <v>41</v>
      </c>
      <c r="AJ1852" s="4">
        <v>2</v>
      </c>
      <c r="AK1852" s="4">
        <v>6</v>
      </c>
      <c r="AL1852" s="4">
        <v>5</v>
      </c>
      <c r="AM1852" s="4">
        <v>27</v>
      </c>
      <c r="AN1852" s="4">
        <v>0</v>
      </c>
      <c r="AO1852" s="4">
        <v>0</v>
      </c>
      <c r="AP1852" s="4">
        <v>2</v>
      </c>
      <c r="AQ1852" s="4">
        <v>6</v>
      </c>
      <c r="AR1852" s="3" t="s">
        <v>65</v>
      </c>
      <c r="AS1852" s="3" t="s">
        <v>65</v>
      </c>
      <c r="AT1852" s="3" t="s">
        <v>65</v>
      </c>
      <c r="AV1852" s="6" t="str">
        <f t="shared" si="27"/>
        <v>Catalog Record</v>
      </c>
      <c r="AW1852" s="6" t="str">
        <f t="shared" si="28"/>
        <v>WorldCat Record</v>
      </c>
      <c r="AX1852" s="3" t="s">
        <v>18070</v>
      </c>
      <c r="AY1852" s="3" t="s">
        <v>18071</v>
      </c>
      <c r="AZ1852" s="3" t="s">
        <v>18072</v>
      </c>
      <c r="BA1852" s="3" t="s">
        <v>18072</v>
      </c>
      <c r="BB1852" s="3" t="s">
        <v>18107</v>
      </c>
      <c r="BC1852" s="3" t="s">
        <v>77</v>
      </c>
      <c r="BD1852" s="3" t="s">
        <v>78</v>
      </c>
      <c r="BF1852" s="3" t="s">
        <v>18107</v>
      </c>
      <c r="BG1852" s="3" t="s">
        <v>18108</v>
      </c>
    </row>
    <row r="1853" spans="1:59" ht="58" x14ac:dyDescent="0.35">
      <c r="A1853" s="2" t="s">
        <v>59</v>
      </c>
      <c r="B1853" s="2" t="s">
        <v>60</v>
      </c>
      <c r="C1853" s="2" t="s">
        <v>18109</v>
      </c>
      <c r="D1853" s="2" t="s">
        <v>18110</v>
      </c>
      <c r="E1853" s="2" t="s">
        <v>18111</v>
      </c>
      <c r="G1853" s="3" t="s">
        <v>65</v>
      </c>
      <c r="I1853" s="3" t="s">
        <v>65</v>
      </c>
      <c r="J1853" s="3" t="s">
        <v>65</v>
      </c>
      <c r="K1853" s="3" t="s">
        <v>66</v>
      </c>
      <c r="L1853" s="2" t="s">
        <v>18067</v>
      </c>
      <c r="M1853" s="2" t="s">
        <v>18112</v>
      </c>
      <c r="N1853" s="3" t="s">
        <v>9636</v>
      </c>
      <c r="P1853" s="3" t="s">
        <v>140</v>
      </c>
      <c r="R1853" s="3" t="s">
        <v>71</v>
      </c>
      <c r="S1853" s="4">
        <v>1</v>
      </c>
      <c r="T1853" s="4">
        <v>1</v>
      </c>
      <c r="U1853" s="5" t="s">
        <v>18113</v>
      </c>
      <c r="V1853" s="5" t="s">
        <v>18113</v>
      </c>
      <c r="W1853" s="5" t="s">
        <v>72</v>
      </c>
      <c r="X1853" s="5" t="s">
        <v>72</v>
      </c>
      <c r="Y1853" s="4">
        <v>1</v>
      </c>
      <c r="Z1853" s="4">
        <v>1</v>
      </c>
      <c r="AA1853" s="4">
        <v>1</v>
      </c>
      <c r="AB1853" s="4">
        <v>1</v>
      </c>
      <c r="AC1853" s="4">
        <v>1</v>
      </c>
      <c r="AD1853" s="4">
        <v>0</v>
      </c>
      <c r="AE1853" s="4">
        <v>0</v>
      </c>
      <c r="AF1853" s="4">
        <v>0</v>
      </c>
      <c r="AG1853" s="4">
        <v>0</v>
      </c>
      <c r="AH1853" s="4">
        <v>0</v>
      </c>
      <c r="AI1853" s="4">
        <v>0</v>
      </c>
      <c r="AJ1853" s="4">
        <v>0</v>
      </c>
      <c r="AK1853" s="4">
        <v>0</v>
      </c>
      <c r="AL1853" s="4">
        <v>0</v>
      </c>
      <c r="AM1853" s="4">
        <v>0</v>
      </c>
      <c r="AN1853" s="4">
        <v>0</v>
      </c>
      <c r="AO1853" s="4">
        <v>0</v>
      </c>
      <c r="AP1853" s="4">
        <v>0</v>
      </c>
      <c r="AQ1853" s="4">
        <v>0</v>
      </c>
      <c r="AR1853" s="3" t="s">
        <v>65</v>
      </c>
      <c r="AS1853" s="3" t="s">
        <v>65</v>
      </c>
      <c r="AT1853" s="3" t="s">
        <v>65</v>
      </c>
      <c r="AV1853" s="6" t="str">
        <f>HYPERLINK("http://mcgill.on.worldcat.org/oclc/427151274","Catalog Record")</f>
        <v>Catalog Record</v>
      </c>
      <c r="AW1853" s="6" t="str">
        <f>HYPERLINK("http://www.worldcat.org/oclc/427151274","WorldCat Record")</f>
        <v>WorldCat Record</v>
      </c>
      <c r="AX1853" s="3" t="s">
        <v>18114</v>
      </c>
      <c r="AY1853" s="3" t="s">
        <v>18115</v>
      </c>
      <c r="AZ1853" s="3" t="s">
        <v>18116</v>
      </c>
      <c r="BA1853" s="3" t="s">
        <v>18116</v>
      </c>
      <c r="BB1853" s="3" t="s">
        <v>18117</v>
      </c>
      <c r="BC1853" s="3" t="s">
        <v>77</v>
      </c>
      <c r="BD1853" s="3" t="s">
        <v>78</v>
      </c>
      <c r="BF1853" s="3" t="s">
        <v>18117</v>
      </c>
      <c r="BG1853" s="3" t="s">
        <v>18118</v>
      </c>
    </row>
    <row r="1854" spans="1:59" ht="58" x14ac:dyDescent="0.35">
      <c r="A1854" s="2" t="s">
        <v>59</v>
      </c>
      <c r="B1854" s="2" t="s">
        <v>60</v>
      </c>
      <c r="C1854" s="2" t="s">
        <v>18119</v>
      </c>
      <c r="D1854" s="2" t="s">
        <v>18120</v>
      </c>
      <c r="E1854" s="2" t="s">
        <v>18121</v>
      </c>
      <c r="G1854" s="3" t="s">
        <v>65</v>
      </c>
      <c r="I1854" s="3" t="s">
        <v>65</v>
      </c>
      <c r="J1854" s="3" t="s">
        <v>65</v>
      </c>
      <c r="K1854" s="3" t="s">
        <v>66</v>
      </c>
      <c r="L1854" s="2" t="s">
        <v>18067</v>
      </c>
      <c r="M1854" s="2" t="s">
        <v>18122</v>
      </c>
      <c r="N1854" s="3" t="s">
        <v>1932</v>
      </c>
      <c r="P1854" s="3" t="s">
        <v>69</v>
      </c>
      <c r="R1854" s="3" t="s">
        <v>71</v>
      </c>
      <c r="S1854" s="4">
        <v>7</v>
      </c>
      <c r="T1854" s="4">
        <v>7</v>
      </c>
      <c r="U1854" s="5" t="s">
        <v>18123</v>
      </c>
      <c r="V1854" s="5" t="s">
        <v>18123</v>
      </c>
      <c r="W1854" s="5" t="s">
        <v>72</v>
      </c>
      <c r="X1854" s="5" t="s">
        <v>72</v>
      </c>
      <c r="Y1854" s="4">
        <v>114</v>
      </c>
      <c r="Z1854" s="4">
        <v>8</v>
      </c>
      <c r="AA1854" s="4">
        <v>8</v>
      </c>
      <c r="AB1854" s="4">
        <v>3</v>
      </c>
      <c r="AC1854" s="4">
        <v>3</v>
      </c>
      <c r="AD1854" s="4">
        <v>55</v>
      </c>
      <c r="AE1854" s="4">
        <v>55</v>
      </c>
      <c r="AF1854" s="4">
        <v>1</v>
      </c>
      <c r="AG1854" s="4">
        <v>1</v>
      </c>
      <c r="AH1854" s="4">
        <v>53</v>
      </c>
      <c r="AI1854" s="4">
        <v>53</v>
      </c>
      <c r="AJ1854" s="4">
        <v>4</v>
      </c>
      <c r="AK1854" s="4">
        <v>4</v>
      </c>
      <c r="AL1854" s="4">
        <v>40</v>
      </c>
      <c r="AM1854" s="4">
        <v>40</v>
      </c>
      <c r="AN1854" s="4">
        <v>0</v>
      </c>
      <c r="AO1854" s="4">
        <v>0</v>
      </c>
      <c r="AP1854" s="4">
        <v>5</v>
      </c>
      <c r="AQ1854" s="4">
        <v>5</v>
      </c>
      <c r="AR1854" s="3" t="s">
        <v>65</v>
      </c>
      <c r="AS1854" s="3" t="s">
        <v>65</v>
      </c>
      <c r="AT1854" s="3" t="s">
        <v>65</v>
      </c>
      <c r="AV1854" s="6" t="str">
        <f>HYPERLINK("http://mcgill.on.worldcat.org/oclc/36330612","Catalog Record")</f>
        <v>Catalog Record</v>
      </c>
      <c r="AW1854" s="6" t="str">
        <f>HYPERLINK("http://www.worldcat.org/oclc/36330612","WorldCat Record")</f>
        <v>WorldCat Record</v>
      </c>
      <c r="AX1854" s="3" t="s">
        <v>18124</v>
      </c>
      <c r="AY1854" s="3" t="s">
        <v>18125</v>
      </c>
      <c r="AZ1854" s="3" t="s">
        <v>18126</v>
      </c>
      <c r="BA1854" s="3" t="s">
        <v>18126</v>
      </c>
      <c r="BB1854" s="3" t="s">
        <v>18127</v>
      </c>
      <c r="BC1854" s="3" t="s">
        <v>77</v>
      </c>
      <c r="BD1854" s="3" t="s">
        <v>78</v>
      </c>
      <c r="BE1854" s="3" t="s">
        <v>18128</v>
      </c>
      <c r="BF1854" s="3" t="s">
        <v>18127</v>
      </c>
      <c r="BG1854" s="3" t="s">
        <v>18129</v>
      </c>
    </row>
    <row r="1855" spans="1:59" ht="58" x14ac:dyDescent="0.35">
      <c r="A1855" s="2" t="s">
        <v>59</v>
      </c>
      <c r="B1855" s="2" t="s">
        <v>60</v>
      </c>
      <c r="C1855" s="2" t="s">
        <v>18130</v>
      </c>
      <c r="D1855" s="2" t="s">
        <v>18131</v>
      </c>
      <c r="E1855" s="2" t="s">
        <v>18132</v>
      </c>
      <c r="G1855" s="3" t="s">
        <v>65</v>
      </c>
      <c r="I1855" s="3" t="s">
        <v>65</v>
      </c>
      <c r="J1855" s="3" t="s">
        <v>65</v>
      </c>
      <c r="K1855" s="3" t="s">
        <v>66</v>
      </c>
      <c r="L1855" s="2" t="s">
        <v>18067</v>
      </c>
      <c r="M1855" s="2" t="s">
        <v>2256</v>
      </c>
      <c r="N1855" s="3" t="s">
        <v>126</v>
      </c>
      <c r="O1855" s="2" t="s">
        <v>654</v>
      </c>
      <c r="P1855" s="3" t="s">
        <v>140</v>
      </c>
      <c r="Q1855" s="2" t="s">
        <v>18133</v>
      </c>
      <c r="R1855" s="3" t="s">
        <v>71</v>
      </c>
      <c r="S1855" s="4">
        <v>0</v>
      </c>
      <c r="T1855" s="4">
        <v>0</v>
      </c>
      <c r="W1855" s="5" t="s">
        <v>72</v>
      </c>
      <c r="X1855" s="5" t="s">
        <v>72</v>
      </c>
      <c r="Y1855" s="4">
        <v>42</v>
      </c>
      <c r="Z1855" s="4">
        <v>4</v>
      </c>
      <c r="AA1855" s="4">
        <v>4</v>
      </c>
      <c r="AB1855" s="4">
        <v>1</v>
      </c>
      <c r="AC1855" s="4">
        <v>1</v>
      </c>
      <c r="AD1855" s="4">
        <v>29</v>
      </c>
      <c r="AE1855" s="4">
        <v>29</v>
      </c>
      <c r="AF1855" s="4">
        <v>0</v>
      </c>
      <c r="AG1855" s="4">
        <v>0</v>
      </c>
      <c r="AH1855" s="4">
        <v>28</v>
      </c>
      <c r="AI1855" s="4">
        <v>28</v>
      </c>
      <c r="AJ1855" s="4">
        <v>2</v>
      </c>
      <c r="AK1855" s="4">
        <v>2</v>
      </c>
      <c r="AL1855" s="4">
        <v>22</v>
      </c>
      <c r="AM1855" s="4">
        <v>22</v>
      </c>
      <c r="AN1855" s="4">
        <v>0</v>
      </c>
      <c r="AO1855" s="4">
        <v>0</v>
      </c>
      <c r="AP1855" s="4">
        <v>2</v>
      </c>
      <c r="AQ1855" s="4">
        <v>2</v>
      </c>
      <c r="AR1855" s="3" t="s">
        <v>65</v>
      </c>
      <c r="AS1855" s="3" t="s">
        <v>65</v>
      </c>
      <c r="AT1855" s="3" t="s">
        <v>65</v>
      </c>
      <c r="AV1855" s="6" t="str">
        <f>HYPERLINK("http://mcgill.on.worldcat.org/oclc/729345494","Catalog Record")</f>
        <v>Catalog Record</v>
      </c>
      <c r="AW1855" s="6" t="str">
        <f>HYPERLINK("http://www.worldcat.org/oclc/729345494","WorldCat Record")</f>
        <v>WorldCat Record</v>
      </c>
      <c r="AX1855" s="3" t="s">
        <v>18134</v>
      </c>
      <c r="AY1855" s="3" t="s">
        <v>18135</v>
      </c>
      <c r="AZ1855" s="3" t="s">
        <v>18136</v>
      </c>
      <c r="BA1855" s="3" t="s">
        <v>18136</v>
      </c>
      <c r="BB1855" s="3" t="s">
        <v>18137</v>
      </c>
      <c r="BC1855" s="3" t="s">
        <v>77</v>
      </c>
      <c r="BD1855" s="3" t="s">
        <v>78</v>
      </c>
      <c r="BE1855" s="3" t="s">
        <v>18138</v>
      </c>
      <c r="BF1855" s="3" t="s">
        <v>18137</v>
      </c>
      <c r="BG1855" s="3" t="s">
        <v>18139</v>
      </c>
    </row>
    <row r="1856" spans="1:59" ht="58" x14ac:dyDescent="0.35">
      <c r="A1856" s="2" t="s">
        <v>59</v>
      </c>
      <c r="B1856" s="2" t="s">
        <v>60</v>
      </c>
      <c r="C1856" s="2" t="s">
        <v>18140</v>
      </c>
      <c r="D1856" s="2" t="s">
        <v>18141</v>
      </c>
      <c r="E1856" s="2" t="s">
        <v>18142</v>
      </c>
      <c r="G1856" s="3" t="s">
        <v>65</v>
      </c>
      <c r="I1856" s="3" t="s">
        <v>65</v>
      </c>
      <c r="J1856" s="3" t="s">
        <v>65</v>
      </c>
      <c r="K1856" s="3" t="s">
        <v>66</v>
      </c>
      <c r="L1856" s="2" t="s">
        <v>18143</v>
      </c>
      <c r="M1856" s="2" t="s">
        <v>18144</v>
      </c>
      <c r="N1856" s="3" t="s">
        <v>113</v>
      </c>
      <c r="O1856" s="2" t="s">
        <v>365</v>
      </c>
      <c r="P1856" s="3" t="s">
        <v>140</v>
      </c>
      <c r="Q1856" s="2" t="s">
        <v>18145</v>
      </c>
      <c r="R1856" s="3" t="s">
        <v>71</v>
      </c>
      <c r="S1856" s="4">
        <v>0</v>
      </c>
      <c r="T1856" s="4">
        <v>0</v>
      </c>
      <c r="W1856" s="5" t="s">
        <v>72</v>
      </c>
      <c r="X1856" s="5" t="s">
        <v>72</v>
      </c>
      <c r="Y1856" s="4">
        <v>31</v>
      </c>
      <c r="Z1856" s="4">
        <v>4</v>
      </c>
      <c r="AA1856" s="4">
        <v>4</v>
      </c>
      <c r="AB1856" s="4">
        <v>1</v>
      </c>
      <c r="AC1856" s="4">
        <v>1</v>
      </c>
      <c r="AD1856" s="4">
        <v>22</v>
      </c>
      <c r="AE1856" s="4">
        <v>22</v>
      </c>
      <c r="AF1856" s="4">
        <v>0</v>
      </c>
      <c r="AG1856" s="4">
        <v>0</v>
      </c>
      <c r="AH1856" s="4">
        <v>21</v>
      </c>
      <c r="AI1856" s="4">
        <v>21</v>
      </c>
      <c r="AJ1856" s="4">
        <v>2</v>
      </c>
      <c r="AK1856" s="4">
        <v>2</v>
      </c>
      <c r="AL1856" s="4">
        <v>17</v>
      </c>
      <c r="AM1856" s="4">
        <v>17</v>
      </c>
      <c r="AN1856" s="4">
        <v>0</v>
      </c>
      <c r="AO1856" s="4">
        <v>0</v>
      </c>
      <c r="AP1856" s="4">
        <v>2</v>
      </c>
      <c r="AQ1856" s="4">
        <v>2</v>
      </c>
      <c r="AR1856" s="3" t="s">
        <v>65</v>
      </c>
      <c r="AS1856" s="3" t="s">
        <v>65</v>
      </c>
      <c r="AT1856" s="3" t="s">
        <v>65</v>
      </c>
      <c r="AV1856" s="6" t="str">
        <f>HYPERLINK("http://mcgill.on.worldcat.org/oclc/707959215","Catalog Record")</f>
        <v>Catalog Record</v>
      </c>
      <c r="AW1856" s="6" t="str">
        <f>HYPERLINK("http://www.worldcat.org/oclc/707959215","WorldCat Record")</f>
        <v>WorldCat Record</v>
      </c>
      <c r="AX1856" s="3" t="s">
        <v>18146</v>
      </c>
      <c r="AY1856" s="3" t="s">
        <v>18147</v>
      </c>
      <c r="AZ1856" s="3" t="s">
        <v>18148</v>
      </c>
      <c r="BA1856" s="3" t="s">
        <v>18148</v>
      </c>
      <c r="BB1856" s="3" t="s">
        <v>18149</v>
      </c>
      <c r="BC1856" s="3" t="s">
        <v>77</v>
      </c>
      <c r="BD1856" s="3" t="s">
        <v>78</v>
      </c>
      <c r="BE1856" s="3" t="s">
        <v>18150</v>
      </c>
      <c r="BF1856" s="3" t="s">
        <v>18149</v>
      </c>
      <c r="BG1856" s="3" t="s">
        <v>18151</v>
      </c>
    </row>
    <row r="1857" spans="1:59" ht="58" x14ac:dyDescent="0.35">
      <c r="A1857" s="2" t="s">
        <v>59</v>
      </c>
      <c r="B1857" s="2" t="s">
        <v>60</v>
      </c>
      <c r="C1857" s="2" t="s">
        <v>18152</v>
      </c>
      <c r="D1857" s="2" t="s">
        <v>18153</v>
      </c>
      <c r="E1857" s="2" t="s">
        <v>18154</v>
      </c>
      <c r="G1857" s="3" t="s">
        <v>65</v>
      </c>
      <c r="I1857" s="3" t="s">
        <v>65</v>
      </c>
      <c r="J1857" s="3" t="s">
        <v>65</v>
      </c>
      <c r="K1857" s="3" t="s">
        <v>66</v>
      </c>
      <c r="L1857" s="2" t="s">
        <v>18155</v>
      </c>
      <c r="M1857" s="2" t="s">
        <v>18156</v>
      </c>
      <c r="N1857" s="3" t="s">
        <v>126</v>
      </c>
      <c r="P1857" s="3" t="s">
        <v>140</v>
      </c>
      <c r="Q1857" s="2" t="s">
        <v>18157</v>
      </c>
      <c r="R1857" s="3" t="s">
        <v>71</v>
      </c>
      <c r="S1857" s="4">
        <v>1</v>
      </c>
      <c r="T1857" s="4">
        <v>1</v>
      </c>
      <c r="U1857" s="5" t="s">
        <v>18158</v>
      </c>
      <c r="V1857" s="5" t="s">
        <v>18158</v>
      </c>
      <c r="W1857" s="5" t="s">
        <v>72</v>
      </c>
      <c r="X1857" s="5" t="s">
        <v>72</v>
      </c>
      <c r="Y1857" s="4">
        <v>37</v>
      </c>
      <c r="Z1857" s="4">
        <v>4</v>
      </c>
      <c r="AA1857" s="4">
        <v>5</v>
      </c>
      <c r="AB1857" s="4">
        <v>1</v>
      </c>
      <c r="AC1857" s="4">
        <v>2</v>
      </c>
      <c r="AD1857" s="4">
        <v>26</v>
      </c>
      <c r="AE1857" s="4">
        <v>26</v>
      </c>
      <c r="AF1857" s="4">
        <v>0</v>
      </c>
      <c r="AG1857" s="4">
        <v>0</v>
      </c>
      <c r="AH1857" s="4">
        <v>25</v>
      </c>
      <c r="AI1857" s="4">
        <v>25</v>
      </c>
      <c r="AJ1857" s="4">
        <v>2</v>
      </c>
      <c r="AK1857" s="4">
        <v>2</v>
      </c>
      <c r="AL1857" s="4">
        <v>19</v>
      </c>
      <c r="AM1857" s="4">
        <v>19</v>
      </c>
      <c r="AN1857" s="4">
        <v>0</v>
      </c>
      <c r="AO1857" s="4">
        <v>0</v>
      </c>
      <c r="AP1857" s="4">
        <v>2</v>
      </c>
      <c r="AQ1857" s="4">
        <v>2</v>
      </c>
      <c r="AR1857" s="3" t="s">
        <v>65</v>
      </c>
      <c r="AS1857" s="3" t="s">
        <v>65</v>
      </c>
      <c r="AT1857" s="3" t="s">
        <v>65</v>
      </c>
      <c r="AV1857" s="6" t="str">
        <f>HYPERLINK("http://mcgill.on.worldcat.org/oclc/742504813","Catalog Record")</f>
        <v>Catalog Record</v>
      </c>
      <c r="AW1857" s="6" t="str">
        <f>HYPERLINK("http://www.worldcat.org/oclc/742504813","WorldCat Record")</f>
        <v>WorldCat Record</v>
      </c>
      <c r="AX1857" s="3" t="s">
        <v>18159</v>
      </c>
      <c r="AY1857" s="3" t="s">
        <v>18160</v>
      </c>
      <c r="AZ1857" s="3" t="s">
        <v>18161</v>
      </c>
      <c r="BA1857" s="3" t="s">
        <v>18161</v>
      </c>
      <c r="BB1857" s="3" t="s">
        <v>18162</v>
      </c>
      <c r="BC1857" s="3" t="s">
        <v>77</v>
      </c>
      <c r="BD1857" s="3" t="s">
        <v>78</v>
      </c>
      <c r="BE1857" s="3" t="s">
        <v>18163</v>
      </c>
      <c r="BF1857" s="3" t="s">
        <v>18162</v>
      </c>
      <c r="BG1857" s="3" t="s">
        <v>18164</v>
      </c>
    </row>
    <row r="1858" spans="1:59" ht="58" x14ac:dyDescent="0.35">
      <c r="A1858" s="2" t="s">
        <v>59</v>
      </c>
      <c r="B1858" s="2" t="s">
        <v>60</v>
      </c>
      <c r="C1858" s="2" t="s">
        <v>18165</v>
      </c>
      <c r="D1858" s="2" t="s">
        <v>18166</v>
      </c>
      <c r="E1858" s="2" t="s">
        <v>18167</v>
      </c>
      <c r="G1858" s="3" t="s">
        <v>65</v>
      </c>
      <c r="I1858" s="3" t="s">
        <v>65</v>
      </c>
      <c r="J1858" s="3" t="s">
        <v>65</v>
      </c>
      <c r="K1858" s="3" t="s">
        <v>66</v>
      </c>
      <c r="L1858" s="2" t="s">
        <v>18168</v>
      </c>
      <c r="M1858" s="2" t="s">
        <v>18169</v>
      </c>
      <c r="N1858" s="3" t="s">
        <v>139</v>
      </c>
      <c r="O1858" s="2" t="s">
        <v>365</v>
      </c>
      <c r="P1858" s="3" t="s">
        <v>140</v>
      </c>
      <c r="Q1858" s="2" t="s">
        <v>18170</v>
      </c>
      <c r="R1858" s="3" t="s">
        <v>71</v>
      </c>
      <c r="S1858" s="4">
        <v>0</v>
      </c>
      <c r="T1858" s="4">
        <v>0</v>
      </c>
      <c r="W1858" s="5" t="s">
        <v>72</v>
      </c>
      <c r="X1858" s="5" t="s">
        <v>72</v>
      </c>
      <c r="Y1858" s="4">
        <v>41</v>
      </c>
      <c r="Z1858" s="4">
        <v>4</v>
      </c>
      <c r="AA1858" s="4">
        <v>4</v>
      </c>
      <c r="AB1858" s="4">
        <v>1</v>
      </c>
      <c r="AC1858" s="4">
        <v>1</v>
      </c>
      <c r="AD1858" s="4">
        <v>32</v>
      </c>
      <c r="AE1858" s="4">
        <v>32</v>
      </c>
      <c r="AF1858" s="4">
        <v>0</v>
      </c>
      <c r="AG1858" s="4">
        <v>0</v>
      </c>
      <c r="AH1858" s="4">
        <v>31</v>
      </c>
      <c r="AI1858" s="4">
        <v>31</v>
      </c>
      <c r="AJ1858" s="4">
        <v>2</v>
      </c>
      <c r="AK1858" s="4">
        <v>2</v>
      </c>
      <c r="AL1858" s="4">
        <v>22</v>
      </c>
      <c r="AM1858" s="4">
        <v>22</v>
      </c>
      <c r="AN1858" s="4">
        <v>0</v>
      </c>
      <c r="AO1858" s="4">
        <v>0</v>
      </c>
      <c r="AP1858" s="4">
        <v>2</v>
      </c>
      <c r="AQ1858" s="4">
        <v>2</v>
      </c>
      <c r="AR1858" s="3" t="s">
        <v>65</v>
      </c>
      <c r="AS1858" s="3" t="s">
        <v>65</v>
      </c>
      <c r="AT1858" s="3" t="s">
        <v>65</v>
      </c>
      <c r="AV1858" s="6" t="str">
        <f>HYPERLINK("http://mcgill.on.worldcat.org/oclc/785336051","Catalog Record")</f>
        <v>Catalog Record</v>
      </c>
      <c r="AW1858" s="6" t="str">
        <f>HYPERLINK("http://www.worldcat.org/oclc/785336051","WorldCat Record")</f>
        <v>WorldCat Record</v>
      </c>
      <c r="AX1858" s="3" t="s">
        <v>18171</v>
      </c>
      <c r="AY1858" s="3" t="s">
        <v>18172</v>
      </c>
      <c r="AZ1858" s="3" t="s">
        <v>18173</v>
      </c>
      <c r="BA1858" s="3" t="s">
        <v>18173</v>
      </c>
      <c r="BB1858" s="3" t="s">
        <v>18174</v>
      </c>
      <c r="BC1858" s="3" t="s">
        <v>77</v>
      </c>
      <c r="BD1858" s="3" t="s">
        <v>78</v>
      </c>
      <c r="BE1858" s="3" t="s">
        <v>18175</v>
      </c>
      <c r="BF1858" s="3" t="s">
        <v>18174</v>
      </c>
      <c r="BG1858" s="3" t="s">
        <v>18176</v>
      </c>
    </row>
    <row r="1859" spans="1:59" ht="58" x14ac:dyDescent="0.35">
      <c r="A1859" s="2" t="s">
        <v>59</v>
      </c>
      <c r="B1859" s="2" t="s">
        <v>60</v>
      </c>
      <c r="C1859" s="2" t="s">
        <v>18177</v>
      </c>
      <c r="D1859" s="2" t="s">
        <v>18178</v>
      </c>
      <c r="E1859" s="2" t="s">
        <v>18179</v>
      </c>
      <c r="G1859" s="3" t="s">
        <v>65</v>
      </c>
      <c r="I1859" s="3" t="s">
        <v>65</v>
      </c>
      <c r="J1859" s="3" t="s">
        <v>65</v>
      </c>
      <c r="K1859" s="3" t="s">
        <v>66</v>
      </c>
      <c r="M1859" s="2" t="s">
        <v>18180</v>
      </c>
      <c r="N1859" s="3" t="s">
        <v>126</v>
      </c>
      <c r="P1859" s="3" t="s">
        <v>140</v>
      </c>
      <c r="Q1859" s="2" t="s">
        <v>18181</v>
      </c>
      <c r="R1859" s="3" t="s">
        <v>71</v>
      </c>
      <c r="S1859" s="4">
        <v>1</v>
      </c>
      <c r="T1859" s="4">
        <v>1</v>
      </c>
      <c r="U1859" s="5" t="s">
        <v>18182</v>
      </c>
      <c r="V1859" s="5" t="s">
        <v>18182</v>
      </c>
      <c r="W1859" s="5" t="s">
        <v>72</v>
      </c>
      <c r="X1859" s="5" t="s">
        <v>72</v>
      </c>
      <c r="Y1859" s="4">
        <v>33</v>
      </c>
      <c r="Z1859" s="4">
        <v>3</v>
      </c>
      <c r="AA1859" s="4">
        <v>3</v>
      </c>
      <c r="AB1859" s="4">
        <v>1</v>
      </c>
      <c r="AC1859" s="4">
        <v>1</v>
      </c>
      <c r="AD1859" s="4">
        <v>22</v>
      </c>
      <c r="AE1859" s="4">
        <v>22</v>
      </c>
      <c r="AF1859" s="4">
        <v>0</v>
      </c>
      <c r="AG1859" s="4">
        <v>0</v>
      </c>
      <c r="AH1859" s="4">
        <v>21</v>
      </c>
      <c r="AI1859" s="4">
        <v>21</v>
      </c>
      <c r="AJ1859" s="4">
        <v>1</v>
      </c>
      <c r="AK1859" s="4">
        <v>1</v>
      </c>
      <c r="AL1859" s="4">
        <v>16</v>
      </c>
      <c r="AM1859" s="4">
        <v>16</v>
      </c>
      <c r="AN1859" s="4">
        <v>0</v>
      </c>
      <c r="AO1859" s="4">
        <v>0</v>
      </c>
      <c r="AP1859" s="4">
        <v>1</v>
      </c>
      <c r="AQ1859" s="4">
        <v>1</v>
      </c>
      <c r="AR1859" s="3" t="s">
        <v>65</v>
      </c>
      <c r="AS1859" s="3" t="s">
        <v>65</v>
      </c>
      <c r="AT1859" s="3" t="s">
        <v>65</v>
      </c>
      <c r="AV1859" s="6" t="str">
        <f>HYPERLINK("http://mcgill.on.worldcat.org/oclc/764330056","Catalog Record")</f>
        <v>Catalog Record</v>
      </c>
      <c r="AW1859" s="6" t="str">
        <f>HYPERLINK("http://www.worldcat.org/oclc/764330056","WorldCat Record")</f>
        <v>WorldCat Record</v>
      </c>
      <c r="AX1859" s="3" t="s">
        <v>18183</v>
      </c>
      <c r="AY1859" s="3" t="s">
        <v>18184</v>
      </c>
      <c r="AZ1859" s="3" t="s">
        <v>18185</v>
      </c>
      <c r="BA1859" s="3" t="s">
        <v>18185</v>
      </c>
      <c r="BB1859" s="3" t="s">
        <v>18186</v>
      </c>
      <c r="BC1859" s="3" t="s">
        <v>77</v>
      </c>
      <c r="BD1859" s="3" t="s">
        <v>78</v>
      </c>
      <c r="BF1859" s="3" t="s">
        <v>18186</v>
      </c>
      <c r="BG1859" s="3" t="s">
        <v>18187</v>
      </c>
    </row>
    <row r="1860" spans="1:59" ht="58" x14ac:dyDescent="0.35">
      <c r="A1860" s="2" t="s">
        <v>59</v>
      </c>
      <c r="B1860" s="2" t="s">
        <v>60</v>
      </c>
      <c r="C1860" s="2" t="s">
        <v>18188</v>
      </c>
      <c r="D1860" s="2" t="s">
        <v>18189</v>
      </c>
      <c r="E1860" s="2" t="s">
        <v>18190</v>
      </c>
      <c r="G1860" s="3" t="s">
        <v>65</v>
      </c>
      <c r="I1860" s="3" t="s">
        <v>65</v>
      </c>
      <c r="J1860" s="3" t="s">
        <v>65</v>
      </c>
      <c r="K1860" s="3" t="s">
        <v>66</v>
      </c>
      <c r="M1860" s="2" t="s">
        <v>18191</v>
      </c>
      <c r="N1860" s="3" t="s">
        <v>139</v>
      </c>
      <c r="O1860" s="2" t="s">
        <v>379</v>
      </c>
      <c r="P1860" s="3" t="s">
        <v>140</v>
      </c>
      <c r="Q1860" s="2" t="s">
        <v>18192</v>
      </c>
      <c r="R1860" s="3" t="s">
        <v>71</v>
      </c>
      <c r="S1860" s="4">
        <v>0</v>
      </c>
      <c r="T1860" s="4">
        <v>0</v>
      </c>
      <c r="W1860" s="5" t="s">
        <v>72</v>
      </c>
      <c r="X1860" s="5" t="s">
        <v>72</v>
      </c>
      <c r="Y1860" s="4">
        <v>45</v>
      </c>
      <c r="Z1860" s="4">
        <v>4</v>
      </c>
      <c r="AA1860" s="4">
        <v>4</v>
      </c>
      <c r="AB1860" s="4">
        <v>1</v>
      </c>
      <c r="AC1860" s="4">
        <v>1</v>
      </c>
      <c r="AD1860" s="4">
        <v>32</v>
      </c>
      <c r="AE1860" s="4">
        <v>32</v>
      </c>
      <c r="AF1860" s="4">
        <v>0</v>
      </c>
      <c r="AG1860" s="4">
        <v>0</v>
      </c>
      <c r="AH1860" s="4">
        <v>31</v>
      </c>
      <c r="AI1860" s="4">
        <v>31</v>
      </c>
      <c r="AJ1860" s="4">
        <v>2</v>
      </c>
      <c r="AK1860" s="4">
        <v>2</v>
      </c>
      <c r="AL1860" s="4">
        <v>25</v>
      </c>
      <c r="AM1860" s="4">
        <v>25</v>
      </c>
      <c r="AN1860" s="4">
        <v>0</v>
      </c>
      <c r="AO1860" s="4">
        <v>0</v>
      </c>
      <c r="AP1860" s="4">
        <v>2</v>
      </c>
      <c r="AQ1860" s="4">
        <v>2</v>
      </c>
      <c r="AR1860" s="3" t="s">
        <v>65</v>
      </c>
      <c r="AS1860" s="3" t="s">
        <v>65</v>
      </c>
      <c r="AT1860" s="3" t="s">
        <v>65</v>
      </c>
      <c r="AV1860" s="6" t="str">
        <f>HYPERLINK("http://mcgill.on.worldcat.org/oclc/799999264","Catalog Record")</f>
        <v>Catalog Record</v>
      </c>
      <c r="AW1860" s="6" t="str">
        <f>HYPERLINK("http://www.worldcat.org/oclc/799999264","WorldCat Record")</f>
        <v>WorldCat Record</v>
      </c>
      <c r="AX1860" s="3" t="s">
        <v>18193</v>
      </c>
      <c r="AY1860" s="3" t="s">
        <v>18194</v>
      </c>
      <c r="AZ1860" s="3" t="s">
        <v>18195</v>
      </c>
      <c r="BA1860" s="3" t="s">
        <v>18195</v>
      </c>
      <c r="BB1860" s="3" t="s">
        <v>18196</v>
      </c>
      <c r="BC1860" s="3" t="s">
        <v>77</v>
      </c>
      <c r="BD1860" s="3" t="s">
        <v>78</v>
      </c>
      <c r="BE1860" s="3" t="s">
        <v>18197</v>
      </c>
      <c r="BF1860" s="3" t="s">
        <v>18196</v>
      </c>
      <c r="BG1860" s="3" t="s">
        <v>18198</v>
      </c>
    </row>
    <row r="1861" spans="1:59" ht="58" x14ac:dyDescent="0.35">
      <c r="A1861" s="2" t="s">
        <v>59</v>
      </c>
      <c r="B1861" s="2" t="s">
        <v>60</v>
      </c>
      <c r="C1861" s="2" t="s">
        <v>18199</v>
      </c>
      <c r="D1861" s="2" t="s">
        <v>18200</v>
      </c>
      <c r="E1861" s="2" t="s">
        <v>18201</v>
      </c>
      <c r="G1861" s="3" t="s">
        <v>65</v>
      </c>
      <c r="I1861" s="3" t="s">
        <v>65</v>
      </c>
      <c r="J1861" s="3" t="s">
        <v>65</v>
      </c>
      <c r="K1861" s="3" t="s">
        <v>66</v>
      </c>
      <c r="L1861" s="2" t="s">
        <v>18202</v>
      </c>
      <c r="M1861" s="2" t="s">
        <v>18203</v>
      </c>
      <c r="N1861" s="3" t="s">
        <v>113</v>
      </c>
      <c r="P1861" s="3" t="s">
        <v>140</v>
      </c>
      <c r="Q1861" s="2" t="s">
        <v>18204</v>
      </c>
      <c r="R1861" s="3" t="s">
        <v>71</v>
      </c>
      <c r="S1861" s="4">
        <v>1</v>
      </c>
      <c r="T1861" s="4">
        <v>1</v>
      </c>
      <c r="U1861" s="5" t="s">
        <v>18205</v>
      </c>
      <c r="V1861" s="5" t="s">
        <v>18205</v>
      </c>
      <c r="W1861" s="5" t="s">
        <v>72</v>
      </c>
      <c r="X1861" s="5" t="s">
        <v>72</v>
      </c>
      <c r="Y1861" s="4">
        <v>41</v>
      </c>
      <c r="Z1861" s="4">
        <v>4</v>
      </c>
      <c r="AA1861" s="4">
        <v>4</v>
      </c>
      <c r="AB1861" s="4">
        <v>1</v>
      </c>
      <c r="AC1861" s="4">
        <v>1</v>
      </c>
      <c r="AD1861" s="4">
        <v>30</v>
      </c>
      <c r="AE1861" s="4">
        <v>30</v>
      </c>
      <c r="AF1861" s="4">
        <v>0</v>
      </c>
      <c r="AG1861" s="4">
        <v>0</v>
      </c>
      <c r="AH1861" s="4">
        <v>29</v>
      </c>
      <c r="AI1861" s="4">
        <v>29</v>
      </c>
      <c r="AJ1861" s="4">
        <v>2</v>
      </c>
      <c r="AK1861" s="4">
        <v>2</v>
      </c>
      <c r="AL1861" s="4">
        <v>24</v>
      </c>
      <c r="AM1861" s="4">
        <v>24</v>
      </c>
      <c r="AN1861" s="4">
        <v>0</v>
      </c>
      <c r="AO1861" s="4">
        <v>0</v>
      </c>
      <c r="AP1861" s="4">
        <v>2</v>
      </c>
      <c r="AQ1861" s="4">
        <v>2</v>
      </c>
      <c r="AR1861" s="3" t="s">
        <v>65</v>
      </c>
      <c r="AS1861" s="3" t="s">
        <v>65</v>
      </c>
      <c r="AT1861" s="3" t="s">
        <v>65</v>
      </c>
      <c r="AV1861" s="6" t="str">
        <f>HYPERLINK("http://mcgill.on.worldcat.org/oclc/715908243","Catalog Record")</f>
        <v>Catalog Record</v>
      </c>
      <c r="AW1861" s="6" t="str">
        <f>HYPERLINK("http://www.worldcat.org/oclc/715908243","WorldCat Record")</f>
        <v>WorldCat Record</v>
      </c>
      <c r="AX1861" s="3" t="s">
        <v>18206</v>
      </c>
      <c r="AY1861" s="3" t="s">
        <v>18207</v>
      </c>
      <c r="AZ1861" s="3" t="s">
        <v>18208</v>
      </c>
      <c r="BA1861" s="3" t="s">
        <v>18208</v>
      </c>
      <c r="BB1861" s="3" t="s">
        <v>18209</v>
      </c>
      <c r="BC1861" s="3" t="s">
        <v>77</v>
      </c>
      <c r="BD1861" s="3" t="s">
        <v>78</v>
      </c>
      <c r="BE1861" s="3" t="s">
        <v>18210</v>
      </c>
      <c r="BF1861" s="3" t="s">
        <v>18209</v>
      </c>
      <c r="BG1861" s="3" t="s">
        <v>18211</v>
      </c>
    </row>
    <row r="1862" spans="1:59" ht="58" x14ac:dyDescent="0.35">
      <c r="A1862" s="2" t="s">
        <v>59</v>
      </c>
      <c r="B1862" s="2" t="s">
        <v>60</v>
      </c>
      <c r="C1862" s="2" t="s">
        <v>18212</v>
      </c>
      <c r="D1862" s="2" t="s">
        <v>18213</v>
      </c>
      <c r="E1862" s="2" t="s">
        <v>18214</v>
      </c>
      <c r="G1862" s="3" t="s">
        <v>65</v>
      </c>
      <c r="I1862" s="3" t="s">
        <v>65</v>
      </c>
      <c r="J1862" s="3" t="s">
        <v>65</v>
      </c>
      <c r="K1862" s="3" t="s">
        <v>66</v>
      </c>
      <c r="L1862" s="2" t="s">
        <v>18215</v>
      </c>
      <c r="M1862" s="2" t="s">
        <v>18216</v>
      </c>
      <c r="N1862" s="3" t="s">
        <v>139</v>
      </c>
      <c r="P1862" s="3" t="s">
        <v>140</v>
      </c>
      <c r="Q1862" s="2" t="s">
        <v>18217</v>
      </c>
      <c r="R1862" s="3" t="s">
        <v>71</v>
      </c>
      <c r="S1862" s="4">
        <v>0</v>
      </c>
      <c r="T1862" s="4">
        <v>0</v>
      </c>
      <c r="W1862" s="5" t="s">
        <v>72</v>
      </c>
      <c r="X1862" s="5" t="s">
        <v>72</v>
      </c>
      <c r="Y1862" s="4">
        <v>34</v>
      </c>
      <c r="Z1862" s="4">
        <v>4</v>
      </c>
      <c r="AA1862" s="4">
        <v>4</v>
      </c>
      <c r="AB1862" s="4">
        <v>1</v>
      </c>
      <c r="AC1862" s="4">
        <v>1</v>
      </c>
      <c r="AD1862" s="4">
        <v>26</v>
      </c>
      <c r="AE1862" s="4">
        <v>26</v>
      </c>
      <c r="AF1862" s="4">
        <v>0</v>
      </c>
      <c r="AG1862" s="4">
        <v>0</v>
      </c>
      <c r="AH1862" s="4">
        <v>25</v>
      </c>
      <c r="AI1862" s="4">
        <v>25</v>
      </c>
      <c r="AJ1862" s="4">
        <v>2</v>
      </c>
      <c r="AK1862" s="4">
        <v>2</v>
      </c>
      <c r="AL1862" s="4">
        <v>20</v>
      </c>
      <c r="AM1862" s="4">
        <v>20</v>
      </c>
      <c r="AN1862" s="4">
        <v>0</v>
      </c>
      <c r="AO1862" s="4">
        <v>0</v>
      </c>
      <c r="AP1862" s="4">
        <v>2</v>
      </c>
      <c r="AQ1862" s="4">
        <v>2</v>
      </c>
      <c r="AR1862" s="3" t="s">
        <v>65</v>
      </c>
      <c r="AS1862" s="3" t="s">
        <v>65</v>
      </c>
      <c r="AT1862" s="3" t="s">
        <v>65</v>
      </c>
      <c r="AV1862" s="6" t="str">
        <f>HYPERLINK("http://mcgill.on.worldcat.org/oclc/802322590","Catalog Record")</f>
        <v>Catalog Record</v>
      </c>
      <c r="AW1862" s="6" t="str">
        <f>HYPERLINK("http://www.worldcat.org/oclc/802322590","WorldCat Record")</f>
        <v>WorldCat Record</v>
      </c>
      <c r="AX1862" s="3" t="s">
        <v>18218</v>
      </c>
      <c r="AY1862" s="3" t="s">
        <v>18219</v>
      </c>
      <c r="AZ1862" s="3" t="s">
        <v>18220</v>
      </c>
      <c r="BA1862" s="3" t="s">
        <v>18220</v>
      </c>
      <c r="BB1862" s="3" t="s">
        <v>18221</v>
      </c>
      <c r="BC1862" s="3" t="s">
        <v>77</v>
      </c>
      <c r="BD1862" s="3" t="s">
        <v>78</v>
      </c>
      <c r="BE1862" s="3" t="s">
        <v>18222</v>
      </c>
      <c r="BF1862" s="3" t="s">
        <v>18221</v>
      </c>
      <c r="BG1862" s="3" t="s">
        <v>18223</v>
      </c>
    </row>
    <row r="1863" spans="1:59" ht="58" x14ac:dyDescent="0.35">
      <c r="A1863" s="2" t="s">
        <v>59</v>
      </c>
      <c r="B1863" s="2" t="s">
        <v>60</v>
      </c>
      <c r="C1863" s="2" t="s">
        <v>18224</v>
      </c>
      <c r="D1863" s="2" t="s">
        <v>18225</v>
      </c>
      <c r="E1863" s="2" t="s">
        <v>18226</v>
      </c>
      <c r="G1863" s="3" t="s">
        <v>65</v>
      </c>
      <c r="I1863" s="3" t="s">
        <v>65</v>
      </c>
      <c r="J1863" s="3" t="s">
        <v>65</v>
      </c>
      <c r="K1863" s="3" t="s">
        <v>66</v>
      </c>
      <c r="L1863" s="2" t="s">
        <v>18227</v>
      </c>
      <c r="M1863" s="2" t="s">
        <v>18228</v>
      </c>
      <c r="N1863" s="3" t="s">
        <v>126</v>
      </c>
      <c r="O1863" s="2" t="s">
        <v>365</v>
      </c>
      <c r="P1863" s="3" t="s">
        <v>140</v>
      </c>
      <c r="Q1863" s="2" t="s">
        <v>18229</v>
      </c>
      <c r="R1863" s="3" t="s">
        <v>71</v>
      </c>
      <c r="S1863" s="4">
        <v>0</v>
      </c>
      <c r="T1863" s="4">
        <v>0</v>
      </c>
      <c r="W1863" s="5" t="s">
        <v>72</v>
      </c>
      <c r="X1863" s="5" t="s">
        <v>72</v>
      </c>
      <c r="Y1863" s="4">
        <v>7</v>
      </c>
      <c r="Z1863" s="4">
        <v>1</v>
      </c>
      <c r="AA1863" s="4">
        <v>4</v>
      </c>
      <c r="AB1863" s="4">
        <v>1</v>
      </c>
      <c r="AC1863" s="4">
        <v>1</v>
      </c>
      <c r="AD1863" s="4">
        <v>3</v>
      </c>
      <c r="AE1863" s="4">
        <v>19</v>
      </c>
      <c r="AF1863" s="4">
        <v>0</v>
      </c>
      <c r="AG1863" s="4">
        <v>0</v>
      </c>
      <c r="AH1863" s="4">
        <v>3</v>
      </c>
      <c r="AI1863" s="4">
        <v>18</v>
      </c>
      <c r="AJ1863" s="4">
        <v>0</v>
      </c>
      <c r="AK1863" s="4">
        <v>2</v>
      </c>
      <c r="AL1863" s="4">
        <v>1</v>
      </c>
      <c r="AM1863" s="4">
        <v>12</v>
      </c>
      <c r="AN1863" s="4">
        <v>0</v>
      </c>
      <c r="AO1863" s="4">
        <v>0</v>
      </c>
      <c r="AP1863" s="4">
        <v>0</v>
      </c>
      <c r="AQ1863" s="4">
        <v>2</v>
      </c>
      <c r="AR1863" s="3" t="s">
        <v>65</v>
      </c>
      <c r="AS1863" s="3" t="s">
        <v>65</v>
      </c>
      <c r="AT1863" s="3" t="s">
        <v>65</v>
      </c>
      <c r="AV1863" s="6" t="str">
        <f>HYPERLINK("http://mcgill.on.worldcat.org/oclc/753624096","Catalog Record")</f>
        <v>Catalog Record</v>
      </c>
      <c r="AW1863" s="6" t="str">
        <f>HYPERLINK("http://www.worldcat.org/oclc/753624096","WorldCat Record")</f>
        <v>WorldCat Record</v>
      </c>
      <c r="AX1863" s="3" t="s">
        <v>18230</v>
      </c>
      <c r="AY1863" s="3" t="s">
        <v>18231</v>
      </c>
      <c r="AZ1863" s="3" t="s">
        <v>18232</v>
      </c>
      <c r="BA1863" s="3" t="s">
        <v>18232</v>
      </c>
      <c r="BB1863" s="3" t="s">
        <v>18233</v>
      </c>
      <c r="BC1863" s="3" t="s">
        <v>77</v>
      </c>
      <c r="BD1863" s="3" t="s">
        <v>78</v>
      </c>
      <c r="BE1863" s="3" t="s">
        <v>18234</v>
      </c>
      <c r="BF1863" s="3" t="s">
        <v>18233</v>
      </c>
      <c r="BG1863" s="3" t="s">
        <v>18235</v>
      </c>
    </row>
    <row r="1864" spans="1:59" ht="58" x14ac:dyDescent="0.35">
      <c r="A1864" s="2" t="s">
        <v>59</v>
      </c>
      <c r="B1864" s="2" t="s">
        <v>60</v>
      </c>
      <c r="C1864" s="2" t="s">
        <v>18236</v>
      </c>
      <c r="D1864" s="2" t="s">
        <v>18237</v>
      </c>
      <c r="E1864" s="2" t="s">
        <v>18238</v>
      </c>
      <c r="G1864" s="3" t="s">
        <v>65</v>
      </c>
      <c r="I1864" s="3" t="s">
        <v>65</v>
      </c>
      <c r="J1864" s="3" t="s">
        <v>65</v>
      </c>
      <c r="K1864" s="3" t="s">
        <v>66</v>
      </c>
      <c r="L1864" s="2" t="s">
        <v>18239</v>
      </c>
      <c r="M1864" s="2" t="s">
        <v>18240</v>
      </c>
      <c r="N1864" s="3" t="s">
        <v>126</v>
      </c>
      <c r="P1864" s="3" t="s">
        <v>140</v>
      </c>
      <c r="Q1864" s="2" t="s">
        <v>18241</v>
      </c>
      <c r="R1864" s="3" t="s">
        <v>71</v>
      </c>
      <c r="S1864" s="4">
        <v>0</v>
      </c>
      <c r="T1864" s="4">
        <v>0</v>
      </c>
      <c r="W1864" s="5" t="s">
        <v>72</v>
      </c>
      <c r="X1864" s="5" t="s">
        <v>72</v>
      </c>
      <c r="Y1864" s="4">
        <v>35</v>
      </c>
      <c r="Z1864" s="4">
        <v>4</v>
      </c>
      <c r="AA1864" s="4">
        <v>4</v>
      </c>
      <c r="AB1864" s="4">
        <v>1</v>
      </c>
      <c r="AC1864" s="4">
        <v>1</v>
      </c>
      <c r="AD1864" s="4">
        <v>26</v>
      </c>
      <c r="AE1864" s="4">
        <v>26</v>
      </c>
      <c r="AF1864" s="4">
        <v>0</v>
      </c>
      <c r="AG1864" s="4">
        <v>0</v>
      </c>
      <c r="AH1864" s="4">
        <v>25</v>
      </c>
      <c r="AI1864" s="4">
        <v>25</v>
      </c>
      <c r="AJ1864" s="4">
        <v>2</v>
      </c>
      <c r="AK1864" s="4">
        <v>2</v>
      </c>
      <c r="AL1864" s="4">
        <v>19</v>
      </c>
      <c r="AM1864" s="4">
        <v>19</v>
      </c>
      <c r="AN1864" s="4">
        <v>0</v>
      </c>
      <c r="AO1864" s="4">
        <v>0</v>
      </c>
      <c r="AP1864" s="4">
        <v>2</v>
      </c>
      <c r="AQ1864" s="4">
        <v>2</v>
      </c>
      <c r="AR1864" s="3" t="s">
        <v>65</v>
      </c>
      <c r="AS1864" s="3" t="s">
        <v>65</v>
      </c>
      <c r="AT1864" s="3" t="s">
        <v>65</v>
      </c>
      <c r="AV1864" s="6" t="str">
        <f>HYPERLINK("http://mcgill.on.worldcat.org/oclc/768397191","Catalog Record")</f>
        <v>Catalog Record</v>
      </c>
      <c r="AW1864" s="6" t="str">
        <f>HYPERLINK("http://www.worldcat.org/oclc/768397191","WorldCat Record")</f>
        <v>WorldCat Record</v>
      </c>
      <c r="AX1864" s="3" t="s">
        <v>18242</v>
      </c>
      <c r="AY1864" s="3" t="s">
        <v>18243</v>
      </c>
      <c r="AZ1864" s="3" t="s">
        <v>18244</v>
      </c>
      <c r="BA1864" s="3" t="s">
        <v>18244</v>
      </c>
      <c r="BB1864" s="3" t="s">
        <v>18245</v>
      </c>
      <c r="BC1864" s="3" t="s">
        <v>77</v>
      </c>
      <c r="BD1864" s="3" t="s">
        <v>78</v>
      </c>
      <c r="BE1864" s="3" t="s">
        <v>18246</v>
      </c>
      <c r="BF1864" s="3" t="s">
        <v>18245</v>
      </c>
      <c r="BG1864" s="3" t="s">
        <v>18247</v>
      </c>
    </row>
    <row r="1865" spans="1:59" ht="58" x14ac:dyDescent="0.35">
      <c r="A1865" s="2" t="s">
        <v>59</v>
      </c>
      <c r="B1865" s="2" t="s">
        <v>60</v>
      </c>
      <c r="C1865" s="2" t="s">
        <v>18248</v>
      </c>
      <c r="D1865" s="2" t="s">
        <v>18249</v>
      </c>
      <c r="E1865" s="2" t="s">
        <v>18250</v>
      </c>
      <c r="G1865" s="3" t="s">
        <v>65</v>
      </c>
      <c r="I1865" s="3" t="s">
        <v>65</v>
      </c>
      <c r="J1865" s="3" t="s">
        <v>65</v>
      </c>
      <c r="K1865" s="3" t="s">
        <v>66</v>
      </c>
      <c r="L1865" s="2" t="s">
        <v>18251</v>
      </c>
      <c r="M1865" s="2" t="s">
        <v>18252</v>
      </c>
      <c r="N1865" s="3" t="s">
        <v>139</v>
      </c>
      <c r="P1865" s="3" t="s">
        <v>140</v>
      </c>
      <c r="Q1865" s="2" t="s">
        <v>18253</v>
      </c>
      <c r="R1865" s="3" t="s">
        <v>71</v>
      </c>
      <c r="S1865" s="4">
        <v>0</v>
      </c>
      <c r="T1865" s="4">
        <v>0</v>
      </c>
      <c r="W1865" s="5" t="s">
        <v>72</v>
      </c>
      <c r="X1865" s="5" t="s">
        <v>72</v>
      </c>
      <c r="Y1865" s="4">
        <v>41</v>
      </c>
      <c r="Z1865" s="4">
        <v>3</v>
      </c>
      <c r="AA1865" s="4">
        <v>3</v>
      </c>
      <c r="AB1865" s="4">
        <v>1</v>
      </c>
      <c r="AC1865" s="4">
        <v>1</v>
      </c>
      <c r="AD1865" s="4">
        <v>29</v>
      </c>
      <c r="AE1865" s="4">
        <v>29</v>
      </c>
      <c r="AF1865" s="4">
        <v>0</v>
      </c>
      <c r="AG1865" s="4">
        <v>0</v>
      </c>
      <c r="AH1865" s="4">
        <v>28</v>
      </c>
      <c r="AI1865" s="4">
        <v>28</v>
      </c>
      <c r="AJ1865" s="4">
        <v>1</v>
      </c>
      <c r="AK1865" s="4">
        <v>1</v>
      </c>
      <c r="AL1865" s="4">
        <v>25</v>
      </c>
      <c r="AM1865" s="4">
        <v>25</v>
      </c>
      <c r="AN1865" s="4">
        <v>0</v>
      </c>
      <c r="AO1865" s="4">
        <v>0</v>
      </c>
      <c r="AP1865" s="4">
        <v>1</v>
      </c>
      <c r="AQ1865" s="4">
        <v>1</v>
      </c>
      <c r="AR1865" s="3" t="s">
        <v>65</v>
      </c>
      <c r="AS1865" s="3" t="s">
        <v>65</v>
      </c>
      <c r="AT1865" s="3" t="s">
        <v>65</v>
      </c>
      <c r="AV1865" s="6" t="str">
        <f>HYPERLINK("http://mcgill.on.worldcat.org/oclc/842837487","Catalog Record")</f>
        <v>Catalog Record</v>
      </c>
      <c r="AW1865" s="6" t="str">
        <f>HYPERLINK("http://www.worldcat.org/oclc/842837487","WorldCat Record")</f>
        <v>WorldCat Record</v>
      </c>
      <c r="AX1865" s="3" t="s">
        <v>18254</v>
      </c>
      <c r="AY1865" s="3" t="s">
        <v>18255</v>
      </c>
      <c r="AZ1865" s="3" t="s">
        <v>18256</v>
      </c>
      <c r="BA1865" s="3" t="s">
        <v>18256</v>
      </c>
      <c r="BB1865" s="3" t="s">
        <v>18257</v>
      </c>
      <c r="BC1865" s="3" t="s">
        <v>77</v>
      </c>
      <c r="BD1865" s="3" t="s">
        <v>78</v>
      </c>
      <c r="BE1865" s="3" t="s">
        <v>18258</v>
      </c>
      <c r="BF1865" s="3" t="s">
        <v>18257</v>
      </c>
      <c r="BG1865" s="3" t="s">
        <v>18259</v>
      </c>
    </row>
    <row r="1866" spans="1:59" ht="58" x14ac:dyDescent="0.35">
      <c r="A1866" s="2" t="s">
        <v>59</v>
      </c>
      <c r="B1866" s="2" t="s">
        <v>60</v>
      </c>
      <c r="C1866" s="2" t="s">
        <v>18260</v>
      </c>
      <c r="D1866" s="2" t="s">
        <v>18261</v>
      </c>
      <c r="E1866" s="2" t="s">
        <v>18262</v>
      </c>
      <c r="G1866" s="3" t="s">
        <v>65</v>
      </c>
      <c r="I1866" s="3" t="s">
        <v>65</v>
      </c>
      <c r="J1866" s="3" t="s">
        <v>65</v>
      </c>
      <c r="K1866" s="3" t="s">
        <v>66</v>
      </c>
      <c r="L1866" s="2" t="s">
        <v>18263</v>
      </c>
      <c r="M1866" s="2" t="s">
        <v>18264</v>
      </c>
      <c r="N1866" s="3" t="s">
        <v>176</v>
      </c>
      <c r="P1866" s="3" t="s">
        <v>140</v>
      </c>
      <c r="Q1866" s="2" t="s">
        <v>18265</v>
      </c>
      <c r="R1866" s="3" t="s">
        <v>71</v>
      </c>
      <c r="S1866" s="4">
        <v>0</v>
      </c>
      <c r="T1866" s="4">
        <v>0</v>
      </c>
      <c r="W1866" s="5" t="s">
        <v>72</v>
      </c>
      <c r="X1866" s="5" t="s">
        <v>72</v>
      </c>
      <c r="Y1866" s="4">
        <v>31</v>
      </c>
      <c r="Z1866" s="4">
        <v>3</v>
      </c>
      <c r="AA1866" s="4">
        <v>3</v>
      </c>
      <c r="AB1866" s="4">
        <v>1</v>
      </c>
      <c r="AC1866" s="4">
        <v>1</v>
      </c>
      <c r="AD1866" s="4">
        <v>25</v>
      </c>
      <c r="AE1866" s="4">
        <v>25</v>
      </c>
      <c r="AF1866" s="4">
        <v>0</v>
      </c>
      <c r="AG1866" s="4">
        <v>0</v>
      </c>
      <c r="AH1866" s="4">
        <v>24</v>
      </c>
      <c r="AI1866" s="4">
        <v>24</v>
      </c>
      <c r="AJ1866" s="4">
        <v>1</v>
      </c>
      <c r="AK1866" s="4">
        <v>1</v>
      </c>
      <c r="AL1866" s="4">
        <v>20</v>
      </c>
      <c r="AM1866" s="4">
        <v>20</v>
      </c>
      <c r="AN1866" s="4">
        <v>0</v>
      </c>
      <c r="AO1866" s="4">
        <v>0</v>
      </c>
      <c r="AP1866" s="4">
        <v>1</v>
      </c>
      <c r="AQ1866" s="4">
        <v>1</v>
      </c>
      <c r="AR1866" s="3" t="s">
        <v>65</v>
      </c>
      <c r="AS1866" s="3" t="s">
        <v>65</v>
      </c>
      <c r="AT1866" s="3" t="s">
        <v>65</v>
      </c>
      <c r="AV1866" s="6" t="str">
        <f>HYPERLINK("http://mcgill.on.worldcat.org/oclc/954233317","Catalog Record")</f>
        <v>Catalog Record</v>
      </c>
      <c r="AW1866" s="6" t="str">
        <f>HYPERLINK("http://www.worldcat.org/oclc/954233317","WorldCat Record")</f>
        <v>WorldCat Record</v>
      </c>
      <c r="AX1866" s="3" t="s">
        <v>18266</v>
      </c>
      <c r="AY1866" s="3" t="s">
        <v>18267</v>
      </c>
      <c r="AZ1866" s="3" t="s">
        <v>18268</v>
      </c>
      <c r="BA1866" s="3" t="s">
        <v>18268</v>
      </c>
      <c r="BB1866" s="3" t="s">
        <v>18269</v>
      </c>
      <c r="BC1866" s="3" t="s">
        <v>77</v>
      </c>
      <c r="BD1866" s="3" t="s">
        <v>78</v>
      </c>
      <c r="BE1866" s="3" t="s">
        <v>18270</v>
      </c>
      <c r="BF1866" s="3" t="s">
        <v>18269</v>
      </c>
      <c r="BG1866" s="3" t="s">
        <v>18271</v>
      </c>
    </row>
    <row r="1867" spans="1:59" ht="58" x14ac:dyDescent="0.35">
      <c r="A1867" s="2" t="s">
        <v>59</v>
      </c>
      <c r="B1867" s="2" t="s">
        <v>60</v>
      </c>
      <c r="C1867" s="2" t="s">
        <v>18272</v>
      </c>
      <c r="D1867" s="2" t="s">
        <v>18273</v>
      </c>
      <c r="E1867" s="2" t="s">
        <v>18274</v>
      </c>
      <c r="G1867" s="3" t="s">
        <v>65</v>
      </c>
      <c r="I1867" s="3" t="s">
        <v>65</v>
      </c>
      <c r="J1867" s="3" t="s">
        <v>65</v>
      </c>
      <c r="K1867" s="3" t="s">
        <v>66</v>
      </c>
      <c r="L1867" s="2" t="s">
        <v>18275</v>
      </c>
      <c r="M1867" s="2" t="s">
        <v>18276</v>
      </c>
      <c r="N1867" s="3" t="s">
        <v>552</v>
      </c>
      <c r="P1867" s="3" t="s">
        <v>140</v>
      </c>
      <c r="Q1867" s="2" t="s">
        <v>18277</v>
      </c>
      <c r="R1867" s="3" t="s">
        <v>71</v>
      </c>
      <c r="S1867" s="4">
        <v>6</v>
      </c>
      <c r="T1867" s="4">
        <v>6</v>
      </c>
      <c r="U1867" s="5" t="s">
        <v>18278</v>
      </c>
      <c r="V1867" s="5" t="s">
        <v>18278</v>
      </c>
      <c r="W1867" s="5" t="s">
        <v>72</v>
      </c>
      <c r="X1867" s="5" t="s">
        <v>72</v>
      </c>
      <c r="Y1867" s="4">
        <v>11</v>
      </c>
      <c r="Z1867" s="4">
        <v>3</v>
      </c>
      <c r="AA1867" s="4">
        <v>3</v>
      </c>
      <c r="AB1867" s="4">
        <v>1</v>
      </c>
      <c r="AC1867" s="4">
        <v>1</v>
      </c>
      <c r="AD1867" s="4">
        <v>6</v>
      </c>
      <c r="AE1867" s="4">
        <v>6</v>
      </c>
      <c r="AF1867" s="4">
        <v>0</v>
      </c>
      <c r="AG1867" s="4">
        <v>0</v>
      </c>
      <c r="AH1867" s="4">
        <v>6</v>
      </c>
      <c r="AI1867" s="4">
        <v>6</v>
      </c>
      <c r="AJ1867" s="4">
        <v>1</v>
      </c>
      <c r="AK1867" s="4">
        <v>1</v>
      </c>
      <c r="AL1867" s="4">
        <v>4</v>
      </c>
      <c r="AM1867" s="4">
        <v>4</v>
      </c>
      <c r="AN1867" s="4">
        <v>0</v>
      </c>
      <c r="AO1867" s="4">
        <v>0</v>
      </c>
      <c r="AP1867" s="4">
        <v>1</v>
      </c>
      <c r="AQ1867" s="4">
        <v>1</v>
      </c>
      <c r="AR1867" s="3" t="s">
        <v>65</v>
      </c>
      <c r="AS1867" s="3" t="s">
        <v>65</v>
      </c>
      <c r="AT1867" s="3" t="s">
        <v>65</v>
      </c>
      <c r="AV1867" s="6" t="str">
        <f>HYPERLINK("http://mcgill.on.worldcat.org/oclc/37206505","Catalog Record")</f>
        <v>Catalog Record</v>
      </c>
      <c r="AW1867" s="6" t="str">
        <f>HYPERLINK("http://www.worldcat.org/oclc/37206505","WorldCat Record")</f>
        <v>WorldCat Record</v>
      </c>
      <c r="AX1867" s="3" t="s">
        <v>18279</v>
      </c>
      <c r="AY1867" s="3" t="s">
        <v>18280</v>
      </c>
      <c r="AZ1867" s="3" t="s">
        <v>18281</v>
      </c>
      <c r="BA1867" s="3" t="s">
        <v>18281</v>
      </c>
      <c r="BB1867" s="3" t="s">
        <v>18282</v>
      </c>
      <c r="BC1867" s="3" t="s">
        <v>77</v>
      </c>
      <c r="BD1867" s="3" t="s">
        <v>106</v>
      </c>
      <c r="BE1867" s="3" t="s">
        <v>18283</v>
      </c>
      <c r="BF1867" s="3" t="s">
        <v>18282</v>
      </c>
      <c r="BG1867" s="3" t="s">
        <v>18284</v>
      </c>
    </row>
    <row r="1868" spans="1:59" ht="58" x14ac:dyDescent="0.35">
      <c r="A1868" s="2" t="s">
        <v>59</v>
      </c>
      <c r="B1868" s="2" t="s">
        <v>60</v>
      </c>
      <c r="C1868" s="2" t="s">
        <v>18285</v>
      </c>
      <c r="D1868" s="2" t="s">
        <v>18286</v>
      </c>
      <c r="E1868" s="2" t="s">
        <v>18287</v>
      </c>
      <c r="G1868" s="3" t="s">
        <v>65</v>
      </c>
      <c r="I1868" s="3" t="s">
        <v>65</v>
      </c>
      <c r="J1868" s="3" t="s">
        <v>65</v>
      </c>
      <c r="K1868" s="3" t="s">
        <v>66</v>
      </c>
      <c r="L1868" s="2" t="s">
        <v>18288</v>
      </c>
      <c r="M1868" s="2" t="s">
        <v>18289</v>
      </c>
      <c r="N1868" s="3" t="s">
        <v>906</v>
      </c>
      <c r="P1868" s="3" t="s">
        <v>140</v>
      </c>
      <c r="Q1868" s="2" t="s">
        <v>18290</v>
      </c>
      <c r="R1868" s="3" t="s">
        <v>71</v>
      </c>
      <c r="S1868" s="4">
        <v>2</v>
      </c>
      <c r="T1868" s="4">
        <v>2</v>
      </c>
      <c r="U1868" s="5" t="s">
        <v>18291</v>
      </c>
      <c r="V1868" s="5" t="s">
        <v>18291</v>
      </c>
      <c r="W1868" s="5" t="s">
        <v>72</v>
      </c>
      <c r="X1868" s="5" t="s">
        <v>72</v>
      </c>
      <c r="Y1868" s="4">
        <v>58</v>
      </c>
      <c r="Z1868" s="4">
        <v>5</v>
      </c>
      <c r="AA1868" s="4">
        <v>5</v>
      </c>
      <c r="AB1868" s="4">
        <v>1</v>
      </c>
      <c r="AC1868" s="4">
        <v>1</v>
      </c>
      <c r="AD1868" s="4">
        <v>25</v>
      </c>
      <c r="AE1868" s="4">
        <v>28</v>
      </c>
      <c r="AF1868" s="4">
        <v>0</v>
      </c>
      <c r="AG1868" s="4">
        <v>0</v>
      </c>
      <c r="AH1868" s="4">
        <v>22</v>
      </c>
      <c r="AI1868" s="4">
        <v>25</v>
      </c>
      <c r="AJ1868" s="4">
        <v>3</v>
      </c>
      <c r="AK1868" s="4">
        <v>3</v>
      </c>
      <c r="AL1868" s="4">
        <v>19</v>
      </c>
      <c r="AM1868" s="4">
        <v>21</v>
      </c>
      <c r="AN1868" s="4">
        <v>0</v>
      </c>
      <c r="AO1868" s="4">
        <v>0</v>
      </c>
      <c r="AP1868" s="4">
        <v>3</v>
      </c>
      <c r="AQ1868" s="4">
        <v>3</v>
      </c>
      <c r="AR1868" s="3" t="s">
        <v>65</v>
      </c>
      <c r="AS1868" s="3" t="s">
        <v>65</v>
      </c>
      <c r="AT1868" s="3" t="s">
        <v>65</v>
      </c>
      <c r="AV1868" s="6" t="str">
        <f>HYPERLINK("http://mcgill.on.worldcat.org/oclc/5440993","Catalog Record")</f>
        <v>Catalog Record</v>
      </c>
      <c r="AW1868" s="6" t="str">
        <f>HYPERLINK("http://www.worldcat.org/oclc/5440993","WorldCat Record")</f>
        <v>WorldCat Record</v>
      </c>
      <c r="AX1868" s="3" t="s">
        <v>18292</v>
      </c>
      <c r="AY1868" s="3" t="s">
        <v>18293</v>
      </c>
      <c r="AZ1868" s="3" t="s">
        <v>18294</v>
      </c>
      <c r="BA1868" s="3" t="s">
        <v>18294</v>
      </c>
      <c r="BB1868" s="3" t="s">
        <v>18295</v>
      </c>
      <c r="BC1868" s="3" t="s">
        <v>77</v>
      </c>
      <c r="BD1868" s="3" t="s">
        <v>78</v>
      </c>
      <c r="BF1868" s="3" t="s">
        <v>18295</v>
      </c>
      <c r="BG1868" s="3" t="s">
        <v>18296</v>
      </c>
    </row>
    <row r="1869" spans="1:59" ht="58" x14ac:dyDescent="0.35">
      <c r="A1869" s="2" t="s">
        <v>59</v>
      </c>
      <c r="B1869" s="2" t="s">
        <v>60</v>
      </c>
      <c r="C1869" s="2" t="s">
        <v>18297</v>
      </c>
      <c r="D1869" s="2" t="s">
        <v>18298</v>
      </c>
      <c r="E1869" s="2" t="s">
        <v>18299</v>
      </c>
      <c r="F1869" s="3" t="s">
        <v>490</v>
      </c>
      <c r="G1869" s="3" t="s">
        <v>209</v>
      </c>
      <c r="I1869" s="3" t="s">
        <v>65</v>
      </c>
      <c r="J1869" s="3" t="s">
        <v>65</v>
      </c>
      <c r="K1869" s="3" t="s">
        <v>66</v>
      </c>
      <c r="L1869" s="2" t="s">
        <v>18288</v>
      </c>
      <c r="M1869" s="2" t="s">
        <v>18300</v>
      </c>
      <c r="N1869" s="3" t="s">
        <v>7039</v>
      </c>
      <c r="P1869" s="3" t="s">
        <v>140</v>
      </c>
      <c r="Q1869" s="2" t="s">
        <v>18133</v>
      </c>
      <c r="R1869" s="3" t="s">
        <v>71</v>
      </c>
      <c r="S1869" s="4">
        <v>1</v>
      </c>
      <c r="T1869" s="4">
        <v>1</v>
      </c>
      <c r="U1869" s="5" t="s">
        <v>18291</v>
      </c>
      <c r="V1869" s="5" t="s">
        <v>18291</v>
      </c>
      <c r="W1869" s="5" t="s">
        <v>72</v>
      </c>
      <c r="X1869" s="5" t="s">
        <v>72</v>
      </c>
      <c r="Y1869" s="4">
        <v>44</v>
      </c>
      <c r="Z1869" s="4">
        <v>3</v>
      </c>
      <c r="AA1869" s="4">
        <v>7</v>
      </c>
      <c r="AB1869" s="4">
        <v>1</v>
      </c>
      <c r="AC1869" s="4">
        <v>1</v>
      </c>
      <c r="AD1869" s="4">
        <v>23</v>
      </c>
      <c r="AE1869" s="4">
        <v>35</v>
      </c>
      <c r="AF1869" s="4">
        <v>0</v>
      </c>
      <c r="AG1869" s="4">
        <v>0</v>
      </c>
      <c r="AH1869" s="4">
        <v>21</v>
      </c>
      <c r="AI1869" s="4">
        <v>33</v>
      </c>
      <c r="AJ1869" s="4">
        <v>1</v>
      </c>
      <c r="AK1869" s="4">
        <v>4</v>
      </c>
      <c r="AL1869" s="4">
        <v>18</v>
      </c>
      <c r="AM1869" s="4">
        <v>25</v>
      </c>
      <c r="AN1869" s="4">
        <v>0</v>
      </c>
      <c r="AO1869" s="4">
        <v>0</v>
      </c>
      <c r="AP1869" s="4">
        <v>1</v>
      </c>
      <c r="AQ1869" s="4">
        <v>4</v>
      </c>
      <c r="AR1869" s="3" t="s">
        <v>65</v>
      </c>
      <c r="AS1869" s="3" t="s">
        <v>65</v>
      </c>
      <c r="AT1869" s="3" t="s">
        <v>209</v>
      </c>
      <c r="AU1869" s="6" t="str">
        <f>HYPERLINK("http://catalog.hathitrust.org/Record/001805487","HathiTrust Record")</f>
        <v>HathiTrust Record</v>
      </c>
      <c r="AV1869" s="6" t="str">
        <f>HYPERLINK("http://mcgill.on.worldcat.org/oclc/4063128","Catalog Record")</f>
        <v>Catalog Record</v>
      </c>
      <c r="AW1869" s="6" t="str">
        <f>HYPERLINK("http://www.worldcat.org/oclc/4063128","WorldCat Record")</f>
        <v>WorldCat Record</v>
      </c>
      <c r="AX1869" s="3" t="s">
        <v>18301</v>
      </c>
      <c r="AY1869" s="3" t="s">
        <v>18302</v>
      </c>
      <c r="AZ1869" s="3" t="s">
        <v>18303</v>
      </c>
      <c r="BA1869" s="3" t="s">
        <v>18303</v>
      </c>
      <c r="BB1869" s="3" t="s">
        <v>18304</v>
      </c>
      <c r="BC1869" s="3" t="s">
        <v>77</v>
      </c>
      <c r="BD1869" s="3" t="s">
        <v>78</v>
      </c>
      <c r="BF1869" s="3" t="s">
        <v>18304</v>
      </c>
      <c r="BG1869" s="3" t="s">
        <v>18305</v>
      </c>
    </row>
    <row r="1870" spans="1:59" ht="58" x14ac:dyDescent="0.35">
      <c r="A1870" s="2" t="s">
        <v>59</v>
      </c>
      <c r="B1870" s="2" t="s">
        <v>60</v>
      </c>
      <c r="C1870" s="2" t="s">
        <v>18297</v>
      </c>
      <c r="D1870" s="2" t="s">
        <v>18298</v>
      </c>
      <c r="E1870" s="2" t="s">
        <v>18299</v>
      </c>
      <c r="F1870" s="3" t="s">
        <v>503</v>
      </c>
      <c r="G1870" s="3" t="s">
        <v>209</v>
      </c>
      <c r="I1870" s="3" t="s">
        <v>65</v>
      </c>
      <c r="J1870" s="3" t="s">
        <v>65</v>
      </c>
      <c r="K1870" s="3" t="s">
        <v>66</v>
      </c>
      <c r="L1870" s="2" t="s">
        <v>18288</v>
      </c>
      <c r="M1870" s="2" t="s">
        <v>18300</v>
      </c>
      <c r="N1870" s="3" t="s">
        <v>7039</v>
      </c>
      <c r="P1870" s="3" t="s">
        <v>140</v>
      </c>
      <c r="Q1870" s="2" t="s">
        <v>18133</v>
      </c>
      <c r="R1870" s="3" t="s">
        <v>71</v>
      </c>
      <c r="S1870" s="4">
        <v>0</v>
      </c>
      <c r="T1870" s="4">
        <v>1</v>
      </c>
      <c r="V1870" s="5" t="s">
        <v>18291</v>
      </c>
      <c r="W1870" s="5" t="s">
        <v>72</v>
      </c>
      <c r="X1870" s="5" t="s">
        <v>72</v>
      </c>
      <c r="Y1870" s="4">
        <v>44</v>
      </c>
      <c r="Z1870" s="4">
        <v>3</v>
      </c>
      <c r="AA1870" s="4">
        <v>7</v>
      </c>
      <c r="AB1870" s="4">
        <v>1</v>
      </c>
      <c r="AC1870" s="4">
        <v>1</v>
      </c>
      <c r="AD1870" s="4">
        <v>23</v>
      </c>
      <c r="AE1870" s="4">
        <v>35</v>
      </c>
      <c r="AF1870" s="4">
        <v>0</v>
      </c>
      <c r="AG1870" s="4">
        <v>0</v>
      </c>
      <c r="AH1870" s="4">
        <v>21</v>
      </c>
      <c r="AI1870" s="4">
        <v>33</v>
      </c>
      <c r="AJ1870" s="4">
        <v>1</v>
      </c>
      <c r="AK1870" s="4">
        <v>4</v>
      </c>
      <c r="AL1870" s="4">
        <v>18</v>
      </c>
      <c r="AM1870" s="4">
        <v>25</v>
      </c>
      <c r="AN1870" s="4">
        <v>0</v>
      </c>
      <c r="AO1870" s="4">
        <v>0</v>
      </c>
      <c r="AP1870" s="4">
        <v>1</v>
      </c>
      <c r="AQ1870" s="4">
        <v>4</v>
      </c>
      <c r="AR1870" s="3" t="s">
        <v>65</v>
      </c>
      <c r="AS1870" s="3" t="s">
        <v>65</v>
      </c>
      <c r="AT1870" s="3" t="s">
        <v>209</v>
      </c>
      <c r="AU1870" s="6" t="str">
        <f>HYPERLINK("http://catalog.hathitrust.org/Record/001805487","HathiTrust Record")</f>
        <v>HathiTrust Record</v>
      </c>
      <c r="AV1870" s="6" t="str">
        <f>HYPERLINK("http://mcgill.on.worldcat.org/oclc/4063128","Catalog Record")</f>
        <v>Catalog Record</v>
      </c>
      <c r="AW1870" s="6" t="str">
        <f>HYPERLINK("http://www.worldcat.org/oclc/4063128","WorldCat Record")</f>
        <v>WorldCat Record</v>
      </c>
      <c r="AX1870" s="3" t="s">
        <v>18301</v>
      </c>
      <c r="AY1870" s="3" t="s">
        <v>18302</v>
      </c>
      <c r="AZ1870" s="3" t="s">
        <v>18303</v>
      </c>
      <c r="BA1870" s="3" t="s">
        <v>18303</v>
      </c>
      <c r="BB1870" s="3" t="s">
        <v>18306</v>
      </c>
      <c r="BC1870" s="3" t="s">
        <v>77</v>
      </c>
      <c r="BD1870" s="3" t="s">
        <v>78</v>
      </c>
      <c r="BF1870" s="3" t="s">
        <v>18306</v>
      </c>
      <c r="BG1870" s="3" t="s">
        <v>18307</v>
      </c>
    </row>
    <row r="1871" spans="1:59" ht="58" x14ac:dyDescent="0.35">
      <c r="A1871" s="2" t="s">
        <v>59</v>
      </c>
      <c r="B1871" s="2" t="s">
        <v>60</v>
      </c>
      <c r="C1871" s="2" t="s">
        <v>18308</v>
      </c>
      <c r="D1871" s="2" t="s">
        <v>18309</v>
      </c>
      <c r="E1871" s="2" t="s">
        <v>18310</v>
      </c>
      <c r="G1871" s="3" t="s">
        <v>65</v>
      </c>
      <c r="I1871" s="3" t="s">
        <v>65</v>
      </c>
      <c r="J1871" s="3" t="s">
        <v>209</v>
      </c>
      <c r="K1871" s="3" t="s">
        <v>66</v>
      </c>
      <c r="L1871" s="2" t="s">
        <v>18311</v>
      </c>
      <c r="M1871" s="2" t="s">
        <v>18312</v>
      </c>
      <c r="N1871" s="3" t="s">
        <v>126</v>
      </c>
      <c r="O1871" s="2" t="s">
        <v>365</v>
      </c>
      <c r="P1871" s="3" t="s">
        <v>140</v>
      </c>
      <c r="Q1871" s="2" t="s">
        <v>18313</v>
      </c>
      <c r="R1871" s="3" t="s">
        <v>71</v>
      </c>
      <c r="S1871" s="4">
        <v>0</v>
      </c>
      <c r="T1871" s="4">
        <v>0</v>
      </c>
      <c r="W1871" s="5" t="s">
        <v>72</v>
      </c>
      <c r="X1871" s="5" t="s">
        <v>72</v>
      </c>
      <c r="Y1871" s="4">
        <v>48</v>
      </c>
      <c r="Z1871" s="4">
        <v>3</v>
      </c>
      <c r="AA1871" s="4">
        <v>30</v>
      </c>
      <c r="AB1871" s="4">
        <v>1</v>
      </c>
      <c r="AC1871" s="4">
        <v>4</v>
      </c>
      <c r="AD1871" s="4">
        <v>35</v>
      </c>
      <c r="AE1871" s="4">
        <v>94</v>
      </c>
      <c r="AF1871" s="4">
        <v>0</v>
      </c>
      <c r="AG1871" s="4">
        <v>1</v>
      </c>
      <c r="AH1871" s="4">
        <v>34</v>
      </c>
      <c r="AI1871" s="4">
        <v>85</v>
      </c>
      <c r="AJ1871" s="4">
        <v>1</v>
      </c>
      <c r="AK1871" s="4">
        <v>12</v>
      </c>
      <c r="AL1871" s="4">
        <v>29</v>
      </c>
      <c r="AM1871" s="4">
        <v>51</v>
      </c>
      <c r="AN1871" s="4">
        <v>0</v>
      </c>
      <c r="AO1871" s="4">
        <v>1</v>
      </c>
      <c r="AP1871" s="4">
        <v>1</v>
      </c>
      <c r="AQ1871" s="4">
        <v>16</v>
      </c>
      <c r="AR1871" s="3" t="s">
        <v>65</v>
      </c>
      <c r="AS1871" s="3" t="s">
        <v>65</v>
      </c>
      <c r="AT1871" s="3" t="s">
        <v>65</v>
      </c>
      <c r="AV1871" s="6" t="str">
        <f>HYPERLINK("http://mcgill.on.worldcat.org/oclc/785862749","Catalog Record")</f>
        <v>Catalog Record</v>
      </c>
      <c r="AW1871" s="6" t="str">
        <f>HYPERLINK("http://www.worldcat.org/oclc/785862749","WorldCat Record")</f>
        <v>WorldCat Record</v>
      </c>
      <c r="AX1871" s="3" t="s">
        <v>18314</v>
      </c>
      <c r="AY1871" s="3" t="s">
        <v>18315</v>
      </c>
      <c r="AZ1871" s="3" t="s">
        <v>18316</v>
      </c>
      <c r="BA1871" s="3" t="s">
        <v>18316</v>
      </c>
      <c r="BB1871" s="3" t="s">
        <v>18317</v>
      </c>
      <c r="BC1871" s="3" t="s">
        <v>77</v>
      </c>
      <c r="BD1871" s="3" t="s">
        <v>78</v>
      </c>
      <c r="BE1871" s="3" t="s">
        <v>18318</v>
      </c>
      <c r="BF1871" s="3" t="s">
        <v>18317</v>
      </c>
      <c r="BG1871" s="3" t="s">
        <v>18319</v>
      </c>
    </row>
    <row r="1872" spans="1:59" ht="58" x14ac:dyDescent="0.35">
      <c r="A1872" s="2" t="s">
        <v>59</v>
      </c>
      <c r="B1872" s="2" t="s">
        <v>60</v>
      </c>
      <c r="C1872" s="2" t="s">
        <v>18320</v>
      </c>
      <c r="D1872" s="2" t="s">
        <v>18321</v>
      </c>
      <c r="E1872" s="2" t="s">
        <v>18322</v>
      </c>
      <c r="G1872" s="3" t="s">
        <v>65</v>
      </c>
      <c r="I1872" s="3" t="s">
        <v>65</v>
      </c>
      <c r="J1872" s="3" t="s">
        <v>65</v>
      </c>
      <c r="K1872" s="3" t="s">
        <v>66</v>
      </c>
      <c r="L1872" s="2" t="s">
        <v>18311</v>
      </c>
      <c r="M1872" s="2" t="s">
        <v>18323</v>
      </c>
      <c r="N1872" s="3" t="s">
        <v>113</v>
      </c>
      <c r="P1872" s="3" t="s">
        <v>140</v>
      </c>
      <c r="Q1872" s="2" t="s">
        <v>18324</v>
      </c>
      <c r="R1872" s="3" t="s">
        <v>71</v>
      </c>
      <c r="S1872" s="4">
        <v>0</v>
      </c>
      <c r="T1872" s="4">
        <v>0</v>
      </c>
      <c r="W1872" s="5" t="s">
        <v>72</v>
      </c>
      <c r="X1872" s="5" t="s">
        <v>72</v>
      </c>
      <c r="Y1872" s="4">
        <v>45</v>
      </c>
      <c r="Z1872" s="4">
        <v>3</v>
      </c>
      <c r="AA1872" s="4">
        <v>3</v>
      </c>
      <c r="AB1872" s="4">
        <v>1</v>
      </c>
      <c r="AC1872" s="4">
        <v>1</v>
      </c>
      <c r="AD1872" s="4">
        <v>31</v>
      </c>
      <c r="AE1872" s="4">
        <v>31</v>
      </c>
      <c r="AF1872" s="4">
        <v>0</v>
      </c>
      <c r="AG1872" s="4">
        <v>0</v>
      </c>
      <c r="AH1872" s="4">
        <v>30</v>
      </c>
      <c r="AI1872" s="4">
        <v>30</v>
      </c>
      <c r="AJ1872" s="4">
        <v>1</v>
      </c>
      <c r="AK1872" s="4">
        <v>1</v>
      </c>
      <c r="AL1872" s="4">
        <v>24</v>
      </c>
      <c r="AM1872" s="4">
        <v>24</v>
      </c>
      <c r="AN1872" s="4">
        <v>0</v>
      </c>
      <c r="AO1872" s="4">
        <v>0</v>
      </c>
      <c r="AP1872" s="4">
        <v>1</v>
      </c>
      <c r="AQ1872" s="4">
        <v>1</v>
      </c>
      <c r="AR1872" s="3" t="s">
        <v>65</v>
      </c>
      <c r="AS1872" s="3" t="s">
        <v>65</v>
      </c>
      <c r="AT1872" s="3" t="s">
        <v>65</v>
      </c>
      <c r="AV1872" s="6" t="str">
        <f>HYPERLINK("http://mcgill.on.worldcat.org/oclc/671869172","Catalog Record")</f>
        <v>Catalog Record</v>
      </c>
      <c r="AW1872" s="6" t="str">
        <f>HYPERLINK("http://www.worldcat.org/oclc/671869172","WorldCat Record")</f>
        <v>WorldCat Record</v>
      </c>
      <c r="AX1872" s="3" t="s">
        <v>18325</v>
      </c>
      <c r="AY1872" s="3" t="s">
        <v>18326</v>
      </c>
      <c r="AZ1872" s="3" t="s">
        <v>18327</v>
      </c>
      <c r="BA1872" s="3" t="s">
        <v>18327</v>
      </c>
      <c r="BB1872" s="3" t="s">
        <v>18328</v>
      </c>
      <c r="BC1872" s="3" t="s">
        <v>77</v>
      </c>
      <c r="BD1872" s="3" t="s">
        <v>78</v>
      </c>
      <c r="BE1872" s="3" t="s">
        <v>18329</v>
      </c>
      <c r="BF1872" s="3" t="s">
        <v>18328</v>
      </c>
      <c r="BG1872" s="3" t="s">
        <v>18330</v>
      </c>
    </row>
    <row r="1873" spans="1:59" ht="58" x14ac:dyDescent="0.35">
      <c r="A1873" s="2" t="s">
        <v>59</v>
      </c>
      <c r="B1873" s="2" t="s">
        <v>60</v>
      </c>
      <c r="C1873" s="2" t="s">
        <v>18331</v>
      </c>
      <c r="D1873" s="2" t="s">
        <v>18332</v>
      </c>
      <c r="E1873" s="2" t="s">
        <v>18333</v>
      </c>
      <c r="G1873" s="3" t="s">
        <v>65</v>
      </c>
      <c r="I1873" s="3" t="s">
        <v>65</v>
      </c>
      <c r="J1873" s="3" t="s">
        <v>65</v>
      </c>
      <c r="K1873" s="3" t="s">
        <v>66</v>
      </c>
      <c r="L1873" s="2" t="s">
        <v>18311</v>
      </c>
      <c r="M1873" s="2" t="s">
        <v>18323</v>
      </c>
      <c r="N1873" s="3" t="s">
        <v>113</v>
      </c>
      <c r="P1873" s="3" t="s">
        <v>140</v>
      </c>
      <c r="Q1873" s="2" t="s">
        <v>18324</v>
      </c>
      <c r="R1873" s="3" t="s">
        <v>71</v>
      </c>
      <c r="S1873" s="4">
        <v>0</v>
      </c>
      <c r="T1873" s="4">
        <v>0</v>
      </c>
      <c r="W1873" s="5" t="s">
        <v>72</v>
      </c>
      <c r="X1873" s="5" t="s">
        <v>72</v>
      </c>
      <c r="Y1873" s="4">
        <v>43</v>
      </c>
      <c r="Z1873" s="4">
        <v>3</v>
      </c>
      <c r="AA1873" s="4">
        <v>3</v>
      </c>
      <c r="AB1873" s="4">
        <v>1</v>
      </c>
      <c r="AC1873" s="4">
        <v>1</v>
      </c>
      <c r="AD1873" s="4">
        <v>29</v>
      </c>
      <c r="AE1873" s="4">
        <v>29</v>
      </c>
      <c r="AF1873" s="4">
        <v>0</v>
      </c>
      <c r="AG1873" s="4">
        <v>0</v>
      </c>
      <c r="AH1873" s="4">
        <v>28</v>
      </c>
      <c r="AI1873" s="4">
        <v>28</v>
      </c>
      <c r="AJ1873" s="4">
        <v>1</v>
      </c>
      <c r="AK1873" s="4">
        <v>1</v>
      </c>
      <c r="AL1873" s="4">
        <v>23</v>
      </c>
      <c r="AM1873" s="4">
        <v>23</v>
      </c>
      <c r="AN1873" s="4">
        <v>0</v>
      </c>
      <c r="AO1873" s="4">
        <v>0</v>
      </c>
      <c r="AP1873" s="4">
        <v>1</v>
      </c>
      <c r="AQ1873" s="4">
        <v>1</v>
      </c>
      <c r="AR1873" s="3" t="s">
        <v>65</v>
      </c>
      <c r="AS1873" s="3" t="s">
        <v>65</v>
      </c>
      <c r="AT1873" s="3" t="s">
        <v>65</v>
      </c>
      <c r="AV1873" s="6" t="str">
        <f>HYPERLINK("http://mcgill.on.worldcat.org/oclc/671869174","Catalog Record")</f>
        <v>Catalog Record</v>
      </c>
      <c r="AW1873" s="6" t="str">
        <f>HYPERLINK("http://www.worldcat.org/oclc/671869174","WorldCat Record")</f>
        <v>WorldCat Record</v>
      </c>
      <c r="AX1873" s="3" t="s">
        <v>18334</v>
      </c>
      <c r="AY1873" s="3" t="s">
        <v>18335</v>
      </c>
      <c r="AZ1873" s="3" t="s">
        <v>18336</v>
      </c>
      <c r="BA1873" s="3" t="s">
        <v>18336</v>
      </c>
      <c r="BB1873" s="3" t="s">
        <v>18337</v>
      </c>
      <c r="BC1873" s="3" t="s">
        <v>77</v>
      </c>
      <c r="BD1873" s="3" t="s">
        <v>78</v>
      </c>
      <c r="BE1873" s="3" t="s">
        <v>18338</v>
      </c>
      <c r="BF1873" s="3" t="s">
        <v>18337</v>
      </c>
      <c r="BG1873" s="3" t="s">
        <v>18339</v>
      </c>
    </row>
    <row r="1874" spans="1:59" ht="58" x14ac:dyDescent="0.35">
      <c r="A1874" s="2" t="s">
        <v>59</v>
      </c>
      <c r="B1874" s="2" t="s">
        <v>60</v>
      </c>
      <c r="C1874" s="2" t="s">
        <v>18340</v>
      </c>
      <c r="D1874" s="2" t="s">
        <v>18341</v>
      </c>
      <c r="E1874" s="2" t="s">
        <v>18342</v>
      </c>
      <c r="G1874" s="3" t="s">
        <v>65</v>
      </c>
      <c r="I1874" s="3" t="s">
        <v>65</v>
      </c>
      <c r="J1874" s="3" t="s">
        <v>65</v>
      </c>
      <c r="K1874" s="3" t="s">
        <v>66</v>
      </c>
      <c r="L1874" s="2" t="s">
        <v>18311</v>
      </c>
      <c r="M1874" s="2" t="s">
        <v>18343</v>
      </c>
      <c r="N1874" s="3" t="s">
        <v>126</v>
      </c>
      <c r="P1874" s="3" t="s">
        <v>140</v>
      </c>
      <c r="Q1874" s="2" t="s">
        <v>18324</v>
      </c>
      <c r="R1874" s="3" t="s">
        <v>71</v>
      </c>
      <c r="S1874" s="4">
        <v>0</v>
      </c>
      <c r="T1874" s="4">
        <v>0</v>
      </c>
      <c r="W1874" s="5" t="s">
        <v>72</v>
      </c>
      <c r="X1874" s="5" t="s">
        <v>72</v>
      </c>
      <c r="Y1874" s="4">
        <v>35</v>
      </c>
      <c r="Z1874" s="4">
        <v>3</v>
      </c>
      <c r="AA1874" s="4">
        <v>3</v>
      </c>
      <c r="AB1874" s="4">
        <v>1</v>
      </c>
      <c r="AC1874" s="4">
        <v>1</v>
      </c>
      <c r="AD1874" s="4">
        <v>23</v>
      </c>
      <c r="AE1874" s="4">
        <v>23</v>
      </c>
      <c r="AF1874" s="4">
        <v>0</v>
      </c>
      <c r="AG1874" s="4">
        <v>0</v>
      </c>
      <c r="AH1874" s="4">
        <v>22</v>
      </c>
      <c r="AI1874" s="4">
        <v>22</v>
      </c>
      <c r="AJ1874" s="4">
        <v>1</v>
      </c>
      <c r="AK1874" s="4">
        <v>1</v>
      </c>
      <c r="AL1874" s="4">
        <v>18</v>
      </c>
      <c r="AM1874" s="4">
        <v>18</v>
      </c>
      <c r="AN1874" s="4">
        <v>0</v>
      </c>
      <c r="AO1874" s="4">
        <v>0</v>
      </c>
      <c r="AP1874" s="4">
        <v>1</v>
      </c>
      <c r="AQ1874" s="4">
        <v>1</v>
      </c>
      <c r="AR1874" s="3" t="s">
        <v>65</v>
      </c>
      <c r="AS1874" s="3" t="s">
        <v>65</v>
      </c>
      <c r="AT1874" s="3" t="s">
        <v>65</v>
      </c>
      <c r="AV1874" s="6" t="str">
        <f>HYPERLINK("http://mcgill.on.worldcat.org/oclc/779876259","Catalog Record")</f>
        <v>Catalog Record</v>
      </c>
      <c r="AW1874" s="6" t="str">
        <f>HYPERLINK("http://www.worldcat.org/oclc/779876259","WorldCat Record")</f>
        <v>WorldCat Record</v>
      </c>
      <c r="AX1874" s="3" t="s">
        <v>18344</v>
      </c>
      <c r="AY1874" s="3" t="s">
        <v>18345</v>
      </c>
      <c r="AZ1874" s="3" t="s">
        <v>18346</v>
      </c>
      <c r="BA1874" s="3" t="s">
        <v>18346</v>
      </c>
      <c r="BB1874" s="3" t="s">
        <v>18347</v>
      </c>
      <c r="BC1874" s="3" t="s">
        <v>77</v>
      </c>
      <c r="BD1874" s="3" t="s">
        <v>78</v>
      </c>
      <c r="BE1874" s="3" t="s">
        <v>18348</v>
      </c>
      <c r="BF1874" s="3" t="s">
        <v>18347</v>
      </c>
      <c r="BG1874" s="3" t="s">
        <v>18349</v>
      </c>
    </row>
    <row r="1875" spans="1:59" ht="58" x14ac:dyDescent="0.35">
      <c r="A1875" s="2" t="s">
        <v>59</v>
      </c>
      <c r="B1875" s="2" t="s">
        <v>60</v>
      </c>
      <c r="C1875" s="2" t="s">
        <v>18350</v>
      </c>
      <c r="D1875" s="2" t="s">
        <v>18351</v>
      </c>
      <c r="E1875" s="2" t="s">
        <v>18352</v>
      </c>
      <c r="G1875" s="3" t="s">
        <v>65</v>
      </c>
      <c r="I1875" s="3" t="s">
        <v>65</v>
      </c>
      <c r="J1875" s="3" t="s">
        <v>65</v>
      </c>
      <c r="K1875" s="3" t="s">
        <v>66</v>
      </c>
      <c r="L1875" s="2" t="s">
        <v>18353</v>
      </c>
      <c r="M1875" s="2" t="s">
        <v>18354</v>
      </c>
      <c r="N1875" s="3" t="s">
        <v>126</v>
      </c>
      <c r="P1875" s="3" t="s">
        <v>140</v>
      </c>
      <c r="R1875" s="3" t="s">
        <v>71</v>
      </c>
      <c r="S1875" s="4">
        <v>0</v>
      </c>
      <c r="T1875" s="4">
        <v>0</v>
      </c>
      <c r="W1875" s="5" t="s">
        <v>72</v>
      </c>
      <c r="X1875" s="5" t="s">
        <v>72</v>
      </c>
      <c r="Y1875" s="4">
        <v>26</v>
      </c>
      <c r="Z1875" s="4">
        <v>3</v>
      </c>
      <c r="AA1875" s="4">
        <v>3</v>
      </c>
      <c r="AB1875" s="4">
        <v>1</v>
      </c>
      <c r="AC1875" s="4">
        <v>1</v>
      </c>
      <c r="AD1875" s="4">
        <v>17</v>
      </c>
      <c r="AE1875" s="4">
        <v>17</v>
      </c>
      <c r="AF1875" s="4">
        <v>0</v>
      </c>
      <c r="AG1875" s="4">
        <v>0</v>
      </c>
      <c r="AH1875" s="4">
        <v>17</v>
      </c>
      <c r="AI1875" s="4">
        <v>17</v>
      </c>
      <c r="AJ1875" s="4">
        <v>1</v>
      </c>
      <c r="AK1875" s="4">
        <v>1</v>
      </c>
      <c r="AL1875" s="4">
        <v>12</v>
      </c>
      <c r="AM1875" s="4">
        <v>12</v>
      </c>
      <c r="AN1875" s="4">
        <v>0</v>
      </c>
      <c r="AO1875" s="4">
        <v>0</v>
      </c>
      <c r="AP1875" s="4">
        <v>1</v>
      </c>
      <c r="AQ1875" s="4">
        <v>1</v>
      </c>
      <c r="AR1875" s="3" t="s">
        <v>65</v>
      </c>
      <c r="AS1875" s="3" t="s">
        <v>65</v>
      </c>
      <c r="AT1875" s="3" t="s">
        <v>65</v>
      </c>
      <c r="AV1875" s="6" t="str">
        <f>HYPERLINK("http://mcgill.on.worldcat.org/oclc/761843305","Catalog Record")</f>
        <v>Catalog Record</v>
      </c>
      <c r="AW1875" s="6" t="str">
        <f>HYPERLINK("http://www.worldcat.org/oclc/761843305","WorldCat Record")</f>
        <v>WorldCat Record</v>
      </c>
      <c r="AX1875" s="3" t="s">
        <v>18355</v>
      </c>
      <c r="AY1875" s="3" t="s">
        <v>18356</v>
      </c>
      <c r="AZ1875" s="3" t="s">
        <v>18357</v>
      </c>
      <c r="BA1875" s="3" t="s">
        <v>18357</v>
      </c>
      <c r="BB1875" s="3" t="s">
        <v>18358</v>
      </c>
      <c r="BC1875" s="3" t="s">
        <v>77</v>
      </c>
      <c r="BD1875" s="3" t="s">
        <v>78</v>
      </c>
      <c r="BE1875" s="3" t="s">
        <v>18359</v>
      </c>
      <c r="BF1875" s="3" t="s">
        <v>18358</v>
      </c>
      <c r="BG1875" s="3" t="s">
        <v>18360</v>
      </c>
    </row>
    <row r="1876" spans="1:59" ht="58" x14ac:dyDescent="0.35">
      <c r="A1876" s="2" t="s">
        <v>59</v>
      </c>
      <c r="B1876" s="2" t="s">
        <v>60</v>
      </c>
      <c r="C1876" s="2" t="s">
        <v>18361</v>
      </c>
      <c r="D1876" s="2" t="s">
        <v>18362</v>
      </c>
      <c r="E1876" s="2" t="s">
        <v>18363</v>
      </c>
      <c r="F1876" s="3" t="s">
        <v>245</v>
      </c>
      <c r="G1876" s="3" t="s">
        <v>209</v>
      </c>
      <c r="I1876" s="3" t="s">
        <v>65</v>
      </c>
      <c r="J1876" s="3" t="s">
        <v>65</v>
      </c>
      <c r="K1876" s="3" t="s">
        <v>66</v>
      </c>
      <c r="L1876" s="2" t="s">
        <v>18364</v>
      </c>
      <c r="M1876" s="2" t="s">
        <v>18365</v>
      </c>
      <c r="N1876" s="3" t="s">
        <v>1932</v>
      </c>
      <c r="P1876" s="3" t="s">
        <v>140</v>
      </c>
      <c r="Q1876" s="2" t="s">
        <v>18366</v>
      </c>
      <c r="R1876" s="3" t="s">
        <v>71</v>
      </c>
      <c r="S1876" s="4">
        <v>2</v>
      </c>
      <c r="T1876" s="4">
        <v>5</v>
      </c>
      <c r="U1876" s="5" t="s">
        <v>18367</v>
      </c>
      <c r="V1876" s="5" t="s">
        <v>18367</v>
      </c>
      <c r="W1876" s="5" t="s">
        <v>72</v>
      </c>
      <c r="X1876" s="5" t="s">
        <v>72</v>
      </c>
      <c r="Y1876" s="4">
        <v>59</v>
      </c>
      <c r="Z1876" s="4">
        <v>6</v>
      </c>
      <c r="AA1876" s="4">
        <v>6</v>
      </c>
      <c r="AB1876" s="4">
        <v>1</v>
      </c>
      <c r="AC1876" s="4">
        <v>1</v>
      </c>
      <c r="AD1876" s="4">
        <v>34</v>
      </c>
      <c r="AE1876" s="4">
        <v>34</v>
      </c>
      <c r="AF1876" s="4">
        <v>0</v>
      </c>
      <c r="AG1876" s="4">
        <v>0</v>
      </c>
      <c r="AH1876" s="4">
        <v>33</v>
      </c>
      <c r="AI1876" s="4">
        <v>33</v>
      </c>
      <c r="AJ1876" s="4">
        <v>4</v>
      </c>
      <c r="AK1876" s="4">
        <v>4</v>
      </c>
      <c r="AL1876" s="4">
        <v>27</v>
      </c>
      <c r="AM1876" s="4">
        <v>27</v>
      </c>
      <c r="AN1876" s="4">
        <v>0</v>
      </c>
      <c r="AO1876" s="4">
        <v>0</v>
      </c>
      <c r="AP1876" s="4">
        <v>4</v>
      </c>
      <c r="AQ1876" s="4">
        <v>4</v>
      </c>
      <c r="AR1876" s="3" t="s">
        <v>65</v>
      </c>
      <c r="AS1876" s="3" t="s">
        <v>65</v>
      </c>
      <c r="AT1876" s="3" t="s">
        <v>209</v>
      </c>
      <c r="AU1876" s="6" t="str">
        <f>HYPERLINK("http://catalog.hathitrust.org/Record/003118057","HathiTrust Record")</f>
        <v>HathiTrust Record</v>
      </c>
      <c r="AV1876" s="6" t="str">
        <f>HYPERLINK("http://mcgill.on.worldcat.org/oclc/32984848","Catalog Record")</f>
        <v>Catalog Record</v>
      </c>
      <c r="AW1876" s="6" t="str">
        <f>HYPERLINK("http://www.worldcat.org/oclc/32984848","WorldCat Record")</f>
        <v>WorldCat Record</v>
      </c>
      <c r="AX1876" s="3" t="s">
        <v>18368</v>
      </c>
      <c r="AY1876" s="3" t="s">
        <v>18369</v>
      </c>
      <c r="AZ1876" s="3" t="s">
        <v>18370</v>
      </c>
      <c r="BA1876" s="3" t="s">
        <v>18370</v>
      </c>
      <c r="BB1876" s="3" t="s">
        <v>18371</v>
      </c>
      <c r="BC1876" s="3" t="s">
        <v>77</v>
      </c>
      <c r="BD1876" s="3" t="s">
        <v>78</v>
      </c>
      <c r="BE1876" s="3" t="s">
        <v>18372</v>
      </c>
      <c r="BF1876" s="3" t="s">
        <v>18371</v>
      </c>
      <c r="BG1876" s="3" t="s">
        <v>18373</v>
      </c>
    </row>
    <row r="1877" spans="1:59" ht="58" x14ac:dyDescent="0.35">
      <c r="A1877" s="2" t="s">
        <v>59</v>
      </c>
      <c r="B1877" s="2" t="s">
        <v>60</v>
      </c>
      <c r="C1877" s="2" t="s">
        <v>18361</v>
      </c>
      <c r="D1877" s="2" t="s">
        <v>18362</v>
      </c>
      <c r="E1877" s="2" t="s">
        <v>18363</v>
      </c>
      <c r="F1877" s="3" t="s">
        <v>258</v>
      </c>
      <c r="G1877" s="3" t="s">
        <v>209</v>
      </c>
      <c r="I1877" s="3" t="s">
        <v>65</v>
      </c>
      <c r="J1877" s="3" t="s">
        <v>65</v>
      </c>
      <c r="K1877" s="3" t="s">
        <v>66</v>
      </c>
      <c r="L1877" s="2" t="s">
        <v>18364</v>
      </c>
      <c r="M1877" s="2" t="s">
        <v>18365</v>
      </c>
      <c r="N1877" s="3" t="s">
        <v>1932</v>
      </c>
      <c r="P1877" s="3" t="s">
        <v>140</v>
      </c>
      <c r="Q1877" s="2" t="s">
        <v>18366</v>
      </c>
      <c r="R1877" s="3" t="s">
        <v>71</v>
      </c>
      <c r="S1877" s="4">
        <v>3</v>
      </c>
      <c r="T1877" s="4">
        <v>5</v>
      </c>
      <c r="U1877" s="5" t="s">
        <v>18367</v>
      </c>
      <c r="V1877" s="5" t="s">
        <v>18367</v>
      </c>
      <c r="W1877" s="5" t="s">
        <v>72</v>
      </c>
      <c r="X1877" s="5" t="s">
        <v>72</v>
      </c>
      <c r="Y1877" s="4">
        <v>59</v>
      </c>
      <c r="Z1877" s="4">
        <v>6</v>
      </c>
      <c r="AA1877" s="4">
        <v>6</v>
      </c>
      <c r="AB1877" s="4">
        <v>1</v>
      </c>
      <c r="AC1877" s="4">
        <v>1</v>
      </c>
      <c r="AD1877" s="4">
        <v>34</v>
      </c>
      <c r="AE1877" s="4">
        <v>34</v>
      </c>
      <c r="AF1877" s="4">
        <v>0</v>
      </c>
      <c r="AG1877" s="4">
        <v>0</v>
      </c>
      <c r="AH1877" s="4">
        <v>33</v>
      </c>
      <c r="AI1877" s="4">
        <v>33</v>
      </c>
      <c r="AJ1877" s="4">
        <v>4</v>
      </c>
      <c r="AK1877" s="4">
        <v>4</v>
      </c>
      <c r="AL1877" s="4">
        <v>27</v>
      </c>
      <c r="AM1877" s="4">
        <v>27</v>
      </c>
      <c r="AN1877" s="4">
        <v>0</v>
      </c>
      <c r="AO1877" s="4">
        <v>0</v>
      </c>
      <c r="AP1877" s="4">
        <v>4</v>
      </c>
      <c r="AQ1877" s="4">
        <v>4</v>
      </c>
      <c r="AR1877" s="3" t="s">
        <v>65</v>
      </c>
      <c r="AS1877" s="3" t="s">
        <v>65</v>
      </c>
      <c r="AT1877" s="3" t="s">
        <v>209</v>
      </c>
      <c r="AU1877" s="6" t="str">
        <f>HYPERLINK("http://catalog.hathitrust.org/Record/003118057","HathiTrust Record")</f>
        <v>HathiTrust Record</v>
      </c>
      <c r="AV1877" s="6" t="str">
        <f>HYPERLINK("http://mcgill.on.worldcat.org/oclc/32984848","Catalog Record")</f>
        <v>Catalog Record</v>
      </c>
      <c r="AW1877" s="6" t="str">
        <f>HYPERLINK("http://www.worldcat.org/oclc/32984848","WorldCat Record")</f>
        <v>WorldCat Record</v>
      </c>
      <c r="AX1877" s="3" t="s">
        <v>18368</v>
      </c>
      <c r="AY1877" s="3" t="s">
        <v>18369</v>
      </c>
      <c r="AZ1877" s="3" t="s">
        <v>18370</v>
      </c>
      <c r="BA1877" s="3" t="s">
        <v>18370</v>
      </c>
      <c r="BB1877" s="3" t="s">
        <v>18374</v>
      </c>
      <c r="BC1877" s="3" t="s">
        <v>77</v>
      </c>
      <c r="BD1877" s="3" t="s">
        <v>78</v>
      </c>
      <c r="BE1877" s="3" t="s">
        <v>18372</v>
      </c>
      <c r="BF1877" s="3" t="s">
        <v>18374</v>
      </c>
      <c r="BG1877" s="3" t="s">
        <v>18375</v>
      </c>
    </row>
    <row r="1878" spans="1:59" ht="58" x14ac:dyDescent="0.35">
      <c r="A1878" s="2" t="s">
        <v>59</v>
      </c>
      <c r="B1878" s="2" t="s">
        <v>60</v>
      </c>
      <c r="C1878" s="2" t="s">
        <v>18376</v>
      </c>
      <c r="D1878" s="2" t="s">
        <v>18377</v>
      </c>
      <c r="E1878" s="2" t="s">
        <v>18378</v>
      </c>
      <c r="G1878" s="3" t="s">
        <v>65</v>
      </c>
      <c r="I1878" s="3" t="s">
        <v>65</v>
      </c>
      <c r="J1878" s="3" t="s">
        <v>65</v>
      </c>
      <c r="K1878" s="3" t="s">
        <v>66</v>
      </c>
      <c r="M1878" s="2" t="s">
        <v>18379</v>
      </c>
      <c r="N1878" s="3" t="s">
        <v>479</v>
      </c>
      <c r="O1878" s="2" t="s">
        <v>365</v>
      </c>
      <c r="P1878" s="3" t="s">
        <v>140</v>
      </c>
      <c r="Q1878" s="2" t="s">
        <v>3947</v>
      </c>
      <c r="R1878" s="3" t="s">
        <v>71</v>
      </c>
      <c r="S1878" s="4">
        <v>1</v>
      </c>
      <c r="T1878" s="4">
        <v>1</v>
      </c>
      <c r="U1878" s="5" t="s">
        <v>8801</v>
      </c>
      <c r="V1878" s="5" t="s">
        <v>8801</v>
      </c>
      <c r="W1878" s="5" t="s">
        <v>72</v>
      </c>
      <c r="X1878" s="5" t="s">
        <v>72</v>
      </c>
      <c r="Y1878" s="4">
        <v>17</v>
      </c>
      <c r="Z1878" s="4">
        <v>4</v>
      </c>
      <c r="AA1878" s="4">
        <v>4</v>
      </c>
      <c r="AB1878" s="4">
        <v>2</v>
      </c>
      <c r="AC1878" s="4">
        <v>2</v>
      </c>
      <c r="AD1878" s="4">
        <v>6</v>
      </c>
      <c r="AE1878" s="4">
        <v>6</v>
      </c>
      <c r="AF1878" s="4">
        <v>0</v>
      </c>
      <c r="AG1878" s="4">
        <v>0</v>
      </c>
      <c r="AH1878" s="4">
        <v>5</v>
      </c>
      <c r="AI1878" s="4">
        <v>5</v>
      </c>
      <c r="AJ1878" s="4">
        <v>1</v>
      </c>
      <c r="AK1878" s="4">
        <v>1</v>
      </c>
      <c r="AL1878" s="4">
        <v>5</v>
      </c>
      <c r="AM1878" s="4">
        <v>5</v>
      </c>
      <c r="AN1878" s="4">
        <v>0</v>
      </c>
      <c r="AO1878" s="4">
        <v>0</v>
      </c>
      <c r="AP1878" s="4">
        <v>1</v>
      </c>
      <c r="AQ1878" s="4">
        <v>1</v>
      </c>
      <c r="AR1878" s="3" t="s">
        <v>65</v>
      </c>
      <c r="AS1878" s="3" t="s">
        <v>65</v>
      </c>
      <c r="AT1878" s="3" t="s">
        <v>65</v>
      </c>
      <c r="AV1878" s="6" t="str">
        <f>HYPERLINK("http://mcgill.on.worldcat.org/oclc/237883448","Catalog Record")</f>
        <v>Catalog Record</v>
      </c>
      <c r="AW1878" s="6" t="str">
        <f>HYPERLINK("http://www.worldcat.org/oclc/237883448","WorldCat Record")</f>
        <v>WorldCat Record</v>
      </c>
      <c r="AX1878" s="3" t="s">
        <v>18380</v>
      </c>
      <c r="AY1878" s="3" t="s">
        <v>18381</v>
      </c>
      <c r="AZ1878" s="3" t="s">
        <v>18382</v>
      </c>
      <c r="BA1878" s="3" t="s">
        <v>18382</v>
      </c>
      <c r="BB1878" s="3" t="s">
        <v>18383</v>
      </c>
      <c r="BC1878" s="3" t="s">
        <v>77</v>
      </c>
      <c r="BD1878" s="3" t="s">
        <v>78</v>
      </c>
      <c r="BE1878" s="3" t="s">
        <v>18384</v>
      </c>
      <c r="BF1878" s="3" t="s">
        <v>18383</v>
      </c>
      <c r="BG1878" s="3" t="s">
        <v>18385</v>
      </c>
    </row>
    <row r="1879" spans="1:59" ht="58" x14ac:dyDescent="0.35">
      <c r="A1879" s="2" t="s">
        <v>59</v>
      </c>
      <c r="B1879" s="2" t="s">
        <v>60</v>
      </c>
      <c r="C1879" s="2" t="s">
        <v>18386</v>
      </c>
      <c r="D1879" s="2" t="s">
        <v>18387</v>
      </c>
      <c r="E1879" s="2" t="s">
        <v>18388</v>
      </c>
      <c r="G1879" s="3" t="s">
        <v>65</v>
      </c>
      <c r="I1879" s="3" t="s">
        <v>65</v>
      </c>
      <c r="J1879" s="3" t="s">
        <v>65</v>
      </c>
      <c r="K1879" s="3" t="s">
        <v>66</v>
      </c>
      <c r="L1879" s="2" t="s">
        <v>18389</v>
      </c>
      <c r="M1879" s="2" t="s">
        <v>18390</v>
      </c>
      <c r="N1879" s="3" t="s">
        <v>479</v>
      </c>
      <c r="P1879" s="3" t="s">
        <v>140</v>
      </c>
      <c r="Q1879" s="2" t="s">
        <v>18391</v>
      </c>
      <c r="R1879" s="3" t="s">
        <v>71</v>
      </c>
      <c r="S1879" s="4">
        <v>1</v>
      </c>
      <c r="T1879" s="4">
        <v>1</v>
      </c>
      <c r="U1879" s="5" t="s">
        <v>819</v>
      </c>
      <c r="V1879" s="5" t="s">
        <v>819</v>
      </c>
      <c r="W1879" s="5" t="s">
        <v>72</v>
      </c>
      <c r="X1879" s="5" t="s">
        <v>72</v>
      </c>
      <c r="Y1879" s="4">
        <v>29</v>
      </c>
      <c r="Z1879" s="4">
        <v>4</v>
      </c>
      <c r="AA1879" s="4">
        <v>4</v>
      </c>
      <c r="AB1879" s="4">
        <v>2</v>
      </c>
      <c r="AC1879" s="4">
        <v>2</v>
      </c>
      <c r="AD1879" s="4">
        <v>22</v>
      </c>
      <c r="AE1879" s="4">
        <v>22</v>
      </c>
      <c r="AF1879" s="4">
        <v>0</v>
      </c>
      <c r="AG1879" s="4">
        <v>0</v>
      </c>
      <c r="AH1879" s="4">
        <v>21</v>
      </c>
      <c r="AI1879" s="4">
        <v>21</v>
      </c>
      <c r="AJ1879" s="4">
        <v>1</v>
      </c>
      <c r="AK1879" s="4">
        <v>1</v>
      </c>
      <c r="AL1879" s="4">
        <v>17</v>
      </c>
      <c r="AM1879" s="4">
        <v>17</v>
      </c>
      <c r="AN1879" s="4">
        <v>0</v>
      </c>
      <c r="AO1879" s="4">
        <v>0</v>
      </c>
      <c r="AP1879" s="4">
        <v>1</v>
      </c>
      <c r="AQ1879" s="4">
        <v>1</v>
      </c>
      <c r="AR1879" s="3" t="s">
        <v>65</v>
      </c>
      <c r="AS1879" s="3" t="s">
        <v>65</v>
      </c>
      <c r="AT1879" s="3" t="s">
        <v>209</v>
      </c>
      <c r="AU1879" s="6" t="str">
        <f>HYPERLINK("http://catalog.hathitrust.org/Record/005984385","HathiTrust Record")</f>
        <v>HathiTrust Record</v>
      </c>
      <c r="AV1879" s="6" t="str">
        <f>HYPERLINK("http://mcgill.on.worldcat.org/oclc/313647714","Catalog Record")</f>
        <v>Catalog Record</v>
      </c>
      <c r="AW1879" s="6" t="str">
        <f>HYPERLINK("http://www.worldcat.org/oclc/313647714","WorldCat Record")</f>
        <v>WorldCat Record</v>
      </c>
      <c r="AX1879" s="3" t="s">
        <v>18392</v>
      </c>
      <c r="AY1879" s="3" t="s">
        <v>18393</v>
      </c>
      <c r="AZ1879" s="3" t="s">
        <v>18394</v>
      </c>
      <c r="BA1879" s="3" t="s">
        <v>18394</v>
      </c>
      <c r="BB1879" s="3" t="s">
        <v>18395</v>
      </c>
      <c r="BC1879" s="3" t="s">
        <v>77</v>
      </c>
      <c r="BD1879" s="3" t="s">
        <v>78</v>
      </c>
      <c r="BE1879" s="3" t="s">
        <v>18396</v>
      </c>
      <c r="BF1879" s="3" t="s">
        <v>18395</v>
      </c>
      <c r="BG1879" s="3" t="s">
        <v>18397</v>
      </c>
    </row>
    <row r="1880" spans="1:59" ht="58" x14ac:dyDescent="0.35">
      <c r="A1880" s="2" t="s">
        <v>59</v>
      </c>
      <c r="B1880" s="2" t="s">
        <v>60</v>
      </c>
      <c r="C1880" s="2" t="s">
        <v>18398</v>
      </c>
      <c r="D1880" s="2" t="s">
        <v>18399</v>
      </c>
      <c r="E1880" s="2" t="s">
        <v>18400</v>
      </c>
      <c r="G1880" s="3" t="s">
        <v>65</v>
      </c>
      <c r="I1880" s="3" t="s">
        <v>65</v>
      </c>
      <c r="J1880" s="3" t="s">
        <v>65</v>
      </c>
      <c r="K1880" s="3" t="s">
        <v>66</v>
      </c>
      <c r="L1880" s="2" t="s">
        <v>18401</v>
      </c>
      <c r="M1880" s="2" t="s">
        <v>11554</v>
      </c>
      <c r="N1880" s="3" t="s">
        <v>7187</v>
      </c>
      <c r="P1880" s="3" t="s">
        <v>140</v>
      </c>
      <c r="Q1880" s="2" t="s">
        <v>18402</v>
      </c>
      <c r="R1880" s="3" t="s">
        <v>71</v>
      </c>
      <c r="S1880" s="4">
        <v>3</v>
      </c>
      <c r="T1880" s="4">
        <v>3</v>
      </c>
      <c r="U1880" s="5" t="s">
        <v>3065</v>
      </c>
      <c r="V1880" s="5" t="s">
        <v>3065</v>
      </c>
      <c r="W1880" s="5" t="s">
        <v>72</v>
      </c>
      <c r="X1880" s="5" t="s">
        <v>72</v>
      </c>
      <c r="Y1880" s="4">
        <v>130</v>
      </c>
      <c r="Z1880" s="4">
        <v>10</v>
      </c>
      <c r="AA1880" s="4">
        <v>11</v>
      </c>
      <c r="AB1880" s="4">
        <v>1</v>
      </c>
      <c r="AC1880" s="4">
        <v>1</v>
      </c>
      <c r="AD1880" s="4">
        <v>60</v>
      </c>
      <c r="AE1880" s="4">
        <v>61</v>
      </c>
      <c r="AF1880" s="4">
        <v>0</v>
      </c>
      <c r="AG1880" s="4">
        <v>0</v>
      </c>
      <c r="AH1880" s="4">
        <v>56</v>
      </c>
      <c r="AI1880" s="4">
        <v>57</v>
      </c>
      <c r="AJ1880" s="4">
        <v>7</v>
      </c>
      <c r="AK1880" s="4">
        <v>8</v>
      </c>
      <c r="AL1880" s="4">
        <v>38</v>
      </c>
      <c r="AM1880" s="4">
        <v>38</v>
      </c>
      <c r="AN1880" s="4">
        <v>0</v>
      </c>
      <c r="AO1880" s="4">
        <v>0</v>
      </c>
      <c r="AP1880" s="4">
        <v>7</v>
      </c>
      <c r="AQ1880" s="4">
        <v>8</v>
      </c>
      <c r="AR1880" s="3" t="s">
        <v>65</v>
      </c>
      <c r="AS1880" s="3" t="s">
        <v>65</v>
      </c>
      <c r="AT1880" s="3" t="s">
        <v>209</v>
      </c>
      <c r="AU1880" s="6" t="str">
        <f>HYPERLINK("http://catalog.hathitrust.org/Record/000749595","HathiTrust Record")</f>
        <v>HathiTrust Record</v>
      </c>
      <c r="AV1880" s="6" t="str">
        <f>HYPERLINK("http://mcgill.on.worldcat.org/oclc/3344871","Catalog Record")</f>
        <v>Catalog Record</v>
      </c>
      <c r="AW1880" s="6" t="str">
        <f>HYPERLINK("http://www.worldcat.org/oclc/3344871","WorldCat Record")</f>
        <v>WorldCat Record</v>
      </c>
      <c r="AX1880" s="3" t="s">
        <v>18403</v>
      </c>
      <c r="AY1880" s="3" t="s">
        <v>18404</v>
      </c>
      <c r="AZ1880" s="3" t="s">
        <v>18405</v>
      </c>
      <c r="BA1880" s="3" t="s">
        <v>18405</v>
      </c>
      <c r="BB1880" s="3" t="s">
        <v>18406</v>
      </c>
      <c r="BC1880" s="3" t="s">
        <v>77</v>
      </c>
      <c r="BD1880" s="3" t="s">
        <v>78</v>
      </c>
      <c r="BF1880" s="3" t="s">
        <v>18406</v>
      </c>
      <c r="BG1880" s="3" t="s">
        <v>18407</v>
      </c>
    </row>
    <row r="1881" spans="1:59" ht="58" x14ac:dyDescent="0.35">
      <c r="A1881" s="2" t="s">
        <v>59</v>
      </c>
      <c r="B1881" s="2" t="s">
        <v>60</v>
      </c>
      <c r="C1881" s="2" t="s">
        <v>18408</v>
      </c>
      <c r="D1881" s="2" t="s">
        <v>18409</v>
      </c>
      <c r="E1881" s="2" t="s">
        <v>18410</v>
      </c>
      <c r="G1881" s="3" t="s">
        <v>65</v>
      </c>
      <c r="I1881" s="3" t="s">
        <v>65</v>
      </c>
      <c r="J1881" s="3" t="s">
        <v>65</v>
      </c>
      <c r="K1881" s="3" t="s">
        <v>66</v>
      </c>
      <c r="L1881" s="2" t="s">
        <v>18411</v>
      </c>
      <c r="M1881" s="2" t="s">
        <v>18412</v>
      </c>
      <c r="N1881" s="3" t="s">
        <v>577</v>
      </c>
      <c r="P1881" s="3" t="s">
        <v>140</v>
      </c>
      <c r="Q1881" s="2" t="s">
        <v>18413</v>
      </c>
      <c r="R1881" s="3" t="s">
        <v>71</v>
      </c>
      <c r="S1881" s="4">
        <v>1</v>
      </c>
      <c r="T1881" s="4">
        <v>1</v>
      </c>
      <c r="U1881" s="5" t="s">
        <v>3065</v>
      </c>
      <c r="V1881" s="5" t="s">
        <v>3065</v>
      </c>
      <c r="W1881" s="5" t="s">
        <v>72</v>
      </c>
      <c r="X1881" s="5" t="s">
        <v>72</v>
      </c>
      <c r="Y1881" s="4">
        <v>116</v>
      </c>
      <c r="Z1881" s="4">
        <v>10</v>
      </c>
      <c r="AA1881" s="4">
        <v>12</v>
      </c>
      <c r="AB1881" s="4">
        <v>1</v>
      </c>
      <c r="AC1881" s="4">
        <v>2</v>
      </c>
      <c r="AD1881" s="4">
        <v>53</v>
      </c>
      <c r="AE1881" s="4">
        <v>55</v>
      </c>
      <c r="AF1881" s="4">
        <v>0</v>
      </c>
      <c r="AG1881" s="4">
        <v>1</v>
      </c>
      <c r="AH1881" s="4">
        <v>49</v>
      </c>
      <c r="AI1881" s="4">
        <v>50</v>
      </c>
      <c r="AJ1881" s="4">
        <v>7</v>
      </c>
      <c r="AK1881" s="4">
        <v>9</v>
      </c>
      <c r="AL1881" s="4">
        <v>34</v>
      </c>
      <c r="AM1881" s="4">
        <v>34</v>
      </c>
      <c r="AN1881" s="4">
        <v>0</v>
      </c>
      <c r="AO1881" s="4">
        <v>0</v>
      </c>
      <c r="AP1881" s="4">
        <v>8</v>
      </c>
      <c r="AQ1881" s="4">
        <v>9</v>
      </c>
      <c r="AR1881" s="3" t="s">
        <v>65</v>
      </c>
      <c r="AS1881" s="3" t="s">
        <v>65</v>
      </c>
      <c r="AT1881" s="3" t="s">
        <v>209</v>
      </c>
      <c r="AU1881" s="6" t="str">
        <f>HYPERLINK("http://catalog.hathitrust.org/Record/000683669","HathiTrust Record")</f>
        <v>HathiTrust Record</v>
      </c>
      <c r="AV1881" s="6" t="str">
        <f>HYPERLINK("http://mcgill.on.worldcat.org/oclc/5264858","Catalog Record")</f>
        <v>Catalog Record</v>
      </c>
      <c r="AW1881" s="6" t="str">
        <f>HYPERLINK("http://www.worldcat.org/oclc/5264858","WorldCat Record")</f>
        <v>WorldCat Record</v>
      </c>
      <c r="AX1881" s="3" t="s">
        <v>18414</v>
      </c>
      <c r="AY1881" s="3" t="s">
        <v>18415</v>
      </c>
      <c r="AZ1881" s="3" t="s">
        <v>18416</v>
      </c>
      <c r="BA1881" s="3" t="s">
        <v>18416</v>
      </c>
      <c r="BB1881" s="3" t="s">
        <v>18417</v>
      </c>
      <c r="BC1881" s="3" t="s">
        <v>77</v>
      </c>
      <c r="BD1881" s="3" t="s">
        <v>78</v>
      </c>
      <c r="BF1881" s="3" t="s">
        <v>18417</v>
      </c>
      <c r="BG1881" s="3" t="s">
        <v>18418</v>
      </c>
    </row>
    <row r="1882" spans="1:59" ht="58" x14ac:dyDescent="0.35">
      <c r="A1882" s="2" t="s">
        <v>59</v>
      </c>
      <c r="B1882" s="2" t="s">
        <v>60</v>
      </c>
      <c r="C1882" s="2" t="s">
        <v>18419</v>
      </c>
      <c r="D1882" s="2" t="s">
        <v>18420</v>
      </c>
      <c r="E1882" s="2" t="s">
        <v>18421</v>
      </c>
      <c r="G1882" s="3" t="s">
        <v>65</v>
      </c>
      <c r="I1882" s="3" t="s">
        <v>65</v>
      </c>
      <c r="J1882" s="3" t="s">
        <v>65</v>
      </c>
      <c r="K1882" s="3" t="s">
        <v>66</v>
      </c>
      <c r="M1882" s="2" t="s">
        <v>18422</v>
      </c>
      <c r="N1882" s="3" t="s">
        <v>113</v>
      </c>
      <c r="P1882" s="3" t="s">
        <v>140</v>
      </c>
      <c r="Q1882" s="2" t="s">
        <v>18423</v>
      </c>
      <c r="R1882" s="3" t="s">
        <v>71</v>
      </c>
      <c r="S1882" s="4">
        <v>1</v>
      </c>
      <c r="T1882" s="4">
        <v>1</v>
      </c>
      <c r="U1882" s="5" t="s">
        <v>819</v>
      </c>
      <c r="V1882" s="5" t="s">
        <v>819</v>
      </c>
      <c r="W1882" s="5" t="s">
        <v>72</v>
      </c>
      <c r="X1882" s="5" t="s">
        <v>72</v>
      </c>
      <c r="Y1882" s="4">
        <v>38</v>
      </c>
      <c r="Z1882" s="4">
        <v>3</v>
      </c>
      <c r="AA1882" s="4">
        <v>4</v>
      </c>
      <c r="AB1882" s="4">
        <v>1</v>
      </c>
      <c r="AC1882" s="4">
        <v>1</v>
      </c>
      <c r="AD1882" s="4">
        <v>28</v>
      </c>
      <c r="AE1882" s="4">
        <v>30</v>
      </c>
      <c r="AF1882" s="4">
        <v>0</v>
      </c>
      <c r="AG1882" s="4">
        <v>0</v>
      </c>
      <c r="AH1882" s="4">
        <v>27</v>
      </c>
      <c r="AI1882" s="4">
        <v>29</v>
      </c>
      <c r="AJ1882" s="4">
        <v>1</v>
      </c>
      <c r="AK1882" s="4">
        <v>2</v>
      </c>
      <c r="AL1882" s="4">
        <v>21</v>
      </c>
      <c r="AM1882" s="4">
        <v>22</v>
      </c>
      <c r="AN1882" s="4">
        <v>0</v>
      </c>
      <c r="AO1882" s="4">
        <v>0</v>
      </c>
      <c r="AP1882" s="4">
        <v>1</v>
      </c>
      <c r="AQ1882" s="4">
        <v>2</v>
      </c>
      <c r="AR1882" s="3" t="s">
        <v>65</v>
      </c>
      <c r="AS1882" s="3" t="s">
        <v>65</v>
      </c>
      <c r="AT1882" s="3" t="s">
        <v>65</v>
      </c>
      <c r="AV1882" s="6" t="str">
        <f>HYPERLINK("http://mcgill.on.worldcat.org/oclc/649313898","Catalog Record")</f>
        <v>Catalog Record</v>
      </c>
      <c r="AW1882" s="6" t="str">
        <f>HYPERLINK("http://www.worldcat.org/oclc/649313898","WorldCat Record")</f>
        <v>WorldCat Record</v>
      </c>
      <c r="AX1882" s="3" t="s">
        <v>18424</v>
      </c>
      <c r="AY1882" s="3" t="s">
        <v>18425</v>
      </c>
      <c r="AZ1882" s="3" t="s">
        <v>18426</v>
      </c>
      <c r="BA1882" s="3" t="s">
        <v>18426</v>
      </c>
      <c r="BB1882" s="3" t="s">
        <v>18427</v>
      </c>
      <c r="BC1882" s="3" t="s">
        <v>77</v>
      </c>
      <c r="BD1882" s="3" t="s">
        <v>78</v>
      </c>
      <c r="BE1882" s="3" t="s">
        <v>18428</v>
      </c>
      <c r="BF1882" s="3" t="s">
        <v>18427</v>
      </c>
      <c r="BG1882" s="3" t="s">
        <v>18429</v>
      </c>
    </row>
    <row r="1883" spans="1:59" ht="58" x14ac:dyDescent="0.35">
      <c r="A1883" s="2" t="s">
        <v>59</v>
      </c>
      <c r="B1883" s="2" t="s">
        <v>60</v>
      </c>
      <c r="C1883" s="2" t="s">
        <v>18430</v>
      </c>
      <c r="D1883" s="2" t="s">
        <v>18431</v>
      </c>
      <c r="E1883" s="2" t="s">
        <v>18432</v>
      </c>
      <c r="F1883" s="3" t="s">
        <v>18433</v>
      </c>
      <c r="G1883" s="3" t="s">
        <v>209</v>
      </c>
      <c r="I1883" s="3" t="s">
        <v>65</v>
      </c>
      <c r="J1883" s="3" t="s">
        <v>65</v>
      </c>
      <c r="K1883" s="3" t="s">
        <v>66</v>
      </c>
      <c r="L1883" s="2" t="s">
        <v>18434</v>
      </c>
      <c r="M1883" s="2" t="s">
        <v>18435</v>
      </c>
      <c r="N1883" s="3" t="s">
        <v>99</v>
      </c>
      <c r="P1883" s="3" t="s">
        <v>140</v>
      </c>
      <c r="Q1883" s="2" t="s">
        <v>18436</v>
      </c>
      <c r="R1883" s="3" t="s">
        <v>71</v>
      </c>
      <c r="S1883" s="4">
        <v>1</v>
      </c>
      <c r="T1883" s="4">
        <v>2</v>
      </c>
      <c r="U1883" s="5" t="s">
        <v>819</v>
      </c>
      <c r="V1883" s="5" t="s">
        <v>819</v>
      </c>
      <c r="W1883" s="5" t="s">
        <v>72</v>
      </c>
      <c r="X1883" s="5" t="s">
        <v>72</v>
      </c>
      <c r="Y1883" s="4">
        <v>58</v>
      </c>
      <c r="Z1883" s="4">
        <v>4</v>
      </c>
      <c r="AA1883" s="4">
        <v>4</v>
      </c>
      <c r="AB1883" s="4">
        <v>1</v>
      </c>
      <c r="AC1883" s="4">
        <v>1</v>
      </c>
      <c r="AD1883" s="4">
        <v>36</v>
      </c>
      <c r="AE1883" s="4">
        <v>36</v>
      </c>
      <c r="AF1883" s="4">
        <v>0</v>
      </c>
      <c r="AG1883" s="4">
        <v>0</v>
      </c>
      <c r="AH1883" s="4">
        <v>34</v>
      </c>
      <c r="AI1883" s="4">
        <v>34</v>
      </c>
      <c r="AJ1883" s="4">
        <v>2</v>
      </c>
      <c r="AK1883" s="4">
        <v>2</v>
      </c>
      <c r="AL1883" s="4">
        <v>26</v>
      </c>
      <c r="AM1883" s="4">
        <v>26</v>
      </c>
      <c r="AN1883" s="4">
        <v>0</v>
      </c>
      <c r="AO1883" s="4">
        <v>0</v>
      </c>
      <c r="AP1883" s="4">
        <v>2</v>
      </c>
      <c r="AQ1883" s="4">
        <v>2</v>
      </c>
      <c r="AR1883" s="3" t="s">
        <v>65</v>
      </c>
      <c r="AS1883" s="3" t="s">
        <v>65</v>
      </c>
      <c r="AT1883" s="3" t="s">
        <v>209</v>
      </c>
      <c r="AU1883" s="6" t="str">
        <f>HYPERLINK("http://catalog.hathitrust.org/Record/005581509","HathiTrust Record")</f>
        <v>HathiTrust Record</v>
      </c>
      <c r="AV1883" s="6" t="str">
        <f>HYPERLINK("http://mcgill.on.worldcat.org/oclc/77525528","Catalog Record")</f>
        <v>Catalog Record</v>
      </c>
      <c r="AW1883" s="6" t="str">
        <f>HYPERLINK("http://www.worldcat.org/oclc/77525528","WorldCat Record")</f>
        <v>WorldCat Record</v>
      </c>
      <c r="AX1883" s="3" t="s">
        <v>18437</v>
      </c>
      <c r="AY1883" s="3" t="s">
        <v>18438</v>
      </c>
      <c r="AZ1883" s="3" t="s">
        <v>18439</v>
      </c>
      <c r="BA1883" s="3" t="s">
        <v>18439</v>
      </c>
      <c r="BB1883" s="3" t="s">
        <v>18440</v>
      </c>
      <c r="BC1883" s="3" t="s">
        <v>77</v>
      </c>
      <c r="BD1883" s="3" t="s">
        <v>78</v>
      </c>
      <c r="BE1883" s="3" t="s">
        <v>18441</v>
      </c>
      <c r="BF1883" s="3" t="s">
        <v>18440</v>
      </c>
      <c r="BG1883" s="3" t="s">
        <v>18442</v>
      </c>
    </row>
    <row r="1884" spans="1:59" ht="58" x14ac:dyDescent="0.35">
      <c r="A1884" s="2" t="s">
        <v>59</v>
      </c>
      <c r="B1884" s="2" t="s">
        <v>60</v>
      </c>
      <c r="C1884" s="2" t="s">
        <v>18430</v>
      </c>
      <c r="D1884" s="2" t="s">
        <v>18431</v>
      </c>
      <c r="E1884" s="2" t="s">
        <v>18432</v>
      </c>
      <c r="F1884" s="3" t="s">
        <v>18443</v>
      </c>
      <c r="G1884" s="3" t="s">
        <v>209</v>
      </c>
      <c r="I1884" s="3" t="s">
        <v>65</v>
      </c>
      <c r="J1884" s="3" t="s">
        <v>65</v>
      </c>
      <c r="K1884" s="3" t="s">
        <v>66</v>
      </c>
      <c r="L1884" s="2" t="s">
        <v>18434</v>
      </c>
      <c r="M1884" s="2" t="s">
        <v>18435</v>
      </c>
      <c r="N1884" s="3" t="s">
        <v>99</v>
      </c>
      <c r="P1884" s="3" t="s">
        <v>140</v>
      </c>
      <c r="Q1884" s="2" t="s">
        <v>18436</v>
      </c>
      <c r="R1884" s="3" t="s">
        <v>71</v>
      </c>
      <c r="S1884" s="4">
        <v>1</v>
      </c>
      <c r="T1884" s="4">
        <v>2</v>
      </c>
      <c r="U1884" s="5" t="s">
        <v>819</v>
      </c>
      <c r="V1884" s="5" t="s">
        <v>819</v>
      </c>
      <c r="W1884" s="5" t="s">
        <v>72</v>
      </c>
      <c r="X1884" s="5" t="s">
        <v>72</v>
      </c>
      <c r="Y1884" s="4">
        <v>58</v>
      </c>
      <c r="Z1884" s="4">
        <v>4</v>
      </c>
      <c r="AA1884" s="4">
        <v>4</v>
      </c>
      <c r="AB1884" s="4">
        <v>1</v>
      </c>
      <c r="AC1884" s="4">
        <v>1</v>
      </c>
      <c r="AD1884" s="4">
        <v>36</v>
      </c>
      <c r="AE1884" s="4">
        <v>36</v>
      </c>
      <c r="AF1884" s="4">
        <v>0</v>
      </c>
      <c r="AG1884" s="4">
        <v>0</v>
      </c>
      <c r="AH1884" s="4">
        <v>34</v>
      </c>
      <c r="AI1884" s="4">
        <v>34</v>
      </c>
      <c r="AJ1884" s="4">
        <v>2</v>
      </c>
      <c r="AK1884" s="4">
        <v>2</v>
      </c>
      <c r="AL1884" s="4">
        <v>26</v>
      </c>
      <c r="AM1884" s="4">
        <v>26</v>
      </c>
      <c r="AN1884" s="4">
        <v>0</v>
      </c>
      <c r="AO1884" s="4">
        <v>0</v>
      </c>
      <c r="AP1884" s="4">
        <v>2</v>
      </c>
      <c r="AQ1884" s="4">
        <v>2</v>
      </c>
      <c r="AR1884" s="3" t="s">
        <v>65</v>
      </c>
      <c r="AS1884" s="3" t="s">
        <v>65</v>
      </c>
      <c r="AT1884" s="3" t="s">
        <v>209</v>
      </c>
      <c r="AU1884" s="6" t="str">
        <f>HYPERLINK("http://catalog.hathitrust.org/Record/005581509","HathiTrust Record")</f>
        <v>HathiTrust Record</v>
      </c>
      <c r="AV1884" s="6" t="str">
        <f>HYPERLINK("http://mcgill.on.worldcat.org/oclc/77525528","Catalog Record")</f>
        <v>Catalog Record</v>
      </c>
      <c r="AW1884" s="6" t="str">
        <f>HYPERLINK("http://www.worldcat.org/oclc/77525528","WorldCat Record")</f>
        <v>WorldCat Record</v>
      </c>
      <c r="AX1884" s="3" t="s">
        <v>18437</v>
      </c>
      <c r="AY1884" s="3" t="s">
        <v>18438</v>
      </c>
      <c r="AZ1884" s="3" t="s">
        <v>18439</v>
      </c>
      <c r="BA1884" s="3" t="s">
        <v>18439</v>
      </c>
      <c r="BB1884" s="3" t="s">
        <v>18444</v>
      </c>
      <c r="BC1884" s="3" t="s">
        <v>77</v>
      </c>
      <c r="BD1884" s="3" t="s">
        <v>78</v>
      </c>
      <c r="BE1884" s="3" t="s">
        <v>18441</v>
      </c>
      <c r="BF1884" s="3" t="s">
        <v>18444</v>
      </c>
      <c r="BG1884" s="3" t="s">
        <v>18445</v>
      </c>
    </row>
    <row r="1885" spans="1:59" ht="58" x14ac:dyDescent="0.35">
      <c r="A1885" s="2" t="s">
        <v>59</v>
      </c>
      <c r="B1885" s="2" t="s">
        <v>60</v>
      </c>
      <c r="C1885" s="2" t="s">
        <v>18446</v>
      </c>
      <c r="D1885" s="2" t="s">
        <v>18447</v>
      </c>
      <c r="E1885" s="2" t="s">
        <v>18448</v>
      </c>
      <c r="G1885" s="3" t="s">
        <v>65</v>
      </c>
      <c r="I1885" s="3" t="s">
        <v>65</v>
      </c>
      <c r="J1885" s="3" t="s">
        <v>209</v>
      </c>
      <c r="K1885" s="3" t="s">
        <v>66</v>
      </c>
      <c r="L1885" s="2" t="s">
        <v>18449</v>
      </c>
      <c r="M1885" s="2" t="s">
        <v>4921</v>
      </c>
      <c r="N1885" s="3" t="s">
        <v>139</v>
      </c>
      <c r="P1885" s="3" t="s">
        <v>140</v>
      </c>
      <c r="Q1885" s="2" t="s">
        <v>18450</v>
      </c>
      <c r="R1885" s="3" t="s">
        <v>71</v>
      </c>
      <c r="S1885" s="4">
        <v>2</v>
      </c>
      <c r="T1885" s="4">
        <v>2</v>
      </c>
      <c r="U1885" s="5" t="s">
        <v>18451</v>
      </c>
      <c r="V1885" s="5" t="s">
        <v>18451</v>
      </c>
      <c r="W1885" s="5" t="s">
        <v>72</v>
      </c>
      <c r="X1885" s="5" t="s">
        <v>72</v>
      </c>
      <c r="Y1885" s="4">
        <v>15</v>
      </c>
      <c r="Z1885" s="4">
        <v>1</v>
      </c>
      <c r="AA1885" s="4">
        <v>19</v>
      </c>
      <c r="AB1885" s="4">
        <v>1</v>
      </c>
      <c r="AC1885" s="4">
        <v>4</v>
      </c>
      <c r="AD1885" s="4">
        <v>1</v>
      </c>
      <c r="AE1885" s="4">
        <v>96</v>
      </c>
      <c r="AF1885" s="4">
        <v>0</v>
      </c>
      <c r="AG1885" s="4">
        <v>2</v>
      </c>
      <c r="AH1885" s="4">
        <v>1</v>
      </c>
      <c r="AI1885" s="4">
        <v>84</v>
      </c>
      <c r="AJ1885" s="4">
        <v>0</v>
      </c>
      <c r="AK1885" s="4">
        <v>12</v>
      </c>
      <c r="AL1885" s="4">
        <v>1</v>
      </c>
      <c r="AM1885" s="4">
        <v>55</v>
      </c>
      <c r="AN1885" s="4">
        <v>0</v>
      </c>
      <c r="AO1885" s="4">
        <v>4</v>
      </c>
      <c r="AP1885" s="4">
        <v>0</v>
      </c>
      <c r="AQ1885" s="4">
        <v>13</v>
      </c>
      <c r="AR1885" s="3" t="s">
        <v>65</v>
      </c>
      <c r="AS1885" s="3" t="s">
        <v>65</v>
      </c>
      <c r="AT1885" s="3" t="s">
        <v>65</v>
      </c>
      <c r="AV1885" s="6" t="str">
        <f>HYPERLINK("http://mcgill.on.worldcat.org/oclc/788854916","Catalog Record")</f>
        <v>Catalog Record</v>
      </c>
      <c r="AW1885" s="6" t="str">
        <f>HYPERLINK("http://www.worldcat.org/oclc/788854916","WorldCat Record")</f>
        <v>WorldCat Record</v>
      </c>
      <c r="AX1885" s="3" t="s">
        <v>18452</v>
      </c>
      <c r="AY1885" s="3" t="s">
        <v>18453</v>
      </c>
      <c r="AZ1885" s="3" t="s">
        <v>18454</v>
      </c>
      <c r="BA1885" s="3" t="s">
        <v>18454</v>
      </c>
      <c r="BB1885" s="3" t="s">
        <v>18455</v>
      </c>
      <c r="BC1885" s="3" t="s">
        <v>77</v>
      </c>
      <c r="BD1885" s="3" t="s">
        <v>78</v>
      </c>
      <c r="BE1885" s="3" t="s">
        <v>18456</v>
      </c>
      <c r="BF1885" s="3" t="s">
        <v>18455</v>
      </c>
      <c r="BG1885" s="3" t="s">
        <v>18457</v>
      </c>
    </row>
    <row r="1886" spans="1:59" ht="58" x14ac:dyDescent="0.35">
      <c r="A1886" s="2" t="s">
        <v>59</v>
      </c>
      <c r="B1886" s="2" t="s">
        <v>60</v>
      </c>
      <c r="C1886" s="2" t="s">
        <v>18458</v>
      </c>
      <c r="D1886" s="2" t="s">
        <v>18459</v>
      </c>
      <c r="E1886" s="2" t="s">
        <v>18460</v>
      </c>
      <c r="G1886" s="3" t="s">
        <v>65</v>
      </c>
      <c r="I1886" s="3" t="s">
        <v>65</v>
      </c>
      <c r="J1886" s="3" t="s">
        <v>65</v>
      </c>
      <c r="K1886" s="3" t="s">
        <v>66</v>
      </c>
      <c r="L1886" s="2" t="s">
        <v>18461</v>
      </c>
      <c r="M1886" s="2" t="s">
        <v>18462</v>
      </c>
      <c r="N1886" s="3" t="s">
        <v>164</v>
      </c>
      <c r="O1886" s="2" t="s">
        <v>12101</v>
      </c>
      <c r="P1886" s="3" t="s">
        <v>140</v>
      </c>
      <c r="Q1886" s="2" t="s">
        <v>340</v>
      </c>
      <c r="R1886" s="3" t="s">
        <v>71</v>
      </c>
      <c r="S1886" s="4">
        <v>0</v>
      </c>
      <c r="T1886" s="4">
        <v>0</v>
      </c>
      <c r="W1886" s="5" t="s">
        <v>72</v>
      </c>
      <c r="X1886" s="5" t="s">
        <v>72</v>
      </c>
      <c r="Y1886" s="4">
        <v>46</v>
      </c>
      <c r="Z1886" s="4">
        <v>4</v>
      </c>
      <c r="AA1886" s="4">
        <v>4</v>
      </c>
      <c r="AB1886" s="4">
        <v>1</v>
      </c>
      <c r="AC1886" s="4">
        <v>1</v>
      </c>
      <c r="AD1886" s="4">
        <v>30</v>
      </c>
      <c r="AE1886" s="4">
        <v>30</v>
      </c>
      <c r="AF1886" s="4">
        <v>0</v>
      </c>
      <c r="AG1886" s="4">
        <v>0</v>
      </c>
      <c r="AH1886" s="4">
        <v>29</v>
      </c>
      <c r="AI1886" s="4">
        <v>29</v>
      </c>
      <c r="AJ1886" s="4">
        <v>2</v>
      </c>
      <c r="AK1886" s="4">
        <v>2</v>
      </c>
      <c r="AL1886" s="4">
        <v>23</v>
      </c>
      <c r="AM1886" s="4">
        <v>23</v>
      </c>
      <c r="AN1886" s="4">
        <v>0</v>
      </c>
      <c r="AO1886" s="4">
        <v>0</v>
      </c>
      <c r="AP1886" s="4">
        <v>2</v>
      </c>
      <c r="AQ1886" s="4">
        <v>2</v>
      </c>
      <c r="AR1886" s="3" t="s">
        <v>65</v>
      </c>
      <c r="AS1886" s="3" t="s">
        <v>65</v>
      </c>
      <c r="AT1886" s="3" t="s">
        <v>65</v>
      </c>
      <c r="AV1886" s="6" t="str">
        <f>HYPERLINK("http://mcgill.on.worldcat.org/oclc/905553136","Catalog Record")</f>
        <v>Catalog Record</v>
      </c>
      <c r="AW1886" s="6" t="str">
        <f>HYPERLINK("http://www.worldcat.org/oclc/905553136","WorldCat Record")</f>
        <v>WorldCat Record</v>
      </c>
      <c r="AX1886" s="3" t="s">
        <v>18463</v>
      </c>
      <c r="AY1886" s="3" t="s">
        <v>18464</v>
      </c>
      <c r="AZ1886" s="3" t="s">
        <v>18465</v>
      </c>
      <c r="BA1886" s="3" t="s">
        <v>18465</v>
      </c>
      <c r="BB1886" s="3" t="s">
        <v>18466</v>
      </c>
      <c r="BC1886" s="3" t="s">
        <v>77</v>
      </c>
      <c r="BD1886" s="3" t="s">
        <v>78</v>
      </c>
      <c r="BE1886" s="3" t="s">
        <v>18467</v>
      </c>
      <c r="BF1886" s="3" t="s">
        <v>18466</v>
      </c>
      <c r="BG1886" s="3" t="s">
        <v>18468</v>
      </c>
    </row>
    <row r="1887" spans="1:59" ht="58" x14ac:dyDescent="0.35">
      <c r="A1887" s="2" t="s">
        <v>59</v>
      </c>
      <c r="B1887" s="2" t="s">
        <v>60</v>
      </c>
      <c r="C1887" s="2" t="s">
        <v>18469</v>
      </c>
      <c r="D1887" s="2" t="s">
        <v>18470</v>
      </c>
      <c r="E1887" s="2" t="s">
        <v>18471</v>
      </c>
      <c r="G1887" s="3" t="s">
        <v>65</v>
      </c>
      <c r="I1887" s="3" t="s">
        <v>65</v>
      </c>
      <c r="J1887" s="3" t="s">
        <v>65</v>
      </c>
      <c r="K1887" s="3" t="s">
        <v>66</v>
      </c>
      <c r="L1887" s="2" t="s">
        <v>18472</v>
      </c>
      <c r="M1887" s="2" t="s">
        <v>18473</v>
      </c>
      <c r="N1887" s="3" t="s">
        <v>479</v>
      </c>
      <c r="P1887" s="3" t="s">
        <v>140</v>
      </c>
      <c r="Q1887" s="2" t="s">
        <v>18474</v>
      </c>
      <c r="R1887" s="3" t="s">
        <v>71</v>
      </c>
      <c r="S1887" s="4">
        <v>1</v>
      </c>
      <c r="T1887" s="4">
        <v>1</v>
      </c>
      <c r="U1887" s="5" t="s">
        <v>819</v>
      </c>
      <c r="V1887" s="5" t="s">
        <v>819</v>
      </c>
      <c r="W1887" s="5" t="s">
        <v>72</v>
      </c>
      <c r="X1887" s="5" t="s">
        <v>72</v>
      </c>
      <c r="Y1887" s="4">
        <v>37</v>
      </c>
      <c r="Z1887" s="4">
        <v>4</v>
      </c>
      <c r="AA1887" s="4">
        <v>4</v>
      </c>
      <c r="AB1887" s="4">
        <v>2</v>
      </c>
      <c r="AC1887" s="4">
        <v>2</v>
      </c>
      <c r="AD1887" s="4">
        <v>26</v>
      </c>
      <c r="AE1887" s="4">
        <v>26</v>
      </c>
      <c r="AF1887" s="4">
        <v>0</v>
      </c>
      <c r="AG1887" s="4">
        <v>0</v>
      </c>
      <c r="AH1887" s="4">
        <v>25</v>
      </c>
      <c r="AI1887" s="4">
        <v>25</v>
      </c>
      <c r="AJ1887" s="4">
        <v>1</v>
      </c>
      <c r="AK1887" s="4">
        <v>1</v>
      </c>
      <c r="AL1887" s="4">
        <v>21</v>
      </c>
      <c r="AM1887" s="4">
        <v>21</v>
      </c>
      <c r="AN1887" s="4">
        <v>0</v>
      </c>
      <c r="AO1887" s="4">
        <v>0</v>
      </c>
      <c r="AP1887" s="4">
        <v>1</v>
      </c>
      <c r="AQ1887" s="4">
        <v>1</v>
      </c>
      <c r="AR1887" s="3" t="s">
        <v>65</v>
      </c>
      <c r="AS1887" s="3" t="s">
        <v>65</v>
      </c>
      <c r="AT1887" s="3" t="s">
        <v>209</v>
      </c>
      <c r="AU1887" s="6" t="str">
        <f>HYPERLINK("http://catalog.hathitrust.org/Record/006778399","HathiTrust Record")</f>
        <v>HathiTrust Record</v>
      </c>
      <c r="AV1887" s="6" t="str">
        <f>HYPERLINK("http://mcgill.on.worldcat.org/oclc/317454037","Catalog Record")</f>
        <v>Catalog Record</v>
      </c>
      <c r="AW1887" s="6" t="str">
        <f>HYPERLINK("http://www.worldcat.org/oclc/317454037","WorldCat Record")</f>
        <v>WorldCat Record</v>
      </c>
      <c r="AX1887" s="3" t="s">
        <v>18475</v>
      </c>
      <c r="AY1887" s="3" t="s">
        <v>18476</v>
      </c>
      <c r="AZ1887" s="3" t="s">
        <v>18477</v>
      </c>
      <c r="BA1887" s="3" t="s">
        <v>18477</v>
      </c>
      <c r="BB1887" s="3" t="s">
        <v>18478</v>
      </c>
      <c r="BC1887" s="3" t="s">
        <v>77</v>
      </c>
      <c r="BD1887" s="3" t="s">
        <v>78</v>
      </c>
      <c r="BE1887" s="3" t="s">
        <v>18479</v>
      </c>
      <c r="BF1887" s="3" t="s">
        <v>18478</v>
      </c>
      <c r="BG1887" s="3" t="s">
        <v>18480</v>
      </c>
    </row>
    <row r="1888" spans="1:59" ht="58" x14ac:dyDescent="0.35">
      <c r="A1888" s="2" t="s">
        <v>59</v>
      </c>
      <c r="B1888" s="2" t="s">
        <v>60</v>
      </c>
      <c r="C1888" s="2" t="s">
        <v>18481</v>
      </c>
      <c r="D1888" s="2" t="s">
        <v>18482</v>
      </c>
      <c r="E1888" s="2" t="s">
        <v>18483</v>
      </c>
      <c r="G1888" s="3" t="s">
        <v>65</v>
      </c>
      <c r="I1888" s="3" t="s">
        <v>65</v>
      </c>
      <c r="J1888" s="3" t="s">
        <v>65</v>
      </c>
      <c r="K1888" s="3" t="s">
        <v>66</v>
      </c>
      <c r="L1888" s="2" t="s">
        <v>18484</v>
      </c>
      <c r="M1888" s="2" t="s">
        <v>18485</v>
      </c>
      <c r="N1888" s="3" t="s">
        <v>221</v>
      </c>
      <c r="P1888" s="3" t="s">
        <v>140</v>
      </c>
      <c r="Q1888" s="2" t="s">
        <v>18486</v>
      </c>
      <c r="R1888" s="3" t="s">
        <v>71</v>
      </c>
      <c r="S1888" s="4">
        <v>1</v>
      </c>
      <c r="T1888" s="4">
        <v>1</v>
      </c>
      <c r="U1888" s="5" t="s">
        <v>8801</v>
      </c>
      <c r="V1888" s="5" t="s">
        <v>8801</v>
      </c>
      <c r="W1888" s="5" t="s">
        <v>72</v>
      </c>
      <c r="X1888" s="5" t="s">
        <v>72</v>
      </c>
      <c r="Y1888" s="4">
        <v>40</v>
      </c>
      <c r="Z1888" s="4">
        <v>3</v>
      </c>
      <c r="AA1888" s="4">
        <v>3</v>
      </c>
      <c r="AB1888" s="4">
        <v>1</v>
      </c>
      <c r="AC1888" s="4">
        <v>1</v>
      </c>
      <c r="AD1888" s="4">
        <v>23</v>
      </c>
      <c r="AE1888" s="4">
        <v>24</v>
      </c>
      <c r="AF1888" s="4">
        <v>0</v>
      </c>
      <c r="AG1888" s="4">
        <v>0</v>
      </c>
      <c r="AH1888" s="4">
        <v>22</v>
      </c>
      <c r="AI1888" s="4">
        <v>23</v>
      </c>
      <c r="AJ1888" s="4">
        <v>1</v>
      </c>
      <c r="AK1888" s="4">
        <v>1</v>
      </c>
      <c r="AL1888" s="4">
        <v>19</v>
      </c>
      <c r="AM1888" s="4">
        <v>20</v>
      </c>
      <c r="AN1888" s="4">
        <v>0</v>
      </c>
      <c r="AO1888" s="4">
        <v>0</v>
      </c>
      <c r="AP1888" s="4">
        <v>1</v>
      </c>
      <c r="AQ1888" s="4">
        <v>1</v>
      </c>
      <c r="AR1888" s="3" t="s">
        <v>65</v>
      </c>
      <c r="AS1888" s="3" t="s">
        <v>65</v>
      </c>
      <c r="AT1888" s="3" t="s">
        <v>209</v>
      </c>
      <c r="AU1888" s="6" t="str">
        <f>HYPERLINK("http://catalog.hathitrust.org/Record/005689153","HathiTrust Record")</f>
        <v>HathiTrust Record</v>
      </c>
      <c r="AV1888" s="6" t="str">
        <f>HYPERLINK("http://mcgill.on.worldcat.org/oclc/216924626","Catalog Record")</f>
        <v>Catalog Record</v>
      </c>
      <c r="AW1888" s="6" t="str">
        <f>HYPERLINK("http://www.worldcat.org/oclc/216924626","WorldCat Record")</f>
        <v>WorldCat Record</v>
      </c>
      <c r="AX1888" s="3" t="s">
        <v>18487</v>
      </c>
      <c r="AY1888" s="3" t="s">
        <v>18488</v>
      </c>
      <c r="AZ1888" s="3" t="s">
        <v>18489</v>
      </c>
      <c r="BA1888" s="3" t="s">
        <v>18489</v>
      </c>
      <c r="BB1888" s="3" t="s">
        <v>18490</v>
      </c>
      <c r="BC1888" s="3" t="s">
        <v>77</v>
      </c>
      <c r="BD1888" s="3" t="s">
        <v>78</v>
      </c>
      <c r="BE1888" s="3" t="s">
        <v>18491</v>
      </c>
      <c r="BF1888" s="3" t="s">
        <v>18490</v>
      </c>
      <c r="BG1888" s="3" t="s">
        <v>18492</v>
      </c>
    </row>
    <row r="1889" spans="1:59" ht="58" x14ac:dyDescent="0.35">
      <c r="A1889" s="2" t="s">
        <v>59</v>
      </c>
      <c r="B1889" s="2" t="s">
        <v>60</v>
      </c>
      <c r="C1889" s="2" t="s">
        <v>18493</v>
      </c>
      <c r="D1889" s="2" t="s">
        <v>18494</v>
      </c>
      <c r="E1889" s="2" t="s">
        <v>18495</v>
      </c>
      <c r="G1889" s="3" t="s">
        <v>65</v>
      </c>
      <c r="I1889" s="3" t="s">
        <v>65</v>
      </c>
      <c r="J1889" s="3" t="s">
        <v>65</v>
      </c>
      <c r="K1889" s="3" t="s">
        <v>66</v>
      </c>
      <c r="L1889" s="2" t="s">
        <v>18496</v>
      </c>
      <c r="M1889" s="2" t="s">
        <v>15720</v>
      </c>
      <c r="N1889" s="3" t="s">
        <v>955</v>
      </c>
      <c r="P1889" s="3" t="s">
        <v>69</v>
      </c>
      <c r="R1889" s="3" t="s">
        <v>71</v>
      </c>
      <c r="S1889" s="4">
        <v>4</v>
      </c>
      <c r="T1889" s="4">
        <v>4</v>
      </c>
      <c r="U1889" s="5" t="s">
        <v>18497</v>
      </c>
      <c r="V1889" s="5" t="s">
        <v>18497</v>
      </c>
      <c r="W1889" s="5" t="s">
        <v>72</v>
      </c>
      <c r="X1889" s="5" t="s">
        <v>72</v>
      </c>
      <c r="Y1889" s="4">
        <v>398</v>
      </c>
      <c r="Z1889" s="4">
        <v>18</v>
      </c>
      <c r="AA1889" s="4">
        <v>90</v>
      </c>
      <c r="AB1889" s="4">
        <v>1</v>
      </c>
      <c r="AC1889" s="4">
        <v>16</v>
      </c>
      <c r="AD1889" s="4">
        <v>108</v>
      </c>
      <c r="AE1889" s="4">
        <v>143</v>
      </c>
      <c r="AF1889" s="4">
        <v>0</v>
      </c>
      <c r="AG1889" s="4">
        <v>8</v>
      </c>
      <c r="AH1889" s="4">
        <v>101</v>
      </c>
      <c r="AI1889" s="4">
        <v>109</v>
      </c>
      <c r="AJ1889" s="4">
        <v>13</v>
      </c>
      <c r="AK1889" s="4">
        <v>24</v>
      </c>
      <c r="AL1889" s="4">
        <v>54</v>
      </c>
      <c r="AM1889" s="4">
        <v>57</v>
      </c>
      <c r="AN1889" s="4">
        <v>0</v>
      </c>
      <c r="AO1889" s="4">
        <v>0</v>
      </c>
      <c r="AP1889" s="4">
        <v>13</v>
      </c>
      <c r="AQ1889" s="4">
        <v>43</v>
      </c>
      <c r="AR1889" s="3" t="s">
        <v>65</v>
      </c>
      <c r="AS1889" s="3" t="s">
        <v>65</v>
      </c>
      <c r="AT1889" s="3" t="s">
        <v>209</v>
      </c>
      <c r="AU1889" s="6" t="str">
        <f>HYPERLINK("http://catalog.hathitrust.org/Record/000734692","HathiTrust Record")</f>
        <v>HathiTrust Record</v>
      </c>
      <c r="AV1889" s="6" t="str">
        <f>HYPERLINK("http://mcgill.on.worldcat.org/oclc/5891995","Catalog Record")</f>
        <v>Catalog Record</v>
      </c>
      <c r="AW1889" s="6" t="str">
        <f>HYPERLINK("http://www.worldcat.org/oclc/5891995","WorldCat Record")</f>
        <v>WorldCat Record</v>
      </c>
      <c r="AX1889" s="3" t="s">
        <v>18498</v>
      </c>
      <c r="AY1889" s="3" t="s">
        <v>18499</v>
      </c>
      <c r="AZ1889" s="3" t="s">
        <v>18500</v>
      </c>
      <c r="BA1889" s="3" t="s">
        <v>18500</v>
      </c>
      <c r="BB1889" s="3" t="s">
        <v>18501</v>
      </c>
      <c r="BC1889" s="3" t="s">
        <v>77</v>
      </c>
      <c r="BD1889" s="3" t="s">
        <v>78</v>
      </c>
      <c r="BE1889" s="3" t="s">
        <v>18502</v>
      </c>
      <c r="BF1889" s="3" t="s">
        <v>18501</v>
      </c>
      <c r="BG1889" s="3" t="s">
        <v>18503</v>
      </c>
    </row>
    <row r="1890" spans="1:59" ht="58" x14ac:dyDescent="0.35">
      <c r="A1890" s="2" t="s">
        <v>59</v>
      </c>
      <c r="B1890" s="2" t="s">
        <v>60</v>
      </c>
      <c r="C1890" s="2" t="s">
        <v>18504</v>
      </c>
      <c r="D1890" s="2" t="s">
        <v>18505</v>
      </c>
      <c r="E1890" s="2" t="s">
        <v>18506</v>
      </c>
      <c r="G1890" s="3" t="s">
        <v>65</v>
      </c>
      <c r="I1890" s="3" t="s">
        <v>65</v>
      </c>
      <c r="J1890" s="3" t="s">
        <v>65</v>
      </c>
      <c r="K1890" s="3" t="s">
        <v>66</v>
      </c>
      <c r="L1890" s="2" t="s">
        <v>18507</v>
      </c>
      <c r="M1890" s="2" t="s">
        <v>18508</v>
      </c>
      <c r="N1890" s="3" t="s">
        <v>188</v>
      </c>
      <c r="P1890" s="3" t="s">
        <v>140</v>
      </c>
      <c r="Q1890" s="2" t="s">
        <v>18509</v>
      </c>
      <c r="R1890" s="3" t="s">
        <v>71</v>
      </c>
      <c r="S1890" s="4">
        <v>0</v>
      </c>
      <c r="T1890" s="4">
        <v>0</v>
      </c>
      <c r="W1890" s="5" t="s">
        <v>72</v>
      </c>
      <c r="X1890" s="5" t="s">
        <v>72</v>
      </c>
      <c r="Y1890" s="4">
        <v>26</v>
      </c>
      <c r="Z1890" s="4">
        <v>2</v>
      </c>
      <c r="AA1890" s="4">
        <v>2</v>
      </c>
      <c r="AB1890" s="4">
        <v>1</v>
      </c>
      <c r="AC1890" s="4">
        <v>1</v>
      </c>
      <c r="AD1890" s="4">
        <v>22</v>
      </c>
      <c r="AE1890" s="4">
        <v>22</v>
      </c>
      <c r="AF1890" s="4">
        <v>0</v>
      </c>
      <c r="AG1890" s="4">
        <v>0</v>
      </c>
      <c r="AH1890" s="4">
        <v>21</v>
      </c>
      <c r="AI1890" s="4">
        <v>21</v>
      </c>
      <c r="AJ1890" s="4">
        <v>1</v>
      </c>
      <c r="AK1890" s="4">
        <v>1</v>
      </c>
      <c r="AL1890" s="4">
        <v>16</v>
      </c>
      <c r="AM1890" s="4">
        <v>16</v>
      </c>
      <c r="AN1890" s="4">
        <v>0</v>
      </c>
      <c r="AO1890" s="4">
        <v>0</v>
      </c>
      <c r="AP1890" s="4">
        <v>1</v>
      </c>
      <c r="AQ1890" s="4">
        <v>1</v>
      </c>
      <c r="AR1890" s="3" t="s">
        <v>65</v>
      </c>
      <c r="AS1890" s="3" t="s">
        <v>65</v>
      </c>
      <c r="AT1890" s="3" t="s">
        <v>65</v>
      </c>
      <c r="AV1890" s="6" t="str">
        <f>HYPERLINK("http://mcgill.on.worldcat.org/oclc/989905598","Catalog Record")</f>
        <v>Catalog Record</v>
      </c>
      <c r="AW1890" s="6" t="str">
        <f>HYPERLINK("http://www.worldcat.org/oclc/989905598","WorldCat Record")</f>
        <v>WorldCat Record</v>
      </c>
      <c r="AX1890" s="3" t="s">
        <v>18510</v>
      </c>
      <c r="AY1890" s="3" t="s">
        <v>18511</v>
      </c>
      <c r="AZ1890" s="3" t="s">
        <v>18512</v>
      </c>
      <c r="BA1890" s="3" t="s">
        <v>18512</v>
      </c>
      <c r="BB1890" s="3" t="s">
        <v>18513</v>
      </c>
      <c r="BC1890" s="3" t="s">
        <v>77</v>
      </c>
      <c r="BD1890" s="3" t="s">
        <v>78</v>
      </c>
      <c r="BE1890" s="3" t="s">
        <v>18514</v>
      </c>
      <c r="BF1890" s="3" t="s">
        <v>18513</v>
      </c>
      <c r="BG1890" s="3" t="s">
        <v>18515</v>
      </c>
    </row>
    <row r="1891" spans="1:59" ht="58" x14ac:dyDescent="0.35">
      <c r="A1891" s="2" t="s">
        <v>59</v>
      </c>
      <c r="B1891" s="2" t="s">
        <v>60</v>
      </c>
      <c r="C1891" s="2" t="s">
        <v>18516</v>
      </c>
      <c r="D1891" s="2" t="s">
        <v>18517</v>
      </c>
      <c r="E1891" s="2" t="s">
        <v>18518</v>
      </c>
      <c r="G1891" s="3" t="s">
        <v>65</v>
      </c>
      <c r="I1891" s="3" t="s">
        <v>65</v>
      </c>
      <c r="J1891" s="3" t="s">
        <v>65</v>
      </c>
      <c r="K1891" s="3" t="s">
        <v>66</v>
      </c>
      <c r="L1891" s="2" t="s">
        <v>18519</v>
      </c>
      <c r="M1891" s="2" t="s">
        <v>18520</v>
      </c>
      <c r="N1891" s="3" t="s">
        <v>126</v>
      </c>
      <c r="O1891" s="2" t="s">
        <v>365</v>
      </c>
      <c r="P1891" s="3" t="s">
        <v>140</v>
      </c>
      <c r="Q1891" s="2" t="s">
        <v>1777</v>
      </c>
      <c r="R1891" s="3" t="s">
        <v>71</v>
      </c>
      <c r="S1891" s="4">
        <v>1</v>
      </c>
      <c r="T1891" s="4">
        <v>1</v>
      </c>
      <c r="U1891" s="5" t="s">
        <v>3065</v>
      </c>
      <c r="V1891" s="5" t="s">
        <v>3065</v>
      </c>
      <c r="W1891" s="5" t="s">
        <v>72</v>
      </c>
      <c r="X1891" s="5" t="s">
        <v>72</v>
      </c>
      <c r="Y1891" s="4">
        <v>36</v>
      </c>
      <c r="Z1891" s="4">
        <v>4</v>
      </c>
      <c r="AA1891" s="4">
        <v>4</v>
      </c>
      <c r="AB1891" s="4">
        <v>1</v>
      </c>
      <c r="AC1891" s="4">
        <v>1</v>
      </c>
      <c r="AD1891" s="4">
        <v>26</v>
      </c>
      <c r="AE1891" s="4">
        <v>26</v>
      </c>
      <c r="AF1891" s="4">
        <v>0</v>
      </c>
      <c r="AG1891" s="4">
        <v>0</v>
      </c>
      <c r="AH1891" s="4">
        <v>25</v>
      </c>
      <c r="AI1891" s="4">
        <v>25</v>
      </c>
      <c r="AJ1891" s="4">
        <v>2</v>
      </c>
      <c r="AK1891" s="4">
        <v>2</v>
      </c>
      <c r="AL1891" s="4">
        <v>18</v>
      </c>
      <c r="AM1891" s="4">
        <v>18</v>
      </c>
      <c r="AN1891" s="4">
        <v>0</v>
      </c>
      <c r="AO1891" s="4">
        <v>0</v>
      </c>
      <c r="AP1891" s="4">
        <v>2</v>
      </c>
      <c r="AQ1891" s="4">
        <v>2</v>
      </c>
      <c r="AR1891" s="3" t="s">
        <v>65</v>
      </c>
      <c r="AS1891" s="3" t="s">
        <v>65</v>
      </c>
      <c r="AT1891" s="3" t="s">
        <v>65</v>
      </c>
      <c r="AV1891" s="6" t="str">
        <f>HYPERLINK("http://mcgill.on.worldcat.org/oclc/760053888","Catalog Record")</f>
        <v>Catalog Record</v>
      </c>
      <c r="AW1891" s="6" t="str">
        <f>HYPERLINK("http://www.worldcat.org/oclc/760053888","WorldCat Record")</f>
        <v>WorldCat Record</v>
      </c>
      <c r="AX1891" s="3" t="s">
        <v>18521</v>
      </c>
      <c r="AY1891" s="3" t="s">
        <v>18522</v>
      </c>
      <c r="AZ1891" s="3" t="s">
        <v>18523</v>
      </c>
      <c r="BA1891" s="3" t="s">
        <v>18523</v>
      </c>
      <c r="BB1891" s="3" t="s">
        <v>18524</v>
      </c>
      <c r="BC1891" s="3" t="s">
        <v>77</v>
      </c>
      <c r="BD1891" s="3" t="s">
        <v>78</v>
      </c>
      <c r="BE1891" s="3" t="s">
        <v>18525</v>
      </c>
      <c r="BF1891" s="3" t="s">
        <v>18524</v>
      </c>
      <c r="BG1891" s="3" t="s">
        <v>18526</v>
      </c>
    </row>
    <row r="1892" spans="1:59" ht="58" x14ac:dyDescent="0.35">
      <c r="A1892" s="2" t="s">
        <v>59</v>
      </c>
      <c r="B1892" s="2" t="s">
        <v>60</v>
      </c>
      <c r="C1892" s="2" t="s">
        <v>18527</v>
      </c>
      <c r="D1892" s="2" t="s">
        <v>18528</v>
      </c>
      <c r="E1892" s="2" t="s">
        <v>18529</v>
      </c>
      <c r="G1892" s="3" t="s">
        <v>65</v>
      </c>
      <c r="I1892" s="3" t="s">
        <v>65</v>
      </c>
      <c r="J1892" s="3" t="s">
        <v>65</v>
      </c>
      <c r="K1892" s="3" t="s">
        <v>66</v>
      </c>
      <c r="L1892" s="2" t="s">
        <v>18530</v>
      </c>
      <c r="M1892" s="2" t="s">
        <v>18531</v>
      </c>
      <c r="N1892" s="3" t="s">
        <v>2377</v>
      </c>
      <c r="P1892" s="3" t="s">
        <v>140</v>
      </c>
      <c r="Q1892" s="2" t="s">
        <v>18532</v>
      </c>
      <c r="R1892" s="3" t="s">
        <v>71</v>
      </c>
      <c r="S1892" s="4">
        <v>3</v>
      </c>
      <c r="T1892" s="4">
        <v>3</v>
      </c>
      <c r="U1892" s="5" t="s">
        <v>3065</v>
      </c>
      <c r="V1892" s="5" t="s">
        <v>3065</v>
      </c>
      <c r="W1892" s="5" t="s">
        <v>72</v>
      </c>
      <c r="X1892" s="5" t="s">
        <v>72</v>
      </c>
      <c r="Y1892" s="4">
        <v>59</v>
      </c>
      <c r="Z1892" s="4">
        <v>6</v>
      </c>
      <c r="AA1892" s="4">
        <v>6</v>
      </c>
      <c r="AB1892" s="4">
        <v>1</v>
      </c>
      <c r="AC1892" s="4">
        <v>1</v>
      </c>
      <c r="AD1892" s="4">
        <v>27</v>
      </c>
      <c r="AE1892" s="4">
        <v>27</v>
      </c>
      <c r="AF1892" s="4">
        <v>0</v>
      </c>
      <c r="AG1892" s="4">
        <v>0</v>
      </c>
      <c r="AH1892" s="4">
        <v>25</v>
      </c>
      <c r="AI1892" s="4">
        <v>25</v>
      </c>
      <c r="AJ1892" s="4">
        <v>2</v>
      </c>
      <c r="AK1892" s="4">
        <v>2</v>
      </c>
      <c r="AL1892" s="4">
        <v>17</v>
      </c>
      <c r="AM1892" s="4">
        <v>17</v>
      </c>
      <c r="AN1892" s="4">
        <v>0</v>
      </c>
      <c r="AO1892" s="4">
        <v>0</v>
      </c>
      <c r="AP1892" s="4">
        <v>2</v>
      </c>
      <c r="AQ1892" s="4">
        <v>2</v>
      </c>
      <c r="AR1892" s="3" t="s">
        <v>65</v>
      </c>
      <c r="AS1892" s="3" t="s">
        <v>65</v>
      </c>
      <c r="AT1892" s="3" t="s">
        <v>65</v>
      </c>
      <c r="AV1892" s="6" t="str">
        <f>HYPERLINK("http://mcgill.on.worldcat.org/oclc/23590643","Catalog Record")</f>
        <v>Catalog Record</v>
      </c>
      <c r="AW1892" s="6" t="str">
        <f>HYPERLINK("http://www.worldcat.org/oclc/23590643","WorldCat Record")</f>
        <v>WorldCat Record</v>
      </c>
      <c r="AX1892" s="3" t="s">
        <v>18533</v>
      </c>
      <c r="AY1892" s="3" t="s">
        <v>18534</v>
      </c>
      <c r="AZ1892" s="3" t="s">
        <v>18535</v>
      </c>
      <c r="BA1892" s="3" t="s">
        <v>18535</v>
      </c>
      <c r="BB1892" s="3" t="s">
        <v>18536</v>
      </c>
      <c r="BC1892" s="3" t="s">
        <v>77</v>
      </c>
      <c r="BD1892" s="3" t="s">
        <v>78</v>
      </c>
      <c r="BE1892" s="3" t="s">
        <v>18537</v>
      </c>
      <c r="BF1892" s="3" t="s">
        <v>18536</v>
      </c>
      <c r="BG1892" s="3" t="s">
        <v>18538</v>
      </c>
    </row>
    <row r="1893" spans="1:59" ht="58" x14ac:dyDescent="0.35">
      <c r="A1893" s="2" t="s">
        <v>59</v>
      </c>
      <c r="B1893" s="2" t="s">
        <v>60</v>
      </c>
      <c r="C1893" s="2" t="s">
        <v>18539</v>
      </c>
      <c r="D1893" s="2" t="s">
        <v>18540</v>
      </c>
      <c r="E1893" s="2" t="s">
        <v>18541</v>
      </c>
      <c r="G1893" s="3" t="s">
        <v>65</v>
      </c>
      <c r="I1893" s="3" t="s">
        <v>65</v>
      </c>
      <c r="J1893" s="3" t="s">
        <v>65</v>
      </c>
      <c r="K1893" s="3" t="s">
        <v>66</v>
      </c>
      <c r="L1893" s="2" t="s">
        <v>2925</v>
      </c>
      <c r="M1893" s="2" t="s">
        <v>18542</v>
      </c>
      <c r="N1893" s="3" t="s">
        <v>2377</v>
      </c>
      <c r="O1893" s="2" t="s">
        <v>365</v>
      </c>
      <c r="P1893" s="3" t="s">
        <v>140</v>
      </c>
      <c r="Q1893" s="2" t="s">
        <v>18543</v>
      </c>
      <c r="R1893" s="3" t="s">
        <v>71</v>
      </c>
      <c r="S1893" s="4">
        <v>4</v>
      </c>
      <c r="T1893" s="4">
        <v>4</v>
      </c>
      <c r="U1893" s="5" t="s">
        <v>3065</v>
      </c>
      <c r="V1893" s="5" t="s">
        <v>3065</v>
      </c>
      <c r="W1893" s="5" t="s">
        <v>72</v>
      </c>
      <c r="X1893" s="5" t="s">
        <v>72</v>
      </c>
      <c r="Y1893" s="4">
        <v>71</v>
      </c>
      <c r="Z1893" s="4">
        <v>5</v>
      </c>
      <c r="AA1893" s="4">
        <v>5</v>
      </c>
      <c r="AB1893" s="4">
        <v>1</v>
      </c>
      <c r="AC1893" s="4">
        <v>1</v>
      </c>
      <c r="AD1893" s="4">
        <v>34</v>
      </c>
      <c r="AE1893" s="4">
        <v>38</v>
      </c>
      <c r="AF1893" s="4">
        <v>0</v>
      </c>
      <c r="AG1893" s="4">
        <v>0</v>
      </c>
      <c r="AH1893" s="4">
        <v>31</v>
      </c>
      <c r="AI1893" s="4">
        <v>35</v>
      </c>
      <c r="AJ1893" s="4">
        <v>4</v>
      </c>
      <c r="AK1893" s="4">
        <v>4</v>
      </c>
      <c r="AL1893" s="4">
        <v>23</v>
      </c>
      <c r="AM1893" s="4">
        <v>26</v>
      </c>
      <c r="AN1893" s="4">
        <v>0</v>
      </c>
      <c r="AO1893" s="4">
        <v>0</v>
      </c>
      <c r="AP1893" s="4">
        <v>4</v>
      </c>
      <c r="AQ1893" s="4">
        <v>4</v>
      </c>
      <c r="AR1893" s="3" t="s">
        <v>65</v>
      </c>
      <c r="AS1893" s="3" t="s">
        <v>65</v>
      </c>
      <c r="AT1893" s="3" t="s">
        <v>209</v>
      </c>
      <c r="AU1893" s="6" t="str">
        <f>HYPERLINK("http://catalog.hathitrust.org/Record/002482211","HathiTrust Record")</f>
        <v>HathiTrust Record</v>
      </c>
      <c r="AV1893" s="6" t="str">
        <f>HYPERLINK("http://mcgill.on.worldcat.org/oclc/23831161","Catalog Record")</f>
        <v>Catalog Record</v>
      </c>
      <c r="AW1893" s="6" t="str">
        <f>HYPERLINK("http://www.worldcat.org/oclc/23831161","WorldCat Record")</f>
        <v>WorldCat Record</v>
      </c>
      <c r="AX1893" s="3" t="s">
        <v>18544</v>
      </c>
      <c r="AY1893" s="3" t="s">
        <v>18545</v>
      </c>
      <c r="AZ1893" s="3" t="s">
        <v>18546</v>
      </c>
      <c r="BA1893" s="3" t="s">
        <v>18546</v>
      </c>
      <c r="BB1893" s="3" t="s">
        <v>18547</v>
      </c>
      <c r="BC1893" s="3" t="s">
        <v>77</v>
      </c>
      <c r="BD1893" s="3" t="s">
        <v>78</v>
      </c>
      <c r="BE1893" s="3" t="s">
        <v>18548</v>
      </c>
      <c r="BF1893" s="3" t="s">
        <v>18547</v>
      </c>
      <c r="BG1893" s="3" t="s">
        <v>18549</v>
      </c>
    </row>
    <row r="1894" spans="1:59" ht="58" x14ac:dyDescent="0.35">
      <c r="A1894" s="2" t="s">
        <v>59</v>
      </c>
      <c r="B1894" s="2" t="s">
        <v>60</v>
      </c>
      <c r="C1894" s="2" t="s">
        <v>18550</v>
      </c>
      <c r="D1894" s="2" t="s">
        <v>18551</v>
      </c>
      <c r="E1894" s="2" t="s">
        <v>18552</v>
      </c>
      <c r="G1894" s="3" t="s">
        <v>65</v>
      </c>
      <c r="I1894" s="3" t="s">
        <v>65</v>
      </c>
      <c r="J1894" s="3" t="s">
        <v>65</v>
      </c>
      <c r="K1894" s="3" t="s">
        <v>66</v>
      </c>
      <c r="L1894" s="2" t="s">
        <v>18553</v>
      </c>
      <c r="M1894" s="2" t="s">
        <v>18554</v>
      </c>
      <c r="N1894" s="3" t="s">
        <v>1967</v>
      </c>
      <c r="P1894" s="3" t="s">
        <v>140</v>
      </c>
      <c r="Q1894" s="2" t="s">
        <v>18555</v>
      </c>
      <c r="R1894" s="3" t="s">
        <v>71</v>
      </c>
      <c r="S1894" s="4">
        <v>2</v>
      </c>
      <c r="T1894" s="4">
        <v>2</v>
      </c>
      <c r="U1894" s="5" t="s">
        <v>14878</v>
      </c>
      <c r="V1894" s="5" t="s">
        <v>14878</v>
      </c>
      <c r="W1894" s="5" t="s">
        <v>72</v>
      </c>
      <c r="X1894" s="5" t="s">
        <v>72</v>
      </c>
      <c r="Y1894" s="4">
        <v>22</v>
      </c>
      <c r="Z1894" s="4">
        <v>4</v>
      </c>
      <c r="AA1894" s="4">
        <v>4</v>
      </c>
      <c r="AB1894" s="4">
        <v>1</v>
      </c>
      <c r="AC1894" s="4">
        <v>1</v>
      </c>
      <c r="AD1894" s="4">
        <v>13</v>
      </c>
      <c r="AE1894" s="4">
        <v>13</v>
      </c>
      <c r="AF1894" s="4">
        <v>0</v>
      </c>
      <c r="AG1894" s="4">
        <v>0</v>
      </c>
      <c r="AH1894" s="4">
        <v>13</v>
      </c>
      <c r="AI1894" s="4">
        <v>13</v>
      </c>
      <c r="AJ1894" s="4">
        <v>2</v>
      </c>
      <c r="AK1894" s="4">
        <v>2</v>
      </c>
      <c r="AL1894" s="4">
        <v>8</v>
      </c>
      <c r="AM1894" s="4">
        <v>8</v>
      </c>
      <c r="AN1894" s="4">
        <v>0</v>
      </c>
      <c r="AO1894" s="4">
        <v>0</v>
      </c>
      <c r="AP1894" s="4">
        <v>2</v>
      </c>
      <c r="AQ1894" s="4">
        <v>2</v>
      </c>
      <c r="AR1894" s="3" t="s">
        <v>65</v>
      </c>
      <c r="AS1894" s="3" t="s">
        <v>65</v>
      </c>
      <c r="AT1894" s="3" t="s">
        <v>209</v>
      </c>
      <c r="AU1894" s="6" t="str">
        <f>HYPERLINK("http://catalog.hathitrust.org/Record/004973510","HathiTrust Record")</f>
        <v>HathiTrust Record</v>
      </c>
      <c r="AV1894" s="6" t="str">
        <f>HYPERLINK("http://mcgill.on.worldcat.org/oclc/56522952","Catalog Record")</f>
        <v>Catalog Record</v>
      </c>
      <c r="AW1894" s="6" t="str">
        <f>HYPERLINK("http://www.worldcat.org/oclc/56522952","WorldCat Record")</f>
        <v>WorldCat Record</v>
      </c>
      <c r="AX1894" s="3" t="s">
        <v>18556</v>
      </c>
      <c r="AY1894" s="3" t="s">
        <v>18557</v>
      </c>
      <c r="AZ1894" s="3" t="s">
        <v>18558</v>
      </c>
      <c r="BA1894" s="3" t="s">
        <v>18558</v>
      </c>
      <c r="BB1894" s="3" t="s">
        <v>18559</v>
      </c>
      <c r="BC1894" s="3" t="s">
        <v>77</v>
      </c>
      <c r="BD1894" s="3" t="s">
        <v>78</v>
      </c>
      <c r="BE1894" s="3" t="s">
        <v>18560</v>
      </c>
      <c r="BF1894" s="3" t="s">
        <v>18559</v>
      </c>
      <c r="BG1894" s="3" t="s">
        <v>18561</v>
      </c>
    </row>
    <row r="1895" spans="1:59" ht="58" x14ac:dyDescent="0.35">
      <c r="A1895" s="2" t="s">
        <v>59</v>
      </c>
      <c r="B1895" s="2" t="s">
        <v>60</v>
      </c>
      <c r="C1895" s="2" t="s">
        <v>18562</v>
      </c>
      <c r="D1895" s="2" t="s">
        <v>18563</v>
      </c>
      <c r="E1895" s="2" t="s">
        <v>18564</v>
      </c>
      <c r="G1895" s="3" t="s">
        <v>65</v>
      </c>
      <c r="I1895" s="3" t="s">
        <v>65</v>
      </c>
      <c r="J1895" s="3" t="s">
        <v>65</v>
      </c>
      <c r="K1895" s="3" t="s">
        <v>66</v>
      </c>
      <c r="L1895" s="2" t="s">
        <v>18565</v>
      </c>
      <c r="M1895" s="2" t="s">
        <v>18566</v>
      </c>
      <c r="N1895" s="3" t="s">
        <v>863</v>
      </c>
      <c r="P1895" s="3" t="s">
        <v>140</v>
      </c>
      <c r="Q1895" s="2" t="s">
        <v>18567</v>
      </c>
      <c r="R1895" s="3" t="s">
        <v>71</v>
      </c>
      <c r="S1895" s="4">
        <v>7</v>
      </c>
      <c r="T1895" s="4">
        <v>7</v>
      </c>
      <c r="U1895" s="5" t="s">
        <v>3065</v>
      </c>
      <c r="V1895" s="5" t="s">
        <v>3065</v>
      </c>
      <c r="W1895" s="5" t="s">
        <v>72</v>
      </c>
      <c r="X1895" s="5" t="s">
        <v>72</v>
      </c>
      <c r="Y1895" s="4">
        <v>58</v>
      </c>
      <c r="Z1895" s="4">
        <v>5</v>
      </c>
      <c r="AA1895" s="4">
        <v>5</v>
      </c>
      <c r="AB1895" s="4">
        <v>1</v>
      </c>
      <c r="AC1895" s="4">
        <v>1</v>
      </c>
      <c r="AD1895" s="4">
        <v>34</v>
      </c>
      <c r="AE1895" s="4">
        <v>34</v>
      </c>
      <c r="AF1895" s="4">
        <v>0</v>
      </c>
      <c r="AG1895" s="4">
        <v>0</v>
      </c>
      <c r="AH1895" s="4">
        <v>33</v>
      </c>
      <c r="AI1895" s="4">
        <v>33</v>
      </c>
      <c r="AJ1895" s="4">
        <v>3</v>
      </c>
      <c r="AK1895" s="4">
        <v>3</v>
      </c>
      <c r="AL1895" s="4">
        <v>23</v>
      </c>
      <c r="AM1895" s="4">
        <v>23</v>
      </c>
      <c r="AN1895" s="4">
        <v>0</v>
      </c>
      <c r="AO1895" s="4">
        <v>0</v>
      </c>
      <c r="AP1895" s="4">
        <v>3</v>
      </c>
      <c r="AQ1895" s="4">
        <v>3</v>
      </c>
      <c r="AR1895" s="3" t="s">
        <v>65</v>
      </c>
      <c r="AS1895" s="3" t="s">
        <v>65</v>
      </c>
      <c r="AT1895" s="3" t="s">
        <v>209</v>
      </c>
      <c r="AU1895" s="6" t="str">
        <f>HYPERLINK("http://catalog.hathitrust.org/Record/002804071","HathiTrust Record")</f>
        <v>HathiTrust Record</v>
      </c>
      <c r="AV1895" s="6" t="str">
        <f>HYPERLINK("http://mcgill.on.worldcat.org/oclc/28297855","Catalog Record")</f>
        <v>Catalog Record</v>
      </c>
      <c r="AW1895" s="6" t="str">
        <f>HYPERLINK("http://www.worldcat.org/oclc/28297855","WorldCat Record")</f>
        <v>WorldCat Record</v>
      </c>
      <c r="AX1895" s="3" t="s">
        <v>18568</v>
      </c>
      <c r="AY1895" s="3" t="s">
        <v>18569</v>
      </c>
      <c r="AZ1895" s="3" t="s">
        <v>18570</v>
      </c>
      <c r="BA1895" s="3" t="s">
        <v>18570</v>
      </c>
      <c r="BB1895" s="3" t="s">
        <v>18571</v>
      </c>
      <c r="BC1895" s="3" t="s">
        <v>77</v>
      </c>
      <c r="BD1895" s="3" t="s">
        <v>78</v>
      </c>
      <c r="BF1895" s="3" t="s">
        <v>18571</v>
      </c>
      <c r="BG1895" s="3" t="s">
        <v>18572</v>
      </c>
    </row>
    <row r="1896" spans="1:59" ht="58" x14ac:dyDescent="0.35">
      <c r="A1896" s="2" t="s">
        <v>59</v>
      </c>
      <c r="B1896" s="2" t="s">
        <v>60</v>
      </c>
      <c r="C1896" s="2" t="s">
        <v>18573</v>
      </c>
      <c r="D1896" s="2" t="s">
        <v>18574</v>
      </c>
      <c r="E1896" s="2" t="s">
        <v>18575</v>
      </c>
      <c r="G1896" s="3" t="s">
        <v>65</v>
      </c>
      <c r="I1896" s="3" t="s">
        <v>65</v>
      </c>
      <c r="J1896" s="3" t="s">
        <v>65</v>
      </c>
      <c r="K1896" s="3" t="s">
        <v>66</v>
      </c>
      <c r="L1896" s="2" t="s">
        <v>18576</v>
      </c>
      <c r="M1896" s="2" t="s">
        <v>18577</v>
      </c>
      <c r="N1896" s="3" t="s">
        <v>5060</v>
      </c>
      <c r="P1896" s="3" t="s">
        <v>140</v>
      </c>
      <c r="Q1896" s="2" t="s">
        <v>18578</v>
      </c>
      <c r="R1896" s="3" t="s">
        <v>71</v>
      </c>
      <c r="S1896" s="4">
        <v>5</v>
      </c>
      <c r="T1896" s="4">
        <v>5</v>
      </c>
      <c r="U1896" s="5" t="s">
        <v>3065</v>
      </c>
      <c r="V1896" s="5" t="s">
        <v>3065</v>
      </c>
      <c r="W1896" s="5" t="s">
        <v>72</v>
      </c>
      <c r="X1896" s="5" t="s">
        <v>72</v>
      </c>
      <c r="Y1896" s="4">
        <v>109</v>
      </c>
      <c r="Z1896" s="4">
        <v>17</v>
      </c>
      <c r="AA1896" s="4">
        <v>17</v>
      </c>
      <c r="AB1896" s="4">
        <v>2</v>
      </c>
      <c r="AC1896" s="4">
        <v>2</v>
      </c>
      <c r="AD1896" s="4">
        <v>52</v>
      </c>
      <c r="AE1896" s="4">
        <v>52</v>
      </c>
      <c r="AF1896" s="4">
        <v>1</v>
      </c>
      <c r="AG1896" s="4">
        <v>1</v>
      </c>
      <c r="AH1896" s="4">
        <v>44</v>
      </c>
      <c r="AI1896" s="4">
        <v>44</v>
      </c>
      <c r="AJ1896" s="4">
        <v>10</v>
      </c>
      <c r="AK1896" s="4">
        <v>10</v>
      </c>
      <c r="AL1896" s="4">
        <v>29</v>
      </c>
      <c r="AM1896" s="4">
        <v>29</v>
      </c>
      <c r="AN1896" s="4">
        <v>0</v>
      </c>
      <c r="AO1896" s="4">
        <v>0</v>
      </c>
      <c r="AP1896" s="4">
        <v>12</v>
      </c>
      <c r="AQ1896" s="4">
        <v>12</v>
      </c>
      <c r="AR1896" s="3" t="s">
        <v>65</v>
      </c>
      <c r="AS1896" s="3" t="s">
        <v>65</v>
      </c>
      <c r="AT1896" s="3" t="s">
        <v>209</v>
      </c>
      <c r="AU1896" s="6" t="str">
        <f>HYPERLINK("http://catalog.hathitrust.org/Record/001219172","HathiTrust Record")</f>
        <v>HathiTrust Record</v>
      </c>
      <c r="AV1896" s="6" t="str">
        <f>HYPERLINK("http://mcgill.on.worldcat.org/oclc/938727","Catalog Record")</f>
        <v>Catalog Record</v>
      </c>
      <c r="AW1896" s="6" t="str">
        <f>HYPERLINK("http://www.worldcat.org/oclc/938727","WorldCat Record")</f>
        <v>WorldCat Record</v>
      </c>
      <c r="AX1896" s="3" t="s">
        <v>18579</v>
      </c>
      <c r="AY1896" s="3" t="s">
        <v>18580</v>
      </c>
      <c r="AZ1896" s="3" t="s">
        <v>18581</v>
      </c>
      <c r="BA1896" s="3" t="s">
        <v>18581</v>
      </c>
      <c r="BB1896" s="3" t="s">
        <v>18582</v>
      </c>
      <c r="BC1896" s="3" t="s">
        <v>77</v>
      </c>
      <c r="BD1896" s="3" t="s">
        <v>78</v>
      </c>
      <c r="BF1896" s="3" t="s">
        <v>18582</v>
      </c>
      <c r="BG1896" s="3" t="s">
        <v>18583</v>
      </c>
    </row>
    <row r="1897" spans="1:59" ht="58" x14ac:dyDescent="0.35">
      <c r="A1897" s="2" t="s">
        <v>59</v>
      </c>
      <c r="B1897" s="2" t="s">
        <v>60</v>
      </c>
      <c r="C1897" s="2" t="s">
        <v>18584</v>
      </c>
      <c r="D1897" s="2" t="s">
        <v>18585</v>
      </c>
      <c r="E1897" s="2" t="s">
        <v>18586</v>
      </c>
      <c r="G1897" s="3" t="s">
        <v>65</v>
      </c>
      <c r="I1897" s="3" t="s">
        <v>65</v>
      </c>
      <c r="J1897" s="3" t="s">
        <v>65</v>
      </c>
      <c r="K1897" s="3" t="s">
        <v>66</v>
      </c>
      <c r="L1897" s="2" t="s">
        <v>18587</v>
      </c>
      <c r="M1897" s="2" t="s">
        <v>18588</v>
      </c>
      <c r="N1897" s="3" t="s">
        <v>525</v>
      </c>
      <c r="P1897" s="3" t="s">
        <v>140</v>
      </c>
      <c r="Q1897" s="2" t="s">
        <v>18589</v>
      </c>
      <c r="R1897" s="3" t="s">
        <v>71</v>
      </c>
      <c r="S1897" s="4">
        <v>3</v>
      </c>
      <c r="T1897" s="4">
        <v>3</v>
      </c>
      <c r="U1897" s="5" t="s">
        <v>8801</v>
      </c>
      <c r="V1897" s="5" t="s">
        <v>8801</v>
      </c>
      <c r="W1897" s="5" t="s">
        <v>72</v>
      </c>
      <c r="X1897" s="5" t="s">
        <v>72</v>
      </c>
      <c r="Y1897" s="4">
        <v>52</v>
      </c>
      <c r="Z1897" s="4">
        <v>4</v>
      </c>
      <c r="AA1897" s="4">
        <v>4</v>
      </c>
      <c r="AB1897" s="4">
        <v>1</v>
      </c>
      <c r="AC1897" s="4">
        <v>1</v>
      </c>
      <c r="AD1897" s="4">
        <v>37</v>
      </c>
      <c r="AE1897" s="4">
        <v>37</v>
      </c>
      <c r="AF1897" s="4">
        <v>0</v>
      </c>
      <c r="AG1897" s="4">
        <v>0</v>
      </c>
      <c r="AH1897" s="4">
        <v>36</v>
      </c>
      <c r="AI1897" s="4">
        <v>36</v>
      </c>
      <c r="AJ1897" s="4">
        <v>2</v>
      </c>
      <c r="AK1897" s="4">
        <v>2</v>
      </c>
      <c r="AL1897" s="4">
        <v>25</v>
      </c>
      <c r="AM1897" s="4">
        <v>25</v>
      </c>
      <c r="AN1897" s="4">
        <v>0</v>
      </c>
      <c r="AO1897" s="4">
        <v>0</v>
      </c>
      <c r="AP1897" s="4">
        <v>2</v>
      </c>
      <c r="AQ1897" s="4">
        <v>2</v>
      </c>
      <c r="AR1897" s="3" t="s">
        <v>65</v>
      </c>
      <c r="AS1897" s="3" t="s">
        <v>65</v>
      </c>
      <c r="AT1897" s="3" t="s">
        <v>209</v>
      </c>
      <c r="AU1897" s="6" t="str">
        <f>HYPERLINK("http://catalog.hathitrust.org/Record/004731661","HathiTrust Record")</f>
        <v>HathiTrust Record</v>
      </c>
      <c r="AV1897" s="6" t="str">
        <f>HYPERLINK("http://mcgill.on.worldcat.org/oclc/55199324","Catalog Record")</f>
        <v>Catalog Record</v>
      </c>
      <c r="AW1897" s="6" t="str">
        <f>HYPERLINK("http://www.worldcat.org/oclc/55199324","WorldCat Record")</f>
        <v>WorldCat Record</v>
      </c>
      <c r="AX1897" s="3" t="s">
        <v>18590</v>
      </c>
      <c r="AY1897" s="3" t="s">
        <v>18591</v>
      </c>
      <c r="AZ1897" s="3" t="s">
        <v>18592</v>
      </c>
      <c r="BA1897" s="3" t="s">
        <v>18592</v>
      </c>
      <c r="BB1897" s="3" t="s">
        <v>18593</v>
      </c>
      <c r="BC1897" s="3" t="s">
        <v>77</v>
      </c>
      <c r="BD1897" s="3" t="s">
        <v>78</v>
      </c>
      <c r="BE1897" s="3" t="s">
        <v>18594</v>
      </c>
      <c r="BF1897" s="3" t="s">
        <v>18593</v>
      </c>
      <c r="BG1897" s="3" t="s">
        <v>18595</v>
      </c>
    </row>
    <row r="1898" spans="1:59" ht="58" x14ac:dyDescent="0.35">
      <c r="A1898" s="2" t="s">
        <v>59</v>
      </c>
      <c r="B1898" s="2" t="s">
        <v>60</v>
      </c>
      <c r="C1898" s="2" t="s">
        <v>18596</v>
      </c>
      <c r="D1898" s="2" t="s">
        <v>18597</v>
      </c>
      <c r="E1898" s="2" t="s">
        <v>18598</v>
      </c>
      <c r="G1898" s="3" t="s">
        <v>65</v>
      </c>
      <c r="I1898" s="3" t="s">
        <v>65</v>
      </c>
      <c r="J1898" s="3" t="s">
        <v>65</v>
      </c>
      <c r="K1898" s="3" t="s">
        <v>66</v>
      </c>
      <c r="L1898" s="2" t="s">
        <v>18599</v>
      </c>
      <c r="M1898" s="2" t="s">
        <v>18600</v>
      </c>
      <c r="N1898" s="3" t="s">
        <v>2377</v>
      </c>
      <c r="P1898" s="3" t="s">
        <v>140</v>
      </c>
      <c r="R1898" s="3" t="s">
        <v>71</v>
      </c>
      <c r="S1898" s="4">
        <v>5</v>
      </c>
      <c r="T1898" s="4">
        <v>5</v>
      </c>
      <c r="U1898" s="5" t="s">
        <v>3065</v>
      </c>
      <c r="V1898" s="5" t="s">
        <v>3065</v>
      </c>
      <c r="W1898" s="5" t="s">
        <v>72</v>
      </c>
      <c r="X1898" s="5" t="s">
        <v>72</v>
      </c>
      <c r="Y1898" s="4">
        <v>23</v>
      </c>
      <c r="Z1898" s="4">
        <v>3</v>
      </c>
      <c r="AA1898" s="4">
        <v>3</v>
      </c>
      <c r="AB1898" s="4">
        <v>1</v>
      </c>
      <c r="AC1898" s="4">
        <v>1</v>
      </c>
      <c r="AD1898" s="4">
        <v>19</v>
      </c>
      <c r="AE1898" s="4">
        <v>21</v>
      </c>
      <c r="AF1898" s="4">
        <v>0</v>
      </c>
      <c r="AG1898" s="4">
        <v>0</v>
      </c>
      <c r="AH1898" s="4">
        <v>19</v>
      </c>
      <c r="AI1898" s="4">
        <v>21</v>
      </c>
      <c r="AJ1898" s="4">
        <v>1</v>
      </c>
      <c r="AK1898" s="4">
        <v>1</v>
      </c>
      <c r="AL1898" s="4">
        <v>13</v>
      </c>
      <c r="AM1898" s="4">
        <v>14</v>
      </c>
      <c r="AN1898" s="4">
        <v>0</v>
      </c>
      <c r="AO1898" s="4">
        <v>0</v>
      </c>
      <c r="AP1898" s="4">
        <v>1</v>
      </c>
      <c r="AQ1898" s="4">
        <v>1</v>
      </c>
      <c r="AR1898" s="3" t="s">
        <v>65</v>
      </c>
      <c r="AS1898" s="3" t="s">
        <v>65</v>
      </c>
      <c r="AT1898" s="3" t="s">
        <v>209</v>
      </c>
      <c r="AU1898" s="6" t="str">
        <f>HYPERLINK("http://catalog.hathitrust.org/Record/002465207","HathiTrust Record")</f>
        <v>HathiTrust Record</v>
      </c>
      <c r="AV1898" s="6" t="str">
        <f>HYPERLINK("http://mcgill.on.worldcat.org/oclc/23049218","Catalog Record")</f>
        <v>Catalog Record</v>
      </c>
      <c r="AW1898" s="6" t="str">
        <f>HYPERLINK("http://www.worldcat.org/oclc/23049218","WorldCat Record")</f>
        <v>WorldCat Record</v>
      </c>
      <c r="AX1898" s="3" t="s">
        <v>18601</v>
      </c>
      <c r="AY1898" s="3" t="s">
        <v>18602</v>
      </c>
      <c r="AZ1898" s="3" t="s">
        <v>18603</v>
      </c>
      <c r="BA1898" s="3" t="s">
        <v>18603</v>
      </c>
      <c r="BB1898" s="3" t="s">
        <v>18604</v>
      </c>
      <c r="BC1898" s="3" t="s">
        <v>77</v>
      </c>
      <c r="BD1898" s="3" t="s">
        <v>78</v>
      </c>
      <c r="BF1898" s="3" t="s">
        <v>18604</v>
      </c>
      <c r="BG1898" s="3" t="s">
        <v>18605</v>
      </c>
    </row>
    <row r="1899" spans="1:59" ht="58" x14ac:dyDescent="0.35">
      <c r="A1899" s="2" t="s">
        <v>59</v>
      </c>
      <c r="B1899" s="2" t="s">
        <v>60</v>
      </c>
      <c r="C1899" s="2" t="s">
        <v>18606</v>
      </c>
      <c r="D1899" s="2" t="s">
        <v>18607</v>
      </c>
      <c r="E1899" s="2" t="s">
        <v>18608</v>
      </c>
      <c r="G1899" s="3" t="s">
        <v>65</v>
      </c>
      <c r="I1899" s="3" t="s">
        <v>65</v>
      </c>
      <c r="J1899" s="3" t="s">
        <v>65</v>
      </c>
      <c r="K1899" s="3" t="s">
        <v>66</v>
      </c>
      <c r="L1899" s="2" t="s">
        <v>18609</v>
      </c>
      <c r="M1899" s="2" t="s">
        <v>18610</v>
      </c>
      <c r="N1899" s="3" t="s">
        <v>1835</v>
      </c>
      <c r="P1899" s="3" t="s">
        <v>69</v>
      </c>
      <c r="Q1899" s="2" t="s">
        <v>18611</v>
      </c>
      <c r="R1899" s="3" t="s">
        <v>71</v>
      </c>
      <c r="S1899" s="4">
        <v>4</v>
      </c>
      <c r="T1899" s="4">
        <v>4</v>
      </c>
      <c r="U1899" s="5" t="s">
        <v>3065</v>
      </c>
      <c r="V1899" s="5" t="s">
        <v>3065</v>
      </c>
      <c r="W1899" s="5" t="s">
        <v>72</v>
      </c>
      <c r="X1899" s="5" t="s">
        <v>72</v>
      </c>
      <c r="Y1899" s="4">
        <v>151</v>
      </c>
      <c r="Z1899" s="4">
        <v>14</v>
      </c>
      <c r="AA1899" s="4">
        <v>14</v>
      </c>
      <c r="AB1899" s="4">
        <v>1</v>
      </c>
      <c r="AC1899" s="4">
        <v>1</v>
      </c>
      <c r="AD1899" s="4">
        <v>79</v>
      </c>
      <c r="AE1899" s="4">
        <v>79</v>
      </c>
      <c r="AF1899" s="4">
        <v>0</v>
      </c>
      <c r="AG1899" s="4">
        <v>0</v>
      </c>
      <c r="AH1899" s="4">
        <v>73</v>
      </c>
      <c r="AI1899" s="4">
        <v>73</v>
      </c>
      <c r="AJ1899" s="4">
        <v>11</v>
      </c>
      <c r="AK1899" s="4">
        <v>11</v>
      </c>
      <c r="AL1899" s="4">
        <v>46</v>
      </c>
      <c r="AM1899" s="4">
        <v>46</v>
      </c>
      <c r="AN1899" s="4">
        <v>0</v>
      </c>
      <c r="AO1899" s="4">
        <v>0</v>
      </c>
      <c r="AP1899" s="4">
        <v>11</v>
      </c>
      <c r="AQ1899" s="4">
        <v>11</v>
      </c>
      <c r="AR1899" s="3" t="s">
        <v>65</v>
      </c>
      <c r="AS1899" s="3" t="s">
        <v>65</v>
      </c>
      <c r="AT1899" s="3" t="s">
        <v>209</v>
      </c>
      <c r="AU1899" s="6" t="str">
        <f>HYPERLINK("http://catalog.hathitrust.org/Record/000450542","HathiTrust Record")</f>
        <v>HathiTrust Record</v>
      </c>
      <c r="AV1899" s="6" t="str">
        <f>HYPERLINK("http://mcgill.on.worldcat.org/oclc/9761416","Catalog Record")</f>
        <v>Catalog Record</v>
      </c>
      <c r="AW1899" s="6" t="str">
        <f>HYPERLINK("http://www.worldcat.org/oclc/9761416","WorldCat Record")</f>
        <v>WorldCat Record</v>
      </c>
      <c r="AX1899" s="3" t="s">
        <v>18612</v>
      </c>
      <c r="AY1899" s="3" t="s">
        <v>18613</v>
      </c>
      <c r="AZ1899" s="3" t="s">
        <v>18614</v>
      </c>
      <c r="BA1899" s="3" t="s">
        <v>18614</v>
      </c>
      <c r="BB1899" s="3" t="s">
        <v>18615</v>
      </c>
      <c r="BC1899" s="3" t="s">
        <v>77</v>
      </c>
      <c r="BD1899" s="3" t="s">
        <v>78</v>
      </c>
      <c r="BE1899" s="3" t="s">
        <v>18616</v>
      </c>
      <c r="BF1899" s="3" t="s">
        <v>18615</v>
      </c>
      <c r="BG1899" s="3" t="s">
        <v>18617</v>
      </c>
    </row>
    <row r="1900" spans="1:59" ht="58" x14ac:dyDescent="0.35">
      <c r="A1900" s="2" t="s">
        <v>59</v>
      </c>
      <c r="B1900" s="2" t="s">
        <v>60</v>
      </c>
      <c r="C1900" s="2" t="s">
        <v>18618</v>
      </c>
      <c r="D1900" s="2" t="s">
        <v>18619</v>
      </c>
      <c r="E1900" s="2" t="s">
        <v>18620</v>
      </c>
      <c r="G1900" s="3" t="s">
        <v>65</v>
      </c>
      <c r="I1900" s="3" t="s">
        <v>65</v>
      </c>
      <c r="J1900" s="3" t="s">
        <v>65</v>
      </c>
      <c r="K1900" s="3" t="s">
        <v>66</v>
      </c>
      <c r="L1900" s="2" t="s">
        <v>18621</v>
      </c>
      <c r="M1900" s="2" t="s">
        <v>10034</v>
      </c>
      <c r="N1900" s="3" t="s">
        <v>126</v>
      </c>
      <c r="P1900" s="3" t="s">
        <v>69</v>
      </c>
      <c r="Q1900" s="2" t="s">
        <v>18622</v>
      </c>
      <c r="R1900" s="3" t="s">
        <v>71</v>
      </c>
      <c r="S1900" s="4">
        <v>0</v>
      </c>
      <c r="T1900" s="4">
        <v>0</v>
      </c>
      <c r="W1900" s="5" t="s">
        <v>72</v>
      </c>
      <c r="X1900" s="5" t="s">
        <v>72</v>
      </c>
      <c r="Y1900" s="4">
        <v>78</v>
      </c>
      <c r="Z1900" s="4">
        <v>13</v>
      </c>
      <c r="AA1900" s="4">
        <v>15</v>
      </c>
      <c r="AB1900" s="4">
        <v>1</v>
      </c>
      <c r="AC1900" s="4">
        <v>3</v>
      </c>
      <c r="AD1900" s="4">
        <v>51</v>
      </c>
      <c r="AE1900" s="4">
        <v>53</v>
      </c>
      <c r="AF1900" s="4">
        <v>0</v>
      </c>
      <c r="AG1900" s="4">
        <v>0</v>
      </c>
      <c r="AH1900" s="4">
        <v>47</v>
      </c>
      <c r="AI1900" s="4">
        <v>49</v>
      </c>
      <c r="AJ1900" s="4">
        <v>9</v>
      </c>
      <c r="AK1900" s="4">
        <v>9</v>
      </c>
      <c r="AL1900" s="4">
        <v>31</v>
      </c>
      <c r="AM1900" s="4">
        <v>32</v>
      </c>
      <c r="AN1900" s="4">
        <v>0</v>
      </c>
      <c r="AO1900" s="4">
        <v>0</v>
      </c>
      <c r="AP1900" s="4">
        <v>9</v>
      </c>
      <c r="AQ1900" s="4">
        <v>9</v>
      </c>
      <c r="AR1900" s="3" t="s">
        <v>65</v>
      </c>
      <c r="AS1900" s="3" t="s">
        <v>65</v>
      </c>
      <c r="AT1900" s="3" t="s">
        <v>65</v>
      </c>
      <c r="AV1900" s="6" t="str">
        <f>HYPERLINK("http://mcgill.on.worldcat.org/oclc/755067951","Catalog Record")</f>
        <v>Catalog Record</v>
      </c>
      <c r="AW1900" s="6" t="str">
        <f>HYPERLINK("http://www.worldcat.org/oclc/755067951","WorldCat Record")</f>
        <v>WorldCat Record</v>
      </c>
      <c r="AX1900" s="3" t="s">
        <v>18623</v>
      </c>
      <c r="AY1900" s="3" t="s">
        <v>18624</v>
      </c>
      <c r="AZ1900" s="3" t="s">
        <v>18625</v>
      </c>
      <c r="BA1900" s="3" t="s">
        <v>18625</v>
      </c>
      <c r="BB1900" s="3" t="s">
        <v>18626</v>
      </c>
      <c r="BC1900" s="3" t="s">
        <v>77</v>
      </c>
      <c r="BD1900" s="3" t="s">
        <v>78</v>
      </c>
      <c r="BE1900" s="3" t="s">
        <v>18627</v>
      </c>
      <c r="BF1900" s="3" t="s">
        <v>18626</v>
      </c>
      <c r="BG1900" s="3" t="s">
        <v>18628</v>
      </c>
    </row>
    <row r="1901" spans="1:59" ht="58" x14ac:dyDescent="0.35">
      <c r="A1901" s="2" t="s">
        <v>59</v>
      </c>
      <c r="B1901" s="2" t="s">
        <v>60</v>
      </c>
      <c r="C1901" s="2" t="s">
        <v>18629</v>
      </c>
      <c r="D1901" s="2" t="s">
        <v>18630</v>
      </c>
      <c r="E1901" s="2" t="s">
        <v>18631</v>
      </c>
      <c r="G1901" s="3" t="s">
        <v>65</v>
      </c>
      <c r="I1901" s="3" t="s">
        <v>65</v>
      </c>
      <c r="J1901" s="3" t="s">
        <v>65</v>
      </c>
      <c r="K1901" s="3" t="s">
        <v>66</v>
      </c>
      <c r="L1901" s="2" t="s">
        <v>18632</v>
      </c>
      <c r="M1901" s="2" t="s">
        <v>18633</v>
      </c>
      <c r="N1901" s="3" t="s">
        <v>221</v>
      </c>
      <c r="O1901" s="2" t="s">
        <v>365</v>
      </c>
      <c r="P1901" s="3" t="s">
        <v>140</v>
      </c>
      <c r="Q1901" s="2" t="s">
        <v>18634</v>
      </c>
      <c r="R1901" s="3" t="s">
        <v>71</v>
      </c>
      <c r="S1901" s="4">
        <v>1</v>
      </c>
      <c r="T1901" s="4">
        <v>1</v>
      </c>
      <c r="U1901" s="5" t="s">
        <v>8801</v>
      </c>
      <c r="V1901" s="5" t="s">
        <v>8801</v>
      </c>
      <c r="W1901" s="5" t="s">
        <v>72</v>
      </c>
      <c r="X1901" s="5" t="s">
        <v>72</v>
      </c>
      <c r="Y1901" s="4">
        <v>41</v>
      </c>
      <c r="Z1901" s="4">
        <v>3</v>
      </c>
      <c r="AA1901" s="4">
        <v>3</v>
      </c>
      <c r="AB1901" s="4">
        <v>1</v>
      </c>
      <c r="AC1901" s="4">
        <v>1</v>
      </c>
      <c r="AD1901" s="4">
        <v>29</v>
      </c>
      <c r="AE1901" s="4">
        <v>29</v>
      </c>
      <c r="AF1901" s="4">
        <v>0</v>
      </c>
      <c r="AG1901" s="4">
        <v>0</v>
      </c>
      <c r="AH1901" s="4">
        <v>28</v>
      </c>
      <c r="AI1901" s="4">
        <v>28</v>
      </c>
      <c r="AJ1901" s="4">
        <v>1</v>
      </c>
      <c r="AK1901" s="4">
        <v>1</v>
      </c>
      <c r="AL1901" s="4">
        <v>22</v>
      </c>
      <c r="AM1901" s="4">
        <v>22</v>
      </c>
      <c r="AN1901" s="4">
        <v>0</v>
      </c>
      <c r="AO1901" s="4">
        <v>0</v>
      </c>
      <c r="AP1901" s="4">
        <v>1</v>
      </c>
      <c r="AQ1901" s="4">
        <v>1</v>
      </c>
      <c r="AR1901" s="3" t="s">
        <v>65</v>
      </c>
      <c r="AS1901" s="3" t="s">
        <v>65</v>
      </c>
      <c r="AT1901" s="3" t="s">
        <v>209</v>
      </c>
      <c r="AU1901" s="6" t="str">
        <f>HYPERLINK("http://catalog.hathitrust.org/Record/005596328","HathiTrust Record")</f>
        <v>HathiTrust Record</v>
      </c>
      <c r="AV1901" s="6" t="str">
        <f>HYPERLINK("http://mcgill.on.worldcat.org/oclc/156956645","Catalog Record")</f>
        <v>Catalog Record</v>
      </c>
      <c r="AW1901" s="6" t="str">
        <f>HYPERLINK("http://www.worldcat.org/oclc/156956645","WorldCat Record")</f>
        <v>WorldCat Record</v>
      </c>
      <c r="AX1901" s="3" t="s">
        <v>18635</v>
      </c>
      <c r="AY1901" s="3" t="s">
        <v>18636</v>
      </c>
      <c r="AZ1901" s="3" t="s">
        <v>18637</v>
      </c>
      <c r="BA1901" s="3" t="s">
        <v>18637</v>
      </c>
      <c r="BB1901" s="3" t="s">
        <v>18638</v>
      </c>
      <c r="BC1901" s="3" t="s">
        <v>77</v>
      </c>
      <c r="BD1901" s="3" t="s">
        <v>78</v>
      </c>
      <c r="BE1901" s="3" t="s">
        <v>18639</v>
      </c>
      <c r="BF1901" s="3" t="s">
        <v>18638</v>
      </c>
      <c r="BG1901" s="3" t="s">
        <v>18640</v>
      </c>
    </row>
    <row r="1902" spans="1:59" ht="58" x14ac:dyDescent="0.35">
      <c r="A1902" s="2" t="s">
        <v>59</v>
      </c>
      <c r="B1902" s="2" t="s">
        <v>60</v>
      </c>
      <c r="C1902" s="2" t="s">
        <v>18641</v>
      </c>
      <c r="D1902" s="2" t="s">
        <v>18642</v>
      </c>
      <c r="E1902" s="2" t="s">
        <v>18643</v>
      </c>
      <c r="G1902" s="3" t="s">
        <v>65</v>
      </c>
      <c r="I1902" s="3" t="s">
        <v>65</v>
      </c>
      <c r="J1902" s="3" t="s">
        <v>65</v>
      </c>
      <c r="K1902" s="3" t="s">
        <v>66</v>
      </c>
      <c r="L1902" s="2" t="s">
        <v>18644</v>
      </c>
      <c r="M1902" s="2" t="s">
        <v>18645</v>
      </c>
      <c r="N1902" s="3" t="s">
        <v>221</v>
      </c>
      <c r="P1902" s="3" t="s">
        <v>140</v>
      </c>
      <c r="Q1902" s="2" t="s">
        <v>18646</v>
      </c>
      <c r="R1902" s="3" t="s">
        <v>71</v>
      </c>
      <c r="S1902" s="4">
        <v>1</v>
      </c>
      <c r="T1902" s="4">
        <v>1</v>
      </c>
      <c r="U1902" s="5" t="s">
        <v>8801</v>
      </c>
      <c r="V1902" s="5" t="s">
        <v>8801</v>
      </c>
      <c r="W1902" s="5" t="s">
        <v>72</v>
      </c>
      <c r="X1902" s="5" t="s">
        <v>72</v>
      </c>
      <c r="Y1902" s="4">
        <v>45</v>
      </c>
      <c r="Z1902" s="4">
        <v>6</v>
      </c>
      <c r="AA1902" s="4">
        <v>6</v>
      </c>
      <c r="AB1902" s="4">
        <v>1</v>
      </c>
      <c r="AC1902" s="4">
        <v>1</v>
      </c>
      <c r="AD1902" s="4">
        <v>35</v>
      </c>
      <c r="AE1902" s="4">
        <v>35</v>
      </c>
      <c r="AF1902" s="4">
        <v>0</v>
      </c>
      <c r="AG1902" s="4">
        <v>0</v>
      </c>
      <c r="AH1902" s="4">
        <v>34</v>
      </c>
      <c r="AI1902" s="4">
        <v>34</v>
      </c>
      <c r="AJ1902" s="4">
        <v>4</v>
      </c>
      <c r="AK1902" s="4">
        <v>4</v>
      </c>
      <c r="AL1902" s="4">
        <v>25</v>
      </c>
      <c r="AM1902" s="4">
        <v>25</v>
      </c>
      <c r="AN1902" s="4">
        <v>0</v>
      </c>
      <c r="AO1902" s="4">
        <v>0</v>
      </c>
      <c r="AP1902" s="4">
        <v>4</v>
      </c>
      <c r="AQ1902" s="4">
        <v>4</v>
      </c>
      <c r="AR1902" s="3" t="s">
        <v>65</v>
      </c>
      <c r="AS1902" s="3" t="s">
        <v>65</v>
      </c>
      <c r="AT1902" s="3" t="s">
        <v>209</v>
      </c>
      <c r="AU1902" s="6" t="str">
        <f>HYPERLINK("http://catalog.hathitrust.org/Record/005583808","HathiTrust Record")</f>
        <v>HathiTrust Record</v>
      </c>
      <c r="AV1902" s="6" t="str">
        <f>HYPERLINK("http://mcgill.on.worldcat.org/oclc/144614677","Catalog Record")</f>
        <v>Catalog Record</v>
      </c>
      <c r="AW1902" s="6" t="str">
        <f>HYPERLINK("http://www.worldcat.org/oclc/144614677","WorldCat Record")</f>
        <v>WorldCat Record</v>
      </c>
      <c r="AX1902" s="3" t="s">
        <v>18647</v>
      </c>
      <c r="AY1902" s="3" t="s">
        <v>18648</v>
      </c>
      <c r="AZ1902" s="3" t="s">
        <v>18649</v>
      </c>
      <c r="BA1902" s="3" t="s">
        <v>18649</v>
      </c>
      <c r="BB1902" s="3" t="s">
        <v>18650</v>
      </c>
      <c r="BC1902" s="3" t="s">
        <v>77</v>
      </c>
      <c r="BD1902" s="3" t="s">
        <v>78</v>
      </c>
      <c r="BE1902" s="3" t="s">
        <v>18651</v>
      </c>
      <c r="BF1902" s="3" t="s">
        <v>18650</v>
      </c>
      <c r="BG1902" s="3" t="s">
        <v>18652</v>
      </c>
    </row>
    <row r="1903" spans="1:59" ht="58" x14ac:dyDescent="0.35">
      <c r="A1903" s="2" t="s">
        <v>59</v>
      </c>
      <c r="B1903" s="2" t="s">
        <v>60</v>
      </c>
      <c r="C1903" s="2" t="s">
        <v>18653</v>
      </c>
      <c r="D1903" s="2" t="s">
        <v>18654</v>
      </c>
      <c r="E1903" s="2" t="s">
        <v>18655</v>
      </c>
      <c r="F1903" s="3" t="s">
        <v>503</v>
      </c>
      <c r="G1903" s="3" t="s">
        <v>209</v>
      </c>
      <c r="I1903" s="3" t="s">
        <v>65</v>
      </c>
      <c r="J1903" s="3" t="s">
        <v>65</v>
      </c>
      <c r="K1903" s="3" t="s">
        <v>66</v>
      </c>
      <c r="L1903" s="2" t="s">
        <v>18656</v>
      </c>
      <c r="N1903" s="3" t="s">
        <v>14627</v>
      </c>
      <c r="P1903" s="3" t="s">
        <v>140</v>
      </c>
      <c r="Q1903" s="2" t="s">
        <v>18657</v>
      </c>
      <c r="R1903" s="3" t="s">
        <v>71</v>
      </c>
      <c r="S1903" s="4">
        <v>9</v>
      </c>
      <c r="T1903" s="4">
        <v>57</v>
      </c>
      <c r="U1903" s="5" t="s">
        <v>5441</v>
      </c>
      <c r="V1903" s="5" t="s">
        <v>18658</v>
      </c>
      <c r="W1903" s="5" t="s">
        <v>72</v>
      </c>
      <c r="X1903" s="5" t="s">
        <v>72</v>
      </c>
      <c r="Y1903" s="4">
        <v>3</v>
      </c>
      <c r="Z1903" s="4">
        <v>1</v>
      </c>
      <c r="AA1903" s="4">
        <v>1</v>
      </c>
      <c r="AB1903" s="4">
        <v>1</v>
      </c>
      <c r="AC1903" s="4">
        <v>1</v>
      </c>
      <c r="AD1903" s="4">
        <v>0</v>
      </c>
      <c r="AE1903" s="4">
        <v>0</v>
      </c>
      <c r="AF1903" s="4">
        <v>0</v>
      </c>
      <c r="AG1903" s="4">
        <v>0</v>
      </c>
      <c r="AH1903" s="4">
        <v>0</v>
      </c>
      <c r="AI1903" s="4">
        <v>0</v>
      </c>
      <c r="AJ1903" s="4">
        <v>0</v>
      </c>
      <c r="AK1903" s="4">
        <v>0</v>
      </c>
      <c r="AL1903" s="4">
        <v>0</v>
      </c>
      <c r="AM1903" s="4">
        <v>0</v>
      </c>
      <c r="AN1903" s="4">
        <v>0</v>
      </c>
      <c r="AO1903" s="4">
        <v>0</v>
      </c>
      <c r="AP1903" s="4">
        <v>0</v>
      </c>
      <c r="AQ1903" s="4">
        <v>0</v>
      </c>
      <c r="AR1903" s="3" t="s">
        <v>65</v>
      </c>
      <c r="AS1903" s="3" t="s">
        <v>65</v>
      </c>
      <c r="AT1903" s="3" t="s">
        <v>65</v>
      </c>
      <c r="AV1903" s="6" t="str">
        <f t="shared" ref="AV1903:AV1916" si="29">HYPERLINK("http://mcgill.on.worldcat.org/oclc/316398937","Catalog Record")</f>
        <v>Catalog Record</v>
      </c>
      <c r="AW1903" s="6" t="str">
        <f t="shared" ref="AW1903:AW1916" si="30">HYPERLINK("http://www.worldcat.org/oclc/316398937","WorldCat Record")</f>
        <v>WorldCat Record</v>
      </c>
      <c r="AX1903" s="3" t="s">
        <v>18659</v>
      </c>
      <c r="AY1903" s="3" t="s">
        <v>18660</v>
      </c>
      <c r="AZ1903" s="3" t="s">
        <v>18661</v>
      </c>
      <c r="BA1903" s="3" t="s">
        <v>18661</v>
      </c>
      <c r="BB1903" s="3" t="s">
        <v>18662</v>
      </c>
      <c r="BC1903" s="3" t="s">
        <v>77</v>
      </c>
      <c r="BD1903" s="3" t="s">
        <v>106</v>
      </c>
      <c r="BF1903" s="3" t="s">
        <v>18662</v>
      </c>
      <c r="BG1903" s="3" t="s">
        <v>18663</v>
      </c>
    </row>
    <row r="1904" spans="1:59" ht="58" x14ac:dyDescent="0.35">
      <c r="A1904" s="2" t="s">
        <v>59</v>
      </c>
      <c r="B1904" s="2" t="s">
        <v>60</v>
      </c>
      <c r="C1904" s="2" t="s">
        <v>18653</v>
      </c>
      <c r="D1904" s="2" t="s">
        <v>18654</v>
      </c>
      <c r="E1904" s="2" t="s">
        <v>18655</v>
      </c>
      <c r="F1904" s="3" t="s">
        <v>9888</v>
      </c>
      <c r="G1904" s="3" t="s">
        <v>209</v>
      </c>
      <c r="I1904" s="3" t="s">
        <v>65</v>
      </c>
      <c r="J1904" s="3" t="s">
        <v>65</v>
      </c>
      <c r="K1904" s="3" t="s">
        <v>66</v>
      </c>
      <c r="L1904" s="2" t="s">
        <v>18656</v>
      </c>
      <c r="N1904" s="3" t="s">
        <v>14627</v>
      </c>
      <c r="P1904" s="3" t="s">
        <v>140</v>
      </c>
      <c r="Q1904" s="2" t="s">
        <v>18657</v>
      </c>
      <c r="R1904" s="3" t="s">
        <v>71</v>
      </c>
      <c r="S1904" s="4">
        <v>3</v>
      </c>
      <c r="T1904" s="4">
        <v>57</v>
      </c>
      <c r="U1904" s="5" t="s">
        <v>18664</v>
      </c>
      <c r="V1904" s="5" t="s">
        <v>18658</v>
      </c>
      <c r="W1904" s="5" t="s">
        <v>72</v>
      </c>
      <c r="X1904" s="5" t="s">
        <v>72</v>
      </c>
      <c r="Y1904" s="4">
        <v>3</v>
      </c>
      <c r="Z1904" s="4">
        <v>1</v>
      </c>
      <c r="AA1904" s="4">
        <v>1</v>
      </c>
      <c r="AB1904" s="4">
        <v>1</v>
      </c>
      <c r="AC1904" s="4">
        <v>1</v>
      </c>
      <c r="AD1904" s="4">
        <v>0</v>
      </c>
      <c r="AE1904" s="4">
        <v>0</v>
      </c>
      <c r="AF1904" s="4">
        <v>0</v>
      </c>
      <c r="AG1904" s="4">
        <v>0</v>
      </c>
      <c r="AH1904" s="4">
        <v>0</v>
      </c>
      <c r="AI1904" s="4">
        <v>0</v>
      </c>
      <c r="AJ1904" s="4">
        <v>0</v>
      </c>
      <c r="AK1904" s="4">
        <v>0</v>
      </c>
      <c r="AL1904" s="4">
        <v>0</v>
      </c>
      <c r="AM1904" s="4">
        <v>0</v>
      </c>
      <c r="AN1904" s="4">
        <v>0</v>
      </c>
      <c r="AO1904" s="4">
        <v>0</v>
      </c>
      <c r="AP1904" s="4">
        <v>0</v>
      </c>
      <c r="AQ1904" s="4">
        <v>0</v>
      </c>
      <c r="AR1904" s="3" t="s">
        <v>65</v>
      </c>
      <c r="AS1904" s="3" t="s">
        <v>65</v>
      </c>
      <c r="AT1904" s="3" t="s">
        <v>65</v>
      </c>
      <c r="AV1904" s="6" t="str">
        <f t="shared" si="29"/>
        <v>Catalog Record</v>
      </c>
      <c r="AW1904" s="6" t="str">
        <f t="shared" si="30"/>
        <v>WorldCat Record</v>
      </c>
      <c r="AX1904" s="3" t="s">
        <v>18659</v>
      </c>
      <c r="AY1904" s="3" t="s">
        <v>18660</v>
      </c>
      <c r="AZ1904" s="3" t="s">
        <v>18661</v>
      </c>
      <c r="BA1904" s="3" t="s">
        <v>18661</v>
      </c>
      <c r="BB1904" s="3" t="s">
        <v>18665</v>
      </c>
      <c r="BC1904" s="3" t="s">
        <v>77</v>
      </c>
      <c r="BD1904" s="3" t="s">
        <v>78</v>
      </c>
      <c r="BF1904" s="3" t="s">
        <v>18665</v>
      </c>
      <c r="BG1904" s="3" t="s">
        <v>18666</v>
      </c>
    </row>
    <row r="1905" spans="1:59" ht="58" x14ac:dyDescent="0.35">
      <c r="A1905" s="2" t="s">
        <v>59</v>
      </c>
      <c r="B1905" s="2" t="s">
        <v>60</v>
      </c>
      <c r="C1905" s="2" t="s">
        <v>18653</v>
      </c>
      <c r="D1905" s="2" t="s">
        <v>18654</v>
      </c>
      <c r="E1905" s="2" t="s">
        <v>18655</v>
      </c>
      <c r="F1905" s="3" t="s">
        <v>9886</v>
      </c>
      <c r="G1905" s="3" t="s">
        <v>209</v>
      </c>
      <c r="I1905" s="3" t="s">
        <v>65</v>
      </c>
      <c r="J1905" s="3" t="s">
        <v>65</v>
      </c>
      <c r="K1905" s="3" t="s">
        <v>66</v>
      </c>
      <c r="L1905" s="2" t="s">
        <v>18656</v>
      </c>
      <c r="N1905" s="3" t="s">
        <v>14627</v>
      </c>
      <c r="P1905" s="3" t="s">
        <v>140</v>
      </c>
      <c r="Q1905" s="2" t="s">
        <v>18657</v>
      </c>
      <c r="R1905" s="3" t="s">
        <v>71</v>
      </c>
      <c r="S1905" s="4">
        <v>1</v>
      </c>
      <c r="T1905" s="4">
        <v>57</v>
      </c>
      <c r="U1905" s="5" t="s">
        <v>18667</v>
      </c>
      <c r="V1905" s="5" t="s">
        <v>18658</v>
      </c>
      <c r="W1905" s="5" t="s">
        <v>72</v>
      </c>
      <c r="X1905" s="5" t="s">
        <v>72</v>
      </c>
      <c r="Y1905" s="4">
        <v>3</v>
      </c>
      <c r="Z1905" s="4">
        <v>1</v>
      </c>
      <c r="AA1905" s="4">
        <v>1</v>
      </c>
      <c r="AB1905" s="4">
        <v>1</v>
      </c>
      <c r="AC1905" s="4">
        <v>1</v>
      </c>
      <c r="AD1905" s="4">
        <v>0</v>
      </c>
      <c r="AE1905" s="4">
        <v>0</v>
      </c>
      <c r="AF1905" s="4">
        <v>0</v>
      </c>
      <c r="AG1905" s="4">
        <v>0</v>
      </c>
      <c r="AH1905" s="4">
        <v>0</v>
      </c>
      <c r="AI1905" s="4">
        <v>0</v>
      </c>
      <c r="AJ1905" s="4">
        <v>0</v>
      </c>
      <c r="AK1905" s="4">
        <v>0</v>
      </c>
      <c r="AL1905" s="4">
        <v>0</v>
      </c>
      <c r="AM1905" s="4">
        <v>0</v>
      </c>
      <c r="AN1905" s="4">
        <v>0</v>
      </c>
      <c r="AO1905" s="4">
        <v>0</v>
      </c>
      <c r="AP1905" s="4">
        <v>0</v>
      </c>
      <c r="AQ1905" s="4">
        <v>0</v>
      </c>
      <c r="AR1905" s="3" t="s">
        <v>65</v>
      </c>
      <c r="AS1905" s="3" t="s">
        <v>65</v>
      </c>
      <c r="AT1905" s="3" t="s">
        <v>65</v>
      </c>
      <c r="AV1905" s="6" t="str">
        <f t="shared" si="29"/>
        <v>Catalog Record</v>
      </c>
      <c r="AW1905" s="6" t="str">
        <f t="shared" si="30"/>
        <v>WorldCat Record</v>
      </c>
      <c r="AX1905" s="3" t="s">
        <v>18659</v>
      </c>
      <c r="AY1905" s="3" t="s">
        <v>18660</v>
      </c>
      <c r="AZ1905" s="3" t="s">
        <v>18661</v>
      </c>
      <c r="BA1905" s="3" t="s">
        <v>18661</v>
      </c>
      <c r="BB1905" s="3" t="s">
        <v>18668</v>
      </c>
      <c r="BC1905" s="3" t="s">
        <v>77</v>
      </c>
      <c r="BD1905" s="3" t="s">
        <v>78</v>
      </c>
      <c r="BF1905" s="3" t="s">
        <v>18668</v>
      </c>
      <c r="BG1905" s="3" t="s">
        <v>18669</v>
      </c>
    </row>
    <row r="1906" spans="1:59" ht="58" x14ac:dyDescent="0.35">
      <c r="A1906" s="2" t="s">
        <v>59</v>
      </c>
      <c r="B1906" s="2" t="s">
        <v>60</v>
      </c>
      <c r="C1906" s="2" t="s">
        <v>18653</v>
      </c>
      <c r="D1906" s="2" t="s">
        <v>18654</v>
      </c>
      <c r="E1906" s="2" t="s">
        <v>18655</v>
      </c>
      <c r="F1906" s="3" t="s">
        <v>9891</v>
      </c>
      <c r="G1906" s="3" t="s">
        <v>209</v>
      </c>
      <c r="I1906" s="3" t="s">
        <v>65</v>
      </c>
      <c r="J1906" s="3" t="s">
        <v>65</v>
      </c>
      <c r="K1906" s="3" t="s">
        <v>66</v>
      </c>
      <c r="L1906" s="2" t="s">
        <v>18656</v>
      </c>
      <c r="N1906" s="3" t="s">
        <v>14627</v>
      </c>
      <c r="P1906" s="3" t="s">
        <v>140</v>
      </c>
      <c r="Q1906" s="2" t="s">
        <v>18657</v>
      </c>
      <c r="R1906" s="3" t="s">
        <v>71</v>
      </c>
      <c r="S1906" s="4">
        <v>0</v>
      </c>
      <c r="T1906" s="4">
        <v>57</v>
      </c>
      <c r="V1906" s="5" t="s">
        <v>18658</v>
      </c>
      <c r="W1906" s="5" t="s">
        <v>72</v>
      </c>
      <c r="X1906" s="5" t="s">
        <v>72</v>
      </c>
      <c r="Y1906" s="4">
        <v>3</v>
      </c>
      <c r="Z1906" s="4">
        <v>1</v>
      </c>
      <c r="AA1906" s="4">
        <v>1</v>
      </c>
      <c r="AB1906" s="4">
        <v>1</v>
      </c>
      <c r="AC1906" s="4">
        <v>1</v>
      </c>
      <c r="AD1906" s="4">
        <v>0</v>
      </c>
      <c r="AE1906" s="4">
        <v>0</v>
      </c>
      <c r="AF1906" s="4">
        <v>0</v>
      </c>
      <c r="AG1906" s="4">
        <v>0</v>
      </c>
      <c r="AH1906" s="4">
        <v>0</v>
      </c>
      <c r="AI1906" s="4">
        <v>0</v>
      </c>
      <c r="AJ1906" s="4">
        <v>0</v>
      </c>
      <c r="AK1906" s="4">
        <v>0</v>
      </c>
      <c r="AL1906" s="4">
        <v>0</v>
      </c>
      <c r="AM1906" s="4">
        <v>0</v>
      </c>
      <c r="AN1906" s="4">
        <v>0</v>
      </c>
      <c r="AO1906" s="4">
        <v>0</v>
      </c>
      <c r="AP1906" s="4">
        <v>0</v>
      </c>
      <c r="AQ1906" s="4">
        <v>0</v>
      </c>
      <c r="AR1906" s="3" t="s">
        <v>65</v>
      </c>
      <c r="AS1906" s="3" t="s">
        <v>65</v>
      </c>
      <c r="AT1906" s="3" t="s">
        <v>65</v>
      </c>
      <c r="AV1906" s="6" t="str">
        <f t="shared" si="29"/>
        <v>Catalog Record</v>
      </c>
      <c r="AW1906" s="6" t="str">
        <f t="shared" si="30"/>
        <v>WorldCat Record</v>
      </c>
      <c r="AX1906" s="3" t="s">
        <v>18659</v>
      </c>
      <c r="AY1906" s="3" t="s">
        <v>18660</v>
      </c>
      <c r="AZ1906" s="3" t="s">
        <v>18661</v>
      </c>
      <c r="BA1906" s="3" t="s">
        <v>18661</v>
      </c>
      <c r="BB1906" s="3" t="s">
        <v>18670</v>
      </c>
      <c r="BC1906" s="3" t="s">
        <v>77</v>
      </c>
      <c r="BD1906" s="3" t="s">
        <v>78</v>
      </c>
      <c r="BF1906" s="3" t="s">
        <v>18670</v>
      </c>
      <c r="BG1906" s="3" t="s">
        <v>18671</v>
      </c>
    </row>
    <row r="1907" spans="1:59" ht="58" x14ac:dyDescent="0.35">
      <c r="A1907" s="2" t="s">
        <v>59</v>
      </c>
      <c r="B1907" s="2" t="s">
        <v>60</v>
      </c>
      <c r="C1907" s="2" t="s">
        <v>18653</v>
      </c>
      <c r="D1907" s="2" t="s">
        <v>18654</v>
      </c>
      <c r="E1907" s="2" t="s">
        <v>18655</v>
      </c>
      <c r="F1907" s="3" t="s">
        <v>843</v>
      </c>
      <c r="G1907" s="3" t="s">
        <v>209</v>
      </c>
      <c r="I1907" s="3" t="s">
        <v>65</v>
      </c>
      <c r="J1907" s="3" t="s">
        <v>65</v>
      </c>
      <c r="K1907" s="3" t="s">
        <v>66</v>
      </c>
      <c r="L1907" s="2" t="s">
        <v>18656</v>
      </c>
      <c r="N1907" s="3" t="s">
        <v>14627</v>
      </c>
      <c r="P1907" s="3" t="s">
        <v>140</v>
      </c>
      <c r="Q1907" s="2" t="s">
        <v>18657</v>
      </c>
      <c r="R1907" s="3" t="s">
        <v>71</v>
      </c>
      <c r="S1907" s="4">
        <v>5</v>
      </c>
      <c r="T1907" s="4">
        <v>57</v>
      </c>
      <c r="U1907" s="5" t="s">
        <v>18672</v>
      </c>
      <c r="V1907" s="5" t="s">
        <v>18658</v>
      </c>
      <c r="W1907" s="5" t="s">
        <v>72</v>
      </c>
      <c r="X1907" s="5" t="s">
        <v>72</v>
      </c>
      <c r="Y1907" s="4">
        <v>3</v>
      </c>
      <c r="Z1907" s="4">
        <v>1</v>
      </c>
      <c r="AA1907" s="4">
        <v>1</v>
      </c>
      <c r="AB1907" s="4">
        <v>1</v>
      </c>
      <c r="AC1907" s="4">
        <v>1</v>
      </c>
      <c r="AD1907" s="4">
        <v>0</v>
      </c>
      <c r="AE1907" s="4">
        <v>0</v>
      </c>
      <c r="AF1907" s="4">
        <v>0</v>
      </c>
      <c r="AG1907" s="4">
        <v>0</v>
      </c>
      <c r="AH1907" s="4">
        <v>0</v>
      </c>
      <c r="AI1907" s="4">
        <v>0</v>
      </c>
      <c r="AJ1907" s="4">
        <v>0</v>
      </c>
      <c r="AK1907" s="4">
        <v>0</v>
      </c>
      <c r="AL1907" s="4">
        <v>0</v>
      </c>
      <c r="AM1907" s="4">
        <v>0</v>
      </c>
      <c r="AN1907" s="4">
        <v>0</v>
      </c>
      <c r="AO1907" s="4">
        <v>0</v>
      </c>
      <c r="AP1907" s="4">
        <v>0</v>
      </c>
      <c r="AQ1907" s="4">
        <v>0</v>
      </c>
      <c r="AR1907" s="3" t="s">
        <v>65</v>
      </c>
      <c r="AS1907" s="3" t="s">
        <v>65</v>
      </c>
      <c r="AT1907" s="3" t="s">
        <v>65</v>
      </c>
      <c r="AV1907" s="6" t="str">
        <f t="shared" si="29"/>
        <v>Catalog Record</v>
      </c>
      <c r="AW1907" s="6" t="str">
        <f t="shared" si="30"/>
        <v>WorldCat Record</v>
      </c>
      <c r="AX1907" s="3" t="s">
        <v>18659</v>
      </c>
      <c r="AY1907" s="3" t="s">
        <v>18660</v>
      </c>
      <c r="AZ1907" s="3" t="s">
        <v>18661</v>
      </c>
      <c r="BA1907" s="3" t="s">
        <v>18661</v>
      </c>
      <c r="BB1907" s="3" t="s">
        <v>18673</v>
      </c>
      <c r="BC1907" s="3" t="s">
        <v>77</v>
      </c>
      <c r="BD1907" s="3" t="s">
        <v>106</v>
      </c>
      <c r="BF1907" s="3" t="s">
        <v>18673</v>
      </c>
      <c r="BG1907" s="3" t="s">
        <v>18674</v>
      </c>
    </row>
    <row r="1908" spans="1:59" ht="58" x14ac:dyDescent="0.35">
      <c r="A1908" s="2" t="s">
        <v>59</v>
      </c>
      <c r="B1908" s="2" t="s">
        <v>60</v>
      </c>
      <c r="C1908" s="2" t="s">
        <v>18653</v>
      </c>
      <c r="D1908" s="2" t="s">
        <v>18654</v>
      </c>
      <c r="E1908" s="2" t="s">
        <v>18655</v>
      </c>
      <c r="F1908" s="3" t="s">
        <v>9892</v>
      </c>
      <c r="G1908" s="3" t="s">
        <v>209</v>
      </c>
      <c r="I1908" s="3" t="s">
        <v>65</v>
      </c>
      <c r="J1908" s="3" t="s">
        <v>65</v>
      </c>
      <c r="K1908" s="3" t="s">
        <v>66</v>
      </c>
      <c r="L1908" s="2" t="s">
        <v>18656</v>
      </c>
      <c r="N1908" s="3" t="s">
        <v>14627</v>
      </c>
      <c r="P1908" s="3" t="s">
        <v>140</v>
      </c>
      <c r="Q1908" s="2" t="s">
        <v>18657</v>
      </c>
      <c r="R1908" s="3" t="s">
        <v>71</v>
      </c>
      <c r="S1908" s="4">
        <v>4</v>
      </c>
      <c r="T1908" s="4">
        <v>57</v>
      </c>
      <c r="U1908" s="5" t="s">
        <v>18658</v>
      </c>
      <c r="V1908" s="5" t="s">
        <v>18658</v>
      </c>
      <c r="W1908" s="5" t="s">
        <v>72</v>
      </c>
      <c r="X1908" s="5" t="s">
        <v>72</v>
      </c>
      <c r="Y1908" s="4">
        <v>3</v>
      </c>
      <c r="Z1908" s="4">
        <v>1</v>
      </c>
      <c r="AA1908" s="4">
        <v>1</v>
      </c>
      <c r="AB1908" s="4">
        <v>1</v>
      </c>
      <c r="AC1908" s="4">
        <v>1</v>
      </c>
      <c r="AD1908" s="4">
        <v>0</v>
      </c>
      <c r="AE1908" s="4">
        <v>0</v>
      </c>
      <c r="AF1908" s="4">
        <v>0</v>
      </c>
      <c r="AG1908" s="4">
        <v>0</v>
      </c>
      <c r="AH1908" s="4">
        <v>0</v>
      </c>
      <c r="AI1908" s="4">
        <v>0</v>
      </c>
      <c r="AJ1908" s="4">
        <v>0</v>
      </c>
      <c r="AK1908" s="4">
        <v>0</v>
      </c>
      <c r="AL1908" s="4">
        <v>0</v>
      </c>
      <c r="AM1908" s="4">
        <v>0</v>
      </c>
      <c r="AN1908" s="4">
        <v>0</v>
      </c>
      <c r="AO1908" s="4">
        <v>0</v>
      </c>
      <c r="AP1908" s="4">
        <v>0</v>
      </c>
      <c r="AQ1908" s="4">
        <v>0</v>
      </c>
      <c r="AR1908" s="3" t="s">
        <v>65</v>
      </c>
      <c r="AS1908" s="3" t="s">
        <v>65</v>
      </c>
      <c r="AT1908" s="3" t="s">
        <v>65</v>
      </c>
      <c r="AV1908" s="6" t="str">
        <f t="shared" si="29"/>
        <v>Catalog Record</v>
      </c>
      <c r="AW1908" s="6" t="str">
        <f t="shared" si="30"/>
        <v>WorldCat Record</v>
      </c>
      <c r="AX1908" s="3" t="s">
        <v>18659</v>
      </c>
      <c r="AY1908" s="3" t="s">
        <v>18660</v>
      </c>
      <c r="AZ1908" s="3" t="s">
        <v>18661</v>
      </c>
      <c r="BA1908" s="3" t="s">
        <v>18661</v>
      </c>
      <c r="BB1908" s="3" t="s">
        <v>18675</v>
      </c>
      <c r="BC1908" s="3" t="s">
        <v>77</v>
      </c>
      <c r="BD1908" s="3" t="s">
        <v>78</v>
      </c>
      <c r="BF1908" s="3" t="s">
        <v>18675</v>
      </c>
      <c r="BG1908" s="3" t="s">
        <v>18676</v>
      </c>
    </row>
    <row r="1909" spans="1:59" ht="58" x14ac:dyDescent="0.35">
      <c r="A1909" s="2" t="s">
        <v>59</v>
      </c>
      <c r="B1909" s="2" t="s">
        <v>60</v>
      </c>
      <c r="C1909" s="2" t="s">
        <v>18653</v>
      </c>
      <c r="D1909" s="2" t="s">
        <v>18654</v>
      </c>
      <c r="E1909" s="2" t="s">
        <v>18655</v>
      </c>
      <c r="F1909" s="3" t="s">
        <v>9883</v>
      </c>
      <c r="G1909" s="3" t="s">
        <v>209</v>
      </c>
      <c r="I1909" s="3" t="s">
        <v>65</v>
      </c>
      <c r="J1909" s="3" t="s">
        <v>65</v>
      </c>
      <c r="K1909" s="3" t="s">
        <v>66</v>
      </c>
      <c r="L1909" s="2" t="s">
        <v>18656</v>
      </c>
      <c r="N1909" s="3" t="s">
        <v>14627</v>
      </c>
      <c r="P1909" s="3" t="s">
        <v>140</v>
      </c>
      <c r="Q1909" s="2" t="s">
        <v>18657</v>
      </c>
      <c r="R1909" s="3" t="s">
        <v>71</v>
      </c>
      <c r="S1909" s="4">
        <v>1</v>
      </c>
      <c r="T1909" s="4">
        <v>57</v>
      </c>
      <c r="U1909" s="5" t="s">
        <v>18658</v>
      </c>
      <c r="V1909" s="5" t="s">
        <v>18658</v>
      </c>
      <c r="W1909" s="5" t="s">
        <v>72</v>
      </c>
      <c r="X1909" s="5" t="s">
        <v>72</v>
      </c>
      <c r="Y1909" s="4">
        <v>3</v>
      </c>
      <c r="Z1909" s="4">
        <v>1</v>
      </c>
      <c r="AA1909" s="4">
        <v>1</v>
      </c>
      <c r="AB1909" s="4">
        <v>1</v>
      </c>
      <c r="AC1909" s="4">
        <v>1</v>
      </c>
      <c r="AD1909" s="4">
        <v>0</v>
      </c>
      <c r="AE1909" s="4">
        <v>0</v>
      </c>
      <c r="AF1909" s="4">
        <v>0</v>
      </c>
      <c r="AG1909" s="4">
        <v>0</v>
      </c>
      <c r="AH1909" s="4">
        <v>0</v>
      </c>
      <c r="AI1909" s="4">
        <v>0</v>
      </c>
      <c r="AJ1909" s="4">
        <v>0</v>
      </c>
      <c r="AK1909" s="4">
        <v>0</v>
      </c>
      <c r="AL1909" s="4">
        <v>0</v>
      </c>
      <c r="AM1909" s="4">
        <v>0</v>
      </c>
      <c r="AN1909" s="4">
        <v>0</v>
      </c>
      <c r="AO1909" s="4">
        <v>0</v>
      </c>
      <c r="AP1909" s="4">
        <v>0</v>
      </c>
      <c r="AQ1909" s="4">
        <v>0</v>
      </c>
      <c r="AR1909" s="3" t="s">
        <v>65</v>
      </c>
      <c r="AS1909" s="3" t="s">
        <v>65</v>
      </c>
      <c r="AT1909" s="3" t="s">
        <v>65</v>
      </c>
      <c r="AV1909" s="6" t="str">
        <f t="shared" si="29"/>
        <v>Catalog Record</v>
      </c>
      <c r="AW1909" s="6" t="str">
        <f t="shared" si="30"/>
        <v>WorldCat Record</v>
      </c>
      <c r="AX1909" s="3" t="s">
        <v>18659</v>
      </c>
      <c r="AY1909" s="3" t="s">
        <v>18660</v>
      </c>
      <c r="AZ1909" s="3" t="s">
        <v>18661</v>
      </c>
      <c r="BA1909" s="3" t="s">
        <v>18661</v>
      </c>
      <c r="BB1909" s="3" t="s">
        <v>18677</v>
      </c>
      <c r="BC1909" s="3" t="s">
        <v>77</v>
      </c>
      <c r="BD1909" s="3" t="s">
        <v>78</v>
      </c>
      <c r="BF1909" s="3" t="s">
        <v>18677</v>
      </c>
      <c r="BG1909" s="3" t="s">
        <v>18678</v>
      </c>
    </row>
    <row r="1910" spans="1:59" ht="58" x14ac:dyDescent="0.35">
      <c r="A1910" s="2" t="s">
        <v>59</v>
      </c>
      <c r="B1910" s="2" t="s">
        <v>60</v>
      </c>
      <c r="C1910" s="2" t="s">
        <v>18653</v>
      </c>
      <c r="D1910" s="2" t="s">
        <v>18654</v>
      </c>
      <c r="E1910" s="2" t="s">
        <v>18655</v>
      </c>
      <c r="F1910" s="3" t="s">
        <v>490</v>
      </c>
      <c r="G1910" s="3" t="s">
        <v>209</v>
      </c>
      <c r="I1910" s="3" t="s">
        <v>65</v>
      </c>
      <c r="J1910" s="3" t="s">
        <v>65</v>
      </c>
      <c r="K1910" s="3" t="s">
        <v>66</v>
      </c>
      <c r="L1910" s="2" t="s">
        <v>18656</v>
      </c>
      <c r="N1910" s="3" t="s">
        <v>14627</v>
      </c>
      <c r="P1910" s="3" t="s">
        <v>140</v>
      </c>
      <c r="Q1910" s="2" t="s">
        <v>18657</v>
      </c>
      <c r="R1910" s="3" t="s">
        <v>71</v>
      </c>
      <c r="S1910" s="4">
        <v>6</v>
      </c>
      <c r="T1910" s="4">
        <v>57</v>
      </c>
      <c r="U1910" s="5" t="s">
        <v>1754</v>
      </c>
      <c r="V1910" s="5" t="s">
        <v>18658</v>
      </c>
      <c r="W1910" s="5" t="s">
        <v>72</v>
      </c>
      <c r="X1910" s="5" t="s">
        <v>72</v>
      </c>
      <c r="Y1910" s="4">
        <v>3</v>
      </c>
      <c r="Z1910" s="4">
        <v>1</v>
      </c>
      <c r="AA1910" s="4">
        <v>1</v>
      </c>
      <c r="AB1910" s="4">
        <v>1</v>
      </c>
      <c r="AC1910" s="4">
        <v>1</v>
      </c>
      <c r="AD1910" s="4">
        <v>0</v>
      </c>
      <c r="AE1910" s="4">
        <v>0</v>
      </c>
      <c r="AF1910" s="4">
        <v>0</v>
      </c>
      <c r="AG1910" s="4">
        <v>0</v>
      </c>
      <c r="AH1910" s="4">
        <v>0</v>
      </c>
      <c r="AI1910" s="4">
        <v>0</v>
      </c>
      <c r="AJ1910" s="4">
        <v>0</v>
      </c>
      <c r="AK1910" s="4">
        <v>0</v>
      </c>
      <c r="AL1910" s="4">
        <v>0</v>
      </c>
      <c r="AM1910" s="4">
        <v>0</v>
      </c>
      <c r="AN1910" s="4">
        <v>0</v>
      </c>
      <c r="AO1910" s="4">
        <v>0</v>
      </c>
      <c r="AP1910" s="4">
        <v>0</v>
      </c>
      <c r="AQ1910" s="4">
        <v>0</v>
      </c>
      <c r="AR1910" s="3" t="s">
        <v>65</v>
      </c>
      <c r="AS1910" s="3" t="s">
        <v>65</v>
      </c>
      <c r="AT1910" s="3" t="s">
        <v>65</v>
      </c>
      <c r="AV1910" s="6" t="str">
        <f t="shared" si="29"/>
        <v>Catalog Record</v>
      </c>
      <c r="AW1910" s="6" t="str">
        <f t="shared" si="30"/>
        <v>WorldCat Record</v>
      </c>
      <c r="AX1910" s="3" t="s">
        <v>18659</v>
      </c>
      <c r="AY1910" s="3" t="s">
        <v>18660</v>
      </c>
      <c r="AZ1910" s="3" t="s">
        <v>18661</v>
      </c>
      <c r="BA1910" s="3" t="s">
        <v>18661</v>
      </c>
      <c r="BB1910" s="3" t="s">
        <v>18679</v>
      </c>
      <c r="BC1910" s="3" t="s">
        <v>77</v>
      </c>
      <c r="BD1910" s="3" t="s">
        <v>78</v>
      </c>
      <c r="BF1910" s="3" t="s">
        <v>18679</v>
      </c>
      <c r="BG1910" s="3" t="s">
        <v>18680</v>
      </c>
    </row>
    <row r="1911" spans="1:59" ht="58" x14ac:dyDescent="0.35">
      <c r="A1911" s="2" t="s">
        <v>59</v>
      </c>
      <c r="B1911" s="2" t="s">
        <v>60</v>
      </c>
      <c r="C1911" s="2" t="s">
        <v>18653</v>
      </c>
      <c r="D1911" s="2" t="s">
        <v>18654</v>
      </c>
      <c r="E1911" s="2" t="s">
        <v>18655</v>
      </c>
      <c r="F1911" s="3" t="s">
        <v>856</v>
      </c>
      <c r="G1911" s="3" t="s">
        <v>209</v>
      </c>
      <c r="I1911" s="3" t="s">
        <v>65</v>
      </c>
      <c r="J1911" s="3" t="s">
        <v>65</v>
      </c>
      <c r="K1911" s="3" t="s">
        <v>66</v>
      </c>
      <c r="L1911" s="2" t="s">
        <v>18656</v>
      </c>
      <c r="N1911" s="3" t="s">
        <v>14627</v>
      </c>
      <c r="P1911" s="3" t="s">
        <v>140</v>
      </c>
      <c r="Q1911" s="2" t="s">
        <v>18657</v>
      </c>
      <c r="R1911" s="3" t="s">
        <v>71</v>
      </c>
      <c r="S1911" s="4">
        <v>3</v>
      </c>
      <c r="T1911" s="4">
        <v>57</v>
      </c>
      <c r="U1911" s="5" t="s">
        <v>18681</v>
      </c>
      <c r="V1911" s="5" t="s">
        <v>18658</v>
      </c>
      <c r="W1911" s="5" t="s">
        <v>72</v>
      </c>
      <c r="X1911" s="5" t="s">
        <v>72</v>
      </c>
      <c r="Y1911" s="4">
        <v>3</v>
      </c>
      <c r="Z1911" s="4">
        <v>1</v>
      </c>
      <c r="AA1911" s="4">
        <v>1</v>
      </c>
      <c r="AB1911" s="4">
        <v>1</v>
      </c>
      <c r="AC1911" s="4">
        <v>1</v>
      </c>
      <c r="AD1911" s="4">
        <v>0</v>
      </c>
      <c r="AE1911" s="4">
        <v>0</v>
      </c>
      <c r="AF1911" s="4">
        <v>0</v>
      </c>
      <c r="AG1911" s="4">
        <v>0</v>
      </c>
      <c r="AH1911" s="4">
        <v>0</v>
      </c>
      <c r="AI1911" s="4">
        <v>0</v>
      </c>
      <c r="AJ1911" s="4">
        <v>0</v>
      </c>
      <c r="AK1911" s="4">
        <v>0</v>
      </c>
      <c r="AL1911" s="4">
        <v>0</v>
      </c>
      <c r="AM1911" s="4">
        <v>0</v>
      </c>
      <c r="AN1911" s="4">
        <v>0</v>
      </c>
      <c r="AO1911" s="4">
        <v>0</v>
      </c>
      <c r="AP1911" s="4">
        <v>0</v>
      </c>
      <c r="AQ1911" s="4">
        <v>0</v>
      </c>
      <c r="AR1911" s="3" t="s">
        <v>65</v>
      </c>
      <c r="AS1911" s="3" t="s">
        <v>65</v>
      </c>
      <c r="AT1911" s="3" t="s">
        <v>65</v>
      </c>
      <c r="AV1911" s="6" t="str">
        <f t="shared" si="29"/>
        <v>Catalog Record</v>
      </c>
      <c r="AW1911" s="6" t="str">
        <f t="shared" si="30"/>
        <v>WorldCat Record</v>
      </c>
      <c r="AX1911" s="3" t="s">
        <v>18659</v>
      </c>
      <c r="AY1911" s="3" t="s">
        <v>18660</v>
      </c>
      <c r="AZ1911" s="3" t="s">
        <v>18661</v>
      </c>
      <c r="BA1911" s="3" t="s">
        <v>18661</v>
      </c>
      <c r="BB1911" s="3" t="s">
        <v>18682</v>
      </c>
      <c r="BC1911" s="3" t="s">
        <v>77</v>
      </c>
      <c r="BD1911" s="3" t="s">
        <v>78</v>
      </c>
      <c r="BF1911" s="3" t="s">
        <v>18682</v>
      </c>
      <c r="BG1911" s="3" t="s">
        <v>18683</v>
      </c>
    </row>
    <row r="1912" spans="1:59" ht="58" x14ac:dyDescent="0.35">
      <c r="A1912" s="2" t="s">
        <v>59</v>
      </c>
      <c r="B1912" s="2" t="s">
        <v>60</v>
      </c>
      <c r="C1912" s="2" t="s">
        <v>18653</v>
      </c>
      <c r="D1912" s="2" t="s">
        <v>18654</v>
      </c>
      <c r="E1912" s="2" t="s">
        <v>18655</v>
      </c>
      <c r="F1912" s="3" t="s">
        <v>850</v>
      </c>
      <c r="G1912" s="3" t="s">
        <v>209</v>
      </c>
      <c r="I1912" s="3" t="s">
        <v>65</v>
      </c>
      <c r="J1912" s="3" t="s">
        <v>65</v>
      </c>
      <c r="K1912" s="3" t="s">
        <v>66</v>
      </c>
      <c r="L1912" s="2" t="s">
        <v>18656</v>
      </c>
      <c r="N1912" s="3" t="s">
        <v>14627</v>
      </c>
      <c r="P1912" s="3" t="s">
        <v>140</v>
      </c>
      <c r="Q1912" s="2" t="s">
        <v>18657</v>
      </c>
      <c r="R1912" s="3" t="s">
        <v>71</v>
      </c>
      <c r="S1912" s="4">
        <v>5</v>
      </c>
      <c r="T1912" s="4">
        <v>57</v>
      </c>
      <c r="U1912" s="5" t="s">
        <v>18664</v>
      </c>
      <c r="V1912" s="5" t="s">
        <v>18658</v>
      </c>
      <c r="W1912" s="5" t="s">
        <v>72</v>
      </c>
      <c r="X1912" s="5" t="s">
        <v>72</v>
      </c>
      <c r="Y1912" s="4">
        <v>3</v>
      </c>
      <c r="Z1912" s="4">
        <v>1</v>
      </c>
      <c r="AA1912" s="4">
        <v>1</v>
      </c>
      <c r="AB1912" s="4">
        <v>1</v>
      </c>
      <c r="AC1912" s="4">
        <v>1</v>
      </c>
      <c r="AD1912" s="4">
        <v>0</v>
      </c>
      <c r="AE1912" s="4">
        <v>0</v>
      </c>
      <c r="AF1912" s="4">
        <v>0</v>
      </c>
      <c r="AG1912" s="4">
        <v>0</v>
      </c>
      <c r="AH1912" s="4">
        <v>0</v>
      </c>
      <c r="AI1912" s="4">
        <v>0</v>
      </c>
      <c r="AJ1912" s="4">
        <v>0</v>
      </c>
      <c r="AK1912" s="4">
        <v>0</v>
      </c>
      <c r="AL1912" s="4">
        <v>0</v>
      </c>
      <c r="AM1912" s="4">
        <v>0</v>
      </c>
      <c r="AN1912" s="4">
        <v>0</v>
      </c>
      <c r="AO1912" s="4">
        <v>0</v>
      </c>
      <c r="AP1912" s="4">
        <v>0</v>
      </c>
      <c r="AQ1912" s="4">
        <v>0</v>
      </c>
      <c r="AR1912" s="3" t="s">
        <v>65</v>
      </c>
      <c r="AS1912" s="3" t="s">
        <v>65</v>
      </c>
      <c r="AT1912" s="3" t="s">
        <v>65</v>
      </c>
      <c r="AV1912" s="6" t="str">
        <f t="shared" si="29"/>
        <v>Catalog Record</v>
      </c>
      <c r="AW1912" s="6" t="str">
        <f t="shared" si="30"/>
        <v>WorldCat Record</v>
      </c>
      <c r="AX1912" s="3" t="s">
        <v>18659</v>
      </c>
      <c r="AY1912" s="3" t="s">
        <v>18660</v>
      </c>
      <c r="AZ1912" s="3" t="s">
        <v>18661</v>
      </c>
      <c r="BA1912" s="3" t="s">
        <v>18661</v>
      </c>
      <c r="BB1912" s="3" t="s">
        <v>18684</v>
      </c>
      <c r="BC1912" s="3" t="s">
        <v>77</v>
      </c>
      <c r="BD1912" s="3" t="s">
        <v>78</v>
      </c>
      <c r="BF1912" s="3" t="s">
        <v>18684</v>
      </c>
      <c r="BG1912" s="3" t="s">
        <v>18685</v>
      </c>
    </row>
    <row r="1913" spans="1:59" ht="58" x14ac:dyDescent="0.35">
      <c r="A1913" s="2" t="s">
        <v>59</v>
      </c>
      <c r="B1913" s="2" t="s">
        <v>60</v>
      </c>
      <c r="C1913" s="2" t="s">
        <v>18653</v>
      </c>
      <c r="D1913" s="2" t="s">
        <v>18654</v>
      </c>
      <c r="E1913" s="2" t="s">
        <v>18655</v>
      </c>
      <c r="F1913" s="3" t="s">
        <v>9881</v>
      </c>
      <c r="G1913" s="3" t="s">
        <v>209</v>
      </c>
      <c r="I1913" s="3" t="s">
        <v>65</v>
      </c>
      <c r="J1913" s="3" t="s">
        <v>65</v>
      </c>
      <c r="K1913" s="3" t="s">
        <v>66</v>
      </c>
      <c r="L1913" s="2" t="s">
        <v>18656</v>
      </c>
      <c r="N1913" s="3" t="s">
        <v>14627</v>
      </c>
      <c r="P1913" s="3" t="s">
        <v>140</v>
      </c>
      <c r="Q1913" s="2" t="s">
        <v>18657</v>
      </c>
      <c r="R1913" s="3" t="s">
        <v>71</v>
      </c>
      <c r="S1913" s="4">
        <v>2</v>
      </c>
      <c r="T1913" s="4">
        <v>57</v>
      </c>
      <c r="V1913" s="5" t="s">
        <v>18658</v>
      </c>
      <c r="W1913" s="5" t="s">
        <v>72</v>
      </c>
      <c r="X1913" s="5" t="s">
        <v>72</v>
      </c>
      <c r="Y1913" s="4">
        <v>3</v>
      </c>
      <c r="Z1913" s="4">
        <v>1</v>
      </c>
      <c r="AA1913" s="4">
        <v>1</v>
      </c>
      <c r="AB1913" s="4">
        <v>1</v>
      </c>
      <c r="AC1913" s="4">
        <v>1</v>
      </c>
      <c r="AD1913" s="4">
        <v>0</v>
      </c>
      <c r="AE1913" s="4">
        <v>0</v>
      </c>
      <c r="AF1913" s="4">
        <v>0</v>
      </c>
      <c r="AG1913" s="4">
        <v>0</v>
      </c>
      <c r="AH1913" s="4">
        <v>0</v>
      </c>
      <c r="AI1913" s="4">
        <v>0</v>
      </c>
      <c r="AJ1913" s="4">
        <v>0</v>
      </c>
      <c r="AK1913" s="4">
        <v>0</v>
      </c>
      <c r="AL1913" s="4">
        <v>0</v>
      </c>
      <c r="AM1913" s="4">
        <v>0</v>
      </c>
      <c r="AN1913" s="4">
        <v>0</v>
      </c>
      <c r="AO1913" s="4">
        <v>0</v>
      </c>
      <c r="AP1913" s="4">
        <v>0</v>
      </c>
      <c r="AQ1913" s="4">
        <v>0</v>
      </c>
      <c r="AR1913" s="3" t="s">
        <v>65</v>
      </c>
      <c r="AS1913" s="3" t="s">
        <v>65</v>
      </c>
      <c r="AT1913" s="3" t="s">
        <v>65</v>
      </c>
      <c r="AV1913" s="6" t="str">
        <f t="shared" si="29"/>
        <v>Catalog Record</v>
      </c>
      <c r="AW1913" s="6" t="str">
        <f t="shared" si="30"/>
        <v>WorldCat Record</v>
      </c>
      <c r="AX1913" s="3" t="s">
        <v>18659</v>
      </c>
      <c r="AY1913" s="3" t="s">
        <v>18660</v>
      </c>
      <c r="AZ1913" s="3" t="s">
        <v>18661</v>
      </c>
      <c r="BA1913" s="3" t="s">
        <v>18661</v>
      </c>
      <c r="BB1913" s="3" t="s">
        <v>18686</v>
      </c>
      <c r="BC1913" s="3" t="s">
        <v>77</v>
      </c>
      <c r="BD1913" s="3" t="s">
        <v>106</v>
      </c>
      <c r="BF1913" s="3" t="s">
        <v>18686</v>
      </c>
      <c r="BG1913" s="3" t="s">
        <v>18687</v>
      </c>
    </row>
    <row r="1914" spans="1:59" ht="58" x14ac:dyDescent="0.35">
      <c r="A1914" s="2" t="s">
        <v>59</v>
      </c>
      <c r="B1914" s="2" t="s">
        <v>60</v>
      </c>
      <c r="C1914" s="2" t="s">
        <v>18653</v>
      </c>
      <c r="D1914" s="2" t="s">
        <v>18654</v>
      </c>
      <c r="E1914" s="2" t="s">
        <v>18655</v>
      </c>
      <c r="F1914" s="3" t="s">
        <v>9893</v>
      </c>
      <c r="G1914" s="3" t="s">
        <v>209</v>
      </c>
      <c r="I1914" s="3" t="s">
        <v>65</v>
      </c>
      <c r="J1914" s="3" t="s">
        <v>65</v>
      </c>
      <c r="K1914" s="3" t="s">
        <v>66</v>
      </c>
      <c r="L1914" s="2" t="s">
        <v>18656</v>
      </c>
      <c r="N1914" s="3" t="s">
        <v>14627</v>
      </c>
      <c r="P1914" s="3" t="s">
        <v>140</v>
      </c>
      <c r="Q1914" s="2" t="s">
        <v>18657</v>
      </c>
      <c r="R1914" s="3" t="s">
        <v>71</v>
      </c>
      <c r="S1914" s="4">
        <v>3</v>
      </c>
      <c r="T1914" s="4">
        <v>57</v>
      </c>
      <c r="U1914" s="5" t="s">
        <v>18688</v>
      </c>
      <c r="V1914" s="5" t="s">
        <v>18658</v>
      </c>
      <c r="W1914" s="5" t="s">
        <v>72</v>
      </c>
      <c r="X1914" s="5" t="s">
        <v>72</v>
      </c>
      <c r="Y1914" s="4">
        <v>3</v>
      </c>
      <c r="Z1914" s="4">
        <v>1</v>
      </c>
      <c r="AA1914" s="4">
        <v>1</v>
      </c>
      <c r="AB1914" s="4">
        <v>1</v>
      </c>
      <c r="AC1914" s="4">
        <v>1</v>
      </c>
      <c r="AD1914" s="4">
        <v>0</v>
      </c>
      <c r="AE1914" s="4">
        <v>0</v>
      </c>
      <c r="AF1914" s="4">
        <v>0</v>
      </c>
      <c r="AG1914" s="4">
        <v>0</v>
      </c>
      <c r="AH1914" s="4">
        <v>0</v>
      </c>
      <c r="AI1914" s="4">
        <v>0</v>
      </c>
      <c r="AJ1914" s="4">
        <v>0</v>
      </c>
      <c r="AK1914" s="4">
        <v>0</v>
      </c>
      <c r="AL1914" s="4">
        <v>0</v>
      </c>
      <c r="AM1914" s="4">
        <v>0</v>
      </c>
      <c r="AN1914" s="4">
        <v>0</v>
      </c>
      <c r="AO1914" s="4">
        <v>0</v>
      </c>
      <c r="AP1914" s="4">
        <v>0</v>
      </c>
      <c r="AQ1914" s="4">
        <v>0</v>
      </c>
      <c r="AR1914" s="3" t="s">
        <v>65</v>
      </c>
      <c r="AS1914" s="3" t="s">
        <v>65</v>
      </c>
      <c r="AT1914" s="3" t="s">
        <v>65</v>
      </c>
      <c r="AV1914" s="6" t="str">
        <f t="shared" si="29"/>
        <v>Catalog Record</v>
      </c>
      <c r="AW1914" s="6" t="str">
        <f t="shared" si="30"/>
        <v>WorldCat Record</v>
      </c>
      <c r="AX1914" s="3" t="s">
        <v>18659</v>
      </c>
      <c r="AY1914" s="3" t="s">
        <v>18660</v>
      </c>
      <c r="AZ1914" s="3" t="s">
        <v>18661</v>
      </c>
      <c r="BA1914" s="3" t="s">
        <v>18661</v>
      </c>
      <c r="BB1914" s="3" t="s">
        <v>18689</v>
      </c>
      <c r="BC1914" s="3" t="s">
        <v>77</v>
      </c>
      <c r="BD1914" s="3" t="s">
        <v>78</v>
      </c>
      <c r="BF1914" s="3" t="s">
        <v>18689</v>
      </c>
      <c r="BG1914" s="3" t="s">
        <v>18690</v>
      </c>
    </row>
    <row r="1915" spans="1:59" ht="58" x14ac:dyDescent="0.35">
      <c r="A1915" s="2" t="s">
        <v>59</v>
      </c>
      <c r="B1915" s="2" t="s">
        <v>60</v>
      </c>
      <c r="C1915" s="2" t="s">
        <v>18653</v>
      </c>
      <c r="D1915" s="2" t="s">
        <v>18654</v>
      </c>
      <c r="E1915" s="2" t="s">
        <v>18655</v>
      </c>
      <c r="F1915" s="3" t="s">
        <v>9879</v>
      </c>
      <c r="G1915" s="3" t="s">
        <v>209</v>
      </c>
      <c r="I1915" s="3" t="s">
        <v>65</v>
      </c>
      <c r="J1915" s="3" t="s">
        <v>65</v>
      </c>
      <c r="K1915" s="3" t="s">
        <v>66</v>
      </c>
      <c r="L1915" s="2" t="s">
        <v>18656</v>
      </c>
      <c r="N1915" s="3" t="s">
        <v>14627</v>
      </c>
      <c r="P1915" s="3" t="s">
        <v>140</v>
      </c>
      <c r="Q1915" s="2" t="s">
        <v>18657</v>
      </c>
      <c r="R1915" s="3" t="s">
        <v>71</v>
      </c>
      <c r="S1915" s="4">
        <v>3</v>
      </c>
      <c r="T1915" s="4">
        <v>57</v>
      </c>
      <c r="U1915" s="5" t="s">
        <v>18691</v>
      </c>
      <c r="V1915" s="5" t="s">
        <v>18658</v>
      </c>
      <c r="W1915" s="5" t="s">
        <v>72</v>
      </c>
      <c r="X1915" s="5" t="s">
        <v>72</v>
      </c>
      <c r="Y1915" s="4">
        <v>3</v>
      </c>
      <c r="Z1915" s="4">
        <v>1</v>
      </c>
      <c r="AA1915" s="4">
        <v>1</v>
      </c>
      <c r="AB1915" s="4">
        <v>1</v>
      </c>
      <c r="AC1915" s="4">
        <v>1</v>
      </c>
      <c r="AD1915" s="4">
        <v>0</v>
      </c>
      <c r="AE1915" s="4">
        <v>0</v>
      </c>
      <c r="AF1915" s="4">
        <v>0</v>
      </c>
      <c r="AG1915" s="4">
        <v>0</v>
      </c>
      <c r="AH1915" s="4">
        <v>0</v>
      </c>
      <c r="AI1915" s="4">
        <v>0</v>
      </c>
      <c r="AJ1915" s="4">
        <v>0</v>
      </c>
      <c r="AK1915" s="4">
        <v>0</v>
      </c>
      <c r="AL1915" s="4">
        <v>0</v>
      </c>
      <c r="AM1915" s="4">
        <v>0</v>
      </c>
      <c r="AN1915" s="4">
        <v>0</v>
      </c>
      <c r="AO1915" s="4">
        <v>0</v>
      </c>
      <c r="AP1915" s="4">
        <v>0</v>
      </c>
      <c r="AQ1915" s="4">
        <v>0</v>
      </c>
      <c r="AR1915" s="3" t="s">
        <v>65</v>
      </c>
      <c r="AS1915" s="3" t="s">
        <v>65</v>
      </c>
      <c r="AT1915" s="3" t="s">
        <v>65</v>
      </c>
      <c r="AV1915" s="6" t="str">
        <f t="shared" si="29"/>
        <v>Catalog Record</v>
      </c>
      <c r="AW1915" s="6" t="str">
        <f t="shared" si="30"/>
        <v>WorldCat Record</v>
      </c>
      <c r="AX1915" s="3" t="s">
        <v>18659</v>
      </c>
      <c r="AY1915" s="3" t="s">
        <v>18660</v>
      </c>
      <c r="AZ1915" s="3" t="s">
        <v>18661</v>
      </c>
      <c r="BA1915" s="3" t="s">
        <v>18661</v>
      </c>
      <c r="BB1915" s="3" t="s">
        <v>18692</v>
      </c>
      <c r="BC1915" s="3" t="s">
        <v>77</v>
      </c>
      <c r="BD1915" s="3" t="s">
        <v>106</v>
      </c>
      <c r="BF1915" s="3" t="s">
        <v>18692</v>
      </c>
      <c r="BG1915" s="3" t="s">
        <v>18693</v>
      </c>
    </row>
    <row r="1916" spans="1:59" ht="58" x14ac:dyDescent="0.35">
      <c r="A1916" s="2" t="s">
        <v>59</v>
      </c>
      <c r="B1916" s="2" t="s">
        <v>60</v>
      </c>
      <c r="C1916" s="2" t="s">
        <v>18653</v>
      </c>
      <c r="D1916" s="2" t="s">
        <v>18654</v>
      </c>
      <c r="E1916" s="2" t="s">
        <v>18655</v>
      </c>
      <c r="F1916" s="3" t="s">
        <v>3103</v>
      </c>
      <c r="G1916" s="3" t="s">
        <v>209</v>
      </c>
      <c r="I1916" s="3" t="s">
        <v>65</v>
      </c>
      <c r="J1916" s="3" t="s">
        <v>65</v>
      </c>
      <c r="K1916" s="3" t="s">
        <v>66</v>
      </c>
      <c r="L1916" s="2" t="s">
        <v>18656</v>
      </c>
      <c r="N1916" s="3" t="s">
        <v>14627</v>
      </c>
      <c r="P1916" s="3" t="s">
        <v>140</v>
      </c>
      <c r="Q1916" s="2" t="s">
        <v>18657</v>
      </c>
      <c r="R1916" s="3" t="s">
        <v>71</v>
      </c>
      <c r="S1916" s="4">
        <v>12</v>
      </c>
      <c r="T1916" s="4">
        <v>57</v>
      </c>
      <c r="U1916" s="5" t="s">
        <v>18694</v>
      </c>
      <c r="V1916" s="5" t="s">
        <v>18658</v>
      </c>
      <c r="W1916" s="5" t="s">
        <v>72</v>
      </c>
      <c r="X1916" s="5" t="s">
        <v>72</v>
      </c>
      <c r="Y1916" s="4">
        <v>3</v>
      </c>
      <c r="Z1916" s="4">
        <v>1</v>
      </c>
      <c r="AA1916" s="4">
        <v>1</v>
      </c>
      <c r="AB1916" s="4">
        <v>1</v>
      </c>
      <c r="AC1916" s="4">
        <v>1</v>
      </c>
      <c r="AD1916" s="4">
        <v>0</v>
      </c>
      <c r="AE1916" s="4">
        <v>0</v>
      </c>
      <c r="AF1916" s="4">
        <v>0</v>
      </c>
      <c r="AG1916" s="4">
        <v>0</v>
      </c>
      <c r="AH1916" s="4">
        <v>0</v>
      </c>
      <c r="AI1916" s="4">
        <v>0</v>
      </c>
      <c r="AJ1916" s="4">
        <v>0</v>
      </c>
      <c r="AK1916" s="4">
        <v>0</v>
      </c>
      <c r="AL1916" s="4">
        <v>0</v>
      </c>
      <c r="AM1916" s="4">
        <v>0</v>
      </c>
      <c r="AN1916" s="4">
        <v>0</v>
      </c>
      <c r="AO1916" s="4">
        <v>0</v>
      </c>
      <c r="AP1916" s="4">
        <v>0</v>
      </c>
      <c r="AQ1916" s="4">
        <v>0</v>
      </c>
      <c r="AR1916" s="3" t="s">
        <v>65</v>
      </c>
      <c r="AS1916" s="3" t="s">
        <v>65</v>
      </c>
      <c r="AT1916" s="3" t="s">
        <v>65</v>
      </c>
      <c r="AV1916" s="6" t="str">
        <f t="shared" si="29"/>
        <v>Catalog Record</v>
      </c>
      <c r="AW1916" s="6" t="str">
        <f t="shared" si="30"/>
        <v>WorldCat Record</v>
      </c>
      <c r="AX1916" s="3" t="s">
        <v>18659</v>
      </c>
      <c r="AY1916" s="3" t="s">
        <v>18660</v>
      </c>
      <c r="AZ1916" s="3" t="s">
        <v>18661</v>
      </c>
      <c r="BA1916" s="3" t="s">
        <v>18661</v>
      </c>
      <c r="BB1916" s="3" t="s">
        <v>18695</v>
      </c>
      <c r="BC1916" s="3" t="s">
        <v>77</v>
      </c>
      <c r="BD1916" s="3" t="s">
        <v>78</v>
      </c>
      <c r="BF1916" s="3" t="s">
        <v>18695</v>
      </c>
      <c r="BG1916" s="3" t="s">
        <v>18696</v>
      </c>
    </row>
    <row r="1917" spans="1:59" ht="58" x14ac:dyDescent="0.35">
      <c r="A1917" s="2" t="s">
        <v>59</v>
      </c>
      <c r="B1917" s="2" t="s">
        <v>60</v>
      </c>
      <c r="C1917" s="2" t="s">
        <v>18697</v>
      </c>
      <c r="D1917" s="2" t="s">
        <v>18698</v>
      </c>
      <c r="E1917" s="2" t="s">
        <v>18699</v>
      </c>
      <c r="G1917" s="3" t="s">
        <v>65</v>
      </c>
      <c r="I1917" s="3" t="s">
        <v>65</v>
      </c>
      <c r="J1917" s="3" t="s">
        <v>65</v>
      </c>
      <c r="K1917" s="3" t="s">
        <v>66</v>
      </c>
      <c r="L1917" s="2" t="s">
        <v>18700</v>
      </c>
      <c r="M1917" s="2" t="s">
        <v>18701</v>
      </c>
      <c r="N1917" s="3" t="s">
        <v>113</v>
      </c>
      <c r="O1917" s="2" t="s">
        <v>365</v>
      </c>
      <c r="P1917" s="3" t="s">
        <v>140</v>
      </c>
      <c r="Q1917" s="2" t="s">
        <v>18702</v>
      </c>
      <c r="R1917" s="3" t="s">
        <v>71</v>
      </c>
      <c r="S1917" s="4">
        <v>0</v>
      </c>
      <c r="T1917" s="4">
        <v>0</v>
      </c>
      <c r="W1917" s="5" t="s">
        <v>72</v>
      </c>
      <c r="X1917" s="5" t="s">
        <v>72</v>
      </c>
      <c r="Y1917" s="4">
        <v>52</v>
      </c>
      <c r="Z1917" s="4">
        <v>4</v>
      </c>
      <c r="AA1917" s="4">
        <v>4</v>
      </c>
      <c r="AB1917" s="4">
        <v>1</v>
      </c>
      <c r="AC1917" s="4">
        <v>1</v>
      </c>
      <c r="AD1917" s="4">
        <v>37</v>
      </c>
      <c r="AE1917" s="4">
        <v>37</v>
      </c>
      <c r="AF1917" s="4">
        <v>0</v>
      </c>
      <c r="AG1917" s="4">
        <v>0</v>
      </c>
      <c r="AH1917" s="4">
        <v>36</v>
      </c>
      <c r="AI1917" s="4">
        <v>36</v>
      </c>
      <c r="AJ1917" s="4">
        <v>2</v>
      </c>
      <c r="AK1917" s="4">
        <v>2</v>
      </c>
      <c r="AL1917" s="4">
        <v>27</v>
      </c>
      <c r="AM1917" s="4">
        <v>27</v>
      </c>
      <c r="AN1917" s="4">
        <v>5</v>
      </c>
      <c r="AO1917" s="4">
        <v>5</v>
      </c>
      <c r="AP1917" s="4">
        <v>2</v>
      </c>
      <c r="AQ1917" s="4">
        <v>2</v>
      </c>
      <c r="AR1917" s="3" t="s">
        <v>65</v>
      </c>
      <c r="AS1917" s="3" t="s">
        <v>65</v>
      </c>
      <c r="AT1917" s="3" t="s">
        <v>209</v>
      </c>
      <c r="AU1917" s="6" t="str">
        <f>HYPERLINK("http://catalog.hathitrust.org/Record/011228601","HathiTrust Record")</f>
        <v>HathiTrust Record</v>
      </c>
      <c r="AV1917" s="6" t="str">
        <f>HYPERLINK("http://mcgill.on.worldcat.org/oclc/668178060","Catalog Record")</f>
        <v>Catalog Record</v>
      </c>
      <c r="AW1917" s="6" t="str">
        <f>HYPERLINK("http://www.worldcat.org/oclc/668178060","WorldCat Record")</f>
        <v>WorldCat Record</v>
      </c>
      <c r="AX1917" s="3" t="s">
        <v>18703</v>
      </c>
      <c r="AY1917" s="3" t="s">
        <v>18704</v>
      </c>
      <c r="AZ1917" s="3" t="s">
        <v>18705</v>
      </c>
      <c r="BA1917" s="3" t="s">
        <v>18705</v>
      </c>
      <c r="BB1917" s="3" t="s">
        <v>18706</v>
      </c>
      <c r="BC1917" s="3" t="s">
        <v>77</v>
      </c>
      <c r="BD1917" s="3" t="s">
        <v>78</v>
      </c>
      <c r="BE1917" s="3" t="s">
        <v>18707</v>
      </c>
      <c r="BF1917" s="3" t="s">
        <v>18706</v>
      </c>
      <c r="BG1917" s="3" t="s">
        <v>18708</v>
      </c>
    </row>
    <row r="1918" spans="1:59" ht="58" x14ac:dyDescent="0.35">
      <c r="A1918" s="2" t="s">
        <v>59</v>
      </c>
      <c r="B1918" s="2" t="s">
        <v>60</v>
      </c>
      <c r="C1918" s="2" t="s">
        <v>18709</v>
      </c>
      <c r="D1918" s="2" t="s">
        <v>18710</v>
      </c>
      <c r="E1918" s="2" t="s">
        <v>18711</v>
      </c>
      <c r="G1918" s="3" t="s">
        <v>65</v>
      </c>
      <c r="I1918" s="3" t="s">
        <v>65</v>
      </c>
      <c r="J1918" s="3" t="s">
        <v>65</v>
      </c>
      <c r="K1918" s="3" t="s">
        <v>66</v>
      </c>
      <c r="L1918" s="2" t="s">
        <v>18700</v>
      </c>
      <c r="M1918" s="2" t="s">
        <v>18701</v>
      </c>
      <c r="N1918" s="3" t="s">
        <v>113</v>
      </c>
      <c r="O1918" s="2" t="s">
        <v>18712</v>
      </c>
      <c r="P1918" s="3" t="s">
        <v>140</v>
      </c>
      <c r="Q1918" s="2" t="s">
        <v>18713</v>
      </c>
      <c r="R1918" s="3" t="s">
        <v>71</v>
      </c>
      <c r="S1918" s="4">
        <v>0</v>
      </c>
      <c r="T1918" s="4">
        <v>0</v>
      </c>
      <c r="W1918" s="5" t="s">
        <v>72</v>
      </c>
      <c r="X1918" s="5" t="s">
        <v>72</v>
      </c>
      <c r="Y1918" s="4">
        <v>45</v>
      </c>
      <c r="Z1918" s="4">
        <v>4</v>
      </c>
      <c r="AA1918" s="4">
        <v>4</v>
      </c>
      <c r="AB1918" s="4">
        <v>1</v>
      </c>
      <c r="AC1918" s="4">
        <v>1</v>
      </c>
      <c r="AD1918" s="4">
        <v>35</v>
      </c>
      <c r="AE1918" s="4">
        <v>35</v>
      </c>
      <c r="AF1918" s="4">
        <v>0</v>
      </c>
      <c r="AG1918" s="4">
        <v>0</v>
      </c>
      <c r="AH1918" s="4">
        <v>34</v>
      </c>
      <c r="AI1918" s="4">
        <v>34</v>
      </c>
      <c r="AJ1918" s="4">
        <v>2</v>
      </c>
      <c r="AK1918" s="4">
        <v>2</v>
      </c>
      <c r="AL1918" s="4">
        <v>25</v>
      </c>
      <c r="AM1918" s="4">
        <v>25</v>
      </c>
      <c r="AN1918" s="4">
        <v>0</v>
      </c>
      <c r="AO1918" s="4">
        <v>0</v>
      </c>
      <c r="AP1918" s="4">
        <v>2</v>
      </c>
      <c r="AQ1918" s="4">
        <v>2</v>
      </c>
      <c r="AR1918" s="3" t="s">
        <v>65</v>
      </c>
      <c r="AS1918" s="3" t="s">
        <v>65</v>
      </c>
      <c r="AT1918" s="3" t="s">
        <v>65</v>
      </c>
      <c r="AV1918" s="6" t="str">
        <f>HYPERLINK("http://mcgill.on.worldcat.org/oclc/642806289","Catalog Record")</f>
        <v>Catalog Record</v>
      </c>
      <c r="AW1918" s="6" t="str">
        <f>HYPERLINK("http://www.worldcat.org/oclc/642806289","WorldCat Record")</f>
        <v>WorldCat Record</v>
      </c>
      <c r="AX1918" s="3" t="s">
        <v>18714</v>
      </c>
      <c r="AY1918" s="3" t="s">
        <v>18715</v>
      </c>
      <c r="AZ1918" s="3" t="s">
        <v>18716</v>
      </c>
      <c r="BA1918" s="3" t="s">
        <v>18716</v>
      </c>
      <c r="BB1918" s="3" t="s">
        <v>18717</v>
      </c>
      <c r="BC1918" s="3" t="s">
        <v>77</v>
      </c>
      <c r="BD1918" s="3" t="s">
        <v>78</v>
      </c>
      <c r="BE1918" s="3" t="s">
        <v>18718</v>
      </c>
      <c r="BF1918" s="3" t="s">
        <v>18717</v>
      </c>
      <c r="BG1918" s="3" t="s">
        <v>18719</v>
      </c>
    </row>
    <row r="1919" spans="1:59" ht="58" x14ac:dyDescent="0.35">
      <c r="A1919" s="2" t="s">
        <v>59</v>
      </c>
      <c r="B1919" s="2" t="s">
        <v>60</v>
      </c>
      <c r="C1919" s="2" t="s">
        <v>18720</v>
      </c>
      <c r="D1919" s="2" t="s">
        <v>18721</v>
      </c>
      <c r="E1919" s="2" t="s">
        <v>18722</v>
      </c>
      <c r="G1919" s="3" t="s">
        <v>65</v>
      </c>
      <c r="I1919" s="3" t="s">
        <v>65</v>
      </c>
      <c r="J1919" s="3" t="s">
        <v>209</v>
      </c>
      <c r="K1919" s="3" t="s">
        <v>66</v>
      </c>
      <c r="L1919" s="2" t="s">
        <v>18700</v>
      </c>
      <c r="M1919" s="2" t="s">
        <v>18723</v>
      </c>
      <c r="N1919" s="3" t="s">
        <v>615</v>
      </c>
      <c r="O1919" s="2" t="s">
        <v>365</v>
      </c>
      <c r="P1919" s="3" t="s">
        <v>140</v>
      </c>
      <c r="Q1919" s="2" t="s">
        <v>18724</v>
      </c>
      <c r="R1919" s="3" t="s">
        <v>71</v>
      </c>
      <c r="S1919" s="4">
        <v>15</v>
      </c>
      <c r="T1919" s="4">
        <v>15</v>
      </c>
      <c r="U1919" s="5" t="s">
        <v>18725</v>
      </c>
      <c r="V1919" s="5" t="s">
        <v>18725</v>
      </c>
      <c r="W1919" s="5" t="s">
        <v>72</v>
      </c>
      <c r="X1919" s="5" t="s">
        <v>72</v>
      </c>
      <c r="Y1919" s="4">
        <v>44</v>
      </c>
      <c r="Z1919" s="4">
        <v>4</v>
      </c>
      <c r="AA1919" s="4">
        <v>19</v>
      </c>
      <c r="AB1919" s="4">
        <v>1</v>
      </c>
      <c r="AC1919" s="4">
        <v>2</v>
      </c>
      <c r="AD1919" s="4">
        <v>24</v>
      </c>
      <c r="AE1919" s="4">
        <v>81</v>
      </c>
      <c r="AF1919" s="4">
        <v>0</v>
      </c>
      <c r="AG1919" s="4">
        <v>1</v>
      </c>
      <c r="AH1919" s="4">
        <v>23</v>
      </c>
      <c r="AI1919" s="4">
        <v>75</v>
      </c>
      <c r="AJ1919" s="4">
        <v>3</v>
      </c>
      <c r="AK1919" s="4">
        <v>13</v>
      </c>
      <c r="AL1919" s="4">
        <v>16</v>
      </c>
      <c r="AM1919" s="4">
        <v>43</v>
      </c>
      <c r="AN1919" s="4">
        <v>0</v>
      </c>
      <c r="AO1919" s="4">
        <v>2</v>
      </c>
      <c r="AP1919" s="4">
        <v>3</v>
      </c>
      <c r="AQ1919" s="4">
        <v>14</v>
      </c>
      <c r="AR1919" s="3" t="s">
        <v>65</v>
      </c>
      <c r="AS1919" s="3" t="s">
        <v>65</v>
      </c>
      <c r="AT1919" s="3" t="s">
        <v>65</v>
      </c>
      <c r="AV1919" s="6" t="str">
        <f>HYPERLINK("http://mcgill.on.worldcat.org/oclc/13114412","Catalog Record")</f>
        <v>Catalog Record</v>
      </c>
      <c r="AW1919" s="6" t="str">
        <f>HYPERLINK("http://www.worldcat.org/oclc/13114412","WorldCat Record")</f>
        <v>WorldCat Record</v>
      </c>
      <c r="AX1919" s="3" t="s">
        <v>18726</v>
      </c>
      <c r="AY1919" s="3" t="s">
        <v>18727</v>
      </c>
      <c r="AZ1919" s="3" t="s">
        <v>18728</v>
      </c>
      <c r="BA1919" s="3" t="s">
        <v>18728</v>
      </c>
      <c r="BB1919" s="3" t="s">
        <v>18729</v>
      </c>
      <c r="BC1919" s="3" t="s">
        <v>77</v>
      </c>
      <c r="BD1919" s="3" t="s">
        <v>78</v>
      </c>
      <c r="BE1919" s="3" t="s">
        <v>18730</v>
      </c>
      <c r="BF1919" s="3" t="s">
        <v>18729</v>
      </c>
      <c r="BG1919" s="3" t="s">
        <v>18731</v>
      </c>
    </row>
    <row r="1920" spans="1:59" ht="58" x14ac:dyDescent="0.35">
      <c r="A1920" s="2" t="s">
        <v>59</v>
      </c>
      <c r="B1920" s="2" t="s">
        <v>60</v>
      </c>
      <c r="C1920" s="2" t="s">
        <v>18732</v>
      </c>
      <c r="D1920" s="2" t="s">
        <v>18733</v>
      </c>
      <c r="E1920" s="2" t="s">
        <v>18734</v>
      </c>
      <c r="G1920" s="3" t="s">
        <v>65</v>
      </c>
      <c r="I1920" s="3" t="s">
        <v>65</v>
      </c>
      <c r="J1920" s="3" t="s">
        <v>65</v>
      </c>
      <c r="K1920" s="3" t="s">
        <v>66</v>
      </c>
      <c r="L1920" s="2" t="s">
        <v>18700</v>
      </c>
      <c r="M1920" s="2" t="s">
        <v>18735</v>
      </c>
      <c r="N1920" s="3" t="s">
        <v>1196</v>
      </c>
      <c r="O1920" s="2" t="s">
        <v>365</v>
      </c>
      <c r="P1920" s="3" t="s">
        <v>140</v>
      </c>
      <c r="Q1920" s="2" t="s">
        <v>18736</v>
      </c>
      <c r="R1920" s="3" t="s">
        <v>71</v>
      </c>
      <c r="S1920" s="4">
        <v>3</v>
      </c>
      <c r="T1920" s="4">
        <v>3</v>
      </c>
      <c r="U1920" s="5" t="s">
        <v>18737</v>
      </c>
      <c r="V1920" s="5" t="s">
        <v>18737</v>
      </c>
      <c r="W1920" s="5" t="s">
        <v>72</v>
      </c>
      <c r="X1920" s="5" t="s">
        <v>72</v>
      </c>
      <c r="Y1920" s="4">
        <v>71</v>
      </c>
      <c r="Z1920" s="4">
        <v>5</v>
      </c>
      <c r="AA1920" s="4">
        <v>5</v>
      </c>
      <c r="AB1920" s="4">
        <v>1</v>
      </c>
      <c r="AC1920" s="4">
        <v>1</v>
      </c>
      <c r="AD1920" s="4">
        <v>43</v>
      </c>
      <c r="AE1920" s="4">
        <v>43</v>
      </c>
      <c r="AF1920" s="4">
        <v>0</v>
      </c>
      <c r="AG1920" s="4">
        <v>0</v>
      </c>
      <c r="AH1920" s="4">
        <v>41</v>
      </c>
      <c r="AI1920" s="4">
        <v>41</v>
      </c>
      <c r="AJ1920" s="4">
        <v>3</v>
      </c>
      <c r="AK1920" s="4">
        <v>3</v>
      </c>
      <c r="AL1920" s="4">
        <v>30</v>
      </c>
      <c r="AM1920" s="4">
        <v>30</v>
      </c>
      <c r="AN1920" s="4">
        <v>0</v>
      </c>
      <c r="AO1920" s="4">
        <v>0</v>
      </c>
      <c r="AP1920" s="4">
        <v>3</v>
      </c>
      <c r="AQ1920" s="4">
        <v>3</v>
      </c>
      <c r="AR1920" s="3" t="s">
        <v>65</v>
      </c>
      <c r="AS1920" s="3" t="s">
        <v>65</v>
      </c>
      <c r="AT1920" s="3" t="s">
        <v>209</v>
      </c>
      <c r="AU1920" s="6" t="str">
        <f>HYPERLINK("http://catalog.hathitrust.org/Record/005082683","HathiTrust Record")</f>
        <v>HathiTrust Record</v>
      </c>
      <c r="AV1920" s="6" t="str">
        <f>HYPERLINK("http://mcgill.on.worldcat.org/oclc/61766255","Catalog Record")</f>
        <v>Catalog Record</v>
      </c>
      <c r="AW1920" s="6" t="str">
        <f>HYPERLINK("http://www.worldcat.org/oclc/61766255","WorldCat Record")</f>
        <v>WorldCat Record</v>
      </c>
      <c r="AX1920" s="3" t="s">
        <v>18738</v>
      </c>
      <c r="AY1920" s="3" t="s">
        <v>18739</v>
      </c>
      <c r="AZ1920" s="3" t="s">
        <v>18740</v>
      </c>
      <c r="BA1920" s="3" t="s">
        <v>18740</v>
      </c>
      <c r="BB1920" s="3" t="s">
        <v>18741</v>
      </c>
      <c r="BC1920" s="3" t="s">
        <v>77</v>
      </c>
      <c r="BD1920" s="3" t="s">
        <v>78</v>
      </c>
      <c r="BE1920" s="3" t="s">
        <v>18742</v>
      </c>
      <c r="BF1920" s="3" t="s">
        <v>18741</v>
      </c>
      <c r="BG1920" s="3" t="s">
        <v>18743</v>
      </c>
    </row>
    <row r="1921" spans="1:59" ht="58" x14ac:dyDescent="0.35">
      <c r="A1921" s="2" t="s">
        <v>59</v>
      </c>
      <c r="B1921" s="2" t="s">
        <v>60</v>
      </c>
      <c r="C1921" s="2" t="s">
        <v>18744</v>
      </c>
      <c r="D1921" s="2" t="s">
        <v>18745</v>
      </c>
      <c r="E1921" s="2" t="s">
        <v>18746</v>
      </c>
      <c r="G1921" s="3" t="s">
        <v>65</v>
      </c>
      <c r="I1921" s="3" t="s">
        <v>65</v>
      </c>
      <c r="J1921" s="3" t="s">
        <v>65</v>
      </c>
      <c r="K1921" s="3" t="s">
        <v>66</v>
      </c>
      <c r="L1921" s="2" t="s">
        <v>18747</v>
      </c>
      <c r="M1921" s="2" t="s">
        <v>18312</v>
      </c>
      <c r="N1921" s="3" t="s">
        <v>126</v>
      </c>
      <c r="O1921" s="2" t="s">
        <v>18748</v>
      </c>
      <c r="P1921" s="3" t="s">
        <v>140</v>
      </c>
      <c r="Q1921" s="2" t="s">
        <v>18749</v>
      </c>
      <c r="R1921" s="3" t="s">
        <v>71</v>
      </c>
      <c r="S1921" s="4">
        <v>0</v>
      </c>
      <c r="T1921" s="4">
        <v>0</v>
      </c>
      <c r="W1921" s="5" t="s">
        <v>72</v>
      </c>
      <c r="X1921" s="5" t="s">
        <v>72</v>
      </c>
      <c r="Y1921" s="4">
        <v>28</v>
      </c>
      <c r="Z1921" s="4">
        <v>1</v>
      </c>
      <c r="AA1921" s="4">
        <v>4</v>
      </c>
      <c r="AB1921" s="4">
        <v>1</v>
      </c>
      <c r="AC1921" s="4">
        <v>1</v>
      </c>
      <c r="AD1921" s="4">
        <v>5</v>
      </c>
      <c r="AE1921" s="4">
        <v>36</v>
      </c>
      <c r="AF1921" s="4">
        <v>0</v>
      </c>
      <c r="AG1921" s="4">
        <v>0</v>
      </c>
      <c r="AH1921" s="4">
        <v>5</v>
      </c>
      <c r="AI1921" s="4">
        <v>35</v>
      </c>
      <c r="AJ1921" s="4">
        <v>0</v>
      </c>
      <c r="AK1921" s="4">
        <v>2</v>
      </c>
      <c r="AL1921" s="4">
        <v>3</v>
      </c>
      <c r="AM1921" s="4">
        <v>28</v>
      </c>
      <c r="AN1921" s="4">
        <v>0</v>
      </c>
      <c r="AO1921" s="4">
        <v>0</v>
      </c>
      <c r="AP1921" s="4">
        <v>0</v>
      </c>
      <c r="AQ1921" s="4">
        <v>2</v>
      </c>
      <c r="AR1921" s="3" t="s">
        <v>65</v>
      </c>
      <c r="AS1921" s="3" t="s">
        <v>65</v>
      </c>
      <c r="AT1921" s="3" t="s">
        <v>65</v>
      </c>
      <c r="AV1921" s="6" t="str">
        <f>HYPERLINK("http://mcgill.on.worldcat.org/oclc/793192039","Catalog Record")</f>
        <v>Catalog Record</v>
      </c>
      <c r="AW1921" s="6" t="str">
        <f>HYPERLINK("http://www.worldcat.org/oclc/793192039","WorldCat Record")</f>
        <v>WorldCat Record</v>
      </c>
      <c r="AX1921" s="3" t="s">
        <v>18750</v>
      </c>
      <c r="AY1921" s="3" t="s">
        <v>18751</v>
      </c>
      <c r="AZ1921" s="3" t="s">
        <v>18752</v>
      </c>
      <c r="BA1921" s="3" t="s">
        <v>18752</v>
      </c>
      <c r="BB1921" s="3" t="s">
        <v>18753</v>
      </c>
      <c r="BC1921" s="3" t="s">
        <v>77</v>
      </c>
      <c r="BD1921" s="3" t="s">
        <v>78</v>
      </c>
      <c r="BE1921" s="3" t="s">
        <v>18754</v>
      </c>
      <c r="BF1921" s="3" t="s">
        <v>18753</v>
      </c>
      <c r="BG1921" s="3" t="s">
        <v>18755</v>
      </c>
    </row>
    <row r="1922" spans="1:59" ht="58" x14ac:dyDescent="0.35">
      <c r="A1922" s="2" t="s">
        <v>59</v>
      </c>
      <c r="B1922" s="2" t="s">
        <v>60</v>
      </c>
      <c r="C1922" s="2" t="s">
        <v>18756</v>
      </c>
      <c r="D1922" s="2" t="s">
        <v>18757</v>
      </c>
      <c r="E1922" s="2" t="s">
        <v>18758</v>
      </c>
      <c r="G1922" s="3" t="s">
        <v>65</v>
      </c>
      <c r="I1922" s="3" t="s">
        <v>65</v>
      </c>
      <c r="J1922" s="3" t="s">
        <v>209</v>
      </c>
      <c r="K1922" s="3" t="s">
        <v>66</v>
      </c>
      <c r="L1922" s="2" t="s">
        <v>18700</v>
      </c>
      <c r="M1922" s="2" t="s">
        <v>18759</v>
      </c>
      <c r="N1922" s="3" t="s">
        <v>221</v>
      </c>
      <c r="O1922" s="2" t="s">
        <v>365</v>
      </c>
      <c r="P1922" s="3" t="s">
        <v>140</v>
      </c>
      <c r="Q1922" s="2" t="s">
        <v>18736</v>
      </c>
      <c r="R1922" s="3" t="s">
        <v>71</v>
      </c>
      <c r="S1922" s="4">
        <v>4</v>
      </c>
      <c r="T1922" s="4">
        <v>4</v>
      </c>
      <c r="U1922" s="5" t="s">
        <v>18760</v>
      </c>
      <c r="V1922" s="5" t="s">
        <v>18760</v>
      </c>
      <c r="W1922" s="5" t="s">
        <v>72</v>
      </c>
      <c r="X1922" s="5" t="s">
        <v>72</v>
      </c>
      <c r="Y1922" s="4">
        <v>60</v>
      </c>
      <c r="Z1922" s="4">
        <v>4</v>
      </c>
      <c r="AA1922" s="4">
        <v>24</v>
      </c>
      <c r="AB1922" s="4">
        <v>1</v>
      </c>
      <c r="AC1922" s="4">
        <v>4</v>
      </c>
      <c r="AD1922" s="4">
        <v>35</v>
      </c>
      <c r="AE1922" s="4">
        <v>111</v>
      </c>
      <c r="AF1922" s="4">
        <v>0</v>
      </c>
      <c r="AG1922" s="4">
        <v>2</v>
      </c>
      <c r="AH1922" s="4">
        <v>34</v>
      </c>
      <c r="AI1922" s="4">
        <v>98</v>
      </c>
      <c r="AJ1922" s="4">
        <v>2</v>
      </c>
      <c r="AK1922" s="4">
        <v>15</v>
      </c>
      <c r="AL1922" s="4">
        <v>24</v>
      </c>
      <c r="AM1922" s="4">
        <v>57</v>
      </c>
      <c r="AN1922" s="4">
        <v>0</v>
      </c>
      <c r="AO1922" s="4">
        <v>1</v>
      </c>
      <c r="AP1922" s="4">
        <v>2</v>
      </c>
      <c r="AQ1922" s="4">
        <v>17</v>
      </c>
      <c r="AR1922" s="3" t="s">
        <v>65</v>
      </c>
      <c r="AS1922" s="3" t="s">
        <v>65</v>
      </c>
      <c r="AT1922" s="3" t="s">
        <v>209</v>
      </c>
      <c r="AU1922" s="6" t="str">
        <f>HYPERLINK("http://catalog.hathitrust.org/Record/005599870","HathiTrust Record")</f>
        <v>HathiTrust Record</v>
      </c>
      <c r="AV1922" s="6" t="str">
        <f>HYPERLINK("http://mcgill.on.worldcat.org/oclc/163580671","Catalog Record")</f>
        <v>Catalog Record</v>
      </c>
      <c r="AW1922" s="6" t="str">
        <f>HYPERLINK("http://www.worldcat.org/oclc/163580671","WorldCat Record")</f>
        <v>WorldCat Record</v>
      </c>
      <c r="AX1922" s="3" t="s">
        <v>18761</v>
      </c>
      <c r="AY1922" s="3" t="s">
        <v>18762</v>
      </c>
      <c r="AZ1922" s="3" t="s">
        <v>18763</v>
      </c>
      <c r="BA1922" s="3" t="s">
        <v>18763</v>
      </c>
      <c r="BB1922" s="3" t="s">
        <v>18764</v>
      </c>
      <c r="BC1922" s="3" t="s">
        <v>77</v>
      </c>
      <c r="BD1922" s="3" t="s">
        <v>78</v>
      </c>
      <c r="BE1922" s="3" t="s">
        <v>18765</v>
      </c>
      <c r="BF1922" s="3" t="s">
        <v>18764</v>
      </c>
      <c r="BG1922" s="3" t="s">
        <v>18766</v>
      </c>
    </row>
    <row r="1923" spans="1:59" ht="58" x14ac:dyDescent="0.35">
      <c r="A1923" s="2" t="s">
        <v>59</v>
      </c>
      <c r="B1923" s="2" t="s">
        <v>60</v>
      </c>
      <c r="C1923" s="2" t="s">
        <v>18767</v>
      </c>
      <c r="D1923" s="2" t="s">
        <v>18768</v>
      </c>
      <c r="E1923" s="2" t="s">
        <v>18769</v>
      </c>
      <c r="G1923" s="3" t="s">
        <v>65</v>
      </c>
      <c r="I1923" s="3" t="s">
        <v>65</v>
      </c>
      <c r="J1923" s="3" t="s">
        <v>65</v>
      </c>
      <c r="K1923" s="3" t="s">
        <v>66</v>
      </c>
      <c r="L1923" s="2" t="s">
        <v>18770</v>
      </c>
      <c r="M1923" s="2" t="s">
        <v>18771</v>
      </c>
      <c r="N1923" s="3" t="s">
        <v>113</v>
      </c>
      <c r="P1923" s="3" t="s">
        <v>140</v>
      </c>
      <c r="R1923" s="3" t="s">
        <v>71</v>
      </c>
      <c r="S1923" s="4">
        <v>0</v>
      </c>
      <c r="T1923" s="4">
        <v>0</v>
      </c>
      <c r="W1923" s="5" t="s">
        <v>72</v>
      </c>
      <c r="X1923" s="5" t="s">
        <v>72</v>
      </c>
      <c r="Y1923" s="4">
        <v>21</v>
      </c>
      <c r="Z1923" s="4">
        <v>1</v>
      </c>
      <c r="AA1923" s="4">
        <v>5</v>
      </c>
      <c r="AB1923" s="4">
        <v>1</v>
      </c>
      <c r="AC1923" s="4">
        <v>1</v>
      </c>
      <c r="AD1923" s="4">
        <v>2</v>
      </c>
      <c r="AE1923" s="4">
        <v>31</v>
      </c>
      <c r="AF1923" s="4">
        <v>0</v>
      </c>
      <c r="AG1923" s="4">
        <v>0</v>
      </c>
      <c r="AH1923" s="4">
        <v>2</v>
      </c>
      <c r="AI1923" s="4">
        <v>29</v>
      </c>
      <c r="AJ1923" s="4">
        <v>0</v>
      </c>
      <c r="AK1923" s="4">
        <v>3</v>
      </c>
      <c r="AL1923" s="4">
        <v>1</v>
      </c>
      <c r="AM1923" s="4">
        <v>22</v>
      </c>
      <c r="AN1923" s="4">
        <v>0</v>
      </c>
      <c r="AO1923" s="4">
        <v>0</v>
      </c>
      <c r="AP1923" s="4">
        <v>0</v>
      </c>
      <c r="AQ1923" s="4">
        <v>3</v>
      </c>
      <c r="AR1923" s="3" t="s">
        <v>65</v>
      </c>
      <c r="AS1923" s="3" t="s">
        <v>65</v>
      </c>
      <c r="AT1923" s="3" t="s">
        <v>65</v>
      </c>
      <c r="AV1923" s="6" t="str">
        <f>HYPERLINK("http://mcgill.on.worldcat.org/oclc/696013330","Catalog Record")</f>
        <v>Catalog Record</v>
      </c>
      <c r="AW1923" s="6" t="str">
        <f>HYPERLINK("http://www.worldcat.org/oclc/696013330","WorldCat Record")</f>
        <v>WorldCat Record</v>
      </c>
      <c r="AX1923" s="3" t="s">
        <v>18772</v>
      </c>
      <c r="AY1923" s="3" t="s">
        <v>18773</v>
      </c>
      <c r="AZ1923" s="3" t="s">
        <v>18774</v>
      </c>
      <c r="BA1923" s="3" t="s">
        <v>18774</v>
      </c>
      <c r="BB1923" s="3" t="s">
        <v>18775</v>
      </c>
      <c r="BC1923" s="3" t="s">
        <v>77</v>
      </c>
      <c r="BD1923" s="3" t="s">
        <v>78</v>
      </c>
      <c r="BE1923" s="3" t="s">
        <v>18776</v>
      </c>
      <c r="BF1923" s="3" t="s">
        <v>18775</v>
      </c>
      <c r="BG1923" s="3" t="s">
        <v>18777</v>
      </c>
    </row>
    <row r="1924" spans="1:59" ht="58" x14ac:dyDescent="0.35">
      <c r="A1924" s="2" t="s">
        <v>59</v>
      </c>
      <c r="B1924" s="2" t="s">
        <v>60</v>
      </c>
      <c r="C1924" s="2" t="s">
        <v>18778</v>
      </c>
      <c r="D1924" s="2" t="s">
        <v>18779</v>
      </c>
      <c r="E1924" s="2" t="s">
        <v>18780</v>
      </c>
      <c r="G1924" s="3" t="s">
        <v>65</v>
      </c>
      <c r="I1924" s="3" t="s">
        <v>65</v>
      </c>
      <c r="J1924" s="3" t="s">
        <v>209</v>
      </c>
      <c r="K1924" s="3" t="s">
        <v>66</v>
      </c>
      <c r="L1924" s="2" t="s">
        <v>18700</v>
      </c>
      <c r="M1924" s="2" t="s">
        <v>18312</v>
      </c>
      <c r="N1924" s="3" t="s">
        <v>126</v>
      </c>
      <c r="O1924" s="2" t="s">
        <v>18781</v>
      </c>
      <c r="P1924" s="3" t="s">
        <v>140</v>
      </c>
      <c r="Q1924" s="2" t="s">
        <v>18713</v>
      </c>
      <c r="R1924" s="3" t="s">
        <v>71</v>
      </c>
      <c r="S1924" s="4">
        <v>0</v>
      </c>
      <c r="T1924" s="4">
        <v>0</v>
      </c>
      <c r="W1924" s="5" t="s">
        <v>72</v>
      </c>
      <c r="X1924" s="5" t="s">
        <v>72</v>
      </c>
      <c r="Y1924" s="4">
        <v>13</v>
      </c>
      <c r="Z1924" s="4">
        <v>1</v>
      </c>
      <c r="AA1924" s="4">
        <v>17</v>
      </c>
      <c r="AB1924" s="4">
        <v>1</v>
      </c>
      <c r="AC1924" s="4">
        <v>4</v>
      </c>
      <c r="AD1924" s="4">
        <v>7</v>
      </c>
      <c r="AE1924" s="4">
        <v>61</v>
      </c>
      <c r="AF1924" s="4">
        <v>0</v>
      </c>
      <c r="AG1924" s="4">
        <v>3</v>
      </c>
      <c r="AH1924" s="4">
        <v>7</v>
      </c>
      <c r="AI1924" s="4">
        <v>54</v>
      </c>
      <c r="AJ1924" s="4">
        <v>0</v>
      </c>
      <c r="AK1924" s="4">
        <v>12</v>
      </c>
      <c r="AL1924" s="4">
        <v>5</v>
      </c>
      <c r="AM1924" s="4">
        <v>36</v>
      </c>
      <c r="AN1924" s="4">
        <v>0</v>
      </c>
      <c r="AO1924" s="4">
        <v>2</v>
      </c>
      <c r="AP1924" s="4">
        <v>0</v>
      </c>
      <c r="AQ1924" s="4">
        <v>11</v>
      </c>
      <c r="AR1924" s="3" t="s">
        <v>65</v>
      </c>
      <c r="AS1924" s="3" t="s">
        <v>65</v>
      </c>
      <c r="AT1924" s="3" t="s">
        <v>65</v>
      </c>
      <c r="AV1924" s="6" t="str">
        <f>HYPERLINK("http://mcgill.on.worldcat.org/oclc/704509761","Catalog Record")</f>
        <v>Catalog Record</v>
      </c>
      <c r="AW1924" s="6" t="str">
        <f>HYPERLINK("http://www.worldcat.org/oclc/704509761","WorldCat Record")</f>
        <v>WorldCat Record</v>
      </c>
      <c r="AX1924" s="3" t="s">
        <v>18782</v>
      </c>
      <c r="AY1924" s="3" t="s">
        <v>18783</v>
      </c>
      <c r="AZ1924" s="3" t="s">
        <v>18784</v>
      </c>
      <c r="BA1924" s="3" t="s">
        <v>18784</v>
      </c>
      <c r="BB1924" s="3" t="s">
        <v>18785</v>
      </c>
      <c r="BC1924" s="3" t="s">
        <v>77</v>
      </c>
      <c r="BD1924" s="3" t="s">
        <v>78</v>
      </c>
      <c r="BE1924" s="3" t="s">
        <v>18786</v>
      </c>
      <c r="BF1924" s="3" t="s">
        <v>18785</v>
      </c>
      <c r="BG1924" s="3" t="s">
        <v>18787</v>
      </c>
    </row>
    <row r="1925" spans="1:59" ht="58" x14ac:dyDescent="0.35">
      <c r="A1925" s="2" t="s">
        <v>59</v>
      </c>
      <c r="B1925" s="2" t="s">
        <v>60</v>
      </c>
      <c r="C1925" s="2" t="s">
        <v>18788</v>
      </c>
      <c r="D1925" s="2" t="s">
        <v>18789</v>
      </c>
      <c r="E1925" s="2" t="s">
        <v>18790</v>
      </c>
      <c r="G1925" s="3" t="s">
        <v>65</v>
      </c>
      <c r="I1925" s="3" t="s">
        <v>65</v>
      </c>
      <c r="J1925" s="3" t="s">
        <v>65</v>
      </c>
      <c r="K1925" s="3" t="s">
        <v>66</v>
      </c>
      <c r="L1925" s="2" t="s">
        <v>18791</v>
      </c>
      <c r="M1925" s="2" t="s">
        <v>4806</v>
      </c>
      <c r="N1925" s="3" t="s">
        <v>188</v>
      </c>
      <c r="P1925" s="3" t="s">
        <v>140</v>
      </c>
      <c r="Q1925" s="2" t="s">
        <v>18792</v>
      </c>
      <c r="R1925" s="3" t="s">
        <v>71</v>
      </c>
      <c r="S1925" s="4">
        <v>0</v>
      </c>
      <c r="T1925" s="4">
        <v>0</v>
      </c>
      <c r="W1925" s="5" t="s">
        <v>72</v>
      </c>
      <c r="X1925" s="5" t="s">
        <v>72</v>
      </c>
      <c r="Y1925" s="4">
        <v>26</v>
      </c>
      <c r="Z1925" s="4">
        <v>2</v>
      </c>
      <c r="AA1925" s="4">
        <v>2</v>
      </c>
      <c r="AB1925" s="4">
        <v>1</v>
      </c>
      <c r="AC1925" s="4">
        <v>1</v>
      </c>
      <c r="AD1925" s="4">
        <v>21</v>
      </c>
      <c r="AE1925" s="4">
        <v>21</v>
      </c>
      <c r="AF1925" s="4">
        <v>0</v>
      </c>
      <c r="AG1925" s="4">
        <v>0</v>
      </c>
      <c r="AH1925" s="4">
        <v>20</v>
      </c>
      <c r="AI1925" s="4">
        <v>20</v>
      </c>
      <c r="AJ1925" s="4">
        <v>1</v>
      </c>
      <c r="AK1925" s="4">
        <v>1</v>
      </c>
      <c r="AL1925" s="4">
        <v>16</v>
      </c>
      <c r="AM1925" s="4">
        <v>16</v>
      </c>
      <c r="AN1925" s="4">
        <v>0</v>
      </c>
      <c r="AO1925" s="4">
        <v>0</v>
      </c>
      <c r="AP1925" s="4">
        <v>1</v>
      </c>
      <c r="AQ1925" s="4">
        <v>1</v>
      </c>
      <c r="AR1925" s="3" t="s">
        <v>65</v>
      </c>
      <c r="AS1925" s="3" t="s">
        <v>65</v>
      </c>
      <c r="AT1925" s="3" t="s">
        <v>65</v>
      </c>
      <c r="AV1925" s="6" t="str">
        <f>HYPERLINK("http://mcgill.on.worldcat.org/oclc/987705144","Catalog Record")</f>
        <v>Catalog Record</v>
      </c>
      <c r="AW1925" s="6" t="str">
        <f>HYPERLINK("http://www.worldcat.org/oclc/987705144","WorldCat Record")</f>
        <v>WorldCat Record</v>
      </c>
      <c r="AX1925" s="3" t="s">
        <v>18793</v>
      </c>
      <c r="AY1925" s="3" t="s">
        <v>18794</v>
      </c>
      <c r="AZ1925" s="3" t="s">
        <v>18795</v>
      </c>
      <c r="BA1925" s="3" t="s">
        <v>18795</v>
      </c>
      <c r="BB1925" s="3" t="s">
        <v>18796</v>
      </c>
      <c r="BC1925" s="3" t="s">
        <v>77</v>
      </c>
      <c r="BD1925" s="3" t="s">
        <v>78</v>
      </c>
      <c r="BE1925" s="3" t="s">
        <v>18797</v>
      </c>
      <c r="BF1925" s="3" t="s">
        <v>18796</v>
      </c>
      <c r="BG1925" s="3" t="s">
        <v>18798</v>
      </c>
    </row>
    <row r="1926" spans="1:59" ht="58" x14ac:dyDescent="0.35">
      <c r="A1926" s="2" t="s">
        <v>59</v>
      </c>
      <c r="B1926" s="2" t="s">
        <v>60</v>
      </c>
      <c r="C1926" s="2" t="s">
        <v>18799</v>
      </c>
      <c r="D1926" s="2" t="s">
        <v>18800</v>
      </c>
      <c r="E1926" s="2" t="s">
        <v>18801</v>
      </c>
      <c r="G1926" s="3" t="s">
        <v>65</v>
      </c>
      <c r="I1926" s="3" t="s">
        <v>65</v>
      </c>
      <c r="J1926" s="3" t="s">
        <v>65</v>
      </c>
      <c r="K1926" s="3" t="s">
        <v>66</v>
      </c>
      <c r="L1926" s="2" t="s">
        <v>18700</v>
      </c>
      <c r="M1926" s="2" t="s">
        <v>18802</v>
      </c>
      <c r="N1926" s="3" t="s">
        <v>139</v>
      </c>
      <c r="P1926" s="3" t="s">
        <v>69</v>
      </c>
      <c r="Q1926" s="2" t="s">
        <v>18803</v>
      </c>
      <c r="R1926" s="3" t="s">
        <v>71</v>
      </c>
      <c r="S1926" s="4">
        <v>3</v>
      </c>
      <c r="T1926" s="4">
        <v>3</v>
      </c>
      <c r="U1926" s="5" t="s">
        <v>18760</v>
      </c>
      <c r="V1926" s="5" t="s">
        <v>18760</v>
      </c>
      <c r="W1926" s="5" t="s">
        <v>72</v>
      </c>
      <c r="X1926" s="5" t="s">
        <v>72</v>
      </c>
      <c r="Y1926" s="4">
        <v>65</v>
      </c>
      <c r="Z1926" s="4">
        <v>9</v>
      </c>
      <c r="AA1926" s="4">
        <v>44</v>
      </c>
      <c r="AB1926" s="4">
        <v>1</v>
      </c>
      <c r="AC1926" s="4">
        <v>6</v>
      </c>
      <c r="AD1926" s="4">
        <v>27</v>
      </c>
      <c r="AE1926" s="4">
        <v>118</v>
      </c>
      <c r="AF1926" s="4">
        <v>0</v>
      </c>
      <c r="AG1926" s="4">
        <v>1</v>
      </c>
      <c r="AH1926" s="4">
        <v>27</v>
      </c>
      <c r="AI1926" s="4">
        <v>97</v>
      </c>
      <c r="AJ1926" s="4">
        <v>5</v>
      </c>
      <c r="AK1926" s="4">
        <v>18</v>
      </c>
      <c r="AL1926" s="4">
        <v>16</v>
      </c>
      <c r="AM1926" s="4">
        <v>55</v>
      </c>
      <c r="AN1926" s="4">
        <v>0</v>
      </c>
      <c r="AO1926" s="4">
        <v>5</v>
      </c>
      <c r="AP1926" s="4">
        <v>5</v>
      </c>
      <c r="AQ1926" s="4">
        <v>26</v>
      </c>
      <c r="AR1926" s="3" t="s">
        <v>65</v>
      </c>
      <c r="AS1926" s="3" t="s">
        <v>65</v>
      </c>
      <c r="AT1926" s="3" t="s">
        <v>65</v>
      </c>
      <c r="AV1926" s="6" t="str">
        <f>HYPERLINK("http://mcgill.on.worldcat.org/oclc/794263397","Catalog Record")</f>
        <v>Catalog Record</v>
      </c>
      <c r="AW1926" s="6" t="str">
        <f>HYPERLINK("http://www.worldcat.org/oclc/794263397","WorldCat Record")</f>
        <v>WorldCat Record</v>
      </c>
      <c r="AX1926" s="3" t="s">
        <v>18804</v>
      </c>
      <c r="AY1926" s="3" t="s">
        <v>18805</v>
      </c>
      <c r="AZ1926" s="3" t="s">
        <v>18806</v>
      </c>
      <c r="BA1926" s="3" t="s">
        <v>18806</v>
      </c>
      <c r="BB1926" s="3" t="s">
        <v>18807</v>
      </c>
      <c r="BC1926" s="3" t="s">
        <v>77</v>
      </c>
      <c r="BD1926" s="3" t="s">
        <v>78</v>
      </c>
      <c r="BE1926" s="3" t="s">
        <v>18808</v>
      </c>
      <c r="BF1926" s="3" t="s">
        <v>18807</v>
      </c>
      <c r="BG1926" s="3" t="s">
        <v>18809</v>
      </c>
    </row>
    <row r="1927" spans="1:59" ht="58" x14ac:dyDescent="0.35">
      <c r="A1927" s="2" t="s">
        <v>59</v>
      </c>
      <c r="B1927" s="2" t="s">
        <v>60</v>
      </c>
      <c r="C1927" s="2" t="s">
        <v>18810</v>
      </c>
      <c r="D1927" s="2" t="s">
        <v>18811</v>
      </c>
      <c r="E1927" s="2" t="s">
        <v>18812</v>
      </c>
      <c r="G1927" s="3" t="s">
        <v>65</v>
      </c>
      <c r="I1927" s="3" t="s">
        <v>209</v>
      </c>
      <c r="J1927" s="3" t="s">
        <v>65</v>
      </c>
      <c r="K1927" s="3" t="s">
        <v>66</v>
      </c>
      <c r="L1927" s="2" t="s">
        <v>18700</v>
      </c>
      <c r="M1927" s="2" t="s">
        <v>18813</v>
      </c>
      <c r="N1927" s="3" t="s">
        <v>493</v>
      </c>
      <c r="P1927" s="3" t="s">
        <v>69</v>
      </c>
      <c r="Q1927" s="2" t="s">
        <v>18814</v>
      </c>
      <c r="R1927" s="3" t="s">
        <v>71</v>
      </c>
      <c r="S1927" s="4">
        <v>0</v>
      </c>
      <c r="T1927" s="4">
        <v>29</v>
      </c>
      <c r="V1927" s="5" t="s">
        <v>18815</v>
      </c>
      <c r="W1927" s="5" t="s">
        <v>72</v>
      </c>
      <c r="X1927" s="5" t="s">
        <v>72</v>
      </c>
      <c r="Y1927" s="4">
        <v>547</v>
      </c>
      <c r="Z1927" s="4">
        <v>33</v>
      </c>
      <c r="AA1927" s="4">
        <v>50</v>
      </c>
      <c r="AB1927" s="4">
        <v>2</v>
      </c>
      <c r="AC1927" s="4">
        <v>2</v>
      </c>
      <c r="AD1927" s="4">
        <v>104</v>
      </c>
      <c r="AE1927" s="4">
        <v>126</v>
      </c>
      <c r="AF1927" s="4">
        <v>1</v>
      </c>
      <c r="AG1927" s="4">
        <v>1</v>
      </c>
      <c r="AH1927" s="4">
        <v>88</v>
      </c>
      <c r="AI1927" s="4">
        <v>101</v>
      </c>
      <c r="AJ1927" s="4">
        <v>18</v>
      </c>
      <c r="AK1927" s="4">
        <v>20</v>
      </c>
      <c r="AL1927" s="4">
        <v>48</v>
      </c>
      <c r="AM1927" s="4">
        <v>56</v>
      </c>
      <c r="AN1927" s="4">
        <v>0</v>
      </c>
      <c r="AO1927" s="4">
        <v>0</v>
      </c>
      <c r="AP1927" s="4">
        <v>23</v>
      </c>
      <c r="AQ1927" s="4">
        <v>31</v>
      </c>
      <c r="AR1927" s="3" t="s">
        <v>65</v>
      </c>
      <c r="AS1927" s="3" t="s">
        <v>65</v>
      </c>
      <c r="AT1927" s="3" t="s">
        <v>209</v>
      </c>
      <c r="AU1927" s="6" t="str">
        <f>HYPERLINK("http://catalog.hathitrust.org/Record/001219231","HathiTrust Record")</f>
        <v>HathiTrust Record</v>
      </c>
      <c r="AV1927" s="6" t="str">
        <f>HYPERLINK("http://mcgill.on.worldcat.org/oclc/288365","Catalog Record")</f>
        <v>Catalog Record</v>
      </c>
      <c r="AW1927" s="6" t="str">
        <f>HYPERLINK("http://www.worldcat.org/oclc/288365","WorldCat Record")</f>
        <v>WorldCat Record</v>
      </c>
      <c r="AX1927" s="3" t="s">
        <v>18816</v>
      </c>
      <c r="AY1927" s="3" t="s">
        <v>18817</v>
      </c>
      <c r="AZ1927" s="3" t="s">
        <v>18818</v>
      </c>
      <c r="BA1927" s="3" t="s">
        <v>18818</v>
      </c>
      <c r="BB1927" s="3" t="s">
        <v>18819</v>
      </c>
      <c r="BC1927" s="3" t="s">
        <v>77</v>
      </c>
      <c r="BD1927" s="3" t="s">
        <v>78</v>
      </c>
      <c r="BF1927" s="3" t="s">
        <v>18819</v>
      </c>
      <c r="BG1927" s="3" t="s">
        <v>18820</v>
      </c>
    </row>
    <row r="1928" spans="1:59" ht="58" x14ac:dyDescent="0.35">
      <c r="A1928" s="2" t="s">
        <v>59</v>
      </c>
      <c r="B1928" s="2" t="s">
        <v>60</v>
      </c>
      <c r="C1928" s="2" t="s">
        <v>18810</v>
      </c>
      <c r="D1928" s="2" t="s">
        <v>18811</v>
      </c>
      <c r="E1928" s="2" t="s">
        <v>18812</v>
      </c>
      <c r="G1928" s="3" t="s">
        <v>65</v>
      </c>
      <c r="I1928" s="3" t="s">
        <v>209</v>
      </c>
      <c r="J1928" s="3" t="s">
        <v>65</v>
      </c>
      <c r="K1928" s="3" t="s">
        <v>66</v>
      </c>
      <c r="L1928" s="2" t="s">
        <v>18700</v>
      </c>
      <c r="M1928" s="2" t="s">
        <v>18813</v>
      </c>
      <c r="N1928" s="3" t="s">
        <v>493</v>
      </c>
      <c r="P1928" s="3" t="s">
        <v>69</v>
      </c>
      <c r="Q1928" s="2" t="s">
        <v>18814</v>
      </c>
      <c r="R1928" s="3" t="s">
        <v>71</v>
      </c>
      <c r="S1928" s="4">
        <v>10</v>
      </c>
      <c r="T1928" s="4">
        <v>29</v>
      </c>
      <c r="U1928" s="5" t="s">
        <v>18821</v>
      </c>
      <c r="V1928" s="5" t="s">
        <v>18815</v>
      </c>
      <c r="W1928" s="5" t="s">
        <v>72</v>
      </c>
      <c r="X1928" s="5" t="s">
        <v>72</v>
      </c>
      <c r="Y1928" s="4">
        <v>547</v>
      </c>
      <c r="Z1928" s="4">
        <v>33</v>
      </c>
      <c r="AA1928" s="4">
        <v>50</v>
      </c>
      <c r="AB1928" s="4">
        <v>2</v>
      </c>
      <c r="AC1928" s="4">
        <v>2</v>
      </c>
      <c r="AD1928" s="4">
        <v>104</v>
      </c>
      <c r="AE1928" s="4">
        <v>126</v>
      </c>
      <c r="AF1928" s="4">
        <v>1</v>
      </c>
      <c r="AG1928" s="4">
        <v>1</v>
      </c>
      <c r="AH1928" s="4">
        <v>88</v>
      </c>
      <c r="AI1928" s="4">
        <v>101</v>
      </c>
      <c r="AJ1928" s="4">
        <v>18</v>
      </c>
      <c r="AK1928" s="4">
        <v>20</v>
      </c>
      <c r="AL1928" s="4">
        <v>48</v>
      </c>
      <c r="AM1928" s="4">
        <v>56</v>
      </c>
      <c r="AN1928" s="4">
        <v>0</v>
      </c>
      <c r="AO1928" s="4">
        <v>0</v>
      </c>
      <c r="AP1928" s="4">
        <v>23</v>
      </c>
      <c r="AQ1928" s="4">
        <v>31</v>
      </c>
      <c r="AR1928" s="3" t="s">
        <v>65</v>
      </c>
      <c r="AS1928" s="3" t="s">
        <v>65</v>
      </c>
      <c r="AT1928" s="3" t="s">
        <v>209</v>
      </c>
      <c r="AU1928" s="6" t="str">
        <f>HYPERLINK("http://catalog.hathitrust.org/Record/001219231","HathiTrust Record")</f>
        <v>HathiTrust Record</v>
      </c>
      <c r="AV1928" s="6" t="str">
        <f>HYPERLINK("http://mcgill.on.worldcat.org/oclc/288365","Catalog Record")</f>
        <v>Catalog Record</v>
      </c>
      <c r="AW1928" s="6" t="str">
        <f>HYPERLINK("http://www.worldcat.org/oclc/288365","WorldCat Record")</f>
        <v>WorldCat Record</v>
      </c>
      <c r="AX1928" s="3" t="s">
        <v>18816</v>
      </c>
      <c r="AY1928" s="3" t="s">
        <v>18817</v>
      </c>
      <c r="AZ1928" s="3" t="s">
        <v>18818</v>
      </c>
      <c r="BA1928" s="3" t="s">
        <v>18818</v>
      </c>
      <c r="BB1928" s="3" t="s">
        <v>18822</v>
      </c>
      <c r="BC1928" s="3" t="s">
        <v>77</v>
      </c>
      <c r="BD1928" s="3" t="s">
        <v>78</v>
      </c>
      <c r="BF1928" s="3" t="s">
        <v>18822</v>
      </c>
      <c r="BG1928" s="3" t="s">
        <v>18823</v>
      </c>
    </row>
    <row r="1929" spans="1:59" ht="58" x14ac:dyDescent="0.35">
      <c r="A1929" s="2" t="s">
        <v>59</v>
      </c>
      <c r="B1929" s="2" t="s">
        <v>60</v>
      </c>
      <c r="C1929" s="2" t="s">
        <v>18810</v>
      </c>
      <c r="D1929" s="2" t="s">
        <v>18811</v>
      </c>
      <c r="E1929" s="2" t="s">
        <v>18812</v>
      </c>
      <c r="G1929" s="3" t="s">
        <v>65</v>
      </c>
      <c r="I1929" s="3" t="s">
        <v>209</v>
      </c>
      <c r="J1929" s="3" t="s">
        <v>65</v>
      </c>
      <c r="K1929" s="3" t="s">
        <v>66</v>
      </c>
      <c r="L1929" s="2" t="s">
        <v>18700</v>
      </c>
      <c r="M1929" s="2" t="s">
        <v>18813</v>
      </c>
      <c r="N1929" s="3" t="s">
        <v>493</v>
      </c>
      <c r="P1929" s="3" t="s">
        <v>69</v>
      </c>
      <c r="Q1929" s="2" t="s">
        <v>18814</v>
      </c>
      <c r="R1929" s="3" t="s">
        <v>71</v>
      </c>
      <c r="S1929" s="4">
        <v>19</v>
      </c>
      <c r="T1929" s="4">
        <v>29</v>
      </c>
      <c r="U1929" s="5" t="s">
        <v>18815</v>
      </c>
      <c r="V1929" s="5" t="s">
        <v>18815</v>
      </c>
      <c r="W1929" s="5" t="s">
        <v>72</v>
      </c>
      <c r="X1929" s="5" t="s">
        <v>72</v>
      </c>
      <c r="Y1929" s="4">
        <v>547</v>
      </c>
      <c r="Z1929" s="4">
        <v>33</v>
      </c>
      <c r="AA1929" s="4">
        <v>50</v>
      </c>
      <c r="AB1929" s="4">
        <v>2</v>
      </c>
      <c r="AC1929" s="4">
        <v>2</v>
      </c>
      <c r="AD1929" s="4">
        <v>104</v>
      </c>
      <c r="AE1929" s="4">
        <v>126</v>
      </c>
      <c r="AF1929" s="4">
        <v>1</v>
      </c>
      <c r="AG1929" s="4">
        <v>1</v>
      </c>
      <c r="AH1929" s="4">
        <v>88</v>
      </c>
      <c r="AI1929" s="4">
        <v>101</v>
      </c>
      <c r="AJ1929" s="4">
        <v>18</v>
      </c>
      <c r="AK1929" s="4">
        <v>20</v>
      </c>
      <c r="AL1929" s="4">
        <v>48</v>
      </c>
      <c r="AM1929" s="4">
        <v>56</v>
      </c>
      <c r="AN1929" s="4">
        <v>0</v>
      </c>
      <c r="AO1929" s="4">
        <v>0</v>
      </c>
      <c r="AP1929" s="4">
        <v>23</v>
      </c>
      <c r="AQ1929" s="4">
        <v>31</v>
      </c>
      <c r="AR1929" s="3" t="s">
        <v>65</v>
      </c>
      <c r="AS1929" s="3" t="s">
        <v>65</v>
      </c>
      <c r="AT1929" s="3" t="s">
        <v>209</v>
      </c>
      <c r="AU1929" s="6" t="str">
        <f>HYPERLINK("http://catalog.hathitrust.org/Record/001219231","HathiTrust Record")</f>
        <v>HathiTrust Record</v>
      </c>
      <c r="AV1929" s="6" t="str">
        <f>HYPERLINK("http://mcgill.on.worldcat.org/oclc/288365","Catalog Record")</f>
        <v>Catalog Record</v>
      </c>
      <c r="AW1929" s="6" t="str">
        <f>HYPERLINK("http://www.worldcat.org/oclc/288365","WorldCat Record")</f>
        <v>WorldCat Record</v>
      </c>
      <c r="AX1929" s="3" t="s">
        <v>18816</v>
      </c>
      <c r="AY1929" s="3" t="s">
        <v>18817</v>
      </c>
      <c r="AZ1929" s="3" t="s">
        <v>18818</v>
      </c>
      <c r="BA1929" s="3" t="s">
        <v>18818</v>
      </c>
      <c r="BB1929" s="3" t="s">
        <v>18824</v>
      </c>
      <c r="BC1929" s="3" t="s">
        <v>77</v>
      </c>
      <c r="BD1929" s="3" t="s">
        <v>78</v>
      </c>
      <c r="BF1929" s="3" t="s">
        <v>18824</v>
      </c>
      <c r="BG1929" s="3" t="s">
        <v>18825</v>
      </c>
    </row>
    <row r="1930" spans="1:59" ht="58" x14ac:dyDescent="0.35">
      <c r="A1930" s="2" t="s">
        <v>59</v>
      </c>
      <c r="B1930" s="2" t="s">
        <v>60</v>
      </c>
      <c r="C1930" s="2" t="s">
        <v>18826</v>
      </c>
      <c r="D1930" s="2" t="s">
        <v>18827</v>
      </c>
      <c r="E1930" s="2" t="s">
        <v>18828</v>
      </c>
      <c r="G1930" s="3" t="s">
        <v>65</v>
      </c>
      <c r="I1930" s="3" t="s">
        <v>65</v>
      </c>
      <c r="J1930" s="3" t="s">
        <v>65</v>
      </c>
      <c r="K1930" s="3" t="s">
        <v>66</v>
      </c>
      <c r="L1930" s="2" t="s">
        <v>18700</v>
      </c>
      <c r="M1930" s="2" t="s">
        <v>1517</v>
      </c>
      <c r="N1930" s="3" t="s">
        <v>68</v>
      </c>
      <c r="P1930" s="3" t="s">
        <v>69</v>
      </c>
      <c r="Q1930" s="2" t="s">
        <v>18829</v>
      </c>
      <c r="R1930" s="3" t="s">
        <v>71</v>
      </c>
      <c r="S1930" s="4">
        <v>0</v>
      </c>
      <c r="T1930" s="4">
        <v>0</v>
      </c>
      <c r="W1930" s="5" t="s">
        <v>72</v>
      </c>
      <c r="X1930" s="5" t="s">
        <v>72</v>
      </c>
      <c r="Y1930" s="4">
        <v>78</v>
      </c>
      <c r="Z1930" s="4">
        <v>11</v>
      </c>
      <c r="AA1930" s="4">
        <v>82</v>
      </c>
      <c r="AB1930" s="4">
        <v>1</v>
      </c>
      <c r="AC1930" s="4">
        <v>16</v>
      </c>
      <c r="AD1930" s="4">
        <v>48</v>
      </c>
      <c r="AE1930" s="4">
        <v>111</v>
      </c>
      <c r="AF1930" s="4">
        <v>0</v>
      </c>
      <c r="AG1930" s="4">
        <v>8</v>
      </c>
      <c r="AH1930" s="4">
        <v>42</v>
      </c>
      <c r="AI1930" s="4">
        <v>73</v>
      </c>
      <c r="AJ1930" s="4">
        <v>6</v>
      </c>
      <c r="AK1930" s="4">
        <v>22</v>
      </c>
      <c r="AL1930" s="4">
        <v>29</v>
      </c>
      <c r="AM1930" s="4">
        <v>42</v>
      </c>
      <c r="AN1930" s="4">
        <v>0</v>
      </c>
      <c r="AO1930" s="4">
        <v>0</v>
      </c>
      <c r="AP1930" s="4">
        <v>5</v>
      </c>
      <c r="AQ1930" s="4">
        <v>43</v>
      </c>
      <c r="AR1930" s="3" t="s">
        <v>209</v>
      </c>
      <c r="AS1930" s="3" t="s">
        <v>65</v>
      </c>
      <c r="AT1930" s="3" t="s">
        <v>65</v>
      </c>
      <c r="AV1930" s="6" t="str">
        <f>HYPERLINK("http://mcgill.on.worldcat.org/oclc/925399305","Catalog Record")</f>
        <v>Catalog Record</v>
      </c>
      <c r="AW1930" s="6" t="str">
        <f>HYPERLINK("http://www.worldcat.org/oclc/925399305","WorldCat Record")</f>
        <v>WorldCat Record</v>
      </c>
      <c r="AX1930" s="3" t="s">
        <v>18830</v>
      </c>
      <c r="AY1930" s="3" t="s">
        <v>18831</v>
      </c>
      <c r="AZ1930" s="3" t="s">
        <v>18832</v>
      </c>
      <c r="BA1930" s="3" t="s">
        <v>18832</v>
      </c>
      <c r="BB1930" s="3" t="s">
        <v>18833</v>
      </c>
      <c r="BC1930" s="3" t="s">
        <v>77</v>
      </c>
      <c r="BD1930" s="3" t="s">
        <v>78</v>
      </c>
      <c r="BE1930" s="3" t="s">
        <v>18834</v>
      </c>
      <c r="BF1930" s="3" t="s">
        <v>18833</v>
      </c>
      <c r="BG1930" s="3" t="s">
        <v>18835</v>
      </c>
    </row>
    <row r="1931" spans="1:59" ht="58" x14ac:dyDescent="0.35">
      <c r="A1931" s="2" t="s">
        <v>59</v>
      </c>
      <c r="B1931" s="2" t="s">
        <v>60</v>
      </c>
      <c r="C1931" s="2" t="s">
        <v>18836</v>
      </c>
      <c r="D1931" s="2" t="s">
        <v>18837</v>
      </c>
      <c r="E1931" s="2" t="s">
        <v>18838</v>
      </c>
      <c r="G1931" s="3" t="s">
        <v>65</v>
      </c>
      <c r="I1931" s="3" t="s">
        <v>65</v>
      </c>
      <c r="J1931" s="3" t="s">
        <v>65</v>
      </c>
      <c r="K1931" s="3" t="s">
        <v>66</v>
      </c>
      <c r="L1931" s="2" t="s">
        <v>18839</v>
      </c>
      <c r="M1931" s="2" t="s">
        <v>10780</v>
      </c>
      <c r="N1931" s="3" t="s">
        <v>139</v>
      </c>
      <c r="O1931" s="2" t="s">
        <v>12101</v>
      </c>
      <c r="P1931" s="3" t="s">
        <v>140</v>
      </c>
      <c r="Q1931" s="2" t="s">
        <v>340</v>
      </c>
      <c r="R1931" s="3" t="s">
        <v>71</v>
      </c>
      <c r="S1931" s="4">
        <v>0</v>
      </c>
      <c r="T1931" s="4">
        <v>0</v>
      </c>
      <c r="W1931" s="5" t="s">
        <v>72</v>
      </c>
      <c r="X1931" s="5" t="s">
        <v>72</v>
      </c>
      <c r="Y1931" s="4">
        <v>59</v>
      </c>
      <c r="Z1931" s="4">
        <v>5</v>
      </c>
      <c r="AA1931" s="4">
        <v>6</v>
      </c>
      <c r="AB1931" s="4">
        <v>1</v>
      </c>
      <c r="AC1931" s="4">
        <v>1</v>
      </c>
      <c r="AD1931" s="4">
        <v>37</v>
      </c>
      <c r="AE1931" s="4">
        <v>46</v>
      </c>
      <c r="AF1931" s="4">
        <v>0</v>
      </c>
      <c r="AG1931" s="4">
        <v>0</v>
      </c>
      <c r="AH1931" s="4">
        <v>36</v>
      </c>
      <c r="AI1931" s="4">
        <v>45</v>
      </c>
      <c r="AJ1931" s="4">
        <v>3</v>
      </c>
      <c r="AK1931" s="4">
        <v>4</v>
      </c>
      <c r="AL1931" s="4">
        <v>28</v>
      </c>
      <c r="AM1931" s="4">
        <v>35</v>
      </c>
      <c r="AN1931" s="4">
        <v>0</v>
      </c>
      <c r="AO1931" s="4">
        <v>0</v>
      </c>
      <c r="AP1931" s="4">
        <v>3</v>
      </c>
      <c r="AQ1931" s="4">
        <v>4</v>
      </c>
      <c r="AR1931" s="3" t="s">
        <v>65</v>
      </c>
      <c r="AS1931" s="3" t="s">
        <v>65</v>
      </c>
      <c r="AT1931" s="3" t="s">
        <v>65</v>
      </c>
      <c r="AV1931" s="6" t="str">
        <f>HYPERLINK("http://mcgill.on.worldcat.org/oclc/820120636","Catalog Record")</f>
        <v>Catalog Record</v>
      </c>
      <c r="AW1931" s="6" t="str">
        <f>HYPERLINK("http://www.worldcat.org/oclc/820120636","WorldCat Record")</f>
        <v>WorldCat Record</v>
      </c>
      <c r="AX1931" s="3" t="s">
        <v>18840</v>
      </c>
      <c r="AY1931" s="3" t="s">
        <v>18841</v>
      </c>
      <c r="AZ1931" s="3" t="s">
        <v>18842</v>
      </c>
      <c r="BA1931" s="3" t="s">
        <v>18842</v>
      </c>
      <c r="BB1931" s="3" t="s">
        <v>18843</v>
      </c>
      <c r="BC1931" s="3" t="s">
        <v>77</v>
      </c>
      <c r="BD1931" s="3" t="s">
        <v>78</v>
      </c>
      <c r="BE1931" s="3" t="s">
        <v>18844</v>
      </c>
      <c r="BF1931" s="3" t="s">
        <v>18843</v>
      </c>
      <c r="BG1931" s="3" t="s">
        <v>18845</v>
      </c>
    </row>
    <row r="1932" spans="1:59" ht="58" x14ac:dyDescent="0.35">
      <c r="A1932" s="2" t="s">
        <v>59</v>
      </c>
      <c r="B1932" s="2" t="s">
        <v>60</v>
      </c>
      <c r="C1932" s="2" t="s">
        <v>18846</v>
      </c>
      <c r="D1932" s="2" t="s">
        <v>18847</v>
      </c>
      <c r="E1932" s="2" t="s">
        <v>18848</v>
      </c>
      <c r="G1932" s="3" t="s">
        <v>209</v>
      </c>
      <c r="I1932" s="3" t="s">
        <v>65</v>
      </c>
      <c r="J1932" s="3" t="s">
        <v>209</v>
      </c>
      <c r="K1932" s="3" t="s">
        <v>66</v>
      </c>
      <c r="L1932" s="2" t="s">
        <v>18700</v>
      </c>
      <c r="M1932" s="2" t="s">
        <v>18849</v>
      </c>
      <c r="N1932" s="3" t="s">
        <v>9115</v>
      </c>
      <c r="P1932" s="3" t="s">
        <v>140</v>
      </c>
      <c r="Q1932" s="2" t="s">
        <v>18850</v>
      </c>
      <c r="R1932" s="3" t="s">
        <v>71</v>
      </c>
      <c r="S1932" s="4">
        <v>1</v>
      </c>
      <c r="T1932" s="4">
        <v>1</v>
      </c>
      <c r="U1932" s="5" t="s">
        <v>18851</v>
      </c>
      <c r="V1932" s="5" t="s">
        <v>18851</v>
      </c>
      <c r="W1932" s="5" t="s">
        <v>72</v>
      </c>
      <c r="X1932" s="5" t="s">
        <v>72</v>
      </c>
      <c r="Y1932" s="4">
        <v>2</v>
      </c>
      <c r="Z1932" s="4">
        <v>1</v>
      </c>
      <c r="AA1932" s="4">
        <v>18</v>
      </c>
      <c r="AB1932" s="4">
        <v>1</v>
      </c>
      <c r="AC1932" s="4">
        <v>4</v>
      </c>
      <c r="AD1932" s="4">
        <v>0</v>
      </c>
      <c r="AE1932" s="4">
        <v>71</v>
      </c>
      <c r="AF1932" s="4">
        <v>0</v>
      </c>
      <c r="AG1932" s="4">
        <v>2</v>
      </c>
      <c r="AH1932" s="4">
        <v>0</v>
      </c>
      <c r="AI1932" s="4">
        <v>63</v>
      </c>
      <c r="AJ1932" s="4">
        <v>0</v>
      </c>
      <c r="AK1932" s="4">
        <v>13</v>
      </c>
      <c r="AL1932" s="4">
        <v>0</v>
      </c>
      <c r="AM1932" s="4">
        <v>40</v>
      </c>
      <c r="AN1932" s="4">
        <v>0</v>
      </c>
      <c r="AO1932" s="4">
        <v>0</v>
      </c>
      <c r="AP1932" s="4">
        <v>0</v>
      </c>
      <c r="AQ1932" s="4">
        <v>12</v>
      </c>
      <c r="AR1932" s="3" t="s">
        <v>65</v>
      </c>
      <c r="AS1932" s="3" t="s">
        <v>65</v>
      </c>
      <c r="AT1932" s="3" t="s">
        <v>65</v>
      </c>
      <c r="AV1932" s="6" t="str">
        <f>HYPERLINK("http://mcgill.on.worldcat.org/oclc/61613257","Catalog Record")</f>
        <v>Catalog Record</v>
      </c>
      <c r="AW1932" s="6" t="str">
        <f>HYPERLINK("http://www.worldcat.org/oclc/61613257","WorldCat Record")</f>
        <v>WorldCat Record</v>
      </c>
      <c r="AX1932" s="3" t="s">
        <v>18852</v>
      </c>
      <c r="AY1932" s="3" t="s">
        <v>18853</v>
      </c>
      <c r="AZ1932" s="3" t="s">
        <v>18854</v>
      </c>
      <c r="BA1932" s="3" t="s">
        <v>18854</v>
      </c>
      <c r="BB1932" s="3" t="s">
        <v>18855</v>
      </c>
      <c r="BC1932" s="3" t="s">
        <v>77</v>
      </c>
      <c r="BD1932" s="3" t="s">
        <v>78</v>
      </c>
      <c r="BF1932" s="3" t="s">
        <v>18855</v>
      </c>
      <c r="BG1932" s="3" t="s">
        <v>18856</v>
      </c>
    </row>
    <row r="1933" spans="1:59" ht="58" x14ac:dyDescent="0.35">
      <c r="A1933" s="2" t="s">
        <v>59</v>
      </c>
      <c r="B1933" s="2" t="s">
        <v>60</v>
      </c>
      <c r="C1933" s="2" t="s">
        <v>18857</v>
      </c>
      <c r="D1933" s="2" t="s">
        <v>18858</v>
      </c>
      <c r="E1933" s="2" t="s">
        <v>18859</v>
      </c>
      <c r="G1933" s="3" t="s">
        <v>65</v>
      </c>
      <c r="I1933" s="3" t="s">
        <v>65</v>
      </c>
      <c r="J1933" s="3" t="s">
        <v>209</v>
      </c>
      <c r="K1933" s="3" t="s">
        <v>66</v>
      </c>
      <c r="L1933" s="2" t="s">
        <v>18700</v>
      </c>
      <c r="M1933" s="2" t="s">
        <v>18860</v>
      </c>
      <c r="N1933" s="3" t="s">
        <v>5060</v>
      </c>
      <c r="P1933" s="3" t="s">
        <v>616</v>
      </c>
      <c r="Q1933" s="2" t="s">
        <v>18861</v>
      </c>
      <c r="R1933" s="3" t="s">
        <v>71</v>
      </c>
      <c r="S1933" s="4">
        <v>8</v>
      </c>
      <c r="T1933" s="4">
        <v>8</v>
      </c>
      <c r="U1933" s="5" t="s">
        <v>14733</v>
      </c>
      <c r="V1933" s="5" t="s">
        <v>14733</v>
      </c>
      <c r="W1933" s="5" t="s">
        <v>72</v>
      </c>
      <c r="X1933" s="5" t="s">
        <v>72</v>
      </c>
      <c r="Y1933" s="4">
        <v>51</v>
      </c>
      <c r="Z1933" s="4">
        <v>6</v>
      </c>
      <c r="AA1933" s="4">
        <v>21</v>
      </c>
      <c r="AB1933" s="4">
        <v>1</v>
      </c>
      <c r="AC1933" s="4">
        <v>8</v>
      </c>
      <c r="AD1933" s="4">
        <v>25</v>
      </c>
      <c r="AE1933" s="4">
        <v>50</v>
      </c>
      <c r="AF1933" s="4">
        <v>0</v>
      </c>
      <c r="AG1933" s="4">
        <v>4</v>
      </c>
      <c r="AH1933" s="4">
        <v>21</v>
      </c>
      <c r="AI1933" s="4">
        <v>41</v>
      </c>
      <c r="AJ1933" s="4">
        <v>3</v>
      </c>
      <c r="AK1933" s="4">
        <v>12</v>
      </c>
      <c r="AL1933" s="4">
        <v>17</v>
      </c>
      <c r="AM1933" s="4">
        <v>29</v>
      </c>
      <c r="AN1933" s="4">
        <v>0</v>
      </c>
      <c r="AO1933" s="4">
        <v>0</v>
      </c>
      <c r="AP1933" s="4">
        <v>4</v>
      </c>
      <c r="AQ1933" s="4">
        <v>14</v>
      </c>
      <c r="AR1933" s="3" t="s">
        <v>65</v>
      </c>
      <c r="AS1933" s="3" t="s">
        <v>65</v>
      </c>
      <c r="AT1933" s="3" t="s">
        <v>65</v>
      </c>
      <c r="AV1933" s="6" t="str">
        <f>HYPERLINK("http://mcgill.on.worldcat.org/oclc/4854381","Catalog Record")</f>
        <v>Catalog Record</v>
      </c>
      <c r="AW1933" s="6" t="str">
        <f>HYPERLINK("http://www.worldcat.org/oclc/4854381","WorldCat Record")</f>
        <v>WorldCat Record</v>
      </c>
      <c r="AX1933" s="3" t="s">
        <v>18862</v>
      </c>
      <c r="AY1933" s="3" t="s">
        <v>18863</v>
      </c>
      <c r="AZ1933" s="3" t="s">
        <v>18864</v>
      </c>
      <c r="BA1933" s="3" t="s">
        <v>18864</v>
      </c>
      <c r="BB1933" s="3" t="s">
        <v>18865</v>
      </c>
      <c r="BC1933" s="3" t="s">
        <v>77</v>
      </c>
      <c r="BD1933" s="3" t="s">
        <v>78</v>
      </c>
      <c r="BE1933" s="3" t="s">
        <v>18866</v>
      </c>
      <c r="BF1933" s="3" t="s">
        <v>18865</v>
      </c>
      <c r="BG1933" s="3" t="s">
        <v>18867</v>
      </c>
    </row>
    <row r="1934" spans="1:59" ht="58" x14ac:dyDescent="0.35">
      <c r="A1934" s="2" t="s">
        <v>59</v>
      </c>
      <c r="B1934" s="2" t="s">
        <v>60</v>
      </c>
      <c r="C1934" s="2" t="s">
        <v>18868</v>
      </c>
      <c r="D1934" s="2" t="s">
        <v>18869</v>
      </c>
      <c r="E1934" s="2" t="s">
        <v>18870</v>
      </c>
      <c r="G1934" s="3" t="s">
        <v>65</v>
      </c>
      <c r="I1934" s="3" t="s">
        <v>65</v>
      </c>
      <c r="J1934" s="3" t="s">
        <v>209</v>
      </c>
      <c r="K1934" s="3" t="s">
        <v>66</v>
      </c>
      <c r="L1934" s="2" t="s">
        <v>18700</v>
      </c>
      <c r="M1934" s="2" t="s">
        <v>18871</v>
      </c>
      <c r="N1934" s="3" t="s">
        <v>247</v>
      </c>
      <c r="P1934" s="3" t="s">
        <v>140</v>
      </c>
      <c r="Q1934" s="2" t="s">
        <v>18872</v>
      </c>
      <c r="R1934" s="3" t="s">
        <v>71</v>
      </c>
      <c r="S1934" s="4">
        <v>7</v>
      </c>
      <c r="T1934" s="4">
        <v>7</v>
      </c>
      <c r="U1934" s="5" t="s">
        <v>5441</v>
      </c>
      <c r="V1934" s="5" t="s">
        <v>5441</v>
      </c>
      <c r="W1934" s="5" t="s">
        <v>72</v>
      </c>
      <c r="X1934" s="5" t="s">
        <v>72</v>
      </c>
      <c r="Y1934" s="4">
        <v>29</v>
      </c>
      <c r="Z1934" s="4">
        <v>2</v>
      </c>
      <c r="AA1934" s="4">
        <v>18</v>
      </c>
      <c r="AB1934" s="4">
        <v>1</v>
      </c>
      <c r="AC1934" s="4">
        <v>4</v>
      </c>
      <c r="AD1934" s="4">
        <v>16</v>
      </c>
      <c r="AE1934" s="4">
        <v>71</v>
      </c>
      <c r="AF1934" s="4">
        <v>0</v>
      </c>
      <c r="AG1934" s="4">
        <v>2</v>
      </c>
      <c r="AH1934" s="4">
        <v>15</v>
      </c>
      <c r="AI1934" s="4">
        <v>63</v>
      </c>
      <c r="AJ1934" s="4">
        <v>1</v>
      </c>
      <c r="AK1934" s="4">
        <v>13</v>
      </c>
      <c r="AL1934" s="4">
        <v>14</v>
      </c>
      <c r="AM1934" s="4">
        <v>40</v>
      </c>
      <c r="AN1934" s="4">
        <v>0</v>
      </c>
      <c r="AO1934" s="4">
        <v>0</v>
      </c>
      <c r="AP1934" s="4">
        <v>1</v>
      </c>
      <c r="AQ1934" s="4">
        <v>12</v>
      </c>
      <c r="AR1934" s="3" t="s">
        <v>65</v>
      </c>
      <c r="AS1934" s="3" t="s">
        <v>65</v>
      </c>
      <c r="AT1934" s="3" t="s">
        <v>209</v>
      </c>
      <c r="AU1934" s="6" t="str">
        <f>HYPERLINK("http://catalog.hathitrust.org/Record/002726900","HathiTrust Record")</f>
        <v>HathiTrust Record</v>
      </c>
      <c r="AV1934" s="6" t="str">
        <f>HYPERLINK("http://mcgill.on.worldcat.org/oclc/28811550","Catalog Record")</f>
        <v>Catalog Record</v>
      </c>
      <c r="AW1934" s="6" t="str">
        <f>HYPERLINK("http://www.worldcat.org/oclc/28811550","WorldCat Record")</f>
        <v>WorldCat Record</v>
      </c>
      <c r="AX1934" s="3" t="s">
        <v>18852</v>
      </c>
      <c r="AY1934" s="3" t="s">
        <v>18873</v>
      </c>
      <c r="AZ1934" s="3" t="s">
        <v>18874</v>
      </c>
      <c r="BA1934" s="3" t="s">
        <v>18874</v>
      </c>
      <c r="BB1934" s="3" t="s">
        <v>18875</v>
      </c>
      <c r="BC1934" s="3" t="s">
        <v>77</v>
      </c>
      <c r="BD1934" s="3" t="s">
        <v>106</v>
      </c>
      <c r="BE1934" s="3" t="s">
        <v>18876</v>
      </c>
      <c r="BF1934" s="3" t="s">
        <v>18875</v>
      </c>
      <c r="BG1934" s="3" t="s">
        <v>18877</v>
      </c>
    </row>
    <row r="1935" spans="1:59" ht="58" x14ac:dyDescent="0.35">
      <c r="A1935" s="2" t="s">
        <v>59</v>
      </c>
      <c r="B1935" s="2" t="s">
        <v>60</v>
      </c>
      <c r="C1935" s="2" t="s">
        <v>18878</v>
      </c>
      <c r="D1935" s="2" t="s">
        <v>18879</v>
      </c>
      <c r="E1935" s="2" t="s">
        <v>18880</v>
      </c>
      <c r="G1935" s="3" t="s">
        <v>65</v>
      </c>
      <c r="I1935" s="3" t="s">
        <v>65</v>
      </c>
      <c r="J1935" s="3" t="s">
        <v>65</v>
      </c>
      <c r="K1935" s="3" t="s">
        <v>66</v>
      </c>
      <c r="L1935" s="2" t="s">
        <v>18881</v>
      </c>
      <c r="M1935" s="2" t="s">
        <v>18882</v>
      </c>
      <c r="N1935" s="3" t="s">
        <v>113</v>
      </c>
      <c r="O1935" s="2" t="s">
        <v>365</v>
      </c>
      <c r="P1935" s="3" t="s">
        <v>140</v>
      </c>
      <c r="Q1935" s="2" t="s">
        <v>18883</v>
      </c>
      <c r="R1935" s="3" t="s">
        <v>71</v>
      </c>
      <c r="S1935" s="4">
        <v>2</v>
      </c>
      <c r="T1935" s="4">
        <v>2</v>
      </c>
      <c r="U1935" s="5" t="s">
        <v>18815</v>
      </c>
      <c r="V1935" s="5" t="s">
        <v>18815</v>
      </c>
      <c r="W1935" s="5" t="s">
        <v>72</v>
      </c>
      <c r="X1935" s="5" t="s">
        <v>72</v>
      </c>
      <c r="Y1935" s="4">
        <v>57</v>
      </c>
      <c r="Z1935" s="4">
        <v>5</v>
      </c>
      <c r="AA1935" s="4">
        <v>6</v>
      </c>
      <c r="AB1935" s="4">
        <v>1</v>
      </c>
      <c r="AC1935" s="4">
        <v>2</v>
      </c>
      <c r="AD1935" s="4">
        <v>43</v>
      </c>
      <c r="AE1935" s="4">
        <v>43</v>
      </c>
      <c r="AF1935" s="4">
        <v>0</v>
      </c>
      <c r="AG1935" s="4">
        <v>0</v>
      </c>
      <c r="AH1935" s="4">
        <v>42</v>
      </c>
      <c r="AI1935" s="4">
        <v>42</v>
      </c>
      <c r="AJ1935" s="4">
        <v>3</v>
      </c>
      <c r="AK1935" s="4">
        <v>3</v>
      </c>
      <c r="AL1935" s="4">
        <v>33</v>
      </c>
      <c r="AM1935" s="4">
        <v>33</v>
      </c>
      <c r="AN1935" s="4">
        <v>5</v>
      </c>
      <c r="AO1935" s="4">
        <v>5</v>
      </c>
      <c r="AP1935" s="4">
        <v>3</v>
      </c>
      <c r="AQ1935" s="4">
        <v>3</v>
      </c>
      <c r="AR1935" s="3" t="s">
        <v>65</v>
      </c>
      <c r="AS1935" s="3" t="s">
        <v>65</v>
      </c>
      <c r="AT1935" s="3" t="s">
        <v>209</v>
      </c>
      <c r="AU1935" s="6" t="str">
        <f>HYPERLINK("http://catalog.hathitrust.org/Record/011228604","HathiTrust Record")</f>
        <v>HathiTrust Record</v>
      </c>
      <c r="AV1935" s="6" t="str">
        <f>HYPERLINK("http://mcgill.on.worldcat.org/oclc/677915527","Catalog Record")</f>
        <v>Catalog Record</v>
      </c>
      <c r="AW1935" s="6" t="str">
        <f>HYPERLINK("http://www.worldcat.org/oclc/677915527","WorldCat Record")</f>
        <v>WorldCat Record</v>
      </c>
      <c r="AX1935" s="3" t="s">
        <v>18884</v>
      </c>
      <c r="AY1935" s="3" t="s">
        <v>18885</v>
      </c>
      <c r="AZ1935" s="3" t="s">
        <v>18886</v>
      </c>
      <c r="BA1935" s="3" t="s">
        <v>18886</v>
      </c>
      <c r="BB1935" s="3" t="s">
        <v>18887</v>
      </c>
      <c r="BC1935" s="3" t="s">
        <v>77</v>
      </c>
      <c r="BD1935" s="3" t="s">
        <v>78</v>
      </c>
      <c r="BE1935" s="3" t="s">
        <v>18888</v>
      </c>
      <c r="BF1935" s="3" t="s">
        <v>18887</v>
      </c>
      <c r="BG1935" s="3" t="s">
        <v>18889</v>
      </c>
    </row>
    <row r="1936" spans="1:59" ht="58" x14ac:dyDescent="0.35">
      <c r="A1936" s="2" t="s">
        <v>59</v>
      </c>
      <c r="B1936" s="2" t="s">
        <v>60</v>
      </c>
      <c r="C1936" s="2" t="s">
        <v>18890</v>
      </c>
      <c r="D1936" s="2" t="s">
        <v>18891</v>
      </c>
      <c r="E1936" s="2" t="s">
        <v>18892</v>
      </c>
      <c r="G1936" s="3" t="s">
        <v>65</v>
      </c>
      <c r="I1936" s="3" t="s">
        <v>65</v>
      </c>
      <c r="J1936" s="3" t="s">
        <v>65</v>
      </c>
      <c r="K1936" s="3" t="s">
        <v>66</v>
      </c>
      <c r="M1936" s="2" t="s">
        <v>18893</v>
      </c>
      <c r="N1936" s="3" t="s">
        <v>1032</v>
      </c>
      <c r="P1936" s="3" t="s">
        <v>140</v>
      </c>
      <c r="R1936" s="3" t="s">
        <v>71</v>
      </c>
      <c r="S1936" s="4">
        <v>1</v>
      </c>
      <c r="T1936" s="4">
        <v>1</v>
      </c>
      <c r="U1936" s="5" t="s">
        <v>5367</v>
      </c>
      <c r="V1936" s="5" t="s">
        <v>5367</v>
      </c>
      <c r="W1936" s="5" t="s">
        <v>72</v>
      </c>
      <c r="X1936" s="5" t="s">
        <v>72</v>
      </c>
      <c r="Y1936" s="4">
        <v>50</v>
      </c>
      <c r="Z1936" s="4">
        <v>3</v>
      </c>
      <c r="AA1936" s="4">
        <v>6</v>
      </c>
      <c r="AB1936" s="4">
        <v>1</v>
      </c>
      <c r="AC1936" s="4">
        <v>1</v>
      </c>
      <c r="AD1936" s="4">
        <v>33</v>
      </c>
      <c r="AE1936" s="4">
        <v>34</v>
      </c>
      <c r="AF1936" s="4">
        <v>0</v>
      </c>
      <c r="AG1936" s="4">
        <v>0</v>
      </c>
      <c r="AH1936" s="4">
        <v>31</v>
      </c>
      <c r="AI1936" s="4">
        <v>32</v>
      </c>
      <c r="AJ1936" s="4">
        <v>2</v>
      </c>
      <c r="AK1936" s="4">
        <v>3</v>
      </c>
      <c r="AL1936" s="4">
        <v>27</v>
      </c>
      <c r="AM1936" s="4">
        <v>28</v>
      </c>
      <c r="AN1936" s="4">
        <v>0</v>
      </c>
      <c r="AO1936" s="4">
        <v>0</v>
      </c>
      <c r="AP1936" s="4">
        <v>2</v>
      </c>
      <c r="AQ1936" s="4">
        <v>3</v>
      </c>
      <c r="AR1936" s="3" t="s">
        <v>65</v>
      </c>
      <c r="AS1936" s="3" t="s">
        <v>65</v>
      </c>
      <c r="AT1936" s="3" t="s">
        <v>209</v>
      </c>
      <c r="AU1936" s="6" t="str">
        <f>HYPERLINK("http://catalog.hathitrust.org/Record/003550052","HathiTrust Record")</f>
        <v>HathiTrust Record</v>
      </c>
      <c r="AV1936" s="6" t="str">
        <f>HYPERLINK("http://mcgill.on.worldcat.org/oclc/34734326","Catalog Record")</f>
        <v>Catalog Record</v>
      </c>
      <c r="AW1936" s="6" t="str">
        <f>HYPERLINK("http://www.worldcat.org/oclc/34734326","WorldCat Record")</f>
        <v>WorldCat Record</v>
      </c>
      <c r="AX1936" s="3" t="s">
        <v>18894</v>
      </c>
      <c r="AY1936" s="3" t="s">
        <v>18895</v>
      </c>
      <c r="AZ1936" s="3" t="s">
        <v>18896</v>
      </c>
      <c r="BA1936" s="3" t="s">
        <v>18896</v>
      </c>
      <c r="BB1936" s="3" t="s">
        <v>18897</v>
      </c>
      <c r="BC1936" s="3" t="s">
        <v>77</v>
      </c>
      <c r="BD1936" s="3" t="s">
        <v>78</v>
      </c>
      <c r="BF1936" s="3" t="s">
        <v>18897</v>
      </c>
      <c r="BG1936" s="3" t="s">
        <v>18898</v>
      </c>
    </row>
    <row r="1937" spans="1:59" ht="58" x14ac:dyDescent="0.35">
      <c r="A1937" s="2" t="s">
        <v>59</v>
      </c>
      <c r="B1937" s="2" t="s">
        <v>60</v>
      </c>
      <c r="C1937" s="2" t="s">
        <v>18899</v>
      </c>
      <c r="D1937" s="2" t="s">
        <v>18900</v>
      </c>
      <c r="E1937" s="2" t="s">
        <v>18901</v>
      </c>
      <c r="G1937" s="3" t="s">
        <v>65</v>
      </c>
      <c r="I1937" s="3" t="s">
        <v>65</v>
      </c>
      <c r="J1937" s="3" t="s">
        <v>65</v>
      </c>
      <c r="K1937" s="3" t="s">
        <v>66</v>
      </c>
      <c r="L1937" s="2" t="s">
        <v>18902</v>
      </c>
      <c r="M1937" s="2" t="s">
        <v>18903</v>
      </c>
      <c r="N1937" s="3" t="s">
        <v>247</v>
      </c>
      <c r="P1937" s="3" t="s">
        <v>69</v>
      </c>
      <c r="R1937" s="3" t="s">
        <v>71</v>
      </c>
      <c r="S1937" s="4">
        <v>2</v>
      </c>
      <c r="T1937" s="4">
        <v>2</v>
      </c>
      <c r="U1937" s="5" t="s">
        <v>18815</v>
      </c>
      <c r="V1937" s="5" t="s">
        <v>18815</v>
      </c>
      <c r="W1937" s="5" t="s">
        <v>72</v>
      </c>
      <c r="X1937" s="5" t="s">
        <v>72</v>
      </c>
      <c r="Y1937" s="4">
        <v>20</v>
      </c>
      <c r="Z1937" s="4">
        <v>2</v>
      </c>
      <c r="AA1937" s="4">
        <v>2</v>
      </c>
      <c r="AB1937" s="4">
        <v>1</v>
      </c>
      <c r="AC1937" s="4">
        <v>1</v>
      </c>
      <c r="AD1937" s="4">
        <v>3</v>
      </c>
      <c r="AE1937" s="4">
        <v>3</v>
      </c>
      <c r="AF1937" s="4">
        <v>0</v>
      </c>
      <c r="AG1937" s="4">
        <v>0</v>
      </c>
      <c r="AH1937" s="4">
        <v>3</v>
      </c>
      <c r="AI1937" s="4">
        <v>3</v>
      </c>
      <c r="AJ1937" s="4">
        <v>1</v>
      </c>
      <c r="AK1937" s="4">
        <v>1</v>
      </c>
      <c r="AL1937" s="4">
        <v>1</v>
      </c>
      <c r="AM1937" s="4">
        <v>1</v>
      </c>
      <c r="AN1937" s="4">
        <v>0</v>
      </c>
      <c r="AO1937" s="4">
        <v>0</v>
      </c>
      <c r="AP1937" s="4">
        <v>1</v>
      </c>
      <c r="AQ1937" s="4">
        <v>1</v>
      </c>
      <c r="AR1937" s="3" t="s">
        <v>65</v>
      </c>
      <c r="AS1937" s="3" t="s">
        <v>65</v>
      </c>
      <c r="AT1937" s="3" t="s">
        <v>65</v>
      </c>
      <c r="AV1937" s="6" t="str">
        <f>HYPERLINK("http://mcgill.on.worldcat.org/oclc/35282180","Catalog Record")</f>
        <v>Catalog Record</v>
      </c>
      <c r="AW1937" s="6" t="str">
        <f>HYPERLINK("http://www.worldcat.org/oclc/35282180","WorldCat Record")</f>
        <v>WorldCat Record</v>
      </c>
      <c r="AX1937" s="3" t="s">
        <v>18904</v>
      </c>
      <c r="AY1937" s="3" t="s">
        <v>18905</v>
      </c>
      <c r="AZ1937" s="3" t="s">
        <v>18906</v>
      </c>
      <c r="BA1937" s="3" t="s">
        <v>18906</v>
      </c>
      <c r="BB1937" s="3" t="s">
        <v>18907</v>
      </c>
      <c r="BC1937" s="3" t="s">
        <v>77</v>
      </c>
      <c r="BD1937" s="3" t="s">
        <v>78</v>
      </c>
      <c r="BE1937" s="3" t="s">
        <v>18908</v>
      </c>
      <c r="BF1937" s="3" t="s">
        <v>18907</v>
      </c>
      <c r="BG1937" s="3" t="s">
        <v>18909</v>
      </c>
    </row>
    <row r="1938" spans="1:59" ht="58" x14ac:dyDescent="0.35">
      <c r="A1938" s="2" t="s">
        <v>59</v>
      </c>
      <c r="B1938" s="2" t="s">
        <v>60</v>
      </c>
      <c r="C1938" s="2" t="s">
        <v>18910</v>
      </c>
      <c r="D1938" s="2" t="s">
        <v>18911</v>
      </c>
      <c r="E1938" s="2" t="s">
        <v>18912</v>
      </c>
      <c r="G1938" s="3" t="s">
        <v>65</v>
      </c>
      <c r="I1938" s="3" t="s">
        <v>65</v>
      </c>
      <c r="J1938" s="3" t="s">
        <v>65</v>
      </c>
      <c r="K1938" s="3" t="s">
        <v>66</v>
      </c>
      <c r="L1938" s="2" t="s">
        <v>18913</v>
      </c>
      <c r="M1938" s="2" t="s">
        <v>18914</v>
      </c>
      <c r="N1938" s="3" t="s">
        <v>113</v>
      </c>
      <c r="P1938" s="3" t="s">
        <v>616</v>
      </c>
      <c r="Q1938" s="2" t="s">
        <v>18915</v>
      </c>
      <c r="R1938" s="3" t="s">
        <v>71</v>
      </c>
      <c r="S1938" s="4">
        <v>0</v>
      </c>
      <c r="T1938" s="4">
        <v>0</v>
      </c>
      <c r="W1938" s="5" t="s">
        <v>72</v>
      </c>
      <c r="X1938" s="5" t="s">
        <v>72</v>
      </c>
      <c r="Y1938" s="4">
        <v>6</v>
      </c>
      <c r="Z1938" s="4">
        <v>1</v>
      </c>
      <c r="AA1938" s="4">
        <v>3</v>
      </c>
      <c r="AB1938" s="4">
        <v>1</v>
      </c>
      <c r="AC1938" s="4">
        <v>1</v>
      </c>
      <c r="AD1938" s="4">
        <v>3</v>
      </c>
      <c r="AE1938" s="4">
        <v>4</v>
      </c>
      <c r="AF1938" s="4">
        <v>0</v>
      </c>
      <c r="AG1938" s="4">
        <v>0</v>
      </c>
      <c r="AH1938" s="4">
        <v>3</v>
      </c>
      <c r="AI1938" s="4">
        <v>4</v>
      </c>
      <c r="AJ1938" s="4">
        <v>0</v>
      </c>
      <c r="AK1938" s="4">
        <v>1</v>
      </c>
      <c r="AL1938" s="4">
        <v>3</v>
      </c>
      <c r="AM1938" s="4">
        <v>4</v>
      </c>
      <c r="AN1938" s="4">
        <v>0</v>
      </c>
      <c r="AO1938" s="4">
        <v>0</v>
      </c>
      <c r="AP1938" s="4">
        <v>0</v>
      </c>
      <c r="AQ1938" s="4">
        <v>1</v>
      </c>
      <c r="AR1938" s="3" t="s">
        <v>65</v>
      </c>
      <c r="AS1938" s="3" t="s">
        <v>65</v>
      </c>
      <c r="AT1938" s="3" t="s">
        <v>65</v>
      </c>
      <c r="AV1938" s="6" t="str">
        <f>HYPERLINK("http://mcgill.on.worldcat.org/oclc/841180788","Catalog Record")</f>
        <v>Catalog Record</v>
      </c>
      <c r="AW1938" s="6" t="str">
        <f>HYPERLINK("http://www.worldcat.org/oclc/841180788","WorldCat Record")</f>
        <v>WorldCat Record</v>
      </c>
      <c r="AX1938" s="3" t="s">
        <v>18916</v>
      </c>
      <c r="AY1938" s="3" t="s">
        <v>18917</v>
      </c>
      <c r="AZ1938" s="3" t="s">
        <v>18918</v>
      </c>
      <c r="BA1938" s="3" t="s">
        <v>18918</v>
      </c>
      <c r="BB1938" s="3" t="s">
        <v>18919</v>
      </c>
      <c r="BC1938" s="3" t="s">
        <v>77</v>
      </c>
      <c r="BD1938" s="3" t="s">
        <v>78</v>
      </c>
      <c r="BE1938" s="3" t="s">
        <v>18920</v>
      </c>
      <c r="BF1938" s="3" t="s">
        <v>18919</v>
      </c>
      <c r="BG1938" s="3" t="s">
        <v>18921</v>
      </c>
    </row>
    <row r="1939" spans="1:59" ht="58" x14ac:dyDescent="0.35">
      <c r="A1939" s="2" t="s">
        <v>59</v>
      </c>
      <c r="B1939" s="2" t="s">
        <v>60</v>
      </c>
      <c r="C1939" s="2" t="s">
        <v>18922</v>
      </c>
      <c r="D1939" s="2" t="s">
        <v>18923</v>
      </c>
      <c r="E1939" s="2" t="s">
        <v>18924</v>
      </c>
      <c r="G1939" s="3" t="s">
        <v>65</v>
      </c>
      <c r="I1939" s="3" t="s">
        <v>65</v>
      </c>
      <c r="J1939" s="3" t="s">
        <v>65</v>
      </c>
      <c r="K1939" s="3" t="s">
        <v>66</v>
      </c>
      <c r="L1939" s="2" t="s">
        <v>18925</v>
      </c>
      <c r="M1939" s="2" t="s">
        <v>18312</v>
      </c>
      <c r="N1939" s="3" t="s">
        <v>126</v>
      </c>
      <c r="P1939" s="3" t="s">
        <v>140</v>
      </c>
      <c r="Q1939" s="2" t="s">
        <v>18926</v>
      </c>
      <c r="R1939" s="3" t="s">
        <v>71</v>
      </c>
      <c r="S1939" s="4">
        <v>1</v>
      </c>
      <c r="T1939" s="4">
        <v>1</v>
      </c>
      <c r="U1939" s="5" t="s">
        <v>18815</v>
      </c>
      <c r="V1939" s="5" t="s">
        <v>18815</v>
      </c>
      <c r="W1939" s="5" t="s">
        <v>72</v>
      </c>
      <c r="X1939" s="5" t="s">
        <v>72</v>
      </c>
      <c r="Y1939" s="4">
        <v>15</v>
      </c>
      <c r="Z1939" s="4">
        <v>1</v>
      </c>
      <c r="AA1939" s="4">
        <v>5</v>
      </c>
      <c r="AB1939" s="4">
        <v>1</v>
      </c>
      <c r="AC1939" s="4">
        <v>1</v>
      </c>
      <c r="AD1939" s="4">
        <v>7</v>
      </c>
      <c r="AE1939" s="4">
        <v>40</v>
      </c>
      <c r="AF1939" s="4">
        <v>0</v>
      </c>
      <c r="AG1939" s="4">
        <v>0</v>
      </c>
      <c r="AH1939" s="4">
        <v>7</v>
      </c>
      <c r="AI1939" s="4">
        <v>39</v>
      </c>
      <c r="AJ1939" s="4">
        <v>0</v>
      </c>
      <c r="AK1939" s="4">
        <v>3</v>
      </c>
      <c r="AL1939" s="4">
        <v>5</v>
      </c>
      <c r="AM1939" s="4">
        <v>28</v>
      </c>
      <c r="AN1939" s="4">
        <v>0</v>
      </c>
      <c r="AO1939" s="4">
        <v>0</v>
      </c>
      <c r="AP1939" s="4">
        <v>0</v>
      </c>
      <c r="AQ1939" s="4">
        <v>3</v>
      </c>
      <c r="AR1939" s="3" t="s">
        <v>65</v>
      </c>
      <c r="AS1939" s="3" t="s">
        <v>65</v>
      </c>
      <c r="AT1939" s="3" t="s">
        <v>65</v>
      </c>
      <c r="AV1939" s="6" t="str">
        <f>HYPERLINK("http://mcgill.on.worldcat.org/oclc/704509766","Catalog Record")</f>
        <v>Catalog Record</v>
      </c>
      <c r="AW1939" s="6" t="str">
        <f>HYPERLINK("http://www.worldcat.org/oclc/704509766","WorldCat Record")</f>
        <v>WorldCat Record</v>
      </c>
      <c r="AX1939" s="3" t="s">
        <v>18927</v>
      </c>
      <c r="AY1939" s="3" t="s">
        <v>18928</v>
      </c>
      <c r="AZ1939" s="3" t="s">
        <v>18929</v>
      </c>
      <c r="BA1939" s="3" t="s">
        <v>18929</v>
      </c>
      <c r="BB1939" s="3" t="s">
        <v>18930</v>
      </c>
      <c r="BC1939" s="3" t="s">
        <v>77</v>
      </c>
      <c r="BD1939" s="3" t="s">
        <v>78</v>
      </c>
      <c r="BE1939" s="3" t="s">
        <v>18931</v>
      </c>
      <c r="BF1939" s="3" t="s">
        <v>18930</v>
      </c>
      <c r="BG1939" s="3" t="s">
        <v>18932</v>
      </c>
    </row>
    <row r="1940" spans="1:59" ht="72.5" x14ac:dyDescent="0.35">
      <c r="A1940" s="2" t="s">
        <v>59</v>
      </c>
      <c r="B1940" s="2" t="s">
        <v>60</v>
      </c>
      <c r="C1940" s="2" t="s">
        <v>18933</v>
      </c>
      <c r="D1940" s="2" t="s">
        <v>18934</v>
      </c>
      <c r="E1940" s="2" t="s">
        <v>18935</v>
      </c>
      <c r="G1940" s="3" t="s">
        <v>65</v>
      </c>
      <c r="I1940" s="3" t="s">
        <v>65</v>
      </c>
      <c r="J1940" s="3" t="s">
        <v>65</v>
      </c>
      <c r="K1940" s="3" t="s">
        <v>66</v>
      </c>
      <c r="M1940" s="2" t="s">
        <v>3160</v>
      </c>
      <c r="N1940" s="3" t="s">
        <v>139</v>
      </c>
      <c r="O1940" s="2" t="s">
        <v>339</v>
      </c>
      <c r="P1940" s="3" t="s">
        <v>140</v>
      </c>
      <c r="Q1940" s="2" t="s">
        <v>589</v>
      </c>
      <c r="R1940" s="3" t="s">
        <v>71</v>
      </c>
      <c r="S1940" s="4">
        <v>0</v>
      </c>
      <c r="T1940" s="4">
        <v>0</v>
      </c>
      <c r="W1940" s="5" t="s">
        <v>72</v>
      </c>
      <c r="X1940" s="5" t="s">
        <v>72</v>
      </c>
      <c r="Y1940" s="4">
        <v>25</v>
      </c>
      <c r="Z1940" s="4">
        <v>3</v>
      </c>
      <c r="AA1940" s="4">
        <v>3</v>
      </c>
      <c r="AB1940" s="4">
        <v>1</v>
      </c>
      <c r="AC1940" s="4">
        <v>1</v>
      </c>
      <c r="AD1940" s="4">
        <v>16</v>
      </c>
      <c r="AE1940" s="4">
        <v>18</v>
      </c>
      <c r="AF1940" s="4">
        <v>0</v>
      </c>
      <c r="AG1940" s="4">
        <v>0</v>
      </c>
      <c r="AH1940" s="4">
        <v>16</v>
      </c>
      <c r="AI1940" s="4">
        <v>17</v>
      </c>
      <c r="AJ1940" s="4">
        <v>1</v>
      </c>
      <c r="AK1940" s="4">
        <v>1</v>
      </c>
      <c r="AL1940" s="4">
        <v>13</v>
      </c>
      <c r="AM1940" s="4">
        <v>15</v>
      </c>
      <c r="AN1940" s="4">
        <v>0</v>
      </c>
      <c r="AO1940" s="4">
        <v>0</v>
      </c>
      <c r="AP1940" s="4">
        <v>1</v>
      </c>
      <c r="AQ1940" s="4">
        <v>1</v>
      </c>
      <c r="AR1940" s="3" t="s">
        <v>65</v>
      </c>
      <c r="AS1940" s="3" t="s">
        <v>65</v>
      </c>
      <c r="AT1940" s="3" t="s">
        <v>65</v>
      </c>
      <c r="AV1940" s="6" t="str">
        <f>HYPERLINK("http://mcgill.on.worldcat.org/oclc/793723541","Catalog Record")</f>
        <v>Catalog Record</v>
      </c>
      <c r="AW1940" s="6" t="str">
        <f>HYPERLINK("http://www.worldcat.org/oclc/793723541","WorldCat Record")</f>
        <v>WorldCat Record</v>
      </c>
      <c r="AX1940" s="3" t="s">
        <v>18936</v>
      </c>
      <c r="AY1940" s="3" t="s">
        <v>18937</v>
      </c>
      <c r="AZ1940" s="3" t="s">
        <v>18938</v>
      </c>
      <c r="BA1940" s="3" t="s">
        <v>18938</v>
      </c>
      <c r="BB1940" s="3" t="s">
        <v>18939</v>
      </c>
      <c r="BC1940" s="3" t="s">
        <v>77</v>
      </c>
      <c r="BD1940" s="3" t="s">
        <v>78</v>
      </c>
      <c r="BE1940" s="3" t="s">
        <v>18940</v>
      </c>
      <c r="BF1940" s="3" t="s">
        <v>18939</v>
      </c>
      <c r="BG1940" s="3" t="s">
        <v>18941</v>
      </c>
    </row>
    <row r="1941" spans="1:59" ht="58" x14ac:dyDescent="0.35">
      <c r="A1941" s="2" t="s">
        <v>59</v>
      </c>
      <c r="B1941" s="2" t="s">
        <v>60</v>
      </c>
      <c r="C1941" s="2" t="s">
        <v>18942</v>
      </c>
      <c r="D1941" s="2" t="s">
        <v>18943</v>
      </c>
      <c r="E1941" s="2" t="s">
        <v>18944</v>
      </c>
      <c r="G1941" s="3" t="s">
        <v>65</v>
      </c>
      <c r="I1941" s="3" t="s">
        <v>65</v>
      </c>
      <c r="J1941" s="3" t="s">
        <v>65</v>
      </c>
      <c r="K1941" s="3" t="s">
        <v>66</v>
      </c>
      <c r="L1941" s="2" t="s">
        <v>17607</v>
      </c>
      <c r="M1941" s="2" t="s">
        <v>18945</v>
      </c>
      <c r="N1941" s="3" t="s">
        <v>364</v>
      </c>
      <c r="P1941" s="3" t="s">
        <v>69</v>
      </c>
      <c r="Q1941" s="2" t="s">
        <v>18946</v>
      </c>
      <c r="R1941" s="3" t="s">
        <v>71</v>
      </c>
      <c r="S1941" s="4">
        <v>3</v>
      </c>
      <c r="T1941" s="4">
        <v>3</v>
      </c>
      <c r="U1941" s="5" t="s">
        <v>5213</v>
      </c>
      <c r="V1941" s="5" t="s">
        <v>5213</v>
      </c>
      <c r="W1941" s="5" t="s">
        <v>72</v>
      </c>
      <c r="X1941" s="5" t="s">
        <v>72</v>
      </c>
      <c r="Y1941" s="4">
        <v>131</v>
      </c>
      <c r="Z1941" s="4">
        <v>11</v>
      </c>
      <c r="AA1941" s="4">
        <v>15</v>
      </c>
      <c r="AB1941" s="4">
        <v>2</v>
      </c>
      <c r="AC1941" s="4">
        <v>5</v>
      </c>
      <c r="AD1941" s="4">
        <v>61</v>
      </c>
      <c r="AE1941" s="4">
        <v>63</v>
      </c>
      <c r="AF1941" s="4">
        <v>0</v>
      </c>
      <c r="AG1941" s="4">
        <v>0</v>
      </c>
      <c r="AH1941" s="4">
        <v>57</v>
      </c>
      <c r="AI1941" s="4">
        <v>59</v>
      </c>
      <c r="AJ1941" s="4">
        <v>7</v>
      </c>
      <c r="AK1941" s="4">
        <v>8</v>
      </c>
      <c r="AL1941" s="4">
        <v>33</v>
      </c>
      <c r="AM1941" s="4">
        <v>34</v>
      </c>
      <c r="AN1941" s="4">
        <v>0</v>
      </c>
      <c r="AO1941" s="4">
        <v>0</v>
      </c>
      <c r="AP1941" s="4">
        <v>7</v>
      </c>
      <c r="AQ1941" s="4">
        <v>8</v>
      </c>
      <c r="AR1941" s="3" t="s">
        <v>65</v>
      </c>
      <c r="AS1941" s="3" t="s">
        <v>65</v>
      </c>
      <c r="AT1941" s="3" t="s">
        <v>65</v>
      </c>
      <c r="AV1941" s="6" t="str">
        <f>HYPERLINK("http://mcgill.on.worldcat.org/oclc/49350379","Catalog Record")</f>
        <v>Catalog Record</v>
      </c>
      <c r="AW1941" s="6" t="str">
        <f>HYPERLINK("http://www.worldcat.org/oclc/49350379","WorldCat Record")</f>
        <v>WorldCat Record</v>
      </c>
      <c r="AX1941" s="3" t="s">
        <v>18947</v>
      </c>
      <c r="AY1941" s="3" t="s">
        <v>18948</v>
      </c>
      <c r="AZ1941" s="3" t="s">
        <v>18949</v>
      </c>
      <c r="BA1941" s="3" t="s">
        <v>18949</v>
      </c>
      <c r="BB1941" s="3" t="s">
        <v>18950</v>
      </c>
      <c r="BC1941" s="3" t="s">
        <v>77</v>
      </c>
      <c r="BD1941" s="3" t="s">
        <v>78</v>
      </c>
      <c r="BE1941" s="3" t="s">
        <v>18951</v>
      </c>
      <c r="BF1941" s="3" t="s">
        <v>18950</v>
      </c>
      <c r="BG1941" s="3" t="s">
        <v>18952</v>
      </c>
    </row>
    <row r="1942" spans="1:59" ht="58" x14ac:dyDescent="0.35">
      <c r="A1942" s="2" t="s">
        <v>59</v>
      </c>
      <c r="B1942" s="2" t="s">
        <v>60</v>
      </c>
      <c r="C1942" s="2" t="s">
        <v>18953</v>
      </c>
      <c r="D1942" s="2" t="s">
        <v>18954</v>
      </c>
      <c r="E1942" s="2" t="s">
        <v>18955</v>
      </c>
      <c r="G1942" s="3" t="s">
        <v>65</v>
      </c>
      <c r="I1942" s="3" t="s">
        <v>65</v>
      </c>
      <c r="J1942" s="3" t="s">
        <v>65</v>
      </c>
      <c r="K1942" s="3" t="s">
        <v>66</v>
      </c>
      <c r="L1942" s="2" t="s">
        <v>5427</v>
      </c>
      <c r="M1942" s="2" t="s">
        <v>18956</v>
      </c>
      <c r="N1942" s="3" t="s">
        <v>8834</v>
      </c>
      <c r="P1942" s="3" t="s">
        <v>69</v>
      </c>
      <c r="R1942" s="3" t="s">
        <v>71</v>
      </c>
      <c r="S1942" s="4">
        <v>8</v>
      </c>
      <c r="T1942" s="4">
        <v>8</v>
      </c>
      <c r="U1942" s="5" t="s">
        <v>5084</v>
      </c>
      <c r="V1942" s="5" t="s">
        <v>5084</v>
      </c>
      <c r="W1942" s="5" t="s">
        <v>72</v>
      </c>
      <c r="X1942" s="5" t="s">
        <v>72</v>
      </c>
      <c r="Y1942" s="4">
        <v>397</v>
      </c>
      <c r="Z1942" s="4">
        <v>15</v>
      </c>
      <c r="AA1942" s="4">
        <v>37</v>
      </c>
      <c r="AB1942" s="4">
        <v>2</v>
      </c>
      <c r="AC1942" s="4">
        <v>5</v>
      </c>
      <c r="AD1942" s="4">
        <v>96</v>
      </c>
      <c r="AE1942" s="4">
        <v>126</v>
      </c>
      <c r="AF1942" s="4">
        <v>1</v>
      </c>
      <c r="AG1942" s="4">
        <v>2</v>
      </c>
      <c r="AH1942" s="4">
        <v>90</v>
      </c>
      <c r="AI1942" s="4">
        <v>105</v>
      </c>
      <c r="AJ1942" s="4">
        <v>12</v>
      </c>
      <c r="AK1942" s="4">
        <v>20</v>
      </c>
      <c r="AL1942" s="4">
        <v>47</v>
      </c>
      <c r="AM1942" s="4">
        <v>57</v>
      </c>
      <c r="AN1942" s="4">
        <v>0</v>
      </c>
      <c r="AO1942" s="4">
        <v>0</v>
      </c>
      <c r="AP1942" s="4">
        <v>12</v>
      </c>
      <c r="AQ1942" s="4">
        <v>27</v>
      </c>
      <c r="AR1942" s="3" t="s">
        <v>65</v>
      </c>
      <c r="AS1942" s="3" t="s">
        <v>209</v>
      </c>
      <c r="AT1942" s="3" t="s">
        <v>65</v>
      </c>
      <c r="AU1942" s="6" t="str">
        <f>HYPERLINK("http://catalog.hathitrust.org/Record/001111533","HathiTrust Record")</f>
        <v>HathiTrust Record</v>
      </c>
      <c r="AV1942" s="6" t="str">
        <f>HYPERLINK("http://mcgill.on.worldcat.org/oclc/710310","Catalog Record")</f>
        <v>Catalog Record</v>
      </c>
      <c r="AW1942" s="6" t="str">
        <f>HYPERLINK("http://www.worldcat.org/oclc/710310","WorldCat Record")</f>
        <v>WorldCat Record</v>
      </c>
      <c r="AX1942" s="3" t="s">
        <v>18957</v>
      </c>
      <c r="AY1942" s="3" t="s">
        <v>18958</v>
      </c>
      <c r="AZ1942" s="3" t="s">
        <v>18959</v>
      </c>
      <c r="BA1942" s="3" t="s">
        <v>18959</v>
      </c>
      <c r="BB1942" s="3" t="s">
        <v>18960</v>
      </c>
      <c r="BC1942" s="3" t="s">
        <v>77</v>
      </c>
      <c r="BD1942" s="3" t="s">
        <v>78</v>
      </c>
      <c r="BF1942" s="3" t="s">
        <v>18960</v>
      </c>
      <c r="BG1942" s="3" t="s">
        <v>18961</v>
      </c>
    </row>
    <row r="1943" spans="1:59" ht="58" x14ac:dyDescent="0.35">
      <c r="A1943" s="2" t="s">
        <v>59</v>
      </c>
      <c r="B1943" s="2" t="s">
        <v>60</v>
      </c>
      <c r="C1943" s="2" t="s">
        <v>18962</v>
      </c>
      <c r="D1943" s="2" t="s">
        <v>18963</v>
      </c>
      <c r="E1943" s="2" t="s">
        <v>18964</v>
      </c>
      <c r="G1943" s="3" t="s">
        <v>65</v>
      </c>
      <c r="I1943" s="3" t="s">
        <v>65</v>
      </c>
      <c r="J1943" s="3" t="s">
        <v>65</v>
      </c>
      <c r="K1943" s="3" t="s">
        <v>66</v>
      </c>
      <c r="L1943" s="2" t="s">
        <v>18965</v>
      </c>
      <c r="M1943" s="2" t="s">
        <v>18966</v>
      </c>
      <c r="N1943" s="3" t="s">
        <v>139</v>
      </c>
      <c r="P1943" s="3" t="s">
        <v>140</v>
      </c>
      <c r="Q1943" s="2" t="s">
        <v>18967</v>
      </c>
      <c r="R1943" s="3" t="s">
        <v>71</v>
      </c>
      <c r="S1943" s="4">
        <v>0</v>
      </c>
      <c r="T1943" s="4">
        <v>0</v>
      </c>
      <c r="W1943" s="5" t="s">
        <v>72</v>
      </c>
      <c r="X1943" s="5" t="s">
        <v>72</v>
      </c>
      <c r="Y1943" s="4">
        <v>39</v>
      </c>
      <c r="Z1943" s="4">
        <v>5</v>
      </c>
      <c r="AA1943" s="4">
        <v>5</v>
      </c>
      <c r="AB1943" s="4">
        <v>1</v>
      </c>
      <c r="AC1943" s="4">
        <v>1</v>
      </c>
      <c r="AD1943" s="4">
        <v>25</v>
      </c>
      <c r="AE1943" s="4">
        <v>27</v>
      </c>
      <c r="AF1943" s="4">
        <v>0</v>
      </c>
      <c r="AG1943" s="4">
        <v>0</v>
      </c>
      <c r="AH1943" s="4">
        <v>24</v>
      </c>
      <c r="AI1943" s="4">
        <v>26</v>
      </c>
      <c r="AJ1943" s="4">
        <v>2</v>
      </c>
      <c r="AK1943" s="4">
        <v>2</v>
      </c>
      <c r="AL1943" s="4">
        <v>18</v>
      </c>
      <c r="AM1943" s="4">
        <v>19</v>
      </c>
      <c r="AN1943" s="4">
        <v>0</v>
      </c>
      <c r="AO1943" s="4">
        <v>0</v>
      </c>
      <c r="AP1943" s="4">
        <v>2</v>
      </c>
      <c r="AQ1943" s="4">
        <v>2</v>
      </c>
      <c r="AR1943" s="3" t="s">
        <v>65</v>
      </c>
      <c r="AS1943" s="3" t="s">
        <v>65</v>
      </c>
      <c r="AT1943" s="3" t="s">
        <v>65</v>
      </c>
      <c r="AV1943" s="6" t="str">
        <f>HYPERLINK("http://mcgill.on.worldcat.org/oclc/822016166","Catalog Record")</f>
        <v>Catalog Record</v>
      </c>
      <c r="AW1943" s="6" t="str">
        <f>HYPERLINK("http://www.worldcat.org/oclc/822016166","WorldCat Record")</f>
        <v>WorldCat Record</v>
      </c>
      <c r="AX1943" s="3" t="s">
        <v>18968</v>
      </c>
      <c r="AY1943" s="3" t="s">
        <v>18969</v>
      </c>
      <c r="AZ1943" s="3" t="s">
        <v>18970</v>
      </c>
      <c r="BA1943" s="3" t="s">
        <v>18970</v>
      </c>
      <c r="BB1943" s="3" t="s">
        <v>18971</v>
      </c>
      <c r="BC1943" s="3" t="s">
        <v>77</v>
      </c>
      <c r="BD1943" s="3" t="s">
        <v>78</v>
      </c>
      <c r="BE1943" s="3" t="s">
        <v>18972</v>
      </c>
      <c r="BF1943" s="3" t="s">
        <v>18971</v>
      </c>
      <c r="BG1943" s="3" t="s">
        <v>18973</v>
      </c>
    </row>
    <row r="1944" spans="1:59" ht="58" x14ac:dyDescent="0.35">
      <c r="A1944" s="2" t="s">
        <v>59</v>
      </c>
      <c r="B1944" s="2" t="s">
        <v>60</v>
      </c>
      <c r="C1944" s="2" t="s">
        <v>18974</v>
      </c>
      <c r="D1944" s="2" t="s">
        <v>18975</v>
      </c>
      <c r="E1944" s="2" t="s">
        <v>18976</v>
      </c>
      <c r="G1944" s="3" t="s">
        <v>65</v>
      </c>
      <c r="I1944" s="3" t="s">
        <v>65</v>
      </c>
      <c r="J1944" s="3" t="s">
        <v>65</v>
      </c>
      <c r="K1944" s="3" t="s">
        <v>66</v>
      </c>
      <c r="L1944" s="2" t="s">
        <v>18977</v>
      </c>
      <c r="M1944" s="2" t="s">
        <v>18978</v>
      </c>
      <c r="N1944" s="3" t="s">
        <v>942</v>
      </c>
      <c r="P1944" s="3" t="s">
        <v>140</v>
      </c>
      <c r="Q1944" s="2" t="s">
        <v>18979</v>
      </c>
      <c r="R1944" s="3" t="s">
        <v>71</v>
      </c>
      <c r="S1944" s="4">
        <v>5</v>
      </c>
      <c r="T1944" s="4">
        <v>5</v>
      </c>
      <c r="U1944" s="5" t="s">
        <v>18980</v>
      </c>
      <c r="V1944" s="5" t="s">
        <v>18980</v>
      </c>
      <c r="W1944" s="5" t="s">
        <v>72</v>
      </c>
      <c r="X1944" s="5" t="s">
        <v>72</v>
      </c>
      <c r="Y1944" s="4">
        <v>92</v>
      </c>
      <c r="Z1944" s="4">
        <v>6</v>
      </c>
      <c r="AA1944" s="4">
        <v>15</v>
      </c>
      <c r="AB1944" s="4">
        <v>1</v>
      </c>
      <c r="AC1944" s="4">
        <v>2</v>
      </c>
      <c r="AD1944" s="4">
        <v>48</v>
      </c>
      <c r="AE1944" s="4">
        <v>65</v>
      </c>
      <c r="AF1944" s="4">
        <v>0</v>
      </c>
      <c r="AG1944" s="4">
        <v>1</v>
      </c>
      <c r="AH1944" s="4">
        <v>45</v>
      </c>
      <c r="AI1944" s="4">
        <v>59</v>
      </c>
      <c r="AJ1944" s="4">
        <v>4</v>
      </c>
      <c r="AK1944" s="4">
        <v>11</v>
      </c>
      <c r="AL1944" s="4">
        <v>34</v>
      </c>
      <c r="AM1944" s="4">
        <v>41</v>
      </c>
      <c r="AN1944" s="4">
        <v>0</v>
      </c>
      <c r="AO1944" s="4">
        <v>0</v>
      </c>
      <c r="AP1944" s="4">
        <v>4</v>
      </c>
      <c r="AQ1944" s="4">
        <v>9</v>
      </c>
      <c r="AR1944" s="3" t="s">
        <v>65</v>
      </c>
      <c r="AS1944" s="3" t="s">
        <v>65</v>
      </c>
      <c r="AT1944" s="3" t="s">
        <v>209</v>
      </c>
      <c r="AU1944" s="6" t="str">
        <f>HYPERLINK("http://catalog.hathitrust.org/Record/001805754","HathiTrust Record")</f>
        <v>HathiTrust Record</v>
      </c>
      <c r="AV1944" s="6" t="str">
        <f>HYPERLINK("http://mcgill.on.worldcat.org/oclc/2472435","Catalog Record")</f>
        <v>Catalog Record</v>
      </c>
      <c r="AW1944" s="6" t="str">
        <f>HYPERLINK("http://www.worldcat.org/oclc/2472435","WorldCat Record")</f>
        <v>WorldCat Record</v>
      </c>
      <c r="AX1944" s="3" t="s">
        <v>18981</v>
      </c>
      <c r="AY1944" s="3" t="s">
        <v>18982</v>
      </c>
      <c r="AZ1944" s="3" t="s">
        <v>18983</v>
      </c>
      <c r="BA1944" s="3" t="s">
        <v>18983</v>
      </c>
      <c r="BB1944" s="3" t="s">
        <v>18984</v>
      </c>
      <c r="BC1944" s="3" t="s">
        <v>77</v>
      </c>
      <c r="BD1944" s="3" t="s">
        <v>78</v>
      </c>
      <c r="BF1944" s="3" t="s">
        <v>18984</v>
      </c>
      <c r="BG1944" s="3" t="s">
        <v>18985</v>
      </c>
    </row>
    <row r="1945" spans="1:59" ht="58" x14ac:dyDescent="0.35">
      <c r="A1945" s="2" t="s">
        <v>59</v>
      </c>
      <c r="B1945" s="2" t="s">
        <v>60</v>
      </c>
      <c r="C1945" s="2" t="s">
        <v>18986</v>
      </c>
      <c r="D1945" s="2" t="s">
        <v>18987</v>
      </c>
      <c r="E1945" s="2" t="s">
        <v>18988</v>
      </c>
      <c r="G1945" s="3" t="s">
        <v>65</v>
      </c>
      <c r="I1945" s="3" t="s">
        <v>65</v>
      </c>
      <c r="J1945" s="3" t="s">
        <v>65</v>
      </c>
      <c r="K1945" s="3" t="s">
        <v>66</v>
      </c>
      <c r="L1945" s="2" t="s">
        <v>18989</v>
      </c>
      <c r="M1945" s="2" t="s">
        <v>18990</v>
      </c>
      <c r="N1945" s="3" t="s">
        <v>1109</v>
      </c>
      <c r="P1945" s="3" t="s">
        <v>69</v>
      </c>
      <c r="Q1945" s="2" t="s">
        <v>18991</v>
      </c>
      <c r="R1945" s="3" t="s">
        <v>71</v>
      </c>
      <c r="S1945" s="4">
        <v>14</v>
      </c>
      <c r="T1945" s="4">
        <v>14</v>
      </c>
      <c r="U1945" s="5" t="s">
        <v>18815</v>
      </c>
      <c r="V1945" s="5" t="s">
        <v>18815</v>
      </c>
      <c r="W1945" s="5" t="s">
        <v>72</v>
      </c>
      <c r="X1945" s="5" t="s">
        <v>72</v>
      </c>
      <c r="Y1945" s="4">
        <v>535</v>
      </c>
      <c r="Z1945" s="4">
        <v>24</v>
      </c>
      <c r="AA1945" s="4">
        <v>24</v>
      </c>
      <c r="AB1945" s="4">
        <v>1</v>
      </c>
      <c r="AC1945" s="4">
        <v>1</v>
      </c>
      <c r="AD1945" s="4">
        <v>100</v>
      </c>
      <c r="AE1945" s="4">
        <v>100</v>
      </c>
      <c r="AF1945" s="4">
        <v>0</v>
      </c>
      <c r="AG1945" s="4">
        <v>0</v>
      </c>
      <c r="AH1945" s="4">
        <v>88</v>
      </c>
      <c r="AI1945" s="4">
        <v>88</v>
      </c>
      <c r="AJ1945" s="4">
        <v>13</v>
      </c>
      <c r="AK1945" s="4">
        <v>13</v>
      </c>
      <c r="AL1945" s="4">
        <v>49</v>
      </c>
      <c r="AM1945" s="4">
        <v>49</v>
      </c>
      <c r="AN1945" s="4">
        <v>0</v>
      </c>
      <c r="AO1945" s="4">
        <v>0</v>
      </c>
      <c r="AP1945" s="4">
        <v>15</v>
      </c>
      <c r="AQ1945" s="4">
        <v>15</v>
      </c>
      <c r="AR1945" s="3" t="s">
        <v>65</v>
      </c>
      <c r="AS1945" s="3" t="s">
        <v>65</v>
      </c>
      <c r="AT1945" s="3" t="s">
        <v>209</v>
      </c>
      <c r="AU1945" s="6" t="str">
        <f>HYPERLINK("http://catalog.hathitrust.org/Record/001004044","HathiTrust Record")</f>
        <v>HathiTrust Record</v>
      </c>
      <c r="AV1945" s="6" t="str">
        <f>HYPERLINK("http://mcgill.on.worldcat.org/oclc/947633","Catalog Record")</f>
        <v>Catalog Record</v>
      </c>
      <c r="AW1945" s="6" t="str">
        <f>HYPERLINK("http://www.worldcat.org/oclc/947633","WorldCat Record")</f>
        <v>WorldCat Record</v>
      </c>
      <c r="AX1945" s="3" t="s">
        <v>18992</v>
      </c>
      <c r="AY1945" s="3" t="s">
        <v>18993</v>
      </c>
      <c r="AZ1945" s="3" t="s">
        <v>18994</v>
      </c>
      <c r="BA1945" s="3" t="s">
        <v>18994</v>
      </c>
      <c r="BB1945" s="3" t="s">
        <v>18995</v>
      </c>
      <c r="BC1945" s="3" t="s">
        <v>77</v>
      </c>
      <c r="BD1945" s="3" t="s">
        <v>78</v>
      </c>
      <c r="BE1945" s="3" t="s">
        <v>18996</v>
      </c>
      <c r="BF1945" s="3" t="s">
        <v>18995</v>
      </c>
      <c r="BG1945" s="3" t="s">
        <v>18997</v>
      </c>
    </row>
    <row r="1946" spans="1:59" ht="58" x14ac:dyDescent="0.35">
      <c r="A1946" s="2" t="s">
        <v>59</v>
      </c>
      <c r="B1946" s="2" t="s">
        <v>60</v>
      </c>
      <c r="C1946" s="2" t="s">
        <v>18998</v>
      </c>
      <c r="D1946" s="2" t="s">
        <v>18999</v>
      </c>
      <c r="E1946" s="2" t="s">
        <v>19000</v>
      </c>
      <c r="G1946" s="3" t="s">
        <v>65</v>
      </c>
      <c r="I1946" s="3" t="s">
        <v>65</v>
      </c>
      <c r="J1946" s="3" t="s">
        <v>65</v>
      </c>
      <c r="K1946" s="3" t="s">
        <v>66</v>
      </c>
      <c r="L1946" s="2" t="s">
        <v>19001</v>
      </c>
      <c r="M1946" s="2" t="s">
        <v>19002</v>
      </c>
      <c r="N1946" s="3" t="s">
        <v>1835</v>
      </c>
      <c r="P1946" s="3" t="s">
        <v>69</v>
      </c>
      <c r="Q1946" s="2" t="s">
        <v>19003</v>
      </c>
      <c r="R1946" s="3" t="s">
        <v>71</v>
      </c>
      <c r="S1946" s="4">
        <v>18</v>
      </c>
      <c r="T1946" s="4">
        <v>18</v>
      </c>
      <c r="U1946" s="5" t="s">
        <v>18815</v>
      </c>
      <c r="V1946" s="5" t="s">
        <v>18815</v>
      </c>
      <c r="W1946" s="5" t="s">
        <v>72</v>
      </c>
      <c r="X1946" s="5" t="s">
        <v>72</v>
      </c>
      <c r="Y1946" s="4">
        <v>144</v>
      </c>
      <c r="Z1946" s="4">
        <v>16</v>
      </c>
      <c r="AA1946" s="4">
        <v>16</v>
      </c>
      <c r="AB1946" s="4">
        <v>3</v>
      </c>
      <c r="AC1946" s="4">
        <v>3</v>
      </c>
      <c r="AD1946" s="4">
        <v>73</v>
      </c>
      <c r="AE1946" s="4">
        <v>74</v>
      </c>
      <c r="AF1946" s="4">
        <v>2</v>
      </c>
      <c r="AG1946" s="4">
        <v>2</v>
      </c>
      <c r="AH1946" s="4">
        <v>67</v>
      </c>
      <c r="AI1946" s="4">
        <v>68</v>
      </c>
      <c r="AJ1946" s="4">
        <v>12</v>
      </c>
      <c r="AK1946" s="4">
        <v>12</v>
      </c>
      <c r="AL1946" s="4">
        <v>45</v>
      </c>
      <c r="AM1946" s="4">
        <v>46</v>
      </c>
      <c r="AN1946" s="4">
        <v>0</v>
      </c>
      <c r="AO1946" s="4">
        <v>0</v>
      </c>
      <c r="AP1946" s="4">
        <v>13</v>
      </c>
      <c r="AQ1946" s="4">
        <v>13</v>
      </c>
      <c r="AR1946" s="3" t="s">
        <v>65</v>
      </c>
      <c r="AS1946" s="3" t="s">
        <v>65</v>
      </c>
      <c r="AT1946" s="3" t="s">
        <v>209</v>
      </c>
      <c r="AU1946" s="6" t="str">
        <f>HYPERLINK("http://catalog.hathitrust.org/Record/000102011","HathiTrust Record")</f>
        <v>HathiTrust Record</v>
      </c>
      <c r="AV1946" s="6" t="str">
        <f>HYPERLINK("http://mcgill.on.worldcat.org/oclc/8763234","Catalog Record")</f>
        <v>Catalog Record</v>
      </c>
      <c r="AW1946" s="6" t="str">
        <f>HYPERLINK("http://www.worldcat.org/oclc/8763234","WorldCat Record")</f>
        <v>WorldCat Record</v>
      </c>
      <c r="AX1946" s="3" t="s">
        <v>19004</v>
      </c>
      <c r="AY1946" s="3" t="s">
        <v>19005</v>
      </c>
      <c r="AZ1946" s="3" t="s">
        <v>19006</v>
      </c>
      <c r="BA1946" s="3" t="s">
        <v>19006</v>
      </c>
      <c r="BB1946" s="3" t="s">
        <v>19007</v>
      </c>
      <c r="BC1946" s="3" t="s">
        <v>77</v>
      </c>
      <c r="BD1946" s="3" t="s">
        <v>78</v>
      </c>
      <c r="BF1946" s="3" t="s">
        <v>19007</v>
      </c>
      <c r="BG1946" s="3" t="s">
        <v>19008</v>
      </c>
    </row>
    <row r="1947" spans="1:59" ht="58" x14ac:dyDescent="0.35">
      <c r="A1947" s="2" t="s">
        <v>59</v>
      </c>
      <c r="B1947" s="2" t="s">
        <v>60</v>
      </c>
      <c r="C1947" s="2" t="s">
        <v>19009</v>
      </c>
      <c r="D1947" s="2" t="s">
        <v>19010</v>
      </c>
      <c r="E1947" s="2" t="s">
        <v>19011</v>
      </c>
      <c r="G1947" s="3" t="s">
        <v>65</v>
      </c>
      <c r="I1947" s="3" t="s">
        <v>65</v>
      </c>
      <c r="J1947" s="3" t="s">
        <v>65</v>
      </c>
      <c r="K1947" s="3" t="s">
        <v>66</v>
      </c>
      <c r="L1947" s="2" t="s">
        <v>19012</v>
      </c>
      <c r="M1947" s="2" t="s">
        <v>19013</v>
      </c>
      <c r="N1947" s="3" t="s">
        <v>176</v>
      </c>
      <c r="O1947" s="2" t="s">
        <v>379</v>
      </c>
      <c r="P1947" s="3" t="s">
        <v>140</v>
      </c>
      <c r="Q1947" s="2" t="s">
        <v>19014</v>
      </c>
      <c r="R1947" s="3" t="s">
        <v>71</v>
      </c>
      <c r="S1947" s="4">
        <v>0</v>
      </c>
      <c r="T1947" s="4">
        <v>0</v>
      </c>
      <c r="W1947" s="5" t="s">
        <v>72</v>
      </c>
      <c r="X1947" s="5" t="s">
        <v>72</v>
      </c>
      <c r="Y1947" s="4">
        <v>41</v>
      </c>
      <c r="Z1947" s="4">
        <v>4</v>
      </c>
      <c r="AA1947" s="4">
        <v>4</v>
      </c>
      <c r="AB1947" s="4">
        <v>1</v>
      </c>
      <c r="AC1947" s="4">
        <v>1</v>
      </c>
      <c r="AD1947" s="4">
        <v>32</v>
      </c>
      <c r="AE1947" s="4">
        <v>32</v>
      </c>
      <c r="AF1947" s="4">
        <v>0</v>
      </c>
      <c r="AG1947" s="4">
        <v>0</v>
      </c>
      <c r="AH1947" s="4">
        <v>31</v>
      </c>
      <c r="AI1947" s="4">
        <v>31</v>
      </c>
      <c r="AJ1947" s="4">
        <v>2</v>
      </c>
      <c r="AK1947" s="4">
        <v>2</v>
      </c>
      <c r="AL1947" s="4">
        <v>24</v>
      </c>
      <c r="AM1947" s="4">
        <v>24</v>
      </c>
      <c r="AN1947" s="4">
        <v>0</v>
      </c>
      <c r="AO1947" s="4">
        <v>0</v>
      </c>
      <c r="AP1947" s="4">
        <v>2</v>
      </c>
      <c r="AQ1947" s="4">
        <v>2</v>
      </c>
      <c r="AR1947" s="3" t="s">
        <v>65</v>
      </c>
      <c r="AS1947" s="3" t="s">
        <v>65</v>
      </c>
      <c r="AT1947" s="3" t="s">
        <v>65</v>
      </c>
      <c r="AV1947" s="6" t="str">
        <f>HYPERLINK("http://mcgill.on.worldcat.org/oclc/910913448","Catalog Record")</f>
        <v>Catalog Record</v>
      </c>
      <c r="AW1947" s="6" t="str">
        <f>HYPERLINK("http://www.worldcat.org/oclc/910913448","WorldCat Record")</f>
        <v>WorldCat Record</v>
      </c>
      <c r="AX1947" s="3" t="s">
        <v>19015</v>
      </c>
      <c r="AY1947" s="3" t="s">
        <v>19016</v>
      </c>
      <c r="AZ1947" s="3" t="s">
        <v>19017</v>
      </c>
      <c r="BA1947" s="3" t="s">
        <v>19017</v>
      </c>
      <c r="BB1947" s="3" t="s">
        <v>19018</v>
      </c>
      <c r="BC1947" s="3" t="s">
        <v>77</v>
      </c>
      <c r="BD1947" s="3" t="s">
        <v>78</v>
      </c>
      <c r="BE1947" s="3" t="s">
        <v>19019</v>
      </c>
      <c r="BF1947" s="3" t="s">
        <v>19018</v>
      </c>
      <c r="BG1947" s="3" t="s">
        <v>19020</v>
      </c>
    </row>
    <row r="1948" spans="1:59" ht="58" x14ac:dyDescent="0.35">
      <c r="A1948" s="2" t="s">
        <v>59</v>
      </c>
      <c r="B1948" s="2" t="s">
        <v>60</v>
      </c>
      <c r="C1948" s="2" t="s">
        <v>19021</v>
      </c>
      <c r="D1948" s="2" t="s">
        <v>19022</v>
      </c>
      <c r="E1948" s="2" t="s">
        <v>19023</v>
      </c>
      <c r="G1948" s="3" t="s">
        <v>65</v>
      </c>
      <c r="I1948" s="3" t="s">
        <v>65</v>
      </c>
      <c r="J1948" s="3" t="s">
        <v>65</v>
      </c>
      <c r="K1948" s="3" t="s">
        <v>66</v>
      </c>
      <c r="M1948" s="2" t="s">
        <v>19024</v>
      </c>
      <c r="N1948" s="3" t="s">
        <v>1032</v>
      </c>
      <c r="P1948" s="3" t="s">
        <v>69</v>
      </c>
      <c r="R1948" s="3" t="s">
        <v>71</v>
      </c>
      <c r="S1948" s="4">
        <v>8</v>
      </c>
      <c r="T1948" s="4">
        <v>8</v>
      </c>
      <c r="U1948" s="5" t="s">
        <v>19025</v>
      </c>
      <c r="V1948" s="5" t="s">
        <v>19025</v>
      </c>
      <c r="W1948" s="5" t="s">
        <v>72</v>
      </c>
      <c r="X1948" s="5" t="s">
        <v>72</v>
      </c>
      <c r="Y1948" s="4">
        <v>14</v>
      </c>
      <c r="Z1948" s="4">
        <v>9</v>
      </c>
      <c r="AA1948" s="4">
        <v>19</v>
      </c>
      <c r="AB1948" s="4">
        <v>2</v>
      </c>
      <c r="AC1948" s="4">
        <v>3</v>
      </c>
      <c r="AD1948" s="4">
        <v>12</v>
      </c>
      <c r="AE1948" s="4">
        <v>41</v>
      </c>
      <c r="AF1948" s="4">
        <v>1</v>
      </c>
      <c r="AG1948" s="4">
        <v>2</v>
      </c>
      <c r="AH1948" s="4">
        <v>8</v>
      </c>
      <c r="AI1948" s="4">
        <v>33</v>
      </c>
      <c r="AJ1948" s="4">
        <v>7</v>
      </c>
      <c r="AK1948" s="4">
        <v>14</v>
      </c>
      <c r="AL1948" s="4">
        <v>3</v>
      </c>
      <c r="AM1948" s="4">
        <v>22</v>
      </c>
      <c r="AN1948" s="4">
        <v>0</v>
      </c>
      <c r="AO1948" s="4">
        <v>0</v>
      </c>
      <c r="AP1948" s="4">
        <v>6</v>
      </c>
      <c r="AQ1948" s="4">
        <v>13</v>
      </c>
      <c r="AR1948" s="3" t="s">
        <v>209</v>
      </c>
      <c r="AS1948" s="3" t="s">
        <v>65</v>
      </c>
      <c r="AT1948" s="3" t="s">
        <v>65</v>
      </c>
      <c r="AV1948" s="6" t="str">
        <f>HYPERLINK("http://mcgill.on.worldcat.org/oclc/32387321","Catalog Record")</f>
        <v>Catalog Record</v>
      </c>
      <c r="AW1948" s="6" t="str">
        <f>HYPERLINK("http://www.worldcat.org/oclc/32387321","WorldCat Record")</f>
        <v>WorldCat Record</v>
      </c>
      <c r="AX1948" s="3" t="s">
        <v>19026</v>
      </c>
      <c r="AY1948" s="3" t="s">
        <v>19027</v>
      </c>
      <c r="AZ1948" s="3" t="s">
        <v>19028</v>
      </c>
      <c r="BA1948" s="3" t="s">
        <v>19028</v>
      </c>
      <c r="BB1948" s="3" t="s">
        <v>19029</v>
      </c>
      <c r="BC1948" s="3" t="s">
        <v>77</v>
      </c>
      <c r="BD1948" s="3" t="s">
        <v>78</v>
      </c>
      <c r="BE1948" s="3" t="s">
        <v>19030</v>
      </c>
      <c r="BF1948" s="3" t="s">
        <v>19029</v>
      </c>
      <c r="BG1948" s="3" t="s">
        <v>19031</v>
      </c>
    </row>
    <row r="1949" spans="1:59" ht="58" x14ac:dyDescent="0.35">
      <c r="A1949" s="2" t="s">
        <v>59</v>
      </c>
      <c r="B1949" s="2" t="s">
        <v>60</v>
      </c>
      <c r="C1949" s="2" t="s">
        <v>19032</v>
      </c>
      <c r="D1949" s="2" t="s">
        <v>19033</v>
      </c>
      <c r="E1949" s="2" t="s">
        <v>19034</v>
      </c>
      <c r="G1949" s="3" t="s">
        <v>65</v>
      </c>
      <c r="I1949" s="3" t="s">
        <v>65</v>
      </c>
      <c r="J1949" s="3" t="s">
        <v>65</v>
      </c>
      <c r="K1949" s="3" t="s">
        <v>66</v>
      </c>
      <c r="L1949" s="2" t="s">
        <v>19035</v>
      </c>
      <c r="M1949" s="2" t="s">
        <v>19036</v>
      </c>
      <c r="N1949" s="3" t="s">
        <v>265</v>
      </c>
      <c r="P1949" s="3" t="s">
        <v>140</v>
      </c>
      <c r="Q1949" s="2" t="s">
        <v>19037</v>
      </c>
      <c r="R1949" s="3" t="s">
        <v>71</v>
      </c>
      <c r="S1949" s="4">
        <v>0</v>
      </c>
      <c r="T1949" s="4">
        <v>0</v>
      </c>
      <c r="W1949" s="5" t="s">
        <v>266</v>
      </c>
      <c r="X1949" s="5" t="s">
        <v>266</v>
      </c>
      <c r="Y1949" s="4">
        <v>22</v>
      </c>
      <c r="Z1949" s="4">
        <v>1</v>
      </c>
      <c r="AA1949" s="4">
        <v>1</v>
      </c>
      <c r="AB1949" s="4">
        <v>1</v>
      </c>
      <c r="AC1949" s="4">
        <v>1</v>
      </c>
      <c r="AD1949" s="4">
        <v>18</v>
      </c>
      <c r="AE1949" s="4">
        <v>18</v>
      </c>
      <c r="AF1949" s="4">
        <v>0</v>
      </c>
      <c r="AG1949" s="4">
        <v>0</v>
      </c>
      <c r="AH1949" s="4">
        <v>17</v>
      </c>
      <c r="AI1949" s="4">
        <v>17</v>
      </c>
      <c r="AJ1949" s="4">
        <v>0</v>
      </c>
      <c r="AK1949" s="4">
        <v>0</v>
      </c>
      <c r="AL1949" s="4">
        <v>15</v>
      </c>
      <c r="AM1949" s="4">
        <v>15</v>
      </c>
      <c r="AN1949" s="4">
        <v>0</v>
      </c>
      <c r="AO1949" s="4">
        <v>0</v>
      </c>
      <c r="AP1949" s="4">
        <v>0</v>
      </c>
      <c r="AQ1949" s="4">
        <v>0</v>
      </c>
      <c r="AR1949" s="3" t="s">
        <v>65</v>
      </c>
      <c r="AS1949" s="3" t="s">
        <v>65</v>
      </c>
      <c r="AT1949" s="3" t="s">
        <v>65</v>
      </c>
      <c r="AV1949" s="6" t="str">
        <f>HYPERLINK("http://mcgill.on.worldcat.org/oclc/1128034131","Catalog Record")</f>
        <v>Catalog Record</v>
      </c>
      <c r="AW1949" s="6" t="str">
        <f>HYPERLINK("http://www.worldcat.org/oclc/1128034131","WorldCat Record")</f>
        <v>WorldCat Record</v>
      </c>
      <c r="AX1949" s="3" t="s">
        <v>19038</v>
      </c>
      <c r="AY1949" s="3" t="s">
        <v>19039</v>
      </c>
      <c r="AZ1949" s="3" t="s">
        <v>19040</v>
      </c>
      <c r="BA1949" s="3" t="s">
        <v>19040</v>
      </c>
      <c r="BB1949" s="3" t="s">
        <v>19041</v>
      </c>
      <c r="BC1949" s="3" t="s">
        <v>77</v>
      </c>
      <c r="BD1949" s="3" t="s">
        <v>78</v>
      </c>
      <c r="BE1949" s="3" t="s">
        <v>19042</v>
      </c>
      <c r="BF1949" s="3" t="s">
        <v>19041</v>
      </c>
      <c r="BG1949" s="3" t="s">
        <v>19043</v>
      </c>
    </row>
    <row r="1950" spans="1:59" ht="58" x14ac:dyDescent="0.35">
      <c r="A1950" s="2" t="s">
        <v>59</v>
      </c>
      <c r="B1950" s="2" t="s">
        <v>60</v>
      </c>
      <c r="C1950" s="2" t="s">
        <v>19044</v>
      </c>
      <c r="D1950" s="2" t="s">
        <v>19045</v>
      </c>
      <c r="E1950" s="2" t="s">
        <v>19046</v>
      </c>
      <c r="G1950" s="3" t="s">
        <v>65</v>
      </c>
      <c r="I1950" s="3" t="s">
        <v>65</v>
      </c>
      <c r="J1950" s="3" t="s">
        <v>65</v>
      </c>
      <c r="K1950" s="3" t="s">
        <v>66</v>
      </c>
      <c r="L1950" s="2" t="s">
        <v>19047</v>
      </c>
      <c r="M1950" s="2" t="s">
        <v>19048</v>
      </c>
      <c r="N1950" s="3" t="s">
        <v>126</v>
      </c>
      <c r="P1950" s="3" t="s">
        <v>140</v>
      </c>
      <c r="Q1950" s="2" t="s">
        <v>19049</v>
      </c>
      <c r="R1950" s="3" t="s">
        <v>71</v>
      </c>
      <c r="S1950" s="4">
        <v>0</v>
      </c>
      <c r="T1950" s="4">
        <v>0</v>
      </c>
      <c r="W1950" s="5" t="s">
        <v>72</v>
      </c>
      <c r="X1950" s="5" t="s">
        <v>72</v>
      </c>
      <c r="Y1950" s="4">
        <v>59</v>
      </c>
      <c r="Z1950" s="4">
        <v>6</v>
      </c>
      <c r="AA1950" s="4">
        <v>6</v>
      </c>
      <c r="AB1950" s="4">
        <v>1</v>
      </c>
      <c r="AC1950" s="4">
        <v>1</v>
      </c>
      <c r="AD1950" s="4">
        <v>40</v>
      </c>
      <c r="AE1950" s="4">
        <v>40</v>
      </c>
      <c r="AF1950" s="4">
        <v>0</v>
      </c>
      <c r="AG1950" s="4">
        <v>0</v>
      </c>
      <c r="AH1950" s="4">
        <v>39</v>
      </c>
      <c r="AI1950" s="4">
        <v>39</v>
      </c>
      <c r="AJ1950" s="4">
        <v>3</v>
      </c>
      <c r="AK1950" s="4">
        <v>3</v>
      </c>
      <c r="AL1950" s="4">
        <v>28</v>
      </c>
      <c r="AM1950" s="4">
        <v>28</v>
      </c>
      <c r="AN1950" s="4">
        <v>0</v>
      </c>
      <c r="AO1950" s="4">
        <v>0</v>
      </c>
      <c r="AP1950" s="4">
        <v>3</v>
      </c>
      <c r="AQ1950" s="4">
        <v>3</v>
      </c>
      <c r="AR1950" s="3" t="s">
        <v>65</v>
      </c>
      <c r="AS1950" s="3" t="s">
        <v>65</v>
      </c>
      <c r="AT1950" s="3" t="s">
        <v>65</v>
      </c>
      <c r="AV1950" s="6" t="str">
        <f>HYPERLINK("http://mcgill.on.worldcat.org/oclc/767577944","Catalog Record")</f>
        <v>Catalog Record</v>
      </c>
      <c r="AW1950" s="6" t="str">
        <f>HYPERLINK("http://www.worldcat.org/oclc/767577944","WorldCat Record")</f>
        <v>WorldCat Record</v>
      </c>
      <c r="AX1950" s="3" t="s">
        <v>19050</v>
      </c>
      <c r="AY1950" s="3" t="s">
        <v>19051</v>
      </c>
      <c r="AZ1950" s="3" t="s">
        <v>19052</v>
      </c>
      <c r="BA1950" s="3" t="s">
        <v>19052</v>
      </c>
      <c r="BB1950" s="3" t="s">
        <v>19053</v>
      </c>
      <c r="BC1950" s="3" t="s">
        <v>77</v>
      </c>
      <c r="BD1950" s="3" t="s">
        <v>78</v>
      </c>
      <c r="BE1950" s="3" t="s">
        <v>19054</v>
      </c>
      <c r="BF1950" s="3" t="s">
        <v>19053</v>
      </c>
      <c r="BG1950" s="3" t="s">
        <v>19055</v>
      </c>
    </row>
    <row r="1951" spans="1:59" ht="58" x14ac:dyDescent="0.35">
      <c r="A1951" s="2" t="s">
        <v>59</v>
      </c>
      <c r="B1951" s="2" t="s">
        <v>60</v>
      </c>
      <c r="C1951" s="2" t="s">
        <v>19056</v>
      </c>
      <c r="D1951" s="2" t="s">
        <v>19057</v>
      </c>
      <c r="E1951" s="2" t="s">
        <v>19058</v>
      </c>
      <c r="G1951" s="3" t="s">
        <v>65</v>
      </c>
      <c r="I1951" s="3" t="s">
        <v>65</v>
      </c>
      <c r="J1951" s="3" t="s">
        <v>65</v>
      </c>
      <c r="K1951" s="3" t="s">
        <v>66</v>
      </c>
      <c r="L1951" s="2" t="s">
        <v>19059</v>
      </c>
      <c r="M1951" s="2" t="s">
        <v>19060</v>
      </c>
      <c r="N1951" s="3" t="s">
        <v>2460</v>
      </c>
      <c r="P1951" s="3" t="s">
        <v>69</v>
      </c>
      <c r="Q1951" s="2" t="s">
        <v>19061</v>
      </c>
      <c r="R1951" s="3" t="s">
        <v>71</v>
      </c>
      <c r="S1951" s="4">
        <v>15</v>
      </c>
      <c r="T1951" s="4">
        <v>15</v>
      </c>
      <c r="U1951" s="5" t="s">
        <v>5084</v>
      </c>
      <c r="V1951" s="5" t="s">
        <v>5084</v>
      </c>
      <c r="W1951" s="5" t="s">
        <v>72</v>
      </c>
      <c r="X1951" s="5" t="s">
        <v>72</v>
      </c>
      <c r="Y1951" s="4">
        <v>230</v>
      </c>
      <c r="Z1951" s="4">
        <v>12</v>
      </c>
      <c r="AA1951" s="4">
        <v>13</v>
      </c>
      <c r="AB1951" s="4">
        <v>3</v>
      </c>
      <c r="AC1951" s="4">
        <v>3</v>
      </c>
      <c r="AD1951" s="4">
        <v>84</v>
      </c>
      <c r="AE1951" s="4">
        <v>88</v>
      </c>
      <c r="AF1951" s="4">
        <v>1</v>
      </c>
      <c r="AG1951" s="4">
        <v>1</v>
      </c>
      <c r="AH1951" s="4">
        <v>80</v>
      </c>
      <c r="AI1951" s="4">
        <v>82</v>
      </c>
      <c r="AJ1951" s="4">
        <v>8</v>
      </c>
      <c r="AK1951" s="4">
        <v>8</v>
      </c>
      <c r="AL1951" s="4">
        <v>44</v>
      </c>
      <c r="AM1951" s="4">
        <v>46</v>
      </c>
      <c r="AN1951" s="4">
        <v>0</v>
      </c>
      <c r="AO1951" s="4">
        <v>0</v>
      </c>
      <c r="AP1951" s="4">
        <v>8</v>
      </c>
      <c r="AQ1951" s="4">
        <v>9</v>
      </c>
      <c r="AR1951" s="3" t="s">
        <v>65</v>
      </c>
      <c r="AS1951" s="3" t="s">
        <v>65</v>
      </c>
      <c r="AT1951" s="3" t="s">
        <v>209</v>
      </c>
      <c r="AU1951" s="6" t="str">
        <f>HYPERLINK("http://catalog.hathitrust.org/Record/001534755","HathiTrust Record")</f>
        <v>HathiTrust Record</v>
      </c>
      <c r="AV1951" s="6" t="str">
        <f>HYPERLINK("http://mcgill.on.worldcat.org/oclc/16085620","Catalog Record")</f>
        <v>Catalog Record</v>
      </c>
      <c r="AW1951" s="6" t="str">
        <f>HYPERLINK("http://www.worldcat.org/oclc/16085620","WorldCat Record")</f>
        <v>WorldCat Record</v>
      </c>
      <c r="AX1951" s="3" t="s">
        <v>19062</v>
      </c>
      <c r="AY1951" s="3" t="s">
        <v>19063</v>
      </c>
      <c r="AZ1951" s="3" t="s">
        <v>19064</v>
      </c>
      <c r="BA1951" s="3" t="s">
        <v>19064</v>
      </c>
      <c r="BB1951" s="3" t="s">
        <v>19065</v>
      </c>
      <c r="BC1951" s="3" t="s">
        <v>77</v>
      </c>
      <c r="BD1951" s="3" t="s">
        <v>78</v>
      </c>
      <c r="BE1951" s="3" t="s">
        <v>19066</v>
      </c>
      <c r="BF1951" s="3" t="s">
        <v>19065</v>
      </c>
      <c r="BG1951" s="3" t="s">
        <v>19067</v>
      </c>
    </row>
    <row r="1952" spans="1:59" ht="58" x14ac:dyDescent="0.35">
      <c r="A1952" s="2" t="s">
        <v>59</v>
      </c>
      <c r="B1952" s="2" t="s">
        <v>60</v>
      </c>
      <c r="C1952" s="2" t="s">
        <v>19068</v>
      </c>
      <c r="D1952" s="2" t="s">
        <v>19069</v>
      </c>
      <c r="E1952" s="2" t="s">
        <v>19070</v>
      </c>
      <c r="G1952" s="3" t="s">
        <v>65</v>
      </c>
      <c r="I1952" s="3" t="s">
        <v>65</v>
      </c>
      <c r="J1952" s="3" t="s">
        <v>65</v>
      </c>
      <c r="K1952" s="3" t="s">
        <v>66</v>
      </c>
      <c r="L1952" s="2" t="s">
        <v>19071</v>
      </c>
      <c r="M1952" s="2" t="s">
        <v>18312</v>
      </c>
      <c r="N1952" s="3" t="s">
        <v>126</v>
      </c>
      <c r="P1952" s="3" t="s">
        <v>140</v>
      </c>
      <c r="Q1952" s="2" t="s">
        <v>19072</v>
      </c>
      <c r="R1952" s="3" t="s">
        <v>71</v>
      </c>
      <c r="S1952" s="4">
        <v>0</v>
      </c>
      <c r="T1952" s="4">
        <v>0</v>
      </c>
      <c r="W1952" s="5" t="s">
        <v>72</v>
      </c>
      <c r="X1952" s="5" t="s">
        <v>72</v>
      </c>
      <c r="Y1952" s="4">
        <v>21</v>
      </c>
      <c r="Z1952" s="4">
        <v>1</v>
      </c>
      <c r="AA1952" s="4">
        <v>3</v>
      </c>
      <c r="AB1952" s="4">
        <v>1</v>
      </c>
      <c r="AC1952" s="4">
        <v>1</v>
      </c>
      <c r="AD1952" s="4">
        <v>3</v>
      </c>
      <c r="AE1952" s="4">
        <v>33</v>
      </c>
      <c r="AF1952" s="4">
        <v>0</v>
      </c>
      <c r="AG1952" s="4">
        <v>0</v>
      </c>
      <c r="AH1952" s="4">
        <v>3</v>
      </c>
      <c r="AI1952" s="4">
        <v>32</v>
      </c>
      <c r="AJ1952" s="4">
        <v>0</v>
      </c>
      <c r="AK1952" s="4">
        <v>1</v>
      </c>
      <c r="AL1952" s="4">
        <v>1</v>
      </c>
      <c r="AM1952" s="4">
        <v>23</v>
      </c>
      <c r="AN1952" s="4">
        <v>0</v>
      </c>
      <c r="AO1952" s="4">
        <v>0</v>
      </c>
      <c r="AP1952" s="4">
        <v>0</v>
      </c>
      <c r="AQ1952" s="4">
        <v>1</v>
      </c>
      <c r="AR1952" s="3" t="s">
        <v>65</v>
      </c>
      <c r="AS1952" s="3" t="s">
        <v>65</v>
      </c>
      <c r="AT1952" s="3" t="s">
        <v>65</v>
      </c>
      <c r="AV1952" s="6" t="str">
        <f>HYPERLINK("http://mcgill.on.worldcat.org/oclc/774165205","Catalog Record")</f>
        <v>Catalog Record</v>
      </c>
      <c r="AW1952" s="6" t="str">
        <f>HYPERLINK("http://www.worldcat.org/oclc/774165205","WorldCat Record")</f>
        <v>WorldCat Record</v>
      </c>
      <c r="AX1952" s="3" t="s">
        <v>19073</v>
      </c>
      <c r="AY1952" s="3" t="s">
        <v>19074</v>
      </c>
      <c r="AZ1952" s="3" t="s">
        <v>19075</v>
      </c>
      <c r="BA1952" s="3" t="s">
        <v>19075</v>
      </c>
      <c r="BB1952" s="3" t="s">
        <v>19076</v>
      </c>
      <c r="BC1952" s="3" t="s">
        <v>77</v>
      </c>
      <c r="BD1952" s="3" t="s">
        <v>78</v>
      </c>
      <c r="BE1952" s="3" t="s">
        <v>19077</v>
      </c>
      <c r="BF1952" s="3" t="s">
        <v>19076</v>
      </c>
      <c r="BG1952" s="3" t="s">
        <v>19078</v>
      </c>
    </row>
    <row r="1953" spans="1:59" ht="58" x14ac:dyDescent="0.35">
      <c r="A1953" s="2" t="s">
        <v>59</v>
      </c>
      <c r="B1953" s="2" t="s">
        <v>60</v>
      </c>
      <c r="C1953" s="2" t="s">
        <v>19079</v>
      </c>
      <c r="D1953" s="2" t="s">
        <v>19080</v>
      </c>
      <c r="E1953" s="2" t="s">
        <v>19081</v>
      </c>
      <c r="G1953" s="3" t="s">
        <v>65</v>
      </c>
      <c r="I1953" s="3" t="s">
        <v>65</v>
      </c>
      <c r="J1953" s="3" t="s">
        <v>65</v>
      </c>
      <c r="K1953" s="3" t="s">
        <v>66</v>
      </c>
      <c r="L1953" s="2" t="s">
        <v>19059</v>
      </c>
      <c r="M1953" s="2" t="s">
        <v>19082</v>
      </c>
      <c r="N1953" s="3" t="s">
        <v>19083</v>
      </c>
      <c r="P1953" s="3" t="s">
        <v>69</v>
      </c>
      <c r="R1953" s="3" t="s">
        <v>71</v>
      </c>
      <c r="S1953" s="4">
        <v>2</v>
      </c>
      <c r="T1953" s="4">
        <v>2</v>
      </c>
      <c r="U1953" s="5" t="s">
        <v>4404</v>
      </c>
      <c r="V1953" s="5" t="s">
        <v>4404</v>
      </c>
      <c r="W1953" s="5" t="s">
        <v>72</v>
      </c>
      <c r="X1953" s="5" t="s">
        <v>72</v>
      </c>
      <c r="Y1953" s="4">
        <v>71</v>
      </c>
      <c r="Z1953" s="4">
        <v>2</v>
      </c>
      <c r="AA1953" s="4">
        <v>8</v>
      </c>
      <c r="AB1953" s="4">
        <v>1</v>
      </c>
      <c r="AC1953" s="4">
        <v>2</v>
      </c>
      <c r="AD1953" s="4">
        <v>25</v>
      </c>
      <c r="AE1953" s="4">
        <v>45</v>
      </c>
      <c r="AF1953" s="4">
        <v>0</v>
      </c>
      <c r="AG1953" s="4">
        <v>1</v>
      </c>
      <c r="AH1953" s="4">
        <v>25</v>
      </c>
      <c r="AI1953" s="4">
        <v>42</v>
      </c>
      <c r="AJ1953" s="4">
        <v>0</v>
      </c>
      <c r="AK1953" s="4">
        <v>6</v>
      </c>
      <c r="AL1953" s="4">
        <v>17</v>
      </c>
      <c r="AM1953" s="4">
        <v>28</v>
      </c>
      <c r="AN1953" s="4">
        <v>0</v>
      </c>
      <c r="AO1953" s="4">
        <v>0</v>
      </c>
      <c r="AP1953" s="4">
        <v>0</v>
      </c>
      <c r="AQ1953" s="4">
        <v>5</v>
      </c>
      <c r="AR1953" s="3" t="s">
        <v>65</v>
      </c>
      <c r="AS1953" s="3" t="s">
        <v>65</v>
      </c>
      <c r="AT1953" s="3" t="s">
        <v>209</v>
      </c>
      <c r="AU1953" s="6" t="str">
        <f>HYPERLINK("http://catalog.hathitrust.org/Record/001361001","HathiTrust Record")</f>
        <v>HathiTrust Record</v>
      </c>
      <c r="AV1953" s="6" t="str">
        <f>HYPERLINK("http://mcgill.on.worldcat.org/oclc/4978601","Catalog Record")</f>
        <v>Catalog Record</v>
      </c>
      <c r="AW1953" s="6" t="str">
        <f>HYPERLINK("http://www.worldcat.org/oclc/4978601","WorldCat Record")</f>
        <v>WorldCat Record</v>
      </c>
      <c r="AX1953" s="3" t="s">
        <v>19084</v>
      </c>
      <c r="AY1953" s="3" t="s">
        <v>19085</v>
      </c>
      <c r="AZ1953" s="3" t="s">
        <v>19086</v>
      </c>
      <c r="BA1953" s="3" t="s">
        <v>19086</v>
      </c>
      <c r="BB1953" s="3" t="s">
        <v>19087</v>
      </c>
      <c r="BC1953" s="3" t="s">
        <v>77</v>
      </c>
      <c r="BD1953" s="3" t="s">
        <v>78</v>
      </c>
      <c r="BF1953" s="3" t="s">
        <v>19087</v>
      </c>
      <c r="BG1953" s="3" t="s">
        <v>19088</v>
      </c>
    </row>
    <row r="1954" spans="1:59" ht="58" x14ac:dyDescent="0.35">
      <c r="A1954" s="2" t="s">
        <v>59</v>
      </c>
      <c r="B1954" s="2" t="s">
        <v>60</v>
      </c>
      <c r="C1954" s="2" t="s">
        <v>19089</v>
      </c>
      <c r="D1954" s="2" t="s">
        <v>19090</v>
      </c>
      <c r="E1954" s="2" t="s">
        <v>19091</v>
      </c>
      <c r="G1954" s="3" t="s">
        <v>65</v>
      </c>
      <c r="I1954" s="3" t="s">
        <v>65</v>
      </c>
      <c r="J1954" s="3" t="s">
        <v>65</v>
      </c>
      <c r="K1954" s="3" t="s">
        <v>66</v>
      </c>
      <c r="L1954" s="2" t="s">
        <v>19092</v>
      </c>
      <c r="M1954" s="2" t="s">
        <v>19093</v>
      </c>
      <c r="N1954" s="3" t="s">
        <v>3385</v>
      </c>
      <c r="P1954" s="3" t="s">
        <v>69</v>
      </c>
      <c r="R1954" s="3" t="s">
        <v>71</v>
      </c>
      <c r="S1954" s="4">
        <v>5</v>
      </c>
      <c r="T1954" s="4">
        <v>5</v>
      </c>
      <c r="U1954" s="5" t="s">
        <v>5084</v>
      </c>
      <c r="V1954" s="5" t="s">
        <v>5084</v>
      </c>
      <c r="W1954" s="5" t="s">
        <v>72</v>
      </c>
      <c r="X1954" s="5" t="s">
        <v>72</v>
      </c>
      <c r="Y1954" s="4">
        <v>192</v>
      </c>
      <c r="Z1954" s="4">
        <v>12</v>
      </c>
      <c r="AA1954" s="4">
        <v>13</v>
      </c>
      <c r="AB1954" s="4">
        <v>2</v>
      </c>
      <c r="AC1954" s="4">
        <v>2</v>
      </c>
      <c r="AD1954" s="4">
        <v>85</v>
      </c>
      <c r="AE1954" s="4">
        <v>87</v>
      </c>
      <c r="AF1954" s="4">
        <v>1</v>
      </c>
      <c r="AG1954" s="4">
        <v>1</v>
      </c>
      <c r="AH1954" s="4">
        <v>80</v>
      </c>
      <c r="AI1954" s="4">
        <v>81</v>
      </c>
      <c r="AJ1954" s="4">
        <v>8</v>
      </c>
      <c r="AK1954" s="4">
        <v>9</v>
      </c>
      <c r="AL1954" s="4">
        <v>45</v>
      </c>
      <c r="AM1954" s="4">
        <v>45</v>
      </c>
      <c r="AN1954" s="4">
        <v>0</v>
      </c>
      <c r="AO1954" s="4">
        <v>0</v>
      </c>
      <c r="AP1954" s="4">
        <v>9</v>
      </c>
      <c r="AQ1954" s="4">
        <v>10</v>
      </c>
      <c r="AR1954" s="3" t="s">
        <v>65</v>
      </c>
      <c r="AS1954" s="3" t="s">
        <v>65</v>
      </c>
      <c r="AT1954" s="3" t="s">
        <v>209</v>
      </c>
      <c r="AU1954" s="6" t="str">
        <f>HYPERLINK("http://catalog.hathitrust.org/Record/004069871","HathiTrust Record")</f>
        <v>HathiTrust Record</v>
      </c>
      <c r="AV1954" s="6" t="str">
        <f>HYPERLINK("http://mcgill.on.worldcat.org/oclc/42643313","Catalog Record")</f>
        <v>Catalog Record</v>
      </c>
      <c r="AW1954" s="6" t="str">
        <f>HYPERLINK("http://www.worldcat.org/oclc/42643313","WorldCat Record")</f>
        <v>WorldCat Record</v>
      </c>
      <c r="AX1954" s="3" t="s">
        <v>19094</v>
      </c>
      <c r="AY1954" s="3" t="s">
        <v>19095</v>
      </c>
      <c r="AZ1954" s="3" t="s">
        <v>19096</v>
      </c>
      <c r="BA1954" s="3" t="s">
        <v>19096</v>
      </c>
      <c r="BB1954" s="3" t="s">
        <v>19097</v>
      </c>
      <c r="BC1954" s="3" t="s">
        <v>77</v>
      </c>
      <c r="BD1954" s="3" t="s">
        <v>78</v>
      </c>
      <c r="BE1954" s="3" t="s">
        <v>19098</v>
      </c>
      <c r="BF1954" s="3" t="s">
        <v>19097</v>
      </c>
      <c r="BG1954" s="3" t="s">
        <v>19099</v>
      </c>
    </row>
    <row r="1955" spans="1:59" ht="58" x14ac:dyDescent="0.35">
      <c r="A1955" s="2" t="s">
        <v>59</v>
      </c>
      <c r="B1955" s="2" t="s">
        <v>60</v>
      </c>
      <c r="C1955" s="2" t="s">
        <v>19100</v>
      </c>
      <c r="D1955" s="2" t="s">
        <v>19101</v>
      </c>
      <c r="E1955" s="2" t="s">
        <v>19102</v>
      </c>
      <c r="G1955" s="3" t="s">
        <v>65</v>
      </c>
      <c r="I1955" s="3" t="s">
        <v>65</v>
      </c>
      <c r="J1955" s="3" t="s">
        <v>65</v>
      </c>
      <c r="K1955" s="3" t="s">
        <v>66</v>
      </c>
      <c r="L1955" s="2" t="s">
        <v>19103</v>
      </c>
      <c r="M1955" s="2" t="s">
        <v>19104</v>
      </c>
      <c r="N1955" s="3" t="s">
        <v>564</v>
      </c>
      <c r="P1955" s="3" t="s">
        <v>140</v>
      </c>
      <c r="Q1955" s="2" t="s">
        <v>19105</v>
      </c>
      <c r="R1955" s="3" t="s">
        <v>71</v>
      </c>
      <c r="S1955" s="4">
        <v>7</v>
      </c>
      <c r="T1955" s="4">
        <v>7</v>
      </c>
      <c r="U1955" s="5" t="s">
        <v>18980</v>
      </c>
      <c r="V1955" s="5" t="s">
        <v>18980</v>
      </c>
      <c r="W1955" s="5" t="s">
        <v>72</v>
      </c>
      <c r="X1955" s="5" t="s">
        <v>72</v>
      </c>
      <c r="Y1955" s="4">
        <v>12</v>
      </c>
      <c r="Z1955" s="4">
        <v>1</v>
      </c>
      <c r="AA1955" s="4">
        <v>1</v>
      </c>
      <c r="AB1955" s="4">
        <v>1</v>
      </c>
      <c r="AC1955" s="4">
        <v>1</v>
      </c>
      <c r="AD1955" s="4">
        <v>6</v>
      </c>
      <c r="AE1955" s="4">
        <v>6</v>
      </c>
      <c r="AF1955" s="4">
        <v>0</v>
      </c>
      <c r="AG1955" s="4">
        <v>0</v>
      </c>
      <c r="AH1955" s="4">
        <v>6</v>
      </c>
      <c r="AI1955" s="4">
        <v>6</v>
      </c>
      <c r="AJ1955" s="4">
        <v>0</v>
      </c>
      <c r="AK1955" s="4">
        <v>0</v>
      </c>
      <c r="AL1955" s="4">
        <v>4</v>
      </c>
      <c r="AM1955" s="4">
        <v>4</v>
      </c>
      <c r="AN1955" s="4">
        <v>0</v>
      </c>
      <c r="AO1955" s="4">
        <v>0</v>
      </c>
      <c r="AP1955" s="4">
        <v>0</v>
      </c>
      <c r="AQ1955" s="4">
        <v>0</v>
      </c>
      <c r="AR1955" s="3" t="s">
        <v>65</v>
      </c>
      <c r="AS1955" s="3" t="s">
        <v>65</v>
      </c>
      <c r="AT1955" s="3" t="s">
        <v>65</v>
      </c>
      <c r="AV1955" s="6" t="str">
        <f>HYPERLINK("http://mcgill.on.worldcat.org/oclc/3145231","Catalog Record")</f>
        <v>Catalog Record</v>
      </c>
      <c r="AW1955" s="6" t="str">
        <f>HYPERLINK("http://www.worldcat.org/oclc/3145231","WorldCat Record")</f>
        <v>WorldCat Record</v>
      </c>
      <c r="AX1955" s="3" t="s">
        <v>19106</v>
      </c>
      <c r="AY1955" s="3" t="s">
        <v>19107</v>
      </c>
      <c r="AZ1955" s="3" t="s">
        <v>19108</v>
      </c>
      <c r="BA1955" s="3" t="s">
        <v>19108</v>
      </c>
      <c r="BB1955" s="3" t="s">
        <v>19109</v>
      </c>
      <c r="BC1955" s="3" t="s">
        <v>77</v>
      </c>
      <c r="BD1955" s="3" t="s">
        <v>106</v>
      </c>
      <c r="BF1955" s="3" t="s">
        <v>19109</v>
      </c>
      <c r="BG1955" s="3" t="s">
        <v>19110</v>
      </c>
    </row>
    <row r="1956" spans="1:59" ht="58" x14ac:dyDescent="0.35">
      <c r="A1956" s="2" t="s">
        <v>59</v>
      </c>
      <c r="B1956" s="2" t="s">
        <v>60</v>
      </c>
      <c r="C1956" s="2" t="s">
        <v>19111</v>
      </c>
      <c r="D1956" s="2" t="s">
        <v>19112</v>
      </c>
      <c r="E1956" s="2" t="s">
        <v>19113</v>
      </c>
      <c r="G1956" s="3" t="s">
        <v>65</v>
      </c>
      <c r="I1956" s="3" t="s">
        <v>65</v>
      </c>
      <c r="J1956" s="3" t="s">
        <v>65</v>
      </c>
      <c r="K1956" s="3" t="s">
        <v>66</v>
      </c>
      <c r="L1956" s="2" t="s">
        <v>19103</v>
      </c>
      <c r="M1956" s="2" t="s">
        <v>19114</v>
      </c>
      <c r="N1956" s="3" t="s">
        <v>19115</v>
      </c>
      <c r="P1956" s="3" t="s">
        <v>140</v>
      </c>
      <c r="Q1956" s="2" t="s">
        <v>19116</v>
      </c>
      <c r="R1956" s="3" t="s">
        <v>71</v>
      </c>
      <c r="S1956" s="4">
        <v>4</v>
      </c>
      <c r="T1956" s="4">
        <v>4</v>
      </c>
      <c r="U1956" s="5" t="s">
        <v>18672</v>
      </c>
      <c r="V1956" s="5" t="s">
        <v>18672</v>
      </c>
      <c r="W1956" s="5" t="s">
        <v>72</v>
      </c>
      <c r="X1956" s="5" t="s">
        <v>72</v>
      </c>
      <c r="Y1956" s="4">
        <v>41</v>
      </c>
      <c r="Z1956" s="4">
        <v>6</v>
      </c>
      <c r="AA1956" s="4">
        <v>6</v>
      </c>
      <c r="AB1956" s="4">
        <v>1</v>
      </c>
      <c r="AC1956" s="4">
        <v>1</v>
      </c>
      <c r="AD1956" s="4">
        <v>16</v>
      </c>
      <c r="AE1956" s="4">
        <v>26</v>
      </c>
      <c r="AF1956" s="4">
        <v>0</v>
      </c>
      <c r="AG1956" s="4">
        <v>0</v>
      </c>
      <c r="AH1956" s="4">
        <v>13</v>
      </c>
      <c r="AI1956" s="4">
        <v>23</v>
      </c>
      <c r="AJ1956" s="4">
        <v>4</v>
      </c>
      <c r="AK1956" s="4">
        <v>4</v>
      </c>
      <c r="AL1956" s="4">
        <v>11</v>
      </c>
      <c r="AM1956" s="4">
        <v>19</v>
      </c>
      <c r="AN1956" s="4">
        <v>0</v>
      </c>
      <c r="AO1956" s="4">
        <v>0</v>
      </c>
      <c r="AP1956" s="4">
        <v>4</v>
      </c>
      <c r="AQ1956" s="4">
        <v>4</v>
      </c>
      <c r="AR1956" s="3" t="s">
        <v>65</v>
      </c>
      <c r="AS1956" s="3" t="s">
        <v>65</v>
      </c>
      <c r="AT1956" s="3" t="s">
        <v>209</v>
      </c>
      <c r="AU1956" s="6" t="str">
        <f>HYPERLINK("http://catalog.hathitrust.org/Record/001805787","HathiTrust Record")</f>
        <v>HathiTrust Record</v>
      </c>
      <c r="AV1956" s="6" t="str">
        <f>HYPERLINK("http://mcgill.on.worldcat.org/oclc/23510718","Catalog Record")</f>
        <v>Catalog Record</v>
      </c>
      <c r="AW1956" s="6" t="str">
        <f>HYPERLINK("http://www.worldcat.org/oclc/23510718","WorldCat Record")</f>
        <v>WorldCat Record</v>
      </c>
      <c r="AX1956" s="3" t="s">
        <v>19117</v>
      </c>
      <c r="AY1956" s="3" t="s">
        <v>19118</v>
      </c>
      <c r="AZ1956" s="3" t="s">
        <v>19119</v>
      </c>
      <c r="BA1956" s="3" t="s">
        <v>19119</v>
      </c>
      <c r="BB1956" s="3" t="s">
        <v>19120</v>
      </c>
      <c r="BC1956" s="3" t="s">
        <v>77</v>
      </c>
      <c r="BD1956" s="3" t="s">
        <v>106</v>
      </c>
      <c r="BF1956" s="3" t="s">
        <v>19120</v>
      </c>
      <c r="BG1956" s="3" t="s">
        <v>19121</v>
      </c>
    </row>
    <row r="1957" spans="1:59" ht="72.5" x14ac:dyDescent="0.35">
      <c r="A1957" s="2" t="s">
        <v>59</v>
      </c>
      <c r="B1957" s="2" t="s">
        <v>60</v>
      </c>
      <c r="C1957" s="2" t="s">
        <v>19122</v>
      </c>
      <c r="D1957" s="2" t="s">
        <v>19123</v>
      </c>
      <c r="E1957" s="2" t="s">
        <v>19124</v>
      </c>
      <c r="F1957" s="3" t="s">
        <v>19125</v>
      </c>
      <c r="G1957" s="3" t="s">
        <v>65</v>
      </c>
      <c r="I1957" s="3" t="s">
        <v>65</v>
      </c>
      <c r="J1957" s="3" t="s">
        <v>209</v>
      </c>
      <c r="K1957" s="3" t="s">
        <v>66</v>
      </c>
      <c r="L1957" s="2" t="s">
        <v>19126</v>
      </c>
      <c r="M1957" s="2" t="s">
        <v>19127</v>
      </c>
      <c r="N1957" s="3" t="s">
        <v>214</v>
      </c>
      <c r="P1957" s="3" t="s">
        <v>69</v>
      </c>
      <c r="Q1957" s="2" t="s">
        <v>19128</v>
      </c>
      <c r="R1957" s="3" t="s">
        <v>71</v>
      </c>
      <c r="S1957" s="4">
        <v>2</v>
      </c>
      <c r="T1957" s="4">
        <v>2</v>
      </c>
      <c r="U1957" s="5" t="s">
        <v>2510</v>
      </c>
      <c r="V1957" s="5" t="s">
        <v>2510</v>
      </c>
      <c r="W1957" s="5" t="s">
        <v>72</v>
      </c>
      <c r="X1957" s="5" t="s">
        <v>72</v>
      </c>
      <c r="Y1957" s="4">
        <v>307</v>
      </c>
      <c r="Z1957" s="4">
        <v>14</v>
      </c>
      <c r="AA1957" s="4">
        <v>20</v>
      </c>
      <c r="AB1957" s="4">
        <v>1</v>
      </c>
      <c r="AC1957" s="4">
        <v>1</v>
      </c>
      <c r="AD1957" s="4">
        <v>76</v>
      </c>
      <c r="AE1957" s="4">
        <v>91</v>
      </c>
      <c r="AF1957" s="4">
        <v>0</v>
      </c>
      <c r="AG1957" s="4">
        <v>0</v>
      </c>
      <c r="AH1957" s="4">
        <v>68</v>
      </c>
      <c r="AI1957" s="4">
        <v>81</v>
      </c>
      <c r="AJ1957" s="4">
        <v>7</v>
      </c>
      <c r="AK1957" s="4">
        <v>10</v>
      </c>
      <c r="AL1957" s="4">
        <v>41</v>
      </c>
      <c r="AM1957" s="4">
        <v>48</v>
      </c>
      <c r="AN1957" s="4">
        <v>0</v>
      </c>
      <c r="AO1957" s="4">
        <v>0</v>
      </c>
      <c r="AP1957" s="4">
        <v>8</v>
      </c>
      <c r="AQ1957" s="4">
        <v>11</v>
      </c>
      <c r="AR1957" s="3" t="s">
        <v>65</v>
      </c>
      <c r="AS1957" s="3" t="s">
        <v>65</v>
      </c>
      <c r="AT1957" s="3" t="s">
        <v>65</v>
      </c>
      <c r="AV1957" s="6" t="str">
        <f>HYPERLINK("http://mcgill.on.worldcat.org/oclc/9081180","Catalog Record")</f>
        <v>Catalog Record</v>
      </c>
      <c r="AW1957" s="6" t="str">
        <f>HYPERLINK("http://www.worldcat.org/oclc/9081180","WorldCat Record")</f>
        <v>WorldCat Record</v>
      </c>
      <c r="AX1957" s="3" t="s">
        <v>19129</v>
      </c>
      <c r="AY1957" s="3" t="s">
        <v>19130</v>
      </c>
      <c r="AZ1957" s="3" t="s">
        <v>19131</v>
      </c>
      <c r="BA1957" s="3" t="s">
        <v>19131</v>
      </c>
      <c r="BB1957" s="3" t="s">
        <v>19132</v>
      </c>
      <c r="BC1957" s="3" t="s">
        <v>77</v>
      </c>
      <c r="BD1957" s="3" t="s">
        <v>78</v>
      </c>
      <c r="BE1957" s="3" t="s">
        <v>19133</v>
      </c>
      <c r="BF1957" s="3" t="s">
        <v>19132</v>
      </c>
      <c r="BG1957" s="3" t="s">
        <v>19134</v>
      </c>
    </row>
    <row r="1958" spans="1:59" ht="58" x14ac:dyDescent="0.35">
      <c r="A1958" s="2" t="s">
        <v>59</v>
      </c>
      <c r="B1958" s="2" t="s">
        <v>60</v>
      </c>
      <c r="C1958" s="2" t="s">
        <v>19135</v>
      </c>
      <c r="D1958" s="2" t="s">
        <v>19136</v>
      </c>
      <c r="E1958" s="2" t="s">
        <v>19137</v>
      </c>
      <c r="G1958" s="3" t="s">
        <v>65</v>
      </c>
      <c r="I1958" s="3" t="s">
        <v>65</v>
      </c>
      <c r="J1958" s="3" t="s">
        <v>65</v>
      </c>
      <c r="K1958" s="3" t="s">
        <v>66</v>
      </c>
      <c r="L1958" s="2" t="s">
        <v>19126</v>
      </c>
      <c r="M1958" s="2" t="s">
        <v>19138</v>
      </c>
      <c r="N1958" s="3" t="s">
        <v>19139</v>
      </c>
      <c r="P1958" s="3" t="s">
        <v>140</v>
      </c>
      <c r="R1958" s="3" t="s">
        <v>71</v>
      </c>
      <c r="S1958" s="4">
        <v>4</v>
      </c>
      <c r="T1958" s="4">
        <v>4</v>
      </c>
      <c r="U1958" s="5" t="s">
        <v>5619</v>
      </c>
      <c r="V1958" s="5" t="s">
        <v>5619</v>
      </c>
      <c r="W1958" s="5" t="s">
        <v>72</v>
      </c>
      <c r="X1958" s="5" t="s">
        <v>72</v>
      </c>
      <c r="Y1958" s="4">
        <v>1</v>
      </c>
      <c r="Z1958" s="4">
        <v>1</v>
      </c>
      <c r="AA1958" s="4">
        <v>1</v>
      </c>
      <c r="AB1958" s="4">
        <v>1</v>
      </c>
      <c r="AC1958" s="4">
        <v>1</v>
      </c>
      <c r="AD1958" s="4">
        <v>0</v>
      </c>
      <c r="AE1958" s="4">
        <v>4</v>
      </c>
      <c r="AF1958" s="4">
        <v>0</v>
      </c>
      <c r="AG1958" s="4">
        <v>0</v>
      </c>
      <c r="AH1958" s="4">
        <v>0</v>
      </c>
      <c r="AI1958" s="4">
        <v>4</v>
      </c>
      <c r="AJ1958" s="4">
        <v>0</v>
      </c>
      <c r="AK1958" s="4">
        <v>0</v>
      </c>
      <c r="AL1958" s="4">
        <v>0</v>
      </c>
      <c r="AM1958" s="4">
        <v>4</v>
      </c>
      <c r="AN1958" s="4">
        <v>0</v>
      </c>
      <c r="AO1958" s="4">
        <v>0</v>
      </c>
      <c r="AP1958" s="4">
        <v>0</v>
      </c>
      <c r="AQ1958" s="4">
        <v>0</v>
      </c>
      <c r="AR1958" s="3" t="s">
        <v>65</v>
      </c>
      <c r="AS1958" s="3" t="s">
        <v>65</v>
      </c>
      <c r="AT1958" s="3" t="s">
        <v>65</v>
      </c>
      <c r="AV1958" s="6" t="str">
        <f>HYPERLINK("http://mcgill.on.worldcat.org/oclc/61591563","Catalog Record")</f>
        <v>Catalog Record</v>
      </c>
      <c r="AW1958" s="6" t="str">
        <f>HYPERLINK("http://www.worldcat.org/oclc/61591563","WorldCat Record")</f>
        <v>WorldCat Record</v>
      </c>
      <c r="AX1958" s="3" t="s">
        <v>19140</v>
      </c>
      <c r="AY1958" s="3" t="s">
        <v>19141</v>
      </c>
      <c r="AZ1958" s="3" t="s">
        <v>19142</v>
      </c>
      <c r="BA1958" s="3" t="s">
        <v>19142</v>
      </c>
      <c r="BB1958" s="3" t="s">
        <v>19143</v>
      </c>
      <c r="BC1958" s="3" t="s">
        <v>77</v>
      </c>
      <c r="BD1958" s="3" t="s">
        <v>78</v>
      </c>
      <c r="BF1958" s="3" t="s">
        <v>19143</v>
      </c>
      <c r="BG1958" s="3" t="s">
        <v>19144</v>
      </c>
    </row>
    <row r="1959" spans="1:59" ht="58" x14ac:dyDescent="0.35">
      <c r="A1959" s="2" t="s">
        <v>59</v>
      </c>
      <c r="B1959" s="2" t="s">
        <v>60</v>
      </c>
      <c r="C1959" s="2" t="s">
        <v>19145</v>
      </c>
      <c r="D1959" s="2" t="s">
        <v>19146</v>
      </c>
      <c r="E1959" s="2" t="s">
        <v>19147</v>
      </c>
      <c r="G1959" s="3" t="s">
        <v>65</v>
      </c>
      <c r="I1959" s="3" t="s">
        <v>65</v>
      </c>
      <c r="J1959" s="3" t="s">
        <v>209</v>
      </c>
      <c r="K1959" s="3" t="s">
        <v>66</v>
      </c>
      <c r="L1959" s="2" t="s">
        <v>19126</v>
      </c>
      <c r="M1959" s="2" t="s">
        <v>19148</v>
      </c>
      <c r="N1959" s="3" t="s">
        <v>577</v>
      </c>
      <c r="P1959" s="3" t="s">
        <v>140</v>
      </c>
      <c r="Q1959" s="2" t="s">
        <v>19149</v>
      </c>
      <c r="R1959" s="3" t="s">
        <v>71</v>
      </c>
      <c r="S1959" s="4">
        <v>5</v>
      </c>
      <c r="T1959" s="4">
        <v>5</v>
      </c>
      <c r="U1959" s="5" t="s">
        <v>19150</v>
      </c>
      <c r="V1959" s="5" t="s">
        <v>19150</v>
      </c>
      <c r="W1959" s="5" t="s">
        <v>72</v>
      </c>
      <c r="X1959" s="5" t="s">
        <v>72</v>
      </c>
      <c r="Y1959" s="4">
        <v>36</v>
      </c>
      <c r="Z1959" s="4">
        <v>2</v>
      </c>
      <c r="AA1959" s="4">
        <v>37</v>
      </c>
      <c r="AB1959" s="4">
        <v>1</v>
      </c>
      <c r="AC1959" s="4">
        <v>5</v>
      </c>
      <c r="AD1959" s="4">
        <v>16</v>
      </c>
      <c r="AE1959" s="4">
        <v>103</v>
      </c>
      <c r="AF1959" s="4">
        <v>0</v>
      </c>
      <c r="AG1959" s="4">
        <v>3</v>
      </c>
      <c r="AH1959" s="4">
        <v>13</v>
      </c>
      <c r="AI1959" s="4">
        <v>88</v>
      </c>
      <c r="AJ1959" s="4">
        <v>1</v>
      </c>
      <c r="AK1959" s="4">
        <v>20</v>
      </c>
      <c r="AL1959" s="4">
        <v>13</v>
      </c>
      <c r="AM1959" s="4">
        <v>52</v>
      </c>
      <c r="AN1959" s="4">
        <v>0</v>
      </c>
      <c r="AO1959" s="4">
        <v>0</v>
      </c>
      <c r="AP1959" s="4">
        <v>1</v>
      </c>
      <c r="AQ1959" s="4">
        <v>22</v>
      </c>
      <c r="AR1959" s="3" t="s">
        <v>65</v>
      </c>
      <c r="AS1959" s="3" t="s">
        <v>65</v>
      </c>
      <c r="AT1959" s="3" t="s">
        <v>65</v>
      </c>
      <c r="AV1959" s="6" t="str">
        <f>HYPERLINK("http://mcgill.on.worldcat.org/oclc/4488593","Catalog Record")</f>
        <v>Catalog Record</v>
      </c>
      <c r="AW1959" s="6" t="str">
        <f>HYPERLINK("http://www.worldcat.org/oclc/4488593","WorldCat Record")</f>
        <v>WorldCat Record</v>
      </c>
      <c r="AX1959" s="3" t="s">
        <v>19151</v>
      </c>
      <c r="AY1959" s="3" t="s">
        <v>19152</v>
      </c>
      <c r="AZ1959" s="3" t="s">
        <v>19153</v>
      </c>
      <c r="BA1959" s="3" t="s">
        <v>19153</v>
      </c>
      <c r="BB1959" s="3" t="s">
        <v>19154</v>
      </c>
      <c r="BC1959" s="3" t="s">
        <v>77</v>
      </c>
      <c r="BD1959" s="3" t="s">
        <v>78</v>
      </c>
      <c r="BF1959" s="3" t="s">
        <v>19154</v>
      </c>
      <c r="BG1959" s="3" t="s">
        <v>19155</v>
      </c>
    </row>
    <row r="1960" spans="1:59" ht="58" x14ac:dyDescent="0.35">
      <c r="A1960" s="2" t="s">
        <v>59</v>
      </c>
      <c r="B1960" s="2" t="s">
        <v>60</v>
      </c>
      <c r="C1960" s="2" t="s">
        <v>19156</v>
      </c>
      <c r="D1960" s="2" t="s">
        <v>19157</v>
      </c>
      <c r="E1960" s="2" t="s">
        <v>19158</v>
      </c>
      <c r="G1960" s="3" t="s">
        <v>65</v>
      </c>
      <c r="I1960" s="3" t="s">
        <v>65</v>
      </c>
      <c r="J1960" s="3" t="s">
        <v>65</v>
      </c>
      <c r="K1960" s="3" t="s">
        <v>66</v>
      </c>
      <c r="L1960" s="2" t="s">
        <v>19159</v>
      </c>
      <c r="M1960" s="2" t="s">
        <v>2520</v>
      </c>
      <c r="N1960" s="3" t="s">
        <v>68</v>
      </c>
      <c r="O1960" s="2" t="s">
        <v>235</v>
      </c>
      <c r="P1960" s="3" t="s">
        <v>140</v>
      </c>
      <c r="Q1960" s="2" t="s">
        <v>19160</v>
      </c>
      <c r="R1960" s="3" t="s">
        <v>71</v>
      </c>
      <c r="S1960" s="4">
        <v>0</v>
      </c>
      <c r="T1960" s="4">
        <v>0</v>
      </c>
      <c r="W1960" s="5" t="s">
        <v>72</v>
      </c>
      <c r="X1960" s="5" t="s">
        <v>72</v>
      </c>
      <c r="Y1960" s="4">
        <v>44</v>
      </c>
      <c r="Z1960" s="4">
        <v>2</v>
      </c>
      <c r="AA1960" s="4">
        <v>2</v>
      </c>
      <c r="AB1960" s="4">
        <v>1</v>
      </c>
      <c r="AC1960" s="4">
        <v>1</v>
      </c>
      <c r="AD1960" s="4">
        <v>31</v>
      </c>
      <c r="AE1960" s="4">
        <v>31</v>
      </c>
      <c r="AF1960" s="4">
        <v>0</v>
      </c>
      <c r="AG1960" s="4">
        <v>0</v>
      </c>
      <c r="AH1960" s="4">
        <v>30</v>
      </c>
      <c r="AI1960" s="4">
        <v>30</v>
      </c>
      <c r="AJ1960" s="4">
        <v>1</v>
      </c>
      <c r="AK1960" s="4">
        <v>1</v>
      </c>
      <c r="AL1960" s="4">
        <v>23</v>
      </c>
      <c r="AM1960" s="4">
        <v>23</v>
      </c>
      <c r="AN1960" s="4">
        <v>0</v>
      </c>
      <c r="AO1960" s="4">
        <v>0</v>
      </c>
      <c r="AP1960" s="4">
        <v>1</v>
      </c>
      <c r="AQ1960" s="4">
        <v>1</v>
      </c>
      <c r="AR1960" s="3" t="s">
        <v>65</v>
      </c>
      <c r="AS1960" s="3" t="s">
        <v>65</v>
      </c>
      <c r="AT1960" s="3" t="s">
        <v>65</v>
      </c>
      <c r="AV1960" s="6" t="str">
        <f>HYPERLINK("http://mcgill.on.worldcat.org/oclc/968197502","Catalog Record")</f>
        <v>Catalog Record</v>
      </c>
      <c r="AW1960" s="6" t="str">
        <f>HYPERLINK("http://www.worldcat.org/oclc/968197502","WorldCat Record")</f>
        <v>WorldCat Record</v>
      </c>
      <c r="AX1960" s="3" t="s">
        <v>19161</v>
      </c>
      <c r="AY1960" s="3" t="s">
        <v>19162</v>
      </c>
      <c r="AZ1960" s="3" t="s">
        <v>19163</v>
      </c>
      <c r="BA1960" s="3" t="s">
        <v>19163</v>
      </c>
      <c r="BB1960" s="3" t="s">
        <v>19164</v>
      </c>
      <c r="BC1960" s="3" t="s">
        <v>77</v>
      </c>
      <c r="BD1960" s="3" t="s">
        <v>78</v>
      </c>
      <c r="BE1960" s="3" t="s">
        <v>19165</v>
      </c>
      <c r="BF1960" s="3" t="s">
        <v>19164</v>
      </c>
      <c r="BG1960" s="3" t="s">
        <v>19166</v>
      </c>
    </row>
    <row r="1961" spans="1:59" ht="58" x14ac:dyDescent="0.35">
      <c r="A1961" s="2" t="s">
        <v>59</v>
      </c>
      <c r="B1961" s="2" t="s">
        <v>60</v>
      </c>
      <c r="C1961" s="2" t="s">
        <v>19167</v>
      </c>
      <c r="D1961" s="2" t="s">
        <v>19168</v>
      </c>
      <c r="E1961" s="2" t="s">
        <v>19169</v>
      </c>
      <c r="G1961" s="3" t="s">
        <v>65</v>
      </c>
      <c r="I1961" s="3" t="s">
        <v>65</v>
      </c>
      <c r="J1961" s="3" t="s">
        <v>209</v>
      </c>
      <c r="K1961" s="3" t="s">
        <v>66</v>
      </c>
      <c r="L1961" s="2" t="s">
        <v>19126</v>
      </c>
      <c r="M1961" s="2" t="s">
        <v>19170</v>
      </c>
      <c r="N1961" s="3" t="s">
        <v>577</v>
      </c>
      <c r="O1961" s="2" t="s">
        <v>19171</v>
      </c>
      <c r="P1961" s="3" t="s">
        <v>140</v>
      </c>
      <c r="Q1961" s="2" t="s">
        <v>19172</v>
      </c>
      <c r="R1961" s="3" t="s">
        <v>71</v>
      </c>
      <c r="S1961" s="4">
        <v>2</v>
      </c>
      <c r="T1961" s="4">
        <v>2</v>
      </c>
      <c r="U1961" s="5" t="s">
        <v>19150</v>
      </c>
      <c r="V1961" s="5" t="s">
        <v>19150</v>
      </c>
      <c r="W1961" s="5" t="s">
        <v>72</v>
      </c>
      <c r="X1961" s="5" t="s">
        <v>72</v>
      </c>
      <c r="Y1961" s="4">
        <v>50</v>
      </c>
      <c r="Z1961" s="4">
        <v>5</v>
      </c>
      <c r="AA1961" s="4">
        <v>44</v>
      </c>
      <c r="AB1961" s="4">
        <v>1</v>
      </c>
      <c r="AC1961" s="4">
        <v>6</v>
      </c>
      <c r="AD1961" s="4">
        <v>23</v>
      </c>
      <c r="AE1961" s="4">
        <v>127</v>
      </c>
      <c r="AF1961" s="4">
        <v>0</v>
      </c>
      <c r="AG1961" s="4">
        <v>3</v>
      </c>
      <c r="AH1961" s="4">
        <v>21</v>
      </c>
      <c r="AI1961" s="4">
        <v>106</v>
      </c>
      <c r="AJ1961" s="4">
        <v>3</v>
      </c>
      <c r="AK1961" s="4">
        <v>20</v>
      </c>
      <c r="AL1961" s="4">
        <v>15</v>
      </c>
      <c r="AM1961" s="4">
        <v>60</v>
      </c>
      <c r="AN1961" s="4">
        <v>0</v>
      </c>
      <c r="AO1961" s="4">
        <v>7</v>
      </c>
      <c r="AP1961" s="4">
        <v>3</v>
      </c>
      <c r="AQ1961" s="4">
        <v>26</v>
      </c>
      <c r="AR1961" s="3" t="s">
        <v>65</v>
      </c>
      <c r="AS1961" s="3" t="s">
        <v>65</v>
      </c>
      <c r="AT1961" s="3" t="s">
        <v>209</v>
      </c>
      <c r="AU1961" s="6" t="str">
        <f>HYPERLINK("http://catalog.hathitrust.org/Record/009494128","HathiTrust Record")</f>
        <v>HathiTrust Record</v>
      </c>
      <c r="AV1961" s="6" t="str">
        <f>HYPERLINK("http://mcgill.on.worldcat.org/oclc/4437704","Catalog Record")</f>
        <v>Catalog Record</v>
      </c>
      <c r="AW1961" s="6" t="str">
        <f>HYPERLINK("http://www.worldcat.org/oclc/4437704","WorldCat Record")</f>
        <v>WorldCat Record</v>
      </c>
      <c r="AX1961" s="3" t="s">
        <v>19173</v>
      </c>
      <c r="AY1961" s="3" t="s">
        <v>19174</v>
      </c>
      <c r="AZ1961" s="3" t="s">
        <v>19175</v>
      </c>
      <c r="BA1961" s="3" t="s">
        <v>19175</v>
      </c>
      <c r="BB1961" s="3" t="s">
        <v>19176</v>
      </c>
      <c r="BC1961" s="3" t="s">
        <v>77</v>
      </c>
      <c r="BD1961" s="3" t="s">
        <v>78</v>
      </c>
      <c r="BF1961" s="3" t="s">
        <v>19176</v>
      </c>
      <c r="BG1961" s="3" t="s">
        <v>19177</v>
      </c>
    </row>
    <row r="1962" spans="1:59" ht="58" x14ac:dyDescent="0.35">
      <c r="A1962" s="2" t="s">
        <v>59</v>
      </c>
      <c r="B1962" s="2" t="s">
        <v>60</v>
      </c>
      <c r="C1962" s="2" t="s">
        <v>19178</v>
      </c>
      <c r="D1962" s="2" t="s">
        <v>19179</v>
      </c>
      <c r="E1962" s="2" t="s">
        <v>19180</v>
      </c>
      <c r="F1962" s="3" t="s">
        <v>503</v>
      </c>
      <c r="G1962" s="3" t="s">
        <v>209</v>
      </c>
      <c r="I1962" s="3" t="s">
        <v>65</v>
      </c>
      <c r="J1962" s="3" t="s">
        <v>209</v>
      </c>
      <c r="K1962" s="3" t="s">
        <v>66</v>
      </c>
      <c r="L1962" s="2" t="s">
        <v>19126</v>
      </c>
      <c r="M1962" s="2" t="s">
        <v>19181</v>
      </c>
      <c r="N1962" s="3" t="s">
        <v>615</v>
      </c>
      <c r="P1962" s="3" t="s">
        <v>140</v>
      </c>
      <c r="R1962" s="3" t="s">
        <v>71</v>
      </c>
      <c r="S1962" s="4">
        <v>2</v>
      </c>
      <c r="T1962" s="4">
        <v>4</v>
      </c>
      <c r="U1962" s="5" t="s">
        <v>16506</v>
      </c>
      <c r="V1962" s="5" t="s">
        <v>16506</v>
      </c>
      <c r="W1962" s="5" t="s">
        <v>72</v>
      </c>
      <c r="X1962" s="5" t="s">
        <v>72</v>
      </c>
      <c r="Y1962" s="4">
        <v>68</v>
      </c>
      <c r="Z1962" s="4">
        <v>7</v>
      </c>
      <c r="AA1962" s="4">
        <v>44</v>
      </c>
      <c r="AB1962" s="4">
        <v>1</v>
      </c>
      <c r="AC1962" s="4">
        <v>6</v>
      </c>
      <c r="AD1962" s="4">
        <v>44</v>
      </c>
      <c r="AE1962" s="4">
        <v>127</v>
      </c>
      <c r="AF1962" s="4">
        <v>0</v>
      </c>
      <c r="AG1962" s="4">
        <v>3</v>
      </c>
      <c r="AH1962" s="4">
        <v>39</v>
      </c>
      <c r="AI1962" s="4">
        <v>106</v>
      </c>
      <c r="AJ1962" s="4">
        <v>5</v>
      </c>
      <c r="AK1962" s="4">
        <v>20</v>
      </c>
      <c r="AL1962" s="4">
        <v>29</v>
      </c>
      <c r="AM1962" s="4">
        <v>60</v>
      </c>
      <c r="AN1962" s="4">
        <v>0</v>
      </c>
      <c r="AO1962" s="4">
        <v>7</v>
      </c>
      <c r="AP1962" s="4">
        <v>5</v>
      </c>
      <c r="AQ1962" s="4">
        <v>26</v>
      </c>
      <c r="AR1962" s="3" t="s">
        <v>65</v>
      </c>
      <c r="AS1962" s="3" t="s">
        <v>65</v>
      </c>
      <c r="AT1962" s="3" t="s">
        <v>209</v>
      </c>
      <c r="AU1962" s="6" t="str">
        <f>HYPERLINK("http://catalog.hathitrust.org/Record/006681592","HathiTrust Record")</f>
        <v>HathiTrust Record</v>
      </c>
      <c r="AV1962" s="6" t="str">
        <f>HYPERLINK("http://mcgill.on.worldcat.org/oclc/11866089","Catalog Record")</f>
        <v>Catalog Record</v>
      </c>
      <c r="AW1962" s="6" t="str">
        <f>HYPERLINK("http://www.worldcat.org/oclc/11866089","WorldCat Record")</f>
        <v>WorldCat Record</v>
      </c>
      <c r="AX1962" s="3" t="s">
        <v>19173</v>
      </c>
      <c r="AY1962" s="3" t="s">
        <v>19182</v>
      </c>
      <c r="AZ1962" s="3" t="s">
        <v>19183</v>
      </c>
      <c r="BA1962" s="3" t="s">
        <v>19183</v>
      </c>
      <c r="BB1962" s="3" t="s">
        <v>19184</v>
      </c>
      <c r="BC1962" s="3" t="s">
        <v>77</v>
      </c>
      <c r="BD1962" s="3" t="s">
        <v>78</v>
      </c>
      <c r="BE1962" s="3" t="s">
        <v>19185</v>
      </c>
      <c r="BF1962" s="3" t="s">
        <v>19184</v>
      </c>
      <c r="BG1962" s="3" t="s">
        <v>19186</v>
      </c>
    </row>
    <row r="1963" spans="1:59" ht="58" x14ac:dyDescent="0.35">
      <c r="A1963" s="2" t="s">
        <v>59</v>
      </c>
      <c r="B1963" s="2" t="s">
        <v>60</v>
      </c>
      <c r="C1963" s="2" t="s">
        <v>19178</v>
      </c>
      <c r="D1963" s="2" t="s">
        <v>19179</v>
      </c>
      <c r="E1963" s="2" t="s">
        <v>19180</v>
      </c>
      <c r="F1963" s="3" t="s">
        <v>490</v>
      </c>
      <c r="G1963" s="3" t="s">
        <v>209</v>
      </c>
      <c r="I1963" s="3" t="s">
        <v>65</v>
      </c>
      <c r="J1963" s="3" t="s">
        <v>209</v>
      </c>
      <c r="K1963" s="3" t="s">
        <v>66</v>
      </c>
      <c r="L1963" s="2" t="s">
        <v>19126</v>
      </c>
      <c r="M1963" s="2" t="s">
        <v>19181</v>
      </c>
      <c r="N1963" s="3" t="s">
        <v>615</v>
      </c>
      <c r="P1963" s="3" t="s">
        <v>140</v>
      </c>
      <c r="R1963" s="3" t="s">
        <v>71</v>
      </c>
      <c r="S1963" s="4">
        <v>2</v>
      </c>
      <c r="T1963" s="4">
        <v>4</v>
      </c>
      <c r="U1963" s="5" t="s">
        <v>16506</v>
      </c>
      <c r="V1963" s="5" t="s">
        <v>16506</v>
      </c>
      <c r="W1963" s="5" t="s">
        <v>72</v>
      </c>
      <c r="X1963" s="5" t="s">
        <v>72</v>
      </c>
      <c r="Y1963" s="4">
        <v>68</v>
      </c>
      <c r="Z1963" s="4">
        <v>7</v>
      </c>
      <c r="AA1963" s="4">
        <v>44</v>
      </c>
      <c r="AB1963" s="4">
        <v>1</v>
      </c>
      <c r="AC1963" s="4">
        <v>6</v>
      </c>
      <c r="AD1963" s="4">
        <v>44</v>
      </c>
      <c r="AE1963" s="4">
        <v>127</v>
      </c>
      <c r="AF1963" s="4">
        <v>0</v>
      </c>
      <c r="AG1963" s="4">
        <v>3</v>
      </c>
      <c r="AH1963" s="4">
        <v>39</v>
      </c>
      <c r="AI1963" s="4">
        <v>106</v>
      </c>
      <c r="AJ1963" s="4">
        <v>5</v>
      </c>
      <c r="AK1963" s="4">
        <v>20</v>
      </c>
      <c r="AL1963" s="4">
        <v>29</v>
      </c>
      <c r="AM1963" s="4">
        <v>60</v>
      </c>
      <c r="AN1963" s="4">
        <v>0</v>
      </c>
      <c r="AO1963" s="4">
        <v>7</v>
      </c>
      <c r="AP1963" s="4">
        <v>5</v>
      </c>
      <c r="AQ1963" s="4">
        <v>26</v>
      </c>
      <c r="AR1963" s="3" t="s">
        <v>65</v>
      </c>
      <c r="AS1963" s="3" t="s">
        <v>65</v>
      </c>
      <c r="AT1963" s="3" t="s">
        <v>209</v>
      </c>
      <c r="AU1963" s="6" t="str">
        <f>HYPERLINK("http://catalog.hathitrust.org/Record/006681592","HathiTrust Record")</f>
        <v>HathiTrust Record</v>
      </c>
      <c r="AV1963" s="6" t="str">
        <f>HYPERLINK("http://mcgill.on.worldcat.org/oclc/11866089","Catalog Record")</f>
        <v>Catalog Record</v>
      </c>
      <c r="AW1963" s="6" t="str">
        <f>HYPERLINK("http://www.worldcat.org/oclc/11866089","WorldCat Record")</f>
        <v>WorldCat Record</v>
      </c>
      <c r="AX1963" s="3" t="s">
        <v>19173</v>
      </c>
      <c r="AY1963" s="3" t="s">
        <v>19182</v>
      </c>
      <c r="AZ1963" s="3" t="s">
        <v>19183</v>
      </c>
      <c r="BA1963" s="3" t="s">
        <v>19183</v>
      </c>
      <c r="BB1963" s="3" t="s">
        <v>19187</v>
      </c>
      <c r="BC1963" s="3" t="s">
        <v>77</v>
      </c>
      <c r="BD1963" s="3" t="s">
        <v>78</v>
      </c>
      <c r="BE1963" s="3" t="s">
        <v>19185</v>
      </c>
      <c r="BF1963" s="3" t="s">
        <v>19187</v>
      </c>
      <c r="BG1963" s="3" t="s">
        <v>19188</v>
      </c>
    </row>
    <row r="1964" spans="1:59" ht="58" x14ac:dyDescent="0.35">
      <c r="A1964" s="2" t="s">
        <v>59</v>
      </c>
      <c r="B1964" s="2" t="s">
        <v>60</v>
      </c>
      <c r="C1964" s="2" t="s">
        <v>19189</v>
      </c>
      <c r="D1964" s="2" t="s">
        <v>19190</v>
      </c>
      <c r="E1964" s="2" t="s">
        <v>19191</v>
      </c>
      <c r="G1964" s="3" t="s">
        <v>65</v>
      </c>
      <c r="I1964" s="3" t="s">
        <v>65</v>
      </c>
      <c r="J1964" s="3" t="s">
        <v>209</v>
      </c>
      <c r="K1964" s="3" t="s">
        <v>66</v>
      </c>
      <c r="L1964" s="2" t="s">
        <v>19126</v>
      </c>
      <c r="M1964" s="2" t="s">
        <v>19192</v>
      </c>
      <c r="N1964" s="3" t="s">
        <v>1895</v>
      </c>
      <c r="O1964" s="2" t="s">
        <v>365</v>
      </c>
      <c r="P1964" s="3" t="s">
        <v>140</v>
      </c>
      <c r="Q1964" s="2" t="s">
        <v>19193</v>
      </c>
      <c r="R1964" s="3" t="s">
        <v>71</v>
      </c>
      <c r="S1964" s="4">
        <v>4</v>
      </c>
      <c r="T1964" s="4">
        <v>4</v>
      </c>
      <c r="U1964" s="5" t="s">
        <v>16506</v>
      </c>
      <c r="V1964" s="5" t="s">
        <v>16506</v>
      </c>
      <c r="W1964" s="5" t="s">
        <v>72</v>
      </c>
      <c r="X1964" s="5" t="s">
        <v>72</v>
      </c>
      <c r="Y1964" s="4">
        <v>48</v>
      </c>
      <c r="Z1964" s="4">
        <v>4</v>
      </c>
      <c r="AA1964" s="4">
        <v>44</v>
      </c>
      <c r="AB1964" s="4">
        <v>2</v>
      </c>
      <c r="AC1964" s="4">
        <v>6</v>
      </c>
      <c r="AD1964" s="4">
        <v>29</v>
      </c>
      <c r="AE1964" s="4">
        <v>127</v>
      </c>
      <c r="AF1964" s="4">
        <v>1</v>
      </c>
      <c r="AG1964" s="4">
        <v>3</v>
      </c>
      <c r="AH1964" s="4">
        <v>27</v>
      </c>
      <c r="AI1964" s="4">
        <v>106</v>
      </c>
      <c r="AJ1964" s="4">
        <v>2</v>
      </c>
      <c r="AK1964" s="4">
        <v>20</v>
      </c>
      <c r="AL1964" s="4">
        <v>23</v>
      </c>
      <c r="AM1964" s="4">
        <v>60</v>
      </c>
      <c r="AN1964" s="4">
        <v>0</v>
      </c>
      <c r="AO1964" s="4">
        <v>7</v>
      </c>
      <c r="AP1964" s="4">
        <v>2</v>
      </c>
      <c r="AQ1964" s="4">
        <v>26</v>
      </c>
      <c r="AR1964" s="3" t="s">
        <v>65</v>
      </c>
      <c r="AS1964" s="3" t="s">
        <v>65</v>
      </c>
      <c r="AT1964" s="3" t="s">
        <v>209</v>
      </c>
      <c r="AU1964" s="6" t="str">
        <f>HYPERLINK("http://catalog.hathitrust.org/Record/003303868","HathiTrust Record")</f>
        <v>HathiTrust Record</v>
      </c>
      <c r="AV1964" s="6" t="str">
        <f>HYPERLINK("http://mcgill.on.worldcat.org/oclc/39195855","Catalog Record")</f>
        <v>Catalog Record</v>
      </c>
      <c r="AW1964" s="6" t="str">
        <f>HYPERLINK("http://www.worldcat.org/oclc/39195855","WorldCat Record")</f>
        <v>WorldCat Record</v>
      </c>
      <c r="AX1964" s="3" t="s">
        <v>19173</v>
      </c>
      <c r="AY1964" s="3" t="s">
        <v>19194</v>
      </c>
      <c r="AZ1964" s="3" t="s">
        <v>19195</v>
      </c>
      <c r="BA1964" s="3" t="s">
        <v>19195</v>
      </c>
      <c r="BB1964" s="3" t="s">
        <v>19196</v>
      </c>
      <c r="BC1964" s="3" t="s">
        <v>77</v>
      </c>
      <c r="BD1964" s="3" t="s">
        <v>78</v>
      </c>
      <c r="BE1964" s="3" t="s">
        <v>19197</v>
      </c>
      <c r="BF1964" s="3" t="s">
        <v>19196</v>
      </c>
      <c r="BG1964" s="3" t="s">
        <v>19198</v>
      </c>
    </row>
    <row r="1965" spans="1:59" ht="58" x14ac:dyDescent="0.35">
      <c r="A1965" s="2" t="s">
        <v>59</v>
      </c>
      <c r="B1965" s="2" t="s">
        <v>60</v>
      </c>
      <c r="C1965" s="2" t="s">
        <v>19199</v>
      </c>
      <c r="D1965" s="2" t="s">
        <v>19200</v>
      </c>
      <c r="E1965" s="2" t="s">
        <v>19201</v>
      </c>
      <c r="G1965" s="3" t="s">
        <v>65</v>
      </c>
      <c r="I1965" s="3" t="s">
        <v>65</v>
      </c>
      <c r="J1965" s="3" t="s">
        <v>209</v>
      </c>
      <c r="K1965" s="3" t="s">
        <v>66</v>
      </c>
      <c r="L1965" s="2" t="s">
        <v>19159</v>
      </c>
      <c r="M1965" s="2" t="s">
        <v>19202</v>
      </c>
      <c r="N1965" s="3" t="s">
        <v>113</v>
      </c>
      <c r="O1965" s="2" t="s">
        <v>2438</v>
      </c>
      <c r="P1965" s="3" t="s">
        <v>69</v>
      </c>
      <c r="R1965" s="3" t="s">
        <v>71</v>
      </c>
      <c r="S1965" s="4">
        <v>3</v>
      </c>
      <c r="T1965" s="4">
        <v>3</v>
      </c>
      <c r="U1965" s="5" t="s">
        <v>19203</v>
      </c>
      <c r="V1965" s="5" t="s">
        <v>19203</v>
      </c>
      <c r="W1965" s="5" t="s">
        <v>72</v>
      </c>
      <c r="X1965" s="5" t="s">
        <v>72</v>
      </c>
      <c r="Y1965" s="4">
        <v>432</v>
      </c>
      <c r="Z1965" s="4">
        <v>22</v>
      </c>
      <c r="AA1965" s="4">
        <v>34</v>
      </c>
      <c r="AB1965" s="4">
        <v>5</v>
      </c>
      <c r="AC1965" s="4">
        <v>8</v>
      </c>
      <c r="AD1965" s="4">
        <v>84</v>
      </c>
      <c r="AE1965" s="4">
        <v>112</v>
      </c>
      <c r="AF1965" s="4">
        <v>1</v>
      </c>
      <c r="AG1965" s="4">
        <v>2</v>
      </c>
      <c r="AH1965" s="4">
        <v>78</v>
      </c>
      <c r="AI1965" s="4">
        <v>102</v>
      </c>
      <c r="AJ1965" s="4">
        <v>9</v>
      </c>
      <c r="AK1965" s="4">
        <v>15</v>
      </c>
      <c r="AL1965" s="4">
        <v>48</v>
      </c>
      <c r="AM1965" s="4">
        <v>57</v>
      </c>
      <c r="AN1965" s="4">
        <v>0</v>
      </c>
      <c r="AO1965" s="4">
        <v>1</v>
      </c>
      <c r="AP1965" s="4">
        <v>10</v>
      </c>
      <c r="AQ1965" s="4">
        <v>17</v>
      </c>
      <c r="AR1965" s="3" t="s">
        <v>65</v>
      </c>
      <c r="AS1965" s="3" t="s">
        <v>65</v>
      </c>
      <c r="AT1965" s="3" t="s">
        <v>65</v>
      </c>
      <c r="AV1965" s="6" t="str">
        <f>HYPERLINK("http://mcgill.on.worldcat.org/oclc/528665875","Catalog Record")</f>
        <v>Catalog Record</v>
      </c>
      <c r="AW1965" s="6" t="str">
        <f>HYPERLINK("http://www.worldcat.org/oclc/528665875","WorldCat Record")</f>
        <v>WorldCat Record</v>
      </c>
      <c r="AX1965" s="3" t="s">
        <v>19204</v>
      </c>
      <c r="AY1965" s="3" t="s">
        <v>19205</v>
      </c>
      <c r="AZ1965" s="3" t="s">
        <v>19206</v>
      </c>
      <c r="BA1965" s="3" t="s">
        <v>19206</v>
      </c>
      <c r="BB1965" s="3" t="s">
        <v>19207</v>
      </c>
      <c r="BC1965" s="3" t="s">
        <v>77</v>
      </c>
      <c r="BD1965" s="3" t="s">
        <v>78</v>
      </c>
      <c r="BE1965" s="3" t="s">
        <v>19208</v>
      </c>
      <c r="BF1965" s="3" t="s">
        <v>19207</v>
      </c>
      <c r="BG1965" s="3" t="s">
        <v>19209</v>
      </c>
    </row>
    <row r="1966" spans="1:59" ht="58" x14ac:dyDescent="0.35">
      <c r="A1966" s="2" t="s">
        <v>59</v>
      </c>
      <c r="B1966" s="2" t="s">
        <v>60</v>
      </c>
      <c r="C1966" s="2" t="s">
        <v>19210</v>
      </c>
      <c r="D1966" s="2" t="s">
        <v>19211</v>
      </c>
      <c r="E1966" s="2" t="s">
        <v>19212</v>
      </c>
      <c r="G1966" s="3" t="s">
        <v>65</v>
      </c>
      <c r="I1966" s="3" t="s">
        <v>65</v>
      </c>
      <c r="J1966" s="3" t="s">
        <v>65</v>
      </c>
      <c r="K1966" s="3" t="s">
        <v>66</v>
      </c>
      <c r="L1966" s="2" t="s">
        <v>19126</v>
      </c>
      <c r="M1966" s="2" t="s">
        <v>19213</v>
      </c>
      <c r="N1966" s="3" t="s">
        <v>2210</v>
      </c>
      <c r="P1966" s="3" t="s">
        <v>140</v>
      </c>
      <c r="Q1966" s="2" t="s">
        <v>19214</v>
      </c>
      <c r="R1966" s="3" t="s">
        <v>71</v>
      </c>
      <c r="S1966" s="4">
        <v>2</v>
      </c>
      <c r="T1966" s="4">
        <v>2</v>
      </c>
      <c r="U1966" s="5" t="s">
        <v>19215</v>
      </c>
      <c r="V1966" s="5" t="s">
        <v>19215</v>
      </c>
      <c r="W1966" s="5" t="s">
        <v>72</v>
      </c>
      <c r="X1966" s="5" t="s">
        <v>72</v>
      </c>
      <c r="Y1966" s="4">
        <v>54</v>
      </c>
      <c r="Z1966" s="4">
        <v>4</v>
      </c>
      <c r="AA1966" s="4">
        <v>4</v>
      </c>
      <c r="AB1966" s="4">
        <v>1</v>
      </c>
      <c r="AC1966" s="4">
        <v>1</v>
      </c>
      <c r="AD1966" s="4">
        <v>37</v>
      </c>
      <c r="AE1966" s="4">
        <v>37</v>
      </c>
      <c r="AF1966" s="4">
        <v>0</v>
      </c>
      <c r="AG1966" s="4">
        <v>0</v>
      </c>
      <c r="AH1966" s="4">
        <v>36</v>
      </c>
      <c r="AI1966" s="4">
        <v>36</v>
      </c>
      <c r="AJ1966" s="4">
        <v>2</v>
      </c>
      <c r="AK1966" s="4">
        <v>2</v>
      </c>
      <c r="AL1966" s="4">
        <v>26</v>
      </c>
      <c r="AM1966" s="4">
        <v>26</v>
      </c>
      <c r="AN1966" s="4">
        <v>0</v>
      </c>
      <c r="AO1966" s="4">
        <v>0</v>
      </c>
      <c r="AP1966" s="4">
        <v>2</v>
      </c>
      <c r="AQ1966" s="4">
        <v>2</v>
      </c>
      <c r="AR1966" s="3" t="s">
        <v>65</v>
      </c>
      <c r="AS1966" s="3" t="s">
        <v>65</v>
      </c>
      <c r="AT1966" s="3" t="s">
        <v>209</v>
      </c>
      <c r="AU1966" s="6" t="str">
        <f>HYPERLINK("http://catalog.hathitrust.org/Record/004308278","HathiTrust Record")</f>
        <v>HathiTrust Record</v>
      </c>
      <c r="AV1966" s="6" t="str">
        <f>HYPERLINK("http://mcgill.on.worldcat.org/oclc/51233187","Catalog Record")</f>
        <v>Catalog Record</v>
      </c>
      <c r="AW1966" s="6" t="str">
        <f>HYPERLINK("http://www.worldcat.org/oclc/51233187","WorldCat Record")</f>
        <v>WorldCat Record</v>
      </c>
      <c r="AX1966" s="3" t="s">
        <v>19216</v>
      </c>
      <c r="AY1966" s="3" t="s">
        <v>19217</v>
      </c>
      <c r="AZ1966" s="3" t="s">
        <v>19218</v>
      </c>
      <c r="BA1966" s="3" t="s">
        <v>19218</v>
      </c>
      <c r="BB1966" s="3" t="s">
        <v>19219</v>
      </c>
      <c r="BC1966" s="3" t="s">
        <v>77</v>
      </c>
      <c r="BD1966" s="3" t="s">
        <v>78</v>
      </c>
      <c r="BE1966" s="3" t="s">
        <v>19220</v>
      </c>
      <c r="BF1966" s="3" t="s">
        <v>19219</v>
      </c>
      <c r="BG1966" s="3" t="s">
        <v>19221</v>
      </c>
    </row>
    <row r="1967" spans="1:59" ht="58" x14ac:dyDescent="0.35">
      <c r="A1967" s="2" t="s">
        <v>59</v>
      </c>
      <c r="B1967" s="2" t="s">
        <v>60</v>
      </c>
      <c r="C1967" s="2" t="s">
        <v>19222</v>
      </c>
      <c r="D1967" s="2" t="s">
        <v>19223</v>
      </c>
      <c r="E1967" s="2" t="s">
        <v>19224</v>
      </c>
      <c r="G1967" s="3" t="s">
        <v>65</v>
      </c>
      <c r="I1967" s="3" t="s">
        <v>65</v>
      </c>
      <c r="J1967" s="3" t="s">
        <v>209</v>
      </c>
      <c r="K1967" s="3" t="s">
        <v>66</v>
      </c>
      <c r="L1967" s="2" t="s">
        <v>19126</v>
      </c>
      <c r="M1967" s="2" t="s">
        <v>19225</v>
      </c>
      <c r="N1967" s="3" t="s">
        <v>906</v>
      </c>
      <c r="O1967" s="2" t="s">
        <v>654</v>
      </c>
      <c r="P1967" s="3" t="s">
        <v>140</v>
      </c>
      <c r="Q1967" s="2" t="s">
        <v>19226</v>
      </c>
      <c r="R1967" s="3" t="s">
        <v>71</v>
      </c>
      <c r="S1967" s="4">
        <v>5</v>
      </c>
      <c r="T1967" s="4">
        <v>5</v>
      </c>
      <c r="U1967" s="5" t="s">
        <v>19227</v>
      </c>
      <c r="V1967" s="5" t="s">
        <v>19227</v>
      </c>
      <c r="W1967" s="5" t="s">
        <v>72</v>
      </c>
      <c r="X1967" s="5" t="s">
        <v>72</v>
      </c>
      <c r="Y1967" s="4">
        <v>88</v>
      </c>
      <c r="Z1967" s="4">
        <v>6</v>
      </c>
      <c r="AA1967" s="4">
        <v>37</v>
      </c>
      <c r="AB1967" s="4">
        <v>1</v>
      </c>
      <c r="AC1967" s="4">
        <v>5</v>
      </c>
      <c r="AD1967" s="4">
        <v>39</v>
      </c>
      <c r="AE1967" s="4">
        <v>103</v>
      </c>
      <c r="AF1967" s="4">
        <v>0</v>
      </c>
      <c r="AG1967" s="4">
        <v>3</v>
      </c>
      <c r="AH1967" s="4">
        <v>35</v>
      </c>
      <c r="AI1967" s="4">
        <v>88</v>
      </c>
      <c r="AJ1967" s="4">
        <v>4</v>
      </c>
      <c r="AK1967" s="4">
        <v>20</v>
      </c>
      <c r="AL1967" s="4">
        <v>25</v>
      </c>
      <c r="AM1967" s="4">
        <v>52</v>
      </c>
      <c r="AN1967" s="4">
        <v>0</v>
      </c>
      <c r="AO1967" s="4">
        <v>0</v>
      </c>
      <c r="AP1967" s="4">
        <v>4</v>
      </c>
      <c r="AQ1967" s="4">
        <v>22</v>
      </c>
      <c r="AR1967" s="3" t="s">
        <v>65</v>
      </c>
      <c r="AS1967" s="3" t="s">
        <v>65</v>
      </c>
      <c r="AT1967" s="3" t="s">
        <v>209</v>
      </c>
      <c r="AU1967" s="6" t="str">
        <f>HYPERLINK("http://catalog.hathitrust.org/Record/000839374","HathiTrust Record")</f>
        <v>HathiTrust Record</v>
      </c>
      <c r="AV1967" s="6" t="str">
        <f>HYPERLINK("http://mcgill.on.worldcat.org/oclc/7519490","Catalog Record")</f>
        <v>Catalog Record</v>
      </c>
      <c r="AW1967" s="6" t="str">
        <f>HYPERLINK("http://www.worldcat.org/oclc/7519490","WorldCat Record")</f>
        <v>WorldCat Record</v>
      </c>
      <c r="AX1967" s="3" t="s">
        <v>19151</v>
      </c>
      <c r="AY1967" s="3" t="s">
        <v>19228</v>
      </c>
      <c r="AZ1967" s="3" t="s">
        <v>19229</v>
      </c>
      <c r="BA1967" s="3" t="s">
        <v>19229</v>
      </c>
      <c r="BB1967" s="3" t="s">
        <v>19230</v>
      </c>
      <c r="BC1967" s="3" t="s">
        <v>77</v>
      </c>
      <c r="BD1967" s="3" t="s">
        <v>78</v>
      </c>
      <c r="BF1967" s="3" t="s">
        <v>19230</v>
      </c>
      <c r="BG1967" s="3" t="s">
        <v>19231</v>
      </c>
    </row>
    <row r="1968" spans="1:59" ht="58" x14ac:dyDescent="0.35">
      <c r="A1968" s="2" t="s">
        <v>59</v>
      </c>
      <c r="B1968" s="2" t="s">
        <v>60</v>
      </c>
      <c r="C1968" s="2" t="s">
        <v>19232</v>
      </c>
      <c r="D1968" s="2" t="s">
        <v>19233</v>
      </c>
      <c r="E1968" s="2" t="s">
        <v>19234</v>
      </c>
      <c r="G1968" s="3" t="s">
        <v>65</v>
      </c>
      <c r="I1968" s="3" t="s">
        <v>65</v>
      </c>
      <c r="J1968" s="3" t="s">
        <v>65</v>
      </c>
      <c r="K1968" s="3" t="s">
        <v>66</v>
      </c>
      <c r="L1968" s="2" t="s">
        <v>19126</v>
      </c>
      <c r="M1968" s="2" t="s">
        <v>5746</v>
      </c>
      <c r="N1968" s="3" t="s">
        <v>139</v>
      </c>
      <c r="O1968" s="2" t="s">
        <v>365</v>
      </c>
      <c r="P1968" s="3" t="s">
        <v>140</v>
      </c>
      <c r="Q1968" s="2" t="s">
        <v>19235</v>
      </c>
      <c r="R1968" s="3" t="s">
        <v>71</v>
      </c>
      <c r="S1968" s="4">
        <v>0</v>
      </c>
      <c r="T1968" s="4">
        <v>0</v>
      </c>
      <c r="W1968" s="5" t="s">
        <v>72</v>
      </c>
      <c r="X1968" s="5" t="s">
        <v>72</v>
      </c>
      <c r="Y1968" s="4">
        <v>57</v>
      </c>
      <c r="Z1968" s="4">
        <v>5</v>
      </c>
      <c r="AA1968" s="4">
        <v>5</v>
      </c>
      <c r="AB1968" s="4">
        <v>1</v>
      </c>
      <c r="AC1968" s="4">
        <v>1</v>
      </c>
      <c r="AD1968" s="4">
        <v>34</v>
      </c>
      <c r="AE1968" s="4">
        <v>34</v>
      </c>
      <c r="AF1968" s="4">
        <v>0</v>
      </c>
      <c r="AG1968" s="4">
        <v>0</v>
      </c>
      <c r="AH1968" s="4">
        <v>33</v>
      </c>
      <c r="AI1968" s="4">
        <v>33</v>
      </c>
      <c r="AJ1968" s="4">
        <v>2</v>
      </c>
      <c r="AK1968" s="4">
        <v>2</v>
      </c>
      <c r="AL1968" s="4">
        <v>24</v>
      </c>
      <c r="AM1968" s="4">
        <v>24</v>
      </c>
      <c r="AN1968" s="4">
        <v>0</v>
      </c>
      <c r="AO1968" s="4">
        <v>0</v>
      </c>
      <c r="AP1968" s="4">
        <v>2</v>
      </c>
      <c r="AQ1968" s="4">
        <v>2</v>
      </c>
      <c r="AR1968" s="3" t="s">
        <v>65</v>
      </c>
      <c r="AS1968" s="3" t="s">
        <v>65</v>
      </c>
      <c r="AT1968" s="3" t="s">
        <v>65</v>
      </c>
      <c r="AV1968" s="6" t="str">
        <f>HYPERLINK("http://mcgill.on.worldcat.org/oclc/796779841","Catalog Record")</f>
        <v>Catalog Record</v>
      </c>
      <c r="AW1968" s="6" t="str">
        <f>HYPERLINK("http://www.worldcat.org/oclc/796779841","WorldCat Record")</f>
        <v>WorldCat Record</v>
      </c>
      <c r="AX1968" s="3" t="s">
        <v>19236</v>
      </c>
      <c r="AY1968" s="3" t="s">
        <v>19237</v>
      </c>
      <c r="AZ1968" s="3" t="s">
        <v>19238</v>
      </c>
      <c r="BA1968" s="3" t="s">
        <v>19238</v>
      </c>
      <c r="BB1968" s="3" t="s">
        <v>19239</v>
      </c>
      <c r="BC1968" s="3" t="s">
        <v>77</v>
      </c>
      <c r="BD1968" s="3" t="s">
        <v>78</v>
      </c>
      <c r="BE1968" s="3" t="s">
        <v>19240</v>
      </c>
      <c r="BF1968" s="3" t="s">
        <v>19239</v>
      </c>
      <c r="BG1968" s="3" t="s">
        <v>19241</v>
      </c>
    </row>
    <row r="1969" spans="1:59" ht="58" x14ac:dyDescent="0.35">
      <c r="A1969" s="2" t="s">
        <v>59</v>
      </c>
      <c r="B1969" s="2" t="s">
        <v>60</v>
      </c>
      <c r="C1969" s="2" t="s">
        <v>19242</v>
      </c>
      <c r="D1969" s="2" t="s">
        <v>19243</v>
      </c>
      <c r="E1969" s="2" t="s">
        <v>19244</v>
      </c>
      <c r="F1969" s="3" t="s">
        <v>1282</v>
      </c>
      <c r="G1969" s="3" t="s">
        <v>209</v>
      </c>
      <c r="I1969" s="3" t="s">
        <v>65</v>
      </c>
      <c r="J1969" s="3" t="s">
        <v>65</v>
      </c>
      <c r="K1969" s="3" t="s">
        <v>66</v>
      </c>
      <c r="L1969" s="2" t="s">
        <v>19126</v>
      </c>
      <c r="M1969" s="2" t="s">
        <v>19245</v>
      </c>
      <c r="N1969" s="3" t="s">
        <v>770</v>
      </c>
      <c r="O1969" s="2" t="s">
        <v>654</v>
      </c>
      <c r="P1969" s="3" t="s">
        <v>140</v>
      </c>
      <c r="Q1969" s="2" t="s">
        <v>19246</v>
      </c>
      <c r="R1969" s="3" t="s">
        <v>71</v>
      </c>
      <c r="S1969" s="4">
        <v>19</v>
      </c>
      <c r="T1969" s="4">
        <v>31</v>
      </c>
      <c r="U1969" s="5" t="s">
        <v>19247</v>
      </c>
      <c r="V1969" s="5" t="s">
        <v>19247</v>
      </c>
      <c r="W1969" s="5" t="s">
        <v>72</v>
      </c>
      <c r="X1969" s="5" t="s">
        <v>72</v>
      </c>
      <c r="Y1969" s="4">
        <v>61</v>
      </c>
      <c r="Z1969" s="4">
        <v>5</v>
      </c>
      <c r="AA1969" s="4">
        <v>5</v>
      </c>
      <c r="AB1969" s="4">
        <v>1</v>
      </c>
      <c r="AC1969" s="4">
        <v>1</v>
      </c>
      <c r="AD1969" s="4">
        <v>35</v>
      </c>
      <c r="AE1969" s="4">
        <v>35</v>
      </c>
      <c r="AF1969" s="4">
        <v>0</v>
      </c>
      <c r="AG1969" s="4">
        <v>0</v>
      </c>
      <c r="AH1969" s="4">
        <v>33</v>
      </c>
      <c r="AI1969" s="4">
        <v>33</v>
      </c>
      <c r="AJ1969" s="4">
        <v>3</v>
      </c>
      <c r="AK1969" s="4">
        <v>3</v>
      </c>
      <c r="AL1969" s="4">
        <v>28</v>
      </c>
      <c r="AM1969" s="4">
        <v>28</v>
      </c>
      <c r="AN1969" s="4">
        <v>0</v>
      </c>
      <c r="AO1969" s="4">
        <v>0</v>
      </c>
      <c r="AP1969" s="4">
        <v>3</v>
      </c>
      <c r="AQ1969" s="4">
        <v>3</v>
      </c>
      <c r="AR1969" s="3" t="s">
        <v>65</v>
      </c>
      <c r="AS1969" s="3" t="s">
        <v>65</v>
      </c>
      <c r="AT1969" s="3" t="s">
        <v>65</v>
      </c>
      <c r="AV1969" s="6" t="str">
        <f>HYPERLINK("http://mcgill.on.worldcat.org/oclc/25246998","Catalog Record")</f>
        <v>Catalog Record</v>
      </c>
      <c r="AW1969" s="6" t="str">
        <f>HYPERLINK("http://www.worldcat.org/oclc/25246998","WorldCat Record")</f>
        <v>WorldCat Record</v>
      </c>
      <c r="AX1969" s="3" t="s">
        <v>19248</v>
      </c>
      <c r="AY1969" s="3" t="s">
        <v>19249</v>
      </c>
      <c r="AZ1969" s="3" t="s">
        <v>19250</v>
      </c>
      <c r="BA1969" s="3" t="s">
        <v>19250</v>
      </c>
      <c r="BB1969" s="3" t="s">
        <v>19251</v>
      </c>
      <c r="BC1969" s="3" t="s">
        <v>77</v>
      </c>
      <c r="BD1969" s="3" t="s">
        <v>106</v>
      </c>
      <c r="BE1969" s="3" t="s">
        <v>19252</v>
      </c>
      <c r="BF1969" s="3" t="s">
        <v>19251</v>
      </c>
      <c r="BG1969" s="3" t="s">
        <v>19253</v>
      </c>
    </row>
    <row r="1970" spans="1:59" ht="58" x14ac:dyDescent="0.35">
      <c r="A1970" s="2" t="s">
        <v>59</v>
      </c>
      <c r="B1970" s="2" t="s">
        <v>60</v>
      </c>
      <c r="C1970" s="2" t="s">
        <v>19242</v>
      </c>
      <c r="D1970" s="2" t="s">
        <v>19243</v>
      </c>
      <c r="E1970" s="2" t="s">
        <v>19244</v>
      </c>
      <c r="F1970" s="3" t="s">
        <v>8361</v>
      </c>
      <c r="G1970" s="3" t="s">
        <v>209</v>
      </c>
      <c r="I1970" s="3" t="s">
        <v>65</v>
      </c>
      <c r="J1970" s="3" t="s">
        <v>65</v>
      </c>
      <c r="K1970" s="3" t="s">
        <v>66</v>
      </c>
      <c r="L1970" s="2" t="s">
        <v>19126</v>
      </c>
      <c r="M1970" s="2" t="s">
        <v>19245</v>
      </c>
      <c r="N1970" s="3" t="s">
        <v>770</v>
      </c>
      <c r="O1970" s="2" t="s">
        <v>654</v>
      </c>
      <c r="P1970" s="3" t="s">
        <v>140</v>
      </c>
      <c r="Q1970" s="2" t="s">
        <v>19246</v>
      </c>
      <c r="R1970" s="3" t="s">
        <v>71</v>
      </c>
      <c r="S1970" s="4">
        <v>6</v>
      </c>
      <c r="T1970" s="4">
        <v>31</v>
      </c>
      <c r="U1970" s="5" t="s">
        <v>367</v>
      </c>
      <c r="V1970" s="5" t="s">
        <v>19247</v>
      </c>
      <c r="W1970" s="5" t="s">
        <v>72</v>
      </c>
      <c r="X1970" s="5" t="s">
        <v>72</v>
      </c>
      <c r="Y1970" s="4">
        <v>61</v>
      </c>
      <c r="Z1970" s="4">
        <v>5</v>
      </c>
      <c r="AA1970" s="4">
        <v>5</v>
      </c>
      <c r="AB1970" s="4">
        <v>1</v>
      </c>
      <c r="AC1970" s="4">
        <v>1</v>
      </c>
      <c r="AD1970" s="4">
        <v>35</v>
      </c>
      <c r="AE1970" s="4">
        <v>35</v>
      </c>
      <c r="AF1970" s="4">
        <v>0</v>
      </c>
      <c r="AG1970" s="4">
        <v>0</v>
      </c>
      <c r="AH1970" s="4">
        <v>33</v>
      </c>
      <c r="AI1970" s="4">
        <v>33</v>
      </c>
      <c r="AJ1970" s="4">
        <v>3</v>
      </c>
      <c r="AK1970" s="4">
        <v>3</v>
      </c>
      <c r="AL1970" s="4">
        <v>28</v>
      </c>
      <c r="AM1970" s="4">
        <v>28</v>
      </c>
      <c r="AN1970" s="4">
        <v>0</v>
      </c>
      <c r="AO1970" s="4">
        <v>0</v>
      </c>
      <c r="AP1970" s="4">
        <v>3</v>
      </c>
      <c r="AQ1970" s="4">
        <v>3</v>
      </c>
      <c r="AR1970" s="3" t="s">
        <v>65</v>
      </c>
      <c r="AS1970" s="3" t="s">
        <v>65</v>
      </c>
      <c r="AT1970" s="3" t="s">
        <v>65</v>
      </c>
      <c r="AV1970" s="6" t="str">
        <f>HYPERLINK("http://mcgill.on.worldcat.org/oclc/25246998","Catalog Record")</f>
        <v>Catalog Record</v>
      </c>
      <c r="AW1970" s="6" t="str">
        <f>HYPERLINK("http://www.worldcat.org/oclc/25246998","WorldCat Record")</f>
        <v>WorldCat Record</v>
      </c>
      <c r="AX1970" s="3" t="s">
        <v>19248</v>
      </c>
      <c r="AY1970" s="3" t="s">
        <v>19249</v>
      </c>
      <c r="AZ1970" s="3" t="s">
        <v>19250</v>
      </c>
      <c r="BA1970" s="3" t="s">
        <v>19250</v>
      </c>
      <c r="BB1970" s="3" t="s">
        <v>19254</v>
      </c>
      <c r="BC1970" s="3" t="s">
        <v>77</v>
      </c>
      <c r="BD1970" s="3" t="s">
        <v>78</v>
      </c>
      <c r="BE1970" s="3" t="s">
        <v>19252</v>
      </c>
      <c r="BF1970" s="3" t="s">
        <v>19254</v>
      </c>
      <c r="BG1970" s="3" t="s">
        <v>19255</v>
      </c>
    </row>
    <row r="1971" spans="1:59" ht="58" x14ac:dyDescent="0.35">
      <c r="A1971" s="2" t="s">
        <v>59</v>
      </c>
      <c r="B1971" s="2" t="s">
        <v>60</v>
      </c>
      <c r="C1971" s="2" t="s">
        <v>19242</v>
      </c>
      <c r="D1971" s="2" t="s">
        <v>19243</v>
      </c>
      <c r="E1971" s="2" t="s">
        <v>19244</v>
      </c>
      <c r="F1971" s="3" t="s">
        <v>9132</v>
      </c>
      <c r="G1971" s="3" t="s">
        <v>209</v>
      </c>
      <c r="I1971" s="3" t="s">
        <v>65</v>
      </c>
      <c r="J1971" s="3" t="s">
        <v>65</v>
      </c>
      <c r="K1971" s="3" t="s">
        <v>66</v>
      </c>
      <c r="L1971" s="2" t="s">
        <v>19126</v>
      </c>
      <c r="M1971" s="2" t="s">
        <v>19245</v>
      </c>
      <c r="N1971" s="3" t="s">
        <v>770</v>
      </c>
      <c r="O1971" s="2" t="s">
        <v>654</v>
      </c>
      <c r="P1971" s="3" t="s">
        <v>140</v>
      </c>
      <c r="Q1971" s="2" t="s">
        <v>19246</v>
      </c>
      <c r="R1971" s="3" t="s">
        <v>71</v>
      </c>
      <c r="S1971" s="4">
        <v>6</v>
      </c>
      <c r="T1971" s="4">
        <v>31</v>
      </c>
      <c r="U1971" s="5" t="s">
        <v>367</v>
      </c>
      <c r="V1971" s="5" t="s">
        <v>19247</v>
      </c>
      <c r="W1971" s="5" t="s">
        <v>72</v>
      </c>
      <c r="X1971" s="5" t="s">
        <v>72</v>
      </c>
      <c r="Y1971" s="4">
        <v>61</v>
      </c>
      <c r="Z1971" s="4">
        <v>5</v>
      </c>
      <c r="AA1971" s="4">
        <v>5</v>
      </c>
      <c r="AB1971" s="4">
        <v>1</v>
      </c>
      <c r="AC1971" s="4">
        <v>1</v>
      </c>
      <c r="AD1971" s="4">
        <v>35</v>
      </c>
      <c r="AE1971" s="4">
        <v>35</v>
      </c>
      <c r="AF1971" s="4">
        <v>0</v>
      </c>
      <c r="AG1971" s="4">
        <v>0</v>
      </c>
      <c r="AH1971" s="4">
        <v>33</v>
      </c>
      <c r="AI1971" s="4">
        <v>33</v>
      </c>
      <c r="AJ1971" s="4">
        <v>3</v>
      </c>
      <c r="AK1971" s="4">
        <v>3</v>
      </c>
      <c r="AL1971" s="4">
        <v>28</v>
      </c>
      <c r="AM1971" s="4">
        <v>28</v>
      </c>
      <c r="AN1971" s="4">
        <v>0</v>
      </c>
      <c r="AO1971" s="4">
        <v>0</v>
      </c>
      <c r="AP1971" s="4">
        <v>3</v>
      </c>
      <c r="AQ1971" s="4">
        <v>3</v>
      </c>
      <c r="AR1971" s="3" t="s">
        <v>65</v>
      </c>
      <c r="AS1971" s="3" t="s">
        <v>65</v>
      </c>
      <c r="AT1971" s="3" t="s">
        <v>65</v>
      </c>
      <c r="AV1971" s="6" t="str">
        <f>HYPERLINK("http://mcgill.on.worldcat.org/oclc/25246998","Catalog Record")</f>
        <v>Catalog Record</v>
      </c>
      <c r="AW1971" s="6" t="str">
        <f>HYPERLINK("http://www.worldcat.org/oclc/25246998","WorldCat Record")</f>
        <v>WorldCat Record</v>
      </c>
      <c r="AX1971" s="3" t="s">
        <v>19248</v>
      </c>
      <c r="AY1971" s="3" t="s">
        <v>19249</v>
      </c>
      <c r="AZ1971" s="3" t="s">
        <v>19250</v>
      </c>
      <c r="BA1971" s="3" t="s">
        <v>19250</v>
      </c>
      <c r="BB1971" s="3" t="s">
        <v>19256</v>
      </c>
      <c r="BC1971" s="3" t="s">
        <v>77</v>
      </c>
      <c r="BD1971" s="3" t="s">
        <v>78</v>
      </c>
      <c r="BE1971" s="3" t="s">
        <v>19252</v>
      </c>
      <c r="BF1971" s="3" t="s">
        <v>19256</v>
      </c>
      <c r="BG1971" s="3" t="s">
        <v>19257</v>
      </c>
    </row>
    <row r="1972" spans="1:59" ht="58" x14ac:dyDescent="0.35">
      <c r="A1972" s="2" t="s">
        <v>59</v>
      </c>
      <c r="B1972" s="2" t="s">
        <v>60</v>
      </c>
      <c r="C1972" s="2" t="s">
        <v>19258</v>
      </c>
      <c r="D1972" s="2" t="s">
        <v>19259</v>
      </c>
      <c r="E1972" s="2" t="s">
        <v>19260</v>
      </c>
      <c r="F1972" s="3" t="s">
        <v>1075</v>
      </c>
      <c r="G1972" s="3" t="s">
        <v>209</v>
      </c>
      <c r="I1972" s="3" t="s">
        <v>65</v>
      </c>
      <c r="J1972" s="3" t="s">
        <v>209</v>
      </c>
      <c r="K1972" s="3" t="s">
        <v>66</v>
      </c>
      <c r="L1972" s="2" t="s">
        <v>19126</v>
      </c>
      <c r="M1972" s="2" t="s">
        <v>19261</v>
      </c>
      <c r="N1972" s="3" t="s">
        <v>552</v>
      </c>
      <c r="P1972" s="3" t="s">
        <v>140</v>
      </c>
      <c r="Q1972" s="2" t="s">
        <v>19262</v>
      </c>
      <c r="R1972" s="3" t="s">
        <v>71</v>
      </c>
      <c r="S1972" s="4">
        <v>0</v>
      </c>
      <c r="T1972" s="4">
        <v>7</v>
      </c>
      <c r="V1972" s="5" t="s">
        <v>13846</v>
      </c>
      <c r="W1972" s="5" t="s">
        <v>72</v>
      </c>
      <c r="X1972" s="5" t="s">
        <v>72</v>
      </c>
      <c r="Y1972" s="4">
        <v>62</v>
      </c>
      <c r="Z1972" s="4">
        <v>3</v>
      </c>
      <c r="AA1972" s="4">
        <v>14</v>
      </c>
      <c r="AB1972" s="4">
        <v>1</v>
      </c>
      <c r="AC1972" s="4">
        <v>2</v>
      </c>
      <c r="AD1972" s="4">
        <v>43</v>
      </c>
      <c r="AE1972" s="4">
        <v>69</v>
      </c>
      <c r="AF1972" s="4">
        <v>0</v>
      </c>
      <c r="AG1972" s="4">
        <v>1</v>
      </c>
      <c r="AH1972" s="4">
        <v>42</v>
      </c>
      <c r="AI1972" s="4">
        <v>63</v>
      </c>
      <c r="AJ1972" s="4">
        <v>1</v>
      </c>
      <c r="AK1972" s="4">
        <v>7</v>
      </c>
      <c r="AL1972" s="4">
        <v>35</v>
      </c>
      <c r="AM1972" s="4">
        <v>49</v>
      </c>
      <c r="AN1972" s="4">
        <v>0</v>
      </c>
      <c r="AO1972" s="4">
        <v>0</v>
      </c>
      <c r="AP1972" s="4">
        <v>1</v>
      </c>
      <c r="AQ1972" s="4">
        <v>7</v>
      </c>
      <c r="AR1972" s="3" t="s">
        <v>65</v>
      </c>
      <c r="AS1972" s="3" t="s">
        <v>65</v>
      </c>
      <c r="AT1972" s="3" t="s">
        <v>209</v>
      </c>
      <c r="AU1972" s="6" t="str">
        <f t="shared" ref="AU1972:AU1977" si="31">HYPERLINK("http://catalog.hathitrust.org/Record/003960673","HathiTrust Record")</f>
        <v>HathiTrust Record</v>
      </c>
      <c r="AV1972" s="6" t="str">
        <f t="shared" ref="AV1972:AV1977" si="32">HYPERLINK("http://mcgill.on.worldcat.org/oclc/38017090","Catalog Record")</f>
        <v>Catalog Record</v>
      </c>
      <c r="AW1972" s="6" t="str">
        <f t="shared" ref="AW1972:AW1977" si="33">HYPERLINK("http://www.worldcat.org/oclc/38017090","WorldCat Record")</f>
        <v>WorldCat Record</v>
      </c>
      <c r="AX1972" s="3" t="s">
        <v>19263</v>
      </c>
      <c r="AY1972" s="3" t="s">
        <v>19264</v>
      </c>
      <c r="AZ1972" s="3" t="s">
        <v>19265</v>
      </c>
      <c r="BA1972" s="3" t="s">
        <v>19265</v>
      </c>
      <c r="BB1972" s="3" t="s">
        <v>19266</v>
      </c>
      <c r="BC1972" s="3" t="s">
        <v>77</v>
      </c>
      <c r="BD1972" s="3" t="s">
        <v>78</v>
      </c>
      <c r="BE1972" s="3" t="s">
        <v>19267</v>
      </c>
      <c r="BF1972" s="3" t="s">
        <v>19266</v>
      </c>
      <c r="BG1972" s="3" t="s">
        <v>19268</v>
      </c>
    </row>
    <row r="1973" spans="1:59" ht="58" x14ac:dyDescent="0.35">
      <c r="A1973" s="2" t="s">
        <v>59</v>
      </c>
      <c r="B1973" s="2" t="s">
        <v>60</v>
      </c>
      <c r="C1973" s="2" t="s">
        <v>19258</v>
      </c>
      <c r="D1973" s="2" t="s">
        <v>19259</v>
      </c>
      <c r="E1973" s="2" t="s">
        <v>19260</v>
      </c>
      <c r="F1973" s="3" t="s">
        <v>258</v>
      </c>
      <c r="G1973" s="3" t="s">
        <v>209</v>
      </c>
      <c r="I1973" s="3" t="s">
        <v>65</v>
      </c>
      <c r="J1973" s="3" t="s">
        <v>209</v>
      </c>
      <c r="K1973" s="3" t="s">
        <v>66</v>
      </c>
      <c r="L1973" s="2" t="s">
        <v>19126</v>
      </c>
      <c r="M1973" s="2" t="s">
        <v>19261</v>
      </c>
      <c r="N1973" s="3" t="s">
        <v>552</v>
      </c>
      <c r="P1973" s="3" t="s">
        <v>140</v>
      </c>
      <c r="Q1973" s="2" t="s">
        <v>19262</v>
      </c>
      <c r="R1973" s="3" t="s">
        <v>71</v>
      </c>
      <c r="S1973" s="4">
        <v>2</v>
      </c>
      <c r="T1973" s="4">
        <v>7</v>
      </c>
      <c r="U1973" s="5" t="s">
        <v>367</v>
      </c>
      <c r="V1973" s="5" t="s">
        <v>13846</v>
      </c>
      <c r="W1973" s="5" t="s">
        <v>72</v>
      </c>
      <c r="X1973" s="5" t="s">
        <v>72</v>
      </c>
      <c r="Y1973" s="4">
        <v>62</v>
      </c>
      <c r="Z1973" s="4">
        <v>3</v>
      </c>
      <c r="AA1973" s="4">
        <v>14</v>
      </c>
      <c r="AB1973" s="4">
        <v>1</v>
      </c>
      <c r="AC1973" s="4">
        <v>2</v>
      </c>
      <c r="AD1973" s="4">
        <v>43</v>
      </c>
      <c r="AE1973" s="4">
        <v>69</v>
      </c>
      <c r="AF1973" s="4">
        <v>0</v>
      </c>
      <c r="AG1973" s="4">
        <v>1</v>
      </c>
      <c r="AH1973" s="4">
        <v>42</v>
      </c>
      <c r="AI1973" s="4">
        <v>63</v>
      </c>
      <c r="AJ1973" s="4">
        <v>1</v>
      </c>
      <c r="AK1973" s="4">
        <v>7</v>
      </c>
      <c r="AL1973" s="4">
        <v>35</v>
      </c>
      <c r="AM1973" s="4">
        <v>49</v>
      </c>
      <c r="AN1973" s="4">
        <v>0</v>
      </c>
      <c r="AO1973" s="4">
        <v>0</v>
      </c>
      <c r="AP1973" s="4">
        <v>1</v>
      </c>
      <c r="AQ1973" s="4">
        <v>7</v>
      </c>
      <c r="AR1973" s="3" t="s">
        <v>65</v>
      </c>
      <c r="AS1973" s="3" t="s">
        <v>65</v>
      </c>
      <c r="AT1973" s="3" t="s">
        <v>209</v>
      </c>
      <c r="AU1973" s="6" t="str">
        <f t="shared" si="31"/>
        <v>HathiTrust Record</v>
      </c>
      <c r="AV1973" s="6" t="str">
        <f t="shared" si="32"/>
        <v>Catalog Record</v>
      </c>
      <c r="AW1973" s="6" t="str">
        <f t="shared" si="33"/>
        <v>WorldCat Record</v>
      </c>
      <c r="AX1973" s="3" t="s">
        <v>19263</v>
      </c>
      <c r="AY1973" s="3" t="s">
        <v>19264</v>
      </c>
      <c r="AZ1973" s="3" t="s">
        <v>19265</v>
      </c>
      <c r="BA1973" s="3" t="s">
        <v>19265</v>
      </c>
      <c r="BB1973" s="3" t="s">
        <v>19269</v>
      </c>
      <c r="BC1973" s="3" t="s">
        <v>77</v>
      </c>
      <c r="BD1973" s="3" t="s">
        <v>78</v>
      </c>
      <c r="BE1973" s="3" t="s">
        <v>19267</v>
      </c>
      <c r="BF1973" s="3" t="s">
        <v>19269</v>
      </c>
      <c r="BG1973" s="3" t="s">
        <v>19270</v>
      </c>
    </row>
    <row r="1974" spans="1:59" ht="58" x14ac:dyDescent="0.35">
      <c r="A1974" s="2" t="s">
        <v>59</v>
      </c>
      <c r="B1974" s="2" t="s">
        <v>60</v>
      </c>
      <c r="C1974" s="2" t="s">
        <v>19258</v>
      </c>
      <c r="D1974" s="2" t="s">
        <v>19259</v>
      </c>
      <c r="E1974" s="2" t="s">
        <v>19260</v>
      </c>
      <c r="F1974" s="3" t="s">
        <v>792</v>
      </c>
      <c r="G1974" s="3" t="s">
        <v>209</v>
      </c>
      <c r="I1974" s="3" t="s">
        <v>65</v>
      </c>
      <c r="J1974" s="3" t="s">
        <v>209</v>
      </c>
      <c r="K1974" s="3" t="s">
        <v>66</v>
      </c>
      <c r="L1974" s="2" t="s">
        <v>19126</v>
      </c>
      <c r="M1974" s="2" t="s">
        <v>19261</v>
      </c>
      <c r="N1974" s="3" t="s">
        <v>552</v>
      </c>
      <c r="P1974" s="3" t="s">
        <v>140</v>
      </c>
      <c r="Q1974" s="2" t="s">
        <v>19262</v>
      </c>
      <c r="R1974" s="3" t="s">
        <v>71</v>
      </c>
      <c r="S1974" s="4">
        <v>0</v>
      </c>
      <c r="T1974" s="4">
        <v>7</v>
      </c>
      <c r="V1974" s="5" t="s">
        <v>13846</v>
      </c>
      <c r="W1974" s="5" t="s">
        <v>72</v>
      </c>
      <c r="X1974" s="5" t="s">
        <v>72</v>
      </c>
      <c r="Y1974" s="4">
        <v>62</v>
      </c>
      <c r="Z1974" s="4">
        <v>3</v>
      </c>
      <c r="AA1974" s="4">
        <v>14</v>
      </c>
      <c r="AB1974" s="4">
        <v>1</v>
      </c>
      <c r="AC1974" s="4">
        <v>2</v>
      </c>
      <c r="AD1974" s="4">
        <v>43</v>
      </c>
      <c r="AE1974" s="4">
        <v>69</v>
      </c>
      <c r="AF1974" s="4">
        <v>0</v>
      </c>
      <c r="AG1974" s="4">
        <v>1</v>
      </c>
      <c r="AH1974" s="4">
        <v>42</v>
      </c>
      <c r="AI1974" s="4">
        <v>63</v>
      </c>
      <c r="AJ1974" s="4">
        <v>1</v>
      </c>
      <c r="AK1974" s="4">
        <v>7</v>
      </c>
      <c r="AL1974" s="4">
        <v>35</v>
      </c>
      <c r="AM1974" s="4">
        <v>49</v>
      </c>
      <c r="AN1974" s="4">
        <v>0</v>
      </c>
      <c r="AO1974" s="4">
        <v>0</v>
      </c>
      <c r="AP1974" s="4">
        <v>1</v>
      </c>
      <c r="AQ1974" s="4">
        <v>7</v>
      </c>
      <c r="AR1974" s="3" t="s">
        <v>65</v>
      </c>
      <c r="AS1974" s="3" t="s">
        <v>65</v>
      </c>
      <c r="AT1974" s="3" t="s">
        <v>209</v>
      </c>
      <c r="AU1974" s="6" t="str">
        <f t="shared" si="31"/>
        <v>HathiTrust Record</v>
      </c>
      <c r="AV1974" s="6" t="str">
        <f t="shared" si="32"/>
        <v>Catalog Record</v>
      </c>
      <c r="AW1974" s="6" t="str">
        <f t="shared" si="33"/>
        <v>WorldCat Record</v>
      </c>
      <c r="AX1974" s="3" t="s">
        <v>19263</v>
      </c>
      <c r="AY1974" s="3" t="s">
        <v>19264</v>
      </c>
      <c r="AZ1974" s="3" t="s">
        <v>19265</v>
      </c>
      <c r="BA1974" s="3" t="s">
        <v>19265</v>
      </c>
      <c r="BB1974" s="3" t="s">
        <v>19271</v>
      </c>
      <c r="BC1974" s="3" t="s">
        <v>77</v>
      </c>
      <c r="BD1974" s="3" t="s">
        <v>78</v>
      </c>
      <c r="BE1974" s="3" t="s">
        <v>19267</v>
      </c>
      <c r="BF1974" s="3" t="s">
        <v>19271</v>
      </c>
      <c r="BG1974" s="3" t="s">
        <v>19272</v>
      </c>
    </row>
    <row r="1975" spans="1:59" ht="58" x14ac:dyDescent="0.35">
      <c r="A1975" s="2" t="s">
        <v>59</v>
      </c>
      <c r="B1975" s="2" t="s">
        <v>60</v>
      </c>
      <c r="C1975" s="2" t="s">
        <v>19258</v>
      </c>
      <c r="D1975" s="2" t="s">
        <v>19259</v>
      </c>
      <c r="E1975" s="2" t="s">
        <v>19260</v>
      </c>
      <c r="F1975" s="3" t="s">
        <v>255</v>
      </c>
      <c r="G1975" s="3" t="s">
        <v>209</v>
      </c>
      <c r="I1975" s="3" t="s">
        <v>65</v>
      </c>
      <c r="J1975" s="3" t="s">
        <v>209</v>
      </c>
      <c r="K1975" s="3" t="s">
        <v>66</v>
      </c>
      <c r="L1975" s="2" t="s">
        <v>19126</v>
      </c>
      <c r="M1975" s="2" t="s">
        <v>19261</v>
      </c>
      <c r="N1975" s="3" t="s">
        <v>552</v>
      </c>
      <c r="P1975" s="3" t="s">
        <v>140</v>
      </c>
      <c r="Q1975" s="2" t="s">
        <v>19262</v>
      </c>
      <c r="R1975" s="3" t="s">
        <v>71</v>
      </c>
      <c r="S1975" s="4">
        <v>0</v>
      </c>
      <c r="T1975" s="4">
        <v>7</v>
      </c>
      <c r="V1975" s="5" t="s">
        <v>13846</v>
      </c>
      <c r="W1975" s="5" t="s">
        <v>72</v>
      </c>
      <c r="X1975" s="5" t="s">
        <v>72</v>
      </c>
      <c r="Y1975" s="4">
        <v>62</v>
      </c>
      <c r="Z1975" s="4">
        <v>3</v>
      </c>
      <c r="AA1975" s="4">
        <v>14</v>
      </c>
      <c r="AB1975" s="4">
        <v>1</v>
      </c>
      <c r="AC1975" s="4">
        <v>2</v>
      </c>
      <c r="AD1975" s="4">
        <v>43</v>
      </c>
      <c r="AE1975" s="4">
        <v>69</v>
      </c>
      <c r="AF1975" s="4">
        <v>0</v>
      </c>
      <c r="AG1975" s="4">
        <v>1</v>
      </c>
      <c r="AH1975" s="4">
        <v>42</v>
      </c>
      <c r="AI1975" s="4">
        <v>63</v>
      </c>
      <c r="AJ1975" s="4">
        <v>1</v>
      </c>
      <c r="AK1975" s="4">
        <v>7</v>
      </c>
      <c r="AL1975" s="4">
        <v>35</v>
      </c>
      <c r="AM1975" s="4">
        <v>49</v>
      </c>
      <c r="AN1975" s="4">
        <v>0</v>
      </c>
      <c r="AO1975" s="4">
        <v>0</v>
      </c>
      <c r="AP1975" s="4">
        <v>1</v>
      </c>
      <c r="AQ1975" s="4">
        <v>7</v>
      </c>
      <c r="AR1975" s="3" t="s">
        <v>65</v>
      </c>
      <c r="AS1975" s="3" t="s">
        <v>65</v>
      </c>
      <c r="AT1975" s="3" t="s">
        <v>209</v>
      </c>
      <c r="AU1975" s="6" t="str">
        <f t="shared" si="31"/>
        <v>HathiTrust Record</v>
      </c>
      <c r="AV1975" s="6" t="str">
        <f t="shared" si="32"/>
        <v>Catalog Record</v>
      </c>
      <c r="AW1975" s="6" t="str">
        <f t="shared" si="33"/>
        <v>WorldCat Record</v>
      </c>
      <c r="AX1975" s="3" t="s">
        <v>19263</v>
      </c>
      <c r="AY1975" s="3" t="s">
        <v>19264</v>
      </c>
      <c r="AZ1975" s="3" t="s">
        <v>19265</v>
      </c>
      <c r="BA1975" s="3" t="s">
        <v>19265</v>
      </c>
      <c r="BB1975" s="3" t="s">
        <v>19273</v>
      </c>
      <c r="BC1975" s="3" t="s">
        <v>77</v>
      </c>
      <c r="BD1975" s="3" t="s">
        <v>78</v>
      </c>
      <c r="BE1975" s="3" t="s">
        <v>19267</v>
      </c>
      <c r="BF1975" s="3" t="s">
        <v>19273</v>
      </c>
      <c r="BG1975" s="3" t="s">
        <v>19274</v>
      </c>
    </row>
    <row r="1976" spans="1:59" ht="58" x14ac:dyDescent="0.35">
      <c r="A1976" s="2" t="s">
        <v>59</v>
      </c>
      <c r="B1976" s="2" t="s">
        <v>60</v>
      </c>
      <c r="C1976" s="2" t="s">
        <v>19258</v>
      </c>
      <c r="D1976" s="2" t="s">
        <v>19259</v>
      </c>
      <c r="E1976" s="2" t="s">
        <v>19260</v>
      </c>
      <c r="F1976" s="3" t="s">
        <v>1071</v>
      </c>
      <c r="G1976" s="3" t="s">
        <v>209</v>
      </c>
      <c r="I1976" s="3" t="s">
        <v>65</v>
      </c>
      <c r="J1976" s="3" t="s">
        <v>209</v>
      </c>
      <c r="K1976" s="3" t="s">
        <v>66</v>
      </c>
      <c r="L1976" s="2" t="s">
        <v>19126</v>
      </c>
      <c r="M1976" s="2" t="s">
        <v>19261</v>
      </c>
      <c r="N1976" s="3" t="s">
        <v>552</v>
      </c>
      <c r="P1976" s="3" t="s">
        <v>140</v>
      </c>
      <c r="Q1976" s="2" t="s">
        <v>19262</v>
      </c>
      <c r="R1976" s="3" t="s">
        <v>71</v>
      </c>
      <c r="S1976" s="4">
        <v>0</v>
      </c>
      <c r="T1976" s="4">
        <v>7</v>
      </c>
      <c r="V1976" s="5" t="s">
        <v>13846</v>
      </c>
      <c r="W1976" s="5" t="s">
        <v>72</v>
      </c>
      <c r="X1976" s="5" t="s">
        <v>72</v>
      </c>
      <c r="Y1976" s="4">
        <v>62</v>
      </c>
      <c r="Z1976" s="4">
        <v>3</v>
      </c>
      <c r="AA1976" s="4">
        <v>14</v>
      </c>
      <c r="AB1976" s="4">
        <v>1</v>
      </c>
      <c r="AC1976" s="4">
        <v>2</v>
      </c>
      <c r="AD1976" s="4">
        <v>43</v>
      </c>
      <c r="AE1976" s="4">
        <v>69</v>
      </c>
      <c r="AF1976" s="4">
        <v>0</v>
      </c>
      <c r="AG1976" s="4">
        <v>1</v>
      </c>
      <c r="AH1976" s="4">
        <v>42</v>
      </c>
      <c r="AI1976" s="4">
        <v>63</v>
      </c>
      <c r="AJ1976" s="4">
        <v>1</v>
      </c>
      <c r="AK1976" s="4">
        <v>7</v>
      </c>
      <c r="AL1976" s="4">
        <v>35</v>
      </c>
      <c r="AM1976" s="4">
        <v>49</v>
      </c>
      <c r="AN1976" s="4">
        <v>0</v>
      </c>
      <c r="AO1976" s="4">
        <v>0</v>
      </c>
      <c r="AP1976" s="4">
        <v>1</v>
      </c>
      <c r="AQ1976" s="4">
        <v>7</v>
      </c>
      <c r="AR1976" s="3" t="s">
        <v>65</v>
      </c>
      <c r="AS1976" s="3" t="s">
        <v>65</v>
      </c>
      <c r="AT1976" s="3" t="s">
        <v>209</v>
      </c>
      <c r="AU1976" s="6" t="str">
        <f t="shared" si="31"/>
        <v>HathiTrust Record</v>
      </c>
      <c r="AV1976" s="6" t="str">
        <f t="shared" si="32"/>
        <v>Catalog Record</v>
      </c>
      <c r="AW1976" s="6" t="str">
        <f t="shared" si="33"/>
        <v>WorldCat Record</v>
      </c>
      <c r="AX1976" s="3" t="s">
        <v>19263</v>
      </c>
      <c r="AY1976" s="3" t="s">
        <v>19264</v>
      </c>
      <c r="AZ1976" s="3" t="s">
        <v>19265</v>
      </c>
      <c r="BA1976" s="3" t="s">
        <v>19265</v>
      </c>
      <c r="BB1976" s="3" t="s">
        <v>19275</v>
      </c>
      <c r="BC1976" s="3" t="s">
        <v>77</v>
      </c>
      <c r="BD1976" s="3" t="s">
        <v>78</v>
      </c>
      <c r="BE1976" s="3" t="s">
        <v>19267</v>
      </c>
      <c r="BF1976" s="3" t="s">
        <v>19275</v>
      </c>
      <c r="BG1976" s="3" t="s">
        <v>19276</v>
      </c>
    </row>
    <row r="1977" spans="1:59" ht="58" x14ac:dyDescent="0.35">
      <c r="A1977" s="2" t="s">
        <v>59</v>
      </c>
      <c r="B1977" s="2" t="s">
        <v>60</v>
      </c>
      <c r="C1977" s="2" t="s">
        <v>19258</v>
      </c>
      <c r="D1977" s="2" t="s">
        <v>19259</v>
      </c>
      <c r="E1977" s="2" t="s">
        <v>19260</v>
      </c>
      <c r="F1977" s="3" t="s">
        <v>245</v>
      </c>
      <c r="G1977" s="3" t="s">
        <v>209</v>
      </c>
      <c r="I1977" s="3" t="s">
        <v>65</v>
      </c>
      <c r="J1977" s="3" t="s">
        <v>209</v>
      </c>
      <c r="K1977" s="3" t="s">
        <v>66</v>
      </c>
      <c r="L1977" s="2" t="s">
        <v>19126</v>
      </c>
      <c r="M1977" s="2" t="s">
        <v>19261</v>
      </c>
      <c r="N1977" s="3" t="s">
        <v>552</v>
      </c>
      <c r="P1977" s="3" t="s">
        <v>140</v>
      </c>
      <c r="Q1977" s="2" t="s">
        <v>19262</v>
      </c>
      <c r="R1977" s="3" t="s">
        <v>71</v>
      </c>
      <c r="S1977" s="4">
        <v>5</v>
      </c>
      <c r="T1977" s="4">
        <v>7</v>
      </c>
      <c r="U1977" s="5" t="s">
        <v>13846</v>
      </c>
      <c r="V1977" s="5" t="s">
        <v>13846</v>
      </c>
      <c r="W1977" s="5" t="s">
        <v>72</v>
      </c>
      <c r="X1977" s="5" t="s">
        <v>72</v>
      </c>
      <c r="Y1977" s="4">
        <v>62</v>
      </c>
      <c r="Z1977" s="4">
        <v>3</v>
      </c>
      <c r="AA1977" s="4">
        <v>14</v>
      </c>
      <c r="AB1977" s="4">
        <v>1</v>
      </c>
      <c r="AC1977" s="4">
        <v>2</v>
      </c>
      <c r="AD1977" s="4">
        <v>43</v>
      </c>
      <c r="AE1977" s="4">
        <v>69</v>
      </c>
      <c r="AF1977" s="4">
        <v>0</v>
      </c>
      <c r="AG1977" s="4">
        <v>1</v>
      </c>
      <c r="AH1977" s="4">
        <v>42</v>
      </c>
      <c r="AI1977" s="4">
        <v>63</v>
      </c>
      <c r="AJ1977" s="4">
        <v>1</v>
      </c>
      <c r="AK1977" s="4">
        <v>7</v>
      </c>
      <c r="AL1977" s="4">
        <v>35</v>
      </c>
      <c r="AM1977" s="4">
        <v>49</v>
      </c>
      <c r="AN1977" s="4">
        <v>0</v>
      </c>
      <c r="AO1977" s="4">
        <v>0</v>
      </c>
      <c r="AP1977" s="4">
        <v>1</v>
      </c>
      <c r="AQ1977" s="4">
        <v>7</v>
      </c>
      <c r="AR1977" s="3" t="s">
        <v>65</v>
      </c>
      <c r="AS1977" s="3" t="s">
        <v>65</v>
      </c>
      <c r="AT1977" s="3" t="s">
        <v>209</v>
      </c>
      <c r="AU1977" s="6" t="str">
        <f t="shared" si="31"/>
        <v>HathiTrust Record</v>
      </c>
      <c r="AV1977" s="6" t="str">
        <f t="shared" si="32"/>
        <v>Catalog Record</v>
      </c>
      <c r="AW1977" s="6" t="str">
        <f t="shared" si="33"/>
        <v>WorldCat Record</v>
      </c>
      <c r="AX1977" s="3" t="s">
        <v>19263</v>
      </c>
      <c r="AY1977" s="3" t="s">
        <v>19264</v>
      </c>
      <c r="AZ1977" s="3" t="s">
        <v>19265</v>
      </c>
      <c r="BA1977" s="3" t="s">
        <v>19265</v>
      </c>
      <c r="BB1977" s="3" t="s">
        <v>19277</v>
      </c>
      <c r="BC1977" s="3" t="s">
        <v>77</v>
      </c>
      <c r="BD1977" s="3" t="s">
        <v>78</v>
      </c>
      <c r="BE1977" s="3" t="s">
        <v>19267</v>
      </c>
      <c r="BF1977" s="3" t="s">
        <v>19277</v>
      </c>
      <c r="BG1977" s="3" t="s">
        <v>19278</v>
      </c>
    </row>
    <row r="1978" spans="1:59" ht="58" x14ac:dyDescent="0.35">
      <c r="A1978" s="2" t="s">
        <v>59</v>
      </c>
      <c r="B1978" s="2" t="s">
        <v>60</v>
      </c>
      <c r="C1978" s="2" t="s">
        <v>19279</v>
      </c>
      <c r="D1978" s="2" t="s">
        <v>19280</v>
      </c>
      <c r="E1978" s="2" t="s">
        <v>19281</v>
      </c>
      <c r="G1978" s="3" t="s">
        <v>65</v>
      </c>
      <c r="I1978" s="3" t="s">
        <v>65</v>
      </c>
      <c r="J1978" s="3" t="s">
        <v>209</v>
      </c>
      <c r="K1978" s="3" t="s">
        <v>66</v>
      </c>
      <c r="L1978" s="2" t="s">
        <v>19126</v>
      </c>
      <c r="M1978" s="2" t="s">
        <v>19282</v>
      </c>
      <c r="N1978" s="3" t="s">
        <v>152</v>
      </c>
      <c r="O1978" s="2" t="s">
        <v>526</v>
      </c>
      <c r="P1978" s="3" t="s">
        <v>69</v>
      </c>
      <c r="R1978" s="3" t="s">
        <v>71</v>
      </c>
      <c r="S1978" s="4">
        <v>2</v>
      </c>
      <c r="T1978" s="4">
        <v>2</v>
      </c>
      <c r="U1978" s="5" t="s">
        <v>19283</v>
      </c>
      <c r="V1978" s="5" t="s">
        <v>19283</v>
      </c>
      <c r="W1978" s="5" t="s">
        <v>72</v>
      </c>
      <c r="X1978" s="5" t="s">
        <v>72</v>
      </c>
      <c r="Y1978" s="4">
        <v>184</v>
      </c>
      <c r="Z1978" s="4">
        <v>15</v>
      </c>
      <c r="AA1978" s="4">
        <v>87</v>
      </c>
      <c r="AB1978" s="4">
        <v>1</v>
      </c>
      <c r="AC1978" s="4">
        <v>15</v>
      </c>
      <c r="AD1978" s="4">
        <v>69</v>
      </c>
      <c r="AE1978" s="4">
        <v>136</v>
      </c>
      <c r="AF1978" s="4">
        <v>0</v>
      </c>
      <c r="AG1978" s="4">
        <v>8</v>
      </c>
      <c r="AH1978" s="4">
        <v>67</v>
      </c>
      <c r="AI1978" s="4">
        <v>101</v>
      </c>
      <c r="AJ1978" s="4">
        <v>10</v>
      </c>
      <c r="AK1978" s="4">
        <v>23</v>
      </c>
      <c r="AL1978" s="4">
        <v>40</v>
      </c>
      <c r="AM1978" s="4">
        <v>58</v>
      </c>
      <c r="AN1978" s="4">
        <v>0</v>
      </c>
      <c r="AO1978" s="4">
        <v>0</v>
      </c>
      <c r="AP1978" s="4">
        <v>10</v>
      </c>
      <c r="AQ1978" s="4">
        <v>43</v>
      </c>
      <c r="AR1978" s="3" t="s">
        <v>65</v>
      </c>
      <c r="AS1978" s="3" t="s">
        <v>65</v>
      </c>
      <c r="AT1978" s="3" t="s">
        <v>65</v>
      </c>
      <c r="AV1978" s="6" t="str">
        <f>HYPERLINK("http://mcgill.on.worldcat.org/oclc/794973811","Catalog Record")</f>
        <v>Catalog Record</v>
      </c>
      <c r="AW1978" s="6" t="str">
        <f>HYPERLINK("http://www.worldcat.org/oclc/794973811","WorldCat Record")</f>
        <v>WorldCat Record</v>
      </c>
      <c r="AX1978" s="3" t="s">
        <v>19284</v>
      </c>
      <c r="AY1978" s="3" t="s">
        <v>19285</v>
      </c>
      <c r="AZ1978" s="3" t="s">
        <v>19286</v>
      </c>
      <c r="BA1978" s="3" t="s">
        <v>19286</v>
      </c>
      <c r="BB1978" s="3" t="s">
        <v>19287</v>
      </c>
      <c r="BC1978" s="3" t="s">
        <v>77</v>
      </c>
      <c r="BD1978" s="3" t="s">
        <v>78</v>
      </c>
      <c r="BE1978" s="3" t="s">
        <v>19288</v>
      </c>
      <c r="BF1978" s="3" t="s">
        <v>19287</v>
      </c>
      <c r="BG1978" s="3" t="s">
        <v>19289</v>
      </c>
    </row>
    <row r="1979" spans="1:59" ht="58" x14ac:dyDescent="0.35">
      <c r="A1979" s="2" t="s">
        <v>59</v>
      </c>
      <c r="B1979" s="2" t="s">
        <v>60</v>
      </c>
      <c r="C1979" s="2" t="s">
        <v>19290</v>
      </c>
      <c r="D1979" s="2" t="s">
        <v>19291</v>
      </c>
      <c r="E1979" s="2" t="s">
        <v>19292</v>
      </c>
      <c r="G1979" s="3" t="s">
        <v>65</v>
      </c>
      <c r="I1979" s="3" t="s">
        <v>65</v>
      </c>
      <c r="J1979" s="3" t="s">
        <v>209</v>
      </c>
      <c r="K1979" s="3" t="s">
        <v>66</v>
      </c>
      <c r="L1979" s="2" t="s">
        <v>19159</v>
      </c>
      <c r="M1979" s="2" t="s">
        <v>19293</v>
      </c>
      <c r="N1979" s="3" t="s">
        <v>164</v>
      </c>
      <c r="P1979" s="3" t="s">
        <v>69</v>
      </c>
      <c r="Q1979" s="2" t="s">
        <v>19294</v>
      </c>
      <c r="R1979" s="3" t="s">
        <v>71</v>
      </c>
      <c r="S1979" s="4">
        <v>0</v>
      </c>
      <c r="T1979" s="4">
        <v>0</v>
      </c>
      <c r="W1979" s="5" t="s">
        <v>72</v>
      </c>
      <c r="X1979" s="5" t="s">
        <v>72</v>
      </c>
      <c r="Y1979" s="4">
        <v>131</v>
      </c>
      <c r="Z1979" s="4">
        <v>11</v>
      </c>
      <c r="AA1979" s="4">
        <v>87</v>
      </c>
      <c r="AB1979" s="4">
        <v>1</v>
      </c>
      <c r="AC1979" s="4">
        <v>15</v>
      </c>
      <c r="AD1979" s="4">
        <v>60</v>
      </c>
      <c r="AE1979" s="4">
        <v>136</v>
      </c>
      <c r="AF1979" s="4">
        <v>0</v>
      </c>
      <c r="AG1979" s="4">
        <v>8</v>
      </c>
      <c r="AH1979" s="4">
        <v>57</v>
      </c>
      <c r="AI1979" s="4">
        <v>101</v>
      </c>
      <c r="AJ1979" s="4">
        <v>7</v>
      </c>
      <c r="AK1979" s="4">
        <v>23</v>
      </c>
      <c r="AL1979" s="4">
        <v>40</v>
      </c>
      <c r="AM1979" s="4">
        <v>58</v>
      </c>
      <c r="AN1979" s="4">
        <v>0</v>
      </c>
      <c r="AO1979" s="4">
        <v>0</v>
      </c>
      <c r="AP1979" s="4">
        <v>7</v>
      </c>
      <c r="AQ1979" s="4">
        <v>43</v>
      </c>
      <c r="AR1979" s="3" t="s">
        <v>65</v>
      </c>
      <c r="AS1979" s="3" t="s">
        <v>65</v>
      </c>
      <c r="AT1979" s="3" t="s">
        <v>65</v>
      </c>
      <c r="AV1979" s="6" t="str">
        <f>HYPERLINK("http://mcgill.on.worldcat.org/oclc/875644412","Catalog Record")</f>
        <v>Catalog Record</v>
      </c>
      <c r="AW1979" s="6" t="str">
        <f>HYPERLINK("http://www.worldcat.org/oclc/875644412","WorldCat Record")</f>
        <v>WorldCat Record</v>
      </c>
      <c r="AX1979" s="3" t="s">
        <v>19284</v>
      </c>
      <c r="AY1979" s="3" t="s">
        <v>19295</v>
      </c>
      <c r="AZ1979" s="3" t="s">
        <v>19296</v>
      </c>
      <c r="BA1979" s="3" t="s">
        <v>19296</v>
      </c>
      <c r="BB1979" s="3" t="s">
        <v>19297</v>
      </c>
      <c r="BC1979" s="3" t="s">
        <v>77</v>
      </c>
      <c r="BD1979" s="3" t="s">
        <v>78</v>
      </c>
      <c r="BE1979" s="3" t="s">
        <v>19298</v>
      </c>
      <c r="BF1979" s="3" t="s">
        <v>19297</v>
      </c>
      <c r="BG1979" s="3" t="s">
        <v>19299</v>
      </c>
    </row>
    <row r="1980" spans="1:59" ht="58" x14ac:dyDescent="0.35">
      <c r="A1980" s="2" t="s">
        <v>59</v>
      </c>
      <c r="B1980" s="2" t="s">
        <v>60</v>
      </c>
      <c r="C1980" s="2" t="s">
        <v>19300</v>
      </c>
      <c r="D1980" s="2" t="s">
        <v>19301</v>
      </c>
      <c r="E1980" s="2" t="s">
        <v>19302</v>
      </c>
      <c r="G1980" s="3" t="s">
        <v>65</v>
      </c>
      <c r="I1980" s="3" t="s">
        <v>65</v>
      </c>
      <c r="J1980" s="3" t="s">
        <v>65</v>
      </c>
      <c r="K1980" s="3" t="s">
        <v>66</v>
      </c>
      <c r="L1980" s="2" t="s">
        <v>19303</v>
      </c>
      <c r="M1980" s="2" t="s">
        <v>19304</v>
      </c>
      <c r="N1980" s="3" t="s">
        <v>113</v>
      </c>
      <c r="P1980" s="3" t="s">
        <v>140</v>
      </c>
      <c r="Q1980" s="2" t="s">
        <v>4654</v>
      </c>
      <c r="R1980" s="3" t="s">
        <v>71</v>
      </c>
      <c r="S1980" s="4">
        <v>0</v>
      </c>
      <c r="T1980" s="4">
        <v>0</v>
      </c>
      <c r="W1980" s="5" t="s">
        <v>72</v>
      </c>
      <c r="X1980" s="5" t="s">
        <v>72</v>
      </c>
      <c r="Y1980" s="4">
        <v>63</v>
      </c>
      <c r="Z1980" s="4">
        <v>6</v>
      </c>
      <c r="AA1980" s="4">
        <v>6</v>
      </c>
      <c r="AB1980" s="4">
        <v>2</v>
      </c>
      <c r="AC1980" s="4">
        <v>2</v>
      </c>
      <c r="AD1980" s="4">
        <v>41</v>
      </c>
      <c r="AE1980" s="4">
        <v>41</v>
      </c>
      <c r="AF1980" s="4">
        <v>1</v>
      </c>
      <c r="AG1980" s="4">
        <v>1</v>
      </c>
      <c r="AH1980" s="4">
        <v>39</v>
      </c>
      <c r="AI1980" s="4">
        <v>39</v>
      </c>
      <c r="AJ1980" s="4">
        <v>3</v>
      </c>
      <c r="AK1980" s="4">
        <v>3</v>
      </c>
      <c r="AL1980" s="4">
        <v>30</v>
      </c>
      <c r="AM1980" s="4">
        <v>30</v>
      </c>
      <c r="AN1980" s="4">
        <v>0</v>
      </c>
      <c r="AO1980" s="4">
        <v>0</v>
      </c>
      <c r="AP1980" s="4">
        <v>3</v>
      </c>
      <c r="AQ1980" s="4">
        <v>3</v>
      </c>
      <c r="AR1980" s="3" t="s">
        <v>65</v>
      </c>
      <c r="AS1980" s="3" t="s">
        <v>65</v>
      </c>
      <c r="AT1980" s="3" t="s">
        <v>65</v>
      </c>
      <c r="AV1980" s="6" t="str">
        <f>HYPERLINK("http://mcgill.on.worldcat.org/oclc/609530051","Catalog Record")</f>
        <v>Catalog Record</v>
      </c>
      <c r="AW1980" s="6" t="str">
        <f>HYPERLINK("http://www.worldcat.org/oclc/609530051","WorldCat Record")</f>
        <v>WorldCat Record</v>
      </c>
      <c r="AX1980" s="3" t="s">
        <v>19305</v>
      </c>
      <c r="AY1980" s="3" t="s">
        <v>19306</v>
      </c>
      <c r="AZ1980" s="3" t="s">
        <v>19307</v>
      </c>
      <c r="BA1980" s="3" t="s">
        <v>19307</v>
      </c>
      <c r="BB1980" s="3" t="s">
        <v>19308</v>
      </c>
      <c r="BC1980" s="3" t="s">
        <v>77</v>
      </c>
      <c r="BD1980" s="3" t="s">
        <v>78</v>
      </c>
      <c r="BE1980" s="3" t="s">
        <v>19309</v>
      </c>
      <c r="BF1980" s="3" t="s">
        <v>19308</v>
      </c>
      <c r="BG1980" s="3" t="s">
        <v>19310</v>
      </c>
    </row>
    <row r="1981" spans="1:59" ht="58" x14ac:dyDescent="0.35">
      <c r="A1981" s="2" t="s">
        <v>59</v>
      </c>
      <c r="B1981" s="2" t="s">
        <v>60</v>
      </c>
      <c r="C1981" s="2" t="s">
        <v>19311</v>
      </c>
      <c r="D1981" s="2" t="s">
        <v>19312</v>
      </c>
      <c r="E1981" s="2" t="s">
        <v>19313</v>
      </c>
      <c r="G1981" s="3" t="s">
        <v>65</v>
      </c>
      <c r="I1981" s="3" t="s">
        <v>209</v>
      </c>
      <c r="J1981" s="3" t="s">
        <v>65</v>
      </c>
      <c r="K1981" s="3" t="s">
        <v>66</v>
      </c>
      <c r="L1981" s="2" t="s">
        <v>19126</v>
      </c>
      <c r="M1981" s="2" t="s">
        <v>19314</v>
      </c>
      <c r="N1981" s="3" t="s">
        <v>5338</v>
      </c>
      <c r="P1981" s="3" t="s">
        <v>69</v>
      </c>
      <c r="Q1981" s="2" t="s">
        <v>18814</v>
      </c>
      <c r="R1981" s="3" t="s">
        <v>71</v>
      </c>
      <c r="S1981" s="4">
        <v>9</v>
      </c>
      <c r="T1981" s="4">
        <v>9</v>
      </c>
      <c r="U1981" s="5" t="s">
        <v>9206</v>
      </c>
      <c r="V1981" s="5" t="s">
        <v>9206</v>
      </c>
      <c r="W1981" s="5" t="s">
        <v>72</v>
      </c>
      <c r="X1981" s="5" t="s">
        <v>72</v>
      </c>
      <c r="Y1981" s="4">
        <v>142</v>
      </c>
      <c r="Z1981" s="4">
        <v>16</v>
      </c>
      <c r="AA1981" s="4">
        <v>26</v>
      </c>
      <c r="AB1981" s="4">
        <v>2</v>
      </c>
      <c r="AC1981" s="4">
        <v>2</v>
      </c>
      <c r="AD1981" s="4">
        <v>41</v>
      </c>
      <c r="AE1981" s="4">
        <v>95</v>
      </c>
      <c r="AF1981" s="4">
        <v>1</v>
      </c>
      <c r="AG1981" s="4">
        <v>1</v>
      </c>
      <c r="AH1981" s="4">
        <v>35</v>
      </c>
      <c r="AI1981" s="4">
        <v>83</v>
      </c>
      <c r="AJ1981" s="4">
        <v>9</v>
      </c>
      <c r="AK1981" s="4">
        <v>12</v>
      </c>
      <c r="AL1981" s="4">
        <v>22</v>
      </c>
      <c r="AM1981" s="4">
        <v>47</v>
      </c>
      <c r="AN1981" s="4">
        <v>0</v>
      </c>
      <c r="AO1981" s="4">
        <v>0</v>
      </c>
      <c r="AP1981" s="4">
        <v>11</v>
      </c>
      <c r="AQ1981" s="4">
        <v>17</v>
      </c>
      <c r="AR1981" s="3" t="s">
        <v>65</v>
      </c>
      <c r="AS1981" s="3" t="s">
        <v>65</v>
      </c>
      <c r="AT1981" s="3" t="s">
        <v>209</v>
      </c>
      <c r="AU1981" s="6" t="str">
        <f>HYPERLINK("http://catalog.hathitrust.org/Record/001219321","HathiTrust Record")</f>
        <v>HathiTrust Record</v>
      </c>
      <c r="AV1981" s="6" t="str">
        <f>HYPERLINK("http://mcgill.on.worldcat.org/oclc/3619696","Catalog Record")</f>
        <v>Catalog Record</v>
      </c>
      <c r="AW1981" s="6" t="str">
        <f>HYPERLINK("http://www.worldcat.org/oclc/3619696","WorldCat Record")</f>
        <v>WorldCat Record</v>
      </c>
      <c r="AX1981" s="3" t="s">
        <v>19315</v>
      </c>
      <c r="AY1981" s="3" t="s">
        <v>19316</v>
      </c>
      <c r="AZ1981" s="3" t="s">
        <v>19317</v>
      </c>
      <c r="BA1981" s="3" t="s">
        <v>19317</v>
      </c>
      <c r="BB1981" s="3" t="s">
        <v>19318</v>
      </c>
      <c r="BC1981" s="3" t="s">
        <v>77</v>
      </c>
      <c r="BD1981" s="3" t="s">
        <v>78</v>
      </c>
      <c r="BF1981" s="3" t="s">
        <v>19318</v>
      </c>
      <c r="BG1981" s="3" t="s">
        <v>19319</v>
      </c>
    </row>
    <row r="1982" spans="1:59" ht="58" x14ac:dyDescent="0.35">
      <c r="A1982" s="2" t="s">
        <v>59</v>
      </c>
      <c r="B1982" s="2" t="s">
        <v>60</v>
      </c>
      <c r="C1982" s="2" t="s">
        <v>19320</v>
      </c>
      <c r="D1982" s="2" t="s">
        <v>19321</v>
      </c>
      <c r="E1982" s="2" t="s">
        <v>19322</v>
      </c>
      <c r="G1982" s="3" t="s">
        <v>65</v>
      </c>
      <c r="I1982" s="3" t="s">
        <v>65</v>
      </c>
      <c r="J1982" s="3" t="s">
        <v>65</v>
      </c>
      <c r="K1982" s="3" t="s">
        <v>66</v>
      </c>
      <c r="L1982" s="2" t="s">
        <v>19126</v>
      </c>
      <c r="M1982" s="2" t="s">
        <v>19323</v>
      </c>
      <c r="N1982" s="3" t="s">
        <v>5338</v>
      </c>
      <c r="P1982" s="3" t="s">
        <v>69</v>
      </c>
      <c r="R1982" s="3" t="s">
        <v>71</v>
      </c>
      <c r="S1982" s="4">
        <v>6</v>
      </c>
      <c r="T1982" s="4">
        <v>6</v>
      </c>
      <c r="U1982" s="5" t="s">
        <v>19324</v>
      </c>
      <c r="V1982" s="5" t="s">
        <v>19324</v>
      </c>
      <c r="W1982" s="5" t="s">
        <v>72</v>
      </c>
      <c r="X1982" s="5" t="s">
        <v>72</v>
      </c>
      <c r="Y1982" s="4">
        <v>512</v>
      </c>
      <c r="Z1982" s="4">
        <v>20</v>
      </c>
      <c r="AA1982" s="4">
        <v>22</v>
      </c>
      <c r="AB1982" s="4">
        <v>1</v>
      </c>
      <c r="AC1982" s="4">
        <v>1</v>
      </c>
      <c r="AD1982" s="4">
        <v>102</v>
      </c>
      <c r="AE1982" s="4">
        <v>104</v>
      </c>
      <c r="AF1982" s="4">
        <v>0</v>
      </c>
      <c r="AG1982" s="4">
        <v>0</v>
      </c>
      <c r="AH1982" s="4">
        <v>93</v>
      </c>
      <c r="AI1982" s="4">
        <v>93</v>
      </c>
      <c r="AJ1982" s="4">
        <v>12</v>
      </c>
      <c r="AK1982" s="4">
        <v>12</v>
      </c>
      <c r="AL1982" s="4">
        <v>50</v>
      </c>
      <c r="AM1982" s="4">
        <v>50</v>
      </c>
      <c r="AN1982" s="4">
        <v>0</v>
      </c>
      <c r="AO1982" s="4">
        <v>0</v>
      </c>
      <c r="AP1982" s="4">
        <v>14</v>
      </c>
      <c r="AQ1982" s="4">
        <v>16</v>
      </c>
      <c r="AR1982" s="3" t="s">
        <v>65</v>
      </c>
      <c r="AS1982" s="3" t="s">
        <v>65</v>
      </c>
      <c r="AT1982" s="3" t="s">
        <v>209</v>
      </c>
      <c r="AU1982" s="6" t="str">
        <f>HYPERLINK("http://catalog.hathitrust.org/Record/001219317","HathiTrust Record")</f>
        <v>HathiTrust Record</v>
      </c>
      <c r="AV1982" s="6" t="str">
        <f>HYPERLINK("http://mcgill.on.worldcat.org/oclc/203551","Catalog Record")</f>
        <v>Catalog Record</v>
      </c>
      <c r="AW1982" s="6" t="str">
        <f>HYPERLINK("http://www.worldcat.org/oclc/203551","WorldCat Record")</f>
        <v>WorldCat Record</v>
      </c>
      <c r="AX1982" s="3" t="s">
        <v>19325</v>
      </c>
      <c r="AY1982" s="3" t="s">
        <v>19326</v>
      </c>
      <c r="AZ1982" s="3" t="s">
        <v>19327</v>
      </c>
      <c r="BA1982" s="3" t="s">
        <v>19327</v>
      </c>
      <c r="BB1982" s="3" t="s">
        <v>19328</v>
      </c>
      <c r="BC1982" s="3" t="s">
        <v>77</v>
      </c>
      <c r="BD1982" s="3" t="s">
        <v>78</v>
      </c>
      <c r="BE1982" s="3" t="s">
        <v>19329</v>
      </c>
      <c r="BF1982" s="3" t="s">
        <v>19328</v>
      </c>
      <c r="BG1982" s="3" t="s">
        <v>19330</v>
      </c>
    </row>
    <row r="1983" spans="1:59" ht="58" x14ac:dyDescent="0.35">
      <c r="A1983" s="2" t="s">
        <v>59</v>
      </c>
      <c r="B1983" s="2" t="s">
        <v>60</v>
      </c>
      <c r="C1983" s="2" t="s">
        <v>19331</v>
      </c>
      <c r="D1983" s="2" t="s">
        <v>19332</v>
      </c>
      <c r="E1983" s="2" t="s">
        <v>19333</v>
      </c>
      <c r="G1983" s="3" t="s">
        <v>65</v>
      </c>
      <c r="I1983" s="3" t="s">
        <v>65</v>
      </c>
      <c r="J1983" s="3" t="s">
        <v>65</v>
      </c>
      <c r="K1983" s="3" t="s">
        <v>66</v>
      </c>
      <c r="L1983" s="2" t="s">
        <v>19126</v>
      </c>
      <c r="M1983" s="2" t="s">
        <v>19334</v>
      </c>
      <c r="N1983" s="3" t="s">
        <v>1835</v>
      </c>
      <c r="P1983" s="3" t="s">
        <v>69</v>
      </c>
      <c r="R1983" s="3" t="s">
        <v>71</v>
      </c>
      <c r="S1983" s="4">
        <v>9</v>
      </c>
      <c r="T1983" s="4">
        <v>9</v>
      </c>
      <c r="U1983" s="5" t="s">
        <v>19335</v>
      </c>
      <c r="V1983" s="5" t="s">
        <v>19335</v>
      </c>
      <c r="W1983" s="5" t="s">
        <v>72</v>
      </c>
      <c r="X1983" s="5" t="s">
        <v>72</v>
      </c>
      <c r="Y1983" s="4">
        <v>492</v>
      </c>
      <c r="Z1983" s="4">
        <v>27</v>
      </c>
      <c r="AA1983" s="4">
        <v>29</v>
      </c>
      <c r="AB1983" s="4">
        <v>2</v>
      </c>
      <c r="AC1983" s="4">
        <v>4</v>
      </c>
      <c r="AD1983" s="4">
        <v>109</v>
      </c>
      <c r="AE1983" s="4">
        <v>110</v>
      </c>
      <c r="AF1983" s="4">
        <v>1</v>
      </c>
      <c r="AG1983" s="4">
        <v>2</v>
      </c>
      <c r="AH1983" s="4">
        <v>98</v>
      </c>
      <c r="AI1983" s="4">
        <v>98</v>
      </c>
      <c r="AJ1983" s="4">
        <v>14</v>
      </c>
      <c r="AK1983" s="4">
        <v>15</v>
      </c>
      <c r="AL1983" s="4">
        <v>52</v>
      </c>
      <c r="AM1983" s="4">
        <v>52</v>
      </c>
      <c r="AN1983" s="4">
        <v>0</v>
      </c>
      <c r="AO1983" s="4">
        <v>0</v>
      </c>
      <c r="AP1983" s="4">
        <v>16</v>
      </c>
      <c r="AQ1983" s="4">
        <v>16</v>
      </c>
      <c r="AR1983" s="3" t="s">
        <v>65</v>
      </c>
      <c r="AS1983" s="3" t="s">
        <v>65</v>
      </c>
      <c r="AT1983" s="3" t="s">
        <v>65</v>
      </c>
      <c r="AV1983" s="6" t="str">
        <f>HYPERLINK("http://mcgill.on.worldcat.org/oclc/7174235","Catalog Record")</f>
        <v>Catalog Record</v>
      </c>
      <c r="AW1983" s="6" t="str">
        <f>HYPERLINK("http://www.worldcat.org/oclc/7174235","WorldCat Record")</f>
        <v>WorldCat Record</v>
      </c>
      <c r="AX1983" s="3" t="s">
        <v>19336</v>
      </c>
      <c r="AY1983" s="3" t="s">
        <v>19337</v>
      </c>
      <c r="AZ1983" s="3" t="s">
        <v>19338</v>
      </c>
      <c r="BA1983" s="3" t="s">
        <v>19338</v>
      </c>
      <c r="BB1983" s="3" t="s">
        <v>19339</v>
      </c>
      <c r="BC1983" s="3" t="s">
        <v>77</v>
      </c>
      <c r="BD1983" s="3" t="s">
        <v>78</v>
      </c>
      <c r="BE1983" s="3" t="s">
        <v>19340</v>
      </c>
      <c r="BF1983" s="3" t="s">
        <v>19339</v>
      </c>
      <c r="BG1983" s="3" t="s">
        <v>19341</v>
      </c>
    </row>
    <row r="1984" spans="1:59" ht="58" x14ac:dyDescent="0.35">
      <c r="A1984" s="2" t="s">
        <v>59</v>
      </c>
      <c r="B1984" s="2" t="s">
        <v>60</v>
      </c>
      <c r="C1984" s="2" t="s">
        <v>19342</v>
      </c>
      <c r="D1984" s="2" t="s">
        <v>19343</v>
      </c>
      <c r="E1984" s="2" t="s">
        <v>19344</v>
      </c>
      <c r="G1984" s="3" t="s">
        <v>65</v>
      </c>
      <c r="I1984" s="3" t="s">
        <v>65</v>
      </c>
      <c r="J1984" s="3" t="s">
        <v>65</v>
      </c>
      <c r="K1984" s="3" t="s">
        <v>66</v>
      </c>
      <c r="L1984" s="2" t="s">
        <v>19345</v>
      </c>
      <c r="M1984" s="2" t="s">
        <v>19346</v>
      </c>
      <c r="N1984" s="3" t="s">
        <v>152</v>
      </c>
      <c r="P1984" s="3" t="s">
        <v>69</v>
      </c>
      <c r="Q1984" s="2" t="s">
        <v>19347</v>
      </c>
      <c r="R1984" s="3" t="s">
        <v>71</v>
      </c>
      <c r="S1984" s="4">
        <v>1</v>
      </c>
      <c r="T1984" s="4">
        <v>1</v>
      </c>
      <c r="U1984" s="5" t="s">
        <v>1649</v>
      </c>
      <c r="V1984" s="5" t="s">
        <v>1649</v>
      </c>
      <c r="W1984" s="5" t="s">
        <v>72</v>
      </c>
      <c r="X1984" s="5" t="s">
        <v>72</v>
      </c>
      <c r="Y1984" s="4">
        <v>90</v>
      </c>
      <c r="Z1984" s="4">
        <v>15</v>
      </c>
      <c r="AA1984" s="4">
        <v>25</v>
      </c>
      <c r="AB1984" s="4">
        <v>1</v>
      </c>
      <c r="AC1984" s="4">
        <v>4</v>
      </c>
      <c r="AD1984" s="4">
        <v>45</v>
      </c>
      <c r="AE1984" s="4">
        <v>56</v>
      </c>
      <c r="AF1984" s="4">
        <v>0</v>
      </c>
      <c r="AG1984" s="4">
        <v>0</v>
      </c>
      <c r="AH1984" s="4">
        <v>41</v>
      </c>
      <c r="AI1984" s="4">
        <v>51</v>
      </c>
      <c r="AJ1984" s="4">
        <v>12</v>
      </c>
      <c r="AK1984" s="4">
        <v>12</v>
      </c>
      <c r="AL1984" s="4">
        <v>24</v>
      </c>
      <c r="AM1984" s="4">
        <v>29</v>
      </c>
      <c r="AN1984" s="4">
        <v>0</v>
      </c>
      <c r="AO1984" s="4">
        <v>0</v>
      </c>
      <c r="AP1984" s="4">
        <v>12</v>
      </c>
      <c r="AQ1984" s="4">
        <v>13</v>
      </c>
      <c r="AR1984" s="3" t="s">
        <v>65</v>
      </c>
      <c r="AS1984" s="3" t="s">
        <v>65</v>
      </c>
      <c r="AT1984" s="3" t="s">
        <v>65</v>
      </c>
      <c r="AV1984" s="6" t="str">
        <f>HYPERLINK("http://mcgill.on.worldcat.org/oclc/813861751","Catalog Record")</f>
        <v>Catalog Record</v>
      </c>
      <c r="AW1984" s="6" t="str">
        <f>HYPERLINK("http://www.worldcat.org/oclc/813861751","WorldCat Record")</f>
        <v>WorldCat Record</v>
      </c>
      <c r="AX1984" s="3" t="s">
        <v>19348</v>
      </c>
      <c r="AY1984" s="3" t="s">
        <v>19349</v>
      </c>
      <c r="AZ1984" s="3" t="s">
        <v>19350</v>
      </c>
      <c r="BA1984" s="3" t="s">
        <v>19350</v>
      </c>
      <c r="BB1984" s="3" t="s">
        <v>19351</v>
      </c>
      <c r="BC1984" s="3" t="s">
        <v>77</v>
      </c>
      <c r="BD1984" s="3" t="s">
        <v>78</v>
      </c>
      <c r="BE1984" s="3" t="s">
        <v>19352</v>
      </c>
      <c r="BF1984" s="3" t="s">
        <v>19351</v>
      </c>
      <c r="BG1984" s="3" t="s">
        <v>19353</v>
      </c>
    </row>
    <row r="1985" spans="1:59" ht="58" x14ac:dyDescent="0.35">
      <c r="A1985" s="2" t="s">
        <v>59</v>
      </c>
      <c r="B1985" s="2" t="s">
        <v>60</v>
      </c>
      <c r="C1985" s="2" t="s">
        <v>19354</v>
      </c>
      <c r="D1985" s="2" t="s">
        <v>19355</v>
      </c>
      <c r="E1985" s="2" t="s">
        <v>19356</v>
      </c>
      <c r="F1985" s="3" t="s">
        <v>258</v>
      </c>
      <c r="G1985" s="3" t="s">
        <v>209</v>
      </c>
      <c r="I1985" s="3" t="s">
        <v>65</v>
      </c>
      <c r="J1985" s="3" t="s">
        <v>65</v>
      </c>
      <c r="K1985" s="3" t="s">
        <v>66</v>
      </c>
      <c r="L1985" s="2" t="s">
        <v>19126</v>
      </c>
      <c r="M1985" s="2" t="s">
        <v>19357</v>
      </c>
      <c r="N1985" s="3" t="s">
        <v>1895</v>
      </c>
      <c r="P1985" s="3" t="s">
        <v>140</v>
      </c>
      <c r="Q1985" s="2" t="s">
        <v>19358</v>
      </c>
      <c r="R1985" s="3" t="s">
        <v>71</v>
      </c>
      <c r="S1985" s="4">
        <v>4</v>
      </c>
      <c r="T1985" s="4">
        <v>9</v>
      </c>
      <c r="U1985" s="5" t="s">
        <v>7003</v>
      </c>
      <c r="V1985" s="5" t="s">
        <v>7003</v>
      </c>
      <c r="W1985" s="5" t="s">
        <v>72</v>
      </c>
      <c r="X1985" s="5" t="s">
        <v>72</v>
      </c>
      <c r="Y1985" s="4">
        <v>58</v>
      </c>
      <c r="Z1985" s="4">
        <v>5</v>
      </c>
      <c r="AA1985" s="4">
        <v>5</v>
      </c>
      <c r="AB1985" s="4">
        <v>1</v>
      </c>
      <c r="AC1985" s="4">
        <v>1</v>
      </c>
      <c r="AD1985" s="4">
        <v>38</v>
      </c>
      <c r="AE1985" s="4">
        <v>38</v>
      </c>
      <c r="AF1985" s="4">
        <v>0</v>
      </c>
      <c r="AG1985" s="4">
        <v>0</v>
      </c>
      <c r="AH1985" s="4">
        <v>37</v>
      </c>
      <c r="AI1985" s="4">
        <v>37</v>
      </c>
      <c r="AJ1985" s="4">
        <v>3</v>
      </c>
      <c r="AK1985" s="4">
        <v>3</v>
      </c>
      <c r="AL1985" s="4">
        <v>28</v>
      </c>
      <c r="AM1985" s="4">
        <v>28</v>
      </c>
      <c r="AN1985" s="4">
        <v>0</v>
      </c>
      <c r="AO1985" s="4">
        <v>0</v>
      </c>
      <c r="AP1985" s="4">
        <v>3</v>
      </c>
      <c r="AQ1985" s="4">
        <v>3</v>
      </c>
      <c r="AR1985" s="3" t="s">
        <v>65</v>
      </c>
      <c r="AS1985" s="3" t="s">
        <v>65</v>
      </c>
      <c r="AT1985" s="3" t="s">
        <v>65</v>
      </c>
      <c r="AV1985" s="6" t="str">
        <f>HYPERLINK("http://mcgill.on.worldcat.org/oclc/40647597","Catalog Record")</f>
        <v>Catalog Record</v>
      </c>
      <c r="AW1985" s="6" t="str">
        <f>HYPERLINK("http://www.worldcat.org/oclc/40647597","WorldCat Record")</f>
        <v>WorldCat Record</v>
      </c>
      <c r="AX1985" s="3" t="s">
        <v>19359</v>
      </c>
      <c r="AY1985" s="3" t="s">
        <v>19360</v>
      </c>
      <c r="AZ1985" s="3" t="s">
        <v>19361</v>
      </c>
      <c r="BA1985" s="3" t="s">
        <v>19361</v>
      </c>
      <c r="BB1985" s="3" t="s">
        <v>19362</v>
      </c>
      <c r="BC1985" s="3" t="s">
        <v>77</v>
      </c>
      <c r="BD1985" s="3" t="s">
        <v>78</v>
      </c>
      <c r="BE1985" s="3" t="s">
        <v>19363</v>
      </c>
      <c r="BF1985" s="3" t="s">
        <v>19362</v>
      </c>
      <c r="BG1985" s="3" t="s">
        <v>19364</v>
      </c>
    </row>
    <row r="1986" spans="1:59" ht="58" x14ac:dyDescent="0.35">
      <c r="A1986" s="2" t="s">
        <v>59</v>
      </c>
      <c r="B1986" s="2" t="s">
        <v>60</v>
      </c>
      <c r="C1986" s="2" t="s">
        <v>19354</v>
      </c>
      <c r="D1986" s="2" t="s">
        <v>19355</v>
      </c>
      <c r="E1986" s="2" t="s">
        <v>19356</v>
      </c>
      <c r="F1986" s="3" t="s">
        <v>245</v>
      </c>
      <c r="G1986" s="3" t="s">
        <v>209</v>
      </c>
      <c r="I1986" s="3" t="s">
        <v>65</v>
      </c>
      <c r="J1986" s="3" t="s">
        <v>65</v>
      </c>
      <c r="K1986" s="3" t="s">
        <v>66</v>
      </c>
      <c r="L1986" s="2" t="s">
        <v>19126</v>
      </c>
      <c r="M1986" s="2" t="s">
        <v>19357</v>
      </c>
      <c r="N1986" s="3" t="s">
        <v>1895</v>
      </c>
      <c r="P1986" s="3" t="s">
        <v>140</v>
      </c>
      <c r="Q1986" s="2" t="s">
        <v>19358</v>
      </c>
      <c r="R1986" s="3" t="s">
        <v>71</v>
      </c>
      <c r="S1986" s="4">
        <v>5</v>
      </c>
      <c r="T1986" s="4">
        <v>9</v>
      </c>
      <c r="U1986" s="5" t="s">
        <v>7003</v>
      </c>
      <c r="V1986" s="5" t="s">
        <v>7003</v>
      </c>
      <c r="W1986" s="5" t="s">
        <v>72</v>
      </c>
      <c r="X1986" s="5" t="s">
        <v>72</v>
      </c>
      <c r="Y1986" s="4">
        <v>58</v>
      </c>
      <c r="Z1986" s="4">
        <v>5</v>
      </c>
      <c r="AA1986" s="4">
        <v>5</v>
      </c>
      <c r="AB1986" s="4">
        <v>1</v>
      </c>
      <c r="AC1986" s="4">
        <v>1</v>
      </c>
      <c r="AD1986" s="4">
        <v>38</v>
      </c>
      <c r="AE1986" s="4">
        <v>38</v>
      </c>
      <c r="AF1986" s="4">
        <v>0</v>
      </c>
      <c r="AG1986" s="4">
        <v>0</v>
      </c>
      <c r="AH1986" s="4">
        <v>37</v>
      </c>
      <c r="AI1986" s="4">
        <v>37</v>
      </c>
      <c r="AJ1986" s="4">
        <v>3</v>
      </c>
      <c r="AK1986" s="4">
        <v>3</v>
      </c>
      <c r="AL1986" s="4">
        <v>28</v>
      </c>
      <c r="AM1986" s="4">
        <v>28</v>
      </c>
      <c r="AN1986" s="4">
        <v>0</v>
      </c>
      <c r="AO1986" s="4">
        <v>0</v>
      </c>
      <c r="AP1986" s="4">
        <v>3</v>
      </c>
      <c r="AQ1986" s="4">
        <v>3</v>
      </c>
      <c r="AR1986" s="3" t="s">
        <v>65</v>
      </c>
      <c r="AS1986" s="3" t="s">
        <v>65</v>
      </c>
      <c r="AT1986" s="3" t="s">
        <v>65</v>
      </c>
      <c r="AV1986" s="6" t="str">
        <f>HYPERLINK("http://mcgill.on.worldcat.org/oclc/40647597","Catalog Record")</f>
        <v>Catalog Record</v>
      </c>
      <c r="AW1986" s="6" t="str">
        <f>HYPERLINK("http://www.worldcat.org/oclc/40647597","WorldCat Record")</f>
        <v>WorldCat Record</v>
      </c>
      <c r="AX1986" s="3" t="s">
        <v>19359</v>
      </c>
      <c r="AY1986" s="3" t="s">
        <v>19360</v>
      </c>
      <c r="AZ1986" s="3" t="s">
        <v>19361</v>
      </c>
      <c r="BA1986" s="3" t="s">
        <v>19361</v>
      </c>
      <c r="BB1986" s="3" t="s">
        <v>19365</v>
      </c>
      <c r="BC1986" s="3" t="s">
        <v>77</v>
      </c>
      <c r="BD1986" s="3" t="s">
        <v>78</v>
      </c>
      <c r="BE1986" s="3" t="s">
        <v>19363</v>
      </c>
      <c r="BF1986" s="3" t="s">
        <v>19365</v>
      </c>
      <c r="BG1986" s="3" t="s">
        <v>19366</v>
      </c>
    </row>
    <row r="1987" spans="1:59" ht="72.5" x14ac:dyDescent="0.35">
      <c r="A1987" s="2" t="s">
        <v>59</v>
      </c>
      <c r="B1987" s="2" t="s">
        <v>60</v>
      </c>
      <c r="C1987" s="2" t="s">
        <v>19367</v>
      </c>
      <c r="D1987" s="2" t="s">
        <v>19368</v>
      </c>
      <c r="E1987" s="2" t="s">
        <v>19369</v>
      </c>
      <c r="G1987" s="3" t="s">
        <v>65</v>
      </c>
      <c r="I1987" s="3" t="s">
        <v>65</v>
      </c>
      <c r="J1987" s="3" t="s">
        <v>65</v>
      </c>
      <c r="K1987" s="3" t="s">
        <v>66</v>
      </c>
      <c r="L1987" s="2" t="s">
        <v>19126</v>
      </c>
      <c r="M1987" s="2" t="s">
        <v>19370</v>
      </c>
      <c r="N1987" s="3" t="s">
        <v>1967</v>
      </c>
      <c r="P1987" s="3" t="s">
        <v>140</v>
      </c>
      <c r="Q1987" s="2" t="s">
        <v>19371</v>
      </c>
      <c r="R1987" s="3" t="s">
        <v>71</v>
      </c>
      <c r="S1987" s="4">
        <v>1</v>
      </c>
      <c r="T1987" s="4">
        <v>1</v>
      </c>
      <c r="U1987" s="5" t="s">
        <v>19372</v>
      </c>
      <c r="V1987" s="5" t="s">
        <v>19372</v>
      </c>
      <c r="W1987" s="5" t="s">
        <v>72</v>
      </c>
      <c r="X1987" s="5" t="s">
        <v>72</v>
      </c>
      <c r="Y1987" s="4">
        <v>50</v>
      </c>
      <c r="Z1987" s="4">
        <v>4</v>
      </c>
      <c r="AA1987" s="4">
        <v>4</v>
      </c>
      <c r="AB1987" s="4">
        <v>1</v>
      </c>
      <c r="AC1987" s="4">
        <v>1</v>
      </c>
      <c r="AD1987" s="4">
        <v>36</v>
      </c>
      <c r="AE1987" s="4">
        <v>36</v>
      </c>
      <c r="AF1987" s="4">
        <v>0</v>
      </c>
      <c r="AG1987" s="4">
        <v>0</v>
      </c>
      <c r="AH1987" s="4">
        <v>35</v>
      </c>
      <c r="AI1987" s="4">
        <v>35</v>
      </c>
      <c r="AJ1987" s="4">
        <v>2</v>
      </c>
      <c r="AK1987" s="4">
        <v>2</v>
      </c>
      <c r="AL1987" s="4">
        <v>28</v>
      </c>
      <c r="AM1987" s="4">
        <v>28</v>
      </c>
      <c r="AN1987" s="4">
        <v>0</v>
      </c>
      <c r="AO1987" s="4">
        <v>0</v>
      </c>
      <c r="AP1987" s="4">
        <v>2</v>
      </c>
      <c r="AQ1987" s="4">
        <v>2</v>
      </c>
      <c r="AR1987" s="3" t="s">
        <v>65</v>
      </c>
      <c r="AS1987" s="3" t="s">
        <v>65</v>
      </c>
      <c r="AT1987" s="3" t="s">
        <v>209</v>
      </c>
      <c r="AU1987" s="6" t="str">
        <f>HYPERLINK("http://catalog.hathitrust.org/Record/004346698","HathiTrust Record")</f>
        <v>HathiTrust Record</v>
      </c>
      <c r="AV1987" s="6" t="str">
        <f>HYPERLINK("http://mcgill.on.worldcat.org/oclc/55511287","Catalog Record")</f>
        <v>Catalog Record</v>
      </c>
      <c r="AW1987" s="6" t="str">
        <f>HYPERLINK("http://www.worldcat.org/oclc/55511287","WorldCat Record")</f>
        <v>WorldCat Record</v>
      </c>
      <c r="AX1987" s="3" t="s">
        <v>19373</v>
      </c>
      <c r="AY1987" s="3" t="s">
        <v>19374</v>
      </c>
      <c r="AZ1987" s="3" t="s">
        <v>19375</v>
      </c>
      <c r="BA1987" s="3" t="s">
        <v>19375</v>
      </c>
      <c r="BB1987" s="3" t="s">
        <v>19376</v>
      </c>
      <c r="BC1987" s="3" t="s">
        <v>77</v>
      </c>
      <c r="BD1987" s="3" t="s">
        <v>78</v>
      </c>
      <c r="BE1987" s="3" t="s">
        <v>19377</v>
      </c>
      <c r="BF1987" s="3" t="s">
        <v>19376</v>
      </c>
      <c r="BG1987" s="3" t="s">
        <v>19378</v>
      </c>
    </row>
    <row r="1988" spans="1:59" ht="58" x14ac:dyDescent="0.35">
      <c r="A1988" s="2" t="s">
        <v>59</v>
      </c>
      <c r="B1988" s="2" t="s">
        <v>60</v>
      </c>
      <c r="C1988" s="2" t="s">
        <v>19379</v>
      </c>
      <c r="D1988" s="2" t="s">
        <v>19380</v>
      </c>
      <c r="E1988" s="2" t="s">
        <v>19381</v>
      </c>
      <c r="G1988" s="3" t="s">
        <v>65</v>
      </c>
      <c r="I1988" s="3" t="s">
        <v>65</v>
      </c>
      <c r="J1988" s="3" t="s">
        <v>65</v>
      </c>
      <c r="K1988" s="3" t="s">
        <v>66</v>
      </c>
      <c r="L1988" s="2" t="s">
        <v>19382</v>
      </c>
      <c r="M1988" s="2" t="s">
        <v>19383</v>
      </c>
      <c r="N1988" s="3" t="s">
        <v>164</v>
      </c>
      <c r="P1988" s="3" t="s">
        <v>140</v>
      </c>
      <c r="Q1988" s="2" t="s">
        <v>19384</v>
      </c>
      <c r="R1988" s="3" t="s">
        <v>71</v>
      </c>
      <c r="S1988" s="4">
        <v>0</v>
      </c>
      <c r="T1988" s="4">
        <v>0</v>
      </c>
      <c r="W1988" s="5" t="s">
        <v>72</v>
      </c>
      <c r="X1988" s="5" t="s">
        <v>72</v>
      </c>
      <c r="Y1988" s="4">
        <v>47</v>
      </c>
      <c r="Z1988" s="4">
        <v>6</v>
      </c>
      <c r="AA1988" s="4">
        <v>6</v>
      </c>
      <c r="AB1988" s="4">
        <v>1</v>
      </c>
      <c r="AC1988" s="4">
        <v>1</v>
      </c>
      <c r="AD1988" s="4">
        <v>38</v>
      </c>
      <c r="AE1988" s="4">
        <v>38</v>
      </c>
      <c r="AF1988" s="4">
        <v>0</v>
      </c>
      <c r="AG1988" s="4">
        <v>0</v>
      </c>
      <c r="AH1988" s="4">
        <v>37</v>
      </c>
      <c r="AI1988" s="4">
        <v>37</v>
      </c>
      <c r="AJ1988" s="4">
        <v>3</v>
      </c>
      <c r="AK1988" s="4">
        <v>3</v>
      </c>
      <c r="AL1988" s="4">
        <v>28</v>
      </c>
      <c r="AM1988" s="4">
        <v>28</v>
      </c>
      <c r="AN1988" s="4">
        <v>0</v>
      </c>
      <c r="AO1988" s="4">
        <v>0</v>
      </c>
      <c r="AP1988" s="4">
        <v>3</v>
      </c>
      <c r="AQ1988" s="4">
        <v>3</v>
      </c>
      <c r="AR1988" s="3" t="s">
        <v>65</v>
      </c>
      <c r="AS1988" s="3" t="s">
        <v>65</v>
      </c>
      <c r="AT1988" s="3" t="s">
        <v>65</v>
      </c>
      <c r="AV1988" s="6" t="str">
        <f>HYPERLINK("http://mcgill.on.worldcat.org/oclc/882554444","Catalog Record")</f>
        <v>Catalog Record</v>
      </c>
      <c r="AW1988" s="6" t="str">
        <f>HYPERLINK("http://www.worldcat.org/oclc/882554444","WorldCat Record")</f>
        <v>WorldCat Record</v>
      </c>
      <c r="AX1988" s="3" t="s">
        <v>19385</v>
      </c>
      <c r="AY1988" s="3" t="s">
        <v>19386</v>
      </c>
      <c r="AZ1988" s="3" t="s">
        <v>19387</v>
      </c>
      <c r="BA1988" s="3" t="s">
        <v>19387</v>
      </c>
      <c r="BB1988" s="3" t="s">
        <v>19388</v>
      </c>
      <c r="BC1988" s="3" t="s">
        <v>77</v>
      </c>
      <c r="BD1988" s="3" t="s">
        <v>78</v>
      </c>
      <c r="BE1988" s="3" t="s">
        <v>19389</v>
      </c>
      <c r="BF1988" s="3" t="s">
        <v>19388</v>
      </c>
      <c r="BG1988" s="3" t="s">
        <v>19390</v>
      </c>
    </row>
    <row r="1989" spans="1:59" ht="58" x14ac:dyDescent="0.35">
      <c r="A1989" s="2" t="s">
        <v>59</v>
      </c>
      <c r="B1989" s="2" t="s">
        <v>60</v>
      </c>
      <c r="C1989" s="2" t="s">
        <v>19391</v>
      </c>
      <c r="D1989" s="2" t="s">
        <v>19392</v>
      </c>
      <c r="E1989" s="2" t="s">
        <v>19393</v>
      </c>
      <c r="G1989" s="3" t="s">
        <v>65</v>
      </c>
      <c r="I1989" s="3" t="s">
        <v>65</v>
      </c>
      <c r="J1989" s="3" t="s">
        <v>65</v>
      </c>
      <c r="K1989" s="3" t="s">
        <v>66</v>
      </c>
      <c r="L1989" s="2" t="s">
        <v>19394</v>
      </c>
      <c r="M1989" s="2" t="s">
        <v>18701</v>
      </c>
      <c r="N1989" s="3" t="s">
        <v>113</v>
      </c>
      <c r="O1989" s="2" t="s">
        <v>365</v>
      </c>
      <c r="P1989" s="3" t="s">
        <v>140</v>
      </c>
      <c r="Q1989" s="2" t="s">
        <v>19395</v>
      </c>
      <c r="R1989" s="3" t="s">
        <v>71</v>
      </c>
      <c r="S1989" s="4">
        <v>0</v>
      </c>
      <c r="T1989" s="4">
        <v>0</v>
      </c>
      <c r="W1989" s="5" t="s">
        <v>72</v>
      </c>
      <c r="X1989" s="5" t="s">
        <v>72</v>
      </c>
      <c r="Y1989" s="4">
        <v>53</v>
      </c>
      <c r="Z1989" s="4">
        <v>7</v>
      </c>
      <c r="AA1989" s="4">
        <v>7</v>
      </c>
      <c r="AB1989" s="4">
        <v>1</v>
      </c>
      <c r="AC1989" s="4">
        <v>1</v>
      </c>
      <c r="AD1989" s="4">
        <v>34</v>
      </c>
      <c r="AE1989" s="4">
        <v>34</v>
      </c>
      <c r="AF1989" s="4">
        <v>0</v>
      </c>
      <c r="AG1989" s="4">
        <v>0</v>
      </c>
      <c r="AH1989" s="4">
        <v>33</v>
      </c>
      <c r="AI1989" s="4">
        <v>33</v>
      </c>
      <c r="AJ1989" s="4">
        <v>4</v>
      </c>
      <c r="AK1989" s="4">
        <v>4</v>
      </c>
      <c r="AL1989" s="4">
        <v>25</v>
      </c>
      <c r="AM1989" s="4">
        <v>25</v>
      </c>
      <c r="AN1989" s="4">
        <v>0</v>
      </c>
      <c r="AO1989" s="4">
        <v>0</v>
      </c>
      <c r="AP1989" s="4">
        <v>4</v>
      </c>
      <c r="AQ1989" s="4">
        <v>4</v>
      </c>
      <c r="AR1989" s="3" t="s">
        <v>65</v>
      </c>
      <c r="AS1989" s="3" t="s">
        <v>65</v>
      </c>
      <c r="AT1989" s="3" t="s">
        <v>65</v>
      </c>
      <c r="AV1989" s="6" t="str">
        <f>HYPERLINK("http://mcgill.on.worldcat.org/oclc/515400166","Catalog Record")</f>
        <v>Catalog Record</v>
      </c>
      <c r="AW1989" s="6" t="str">
        <f>HYPERLINK("http://www.worldcat.org/oclc/515400166","WorldCat Record")</f>
        <v>WorldCat Record</v>
      </c>
      <c r="AX1989" s="3" t="s">
        <v>19396</v>
      </c>
      <c r="AY1989" s="3" t="s">
        <v>19397</v>
      </c>
      <c r="AZ1989" s="3" t="s">
        <v>19398</v>
      </c>
      <c r="BA1989" s="3" t="s">
        <v>19398</v>
      </c>
      <c r="BB1989" s="3" t="s">
        <v>19399</v>
      </c>
      <c r="BC1989" s="3" t="s">
        <v>77</v>
      </c>
      <c r="BD1989" s="3" t="s">
        <v>78</v>
      </c>
      <c r="BE1989" s="3" t="s">
        <v>19400</v>
      </c>
      <c r="BF1989" s="3" t="s">
        <v>19399</v>
      </c>
      <c r="BG1989" s="3" t="s">
        <v>19401</v>
      </c>
    </row>
    <row r="1990" spans="1:59" ht="58" x14ac:dyDescent="0.35">
      <c r="A1990" s="2" t="s">
        <v>59</v>
      </c>
      <c r="B1990" s="2" t="s">
        <v>60</v>
      </c>
      <c r="C1990" s="2" t="s">
        <v>19402</v>
      </c>
      <c r="D1990" s="2" t="s">
        <v>19403</v>
      </c>
      <c r="E1990" s="2" t="s">
        <v>19404</v>
      </c>
      <c r="G1990" s="3" t="s">
        <v>65</v>
      </c>
      <c r="I1990" s="3" t="s">
        <v>65</v>
      </c>
      <c r="J1990" s="3" t="s">
        <v>65</v>
      </c>
      <c r="K1990" s="3" t="s">
        <v>66</v>
      </c>
      <c r="L1990" s="2" t="s">
        <v>19405</v>
      </c>
      <c r="M1990" s="2" t="s">
        <v>4921</v>
      </c>
      <c r="N1990" s="3" t="s">
        <v>139</v>
      </c>
      <c r="P1990" s="3" t="s">
        <v>140</v>
      </c>
      <c r="Q1990" s="2" t="s">
        <v>2257</v>
      </c>
      <c r="R1990" s="3" t="s">
        <v>71</v>
      </c>
      <c r="S1990" s="4">
        <v>0</v>
      </c>
      <c r="T1990" s="4">
        <v>0</v>
      </c>
      <c r="W1990" s="5" t="s">
        <v>72</v>
      </c>
      <c r="X1990" s="5" t="s">
        <v>72</v>
      </c>
      <c r="Y1990" s="4">
        <v>11</v>
      </c>
      <c r="Z1990" s="4">
        <v>1</v>
      </c>
      <c r="AA1990" s="4">
        <v>5</v>
      </c>
      <c r="AB1990" s="4">
        <v>1</v>
      </c>
      <c r="AC1990" s="4">
        <v>1</v>
      </c>
      <c r="AD1990" s="4">
        <v>4</v>
      </c>
      <c r="AE1990" s="4">
        <v>35</v>
      </c>
      <c r="AF1990" s="4">
        <v>0</v>
      </c>
      <c r="AG1990" s="4">
        <v>0</v>
      </c>
      <c r="AH1990" s="4">
        <v>4</v>
      </c>
      <c r="AI1990" s="4">
        <v>34</v>
      </c>
      <c r="AJ1990" s="4">
        <v>0</v>
      </c>
      <c r="AK1990" s="4">
        <v>2</v>
      </c>
      <c r="AL1990" s="4">
        <v>4</v>
      </c>
      <c r="AM1990" s="4">
        <v>26</v>
      </c>
      <c r="AN1990" s="4">
        <v>0</v>
      </c>
      <c r="AO1990" s="4">
        <v>0</v>
      </c>
      <c r="AP1990" s="4">
        <v>0</v>
      </c>
      <c r="AQ1990" s="4">
        <v>2</v>
      </c>
      <c r="AR1990" s="3" t="s">
        <v>65</v>
      </c>
      <c r="AS1990" s="3" t="s">
        <v>65</v>
      </c>
      <c r="AT1990" s="3" t="s">
        <v>65</v>
      </c>
      <c r="AV1990" s="6" t="str">
        <f>HYPERLINK("http://mcgill.on.worldcat.org/oclc/794703577","Catalog Record")</f>
        <v>Catalog Record</v>
      </c>
      <c r="AW1990" s="6" t="str">
        <f>HYPERLINK("http://www.worldcat.org/oclc/794703577","WorldCat Record")</f>
        <v>WorldCat Record</v>
      </c>
      <c r="AX1990" s="3" t="s">
        <v>19406</v>
      </c>
      <c r="AY1990" s="3" t="s">
        <v>19407</v>
      </c>
      <c r="AZ1990" s="3" t="s">
        <v>19408</v>
      </c>
      <c r="BA1990" s="3" t="s">
        <v>19408</v>
      </c>
      <c r="BB1990" s="3" t="s">
        <v>19409</v>
      </c>
      <c r="BC1990" s="3" t="s">
        <v>77</v>
      </c>
      <c r="BD1990" s="3" t="s">
        <v>78</v>
      </c>
      <c r="BE1990" s="3" t="s">
        <v>19410</v>
      </c>
      <c r="BF1990" s="3" t="s">
        <v>19409</v>
      </c>
      <c r="BG1990" s="3" t="s">
        <v>19411</v>
      </c>
    </row>
    <row r="1991" spans="1:59" ht="58" x14ac:dyDescent="0.35">
      <c r="A1991" s="2" t="s">
        <v>59</v>
      </c>
      <c r="B1991" s="2" t="s">
        <v>60</v>
      </c>
      <c r="C1991" s="2" t="s">
        <v>19412</v>
      </c>
      <c r="D1991" s="2" t="s">
        <v>19413</v>
      </c>
      <c r="E1991" s="2" t="s">
        <v>19414</v>
      </c>
      <c r="G1991" s="3" t="s">
        <v>65</v>
      </c>
      <c r="I1991" s="3" t="s">
        <v>65</v>
      </c>
      <c r="J1991" s="3" t="s">
        <v>65</v>
      </c>
      <c r="K1991" s="3" t="s">
        <v>66</v>
      </c>
      <c r="L1991" s="2" t="s">
        <v>19415</v>
      </c>
      <c r="M1991" s="2" t="s">
        <v>19416</v>
      </c>
      <c r="N1991" s="3" t="s">
        <v>126</v>
      </c>
      <c r="O1991" s="2" t="s">
        <v>365</v>
      </c>
      <c r="P1991" s="3" t="s">
        <v>140</v>
      </c>
      <c r="Q1991" s="2" t="s">
        <v>19417</v>
      </c>
      <c r="R1991" s="3" t="s">
        <v>71</v>
      </c>
      <c r="S1991" s="4">
        <v>0</v>
      </c>
      <c r="T1991" s="4">
        <v>0</v>
      </c>
      <c r="W1991" s="5" t="s">
        <v>72</v>
      </c>
      <c r="X1991" s="5" t="s">
        <v>72</v>
      </c>
      <c r="Y1991" s="4">
        <v>37</v>
      </c>
      <c r="Z1991" s="4">
        <v>4</v>
      </c>
      <c r="AA1991" s="4">
        <v>4</v>
      </c>
      <c r="AB1991" s="4">
        <v>1</v>
      </c>
      <c r="AC1991" s="4">
        <v>1</v>
      </c>
      <c r="AD1991" s="4">
        <v>24</v>
      </c>
      <c r="AE1991" s="4">
        <v>24</v>
      </c>
      <c r="AF1991" s="4">
        <v>0</v>
      </c>
      <c r="AG1991" s="4">
        <v>0</v>
      </c>
      <c r="AH1991" s="4">
        <v>23</v>
      </c>
      <c r="AI1991" s="4">
        <v>23</v>
      </c>
      <c r="AJ1991" s="4">
        <v>1</v>
      </c>
      <c r="AK1991" s="4">
        <v>1</v>
      </c>
      <c r="AL1991" s="4">
        <v>18</v>
      </c>
      <c r="AM1991" s="4">
        <v>18</v>
      </c>
      <c r="AN1991" s="4">
        <v>0</v>
      </c>
      <c r="AO1991" s="4">
        <v>0</v>
      </c>
      <c r="AP1991" s="4">
        <v>1</v>
      </c>
      <c r="AQ1991" s="4">
        <v>1</v>
      </c>
      <c r="AR1991" s="3" t="s">
        <v>65</v>
      </c>
      <c r="AS1991" s="3" t="s">
        <v>65</v>
      </c>
      <c r="AT1991" s="3" t="s">
        <v>65</v>
      </c>
      <c r="AV1991" s="6" t="str">
        <f>HYPERLINK("http://mcgill.on.worldcat.org/oclc/777474651","Catalog Record")</f>
        <v>Catalog Record</v>
      </c>
      <c r="AW1991" s="6" t="str">
        <f>HYPERLINK("http://www.worldcat.org/oclc/777474651","WorldCat Record")</f>
        <v>WorldCat Record</v>
      </c>
      <c r="AX1991" s="3" t="s">
        <v>19418</v>
      </c>
      <c r="AY1991" s="3" t="s">
        <v>19419</v>
      </c>
      <c r="AZ1991" s="3" t="s">
        <v>19420</v>
      </c>
      <c r="BA1991" s="3" t="s">
        <v>19420</v>
      </c>
      <c r="BB1991" s="3" t="s">
        <v>19421</v>
      </c>
      <c r="BC1991" s="3" t="s">
        <v>77</v>
      </c>
      <c r="BD1991" s="3" t="s">
        <v>78</v>
      </c>
      <c r="BE1991" s="3" t="s">
        <v>19422</v>
      </c>
      <c r="BF1991" s="3" t="s">
        <v>19421</v>
      </c>
      <c r="BG1991" s="3" t="s">
        <v>19423</v>
      </c>
    </row>
    <row r="1992" spans="1:59" ht="58" x14ac:dyDescent="0.35">
      <c r="A1992" s="2" t="s">
        <v>59</v>
      </c>
      <c r="B1992" s="2" t="s">
        <v>60</v>
      </c>
      <c r="C1992" s="2" t="s">
        <v>19424</v>
      </c>
      <c r="D1992" s="2" t="s">
        <v>19425</v>
      </c>
      <c r="E1992" s="2" t="s">
        <v>19426</v>
      </c>
      <c r="G1992" s="3" t="s">
        <v>65</v>
      </c>
      <c r="I1992" s="3" t="s">
        <v>65</v>
      </c>
      <c r="J1992" s="3" t="s">
        <v>65</v>
      </c>
      <c r="K1992" s="3" t="s">
        <v>66</v>
      </c>
      <c r="L1992" s="2" t="s">
        <v>19427</v>
      </c>
      <c r="M1992" s="2" t="s">
        <v>12855</v>
      </c>
      <c r="N1992" s="3" t="s">
        <v>139</v>
      </c>
      <c r="P1992" s="3" t="s">
        <v>140</v>
      </c>
      <c r="Q1992" s="2" t="s">
        <v>19428</v>
      </c>
      <c r="R1992" s="3" t="s">
        <v>71</v>
      </c>
      <c r="S1992" s="4">
        <v>0</v>
      </c>
      <c r="T1992" s="4">
        <v>0</v>
      </c>
      <c r="W1992" s="5" t="s">
        <v>72</v>
      </c>
      <c r="X1992" s="5" t="s">
        <v>72</v>
      </c>
      <c r="Y1992" s="4">
        <v>37</v>
      </c>
      <c r="Z1992" s="4">
        <v>5</v>
      </c>
      <c r="AA1992" s="4">
        <v>5</v>
      </c>
      <c r="AB1992" s="4">
        <v>1</v>
      </c>
      <c r="AC1992" s="4">
        <v>1</v>
      </c>
      <c r="AD1992" s="4">
        <v>28</v>
      </c>
      <c r="AE1992" s="4">
        <v>28</v>
      </c>
      <c r="AF1992" s="4">
        <v>0</v>
      </c>
      <c r="AG1992" s="4">
        <v>0</v>
      </c>
      <c r="AH1992" s="4">
        <v>27</v>
      </c>
      <c r="AI1992" s="4">
        <v>27</v>
      </c>
      <c r="AJ1992" s="4">
        <v>2</v>
      </c>
      <c r="AK1992" s="4">
        <v>2</v>
      </c>
      <c r="AL1992" s="4">
        <v>21</v>
      </c>
      <c r="AM1992" s="4">
        <v>21</v>
      </c>
      <c r="AN1992" s="4">
        <v>0</v>
      </c>
      <c r="AO1992" s="4">
        <v>0</v>
      </c>
      <c r="AP1992" s="4">
        <v>2</v>
      </c>
      <c r="AQ1992" s="4">
        <v>2</v>
      </c>
      <c r="AR1992" s="3" t="s">
        <v>65</v>
      </c>
      <c r="AS1992" s="3" t="s">
        <v>65</v>
      </c>
      <c r="AT1992" s="3" t="s">
        <v>65</v>
      </c>
      <c r="AV1992" s="6" t="str">
        <f>HYPERLINK("http://mcgill.on.worldcat.org/oclc/807031509","Catalog Record")</f>
        <v>Catalog Record</v>
      </c>
      <c r="AW1992" s="6" t="str">
        <f>HYPERLINK("http://www.worldcat.org/oclc/807031509","WorldCat Record")</f>
        <v>WorldCat Record</v>
      </c>
      <c r="AX1992" s="3" t="s">
        <v>19429</v>
      </c>
      <c r="AY1992" s="3" t="s">
        <v>19430</v>
      </c>
      <c r="AZ1992" s="3" t="s">
        <v>19431</v>
      </c>
      <c r="BA1992" s="3" t="s">
        <v>19431</v>
      </c>
      <c r="BB1992" s="3" t="s">
        <v>19432</v>
      </c>
      <c r="BC1992" s="3" t="s">
        <v>77</v>
      </c>
      <c r="BD1992" s="3" t="s">
        <v>78</v>
      </c>
      <c r="BE1992" s="3" t="s">
        <v>19433</v>
      </c>
      <c r="BF1992" s="3" t="s">
        <v>19432</v>
      </c>
      <c r="BG1992" s="3" t="s">
        <v>19434</v>
      </c>
    </row>
    <row r="1993" spans="1:59" ht="58" x14ac:dyDescent="0.35">
      <c r="A1993" s="2" t="s">
        <v>59</v>
      </c>
      <c r="B1993" s="2" t="s">
        <v>60</v>
      </c>
      <c r="C1993" s="2" t="s">
        <v>19435</v>
      </c>
      <c r="D1993" s="2" t="s">
        <v>19436</v>
      </c>
      <c r="E1993" s="2" t="s">
        <v>19437</v>
      </c>
      <c r="G1993" s="3" t="s">
        <v>65</v>
      </c>
      <c r="I1993" s="3" t="s">
        <v>65</v>
      </c>
      <c r="J1993" s="3" t="s">
        <v>65</v>
      </c>
      <c r="K1993" s="3" t="s">
        <v>66</v>
      </c>
      <c r="L1993" s="2" t="s">
        <v>19438</v>
      </c>
      <c r="M1993" s="2" t="s">
        <v>19439</v>
      </c>
      <c r="N1993" s="3" t="s">
        <v>188</v>
      </c>
      <c r="P1993" s="3" t="s">
        <v>140</v>
      </c>
      <c r="Q1993" s="2" t="s">
        <v>19440</v>
      </c>
      <c r="R1993" s="3" t="s">
        <v>71</v>
      </c>
      <c r="S1993" s="4">
        <v>0</v>
      </c>
      <c r="T1993" s="4">
        <v>0</v>
      </c>
      <c r="W1993" s="5" t="s">
        <v>72</v>
      </c>
      <c r="X1993" s="5" t="s">
        <v>72</v>
      </c>
      <c r="Y1993" s="4">
        <v>27</v>
      </c>
      <c r="Z1993" s="4">
        <v>2</v>
      </c>
      <c r="AA1993" s="4">
        <v>3</v>
      </c>
      <c r="AB1993" s="4">
        <v>1</v>
      </c>
      <c r="AC1993" s="4">
        <v>2</v>
      </c>
      <c r="AD1993" s="4">
        <v>22</v>
      </c>
      <c r="AE1993" s="4">
        <v>25</v>
      </c>
      <c r="AF1993" s="4">
        <v>0</v>
      </c>
      <c r="AG1993" s="4">
        <v>0</v>
      </c>
      <c r="AH1993" s="4">
        <v>21</v>
      </c>
      <c r="AI1993" s="4">
        <v>24</v>
      </c>
      <c r="AJ1993" s="4">
        <v>1</v>
      </c>
      <c r="AK1993" s="4">
        <v>1</v>
      </c>
      <c r="AL1993" s="4">
        <v>16</v>
      </c>
      <c r="AM1993" s="4">
        <v>19</v>
      </c>
      <c r="AN1993" s="4">
        <v>0</v>
      </c>
      <c r="AO1993" s="4">
        <v>0</v>
      </c>
      <c r="AP1993" s="4">
        <v>1</v>
      </c>
      <c r="AQ1993" s="4">
        <v>1</v>
      </c>
      <c r="AR1993" s="3" t="s">
        <v>65</v>
      </c>
      <c r="AS1993" s="3" t="s">
        <v>65</v>
      </c>
      <c r="AT1993" s="3" t="s">
        <v>65</v>
      </c>
      <c r="AV1993" s="6" t="str">
        <f>HYPERLINK("http://mcgill.on.worldcat.org/oclc/1010543838","Catalog Record")</f>
        <v>Catalog Record</v>
      </c>
      <c r="AW1993" s="6" t="str">
        <f>HYPERLINK("http://www.worldcat.org/oclc/1010543838","WorldCat Record")</f>
        <v>WorldCat Record</v>
      </c>
      <c r="AX1993" s="3" t="s">
        <v>19441</v>
      </c>
      <c r="AY1993" s="3" t="s">
        <v>19442</v>
      </c>
      <c r="AZ1993" s="3" t="s">
        <v>19443</v>
      </c>
      <c r="BA1993" s="3" t="s">
        <v>19443</v>
      </c>
      <c r="BB1993" s="3" t="s">
        <v>19444</v>
      </c>
      <c r="BC1993" s="3" t="s">
        <v>77</v>
      </c>
      <c r="BD1993" s="3" t="s">
        <v>78</v>
      </c>
      <c r="BE1993" s="3" t="s">
        <v>19445</v>
      </c>
      <c r="BF1993" s="3" t="s">
        <v>19444</v>
      </c>
      <c r="BG1993" s="3" t="s">
        <v>19446</v>
      </c>
    </row>
    <row r="1994" spans="1:59" ht="58" x14ac:dyDescent="0.35">
      <c r="A1994" s="2" t="s">
        <v>59</v>
      </c>
      <c r="B1994" s="2" t="s">
        <v>60</v>
      </c>
      <c r="C1994" s="2" t="s">
        <v>19447</v>
      </c>
      <c r="D1994" s="2" t="s">
        <v>19448</v>
      </c>
      <c r="E1994" s="2" t="s">
        <v>19449</v>
      </c>
      <c r="G1994" s="3" t="s">
        <v>65</v>
      </c>
      <c r="I1994" s="3" t="s">
        <v>65</v>
      </c>
      <c r="J1994" s="3" t="s">
        <v>65</v>
      </c>
      <c r="K1994" s="3" t="s">
        <v>66</v>
      </c>
      <c r="L1994" s="2" t="s">
        <v>19450</v>
      </c>
      <c r="M1994" s="2" t="s">
        <v>18312</v>
      </c>
      <c r="N1994" s="3" t="s">
        <v>126</v>
      </c>
      <c r="O1994" s="2" t="s">
        <v>365</v>
      </c>
      <c r="P1994" s="3" t="s">
        <v>140</v>
      </c>
      <c r="Q1994" s="2" t="s">
        <v>19451</v>
      </c>
      <c r="R1994" s="3" t="s">
        <v>71</v>
      </c>
      <c r="S1994" s="4">
        <v>0</v>
      </c>
      <c r="T1994" s="4">
        <v>0</v>
      </c>
      <c r="W1994" s="5" t="s">
        <v>72</v>
      </c>
      <c r="X1994" s="5" t="s">
        <v>72</v>
      </c>
      <c r="Y1994" s="4">
        <v>22</v>
      </c>
      <c r="Z1994" s="4">
        <v>4</v>
      </c>
      <c r="AA1994" s="4">
        <v>4</v>
      </c>
      <c r="AB1994" s="4">
        <v>1</v>
      </c>
      <c r="AC1994" s="4">
        <v>1</v>
      </c>
      <c r="AD1994" s="4">
        <v>14</v>
      </c>
      <c r="AE1994" s="4">
        <v>15</v>
      </c>
      <c r="AF1994" s="4">
        <v>0</v>
      </c>
      <c r="AG1994" s="4">
        <v>0</v>
      </c>
      <c r="AH1994" s="4">
        <v>13</v>
      </c>
      <c r="AI1994" s="4">
        <v>14</v>
      </c>
      <c r="AJ1994" s="4">
        <v>2</v>
      </c>
      <c r="AK1994" s="4">
        <v>2</v>
      </c>
      <c r="AL1994" s="4">
        <v>12</v>
      </c>
      <c r="AM1994" s="4">
        <v>13</v>
      </c>
      <c r="AN1994" s="4">
        <v>0</v>
      </c>
      <c r="AO1994" s="4">
        <v>0</v>
      </c>
      <c r="AP1994" s="4">
        <v>2</v>
      </c>
      <c r="AQ1994" s="4">
        <v>2</v>
      </c>
      <c r="AR1994" s="3" t="s">
        <v>65</v>
      </c>
      <c r="AS1994" s="3" t="s">
        <v>65</v>
      </c>
      <c r="AT1994" s="3" t="s">
        <v>65</v>
      </c>
      <c r="AV1994" s="6" t="str">
        <f>HYPERLINK("http://mcgill.on.worldcat.org/oclc/724302619","Catalog Record")</f>
        <v>Catalog Record</v>
      </c>
      <c r="AW1994" s="6" t="str">
        <f>HYPERLINK("http://www.worldcat.org/oclc/724302619","WorldCat Record")</f>
        <v>WorldCat Record</v>
      </c>
      <c r="AX1994" s="3" t="s">
        <v>19452</v>
      </c>
      <c r="AY1994" s="3" t="s">
        <v>19453</v>
      </c>
      <c r="AZ1994" s="3" t="s">
        <v>19454</v>
      </c>
      <c r="BA1994" s="3" t="s">
        <v>19454</v>
      </c>
      <c r="BB1994" s="3" t="s">
        <v>19455</v>
      </c>
      <c r="BC1994" s="3" t="s">
        <v>77</v>
      </c>
      <c r="BD1994" s="3" t="s">
        <v>78</v>
      </c>
      <c r="BE1994" s="3" t="s">
        <v>19456</v>
      </c>
      <c r="BF1994" s="3" t="s">
        <v>19455</v>
      </c>
      <c r="BG1994" s="3" t="s">
        <v>19457</v>
      </c>
    </row>
    <row r="1995" spans="1:59" ht="58" x14ac:dyDescent="0.35">
      <c r="A1995" s="2" t="s">
        <v>59</v>
      </c>
      <c r="B1995" s="2" t="s">
        <v>60</v>
      </c>
      <c r="C1995" s="2" t="s">
        <v>19458</v>
      </c>
      <c r="D1995" s="2" t="s">
        <v>19459</v>
      </c>
      <c r="E1995" s="2" t="s">
        <v>19460</v>
      </c>
      <c r="G1995" s="3" t="s">
        <v>65</v>
      </c>
      <c r="I1995" s="3" t="s">
        <v>65</v>
      </c>
      <c r="J1995" s="3" t="s">
        <v>65</v>
      </c>
      <c r="K1995" s="3" t="s">
        <v>66</v>
      </c>
      <c r="L1995" s="2" t="s">
        <v>19461</v>
      </c>
      <c r="M1995" s="2" t="s">
        <v>19462</v>
      </c>
      <c r="N1995" s="3" t="s">
        <v>176</v>
      </c>
      <c r="P1995" s="3" t="s">
        <v>140</v>
      </c>
      <c r="Q1995" s="2" t="s">
        <v>19463</v>
      </c>
      <c r="R1995" s="3" t="s">
        <v>71</v>
      </c>
      <c r="S1995" s="4">
        <v>0</v>
      </c>
      <c r="T1995" s="4">
        <v>0</v>
      </c>
      <c r="W1995" s="5" t="s">
        <v>72</v>
      </c>
      <c r="X1995" s="5" t="s">
        <v>72</v>
      </c>
      <c r="Y1995" s="4">
        <v>26</v>
      </c>
      <c r="Z1995" s="4">
        <v>5</v>
      </c>
      <c r="AA1995" s="4">
        <v>5</v>
      </c>
      <c r="AB1995" s="4">
        <v>1</v>
      </c>
      <c r="AC1995" s="4">
        <v>1</v>
      </c>
      <c r="AD1995" s="4">
        <v>20</v>
      </c>
      <c r="AE1995" s="4">
        <v>20</v>
      </c>
      <c r="AF1995" s="4">
        <v>0</v>
      </c>
      <c r="AG1995" s="4">
        <v>0</v>
      </c>
      <c r="AH1995" s="4">
        <v>19</v>
      </c>
      <c r="AI1995" s="4">
        <v>19</v>
      </c>
      <c r="AJ1995" s="4">
        <v>2</v>
      </c>
      <c r="AK1995" s="4">
        <v>2</v>
      </c>
      <c r="AL1995" s="4">
        <v>16</v>
      </c>
      <c r="AM1995" s="4">
        <v>16</v>
      </c>
      <c r="AN1995" s="4">
        <v>0</v>
      </c>
      <c r="AO1995" s="4">
        <v>0</v>
      </c>
      <c r="AP1995" s="4">
        <v>2</v>
      </c>
      <c r="AQ1995" s="4">
        <v>2</v>
      </c>
      <c r="AR1995" s="3" t="s">
        <v>65</v>
      </c>
      <c r="AS1995" s="3" t="s">
        <v>65</v>
      </c>
      <c r="AT1995" s="3" t="s">
        <v>65</v>
      </c>
      <c r="AV1995" s="6" t="str">
        <f>HYPERLINK("http://mcgill.on.worldcat.org/oclc/927413869","Catalog Record")</f>
        <v>Catalog Record</v>
      </c>
      <c r="AW1995" s="6" t="str">
        <f>HYPERLINK("http://www.worldcat.org/oclc/927413869","WorldCat Record")</f>
        <v>WorldCat Record</v>
      </c>
      <c r="AX1995" s="3" t="s">
        <v>19464</v>
      </c>
      <c r="AY1995" s="3" t="s">
        <v>19465</v>
      </c>
      <c r="AZ1995" s="3" t="s">
        <v>19466</v>
      </c>
      <c r="BA1995" s="3" t="s">
        <v>19466</v>
      </c>
      <c r="BB1995" s="3" t="s">
        <v>19467</v>
      </c>
      <c r="BC1995" s="3" t="s">
        <v>77</v>
      </c>
      <c r="BD1995" s="3" t="s">
        <v>78</v>
      </c>
      <c r="BE1995" s="3" t="s">
        <v>19468</v>
      </c>
      <c r="BF1995" s="3" t="s">
        <v>19467</v>
      </c>
      <c r="BG1995" s="3" t="s">
        <v>19469</v>
      </c>
    </row>
    <row r="1996" spans="1:59" ht="58" x14ac:dyDescent="0.35">
      <c r="A1996" s="2" t="s">
        <v>59</v>
      </c>
      <c r="B1996" s="2" t="s">
        <v>60</v>
      </c>
      <c r="C1996" s="2" t="s">
        <v>19470</v>
      </c>
      <c r="D1996" s="2" t="s">
        <v>19471</v>
      </c>
      <c r="E1996" s="2" t="s">
        <v>19472</v>
      </c>
      <c r="G1996" s="3" t="s">
        <v>65</v>
      </c>
      <c r="I1996" s="3" t="s">
        <v>65</v>
      </c>
      <c r="J1996" s="3" t="s">
        <v>65</v>
      </c>
      <c r="K1996" s="3" t="s">
        <v>66</v>
      </c>
      <c r="L1996" s="2" t="s">
        <v>19473</v>
      </c>
      <c r="M1996" s="2" t="s">
        <v>19474</v>
      </c>
      <c r="N1996" s="3" t="s">
        <v>68</v>
      </c>
      <c r="O1996" s="2" t="s">
        <v>235</v>
      </c>
      <c r="P1996" s="3" t="s">
        <v>140</v>
      </c>
      <c r="Q1996" s="2" t="s">
        <v>4334</v>
      </c>
      <c r="R1996" s="3" t="s">
        <v>71</v>
      </c>
      <c r="S1996" s="4">
        <v>0</v>
      </c>
      <c r="T1996" s="4">
        <v>0</v>
      </c>
      <c r="W1996" s="5" t="s">
        <v>72</v>
      </c>
      <c r="X1996" s="5" t="s">
        <v>72</v>
      </c>
      <c r="Y1996" s="4">
        <v>48</v>
      </c>
      <c r="Z1996" s="4">
        <v>3</v>
      </c>
      <c r="AA1996" s="4">
        <v>3</v>
      </c>
      <c r="AB1996" s="4">
        <v>1</v>
      </c>
      <c r="AC1996" s="4">
        <v>1</v>
      </c>
      <c r="AD1996" s="4">
        <v>38</v>
      </c>
      <c r="AE1996" s="4">
        <v>39</v>
      </c>
      <c r="AF1996" s="4">
        <v>0</v>
      </c>
      <c r="AG1996" s="4">
        <v>0</v>
      </c>
      <c r="AH1996" s="4">
        <v>37</v>
      </c>
      <c r="AI1996" s="4">
        <v>38</v>
      </c>
      <c r="AJ1996" s="4">
        <v>2</v>
      </c>
      <c r="AK1996" s="4">
        <v>2</v>
      </c>
      <c r="AL1996" s="4">
        <v>28</v>
      </c>
      <c r="AM1996" s="4">
        <v>29</v>
      </c>
      <c r="AN1996" s="4">
        <v>0</v>
      </c>
      <c r="AO1996" s="4">
        <v>0</v>
      </c>
      <c r="AP1996" s="4">
        <v>2</v>
      </c>
      <c r="AQ1996" s="4">
        <v>2</v>
      </c>
      <c r="AR1996" s="3" t="s">
        <v>65</v>
      </c>
      <c r="AS1996" s="3" t="s">
        <v>65</v>
      </c>
      <c r="AT1996" s="3" t="s">
        <v>65</v>
      </c>
      <c r="AV1996" s="6" t="str">
        <f>HYPERLINK("http://mcgill.on.worldcat.org/oclc/980302173","Catalog Record")</f>
        <v>Catalog Record</v>
      </c>
      <c r="AW1996" s="6" t="str">
        <f>HYPERLINK("http://www.worldcat.org/oclc/980302173","WorldCat Record")</f>
        <v>WorldCat Record</v>
      </c>
      <c r="AX1996" s="3" t="s">
        <v>19475</v>
      </c>
      <c r="AY1996" s="3" t="s">
        <v>19476</v>
      </c>
      <c r="AZ1996" s="3" t="s">
        <v>19477</v>
      </c>
      <c r="BA1996" s="3" t="s">
        <v>19477</v>
      </c>
      <c r="BB1996" s="3" t="s">
        <v>19478</v>
      </c>
      <c r="BC1996" s="3" t="s">
        <v>77</v>
      </c>
      <c r="BD1996" s="3" t="s">
        <v>78</v>
      </c>
      <c r="BE1996" s="3" t="s">
        <v>19479</v>
      </c>
      <c r="BF1996" s="3" t="s">
        <v>19478</v>
      </c>
      <c r="BG1996" s="3" t="s">
        <v>19480</v>
      </c>
    </row>
    <row r="1997" spans="1:59" ht="58" x14ac:dyDescent="0.35">
      <c r="A1997" s="2" t="s">
        <v>59</v>
      </c>
      <c r="B1997" s="2" t="s">
        <v>60</v>
      </c>
      <c r="C1997" s="2" t="s">
        <v>19481</v>
      </c>
      <c r="D1997" s="2" t="s">
        <v>19482</v>
      </c>
      <c r="E1997" s="2" t="s">
        <v>19483</v>
      </c>
      <c r="G1997" s="3" t="s">
        <v>65</v>
      </c>
      <c r="I1997" s="3" t="s">
        <v>65</v>
      </c>
      <c r="J1997" s="3" t="s">
        <v>65</v>
      </c>
      <c r="K1997" s="3" t="s">
        <v>66</v>
      </c>
      <c r="L1997" s="2" t="s">
        <v>19484</v>
      </c>
      <c r="M1997" s="2" t="s">
        <v>19485</v>
      </c>
      <c r="N1997" s="3" t="s">
        <v>126</v>
      </c>
      <c r="O1997" s="2" t="s">
        <v>339</v>
      </c>
      <c r="P1997" s="3" t="s">
        <v>140</v>
      </c>
      <c r="Q1997" s="2" t="s">
        <v>19486</v>
      </c>
      <c r="R1997" s="3" t="s">
        <v>71</v>
      </c>
      <c r="S1997" s="4">
        <v>0</v>
      </c>
      <c r="T1997" s="4">
        <v>0</v>
      </c>
      <c r="W1997" s="5" t="s">
        <v>72</v>
      </c>
      <c r="X1997" s="5" t="s">
        <v>72</v>
      </c>
      <c r="Y1997" s="4">
        <v>46</v>
      </c>
      <c r="Z1997" s="4">
        <v>5</v>
      </c>
      <c r="AA1997" s="4">
        <v>6</v>
      </c>
      <c r="AB1997" s="4">
        <v>1</v>
      </c>
      <c r="AC1997" s="4">
        <v>1</v>
      </c>
      <c r="AD1997" s="4">
        <v>29</v>
      </c>
      <c r="AE1997" s="4">
        <v>32</v>
      </c>
      <c r="AF1997" s="4">
        <v>0</v>
      </c>
      <c r="AG1997" s="4">
        <v>0</v>
      </c>
      <c r="AH1997" s="4">
        <v>28</v>
      </c>
      <c r="AI1997" s="4">
        <v>31</v>
      </c>
      <c r="AJ1997" s="4">
        <v>2</v>
      </c>
      <c r="AK1997" s="4">
        <v>3</v>
      </c>
      <c r="AL1997" s="4">
        <v>21</v>
      </c>
      <c r="AM1997" s="4">
        <v>22</v>
      </c>
      <c r="AN1997" s="4">
        <v>0</v>
      </c>
      <c r="AO1997" s="4">
        <v>0</v>
      </c>
      <c r="AP1997" s="4">
        <v>2</v>
      </c>
      <c r="AQ1997" s="4">
        <v>3</v>
      </c>
      <c r="AR1997" s="3" t="s">
        <v>65</v>
      </c>
      <c r="AS1997" s="3" t="s">
        <v>65</v>
      </c>
      <c r="AT1997" s="3" t="s">
        <v>65</v>
      </c>
      <c r="AV1997" s="6" t="str">
        <f>HYPERLINK("http://mcgill.on.worldcat.org/oclc/773015469","Catalog Record")</f>
        <v>Catalog Record</v>
      </c>
      <c r="AW1997" s="6" t="str">
        <f>HYPERLINK("http://www.worldcat.org/oclc/773015469","WorldCat Record")</f>
        <v>WorldCat Record</v>
      </c>
      <c r="AX1997" s="3" t="s">
        <v>19487</v>
      </c>
      <c r="AY1997" s="3" t="s">
        <v>19488</v>
      </c>
      <c r="AZ1997" s="3" t="s">
        <v>19489</v>
      </c>
      <c r="BA1997" s="3" t="s">
        <v>19489</v>
      </c>
      <c r="BB1997" s="3" t="s">
        <v>19490</v>
      </c>
      <c r="BC1997" s="3" t="s">
        <v>77</v>
      </c>
      <c r="BD1997" s="3" t="s">
        <v>78</v>
      </c>
      <c r="BE1997" s="3" t="s">
        <v>19491</v>
      </c>
      <c r="BF1997" s="3" t="s">
        <v>19490</v>
      </c>
      <c r="BG1997" s="3" t="s">
        <v>19492</v>
      </c>
    </row>
    <row r="1998" spans="1:59" ht="58" x14ac:dyDescent="0.35">
      <c r="A1998" s="2" t="s">
        <v>59</v>
      </c>
      <c r="B1998" s="2" t="s">
        <v>60</v>
      </c>
      <c r="C1998" s="2" t="s">
        <v>19493</v>
      </c>
      <c r="D1998" s="2" t="s">
        <v>19494</v>
      </c>
      <c r="E1998" s="2" t="s">
        <v>19495</v>
      </c>
      <c r="G1998" s="3" t="s">
        <v>65</v>
      </c>
      <c r="I1998" s="3" t="s">
        <v>65</v>
      </c>
      <c r="J1998" s="3" t="s">
        <v>65</v>
      </c>
      <c r="K1998" s="3" t="s">
        <v>66</v>
      </c>
      <c r="L1998" s="2" t="s">
        <v>19496</v>
      </c>
      <c r="M1998" s="2" t="s">
        <v>19497</v>
      </c>
      <c r="N1998" s="3" t="s">
        <v>113</v>
      </c>
      <c r="P1998" s="3" t="s">
        <v>140</v>
      </c>
      <c r="Q1998" s="2" t="s">
        <v>19498</v>
      </c>
      <c r="R1998" s="3" t="s">
        <v>71</v>
      </c>
      <c r="S1998" s="4">
        <v>0</v>
      </c>
      <c r="T1998" s="4">
        <v>0</v>
      </c>
      <c r="W1998" s="5" t="s">
        <v>72</v>
      </c>
      <c r="X1998" s="5" t="s">
        <v>72</v>
      </c>
      <c r="Y1998" s="4">
        <v>53</v>
      </c>
      <c r="Z1998" s="4">
        <v>4</v>
      </c>
      <c r="AA1998" s="4">
        <v>4</v>
      </c>
      <c r="AB1998" s="4">
        <v>1</v>
      </c>
      <c r="AC1998" s="4">
        <v>1</v>
      </c>
      <c r="AD1998" s="4">
        <v>34</v>
      </c>
      <c r="AE1998" s="4">
        <v>34</v>
      </c>
      <c r="AF1998" s="4">
        <v>0</v>
      </c>
      <c r="AG1998" s="4">
        <v>0</v>
      </c>
      <c r="AH1998" s="4">
        <v>33</v>
      </c>
      <c r="AI1998" s="4">
        <v>33</v>
      </c>
      <c r="AJ1998" s="4">
        <v>2</v>
      </c>
      <c r="AK1998" s="4">
        <v>2</v>
      </c>
      <c r="AL1998" s="4">
        <v>23</v>
      </c>
      <c r="AM1998" s="4">
        <v>23</v>
      </c>
      <c r="AN1998" s="4">
        <v>0</v>
      </c>
      <c r="AO1998" s="4">
        <v>0</v>
      </c>
      <c r="AP1998" s="4">
        <v>2</v>
      </c>
      <c r="AQ1998" s="4">
        <v>2</v>
      </c>
      <c r="AR1998" s="3" t="s">
        <v>65</v>
      </c>
      <c r="AS1998" s="3" t="s">
        <v>65</v>
      </c>
      <c r="AT1998" s="3" t="s">
        <v>65</v>
      </c>
      <c r="AV1998" s="6" t="str">
        <f>HYPERLINK("http://mcgill.on.worldcat.org/oclc/620114948","Catalog Record")</f>
        <v>Catalog Record</v>
      </c>
      <c r="AW1998" s="6" t="str">
        <f>HYPERLINK("http://www.worldcat.org/oclc/620114948","WorldCat Record")</f>
        <v>WorldCat Record</v>
      </c>
      <c r="AX1998" s="3" t="s">
        <v>19499</v>
      </c>
      <c r="AY1998" s="3" t="s">
        <v>19500</v>
      </c>
      <c r="AZ1998" s="3" t="s">
        <v>19501</v>
      </c>
      <c r="BA1998" s="3" t="s">
        <v>19501</v>
      </c>
      <c r="BB1998" s="3" t="s">
        <v>19502</v>
      </c>
      <c r="BC1998" s="3" t="s">
        <v>77</v>
      </c>
      <c r="BD1998" s="3" t="s">
        <v>78</v>
      </c>
      <c r="BE1998" s="3" t="s">
        <v>19503</v>
      </c>
      <c r="BF1998" s="3" t="s">
        <v>19502</v>
      </c>
      <c r="BG1998" s="3" t="s">
        <v>19504</v>
      </c>
    </row>
    <row r="1999" spans="1:59" ht="58" x14ac:dyDescent="0.35">
      <c r="A1999" s="2" t="s">
        <v>59</v>
      </c>
      <c r="B1999" s="2" t="s">
        <v>60</v>
      </c>
      <c r="C1999" s="2" t="s">
        <v>19505</v>
      </c>
      <c r="D1999" s="2" t="s">
        <v>19506</v>
      </c>
      <c r="E1999" s="2" t="s">
        <v>19507</v>
      </c>
      <c r="G1999" s="3" t="s">
        <v>65</v>
      </c>
      <c r="I1999" s="3" t="s">
        <v>65</v>
      </c>
      <c r="J1999" s="3" t="s">
        <v>65</v>
      </c>
      <c r="K1999" s="3" t="s">
        <v>66</v>
      </c>
      <c r="L1999" s="2" t="s">
        <v>19508</v>
      </c>
      <c r="M1999" s="2" t="s">
        <v>19509</v>
      </c>
      <c r="N1999" s="3" t="s">
        <v>152</v>
      </c>
      <c r="P1999" s="3" t="s">
        <v>69</v>
      </c>
      <c r="Q1999" s="2" t="s">
        <v>19510</v>
      </c>
      <c r="R1999" s="3" t="s">
        <v>71</v>
      </c>
      <c r="S1999" s="4">
        <v>0</v>
      </c>
      <c r="T1999" s="4">
        <v>0</v>
      </c>
      <c r="W1999" s="5" t="s">
        <v>72</v>
      </c>
      <c r="X1999" s="5" t="s">
        <v>72</v>
      </c>
      <c r="Y1999" s="4">
        <v>74</v>
      </c>
      <c r="Z1999" s="4">
        <v>10</v>
      </c>
      <c r="AA1999" s="4">
        <v>11</v>
      </c>
      <c r="AB1999" s="4">
        <v>1</v>
      </c>
      <c r="AC1999" s="4">
        <v>2</v>
      </c>
      <c r="AD1999" s="4">
        <v>37</v>
      </c>
      <c r="AE1999" s="4">
        <v>42</v>
      </c>
      <c r="AF1999" s="4">
        <v>0</v>
      </c>
      <c r="AG1999" s="4">
        <v>0</v>
      </c>
      <c r="AH1999" s="4">
        <v>36</v>
      </c>
      <c r="AI1999" s="4">
        <v>40</v>
      </c>
      <c r="AJ1999" s="4">
        <v>6</v>
      </c>
      <c r="AK1999" s="4">
        <v>6</v>
      </c>
      <c r="AL1999" s="4">
        <v>23</v>
      </c>
      <c r="AM1999" s="4">
        <v>27</v>
      </c>
      <c r="AN1999" s="4">
        <v>0</v>
      </c>
      <c r="AO1999" s="4">
        <v>0</v>
      </c>
      <c r="AP1999" s="4">
        <v>6</v>
      </c>
      <c r="AQ1999" s="4">
        <v>6</v>
      </c>
      <c r="AR1999" s="3" t="s">
        <v>65</v>
      </c>
      <c r="AS1999" s="3" t="s">
        <v>65</v>
      </c>
      <c r="AT1999" s="3" t="s">
        <v>65</v>
      </c>
      <c r="AV1999" s="6" t="str">
        <f>HYPERLINK("http://mcgill.on.worldcat.org/oclc/844873115","Catalog Record")</f>
        <v>Catalog Record</v>
      </c>
      <c r="AW1999" s="6" t="str">
        <f>HYPERLINK("http://www.worldcat.org/oclc/844873115","WorldCat Record")</f>
        <v>WorldCat Record</v>
      </c>
      <c r="AX1999" s="3" t="s">
        <v>19511</v>
      </c>
      <c r="AY1999" s="3" t="s">
        <v>19512</v>
      </c>
      <c r="AZ1999" s="3" t="s">
        <v>19513</v>
      </c>
      <c r="BA1999" s="3" t="s">
        <v>19513</v>
      </c>
      <c r="BB1999" s="3" t="s">
        <v>19514</v>
      </c>
      <c r="BC1999" s="3" t="s">
        <v>77</v>
      </c>
      <c r="BD1999" s="3" t="s">
        <v>78</v>
      </c>
      <c r="BE1999" s="3" t="s">
        <v>19515</v>
      </c>
      <c r="BF1999" s="3" t="s">
        <v>19514</v>
      </c>
      <c r="BG1999" s="3" t="s">
        <v>19516</v>
      </c>
    </row>
    <row r="2000" spans="1:59" ht="58" x14ac:dyDescent="0.35">
      <c r="A2000" s="2" t="s">
        <v>59</v>
      </c>
      <c r="B2000" s="2" t="s">
        <v>60</v>
      </c>
      <c r="C2000" s="2" t="s">
        <v>19517</v>
      </c>
      <c r="D2000" s="2" t="s">
        <v>19518</v>
      </c>
      <c r="E2000" s="2" t="s">
        <v>19519</v>
      </c>
      <c r="G2000" s="3" t="s">
        <v>65</v>
      </c>
      <c r="I2000" s="3" t="s">
        <v>65</v>
      </c>
      <c r="J2000" s="3" t="s">
        <v>65</v>
      </c>
      <c r="K2000" s="3" t="s">
        <v>66</v>
      </c>
      <c r="L2000" s="2" t="s">
        <v>19520</v>
      </c>
      <c r="M2000" s="2" t="s">
        <v>9779</v>
      </c>
      <c r="N2000" s="3" t="s">
        <v>126</v>
      </c>
      <c r="O2000" s="2" t="s">
        <v>365</v>
      </c>
      <c r="P2000" s="3" t="s">
        <v>140</v>
      </c>
      <c r="Q2000" s="2" t="s">
        <v>19521</v>
      </c>
      <c r="R2000" s="3" t="s">
        <v>71</v>
      </c>
      <c r="S2000" s="4">
        <v>0</v>
      </c>
      <c r="T2000" s="4">
        <v>0</v>
      </c>
      <c r="W2000" s="5" t="s">
        <v>72</v>
      </c>
      <c r="X2000" s="5" t="s">
        <v>72</v>
      </c>
      <c r="Y2000" s="4">
        <v>39</v>
      </c>
      <c r="Z2000" s="4">
        <v>4</v>
      </c>
      <c r="AA2000" s="4">
        <v>4</v>
      </c>
      <c r="AB2000" s="4">
        <v>1</v>
      </c>
      <c r="AC2000" s="4">
        <v>1</v>
      </c>
      <c r="AD2000" s="4">
        <v>31</v>
      </c>
      <c r="AE2000" s="4">
        <v>31</v>
      </c>
      <c r="AF2000" s="4">
        <v>0</v>
      </c>
      <c r="AG2000" s="4">
        <v>0</v>
      </c>
      <c r="AH2000" s="4">
        <v>30</v>
      </c>
      <c r="AI2000" s="4">
        <v>30</v>
      </c>
      <c r="AJ2000" s="4">
        <v>2</v>
      </c>
      <c r="AK2000" s="4">
        <v>2</v>
      </c>
      <c r="AL2000" s="4">
        <v>23</v>
      </c>
      <c r="AM2000" s="4">
        <v>23</v>
      </c>
      <c r="AN2000" s="4">
        <v>0</v>
      </c>
      <c r="AO2000" s="4">
        <v>0</v>
      </c>
      <c r="AP2000" s="4">
        <v>2</v>
      </c>
      <c r="AQ2000" s="4">
        <v>2</v>
      </c>
      <c r="AR2000" s="3" t="s">
        <v>65</v>
      </c>
      <c r="AS2000" s="3" t="s">
        <v>65</v>
      </c>
      <c r="AT2000" s="3" t="s">
        <v>65</v>
      </c>
      <c r="AV2000" s="6" t="str">
        <f>HYPERLINK("http://mcgill.on.worldcat.org/oclc/777474726","Catalog Record")</f>
        <v>Catalog Record</v>
      </c>
      <c r="AW2000" s="6" t="str">
        <f>HYPERLINK("http://www.worldcat.org/oclc/777474726","WorldCat Record")</f>
        <v>WorldCat Record</v>
      </c>
      <c r="AX2000" s="3" t="s">
        <v>19522</v>
      </c>
      <c r="AY2000" s="3" t="s">
        <v>19523</v>
      </c>
      <c r="AZ2000" s="3" t="s">
        <v>19524</v>
      </c>
      <c r="BA2000" s="3" t="s">
        <v>19524</v>
      </c>
      <c r="BB2000" s="3" t="s">
        <v>19525</v>
      </c>
      <c r="BC2000" s="3" t="s">
        <v>77</v>
      </c>
      <c r="BD2000" s="3" t="s">
        <v>78</v>
      </c>
      <c r="BE2000" s="3" t="s">
        <v>19526</v>
      </c>
      <c r="BF2000" s="3" t="s">
        <v>19525</v>
      </c>
      <c r="BG2000" s="3" t="s">
        <v>19527</v>
      </c>
    </row>
    <row r="2001" spans="1:59" ht="58" x14ac:dyDescent="0.35">
      <c r="A2001" s="2" t="s">
        <v>59</v>
      </c>
      <c r="B2001" s="2" t="s">
        <v>60</v>
      </c>
      <c r="C2001" s="2" t="s">
        <v>19528</v>
      </c>
      <c r="D2001" s="2" t="s">
        <v>19529</v>
      </c>
      <c r="E2001" s="2" t="s">
        <v>19530</v>
      </c>
      <c r="G2001" s="3" t="s">
        <v>65</v>
      </c>
      <c r="I2001" s="3" t="s">
        <v>65</v>
      </c>
      <c r="J2001" s="3" t="s">
        <v>65</v>
      </c>
      <c r="K2001" s="3" t="s">
        <v>66</v>
      </c>
      <c r="L2001" s="2" t="s">
        <v>19531</v>
      </c>
      <c r="M2001" s="2" t="s">
        <v>19532</v>
      </c>
      <c r="N2001" s="3" t="s">
        <v>113</v>
      </c>
      <c r="P2001" s="3" t="s">
        <v>140</v>
      </c>
      <c r="Q2001" s="2" t="s">
        <v>19533</v>
      </c>
      <c r="R2001" s="3" t="s">
        <v>71</v>
      </c>
      <c r="S2001" s="4">
        <v>0</v>
      </c>
      <c r="T2001" s="4">
        <v>0</v>
      </c>
      <c r="W2001" s="5" t="s">
        <v>72</v>
      </c>
      <c r="X2001" s="5" t="s">
        <v>72</v>
      </c>
      <c r="Y2001" s="4">
        <v>30</v>
      </c>
      <c r="Z2001" s="4">
        <v>5</v>
      </c>
      <c r="AA2001" s="4">
        <v>5</v>
      </c>
      <c r="AB2001" s="4">
        <v>1</v>
      </c>
      <c r="AC2001" s="4">
        <v>1</v>
      </c>
      <c r="AD2001" s="4">
        <v>22</v>
      </c>
      <c r="AE2001" s="4">
        <v>22</v>
      </c>
      <c r="AF2001" s="4">
        <v>0</v>
      </c>
      <c r="AG2001" s="4">
        <v>0</v>
      </c>
      <c r="AH2001" s="4">
        <v>21</v>
      </c>
      <c r="AI2001" s="4">
        <v>21</v>
      </c>
      <c r="AJ2001" s="4">
        <v>2</v>
      </c>
      <c r="AK2001" s="4">
        <v>2</v>
      </c>
      <c r="AL2001" s="4">
        <v>15</v>
      </c>
      <c r="AM2001" s="4">
        <v>15</v>
      </c>
      <c r="AN2001" s="4">
        <v>0</v>
      </c>
      <c r="AO2001" s="4">
        <v>0</v>
      </c>
      <c r="AP2001" s="4">
        <v>2</v>
      </c>
      <c r="AQ2001" s="4">
        <v>2</v>
      </c>
      <c r="AR2001" s="3" t="s">
        <v>65</v>
      </c>
      <c r="AS2001" s="3" t="s">
        <v>65</v>
      </c>
      <c r="AT2001" s="3" t="s">
        <v>65</v>
      </c>
      <c r="AV2001" s="6" t="str">
        <f>HYPERLINK("http://mcgill.on.worldcat.org/oclc/707959214","Catalog Record")</f>
        <v>Catalog Record</v>
      </c>
      <c r="AW2001" s="6" t="str">
        <f>HYPERLINK("http://www.worldcat.org/oclc/707959214","WorldCat Record")</f>
        <v>WorldCat Record</v>
      </c>
      <c r="AX2001" s="3" t="s">
        <v>19534</v>
      </c>
      <c r="AY2001" s="3" t="s">
        <v>19535</v>
      </c>
      <c r="AZ2001" s="3" t="s">
        <v>19536</v>
      </c>
      <c r="BA2001" s="3" t="s">
        <v>19536</v>
      </c>
      <c r="BB2001" s="3" t="s">
        <v>19537</v>
      </c>
      <c r="BC2001" s="3" t="s">
        <v>77</v>
      </c>
      <c r="BD2001" s="3" t="s">
        <v>78</v>
      </c>
      <c r="BE2001" s="3" t="s">
        <v>19538</v>
      </c>
      <c r="BF2001" s="3" t="s">
        <v>19537</v>
      </c>
      <c r="BG2001" s="3" t="s">
        <v>19539</v>
      </c>
    </row>
    <row r="2002" spans="1:59" ht="58" x14ac:dyDescent="0.35">
      <c r="A2002" s="2" t="s">
        <v>59</v>
      </c>
      <c r="B2002" s="2" t="s">
        <v>60</v>
      </c>
      <c r="C2002" s="2" t="s">
        <v>19540</v>
      </c>
      <c r="D2002" s="2" t="s">
        <v>19541</v>
      </c>
      <c r="E2002" s="2" t="s">
        <v>19542</v>
      </c>
      <c r="G2002" s="3" t="s">
        <v>65</v>
      </c>
      <c r="I2002" s="3" t="s">
        <v>65</v>
      </c>
      <c r="J2002" s="3" t="s">
        <v>65</v>
      </c>
      <c r="K2002" s="3" t="s">
        <v>66</v>
      </c>
      <c r="L2002" s="2" t="s">
        <v>19543</v>
      </c>
      <c r="M2002" s="2" t="s">
        <v>19544</v>
      </c>
      <c r="N2002" s="3" t="s">
        <v>126</v>
      </c>
      <c r="P2002" s="3" t="s">
        <v>140</v>
      </c>
      <c r="Q2002" s="2" t="s">
        <v>19545</v>
      </c>
      <c r="R2002" s="3" t="s">
        <v>71</v>
      </c>
      <c r="S2002" s="4">
        <v>0</v>
      </c>
      <c r="T2002" s="4">
        <v>0</v>
      </c>
      <c r="W2002" s="5" t="s">
        <v>72</v>
      </c>
      <c r="X2002" s="5" t="s">
        <v>72</v>
      </c>
      <c r="Y2002" s="4">
        <v>45</v>
      </c>
      <c r="Z2002" s="4">
        <v>5</v>
      </c>
      <c r="AA2002" s="4">
        <v>5</v>
      </c>
      <c r="AB2002" s="4">
        <v>1</v>
      </c>
      <c r="AC2002" s="4">
        <v>1</v>
      </c>
      <c r="AD2002" s="4">
        <v>28</v>
      </c>
      <c r="AE2002" s="4">
        <v>28</v>
      </c>
      <c r="AF2002" s="4">
        <v>0</v>
      </c>
      <c r="AG2002" s="4">
        <v>0</v>
      </c>
      <c r="AH2002" s="4">
        <v>27</v>
      </c>
      <c r="AI2002" s="4">
        <v>27</v>
      </c>
      <c r="AJ2002" s="4">
        <v>2</v>
      </c>
      <c r="AK2002" s="4">
        <v>2</v>
      </c>
      <c r="AL2002" s="4">
        <v>19</v>
      </c>
      <c r="AM2002" s="4">
        <v>19</v>
      </c>
      <c r="AN2002" s="4">
        <v>0</v>
      </c>
      <c r="AO2002" s="4">
        <v>0</v>
      </c>
      <c r="AP2002" s="4">
        <v>2</v>
      </c>
      <c r="AQ2002" s="4">
        <v>2</v>
      </c>
      <c r="AR2002" s="3" t="s">
        <v>65</v>
      </c>
      <c r="AS2002" s="3" t="s">
        <v>65</v>
      </c>
      <c r="AT2002" s="3" t="s">
        <v>65</v>
      </c>
      <c r="AV2002" s="6" t="str">
        <f>HYPERLINK("http://mcgill.on.worldcat.org/oclc/709663054","Catalog Record")</f>
        <v>Catalog Record</v>
      </c>
      <c r="AW2002" s="6" t="str">
        <f>HYPERLINK("http://www.worldcat.org/oclc/709663054","WorldCat Record")</f>
        <v>WorldCat Record</v>
      </c>
      <c r="AX2002" s="3" t="s">
        <v>19546</v>
      </c>
      <c r="AY2002" s="3" t="s">
        <v>19547</v>
      </c>
      <c r="AZ2002" s="3" t="s">
        <v>19548</v>
      </c>
      <c r="BA2002" s="3" t="s">
        <v>19548</v>
      </c>
      <c r="BB2002" s="3" t="s">
        <v>19549</v>
      </c>
      <c r="BC2002" s="3" t="s">
        <v>77</v>
      </c>
      <c r="BD2002" s="3" t="s">
        <v>78</v>
      </c>
      <c r="BE2002" s="3" t="s">
        <v>19550</v>
      </c>
      <c r="BF2002" s="3" t="s">
        <v>19549</v>
      </c>
      <c r="BG2002" s="3" t="s">
        <v>19551</v>
      </c>
    </row>
    <row r="2003" spans="1:59" ht="58" x14ac:dyDescent="0.35">
      <c r="A2003" s="2" t="s">
        <v>59</v>
      </c>
      <c r="B2003" s="2" t="s">
        <v>60</v>
      </c>
      <c r="C2003" s="2" t="s">
        <v>19552</v>
      </c>
      <c r="D2003" s="2" t="s">
        <v>19553</v>
      </c>
      <c r="E2003" s="2" t="s">
        <v>19554</v>
      </c>
      <c r="G2003" s="3" t="s">
        <v>65</v>
      </c>
      <c r="I2003" s="3" t="s">
        <v>65</v>
      </c>
      <c r="J2003" s="3" t="s">
        <v>65</v>
      </c>
      <c r="K2003" s="3" t="s">
        <v>66</v>
      </c>
      <c r="L2003" s="2" t="s">
        <v>19555</v>
      </c>
      <c r="M2003" s="2" t="s">
        <v>19556</v>
      </c>
      <c r="N2003" s="3" t="s">
        <v>126</v>
      </c>
      <c r="P2003" s="3" t="s">
        <v>140</v>
      </c>
      <c r="Q2003" s="2" t="s">
        <v>19557</v>
      </c>
      <c r="R2003" s="3" t="s">
        <v>71</v>
      </c>
      <c r="S2003" s="4">
        <v>0</v>
      </c>
      <c r="T2003" s="4">
        <v>0</v>
      </c>
      <c r="W2003" s="5" t="s">
        <v>72</v>
      </c>
      <c r="X2003" s="5" t="s">
        <v>72</v>
      </c>
      <c r="Y2003" s="4">
        <v>36</v>
      </c>
      <c r="Z2003" s="4">
        <v>5</v>
      </c>
      <c r="AA2003" s="4">
        <v>5</v>
      </c>
      <c r="AB2003" s="4">
        <v>1</v>
      </c>
      <c r="AC2003" s="4">
        <v>1</v>
      </c>
      <c r="AD2003" s="4">
        <v>25</v>
      </c>
      <c r="AE2003" s="4">
        <v>25</v>
      </c>
      <c r="AF2003" s="4">
        <v>0</v>
      </c>
      <c r="AG2003" s="4">
        <v>0</v>
      </c>
      <c r="AH2003" s="4">
        <v>24</v>
      </c>
      <c r="AI2003" s="4">
        <v>24</v>
      </c>
      <c r="AJ2003" s="4">
        <v>2</v>
      </c>
      <c r="AK2003" s="4">
        <v>2</v>
      </c>
      <c r="AL2003" s="4">
        <v>17</v>
      </c>
      <c r="AM2003" s="4">
        <v>17</v>
      </c>
      <c r="AN2003" s="4">
        <v>0</v>
      </c>
      <c r="AO2003" s="4">
        <v>0</v>
      </c>
      <c r="AP2003" s="4">
        <v>2</v>
      </c>
      <c r="AQ2003" s="4">
        <v>2</v>
      </c>
      <c r="AR2003" s="3" t="s">
        <v>65</v>
      </c>
      <c r="AS2003" s="3" t="s">
        <v>65</v>
      </c>
      <c r="AT2003" s="3" t="s">
        <v>65</v>
      </c>
      <c r="AV2003" s="6" t="str">
        <f>HYPERLINK("http://mcgill.on.worldcat.org/oclc/777474865","Catalog Record")</f>
        <v>Catalog Record</v>
      </c>
      <c r="AW2003" s="6" t="str">
        <f>HYPERLINK("http://www.worldcat.org/oclc/777474865","WorldCat Record")</f>
        <v>WorldCat Record</v>
      </c>
      <c r="AX2003" s="3" t="s">
        <v>19558</v>
      </c>
      <c r="AY2003" s="3" t="s">
        <v>19559</v>
      </c>
      <c r="AZ2003" s="3" t="s">
        <v>19560</v>
      </c>
      <c r="BA2003" s="3" t="s">
        <v>19560</v>
      </c>
      <c r="BB2003" s="3" t="s">
        <v>19561</v>
      </c>
      <c r="BC2003" s="3" t="s">
        <v>77</v>
      </c>
      <c r="BD2003" s="3" t="s">
        <v>78</v>
      </c>
      <c r="BE2003" s="3" t="s">
        <v>19562</v>
      </c>
      <c r="BF2003" s="3" t="s">
        <v>19561</v>
      </c>
      <c r="BG2003" s="3" t="s">
        <v>19563</v>
      </c>
    </row>
    <row r="2004" spans="1:59" ht="58" x14ac:dyDescent="0.35">
      <c r="A2004" s="2" t="s">
        <v>59</v>
      </c>
      <c r="B2004" s="2" t="s">
        <v>60</v>
      </c>
      <c r="C2004" s="2" t="s">
        <v>19564</v>
      </c>
      <c r="D2004" s="2" t="s">
        <v>19565</v>
      </c>
      <c r="E2004" s="2" t="s">
        <v>19566</v>
      </c>
      <c r="G2004" s="3" t="s">
        <v>65</v>
      </c>
      <c r="I2004" s="3" t="s">
        <v>65</v>
      </c>
      <c r="J2004" s="3" t="s">
        <v>65</v>
      </c>
      <c r="K2004" s="3" t="s">
        <v>66</v>
      </c>
      <c r="L2004" s="2" t="s">
        <v>19567</v>
      </c>
      <c r="M2004" s="2" t="s">
        <v>19568</v>
      </c>
      <c r="N2004" s="3" t="s">
        <v>126</v>
      </c>
      <c r="P2004" s="3" t="s">
        <v>140</v>
      </c>
      <c r="Q2004" s="2" t="s">
        <v>19569</v>
      </c>
      <c r="R2004" s="3" t="s">
        <v>71</v>
      </c>
      <c r="S2004" s="4">
        <v>0</v>
      </c>
      <c r="T2004" s="4">
        <v>0</v>
      </c>
      <c r="W2004" s="5" t="s">
        <v>72</v>
      </c>
      <c r="X2004" s="5" t="s">
        <v>72</v>
      </c>
      <c r="Y2004" s="4">
        <v>21</v>
      </c>
      <c r="Z2004" s="4">
        <v>3</v>
      </c>
      <c r="AA2004" s="4">
        <v>3</v>
      </c>
      <c r="AB2004" s="4">
        <v>1</v>
      </c>
      <c r="AC2004" s="4">
        <v>1</v>
      </c>
      <c r="AD2004" s="4">
        <v>14</v>
      </c>
      <c r="AE2004" s="4">
        <v>14</v>
      </c>
      <c r="AF2004" s="4">
        <v>0</v>
      </c>
      <c r="AG2004" s="4">
        <v>0</v>
      </c>
      <c r="AH2004" s="4">
        <v>13</v>
      </c>
      <c r="AI2004" s="4">
        <v>13</v>
      </c>
      <c r="AJ2004" s="4">
        <v>1</v>
      </c>
      <c r="AK2004" s="4">
        <v>1</v>
      </c>
      <c r="AL2004" s="4">
        <v>9</v>
      </c>
      <c r="AM2004" s="4">
        <v>9</v>
      </c>
      <c r="AN2004" s="4">
        <v>0</v>
      </c>
      <c r="AO2004" s="4">
        <v>0</v>
      </c>
      <c r="AP2004" s="4">
        <v>1</v>
      </c>
      <c r="AQ2004" s="4">
        <v>1</v>
      </c>
      <c r="AR2004" s="3" t="s">
        <v>65</v>
      </c>
      <c r="AS2004" s="3" t="s">
        <v>65</v>
      </c>
      <c r="AT2004" s="3" t="s">
        <v>65</v>
      </c>
      <c r="AV2004" s="6" t="str">
        <f>HYPERLINK("http://mcgill.on.worldcat.org/oclc/745969870","Catalog Record")</f>
        <v>Catalog Record</v>
      </c>
      <c r="AW2004" s="6" t="str">
        <f>HYPERLINK("http://www.worldcat.org/oclc/745969870","WorldCat Record")</f>
        <v>WorldCat Record</v>
      </c>
      <c r="AX2004" s="3" t="s">
        <v>19570</v>
      </c>
      <c r="AY2004" s="3" t="s">
        <v>19571</v>
      </c>
      <c r="AZ2004" s="3" t="s">
        <v>19572</v>
      </c>
      <c r="BA2004" s="3" t="s">
        <v>19572</v>
      </c>
      <c r="BB2004" s="3" t="s">
        <v>19573</v>
      </c>
      <c r="BC2004" s="3" t="s">
        <v>77</v>
      </c>
      <c r="BD2004" s="3" t="s">
        <v>78</v>
      </c>
      <c r="BE2004" s="3" t="s">
        <v>19574</v>
      </c>
      <c r="BF2004" s="3" t="s">
        <v>19573</v>
      </c>
      <c r="BG2004" s="3" t="s">
        <v>19575</v>
      </c>
    </row>
    <row r="2005" spans="1:59" ht="58" x14ac:dyDescent="0.35">
      <c r="A2005" s="2" t="s">
        <v>59</v>
      </c>
      <c r="B2005" s="2" t="s">
        <v>60</v>
      </c>
      <c r="C2005" s="2" t="s">
        <v>19576</v>
      </c>
      <c r="D2005" s="2" t="s">
        <v>19577</v>
      </c>
      <c r="E2005" s="2" t="s">
        <v>19578</v>
      </c>
      <c r="G2005" s="3" t="s">
        <v>65</v>
      </c>
      <c r="I2005" s="3" t="s">
        <v>65</v>
      </c>
      <c r="J2005" s="3" t="s">
        <v>65</v>
      </c>
      <c r="K2005" s="3" t="s">
        <v>66</v>
      </c>
      <c r="L2005" s="2" t="s">
        <v>19579</v>
      </c>
      <c r="M2005" s="2" t="s">
        <v>19580</v>
      </c>
      <c r="N2005" s="3" t="s">
        <v>113</v>
      </c>
      <c r="O2005" s="2" t="s">
        <v>365</v>
      </c>
      <c r="P2005" s="3" t="s">
        <v>140</v>
      </c>
      <c r="Q2005" s="2" t="s">
        <v>565</v>
      </c>
      <c r="R2005" s="3" t="s">
        <v>71</v>
      </c>
      <c r="S2005" s="4">
        <v>3</v>
      </c>
      <c r="T2005" s="4">
        <v>3</v>
      </c>
      <c r="U2005" s="5" t="s">
        <v>785</v>
      </c>
      <c r="V2005" s="5" t="s">
        <v>785</v>
      </c>
      <c r="W2005" s="5" t="s">
        <v>72</v>
      </c>
      <c r="X2005" s="5" t="s">
        <v>72</v>
      </c>
      <c r="Y2005" s="4">
        <v>57</v>
      </c>
      <c r="Z2005" s="4">
        <v>6</v>
      </c>
      <c r="AA2005" s="4">
        <v>6</v>
      </c>
      <c r="AB2005" s="4">
        <v>1</v>
      </c>
      <c r="AC2005" s="4">
        <v>1</v>
      </c>
      <c r="AD2005" s="4">
        <v>39</v>
      </c>
      <c r="AE2005" s="4">
        <v>40</v>
      </c>
      <c r="AF2005" s="4">
        <v>0</v>
      </c>
      <c r="AG2005" s="4">
        <v>0</v>
      </c>
      <c r="AH2005" s="4">
        <v>38</v>
      </c>
      <c r="AI2005" s="4">
        <v>39</v>
      </c>
      <c r="AJ2005" s="4">
        <v>2</v>
      </c>
      <c r="AK2005" s="4">
        <v>2</v>
      </c>
      <c r="AL2005" s="4">
        <v>29</v>
      </c>
      <c r="AM2005" s="4">
        <v>30</v>
      </c>
      <c r="AN2005" s="4">
        <v>0</v>
      </c>
      <c r="AO2005" s="4">
        <v>0</v>
      </c>
      <c r="AP2005" s="4">
        <v>2</v>
      </c>
      <c r="AQ2005" s="4">
        <v>2</v>
      </c>
      <c r="AR2005" s="3" t="s">
        <v>65</v>
      </c>
      <c r="AS2005" s="3" t="s">
        <v>65</v>
      </c>
      <c r="AT2005" s="3" t="s">
        <v>65</v>
      </c>
      <c r="AV2005" s="6" t="str">
        <f>HYPERLINK("http://mcgill.on.worldcat.org/oclc/669907208","Catalog Record")</f>
        <v>Catalog Record</v>
      </c>
      <c r="AW2005" s="6" t="str">
        <f>HYPERLINK("http://www.worldcat.org/oclc/669907208","WorldCat Record")</f>
        <v>WorldCat Record</v>
      </c>
      <c r="AX2005" s="3" t="s">
        <v>19581</v>
      </c>
      <c r="AY2005" s="3" t="s">
        <v>19582</v>
      </c>
      <c r="AZ2005" s="3" t="s">
        <v>19583</v>
      </c>
      <c r="BA2005" s="3" t="s">
        <v>19583</v>
      </c>
      <c r="BB2005" s="3" t="s">
        <v>19584</v>
      </c>
      <c r="BC2005" s="3" t="s">
        <v>77</v>
      </c>
      <c r="BD2005" s="3" t="s">
        <v>78</v>
      </c>
      <c r="BE2005" s="3" t="s">
        <v>19585</v>
      </c>
      <c r="BF2005" s="3" t="s">
        <v>19584</v>
      </c>
      <c r="BG2005" s="3" t="s">
        <v>19586</v>
      </c>
    </row>
    <row r="2006" spans="1:59" ht="72.5" x14ac:dyDescent="0.35">
      <c r="A2006" s="2" t="s">
        <v>59</v>
      </c>
      <c r="B2006" s="2" t="s">
        <v>60</v>
      </c>
      <c r="C2006" s="2" t="s">
        <v>19587</v>
      </c>
      <c r="D2006" s="2" t="s">
        <v>19588</v>
      </c>
      <c r="E2006" s="2" t="s">
        <v>19589</v>
      </c>
      <c r="G2006" s="3" t="s">
        <v>65</v>
      </c>
      <c r="I2006" s="3" t="s">
        <v>65</v>
      </c>
      <c r="J2006" s="3" t="s">
        <v>65</v>
      </c>
      <c r="K2006" s="3" t="s">
        <v>66</v>
      </c>
      <c r="L2006" s="2" t="s">
        <v>19590</v>
      </c>
      <c r="M2006" s="2" t="s">
        <v>17561</v>
      </c>
      <c r="N2006" s="3" t="s">
        <v>113</v>
      </c>
      <c r="P2006" s="3" t="s">
        <v>140</v>
      </c>
      <c r="R2006" s="3" t="s">
        <v>71</v>
      </c>
      <c r="S2006" s="4">
        <v>0</v>
      </c>
      <c r="T2006" s="4">
        <v>0</v>
      </c>
      <c r="W2006" s="5" t="s">
        <v>72</v>
      </c>
      <c r="X2006" s="5" t="s">
        <v>72</v>
      </c>
      <c r="Y2006" s="4">
        <v>49</v>
      </c>
      <c r="Z2006" s="4">
        <v>3</v>
      </c>
      <c r="AA2006" s="4">
        <v>3</v>
      </c>
      <c r="AB2006" s="4">
        <v>1</v>
      </c>
      <c r="AC2006" s="4">
        <v>1</v>
      </c>
      <c r="AD2006" s="4">
        <v>31</v>
      </c>
      <c r="AE2006" s="4">
        <v>31</v>
      </c>
      <c r="AF2006" s="4">
        <v>0</v>
      </c>
      <c r="AG2006" s="4">
        <v>0</v>
      </c>
      <c r="AH2006" s="4">
        <v>30</v>
      </c>
      <c r="AI2006" s="4">
        <v>30</v>
      </c>
      <c r="AJ2006" s="4">
        <v>1</v>
      </c>
      <c r="AK2006" s="4">
        <v>1</v>
      </c>
      <c r="AL2006" s="4">
        <v>23</v>
      </c>
      <c r="AM2006" s="4">
        <v>23</v>
      </c>
      <c r="AN2006" s="4">
        <v>0</v>
      </c>
      <c r="AO2006" s="4">
        <v>0</v>
      </c>
      <c r="AP2006" s="4">
        <v>1</v>
      </c>
      <c r="AQ2006" s="4">
        <v>1</v>
      </c>
      <c r="AR2006" s="3" t="s">
        <v>65</v>
      </c>
      <c r="AS2006" s="3" t="s">
        <v>65</v>
      </c>
      <c r="AT2006" s="3" t="s">
        <v>65</v>
      </c>
      <c r="AV2006" s="6" t="str">
        <f>HYPERLINK("http://mcgill.on.worldcat.org/oclc/649312447","Catalog Record")</f>
        <v>Catalog Record</v>
      </c>
      <c r="AW2006" s="6" t="str">
        <f>HYPERLINK("http://www.worldcat.org/oclc/649312447","WorldCat Record")</f>
        <v>WorldCat Record</v>
      </c>
      <c r="AX2006" s="3" t="s">
        <v>19591</v>
      </c>
      <c r="AY2006" s="3" t="s">
        <v>19592</v>
      </c>
      <c r="AZ2006" s="3" t="s">
        <v>19593</v>
      </c>
      <c r="BA2006" s="3" t="s">
        <v>19593</v>
      </c>
      <c r="BB2006" s="3" t="s">
        <v>19594</v>
      </c>
      <c r="BC2006" s="3" t="s">
        <v>77</v>
      </c>
      <c r="BD2006" s="3" t="s">
        <v>78</v>
      </c>
      <c r="BE2006" s="3" t="s">
        <v>19595</v>
      </c>
      <c r="BF2006" s="3" t="s">
        <v>19594</v>
      </c>
      <c r="BG2006" s="3" t="s">
        <v>19596</v>
      </c>
    </row>
    <row r="2007" spans="1:59" ht="58" x14ac:dyDescent="0.35">
      <c r="A2007" s="2" t="s">
        <v>59</v>
      </c>
      <c r="B2007" s="2" t="s">
        <v>60</v>
      </c>
      <c r="C2007" s="2" t="s">
        <v>19597</v>
      </c>
      <c r="D2007" s="2" t="s">
        <v>19598</v>
      </c>
      <c r="E2007" s="2" t="s">
        <v>19599</v>
      </c>
      <c r="G2007" s="3" t="s">
        <v>65</v>
      </c>
      <c r="I2007" s="3" t="s">
        <v>65</v>
      </c>
      <c r="J2007" s="3" t="s">
        <v>65</v>
      </c>
      <c r="K2007" s="3" t="s">
        <v>66</v>
      </c>
      <c r="L2007" s="2" t="s">
        <v>19600</v>
      </c>
      <c r="M2007" s="2" t="s">
        <v>19601</v>
      </c>
      <c r="N2007" s="3" t="s">
        <v>164</v>
      </c>
      <c r="O2007" s="2" t="s">
        <v>235</v>
      </c>
      <c r="P2007" s="3" t="s">
        <v>140</v>
      </c>
      <c r="Q2007" s="2" t="s">
        <v>19602</v>
      </c>
      <c r="R2007" s="3" t="s">
        <v>71</v>
      </c>
      <c r="S2007" s="4">
        <v>0</v>
      </c>
      <c r="T2007" s="4">
        <v>0</v>
      </c>
      <c r="W2007" s="5" t="s">
        <v>72</v>
      </c>
      <c r="X2007" s="5" t="s">
        <v>72</v>
      </c>
      <c r="Y2007" s="4">
        <v>30</v>
      </c>
      <c r="Z2007" s="4">
        <v>3</v>
      </c>
      <c r="AA2007" s="4">
        <v>3</v>
      </c>
      <c r="AB2007" s="4">
        <v>1</v>
      </c>
      <c r="AC2007" s="4">
        <v>1</v>
      </c>
      <c r="AD2007" s="4">
        <v>18</v>
      </c>
      <c r="AE2007" s="4">
        <v>19</v>
      </c>
      <c r="AF2007" s="4">
        <v>0</v>
      </c>
      <c r="AG2007" s="4">
        <v>0</v>
      </c>
      <c r="AH2007" s="4">
        <v>17</v>
      </c>
      <c r="AI2007" s="4">
        <v>18</v>
      </c>
      <c r="AJ2007" s="4">
        <v>1</v>
      </c>
      <c r="AK2007" s="4">
        <v>1</v>
      </c>
      <c r="AL2007" s="4">
        <v>15</v>
      </c>
      <c r="AM2007" s="4">
        <v>16</v>
      </c>
      <c r="AN2007" s="4">
        <v>0</v>
      </c>
      <c r="AO2007" s="4">
        <v>0</v>
      </c>
      <c r="AP2007" s="4">
        <v>1</v>
      </c>
      <c r="AQ2007" s="4">
        <v>1</v>
      </c>
      <c r="AR2007" s="3" t="s">
        <v>65</v>
      </c>
      <c r="AS2007" s="3" t="s">
        <v>65</v>
      </c>
      <c r="AT2007" s="3" t="s">
        <v>65</v>
      </c>
      <c r="AV2007" s="6" t="str">
        <f>HYPERLINK("http://mcgill.on.worldcat.org/oclc/902639002","Catalog Record")</f>
        <v>Catalog Record</v>
      </c>
      <c r="AW2007" s="6" t="str">
        <f>HYPERLINK("http://www.worldcat.org/oclc/902639002","WorldCat Record")</f>
        <v>WorldCat Record</v>
      </c>
      <c r="AX2007" s="3" t="s">
        <v>19603</v>
      </c>
      <c r="AY2007" s="3" t="s">
        <v>19604</v>
      </c>
      <c r="AZ2007" s="3" t="s">
        <v>19605</v>
      </c>
      <c r="BA2007" s="3" t="s">
        <v>19605</v>
      </c>
      <c r="BB2007" s="3" t="s">
        <v>19606</v>
      </c>
      <c r="BC2007" s="3" t="s">
        <v>77</v>
      </c>
      <c r="BD2007" s="3" t="s">
        <v>78</v>
      </c>
      <c r="BE2007" s="3" t="s">
        <v>19607</v>
      </c>
      <c r="BF2007" s="3" t="s">
        <v>19606</v>
      </c>
      <c r="BG2007" s="3" t="s">
        <v>19608</v>
      </c>
    </row>
    <row r="2008" spans="1:59" ht="58" x14ac:dyDescent="0.35">
      <c r="A2008" s="2" t="s">
        <v>59</v>
      </c>
      <c r="B2008" s="2" t="s">
        <v>60</v>
      </c>
      <c r="C2008" s="2" t="s">
        <v>19609</v>
      </c>
      <c r="D2008" s="2" t="s">
        <v>19610</v>
      </c>
      <c r="E2008" s="2" t="s">
        <v>19611</v>
      </c>
      <c r="G2008" s="3" t="s">
        <v>65</v>
      </c>
      <c r="I2008" s="3" t="s">
        <v>65</v>
      </c>
      <c r="J2008" s="3" t="s">
        <v>65</v>
      </c>
      <c r="K2008" s="3" t="s">
        <v>66</v>
      </c>
      <c r="L2008" s="2" t="s">
        <v>19612</v>
      </c>
      <c r="M2008" s="2" t="s">
        <v>15972</v>
      </c>
      <c r="N2008" s="3" t="s">
        <v>139</v>
      </c>
      <c r="P2008" s="3" t="s">
        <v>140</v>
      </c>
      <c r="Q2008" s="2" t="s">
        <v>19613</v>
      </c>
      <c r="R2008" s="3" t="s">
        <v>71</v>
      </c>
      <c r="S2008" s="4">
        <v>0</v>
      </c>
      <c r="T2008" s="4">
        <v>0</v>
      </c>
      <c r="W2008" s="5" t="s">
        <v>72</v>
      </c>
      <c r="X2008" s="5" t="s">
        <v>72</v>
      </c>
      <c r="Y2008" s="4">
        <v>44</v>
      </c>
      <c r="Z2008" s="4">
        <v>4</v>
      </c>
      <c r="AA2008" s="4">
        <v>4</v>
      </c>
      <c r="AB2008" s="4">
        <v>1</v>
      </c>
      <c r="AC2008" s="4">
        <v>1</v>
      </c>
      <c r="AD2008" s="4">
        <v>26</v>
      </c>
      <c r="AE2008" s="4">
        <v>26</v>
      </c>
      <c r="AF2008" s="4">
        <v>0</v>
      </c>
      <c r="AG2008" s="4">
        <v>0</v>
      </c>
      <c r="AH2008" s="4">
        <v>25</v>
      </c>
      <c r="AI2008" s="4">
        <v>25</v>
      </c>
      <c r="AJ2008" s="4">
        <v>1</v>
      </c>
      <c r="AK2008" s="4">
        <v>1</v>
      </c>
      <c r="AL2008" s="4">
        <v>22</v>
      </c>
      <c r="AM2008" s="4">
        <v>22</v>
      </c>
      <c r="AN2008" s="4">
        <v>0</v>
      </c>
      <c r="AO2008" s="4">
        <v>0</v>
      </c>
      <c r="AP2008" s="4">
        <v>1</v>
      </c>
      <c r="AQ2008" s="4">
        <v>1</v>
      </c>
      <c r="AR2008" s="3" t="s">
        <v>65</v>
      </c>
      <c r="AS2008" s="3" t="s">
        <v>65</v>
      </c>
      <c r="AT2008" s="3" t="s">
        <v>65</v>
      </c>
      <c r="AV2008" s="6" t="str">
        <f>HYPERLINK("http://mcgill.on.worldcat.org/oclc/828410003","Catalog Record")</f>
        <v>Catalog Record</v>
      </c>
      <c r="AW2008" s="6" t="str">
        <f>HYPERLINK("http://www.worldcat.org/oclc/828410003","WorldCat Record")</f>
        <v>WorldCat Record</v>
      </c>
      <c r="AX2008" s="3" t="s">
        <v>19614</v>
      </c>
      <c r="AY2008" s="3" t="s">
        <v>19615</v>
      </c>
      <c r="AZ2008" s="3" t="s">
        <v>19616</v>
      </c>
      <c r="BA2008" s="3" t="s">
        <v>19616</v>
      </c>
      <c r="BB2008" s="3" t="s">
        <v>19617</v>
      </c>
      <c r="BC2008" s="3" t="s">
        <v>77</v>
      </c>
      <c r="BD2008" s="3" t="s">
        <v>78</v>
      </c>
      <c r="BE2008" s="3" t="s">
        <v>19618</v>
      </c>
      <c r="BF2008" s="3" t="s">
        <v>19617</v>
      </c>
      <c r="BG2008" s="3" t="s">
        <v>19619</v>
      </c>
    </row>
    <row r="2009" spans="1:59" ht="101.5" x14ac:dyDescent="0.35">
      <c r="A2009" s="2" t="s">
        <v>59</v>
      </c>
      <c r="B2009" s="2" t="s">
        <v>60</v>
      </c>
      <c r="C2009" s="2" t="s">
        <v>19620</v>
      </c>
      <c r="D2009" s="2" t="s">
        <v>19621</v>
      </c>
      <c r="E2009" s="2" t="s">
        <v>19622</v>
      </c>
      <c r="G2009" s="3" t="s">
        <v>65</v>
      </c>
      <c r="I2009" s="3" t="s">
        <v>65</v>
      </c>
      <c r="J2009" s="3" t="s">
        <v>65</v>
      </c>
      <c r="K2009" s="3" t="s">
        <v>66</v>
      </c>
      <c r="L2009" s="2" t="s">
        <v>19623</v>
      </c>
      <c r="M2009" s="2" t="s">
        <v>19624</v>
      </c>
      <c r="N2009" s="3" t="s">
        <v>552</v>
      </c>
      <c r="P2009" s="3" t="s">
        <v>140</v>
      </c>
      <c r="R2009" s="3" t="s">
        <v>71</v>
      </c>
      <c r="S2009" s="4">
        <v>2</v>
      </c>
      <c r="T2009" s="4">
        <v>2</v>
      </c>
      <c r="U2009" s="5" t="s">
        <v>16402</v>
      </c>
      <c r="V2009" s="5" t="s">
        <v>16402</v>
      </c>
      <c r="W2009" s="5" t="s">
        <v>72</v>
      </c>
      <c r="X2009" s="5" t="s">
        <v>72</v>
      </c>
      <c r="Y2009" s="4">
        <v>50</v>
      </c>
      <c r="Z2009" s="4">
        <v>3</v>
      </c>
      <c r="AA2009" s="4">
        <v>3</v>
      </c>
      <c r="AB2009" s="4">
        <v>1</v>
      </c>
      <c r="AC2009" s="4">
        <v>1</v>
      </c>
      <c r="AD2009" s="4">
        <v>36</v>
      </c>
      <c r="AE2009" s="4">
        <v>36</v>
      </c>
      <c r="AF2009" s="4">
        <v>0</v>
      </c>
      <c r="AG2009" s="4">
        <v>0</v>
      </c>
      <c r="AH2009" s="4">
        <v>33</v>
      </c>
      <c r="AI2009" s="4">
        <v>33</v>
      </c>
      <c r="AJ2009" s="4">
        <v>2</v>
      </c>
      <c r="AK2009" s="4">
        <v>2</v>
      </c>
      <c r="AL2009" s="4">
        <v>27</v>
      </c>
      <c r="AM2009" s="4">
        <v>27</v>
      </c>
      <c r="AN2009" s="4">
        <v>0</v>
      </c>
      <c r="AO2009" s="4">
        <v>0</v>
      </c>
      <c r="AP2009" s="4">
        <v>2</v>
      </c>
      <c r="AQ2009" s="4">
        <v>2</v>
      </c>
      <c r="AR2009" s="3" t="s">
        <v>65</v>
      </c>
      <c r="AS2009" s="3" t="s">
        <v>65</v>
      </c>
      <c r="AT2009" s="3" t="s">
        <v>209</v>
      </c>
      <c r="AU2009" s="6" t="str">
        <f>HYPERLINK("http://catalog.hathitrust.org/Record/003984709","HathiTrust Record")</f>
        <v>HathiTrust Record</v>
      </c>
      <c r="AV2009" s="6" t="str">
        <f>HYPERLINK("http://mcgill.on.worldcat.org/oclc/42428751","Catalog Record")</f>
        <v>Catalog Record</v>
      </c>
      <c r="AW2009" s="6" t="str">
        <f>HYPERLINK("http://www.worldcat.org/oclc/42428751","WorldCat Record")</f>
        <v>WorldCat Record</v>
      </c>
      <c r="AX2009" s="3" t="s">
        <v>19625</v>
      </c>
      <c r="AY2009" s="3" t="s">
        <v>19626</v>
      </c>
      <c r="AZ2009" s="3" t="s">
        <v>19627</v>
      </c>
      <c r="BA2009" s="3" t="s">
        <v>19627</v>
      </c>
      <c r="BB2009" s="3" t="s">
        <v>19628</v>
      </c>
      <c r="BC2009" s="3" t="s">
        <v>77</v>
      </c>
      <c r="BD2009" s="3" t="s">
        <v>78</v>
      </c>
      <c r="BE2009" s="3" t="s">
        <v>19629</v>
      </c>
      <c r="BF2009" s="3" t="s">
        <v>19628</v>
      </c>
      <c r="BG2009" s="3" t="s">
        <v>19630</v>
      </c>
    </row>
    <row r="2010" spans="1:59" ht="58" x14ac:dyDescent="0.35">
      <c r="A2010" s="2" t="s">
        <v>59</v>
      </c>
      <c r="B2010" s="2" t="s">
        <v>60</v>
      </c>
      <c r="C2010" s="2" t="s">
        <v>19631</v>
      </c>
      <c r="D2010" s="2" t="s">
        <v>19632</v>
      </c>
      <c r="E2010" s="2" t="s">
        <v>19633</v>
      </c>
      <c r="G2010" s="3" t="s">
        <v>65</v>
      </c>
      <c r="I2010" s="3" t="s">
        <v>65</v>
      </c>
      <c r="J2010" s="3" t="s">
        <v>65</v>
      </c>
      <c r="K2010" s="3" t="s">
        <v>66</v>
      </c>
      <c r="L2010" s="2" t="s">
        <v>19634</v>
      </c>
      <c r="M2010" s="2" t="s">
        <v>19635</v>
      </c>
      <c r="N2010" s="3" t="s">
        <v>139</v>
      </c>
      <c r="O2010" s="2" t="s">
        <v>379</v>
      </c>
      <c r="P2010" s="3" t="s">
        <v>140</v>
      </c>
      <c r="Q2010" s="2" t="s">
        <v>19636</v>
      </c>
      <c r="R2010" s="3" t="s">
        <v>71</v>
      </c>
      <c r="S2010" s="4">
        <v>0</v>
      </c>
      <c r="T2010" s="4">
        <v>0</v>
      </c>
      <c r="W2010" s="5" t="s">
        <v>72</v>
      </c>
      <c r="X2010" s="5" t="s">
        <v>72</v>
      </c>
      <c r="Y2010" s="4">
        <v>35</v>
      </c>
      <c r="Z2010" s="4">
        <v>5</v>
      </c>
      <c r="AA2010" s="4">
        <v>5</v>
      </c>
      <c r="AB2010" s="4">
        <v>1</v>
      </c>
      <c r="AC2010" s="4">
        <v>1</v>
      </c>
      <c r="AD2010" s="4">
        <v>27</v>
      </c>
      <c r="AE2010" s="4">
        <v>27</v>
      </c>
      <c r="AF2010" s="4">
        <v>0</v>
      </c>
      <c r="AG2010" s="4">
        <v>0</v>
      </c>
      <c r="AH2010" s="4">
        <v>26</v>
      </c>
      <c r="AI2010" s="4">
        <v>26</v>
      </c>
      <c r="AJ2010" s="4">
        <v>2</v>
      </c>
      <c r="AK2010" s="4">
        <v>2</v>
      </c>
      <c r="AL2010" s="4">
        <v>21</v>
      </c>
      <c r="AM2010" s="4">
        <v>21</v>
      </c>
      <c r="AN2010" s="4">
        <v>0</v>
      </c>
      <c r="AO2010" s="4">
        <v>0</v>
      </c>
      <c r="AP2010" s="4">
        <v>2</v>
      </c>
      <c r="AQ2010" s="4">
        <v>2</v>
      </c>
      <c r="AR2010" s="3" t="s">
        <v>65</v>
      </c>
      <c r="AS2010" s="3" t="s">
        <v>65</v>
      </c>
      <c r="AT2010" s="3" t="s">
        <v>65</v>
      </c>
      <c r="AV2010" s="6" t="str">
        <f>HYPERLINK("http://mcgill.on.worldcat.org/oclc/793216630","Catalog Record")</f>
        <v>Catalog Record</v>
      </c>
      <c r="AW2010" s="6" t="str">
        <f>HYPERLINK("http://www.worldcat.org/oclc/793216630","WorldCat Record")</f>
        <v>WorldCat Record</v>
      </c>
      <c r="AX2010" s="3" t="s">
        <v>19637</v>
      </c>
      <c r="AY2010" s="3" t="s">
        <v>19638</v>
      </c>
      <c r="AZ2010" s="3" t="s">
        <v>19639</v>
      </c>
      <c r="BA2010" s="3" t="s">
        <v>19639</v>
      </c>
      <c r="BB2010" s="3" t="s">
        <v>19640</v>
      </c>
      <c r="BC2010" s="3" t="s">
        <v>77</v>
      </c>
      <c r="BD2010" s="3" t="s">
        <v>78</v>
      </c>
      <c r="BE2010" s="3" t="s">
        <v>19641</v>
      </c>
      <c r="BF2010" s="3" t="s">
        <v>19640</v>
      </c>
      <c r="BG2010" s="3" t="s">
        <v>19642</v>
      </c>
    </row>
    <row r="2011" spans="1:59" ht="58" x14ac:dyDescent="0.35">
      <c r="A2011" s="2" t="s">
        <v>59</v>
      </c>
      <c r="B2011" s="2" t="s">
        <v>60</v>
      </c>
      <c r="C2011" s="2" t="s">
        <v>19643</v>
      </c>
      <c r="D2011" s="2" t="s">
        <v>19644</v>
      </c>
      <c r="E2011" s="2" t="s">
        <v>19645</v>
      </c>
      <c r="G2011" s="3" t="s">
        <v>209</v>
      </c>
      <c r="I2011" s="3" t="s">
        <v>65</v>
      </c>
      <c r="J2011" s="3" t="s">
        <v>65</v>
      </c>
      <c r="K2011" s="3" t="s">
        <v>66</v>
      </c>
      <c r="L2011" s="2" t="s">
        <v>19646</v>
      </c>
      <c r="M2011" s="2" t="s">
        <v>19647</v>
      </c>
      <c r="N2011" s="3" t="s">
        <v>113</v>
      </c>
      <c r="P2011" s="3" t="s">
        <v>140</v>
      </c>
      <c r="R2011" s="3" t="s">
        <v>71</v>
      </c>
      <c r="S2011" s="4">
        <v>0</v>
      </c>
      <c r="T2011" s="4">
        <v>0</v>
      </c>
      <c r="W2011" s="5" t="s">
        <v>72</v>
      </c>
      <c r="X2011" s="5" t="s">
        <v>72</v>
      </c>
      <c r="Y2011" s="4">
        <v>6</v>
      </c>
      <c r="Z2011" s="4">
        <v>1</v>
      </c>
      <c r="AA2011" s="4">
        <v>6</v>
      </c>
      <c r="AB2011" s="4">
        <v>1</v>
      </c>
      <c r="AC2011" s="4">
        <v>1</v>
      </c>
      <c r="AD2011" s="4">
        <v>4</v>
      </c>
      <c r="AE2011" s="4">
        <v>27</v>
      </c>
      <c r="AF2011" s="4">
        <v>0</v>
      </c>
      <c r="AG2011" s="4">
        <v>0</v>
      </c>
      <c r="AH2011" s="4">
        <v>4</v>
      </c>
      <c r="AI2011" s="4">
        <v>26</v>
      </c>
      <c r="AJ2011" s="4">
        <v>0</v>
      </c>
      <c r="AK2011" s="4">
        <v>3</v>
      </c>
      <c r="AL2011" s="4">
        <v>2</v>
      </c>
      <c r="AM2011" s="4">
        <v>19</v>
      </c>
      <c r="AN2011" s="4">
        <v>0</v>
      </c>
      <c r="AO2011" s="4">
        <v>0</v>
      </c>
      <c r="AP2011" s="4">
        <v>0</v>
      </c>
      <c r="AQ2011" s="4">
        <v>3</v>
      </c>
      <c r="AR2011" s="3" t="s">
        <v>65</v>
      </c>
      <c r="AS2011" s="3" t="s">
        <v>65</v>
      </c>
      <c r="AT2011" s="3" t="s">
        <v>65</v>
      </c>
      <c r="AV2011" s="6" t="str">
        <f>HYPERLINK("http://mcgill.on.worldcat.org/oclc/730876122","Catalog Record")</f>
        <v>Catalog Record</v>
      </c>
      <c r="AW2011" s="6" t="str">
        <f>HYPERLINK("http://www.worldcat.org/oclc/730876122","WorldCat Record")</f>
        <v>WorldCat Record</v>
      </c>
      <c r="AX2011" s="3" t="s">
        <v>19648</v>
      </c>
      <c r="AY2011" s="3" t="s">
        <v>19649</v>
      </c>
      <c r="AZ2011" s="3" t="s">
        <v>19650</v>
      </c>
      <c r="BA2011" s="3" t="s">
        <v>19650</v>
      </c>
      <c r="BB2011" s="3" t="s">
        <v>19651</v>
      </c>
      <c r="BC2011" s="3" t="s">
        <v>77</v>
      </c>
      <c r="BD2011" s="3" t="s">
        <v>78</v>
      </c>
      <c r="BF2011" s="3" t="s">
        <v>19651</v>
      </c>
      <c r="BG2011" s="3" t="s">
        <v>19652</v>
      </c>
    </row>
    <row r="2012" spans="1:59" ht="58" x14ac:dyDescent="0.35">
      <c r="A2012" s="2" t="s">
        <v>59</v>
      </c>
      <c r="B2012" s="2" t="s">
        <v>60</v>
      </c>
      <c r="C2012" s="2" t="s">
        <v>19653</v>
      </c>
      <c r="D2012" s="2" t="s">
        <v>19654</v>
      </c>
      <c r="E2012" s="2" t="s">
        <v>19655</v>
      </c>
      <c r="G2012" s="3" t="s">
        <v>65</v>
      </c>
      <c r="I2012" s="3" t="s">
        <v>65</v>
      </c>
      <c r="J2012" s="3" t="s">
        <v>65</v>
      </c>
      <c r="K2012" s="3" t="s">
        <v>66</v>
      </c>
      <c r="L2012" s="2" t="s">
        <v>19656</v>
      </c>
      <c r="M2012" s="2" t="s">
        <v>19657</v>
      </c>
      <c r="N2012" s="3" t="s">
        <v>4688</v>
      </c>
      <c r="P2012" s="3" t="s">
        <v>140</v>
      </c>
      <c r="Q2012" s="2" t="s">
        <v>19658</v>
      </c>
      <c r="R2012" s="3" t="s">
        <v>71</v>
      </c>
      <c r="S2012" s="4">
        <v>1</v>
      </c>
      <c r="T2012" s="4">
        <v>1</v>
      </c>
      <c r="U2012" s="5" t="s">
        <v>19659</v>
      </c>
      <c r="V2012" s="5" t="s">
        <v>19659</v>
      </c>
      <c r="W2012" s="5" t="s">
        <v>72</v>
      </c>
      <c r="X2012" s="5" t="s">
        <v>72</v>
      </c>
      <c r="Y2012" s="4">
        <v>75</v>
      </c>
      <c r="Z2012" s="4">
        <v>5</v>
      </c>
      <c r="AA2012" s="4">
        <v>5</v>
      </c>
      <c r="AB2012" s="4">
        <v>1</v>
      </c>
      <c r="AC2012" s="4">
        <v>1</v>
      </c>
      <c r="AD2012" s="4">
        <v>47</v>
      </c>
      <c r="AE2012" s="4">
        <v>47</v>
      </c>
      <c r="AF2012" s="4">
        <v>0</v>
      </c>
      <c r="AG2012" s="4">
        <v>0</v>
      </c>
      <c r="AH2012" s="4">
        <v>45</v>
      </c>
      <c r="AI2012" s="4">
        <v>45</v>
      </c>
      <c r="AJ2012" s="4">
        <v>3</v>
      </c>
      <c r="AK2012" s="4">
        <v>3</v>
      </c>
      <c r="AL2012" s="4">
        <v>33</v>
      </c>
      <c r="AM2012" s="4">
        <v>33</v>
      </c>
      <c r="AN2012" s="4">
        <v>0</v>
      </c>
      <c r="AO2012" s="4">
        <v>0</v>
      </c>
      <c r="AP2012" s="4">
        <v>3</v>
      </c>
      <c r="AQ2012" s="4">
        <v>3</v>
      </c>
      <c r="AR2012" s="3" t="s">
        <v>65</v>
      </c>
      <c r="AS2012" s="3" t="s">
        <v>65</v>
      </c>
      <c r="AT2012" s="3" t="s">
        <v>209</v>
      </c>
      <c r="AU2012" s="6" t="str">
        <f>HYPERLINK("http://catalog.hathitrust.org/Record/000820979","HathiTrust Record")</f>
        <v>HathiTrust Record</v>
      </c>
      <c r="AV2012" s="6" t="str">
        <f>HYPERLINK("http://mcgill.on.worldcat.org/oclc/13308863","Catalog Record")</f>
        <v>Catalog Record</v>
      </c>
      <c r="AW2012" s="6" t="str">
        <f>HYPERLINK("http://www.worldcat.org/oclc/13308863","WorldCat Record")</f>
        <v>WorldCat Record</v>
      </c>
      <c r="AX2012" s="3" t="s">
        <v>19660</v>
      </c>
      <c r="AY2012" s="3" t="s">
        <v>19661</v>
      </c>
      <c r="AZ2012" s="3" t="s">
        <v>19662</v>
      </c>
      <c r="BA2012" s="3" t="s">
        <v>19662</v>
      </c>
      <c r="BB2012" s="3" t="s">
        <v>19663</v>
      </c>
      <c r="BC2012" s="3" t="s">
        <v>77</v>
      </c>
      <c r="BD2012" s="3" t="s">
        <v>78</v>
      </c>
      <c r="BF2012" s="3" t="s">
        <v>19663</v>
      </c>
      <c r="BG2012" s="3" t="s">
        <v>19664</v>
      </c>
    </row>
    <row r="2013" spans="1:59" ht="58" x14ac:dyDescent="0.35">
      <c r="A2013" s="2" t="s">
        <v>59</v>
      </c>
      <c r="B2013" s="2" t="s">
        <v>60</v>
      </c>
      <c r="C2013" s="2" t="s">
        <v>19665</v>
      </c>
      <c r="D2013" s="2" t="s">
        <v>19666</v>
      </c>
      <c r="E2013" s="2" t="s">
        <v>19667</v>
      </c>
      <c r="G2013" s="3" t="s">
        <v>65</v>
      </c>
      <c r="I2013" s="3" t="s">
        <v>65</v>
      </c>
      <c r="J2013" s="3" t="s">
        <v>65</v>
      </c>
      <c r="K2013" s="3" t="s">
        <v>66</v>
      </c>
      <c r="L2013" s="2" t="s">
        <v>19668</v>
      </c>
      <c r="M2013" s="2" t="s">
        <v>19669</v>
      </c>
      <c r="N2013" s="3" t="s">
        <v>126</v>
      </c>
      <c r="P2013" s="3" t="s">
        <v>140</v>
      </c>
      <c r="R2013" s="3" t="s">
        <v>71</v>
      </c>
      <c r="S2013" s="4">
        <v>0</v>
      </c>
      <c r="T2013" s="4">
        <v>0</v>
      </c>
      <c r="W2013" s="5" t="s">
        <v>72</v>
      </c>
      <c r="X2013" s="5" t="s">
        <v>72</v>
      </c>
      <c r="Y2013" s="4">
        <v>17</v>
      </c>
      <c r="Z2013" s="4">
        <v>3</v>
      </c>
      <c r="AA2013" s="4">
        <v>3</v>
      </c>
      <c r="AB2013" s="4">
        <v>1</v>
      </c>
      <c r="AC2013" s="4">
        <v>1</v>
      </c>
      <c r="AD2013" s="4">
        <v>10</v>
      </c>
      <c r="AE2013" s="4">
        <v>10</v>
      </c>
      <c r="AF2013" s="4">
        <v>0</v>
      </c>
      <c r="AG2013" s="4">
        <v>0</v>
      </c>
      <c r="AH2013" s="4">
        <v>10</v>
      </c>
      <c r="AI2013" s="4">
        <v>10</v>
      </c>
      <c r="AJ2013" s="4">
        <v>1</v>
      </c>
      <c r="AK2013" s="4">
        <v>1</v>
      </c>
      <c r="AL2013" s="4">
        <v>7</v>
      </c>
      <c r="AM2013" s="4">
        <v>7</v>
      </c>
      <c r="AN2013" s="4">
        <v>0</v>
      </c>
      <c r="AO2013" s="4">
        <v>0</v>
      </c>
      <c r="AP2013" s="4">
        <v>1</v>
      </c>
      <c r="AQ2013" s="4">
        <v>1</v>
      </c>
      <c r="AR2013" s="3" t="s">
        <v>65</v>
      </c>
      <c r="AS2013" s="3" t="s">
        <v>65</v>
      </c>
      <c r="AT2013" s="3" t="s">
        <v>65</v>
      </c>
      <c r="AV2013" s="6" t="str">
        <f>HYPERLINK("http://mcgill.on.worldcat.org/oclc/768397147","Catalog Record")</f>
        <v>Catalog Record</v>
      </c>
      <c r="AW2013" s="6" t="str">
        <f>HYPERLINK("http://www.worldcat.org/oclc/768397147","WorldCat Record")</f>
        <v>WorldCat Record</v>
      </c>
      <c r="AX2013" s="3" t="s">
        <v>19670</v>
      </c>
      <c r="AY2013" s="3" t="s">
        <v>19671</v>
      </c>
      <c r="AZ2013" s="3" t="s">
        <v>19672</v>
      </c>
      <c r="BA2013" s="3" t="s">
        <v>19672</v>
      </c>
      <c r="BB2013" s="3" t="s">
        <v>19673</v>
      </c>
      <c r="BC2013" s="3" t="s">
        <v>77</v>
      </c>
      <c r="BD2013" s="3" t="s">
        <v>78</v>
      </c>
      <c r="BE2013" s="3" t="s">
        <v>19674</v>
      </c>
      <c r="BF2013" s="3" t="s">
        <v>19673</v>
      </c>
      <c r="BG2013" s="3" t="s">
        <v>19675</v>
      </c>
    </row>
    <row r="2014" spans="1:59" ht="58" x14ac:dyDescent="0.35">
      <c r="A2014" s="2" t="s">
        <v>59</v>
      </c>
      <c r="B2014" s="2" t="s">
        <v>60</v>
      </c>
      <c r="C2014" s="2" t="s">
        <v>19676</v>
      </c>
      <c r="D2014" s="2" t="s">
        <v>19677</v>
      </c>
      <c r="E2014" s="2" t="s">
        <v>19678</v>
      </c>
      <c r="G2014" s="3" t="s">
        <v>65</v>
      </c>
      <c r="I2014" s="3" t="s">
        <v>65</v>
      </c>
      <c r="J2014" s="3" t="s">
        <v>65</v>
      </c>
      <c r="K2014" s="3" t="s">
        <v>66</v>
      </c>
      <c r="L2014" s="2" t="s">
        <v>19679</v>
      </c>
      <c r="M2014" s="2" t="s">
        <v>19680</v>
      </c>
      <c r="N2014" s="3" t="s">
        <v>126</v>
      </c>
      <c r="P2014" s="3" t="s">
        <v>140</v>
      </c>
      <c r="Q2014" s="2" t="s">
        <v>19681</v>
      </c>
      <c r="R2014" s="3" t="s">
        <v>71</v>
      </c>
      <c r="S2014" s="4">
        <v>0</v>
      </c>
      <c r="T2014" s="4">
        <v>0</v>
      </c>
      <c r="W2014" s="5" t="s">
        <v>72</v>
      </c>
      <c r="X2014" s="5" t="s">
        <v>72</v>
      </c>
      <c r="Y2014" s="4">
        <v>39</v>
      </c>
      <c r="Z2014" s="4">
        <v>4</v>
      </c>
      <c r="AA2014" s="4">
        <v>4</v>
      </c>
      <c r="AB2014" s="4">
        <v>1</v>
      </c>
      <c r="AC2014" s="4">
        <v>1</v>
      </c>
      <c r="AD2014" s="4">
        <v>26</v>
      </c>
      <c r="AE2014" s="4">
        <v>26</v>
      </c>
      <c r="AF2014" s="4">
        <v>0</v>
      </c>
      <c r="AG2014" s="4">
        <v>0</v>
      </c>
      <c r="AH2014" s="4">
        <v>25</v>
      </c>
      <c r="AI2014" s="4">
        <v>25</v>
      </c>
      <c r="AJ2014" s="4">
        <v>2</v>
      </c>
      <c r="AK2014" s="4">
        <v>2</v>
      </c>
      <c r="AL2014" s="4">
        <v>20</v>
      </c>
      <c r="AM2014" s="4">
        <v>20</v>
      </c>
      <c r="AN2014" s="4">
        <v>0</v>
      </c>
      <c r="AO2014" s="4">
        <v>0</v>
      </c>
      <c r="AP2014" s="4">
        <v>2</v>
      </c>
      <c r="AQ2014" s="4">
        <v>2</v>
      </c>
      <c r="AR2014" s="3" t="s">
        <v>65</v>
      </c>
      <c r="AS2014" s="3" t="s">
        <v>65</v>
      </c>
      <c r="AT2014" s="3" t="s">
        <v>65</v>
      </c>
      <c r="AV2014" s="6" t="str">
        <f>HYPERLINK("http://mcgill.on.worldcat.org/oclc/745969651","Catalog Record")</f>
        <v>Catalog Record</v>
      </c>
      <c r="AW2014" s="6" t="str">
        <f>HYPERLINK("http://www.worldcat.org/oclc/745969651","WorldCat Record")</f>
        <v>WorldCat Record</v>
      </c>
      <c r="AX2014" s="3" t="s">
        <v>19682</v>
      </c>
      <c r="AY2014" s="3" t="s">
        <v>19683</v>
      </c>
      <c r="AZ2014" s="3" t="s">
        <v>19684</v>
      </c>
      <c r="BA2014" s="3" t="s">
        <v>19684</v>
      </c>
      <c r="BB2014" s="3" t="s">
        <v>19685</v>
      </c>
      <c r="BC2014" s="3" t="s">
        <v>77</v>
      </c>
      <c r="BD2014" s="3" t="s">
        <v>78</v>
      </c>
      <c r="BE2014" s="3" t="s">
        <v>19686</v>
      </c>
      <c r="BF2014" s="3" t="s">
        <v>19685</v>
      </c>
      <c r="BG2014" s="3" t="s">
        <v>19687</v>
      </c>
    </row>
    <row r="2015" spans="1:59" ht="58" x14ac:dyDescent="0.35">
      <c r="A2015" s="2" t="s">
        <v>59</v>
      </c>
      <c r="B2015" s="2" t="s">
        <v>60</v>
      </c>
      <c r="C2015" s="2" t="s">
        <v>19688</v>
      </c>
      <c r="D2015" s="2" t="s">
        <v>19689</v>
      </c>
      <c r="E2015" s="2" t="s">
        <v>19690</v>
      </c>
      <c r="G2015" s="3" t="s">
        <v>65</v>
      </c>
      <c r="I2015" s="3" t="s">
        <v>65</v>
      </c>
      <c r="J2015" s="3" t="s">
        <v>65</v>
      </c>
      <c r="K2015" s="3" t="s">
        <v>66</v>
      </c>
      <c r="L2015" s="2" t="s">
        <v>19691</v>
      </c>
      <c r="M2015" s="2" t="s">
        <v>18312</v>
      </c>
      <c r="N2015" s="3" t="s">
        <v>126</v>
      </c>
      <c r="O2015" s="2" t="s">
        <v>365</v>
      </c>
      <c r="P2015" s="3" t="s">
        <v>140</v>
      </c>
      <c r="Q2015" s="2" t="s">
        <v>19692</v>
      </c>
      <c r="R2015" s="3" t="s">
        <v>71</v>
      </c>
      <c r="S2015" s="4">
        <v>0</v>
      </c>
      <c r="T2015" s="4">
        <v>0</v>
      </c>
      <c r="W2015" s="5" t="s">
        <v>72</v>
      </c>
      <c r="X2015" s="5" t="s">
        <v>72</v>
      </c>
      <c r="Y2015" s="4">
        <v>43</v>
      </c>
      <c r="Z2015" s="4">
        <v>5</v>
      </c>
      <c r="AA2015" s="4">
        <v>5</v>
      </c>
      <c r="AB2015" s="4">
        <v>1</v>
      </c>
      <c r="AC2015" s="4">
        <v>1</v>
      </c>
      <c r="AD2015" s="4">
        <v>33</v>
      </c>
      <c r="AE2015" s="4">
        <v>33</v>
      </c>
      <c r="AF2015" s="4">
        <v>0</v>
      </c>
      <c r="AG2015" s="4">
        <v>0</v>
      </c>
      <c r="AH2015" s="4">
        <v>32</v>
      </c>
      <c r="AI2015" s="4">
        <v>32</v>
      </c>
      <c r="AJ2015" s="4">
        <v>2</v>
      </c>
      <c r="AK2015" s="4">
        <v>2</v>
      </c>
      <c r="AL2015" s="4">
        <v>23</v>
      </c>
      <c r="AM2015" s="4">
        <v>23</v>
      </c>
      <c r="AN2015" s="4">
        <v>0</v>
      </c>
      <c r="AO2015" s="4">
        <v>0</v>
      </c>
      <c r="AP2015" s="4">
        <v>2</v>
      </c>
      <c r="AQ2015" s="4">
        <v>2</v>
      </c>
      <c r="AR2015" s="3" t="s">
        <v>65</v>
      </c>
      <c r="AS2015" s="3" t="s">
        <v>65</v>
      </c>
      <c r="AT2015" s="3" t="s">
        <v>65</v>
      </c>
      <c r="AV2015" s="6" t="str">
        <f>HYPERLINK("http://mcgill.on.worldcat.org/oclc/777474792","Catalog Record")</f>
        <v>Catalog Record</v>
      </c>
      <c r="AW2015" s="6" t="str">
        <f>HYPERLINK("http://www.worldcat.org/oclc/777474792","WorldCat Record")</f>
        <v>WorldCat Record</v>
      </c>
      <c r="AX2015" s="3" t="s">
        <v>19693</v>
      </c>
      <c r="AY2015" s="3" t="s">
        <v>19694</v>
      </c>
      <c r="AZ2015" s="3" t="s">
        <v>19695</v>
      </c>
      <c r="BA2015" s="3" t="s">
        <v>19695</v>
      </c>
      <c r="BB2015" s="3" t="s">
        <v>19696</v>
      </c>
      <c r="BC2015" s="3" t="s">
        <v>77</v>
      </c>
      <c r="BD2015" s="3" t="s">
        <v>78</v>
      </c>
      <c r="BE2015" s="3" t="s">
        <v>19697</v>
      </c>
      <c r="BF2015" s="3" t="s">
        <v>19696</v>
      </c>
      <c r="BG2015" s="3" t="s">
        <v>19698</v>
      </c>
    </row>
    <row r="2016" spans="1:59" ht="58" x14ac:dyDescent="0.35">
      <c r="A2016" s="2" t="s">
        <v>59</v>
      </c>
      <c r="B2016" s="2" t="s">
        <v>60</v>
      </c>
      <c r="C2016" s="2" t="s">
        <v>19699</v>
      </c>
      <c r="D2016" s="2" t="s">
        <v>19700</v>
      </c>
      <c r="E2016" s="2" t="s">
        <v>19701</v>
      </c>
      <c r="G2016" s="3" t="s">
        <v>65</v>
      </c>
      <c r="I2016" s="3" t="s">
        <v>65</v>
      </c>
      <c r="J2016" s="3" t="s">
        <v>65</v>
      </c>
      <c r="K2016" s="3" t="s">
        <v>66</v>
      </c>
      <c r="L2016" s="2" t="s">
        <v>19702</v>
      </c>
      <c r="M2016" s="2" t="s">
        <v>19703</v>
      </c>
      <c r="N2016" s="3" t="s">
        <v>126</v>
      </c>
      <c r="P2016" s="3" t="s">
        <v>140</v>
      </c>
      <c r="Q2016" s="2" t="s">
        <v>19704</v>
      </c>
      <c r="R2016" s="3" t="s">
        <v>71</v>
      </c>
      <c r="S2016" s="4">
        <v>0</v>
      </c>
      <c r="T2016" s="4">
        <v>0</v>
      </c>
      <c r="W2016" s="5" t="s">
        <v>72</v>
      </c>
      <c r="X2016" s="5" t="s">
        <v>72</v>
      </c>
      <c r="Y2016" s="4">
        <v>41</v>
      </c>
      <c r="Z2016" s="4">
        <v>6</v>
      </c>
      <c r="AA2016" s="4">
        <v>6</v>
      </c>
      <c r="AB2016" s="4">
        <v>1</v>
      </c>
      <c r="AC2016" s="4">
        <v>1</v>
      </c>
      <c r="AD2016" s="4">
        <v>26</v>
      </c>
      <c r="AE2016" s="4">
        <v>26</v>
      </c>
      <c r="AF2016" s="4">
        <v>0</v>
      </c>
      <c r="AG2016" s="4">
        <v>0</v>
      </c>
      <c r="AH2016" s="4">
        <v>25</v>
      </c>
      <c r="AI2016" s="4">
        <v>25</v>
      </c>
      <c r="AJ2016" s="4">
        <v>3</v>
      </c>
      <c r="AK2016" s="4">
        <v>3</v>
      </c>
      <c r="AL2016" s="4">
        <v>19</v>
      </c>
      <c r="AM2016" s="4">
        <v>19</v>
      </c>
      <c r="AN2016" s="4">
        <v>0</v>
      </c>
      <c r="AO2016" s="4">
        <v>0</v>
      </c>
      <c r="AP2016" s="4">
        <v>3</v>
      </c>
      <c r="AQ2016" s="4">
        <v>3</v>
      </c>
      <c r="AR2016" s="3" t="s">
        <v>65</v>
      </c>
      <c r="AS2016" s="3" t="s">
        <v>65</v>
      </c>
      <c r="AT2016" s="3" t="s">
        <v>65</v>
      </c>
      <c r="AV2016" s="6" t="str">
        <f>HYPERLINK("http://mcgill.on.worldcat.org/oclc/758436392","Catalog Record")</f>
        <v>Catalog Record</v>
      </c>
      <c r="AW2016" s="6" t="str">
        <f>HYPERLINK("http://www.worldcat.org/oclc/758436392","WorldCat Record")</f>
        <v>WorldCat Record</v>
      </c>
      <c r="AX2016" s="3" t="s">
        <v>19705</v>
      </c>
      <c r="AY2016" s="3" t="s">
        <v>19706</v>
      </c>
      <c r="AZ2016" s="3" t="s">
        <v>19707</v>
      </c>
      <c r="BA2016" s="3" t="s">
        <v>19707</v>
      </c>
      <c r="BB2016" s="3" t="s">
        <v>19708</v>
      </c>
      <c r="BC2016" s="3" t="s">
        <v>77</v>
      </c>
      <c r="BD2016" s="3" t="s">
        <v>78</v>
      </c>
      <c r="BE2016" s="3" t="s">
        <v>19709</v>
      </c>
      <c r="BF2016" s="3" t="s">
        <v>19708</v>
      </c>
      <c r="BG2016" s="3" t="s">
        <v>19710</v>
      </c>
    </row>
    <row r="2017" spans="1:59" ht="58" x14ac:dyDescent="0.35">
      <c r="A2017" s="2" t="s">
        <v>59</v>
      </c>
      <c r="B2017" s="2" t="s">
        <v>60</v>
      </c>
      <c r="C2017" s="2" t="s">
        <v>19711</v>
      </c>
      <c r="D2017" s="2" t="s">
        <v>19712</v>
      </c>
      <c r="E2017" s="2" t="s">
        <v>19713</v>
      </c>
      <c r="G2017" s="3" t="s">
        <v>65</v>
      </c>
      <c r="I2017" s="3" t="s">
        <v>65</v>
      </c>
      <c r="J2017" s="3" t="s">
        <v>65</v>
      </c>
      <c r="K2017" s="3" t="s">
        <v>66</v>
      </c>
      <c r="M2017" s="2" t="s">
        <v>19714</v>
      </c>
      <c r="N2017" s="3" t="s">
        <v>113</v>
      </c>
      <c r="P2017" s="3" t="s">
        <v>140</v>
      </c>
      <c r="Q2017" s="2" t="s">
        <v>17443</v>
      </c>
      <c r="R2017" s="3" t="s">
        <v>71</v>
      </c>
      <c r="S2017" s="4">
        <v>0</v>
      </c>
      <c r="T2017" s="4">
        <v>0</v>
      </c>
      <c r="W2017" s="5" t="s">
        <v>72</v>
      </c>
      <c r="X2017" s="5" t="s">
        <v>72</v>
      </c>
      <c r="Y2017" s="4">
        <v>31</v>
      </c>
      <c r="Z2017" s="4">
        <v>3</v>
      </c>
      <c r="AA2017" s="4">
        <v>3</v>
      </c>
      <c r="AB2017" s="4">
        <v>1</v>
      </c>
      <c r="AC2017" s="4">
        <v>1</v>
      </c>
      <c r="AD2017" s="4">
        <v>19</v>
      </c>
      <c r="AE2017" s="4">
        <v>19</v>
      </c>
      <c r="AF2017" s="4">
        <v>0</v>
      </c>
      <c r="AG2017" s="4">
        <v>0</v>
      </c>
      <c r="AH2017" s="4">
        <v>18</v>
      </c>
      <c r="AI2017" s="4">
        <v>18</v>
      </c>
      <c r="AJ2017" s="4">
        <v>1</v>
      </c>
      <c r="AK2017" s="4">
        <v>1</v>
      </c>
      <c r="AL2017" s="4">
        <v>15</v>
      </c>
      <c r="AM2017" s="4">
        <v>15</v>
      </c>
      <c r="AN2017" s="4">
        <v>0</v>
      </c>
      <c r="AO2017" s="4">
        <v>0</v>
      </c>
      <c r="AP2017" s="4">
        <v>1</v>
      </c>
      <c r="AQ2017" s="4">
        <v>1</v>
      </c>
      <c r="AR2017" s="3" t="s">
        <v>65</v>
      </c>
      <c r="AS2017" s="3" t="s">
        <v>65</v>
      </c>
      <c r="AT2017" s="3" t="s">
        <v>65</v>
      </c>
      <c r="AV2017" s="6" t="str">
        <f>HYPERLINK("http://mcgill.on.worldcat.org/oclc/707959780","Catalog Record")</f>
        <v>Catalog Record</v>
      </c>
      <c r="AW2017" s="6" t="str">
        <f>HYPERLINK("http://www.worldcat.org/oclc/707959780","WorldCat Record")</f>
        <v>WorldCat Record</v>
      </c>
      <c r="AX2017" s="3" t="s">
        <v>19715</v>
      </c>
      <c r="AY2017" s="3" t="s">
        <v>19716</v>
      </c>
      <c r="AZ2017" s="3" t="s">
        <v>19717</v>
      </c>
      <c r="BA2017" s="3" t="s">
        <v>19717</v>
      </c>
      <c r="BB2017" s="3" t="s">
        <v>19718</v>
      </c>
      <c r="BC2017" s="3" t="s">
        <v>77</v>
      </c>
      <c r="BD2017" s="3" t="s">
        <v>78</v>
      </c>
      <c r="BE2017" s="3" t="s">
        <v>19719</v>
      </c>
      <c r="BF2017" s="3" t="s">
        <v>19718</v>
      </c>
      <c r="BG2017" s="3" t="s">
        <v>19720</v>
      </c>
    </row>
    <row r="2018" spans="1:59" ht="58" x14ac:dyDescent="0.35">
      <c r="A2018" s="2" t="s">
        <v>59</v>
      </c>
      <c r="B2018" s="2" t="s">
        <v>60</v>
      </c>
      <c r="C2018" s="2" t="s">
        <v>19721</v>
      </c>
      <c r="D2018" s="2" t="s">
        <v>19722</v>
      </c>
      <c r="E2018" s="2" t="s">
        <v>19723</v>
      </c>
      <c r="G2018" s="3" t="s">
        <v>65</v>
      </c>
      <c r="I2018" s="3" t="s">
        <v>65</v>
      </c>
      <c r="J2018" s="3" t="s">
        <v>65</v>
      </c>
      <c r="K2018" s="3" t="s">
        <v>66</v>
      </c>
      <c r="M2018" s="2" t="s">
        <v>19724</v>
      </c>
      <c r="N2018" s="3" t="s">
        <v>3385</v>
      </c>
      <c r="P2018" s="3" t="s">
        <v>140</v>
      </c>
      <c r="Q2018" s="2" t="s">
        <v>3947</v>
      </c>
      <c r="R2018" s="3" t="s">
        <v>71</v>
      </c>
      <c r="S2018" s="4">
        <v>3</v>
      </c>
      <c r="T2018" s="4">
        <v>3</v>
      </c>
      <c r="U2018" s="5" t="s">
        <v>19659</v>
      </c>
      <c r="V2018" s="5" t="s">
        <v>19659</v>
      </c>
      <c r="W2018" s="5" t="s">
        <v>72</v>
      </c>
      <c r="X2018" s="5" t="s">
        <v>72</v>
      </c>
      <c r="Y2018" s="4">
        <v>57</v>
      </c>
      <c r="Z2018" s="4">
        <v>4</v>
      </c>
      <c r="AA2018" s="4">
        <v>4</v>
      </c>
      <c r="AB2018" s="4">
        <v>1</v>
      </c>
      <c r="AC2018" s="4">
        <v>1</v>
      </c>
      <c r="AD2018" s="4">
        <v>38</v>
      </c>
      <c r="AE2018" s="4">
        <v>38</v>
      </c>
      <c r="AF2018" s="4">
        <v>0</v>
      </c>
      <c r="AG2018" s="4">
        <v>0</v>
      </c>
      <c r="AH2018" s="4">
        <v>36</v>
      </c>
      <c r="AI2018" s="4">
        <v>36</v>
      </c>
      <c r="AJ2018" s="4">
        <v>2</v>
      </c>
      <c r="AK2018" s="4">
        <v>2</v>
      </c>
      <c r="AL2018" s="4">
        <v>30</v>
      </c>
      <c r="AM2018" s="4">
        <v>30</v>
      </c>
      <c r="AN2018" s="4">
        <v>0</v>
      </c>
      <c r="AO2018" s="4">
        <v>0</v>
      </c>
      <c r="AP2018" s="4">
        <v>2</v>
      </c>
      <c r="AQ2018" s="4">
        <v>2</v>
      </c>
      <c r="AR2018" s="3" t="s">
        <v>65</v>
      </c>
      <c r="AS2018" s="3" t="s">
        <v>65</v>
      </c>
      <c r="AT2018" s="3" t="s">
        <v>209</v>
      </c>
      <c r="AU2018" s="6" t="str">
        <f>HYPERLINK("http://catalog.hathitrust.org/Record/004084616","HathiTrust Record")</f>
        <v>HathiTrust Record</v>
      </c>
      <c r="AV2018" s="6" t="str">
        <f>HYPERLINK("http://mcgill.on.worldcat.org/oclc/43082867","Catalog Record")</f>
        <v>Catalog Record</v>
      </c>
      <c r="AW2018" s="6" t="str">
        <f>HYPERLINK("http://www.worldcat.org/oclc/43082867","WorldCat Record")</f>
        <v>WorldCat Record</v>
      </c>
      <c r="AX2018" s="3" t="s">
        <v>19725</v>
      </c>
      <c r="AY2018" s="3" t="s">
        <v>19726</v>
      </c>
      <c r="AZ2018" s="3" t="s">
        <v>19727</v>
      </c>
      <c r="BA2018" s="3" t="s">
        <v>19727</v>
      </c>
      <c r="BB2018" s="3" t="s">
        <v>19728</v>
      </c>
      <c r="BC2018" s="3" t="s">
        <v>77</v>
      </c>
      <c r="BD2018" s="3" t="s">
        <v>78</v>
      </c>
      <c r="BE2018" s="3" t="s">
        <v>19729</v>
      </c>
      <c r="BF2018" s="3" t="s">
        <v>19728</v>
      </c>
      <c r="BG2018" s="3" t="s">
        <v>19730</v>
      </c>
    </row>
    <row r="2019" spans="1:59" ht="58" x14ac:dyDescent="0.35">
      <c r="A2019" s="2" t="s">
        <v>59</v>
      </c>
      <c r="B2019" s="2" t="s">
        <v>60</v>
      </c>
      <c r="C2019" s="2" t="s">
        <v>19731</v>
      </c>
      <c r="D2019" s="2" t="s">
        <v>19732</v>
      </c>
      <c r="E2019" s="2" t="s">
        <v>19733</v>
      </c>
      <c r="G2019" s="3" t="s">
        <v>65</v>
      </c>
      <c r="I2019" s="3" t="s">
        <v>65</v>
      </c>
      <c r="J2019" s="3" t="s">
        <v>65</v>
      </c>
      <c r="K2019" s="3" t="s">
        <v>66</v>
      </c>
      <c r="M2019" s="2" t="s">
        <v>19734</v>
      </c>
      <c r="N2019" s="3" t="s">
        <v>1944</v>
      </c>
      <c r="P2019" s="3" t="s">
        <v>140</v>
      </c>
      <c r="R2019" s="3" t="s">
        <v>71</v>
      </c>
      <c r="S2019" s="4">
        <v>2</v>
      </c>
      <c r="T2019" s="4">
        <v>2</v>
      </c>
      <c r="U2019" s="5" t="s">
        <v>16402</v>
      </c>
      <c r="V2019" s="5" t="s">
        <v>16402</v>
      </c>
      <c r="W2019" s="5" t="s">
        <v>72</v>
      </c>
      <c r="X2019" s="5" t="s">
        <v>72</v>
      </c>
      <c r="Y2019" s="4">
        <v>50</v>
      </c>
      <c r="Z2019" s="4">
        <v>5</v>
      </c>
      <c r="AA2019" s="4">
        <v>5</v>
      </c>
      <c r="AB2019" s="4">
        <v>3</v>
      </c>
      <c r="AC2019" s="4">
        <v>3</v>
      </c>
      <c r="AD2019" s="4">
        <v>36</v>
      </c>
      <c r="AE2019" s="4">
        <v>36</v>
      </c>
      <c r="AF2019" s="4">
        <v>1</v>
      </c>
      <c r="AG2019" s="4">
        <v>1</v>
      </c>
      <c r="AH2019" s="4">
        <v>34</v>
      </c>
      <c r="AI2019" s="4">
        <v>34</v>
      </c>
      <c r="AJ2019" s="4">
        <v>2</v>
      </c>
      <c r="AK2019" s="4">
        <v>2</v>
      </c>
      <c r="AL2019" s="4">
        <v>30</v>
      </c>
      <c r="AM2019" s="4">
        <v>30</v>
      </c>
      <c r="AN2019" s="4">
        <v>0</v>
      </c>
      <c r="AO2019" s="4">
        <v>0</v>
      </c>
      <c r="AP2019" s="4">
        <v>2</v>
      </c>
      <c r="AQ2019" s="4">
        <v>2</v>
      </c>
      <c r="AR2019" s="3" t="s">
        <v>65</v>
      </c>
      <c r="AS2019" s="3" t="s">
        <v>65</v>
      </c>
      <c r="AT2019" s="3" t="s">
        <v>209</v>
      </c>
      <c r="AU2019" s="6" t="str">
        <f>HYPERLINK("http://catalog.hathitrust.org/Record/004173897","HathiTrust Record")</f>
        <v>HathiTrust Record</v>
      </c>
      <c r="AV2019" s="6" t="str">
        <f>HYPERLINK("http://mcgill.on.worldcat.org/oclc/46481944","Catalog Record")</f>
        <v>Catalog Record</v>
      </c>
      <c r="AW2019" s="6" t="str">
        <f>HYPERLINK("http://www.worldcat.org/oclc/46481944","WorldCat Record")</f>
        <v>WorldCat Record</v>
      </c>
      <c r="AX2019" s="3" t="s">
        <v>19735</v>
      </c>
      <c r="AY2019" s="3" t="s">
        <v>19736</v>
      </c>
      <c r="AZ2019" s="3" t="s">
        <v>19737</v>
      </c>
      <c r="BA2019" s="3" t="s">
        <v>19737</v>
      </c>
      <c r="BB2019" s="3" t="s">
        <v>19738</v>
      </c>
      <c r="BC2019" s="3" t="s">
        <v>77</v>
      </c>
      <c r="BD2019" s="3" t="s">
        <v>78</v>
      </c>
      <c r="BF2019" s="3" t="s">
        <v>19738</v>
      </c>
      <c r="BG2019" s="3" t="s">
        <v>19739</v>
      </c>
    </row>
    <row r="2020" spans="1:59" ht="58" x14ac:dyDescent="0.35">
      <c r="A2020" s="2" t="s">
        <v>59</v>
      </c>
      <c r="B2020" s="2" t="s">
        <v>60</v>
      </c>
      <c r="C2020" s="2" t="s">
        <v>19740</v>
      </c>
      <c r="D2020" s="2" t="s">
        <v>19741</v>
      </c>
      <c r="E2020" s="2" t="s">
        <v>19742</v>
      </c>
      <c r="G2020" s="3" t="s">
        <v>65</v>
      </c>
      <c r="I2020" s="3" t="s">
        <v>65</v>
      </c>
      <c r="J2020" s="3" t="s">
        <v>65</v>
      </c>
      <c r="K2020" s="3" t="s">
        <v>66</v>
      </c>
      <c r="L2020" s="2" t="s">
        <v>19743</v>
      </c>
      <c r="M2020" s="2" t="s">
        <v>19744</v>
      </c>
      <c r="N2020" s="3" t="s">
        <v>139</v>
      </c>
      <c r="P2020" s="3" t="s">
        <v>140</v>
      </c>
      <c r="Q2020" s="2" t="s">
        <v>19745</v>
      </c>
      <c r="R2020" s="3" t="s">
        <v>71</v>
      </c>
      <c r="S2020" s="4">
        <v>0</v>
      </c>
      <c r="T2020" s="4">
        <v>0</v>
      </c>
      <c r="W2020" s="5" t="s">
        <v>72</v>
      </c>
      <c r="X2020" s="5" t="s">
        <v>72</v>
      </c>
      <c r="Y2020" s="4">
        <v>41</v>
      </c>
      <c r="Z2020" s="4">
        <v>4</v>
      </c>
      <c r="AA2020" s="4">
        <v>4</v>
      </c>
      <c r="AB2020" s="4">
        <v>1</v>
      </c>
      <c r="AC2020" s="4">
        <v>1</v>
      </c>
      <c r="AD2020" s="4">
        <v>30</v>
      </c>
      <c r="AE2020" s="4">
        <v>30</v>
      </c>
      <c r="AF2020" s="4">
        <v>0</v>
      </c>
      <c r="AG2020" s="4">
        <v>0</v>
      </c>
      <c r="AH2020" s="4">
        <v>29</v>
      </c>
      <c r="AI2020" s="4">
        <v>29</v>
      </c>
      <c r="AJ2020" s="4">
        <v>2</v>
      </c>
      <c r="AK2020" s="4">
        <v>2</v>
      </c>
      <c r="AL2020" s="4">
        <v>22</v>
      </c>
      <c r="AM2020" s="4">
        <v>22</v>
      </c>
      <c r="AN2020" s="4">
        <v>0</v>
      </c>
      <c r="AO2020" s="4">
        <v>0</v>
      </c>
      <c r="AP2020" s="4">
        <v>2</v>
      </c>
      <c r="AQ2020" s="4">
        <v>2</v>
      </c>
      <c r="AR2020" s="3" t="s">
        <v>65</v>
      </c>
      <c r="AS2020" s="3" t="s">
        <v>65</v>
      </c>
      <c r="AT2020" s="3" t="s">
        <v>65</v>
      </c>
      <c r="AV2020" s="6" t="str">
        <f>HYPERLINK("http://mcgill.on.worldcat.org/oclc/792795484","Catalog Record")</f>
        <v>Catalog Record</v>
      </c>
      <c r="AW2020" s="6" t="str">
        <f>HYPERLINK("http://www.worldcat.org/oclc/792795484","WorldCat Record")</f>
        <v>WorldCat Record</v>
      </c>
      <c r="AX2020" s="3" t="s">
        <v>19746</v>
      </c>
      <c r="AY2020" s="3" t="s">
        <v>19747</v>
      </c>
      <c r="AZ2020" s="3" t="s">
        <v>19748</v>
      </c>
      <c r="BA2020" s="3" t="s">
        <v>19748</v>
      </c>
      <c r="BB2020" s="3" t="s">
        <v>19749</v>
      </c>
      <c r="BC2020" s="3" t="s">
        <v>77</v>
      </c>
      <c r="BD2020" s="3" t="s">
        <v>78</v>
      </c>
      <c r="BE2020" s="3" t="s">
        <v>19750</v>
      </c>
      <c r="BF2020" s="3" t="s">
        <v>19749</v>
      </c>
      <c r="BG2020" s="3" t="s">
        <v>19751</v>
      </c>
    </row>
    <row r="2021" spans="1:59" ht="58" x14ac:dyDescent="0.35">
      <c r="A2021" s="2" t="s">
        <v>59</v>
      </c>
      <c r="B2021" s="2" t="s">
        <v>60</v>
      </c>
      <c r="C2021" s="2" t="s">
        <v>19752</v>
      </c>
      <c r="D2021" s="2" t="s">
        <v>19753</v>
      </c>
      <c r="E2021" s="2" t="s">
        <v>19754</v>
      </c>
      <c r="G2021" s="3" t="s">
        <v>65</v>
      </c>
      <c r="I2021" s="3" t="s">
        <v>65</v>
      </c>
      <c r="J2021" s="3" t="s">
        <v>65</v>
      </c>
      <c r="K2021" s="3" t="s">
        <v>66</v>
      </c>
      <c r="M2021" s="2" t="s">
        <v>19755</v>
      </c>
      <c r="N2021" s="3" t="s">
        <v>176</v>
      </c>
      <c r="O2021" s="2" t="s">
        <v>235</v>
      </c>
      <c r="P2021" s="3" t="s">
        <v>140</v>
      </c>
      <c r="Q2021" s="2" t="s">
        <v>19756</v>
      </c>
      <c r="R2021" s="3" t="s">
        <v>71</v>
      </c>
      <c r="S2021" s="4">
        <v>0</v>
      </c>
      <c r="T2021" s="4">
        <v>0</v>
      </c>
      <c r="W2021" s="5" t="s">
        <v>72</v>
      </c>
      <c r="X2021" s="5" t="s">
        <v>72</v>
      </c>
      <c r="Y2021" s="4">
        <v>31</v>
      </c>
      <c r="Z2021" s="4">
        <v>4</v>
      </c>
      <c r="AA2021" s="4">
        <v>4</v>
      </c>
      <c r="AB2021" s="4">
        <v>1</v>
      </c>
      <c r="AC2021" s="4">
        <v>1</v>
      </c>
      <c r="AD2021" s="4">
        <v>23</v>
      </c>
      <c r="AE2021" s="4">
        <v>23</v>
      </c>
      <c r="AF2021" s="4">
        <v>0</v>
      </c>
      <c r="AG2021" s="4">
        <v>0</v>
      </c>
      <c r="AH2021" s="4">
        <v>22</v>
      </c>
      <c r="AI2021" s="4">
        <v>22</v>
      </c>
      <c r="AJ2021" s="4">
        <v>2</v>
      </c>
      <c r="AK2021" s="4">
        <v>2</v>
      </c>
      <c r="AL2021" s="4">
        <v>16</v>
      </c>
      <c r="AM2021" s="4">
        <v>16</v>
      </c>
      <c r="AN2021" s="4">
        <v>0</v>
      </c>
      <c r="AO2021" s="4">
        <v>0</v>
      </c>
      <c r="AP2021" s="4">
        <v>2</v>
      </c>
      <c r="AQ2021" s="4">
        <v>2</v>
      </c>
      <c r="AR2021" s="3" t="s">
        <v>65</v>
      </c>
      <c r="AS2021" s="3" t="s">
        <v>65</v>
      </c>
      <c r="AT2021" s="3" t="s">
        <v>65</v>
      </c>
      <c r="AV2021" s="6" t="str">
        <f>HYPERLINK("http://mcgill.on.worldcat.org/oclc/913745306","Catalog Record")</f>
        <v>Catalog Record</v>
      </c>
      <c r="AW2021" s="6" t="str">
        <f>HYPERLINK("http://www.worldcat.org/oclc/913745306","WorldCat Record")</f>
        <v>WorldCat Record</v>
      </c>
      <c r="AX2021" s="3" t="s">
        <v>19757</v>
      </c>
      <c r="AY2021" s="3" t="s">
        <v>19758</v>
      </c>
      <c r="AZ2021" s="3" t="s">
        <v>19759</v>
      </c>
      <c r="BA2021" s="3" t="s">
        <v>19759</v>
      </c>
      <c r="BB2021" s="3" t="s">
        <v>19760</v>
      </c>
      <c r="BC2021" s="3" t="s">
        <v>77</v>
      </c>
      <c r="BD2021" s="3" t="s">
        <v>78</v>
      </c>
      <c r="BE2021" s="3" t="s">
        <v>19761</v>
      </c>
      <c r="BF2021" s="3" t="s">
        <v>19760</v>
      </c>
      <c r="BG2021" s="3" t="s">
        <v>19762</v>
      </c>
    </row>
    <row r="2022" spans="1:59" ht="58" x14ac:dyDescent="0.35">
      <c r="A2022" s="2" t="s">
        <v>59</v>
      </c>
      <c r="B2022" s="2" t="s">
        <v>60</v>
      </c>
      <c r="C2022" s="2" t="s">
        <v>19763</v>
      </c>
      <c r="D2022" s="2" t="s">
        <v>19764</v>
      </c>
      <c r="E2022" s="2" t="s">
        <v>19765</v>
      </c>
      <c r="G2022" s="3" t="s">
        <v>65</v>
      </c>
      <c r="I2022" s="3" t="s">
        <v>65</v>
      </c>
      <c r="J2022" s="3" t="s">
        <v>65</v>
      </c>
      <c r="K2022" s="3" t="s">
        <v>66</v>
      </c>
      <c r="M2022" s="2" t="s">
        <v>19766</v>
      </c>
      <c r="N2022" s="3" t="s">
        <v>152</v>
      </c>
      <c r="P2022" s="3" t="s">
        <v>140</v>
      </c>
      <c r="Q2022" s="2" t="s">
        <v>19767</v>
      </c>
      <c r="R2022" s="3" t="s">
        <v>71</v>
      </c>
      <c r="S2022" s="4">
        <v>0</v>
      </c>
      <c r="T2022" s="4">
        <v>0</v>
      </c>
      <c r="W2022" s="5" t="s">
        <v>72</v>
      </c>
      <c r="X2022" s="5" t="s">
        <v>72</v>
      </c>
      <c r="Y2022" s="4">
        <v>9</v>
      </c>
      <c r="Z2022" s="4">
        <v>1</v>
      </c>
      <c r="AA2022" s="4">
        <v>4</v>
      </c>
      <c r="AB2022" s="4">
        <v>1</v>
      </c>
      <c r="AC2022" s="4">
        <v>1</v>
      </c>
      <c r="AD2022" s="4">
        <v>2</v>
      </c>
      <c r="AE2022" s="4">
        <v>24</v>
      </c>
      <c r="AF2022" s="4">
        <v>0</v>
      </c>
      <c r="AG2022" s="4">
        <v>0</v>
      </c>
      <c r="AH2022" s="4">
        <v>2</v>
      </c>
      <c r="AI2022" s="4">
        <v>23</v>
      </c>
      <c r="AJ2022" s="4">
        <v>0</v>
      </c>
      <c r="AK2022" s="4">
        <v>2</v>
      </c>
      <c r="AL2022" s="4">
        <v>2</v>
      </c>
      <c r="AM2022" s="4">
        <v>20</v>
      </c>
      <c r="AN2022" s="4">
        <v>0</v>
      </c>
      <c r="AO2022" s="4">
        <v>0</v>
      </c>
      <c r="AP2022" s="4">
        <v>0</v>
      </c>
      <c r="AQ2022" s="4">
        <v>2</v>
      </c>
      <c r="AR2022" s="3" t="s">
        <v>65</v>
      </c>
      <c r="AS2022" s="3" t="s">
        <v>65</v>
      </c>
      <c r="AT2022" s="3" t="s">
        <v>65</v>
      </c>
      <c r="AV2022" s="6" t="str">
        <f>HYPERLINK("http://mcgill.on.worldcat.org/oclc/828700687","Catalog Record")</f>
        <v>Catalog Record</v>
      </c>
      <c r="AW2022" s="6" t="str">
        <f>HYPERLINK("http://www.worldcat.org/oclc/828700687","WorldCat Record")</f>
        <v>WorldCat Record</v>
      </c>
      <c r="AX2022" s="3" t="s">
        <v>19768</v>
      </c>
      <c r="AY2022" s="3" t="s">
        <v>19769</v>
      </c>
      <c r="AZ2022" s="3" t="s">
        <v>19770</v>
      </c>
      <c r="BA2022" s="3" t="s">
        <v>19770</v>
      </c>
      <c r="BB2022" s="3" t="s">
        <v>19771</v>
      </c>
      <c r="BC2022" s="3" t="s">
        <v>77</v>
      </c>
      <c r="BD2022" s="3" t="s">
        <v>78</v>
      </c>
      <c r="BE2022" s="3" t="s">
        <v>19772</v>
      </c>
      <c r="BF2022" s="3" t="s">
        <v>19771</v>
      </c>
      <c r="BG2022" s="3" t="s">
        <v>19773</v>
      </c>
    </row>
    <row r="2023" spans="1:59" ht="58" x14ac:dyDescent="0.35">
      <c r="A2023" s="2" t="s">
        <v>59</v>
      </c>
      <c r="B2023" s="2" t="s">
        <v>60</v>
      </c>
      <c r="C2023" s="2" t="s">
        <v>19774</v>
      </c>
      <c r="D2023" s="2" t="s">
        <v>19775</v>
      </c>
      <c r="E2023" s="2" t="s">
        <v>19776</v>
      </c>
      <c r="G2023" s="3" t="s">
        <v>65</v>
      </c>
      <c r="I2023" s="3" t="s">
        <v>65</v>
      </c>
      <c r="J2023" s="3" t="s">
        <v>65</v>
      </c>
      <c r="K2023" s="3" t="s">
        <v>66</v>
      </c>
      <c r="L2023" s="2" t="s">
        <v>19777</v>
      </c>
      <c r="M2023" s="2" t="s">
        <v>19778</v>
      </c>
      <c r="N2023" s="3" t="s">
        <v>176</v>
      </c>
      <c r="P2023" s="3" t="s">
        <v>140</v>
      </c>
      <c r="Q2023" s="2" t="s">
        <v>19779</v>
      </c>
      <c r="R2023" s="3" t="s">
        <v>71</v>
      </c>
      <c r="S2023" s="4">
        <v>0</v>
      </c>
      <c r="T2023" s="4">
        <v>0</v>
      </c>
      <c r="W2023" s="5" t="s">
        <v>72</v>
      </c>
      <c r="X2023" s="5" t="s">
        <v>72</v>
      </c>
      <c r="Y2023" s="4">
        <v>19</v>
      </c>
      <c r="Z2023" s="4">
        <v>2</v>
      </c>
      <c r="AA2023" s="4">
        <v>2</v>
      </c>
      <c r="AB2023" s="4">
        <v>1</v>
      </c>
      <c r="AC2023" s="4">
        <v>1</v>
      </c>
      <c r="AD2023" s="4">
        <v>14</v>
      </c>
      <c r="AE2023" s="4">
        <v>14</v>
      </c>
      <c r="AF2023" s="4">
        <v>0</v>
      </c>
      <c r="AG2023" s="4">
        <v>0</v>
      </c>
      <c r="AH2023" s="4">
        <v>14</v>
      </c>
      <c r="AI2023" s="4">
        <v>14</v>
      </c>
      <c r="AJ2023" s="4">
        <v>1</v>
      </c>
      <c r="AK2023" s="4">
        <v>1</v>
      </c>
      <c r="AL2023" s="4">
        <v>10</v>
      </c>
      <c r="AM2023" s="4">
        <v>10</v>
      </c>
      <c r="AN2023" s="4">
        <v>0</v>
      </c>
      <c r="AO2023" s="4">
        <v>0</v>
      </c>
      <c r="AP2023" s="4">
        <v>1</v>
      </c>
      <c r="AQ2023" s="4">
        <v>1</v>
      </c>
      <c r="AR2023" s="3" t="s">
        <v>65</v>
      </c>
      <c r="AS2023" s="3" t="s">
        <v>65</v>
      </c>
      <c r="AT2023" s="3" t="s">
        <v>65</v>
      </c>
      <c r="AV2023" s="6" t="str">
        <f>HYPERLINK("http://mcgill.on.worldcat.org/oclc/936372044","Catalog Record")</f>
        <v>Catalog Record</v>
      </c>
      <c r="AW2023" s="6" t="str">
        <f>HYPERLINK("http://www.worldcat.org/oclc/936372044","WorldCat Record")</f>
        <v>WorldCat Record</v>
      </c>
      <c r="AX2023" s="3" t="s">
        <v>19780</v>
      </c>
      <c r="AY2023" s="3" t="s">
        <v>19781</v>
      </c>
      <c r="AZ2023" s="3" t="s">
        <v>19782</v>
      </c>
      <c r="BA2023" s="3" t="s">
        <v>19782</v>
      </c>
      <c r="BB2023" s="3" t="s">
        <v>19783</v>
      </c>
      <c r="BC2023" s="3" t="s">
        <v>77</v>
      </c>
      <c r="BD2023" s="3" t="s">
        <v>78</v>
      </c>
      <c r="BE2023" s="3" t="s">
        <v>19784</v>
      </c>
      <c r="BF2023" s="3" t="s">
        <v>19783</v>
      </c>
      <c r="BG2023" s="3" t="s">
        <v>19785</v>
      </c>
    </row>
    <row r="2024" spans="1:59" ht="58" x14ac:dyDescent="0.35">
      <c r="A2024" s="2" t="s">
        <v>59</v>
      </c>
      <c r="B2024" s="2" t="s">
        <v>60</v>
      </c>
      <c r="C2024" s="2" t="s">
        <v>19786</v>
      </c>
      <c r="D2024" s="2" t="s">
        <v>19787</v>
      </c>
      <c r="E2024" s="2" t="s">
        <v>19788</v>
      </c>
      <c r="G2024" s="3" t="s">
        <v>65</v>
      </c>
      <c r="I2024" s="3" t="s">
        <v>65</v>
      </c>
      <c r="J2024" s="3" t="s">
        <v>65</v>
      </c>
      <c r="K2024" s="3" t="s">
        <v>66</v>
      </c>
      <c r="L2024" s="2" t="s">
        <v>19789</v>
      </c>
      <c r="M2024" s="2" t="s">
        <v>19790</v>
      </c>
      <c r="N2024" s="3" t="s">
        <v>139</v>
      </c>
      <c r="P2024" s="3" t="s">
        <v>140</v>
      </c>
      <c r="R2024" s="3" t="s">
        <v>71</v>
      </c>
      <c r="S2024" s="4">
        <v>0</v>
      </c>
      <c r="T2024" s="4">
        <v>0</v>
      </c>
      <c r="W2024" s="5" t="s">
        <v>72</v>
      </c>
      <c r="X2024" s="5" t="s">
        <v>72</v>
      </c>
      <c r="Y2024" s="4">
        <v>40</v>
      </c>
      <c r="Z2024" s="4">
        <v>5</v>
      </c>
      <c r="AA2024" s="4">
        <v>5</v>
      </c>
      <c r="AB2024" s="4">
        <v>1</v>
      </c>
      <c r="AC2024" s="4">
        <v>1</v>
      </c>
      <c r="AD2024" s="4">
        <v>26</v>
      </c>
      <c r="AE2024" s="4">
        <v>26</v>
      </c>
      <c r="AF2024" s="4">
        <v>0</v>
      </c>
      <c r="AG2024" s="4">
        <v>0</v>
      </c>
      <c r="AH2024" s="4">
        <v>25</v>
      </c>
      <c r="AI2024" s="4">
        <v>25</v>
      </c>
      <c r="AJ2024" s="4">
        <v>2</v>
      </c>
      <c r="AK2024" s="4">
        <v>2</v>
      </c>
      <c r="AL2024" s="4">
        <v>18</v>
      </c>
      <c r="AM2024" s="4">
        <v>18</v>
      </c>
      <c r="AN2024" s="4">
        <v>0</v>
      </c>
      <c r="AO2024" s="4">
        <v>0</v>
      </c>
      <c r="AP2024" s="4">
        <v>2</v>
      </c>
      <c r="AQ2024" s="4">
        <v>2</v>
      </c>
      <c r="AR2024" s="3" t="s">
        <v>65</v>
      </c>
      <c r="AS2024" s="3" t="s">
        <v>65</v>
      </c>
      <c r="AT2024" s="3" t="s">
        <v>65</v>
      </c>
      <c r="AV2024" s="6" t="str">
        <f>HYPERLINK("http://mcgill.on.worldcat.org/oclc/793723458","Catalog Record")</f>
        <v>Catalog Record</v>
      </c>
      <c r="AW2024" s="6" t="str">
        <f>HYPERLINK("http://www.worldcat.org/oclc/793723458","WorldCat Record")</f>
        <v>WorldCat Record</v>
      </c>
      <c r="AX2024" s="3" t="s">
        <v>19791</v>
      </c>
      <c r="AY2024" s="3" t="s">
        <v>19792</v>
      </c>
      <c r="AZ2024" s="3" t="s">
        <v>19793</v>
      </c>
      <c r="BA2024" s="3" t="s">
        <v>19793</v>
      </c>
      <c r="BB2024" s="3" t="s">
        <v>19794</v>
      </c>
      <c r="BC2024" s="3" t="s">
        <v>77</v>
      </c>
      <c r="BD2024" s="3" t="s">
        <v>78</v>
      </c>
      <c r="BE2024" s="3" t="s">
        <v>19795</v>
      </c>
      <c r="BF2024" s="3" t="s">
        <v>19794</v>
      </c>
      <c r="BG2024" s="3" t="s">
        <v>19796</v>
      </c>
    </row>
    <row r="2025" spans="1:59" ht="58" x14ac:dyDescent="0.35">
      <c r="A2025" s="2" t="s">
        <v>59</v>
      </c>
      <c r="B2025" s="2" t="s">
        <v>60</v>
      </c>
      <c r="C2025" s="2" t="s">
        <v>19797</v>
      </c>
      <c r="D2025" s="2" t="s">
        <v>19798</v>
      </c>
      <c r="E2025" s="2" t="s">
        <v>19799</v>
      </c>
      <c r="G2025" s="3" t="s">
        <v>65</v>
      </c>
      <c r="I2025" s="3" t="s">
        <v>65</v>
      </c>
      <c r="J2025" s="3" t="s">
        <v>65</v>
      </c>
      <c r="K2025" s="3" t="s">
        <v>66</v>
      </c>
      <c r="L2025" s="2" t="s">
        <v>19800</v>
      </c>
      <c r="M2025" s="2" t="s">
        <v>19801</v>
      </c>
      <c r="N2025" s="3" t="s">
        <v>188</v>
      </c>
      <c r="P2025" s="3" t="s">
        <v>140</v>
      </c>
      <c r="Q2025" s="2" t="s">
        <v>565</v>
      </c>
      <c r="R2025" s="3" t="s">
        <v>71</v>
      </c>
      <c r="S2025" s="4">
        <v>0</v>
      </c>
      <c r="T2025" s="4">
        <v>0</v>
      </c>
      <c r="W2025" s="5" t="s">
        <v>72</v>
      </c>
      <c r="X2025" s="5" t="s">
        <v>72</v>
      </c>
      <c r="Y2025" s="4">
        <v>31</v>
      </c>
      <c r="Z2025" s="4">
        <v>2</v>
      </c>
      <c r="AA2025" s="4">
        <v>2</v>
      </c>
      <c r="AB2025" s="4">
        <v>1</v>
      </c>
      <c r="AC2025" s="4">
        <v>1</v>
      </c>
      <c r="AD2025" s="4">
        <v>25</v>
      </c>
      <c r="AE2025" s="4">
        <v>25</v>
      </c>
      <c r="AF2025" s="4">
        <v>0</v>
      </c>
      <c r="AG2025" s="4">
        <v>0</v>
      </c>
      <c r="AH2025" s="4">
        <v>24</v>
      </c>
      <c r="AI2025" s="4">
        <v>24</v>
      </c>
      <c r="AJ2025" s="4">
        <v>1</v>
      </c>
      <c r="AK2025" s="4">
        <v>1</v>
      </c>
      <c r="AL2025" s="4">
        <v>16</v>
      </c>
      <c r="AM2025" s="4">
        <v>16</v>
      </c>
      <c r="AN2025" s="4">
        <v>0</v>
      </c>
      <c r="AO2025" s="4">
        <v>0</v>
      </c>
      <c r="AP2025" s="4">
        <v>1</v>
      </c>
      <c r="AQ2025" s="4">
        <v>1</v>
      </c>
      <c r="AR2025" s="3" t="s">
        <v>65</v>
      </c>
      <c r="AS2025" s="3" t="s">
        <v>65</v>
      </c>
      <c r="AT2025" s="3" t="s">
        <v>65</v>
      </c>
      <c r="AV2025" s="6" t="str">
        <f>HYPERLINK("http://mcgill.on.worldcat.org/oclc/1009072165","Catalog Record")</f>
        <v>Catalog Record</v>
      </c>
      <c r="AW2025" s="6" t="str">
        <f>HYPERLINK("http://www.worldcat.org/oclc/1009072165","WorldCat Record")</f>
        <v>WorldCat Record</v>
      </c>
      <c r="AX2025" s="3" t="s">
        <v>19802</v>
      </c>
      <c r="AY2025" s="3" t="s">
        <v>19803</v>
      </c>
      <c r="AZ2025" s="3" t="s">
        <v>19804</v>
      </c>
      <c r="BA2025" s="3" t="s">
        <v>19804</v>
      </c>
      <c r="BB2025" s="3" t="s">
        <v>19805</v>
      </c>
      <c r="BC2025" s="3" t="s">
        <v>77</v>
      </c>
      <c r="BD2025" s="3" t="s">
        <v>78</v>
      </c>
      <c r="BE2025" s="3" t="s">
        <v>19806</v>
      </c>
      <c r="BF2025" s="3" t="s">
        <v>19805</v>
      </c>
      <c r="BG2025" s="3" t="s">
        <v>19807</v>
      </c>
    </row>
    <row r="2026" spans="1:59" ht="58" x14ac:dyDescent="0.35">
      <c r="A2026" s="2" t="s">
        <v>59</v>
      </c>
      <c r="B2026" s="2" t="s">
        <v>60</v>
      </c>
      <c r="C2026" s="2" t="s">
        <v>19808</v>
      </c>
      <c r="D2026" s="2" t="s">
        <v>19809</v>
      </c>
      <c r="E2026" s="2" t="s">
        <v>19810</v>
      </c>
      <c r="G2026" s="3" t="s">
        <v>65</v>
      </c>
      <c r="I2026" s="3" t="s">
        <v>65</v>
      </c>
      <c r="J2026" s="3" t="s">
        <v>65</v>
      </c>
      <c r="K2026" s="3" t="s">
        <v>66</v>
      </c>
      <c r="L2026" s="2" t="s">
        <v>19811</v>
      </c>
      <c r="M2026" s="2" t="s">
        <v>19812</v>
      </c>
      <c r="N2026" s="3" t="s">
        <v>139</v>
      </c>
      <c r="P2026" s="3" t="s">
        <v>140</v>
      </c>
      <c r="R2026" s="3" t="s">
        <v>71</v>
      </c>
      <c r="S2026" s="4">
        <v>0</v>
      </c>
      <c r="T2026" s="4">
        <v>0</v>
      </c>
      <c r="W2026" s="5" t="s">
        <v>72</v>
      </c>
      <c r="X2026" s="5" t="s">
        <v>72</v>
      </c>
      <c r="Y2026" s="4">
        <v>16</v>
      </c>
      <c r="Z2026" s="4">
        <v>3</v>
      </c>
      <c r="AA2026" s="4">
        <v>3</v>
      </c>
      <c r="AB2026" s="4">
        <v>1</v>
      </c>
      <c r="AC2026" s="4">
        <v>1</v>
      </c>
      <c r="AD2026" s="4">
        <v>12</v>
      </c>
      <c r="AE2026" s="4">
        <v>13</v>
      </c>
      <c r="AF2026" s="4">
        <v>0</v>
      </c>
      <c r="AG2026" s="4">
        <v>0</v>
      </c>
      <c r="AH2026" s="4">
        <v>12</v>
      </c>
      <c r="AI2026" s="4">
        <v>13</v>
      </c>
      <c r="AJ2026" s="4">
        <v>1</v>
      </c>
      <c r="AK2026" s="4">
        <v>1</v>
      </c>
      <c r="AL2026" s="4">
        <v>10</v>
      </c>
      <c r="AM2026" s="4">
        <v>11</v>
      </c>
      <c r="AN2026" s="4">
        <v>0</v>
      </c>
      <c r="AO2026" s="4">
        <v>0</v>
      </c>
      <c r="AP2026" s="4">
        <v>1</v>
      </c>
      <c r="AQ2026" s="4">
        <v>1</v>
      </c>
      <c r="AR2026" s="3" t="s">
        <v>65</v>
      </c>
      <c r="AS2026" s="3" t="s">
        <v>65</v>
      </c>
      <c r="AT2026" s="3" t="s">
        <v>65</v>
      </c>
      <c r="AV2026" s="6" t="str">
        <f>HYPERLINK("http://mcgill.on.worldcat.org/oclc/834494466","Catalog Record")</f>
        <v>Catalog Record</v>
      </c>
      <c r="AW2026" s="6" t="str">
        <f>HYPERLINK("http://www.worldcat.org/oclc/834494466","WorldCat Record")</f>
        <v>WorldCat Record</v>
      </c>
      <c r="AX2026" s="3" t="s">
        <v>19813</v>
      </c>
      <c r="AY2026" s="3" t="s">
        <v>19814</v>
      </c>
      <c r="AZ2026" s="3" t="s">
        <v>19815</v>
      </c>
      <c r="BA2026" s="3" t="s">
        <v>19815</v>
      </c>
      <c r="BB2026" s="3" t="s">
        <v>19816</v>
      </c>
      <c r="BC2026" s="3" t="s">
        <v>77</v>
      </c>
      <c r="BD2026" s="3" t="s">
        <v>78</v>
      </c>
      <c r="BE2026" s="3" t="s">
        <v>19817</v>
      </c>
      <c r="BF2026" s="3" t="s">
        <v>19816</v>
      </c>
      <c r="BG2026" s="3" t="s">
        <v>19818</v>
      </c>
    </row>
    <row r="2027" spans="1:59" ht="58" x14ac:dyDescent="0.35">
      <c r="A2027" s="2" t="s">
        <v>59</v>
      </c>
      <c r="B2027" s="2" t="s">
        <v>60</v>
      </c>
      <c r="C2027" s="2" t="s">
        <v>19819</v>
      </c>
      <c r="D2027" s="2" t="s">
        <v>19820</v>
      </c>
      <c r="E2027" s="2" t="s">
        <v>19821</v>
      </c>
      <c r="G2027" s="3" t="s">
        <v>65</v>
      </c>
      <c r="I2027" s="3" t="s">
        <v>65</v>
      </c>
      <c r="J2027" s="3" t="s">
        <v>65</v>
      </c>
      <c r="K2027" s="3" t="s">
        <v>66</v>
      </c>
      <c r="L2027" s="2" t="s">
        <v>19822</v>
      </c>
      <c r="M2027" s="2" t="s">
        <v>19823</v>
      </c>
      <c r="N2027" s="3" t="s">
        <v>139</v>
      </c>
      <c r="P2027" s="3" t="s">
        <v>140</v>
      </c>
      <c r="Q2027" s="2" t="s">
        <v>19824</v>
      </c>
      <c r="R2027" s="3" t="s">
        <v>71</v>
      </c>
      <c r="S2027" s="4">
        <v>0</v>
      </c>
      <c r="T2027" s="4">
        <v>0</v>
      </c>
      <c r="W2027" s="5" t="s">
        <v>72</v>
      </c>
      <c r="X2027" s="5" t="s">
        <v>72</v>
      </c>
      <c r="Y2027" s="4">
        <v>39</v>
      </c>
      <c r="Z2027" s="4">
        <v>4</v>
      </c>
      <c r="AA2027" s="4">
        <v>4</v>
      </c>
      <c r="AB2027" s="4">
        <v>1</v>
      </c>
      <c r="AC2027" s="4">
        <v>1</v>
      </c>
      <c r="AD2027" s="4">
        <v>24</v>
      </c>
      <c r="AE2027" s="4">
        <v>24</v>
      </c>
      <c r="AF2027" s="4">
        <v>0</v>
      </c>
      <c r="AG2027" s="4">
        <v>0</v>
      </c>
      <c r="AH2027" s="4">
        <v>24</v>
      </c>
      <c r="AI2027" s="4">
        <v>24</v>
      </c>
      <c r="AJ2027" s="4">
        <v>2</v>
      </c>
      <c r="AK2027" s="4">
        <v>2</v>
      </c>
      <c r="AL2027" s="4">
        <v>18</v>
      </c>
      <c r="AM2027" s="4">
        <v>18</v>
      </c>
      <c r="AN2027" s="4">
        <v>0</v>
      </c>
      <c r="AO2027" s="4">
        <v>0</v>
      </c>
      <c r="AP2027" s="4">
        <v>2</v>
      </c>
      <c r="AQ2027" s="4">
        <v>2</v>
      </c>
      <c r="AR2027" s="3" t="s">
        <v>65</v>
      </c>
      <c r="AS2027" s="3" t="s">
        <v>65</v>
      </c>
      <c r="AT2027" s="3" t="s">
        <v>65</v>
      </c>
      <c r="AV2027" s="6" t="str">
        <f>HYPERLINK("http://mcgill.on.worldcat.org/oclc/785335927","Catalog Record")</f>
        <v>Catalog Record</v>
      </c>
      <c r="AW2027" s="6" t="str">
        <f>HYPERLINK("http://www.worldcat.org/oclc/785335927","WorldCat Record")</f>
        <v>WorldCat Record</v>
      </c>
      <c r="AX2027" s="3" t="s">
        <v>19825</v>
      </c>
      <c r="AY2027" s="3" t="s">
        <v>19826</v>
      </c>
      <c r="AZ2027" s="3" t="s">
        <v>19827</v>
      </c>
      <c r="BA2027" s="3" t="s">
        <v>19827</v>
      </c>
      <c r="BB2027" s="3" t="s">
        <v>19828</v>
      </c>
      <c r="BC2027" s="3" t="s">
        <v>77</v>
      </c>
      <c r="BD2027" s="3" t="s">
        <v>78</v>
      </c>
      <c r="BE2027" s="3" t="s">
        <v>19829</v>
      </c>
      <c r="BF2027" s="3" t="s">
        <v>19828</v>
      </c>
      <c r="BG2027" s="3" t="s">
        <v>19830</v>
      </c>
    </row>
    <row r="2028" spans="1:59" ht="58" x14ac:dyDescent="0.35">
      <c r="A2028" s="2" t="s">
        <v>59</v>
      </c>
      <c r="B2028" s="2" t="s">
        <v>60</v>
      </c>
      <c r="C2028" s="2" t="s">
        <v>19831</v>
      </c>
      <c r="D2028" s="2" t="s">
        <v>19832</v>
      </c>
      <c r="E2028" s="2" t="s">
        <v>19833</v>
      </c>
      <c r="G2028" s="3" t="s">
        <v>65</v>
      </c>
      <c r="I2028" s="3" t="s">
        <v>65</v>
      </c>
      <c r="J2028" s="3" t="s">
        <v>65</v>
      </c>
      <c r="K2028" s="3" t="s">
        <v>66</v>
      </c>
      <c r="L2028" s="2" t="s">
        <v>19834</v>
      </c>
      <c r="M2028" s="2" t="s">
        <v>1270</v>
      </c>
      <c r="N2028" s="3" t="s">
        <v>139</v>
      </c>
      <c r="P2028" s="3" t="s">
        <v>140</v>
      </c>
      <c r="Q2028" s="2" t="s">
        <v>19835</v>
      </c>
      <c r="R2028" s="3" t="s">
        <v>71</v>
      </c>
      <c r="S2028" s="4">
        <v>0</v>
      </c>
      <c r="T2028" s="4">
        <v>0</v>
      </c>
      <c r="W2028" s="5" t="s">
        <v>72</v>
      </c>
      <c r="X2028" s="5" t="s">
        <v>72</v>
      </c>
      <c r="Y2028" s="4">
        <v>45</v>
      </c>
      <c r="Z2028" s="4">
        <v>5</v>
      </c>
      <c r="AA2028" s="4">
        <v>5</v>
      </c>
      <c r="AB2028" s="4">
        <v>1</v>
      </c>
      <c r="AC2028" s="4">
        <v>1</v>
      </c>
      <c r="AD2028" s="4">
        <v>28</v>
      </c>
      <c r="AE2028" s="4">
        <v>28</v>
      </c>
      <c r="AF2028" s="4">
        <v>0</v>
      </c>
      <c r="AG2028" s="4">
        <v>0</v>
      </c>
      <c r="AH2028" s="4">
        <v>27</v>
      </c>
      <c r="AI2028" s="4">
        <v>27</v>
      </c>
      <c r="AJ2028" s="4">
        <v>2</v>
      </c>
      <c r="AK2028" s="4">
        <v>2</v>
      </c>
      <c r="AL2028" s="4">
        <v>23</v>
      </c>
      <c r="AM2028" s="4">
        <v>23</v>
      </c>
      <c r="AN2028" s="4">
        <v>0</v>
      </c>
      <c r="AO2028" s="4">
        <v>0</v>
      </c>
      <c r="AP2028" s="4">
        <v>2</v>
      </c>
      <c r="AQ2028" s="4">
        <v>2</v>
      </c>
      <c r="AR2028" s="3" t="s">
        <v>65</v>
      </c>
      <c r="AS2028" s="3" t="s">
        <v>65</v>
      </c>
      <c r="AT2028" s="3" t="s">
        <v>65</v>
      </c>
      <c r="AV2028" s="6" t="str">
        <f>HYPERLINK("http://mcgill.on.worldcat.org/oclc/824727891","Catalog Record")</f>
        <v>Catalog Record</v>
      </c>
      <c r="AW2028" s="6" t="str">
        <f>HYPERLINK("http://www.worldcat.org/oclc/824727891","WorldCat Record")</f>
        <v>WorldCat Record</v>
      </c>
      <c r="AX2028" s="3" t="s">
        <v>19836</v>
      </c>
      <c r="AY2028" s="3" t="s">
        <v>19837</v>
      </c>
      <c r="AZ2028" s="3" t="s">
        <v>19838</v>
      </c>
      <c r="BA2028" s="3" t="s">
        <v>19838</v>
      </c>
      <c r="BB2028" s="3" t="s">
        <v>19839</v>
      </c>
      <c r="BC2028" s="3" t="s">
        <v>77</v>
      </c>
      <c r="BD2028" s="3" t="s">
        <v>78</v>
      </c>
      <c r="BE2028" s="3" t="s">
        <v>19840</v>
      </c>
      <c r="BF2028" s="3" t="s">
        <v>19839</v>
      </c>
      <c r="BG2028" s="3" t="s">
        <v>19841</v>
      </c>
    </row>
    <row r="2029" spans="1:59" ht="58" x14ac:dyDescent="0.35">
      <c r="A2029" s="2" t="s">
        <v>59</v>
      </c>
      <c r="B2029" s="2" t="s">
        <v>60</v>
      </c>
      <c r="C2029" s="2" t="s">
        <v>19842</v>
      </c>
      <c r="D2029" s="2" t="s">
        <v>19843</v>
      </c>
      <c r="E2029" s="2" t="s">
        <v>19844</v>
      </c>
      <c r="G2029" s="3" t="s">
        <v>65</v>
      </c>
      <c r="I2029" s="3" t="s">
        <v>65</v>
      </c>
      <c r="J2029" s="3" t="s">
        <v>65</v>
      </c>
      <c r="K2029" s="3" t="s">
        <v>66</v>
      </c>
      <c r="L2029" s="2" t="s">
        <v>19845</v>
      </c>
      <c r="M2029" s="2" t="s">
        <v>19846</v>
      </c>
      <c r="N2029" s="3" t="s">
        <v>139</v>
      </c>
      <c r="P2029" s="3" t="s">
        <v>140</v>
      </c>
      <c r="Q2029" s="2" t="s">
        <v>19847</v>
      </c>
      <c r="R2029" s="3" t="s">
        <v>71</v>
      </c>
      <c r="S2029" s="4">
        <v>0</v>
      </c>
      <c r="T2029" s="4">
        <v>0</v>
      </c>
      <c r="W2029" s="5" t="s">
        <v>72</v>
      </c>
      <c r="X2029" s="5" t="s">
        <v>72</v>
      </c>
      <c r="Y2029" s="4">
        <v>11</v>
      </c>
      <c r="Z2029" s="4">
        <v>1</v>
      </c>
      <c r="AA2029" s="4">
        <v>1</v>
      </c>
      <c r="AB2029" s="4">
        <v>1</v>
      </c>
      <c r="AC2029" s="4">
        <v>1</v>
      </c>
      <c r="AD2029" s="4">
        <v>5</v>
      </c>
      <c r="AE2029" s="4">
        <v>5</v>
      </c>
      <c r="AF2029" s="4">
        <v>0</v>
      </c>
      <c r="AG2029" s="4">
        <v>0</v>
      </c>
      <c r="AH2029" s="4">
        <v>5</v>
      </c>
      <c r="AI2029" s="4">
        <v>5</v>
      </c>
      <c r="AJ2029" s="4">
        <v>0</v>
      </c>
      <c r="AK2029" s="4">
        <v>0</v>
      </c>
      <c r="AL2029" s="4">
        <v>4</v>
      </c>
      <c r="AM2029" s="4">
        <v>4</v>
      </c>
      <c r="AN2029" s="4">
        <v>0</v>
      </c>
      <c r="AO2029" s="4">
        <v>0</v>
      </c>
      <c r="AP2029" s="4">
        <v>0</v>
      </c>
      <c r="AQ2029" s="4">
        <v>0</v>
      </c>
      <c r="AR2029" s="3" t="s">
        <v>65</v>
      </c>
      <c r="AS2029" s="3" t="s">
        <v>65</v>
      </c>
      <c r="AT2029" s="3" t="s">
        <v>65</v>
      </c>
      <c r="AV2029" s="6" t="str">
        <f>HYPERLINK("http://mcgill.on.worldcat.org/oclc/798609770","Catalog Record")</f>
        <v>Catalog Record</v>
      </c>
      <c r="AW2029" s="6" t="str">
        <f>HYPERLINK("http://www.worldcat.org/oclc/798609770","WorldCat Record")</f>
        <v>WorldCat Record</v>
      </c>
      <c r="AX2029" s="3" t="s">
        <v>19848</v>
      </c>
      <c r="AY2029" s="3" t="s">
        <v>19849</v>
      </c>
      <c r="AZ2029" s="3" t="s">
        <v>19850</v>
      </c>
      <c r="BA2029" s="3" t="s">
        <v>19850</v>
      </c>
      <c r="BB2029" s="3" t="s">
        <v>19851</v>
      </c>
      <c r="BC2029" s="3" t="s">
        <v>77</v>
      </c>
      <c r="BD2029" s="3" t="s">
        <v>78</v>
      </c>
      <c r="BE2029" s="3" t="s">
        <v>19852</v>
      </c>
      <c r="BF2029" s="3" t="s">
        <v>19851</v>
      </c>
      <c r="BG2029" s="3" t="s">
        <v>19853</v>
      </c>
    </row>
    <row r="2030" spans="1:59" ht="58" x14ac:dyDescent="0.35">
      <c r="A2030" s="2" t="s">
        <v>59</v>
      </c>
      <c r="B2030" s="2" t="s">
        <v>60</v>
      </c>
      <c r="C2030" s="2" t="s">
        <v>19854</v>
      </c>
      <c r="D2030" s="2" t="s">
        <v>19855</v>
      </c>
      <c r="E2030" s="2" t="s">
        <v>19856</v>
      </c>
      <c r="G2030" s="3" t="s">
        <v>65</v>
      </c>
      <c r="I2030" s="3" t="s">
        <v>65</v>
      </c>
      <c r="J2030" s="3" t="s">
        <v>65</v>
      </c>
      <c r="K2030" s="3" t="s">
        <v>66</v>
      </c>
      <c r="L2030" s="2" t="s">
        <v>19845</v>
      </c>
      <c r="M2030" s="2" t="s">
        <v>19857</v>
      </c>
      <c r="N2030" s="3" t="s">
        <v>126</v>
      </c>
      <c r="P2030" s="3" t="s">
        <v>140</v>
      </c>
      <c r="Q2030" s="2" t="s">
        <v>19858</v>
      </c>
      <c r="R2030" s="3" t="s">
        <v>71</v>
      </c>
      <c r="S2030" s="4">
        <v>0</v>
      </c>
      <c r="T2030" s="4">
        <v>0</v>
      </c>
      <c r="W2030" s="5" t="s">
        <v>72</v>
      </c>
      <c r="X2030" s="5" t="s">
        <v>72</v>
      </c>
      <c r="Y2030" s="4">
        <v>40</v>
      </c>
      <c r="Z2030" s="4">
        <v>5</v>
      </c>
      <c r="AA2030" s="4">
        <v>5</v>
      </c>
      <c r="AB2030" s="4">
        <v>1</v>
      </c>
      <c r="AC2030" s="4">
        <v>1</v>
      </c>
      <c r="AD2030" s="4">
        <v>25</v>
      </c>
      <c r="AE2030" s="4">
        <v>25</v>
      </c>
      <c r="AF2030" s="4">
        <v>0</v>
      </c>
      <c r="AG2030" s="4">
        <v>0</v>
      </c>
      <c r="AH2030" s="4">
        <v>24</v>
      </c>
      <c r="AI2030" s="4">
        <v>24</v>
      </c>
      <c r="AJ2030" s="4">
        <v>2</v>
      </c>
      <c r="AK2030" s="4">
        <v>2</v>
      </c>
      <c r="AL2030" s="4">
        <v>17</v>
      </c>
      <c r="AM2030" s="4">
        <v>17</v>
      </c>
      <c r="AN2030" s="4">
        <v>0</v>
      </c>
      <c r="AO2030" s="4">
        <v>0</v>
      </c>
      <c r="AP2030" s="4">
        <v>2</v>
      </c>
      <c r="AQ2030" s="4">
        <v>2</v>
      </c>
      <c r="AR2030" s="3" t="s">
        <v>65</v>
      </c>
      <c r="AS2030" s="3" t="s">
        <v>65</v>
      </c>
      <c r="AT2030" s="3" t="s">
        <v>65</v>
      </c>
      <c r="AV2030" s="6" t="str">
        <f>HYPERLINK("http://mcgill.on.worldcat.org/oclc/707959879","Catalog Record")</f>
        <v>Catalog Record</v>
      </c>
      <c r="AW2030" s="6" t="str">
        <f>HYPERLINK("http://www.worldcat.org/oclc/707959879","WorldCat Record")</f>
        <v>WorldCat Record</v>
      </c>
      <c r="AX2030" s="3" t="s">
        <v>19859</v>
      </c>
      <c r="AY2030" s="3" t="s">
        <v>19860</v>
      </c>
      <c r="AZ2030" s="3" t="s">
        <v>19861</v>
      </c>
      <c r="BA2030" s="3" t="s">
        <v>19861</v>
      </c>
      <c r="BB2030" s="3" t="s">
        <v>19862</v>
      </c>
      <c r="BC2030" s="3" t="s">
        <v>77</v>
      </c>
      <c r="BD2030" s="3" t="s">
        <v>78</v>
      </c>
      <c r="BE2030" s="3" t="s">
        <v>19863</v>
      </c>
      <c r="BF2030" s="3" t="s">
        <v>19862</v>
      </c>
      <c r="BG2030" s="3" t="s">
        <v>19864</v>
      </c>
    </row>
    <row r="2031" spans="1:59" ht="58" x14ac:dyDescent="0.35">
      <c r="A2031" s="2" t="s">
        <v>59</v>
      </c>
      <c r="B2031" s="2" t="s">
        <v>60</v>
      </c>
      <c r="C2031" s="2" t="s">
        <v>19865</v>
      </c>
      <c r="D2031" s="2" t="s">
        <v>19866</v>
      </c>
      <c r="E2031" s="2" t="s">
        <v>19867</v>
      </c>
      <c r="G2031" s="3" t="s">
        <v>65</v>
      </c>
      <c r="I2031" s="3" t="s">
        <v>65</v>
      </c>
      <c r="J2031" s="3" t="s">
        <v>65</v>
      </c>
      <c r="K2031" s="3" t="s">
        <v>66</v>
      </c>
      <c r="L2031" s="2" t="s">
        <v>19868</v>
      </c>
      <c r="M2031" s="2" t="s">
        <v>19869</v>
      </c>
      <c r="N2031" s="3" t="s">
        <v>113</v>
      </c>
      <c r="P2031" s="3" t="s">
        <v>140</v>
      </c>
      <c r="Q2031" s="2" t="s">
        <v>19870</v>
      </c>
      <c r="R2031" s="3" t="s">
        <v>71</v>
      </c>
      <c r="S2031" s="4">
        <v>0</v>
      </c>
      <c r="T2031" s="4">
        <v>0</v>
      </c>
      <c r="W2031" s="5" t="s">
        <v>72</v>
      </c>
      <c r="X2031" s="5" t="s">
        <v>72</v>
      </c>
      <c r="Y2031" s="4">
        <v>38</v>
      </c>
      <c r="Z2031" s="4">
        <v>5</v>
      </c>
      <c r="AA2031" s="4">
        <v>5</v>
      </c>
      <c r="AB2031" s="4">
        <v>1</v>
      </c>
      <c r="AC2031" s="4">
        <v>1</v>
      </c>
      <c r="AD2031" s="4">
        <v>28</v>
      </c>
      <c r="AE2031" s="4">
        <v>28</v>
      </c>
      <c r="AF2031" s="4">
        <v>0</v>
      </c>
      <c r="AG2031" s="4">
        <v>0</v>
      </c>
      <c r="AH2031" s="4">
        <v>27</v>
      </c>
      <c r="AI2031" s="4">
        <v>27</v>
      </c>
      <c r="AJ2031" s="4">
        <v>2</v>
      </c>
      <c r="AK2031" s="4">
        <v>2</v>
      </c>
      <c r="AL2031" s="4">
        <v>20</v>
      </c>
      <c r="AM2031" s="4">
        <v>20</v>
      </c>
      <c r="AN2031" s="4">
        <v>0</v>
      </c>
      <c r="AO2031" s="4">
        <v>0</v>
      </c>
      <c r="AP2031" s="4">
        <v>2</v>
      </c>
      <c r="AQ2031" s="4">
        <v>2</v>
      </c>
      <c r="AR2031" s="3" t="s">
        <v>65</v>
      </c>
      <c r="AS2031" s="3" t="s">
        <v>65</v>
      </c>
      <c r="AT2031" s="3" t="s">
        <v>65</v>
      </c>
      <c r="AV2031" s="6" t="str">
        <f>HYPERLINK("http://mcgill.on.worldcat.org/oclc/707959891","Catalog Record")</f>
        <v>Catalog Record</v>
      </c>
      <c r="AW2031" s="6" t="str">
        <f>HYPERLINK("http://www.worldcat.org/oclc/707959891","WorldCat Record")</f>
        <v>WorldCat Record</v>
      </c>
      <c r="AX2031" s="3" t="s">
        <v>19871</v>
      </c>
      <c r="AY2031" s="3" t="s">
        <v>19872</v>
      </c>
      <c r="AZ2031" s="3" t="s">
        <v>19873</v>
      </c>
      <c r="BA2031" s="3" t="s">
        <v>19873</v>
      </c>
      <c r="BB2031" s="3" t="s">
        <v>19874</v>
      </c>
      <c r="BC2031" s="3" t="s">
        <v>77</v>
      </c>
      <c r="BD2031" s="3" t="s">
        <v>78</v>
      </c>
      <c r="BE2031" s="3" t="s">
        <v>19875</v>
      </c>
      <c r="BF2031" s="3" t="s">
        <v>19874</v>
      </c>
      <c r="BG2031" s="3" t="s">
        <v>19876</v>
      </c>
    </row>
    <row r="2032" spans="1:59" ht="58" x14ac:dyDescent="0.35">
      <c r="A2032" s="2" t="s">
        <v>59</v>
      </c>
      <c r="B2032" s="2" t="s">
        <v>60</v>
      </c>
      <c r="C2032" s="2" t="s">
        <v>19877</v>
      </c>
      <c r="D2032" s="2" t="s">
        <v>19878</v>
      </c>
      <c r="E2032" s="2" t="s">
        <v>19879</v>
      </c>
      <c r="G2032" s="3" t="s">
        <v>65</v>
      </c>
      <c r="I2032" s="3" t="s">
        <v>65</v>
      </c>
      <c r="J2032" s="3" t="s">
        <v>65</v>
      </c>
      <c r="K2032" s="3" t="s">
        <v>66</v>
      </c>
      <c r="M2032" s="2" t="s">
        <v>19880</v>
      </c>
      <c r="N2032" s="3" t="s">
        <v>68</v>
      </c>
      <c r="P2032" s="3" t="s">
        <v>140</v>
      </c>
      <c r="Q2032" s="2" t="s">
        <v>19881</v>
      </c>
      <c r="R2032" s="3" t="s">
        <v>71</v>
      </c>
      <c r="S2032" s="4">
        <v>0</v>
      </c>
      <c r="T2032" s="4">
        <v>0</v>
      </c>
      <c r="W2032" s="5" t="s">
        <v>72</v>
      </c>
      <c r="X2032" s="5" t="s">
        <v>72</v>
      </c>
      <c r="Y2032" s="4">
        <v>8</v>
      </c>
      <c r="Z2032" s="4">
        <v>1</v>
      </c>
      <c r="AA2032" s="4">
        <v>1</v>
      </c>
      <c r="AB2032" s="4">
        <v>1</v>
      </c>
      <c r="AC2032" s="4">
        <v>1</v>
      </c>
      <c r="AD2032" s="4">
        <v>7</v>
      </c>
      <c r="AE2032" s="4">
        <v>7</v>
      </c>
      <c r="AF2032" s="4">
        <v>0</v>
      </c>
      <c r="AG2032" s="4">
        <v>0</v>
      </c>
      <c r="AH2032" s="4">
        <v>7</v>
      </c>
      <c r="AI2032" s="4">
        <v>7</v>
      </c>
      <c r="AJ2032" s="4">
        <v>0</v>
      </c>
      <c r="AK2032" s="4">
        <v>0</v>
      </c>
      <c r="AL2032" s="4">
        <v>5</v>
      </c>
      <c r="AM2032" s="4">
        <v>5</v>
      </c>
      <c r="AN2032" s="4">
        <v>0</v>
      </c>
      <c r="AO2032" s="4">
        <v>0</v>
      </c>
      <c r="AP2032" s="4">
        <v>0</v>
      </c>
      <c r="AQ2032" s="4">
        <v>0</v>
      </c>
      <c r="AR2032" s="3" t="s">
        <v>65</v>
      </c>
      <c r="AS2032" s="3" t="s">
        <v>65</v>
      </c>
      <c r="AT2032" s="3" t="s">
        <v>65</v>
      </c>
      <c r="AV2032" s="6" t="str">
        <f>HYPERLINK("http://mcgill.on.worldcat.org/oclc/981635849","Catalog Record")</f>
        <v>Catalog Record</v>
      </c>
      <c r="AW2032" s="6" t="str">
        <f>HYPERLINK("http://www.worldcat.org/oclc/981635849","WorldCat Record")</f>
        <v>WorldCat Record</v>
      </c>
      <c r="AX2032" s="3" t="s">
        <v>19882</v>
      </c>
      <c r="AY2032" s="3" t="s">
        <v>19883</v>
      </c>
      <c r="AZ2032" s="3" t="s">
        <v>19884</v>
      </c>
      <c r="BA2032" s="3" t="s">
        <v>19884</v>
      </c>
      <c r="BB2032" s="3" t="s">
        <v>19885</v>
      </c>
      <c r="BC2032" s="3" t="s">
        <v>77</v>
      </c>
      <c r="BD2032" s="3" t="s">
        <v>78</v>
      </c>
      <c r="BF2032" s="3" t="s">
        <v>19885</v>
      </c>
      <c r="BG2032" s="3" t="s">
        <v>19886</v>
      </c>
    </row>
    <row r="2033" spans="1:59" ht="58" x14ac:dyDescent="0.35">
      <c r="A2033" s="2" t="s">
        <v>59</v>
      </c>
      <c r="B2033" s="2" t="s">
        <v>60</v>
      </c>
      <c r="C2033" s="2" t="s">
        <v>19887</v>
      </c>
      <c r="D2033" s="2" t="s">
        <v>19888</v>
      </c>
      <c r="E2033" s="2" t="s">
        <v>19889</v>
      </c>
      <c r="G2033" s="3" t="s">
        <v>65</v>
      </c>
      <c r="I2033" s="3" t="s">
        <v>65</v>
      </c>
      <c r="J2033" s="3" t="s">
        <v>65</v>
      </c>
      <c r="K2033" s="3" t="s">
        <v>66</v>
      </c>
      <c r="L2033" s="2" t="s">
        <v>13456</v>
      </c>
      <c r="M2033" s="2" t="s">
        <v>4606</v>
      </c>
      <c r="N2033" s="3" t="s">
        <v>139</v>
      </c>
      <c r="P2033" s="3" t="s">
        <v>140</v>
      </c>
      <c r="Q2033" s="2" t="s">
        <v>19890</v>
      </c>
      <c r="R2033" s="3" t="s">
        <v>71</v>
      </c>
      <c r="S2033" s="4">
        <v>0</v>
      </c>
      <c r="T2033" s="4">
        <v>0</v>
      </c>
      <c r="W2033" s="5" t="s">
        <v>72</v>
      </c>
      <c r="X2033" s="5" t="s">
        <v>72</v>
      </c>
      <c r="Y2033" s="4">
        <v>63</v>
      </c>
      <c r="Z2033" s="4">
        <v>5</v>
      </c>
      <c r="AA2033" s="4">
        <v>5</v>
      </c>
      <c r="AB2033" s="4">
        <v>1</v>
      </c>
      <c r="AC2033" s="4">
        <v>1</v>
      </c>
      <c r="AD2033" s="4">
        <v>38</v>
      </c>
      <c r="AE2033" s="4">
        <v>38</v>
      </c>
      <c r="AF2033" s="4">
        <v>0</v>
      </c>
      <c r="AG2033" s="4">
        <v>0</v>
      </c>
      <c r="AH2033" s="4">
        <v>37</v>
      </c>
      <c r="AI2033" s="4">
        <v>37</v>
      </c>
      <c r="AJ2033" s="4">
        <v>2</v>
      </c>
      <c r="AK2033" s="4">
        <v>2</v>
      </c>
      <c r="AL2033" s="4">
        <v>29</v>
      </c>
      <c r="AM2033" s="4">
        <v>29</v>
      </c>
      <c r="AN2033" s="4">
        <v>0</v>
      </c>
      <c r="AO2033" s="4">
        <v>0</v>
      </c>
      <c r="AP2033" s="4">
        <v>2</v>
      </c>
      <c r="AQ2033" s="4">
        <v>2</v>
      </c>
      <c r="AR2033" s="3" t="s">
        <v>65</v>
      </c>
      <c r="AS2033" s="3" t="s">
        <v>65</v>
      </c>
      <c r="AT2033" s="3" t="s">
        <v>65</v>
      </c>
      <c r="AV2033" s="6" t="str">
        <f>HYPERLINK("http://mcgill.on.worldcat.org/oclc/783120435","Catalog Record")</f>
        <v>Catalog Record</v>
      </c>
      <c r="AW2033" s="6" t="str">
        <f>HYPERLINK("http://www.worldcat.org/oclc/783120435","WorldCat Record")</f>
        <v>WorldCat Record</v>
      </c>
      <c r="AX2033" s="3" t="s">
        <v>19891</v>
      </c>
      <c r="AY2033" s="3" t="s">
        <v>19892</v>
      </c>
      <c r="AZ2033" s="3" t="s">
        <v>19893</v>
      </c>
      <c r="BA2033" s="3" t="s">
        <v>19893</v>
      </c>
      <c r="BB2033" s="3" t="s">
        <v>19894</v>
      </c>
      <c r="BC2033" s="3" t="s">
        <v>77</v>
      </c>
      <c r="BD2033" s="3" t="s">
        <v>78</v>
      </c>
      <c r="BE2033" s="3" t="s">
        <v>19895</v>
      </c>
      <c r="BF2033" s="3" t="s">
        <v>19894</v>
      </c>
      <c r="BG2033" s="3" t="s">
        <v>19896</v>
      </c>
    </row>
    <row r="2034" spans="1:59" ht="58" x14ac:dyDescent="0.35">
      <c r="A2034" s="2" t="s">
        <v>59</v>
      </c>
      <c r="B2034" s="2" t="s">
        <v>60</v>
      </c>
      <c r="C2034" s="2" t="s">
        <v>19897</v>
      </c>
      <c r="D2034" s="2" t="s">
        <v>19898</v>
      </c>
      <c r="E2034" s="2" t="s">
        <v>19899</v>
      </c>
      <c r="G2034" s="3" t="s">
        <v>65</v>
      </c>
      <c r="I2034" s="3" t="s">
        <v>65</v>
      </c>
      <c r="J2034" s="3" t="s">
        <v>65</v>
      </c>
      <c r="K2034" s="3" t="s">
        <v>66</v>
      </c>
      <c r="L2034" s="2" t="s">
        <v>19900</v>
      </c>
      <c r="M2034" s="2" t="s">
        <v>19901</v>
      </c>
      <c r="N2034" s="3" t="s">
        <v>139</v>
      </c>
      <c r="O2034" s="2" t="s">
        <v>365</v>
      </c>
      <c r="P2034" s="3" t="s">
        <v>140</v>
      </c>
      <c r="Q2034" s="2" t="s">
        <v>19902</v>
      </c>
      <c r="R2034" s="3" t="s">
        <v>71</v>
      </c>
      <c r="S2034" s="4">
        <v>0</v>
      </c>
      <c r="T2034" s="4">
        <v>0</v>
      </c>
      <c r="W2034" s="5" t="s">
        <v>72</v>
      </c>
      <c r="X2034" s="5" t="s">
        <v>72</v>
      </c>
      <c r="Y2034" s="4">
        <v>29</v>
      </c>
      <c r="Z2034" s="4">
        <v>3</v>
      </c>
      <c r="AA2034" s="4">
        <v>3</v>
      </c>
      <c r="AB2034" s="4">
        <v>1</v>
      </c>
      <c r="AC2034" s="4">
        <v>1</v>
      </c>
      <c r="AD2034" s="4">
        <v>16</v>
      </c>
      <c r="AE2034" s="4">
        <v>16</v>
      </c>
      <c r="AF2034" s="4">
        <v>0</v>
      </c>
      <c r="AG2034" s="4">
        <v>0</v>
      </c>
      <c r="AH2034" s="4">
        <v>15</v>
      </c>
      <c r="AI2034" s="4">
        <v>15</v>
      </c>
      <c r="AJ2034" s="4">
        <v>1</v>
      </c>
      <c r="AK2034" s="4">
        <v>1</v>
      </c>
      <c r="AL2034" s="4">
        <v>13</v>
      </c>
      <c r="AM2034" s="4">
        <v>13</v>
      </c>
      <c r="AN2034" s="4">
        <v>0</v>
      </c>
      <c r="AO2034" s="4">
        <v>0</v>
      </c>
      <c r="AP2034" s="4">
        <v>1</v>
      </c>
      <c r="AQ2034" s="4">
        <v>1</v>
      </c>
      <c r="AR2034" s="3" t="s">
        <v>65</v>
      </c>
      <c r="AS2034" s="3" t="s">
        <v>65</v>
      </c>
      <c r="AT2034" s="3" t="s">
        <v>65</v>
      </c>
      <c r="AV2034" s="6" t="str">
        <f>HYPERLINK("http://mcgill.on.worldcat.org/oclc/819378088","Catalog Record")</f>
        <v>Catalog Record</v>
      </c>
      <c r="AW2034" s="6" t="str">
        <f>HYPERLINK("http://www.worldcat.org/oclc/819378088","WorldCat Record")</f>
        <v>WorldCat Record</v>
      </c>
      <c r="AX2034" s="3" t="s">
        <v>19903</v>
      </c>
      <c r="AY2034" s="3" t="s">
        <v>19904</v>
      </c>
      <c r="AZ2034" s="3" t="s">
        <v>19905</v>
      </c>
      <c r="BA2034" s="3" t="s">
        <v>19905</v>
      </c>
      <c r="BB2034" s="3" t="s">
        <v>19906</v>
      </c>
      <c r="BC2034" s="3" t="s">
        <v>77</v>
      </c>
      <c r="BD2034" s="3" t="s">
        <v>78</v>
      </c>
      <c r="BE2034" s="3" t="s">
        <v>19907</v>
      </c>
      <c r="BF2034" s="3" t="s">
        <v>19906</v>
      </c>
      <c r="BG2034" s="3" t="s">
        <v>19908</v>
      </c>
    </row>
    <row r="2035" spans="1:59" ht="58" x14ac:dyDescent="0.35">
      <c r="A2035" s="2" t="s">
        <v>59</v>
      </c>
      <c r="B2035" s="2" t="s">
        <v>60</v>
      </c>
      <c r="C2035" s="2" t="s">
        <v>19909</v>
      </c>
      <c r="D2035" s="2" t="s">
        <v>19910</v>
      </c>
      <c r="E2035" s="2" t="s">
        <v>19911</v>
      </c>
      <c r="G2035" s="3" t="s">
        <v>65</v>
      </c>
      <c r="I2035" s="3" t="s">
        <v>65</v>
      </c>
      <c r="J2035" s="3" t="s">
        <v>65</v>
      </c>
      <c r="K2035" s="3" t="s">
        <v>66</v>
      </c>
      <c r="L2035" s="2" t="s">
        <v>19912</v>
      </c>
      <c r="M2035" s="2" t="s">
        <v>4806</v>
      </c>
      <c r="N2035" s="3" t="s">
        <v>188</v>
      </c>
      <c r="P2035" s="3" t="s">
        <v>140</v>
      </c>
      <c r="Q2035" s="2" t="s">
        <v>19913</v>
      </c>
      <c r="R2035" s="3" t="s">
        <v>71</v>
      </c>
      <c r="S2035" s="4">
        <v>0</v>
      </c>
      <c r="T2035" s="4">
        <v>0</v>
      </c>
      <c r="W2035" s="5" t="s">
        <v>72</v>
      </c>
      <c r="X2035" s="5" t="s">
        <v>72</v>
      </c>
      <c r="Y2035" s="4">
        <v>29</v>
      </c>
      <c r="Z2035" s="4">
        <v>2</v>
      </c>
      <c r="AA2035" s="4">
        <v>2</v>
      </c>
      <c r="AB2035" s="4">
        <v>1</v>
      </c>
      <c r="AC2035" s="4">
        <v>1</v>
      </c>
      <c r="AD2035" s="4">
        <v>24</v>
      </c>
      <c r="AE2035" s="4">
        <v>24</v>
      </c>
      <c r="AF2035" s="4">
        <v>0</v>
      </c>
      <c r="AG2035" s="4">
        <v>0</v>
      </c>
      <c r="AH2035" s="4">
        <v>23</v>
      </c>
      <c r="AI2035" s="4">
        <v>23</v>
      </c>
      <c r="AJ2035" s="4">
        <v>1</v>
      </c>
      <c r="AK2035" s="4">
        <v>1</v>
      </c>
      <c r="AL2035" s="4">
        <v>17</v>
      </c>
      <c r="AM2035" s="4">
        <v>17</v>
      </c>
      <c r="AN2035" s="4">
        <v>0</v>
      </c>
      <c r="AO2035" s="4">
        <v>0</v>
      </c>
      <c r="AP2035" s="4">
        <v>1</v>
      </c>
      <c r="AQ2035" s="4">
        <v>1</v>
      </c>
      <c r="AR2035" s="3" t="s">
        <v>65</v>
      </c>
      <c r="AS2035" s="3" t="s">
        <v>65</v>
      </c>
      <c r="AT2035" s="3" t="s">
        <v>65</v>
      </c>
      <c r="AV2035" s="6" t="str">
        <f>HYPERLINK("http://mcgill.on.worldcat.org/oclc/993955000","Catalog Record")</f>
        <v>Catalog Record</v>
      </c>
      <c r="AW2035" s="6" t="str">
        <f>HYPERLINK("http://www.worldcat.org/oclc/993955000","WorldCat Record")</f>
        <v>WorldCat Record</v>
      </c>
      <c r="AX2035" s="3" t="s">
        <v>19914</v>
      </c>
      <c r="AY2035" s="3" t="s">
        <v>19915</v>
      </c>
      <c r="AZ2035" s="3" t="s">
        <v>19916</v>
      </c>
      <c r="BA2035" s="3" t="s">
        <v>19916</v>
      </c>
      <c r="BB2035" s="3" t="s">
        <v>19917</v>
      </c>
      <c r="BC2035" s="3" t="s">
        <v>77</v>
      </c>
      <c r="BD2035" s="3" t="s">
        <v>78</v>
      </c>
      <c r="BE2035" s="3" t="s">
        <v>19918</v>
      </c>
      <c r="BF2035" s="3" t="s">
        <v>19917</v>
      </c>
      <c r="BG2035" s="3" t="s">
        <v>19919</v>
      </c>
    </row>
    <row r="2036" spans="1:59" ht="58" x14ac:dyDescent="0.35">
      <c r="A2036" s="2" t="s">
        <v>59</v>
      </c>
      <c r="B2036" s="2" t="s">
        <v>60</v>
      </c>
      <c r="C2036" s="2" t="s">
        <v>19920</v>
      </c>
      <c r="D2036" s="2" t="s">
        <v>19921</v>
      </c>
      <c r="E2036" s="2" t="s">
        <v>19922</v>
      </c>
      <c r="G2036" s="3" t="s">
        <v>65</v>
      </c>
      <c r="I2036" s="3" t="s">
        <v>65</v>
      </c>
      <c r="J2036" s="3" t="s">
        <v>65</v>
      </c>
      <c r="K2036" s="3" t="s">
        <v>66</v>
      </c>
      <c r="L2036" s="2" t="s">
        <v>19923</v>
      </c>
      <c r="M2036" s="2" t="s">
        <v>19924</v>
      </c>
      <c r="N2036" s="3" t="s">
        <v>6681</v>
      </c>
      <c r="P2036" s="3" t="s">
        <v>140</v>
      </c>
      <c r="R2036" s="3" t="s">
        <v>71</v>
      </c>
      <c r="S2036" s="4">
        <v>3</v>
      </c>
      <c r="T2036" s="4">
        <v>3</v>
      </c>
      <c r="U2036" s="5" t="s">
        <v>1097</v>
      </c>
      <c r="V2036" s="5" t="s">
        <v>1097</v>
      </c>
      <c r="W2036" s="5" t="s">
        <v>72</v>
      </c>
      <c r="X2036" s="5" t="s">
        <v>72</v>
      </c>
      <c r="Y2036" s="4">
        <v>2</v>
      </c>
      <c r="Z2036" s="4">
        <v>1</v>
      </c>
      <c r="AA2036" s="4">
        <v>7</v>
      </c>
      <c r="AB2036" s="4">
        <v>1</v>
      </c>
      <c r="AC2036" s="4">
        <v>2</v>
      </c>
      <c r="AD2036" s="4">
        <v>0</v>
      </c>
      <c r="AE2036" s="4">
        <v>18</v>
      </c>
      <c r="AF2036" s="4">
        <v>0</v>
      </c>
      <c r="AG2036" s="4">
        <v>1</v>
      </c>
      <c r="AH2036" s="4">
        <v>0</v>
      </c>
      <c r="AI2036" s="4">
        <v>14</v>
      </c>
      <c r="AJ2036" s="4">
        <v>0</v>
      </c>
      <c r="AK2036" s="4">
        <v>5</v>
      </c>
      <c r="AL2036" s="4">
        <v>0</v>
      </c>
      <c r="AM2036" s="4">
        <v>10</v>
      </c>
      <c r="AN2036" s="4">
        <v>0</v>
      </c>
      <c r="AO2036" s="4">
        <v>0</v>
      </c>
      <c r="AP2036" s="4">
        <v>0</v>
      </c>
      <c r="AQ2036" s="4">
        <v>5</v>
      </c>
      <c r="AR2036" s="3" t="s">
        <v>65</v>
      </c>
      <c r="AS2036" s="3" t="s">
        <v>65</v>
      </c>
      <c r="AT2036" s="3" t="s">
        <v>65</v>
      </c>
      <c r="AV2036" s="6" t="str">
        <f>HYPERLINK("http://mcgill.on.worldcat.org/oclc/61585992","Catalog Record")</f>
        <v>Catalog Record</v>
      </c>
      <c r="AW2036" s="6" t="str">
        <f>HYPERLINK("http://www.worldcat.org/oclc/61585992","WorldCat Record")</f>
        <v>WorldCat Record</v>
      </c>
      <c r="AX2036" s="3" t="s">
        <v>19925</v>
      </c>
      <c r="AY2036" s="3" t="s">
        <v>19926</v>
      </c>
      <c r="AZ2036" s="3" t="s">
        <v>19927</v>
      </c>
      <c r="BA2036" s="3" t="s">
        <v>19927</v>
      </c>
      <c r="BB2036" s="3" t="s">
        <v>19928</v>
      </c>
      <c r="BC2036" s="3" t="s">
        <v>77</v>
      </c>
      <c r="BD2036" s="3" t="s">
        <v>78</v>
      </c>
      <c r="BF2036" s="3" t="s">
        <v>19928</v>
      </c>
      <c r="BG2036" s="3" t="s">
        <v>19929</v>
      </c>
    </row>
    <row r="2037" spans="1:59" ht="58" x14ac:dyDescent="0.35">
      <c r="A2037" s="2" t="s">
        <v>59</v>
      </c>
      <c r="B2037" s="2" t="s">
        <v>60</v>
      </c>
      <c r="C2037" s="2" t="s">
        <v>19930</v>
      </c>
      <c r="D2037" s="2" t="s">
        <v>19931</v>
      </c>
      <c r="E2037" s="2" t="s">
        <v>19932</v>
      </c>
      <c r="G2037" s="3" t="s">
        <v>65</v>
      </c>
      <c r="I2037" s="3" t="s">
        <v>65</v>
      </c>
      <c r="J2037" s="3" t="s">
        <v>65</v>
      </c>
      <c r="K2037" s="3" t="s">
        <v>66</v>
      </c>
      <c r="L2037" s="2" t="s">
        <v>19933</v>
      </c>
      <c r="M2037" s="2" t="s">
        <v>19934</v>
      </c>
      <c r="N2037" s="3" t="s">
        <v>152</v>
      </c>
      <c r="P2037" s="3" t="s">
        <v>140</v>
      </c>
      <c r="Q2037" s="2" t="s">
        <v>19935</v>
      </c>
      <c r="R2037" s="3" t="s">
        <v>71</v>
      </c>
      <c r="S2037" s="4">
        <v>0</v>
      </c>
      <c r="T2037" s="4">
        <v>0</v>
      </c>
      <c r="U2037" s="5" t="s">
        <v>2341</v>
      </c>
      <c r="V2037" s="5" t="s">
        <v>2341</v>
      </c>
      <c r="W2037" s="5" t="s">
        <v>72</v>
      </c>
      <c r="X2037" s="5" t="s">
        <v>72</v>
      </c>
      <c r="Y2037" s="4">
        <v>44</v>
      </c>
      <c r="Z2037" s="4">
        <v>5</v>
      </c>
      <c r="AA2037" s="4">
        <v>5</v>
      </c>
      <c r="AB2037" s="4">
        <v>1</v>
      </c>
      <c r="AC2037" s="4">
        <v>1</v>
      </c>
      <c r="AD2037" s="4">
        <v>29</v>
      </c>
      <c r="AE2037" s="4">
        <v>31</v>
      </c>
      <c r="AF2037" s="4">
        <v>0</v>
      </c>
      <c r="AG2037" s="4">
        <v>0</v>
      </c>
      <c r="AH2037" s="4">
        <v>28</v>
      </c>
      <c r="AI2037" s="4">
        <v>30</v>
      </c>
      <c r="AJ2037" s="4">
        <v>2</v>
      </c>
      <c r="AK2037" s="4">
        <v>2</v>
      </c>
      <c r="AL2037" s="4">
        <v>22</v>
      </c>
      <c r="AM2037" s="4">
        <v>24</v>
      </c>
      <c r="AN2037" s="4">
        <v>0</v>
      </c>
      <c r="AO2037" s="4">
        <v>0</v>
      </c>
      <c r="AP2037" s="4">
        <v>2</v>
      </c>
      <c r="AQ2037" s="4">
        <v>2</v>
      </c>
      <c r="AR2037" s="3" t="s">
        <v>65</v>
      </c>
      <c r="AS2037" s="3" t="s">
        <v>65</v>
      </c>
      <c r="AT2037" s="3" t="s">
        <v>65</v>
      </c>
      <c r="AV2037" s="6" t="str">
        <f>HYPERLINK("http://mcgill.on.worldcat.org/oclc/848752176","Catalog Record")</f>
        <v>Catalog Record</v>
      </c>
      <c r="AW2037" s="6" t="str">
        <f>HYPERLINK("http://www.worldcat.org/oclc/848752176","WorldCat Record")</f>
        <v>WorldCat Record</v>
      </c>
      <c r="AX2037" s="3" t="s">
        <v>19936</v>
      </c>
      <c r="AY2037" s="3" t="s">
        <v>19937</v>
      </c>
      <c r="AZ2037" s="3" t="s">
        <v>19938</v>
      </c>
      <c r="BA2037" s="3" t="s">
        <v>19938</v>
      </c>
      <c r="BB2037" s="3" t="s">
        <v>19939</v>
      </c>
      <c r="BC2037" s="3" t="s">
        <v>77</v>
      </c>
      <c r="BD2037" s="3" t="s">
        <v>78</v>
      </c>
      <c r="BE2037" s="3" t="s">
        <v>19940</v>
      </c>
      <c r="BF2037" s="3" t="s">
        <v>19939</v>
      </c>
      <c r="BG2037" s="3" t="s">
        <v>19941</v>
      </c>
    </row>
    <row r="2038" spans="1:59" ht="58" x14ac:dyDescent="0.35">
      <c r="A2038" s="2" t="s">
        <v>59</v>
      </c>
      <c r="B2038" s="2" t="s">
        <v>60</v>
      </c>
      <c r="C2038" s="2" t="s">
        <v>19942</v>
      </c>
      <c r="D2038" s="2" t="s">
        <v>19943</v>
      </c>
      <c r="E2038" s="2" t="s">
        <v>19944</v>
      </c>
      <c r="G2038" s="3" t="s">
        <v>65</v>
      </c>
      <c r="I2038" s="3" t="s">
        <v>65</v>
      </c>
      <c r="J2038" s="3" t="s">
        <v>65</v>
      </c>
      <c r="K2038" s="3" t="s">
        <v>66</v>
      </c>
      <c r="M2038" s="2" t="s">
        <v>19945</v>
      </c>
      <c r="N2038" s="3" t="s">
        <v>126</v>
      </c>
      <c r="P2038" s="3" t="s">
        <v>140</v>
      </c>
      <c r="R2038" s="3" t="s">
        <v>71</v>
      </c>
      <c r="S2038" s="4">
        <v>0</v>
      </c>
      <c r="T2038" s="4">
        <v>0</v>
      </c>
      <c r="W2038" s="5" t="s">
        <v>72</v>
      </c>
      <c r="X2038" s="5" t="s">
        <v>72</v>
      </c>
      <c r="Y2038" s="4">
        <v>34</v>
      </c>
      <c r="Z2038" s="4">
        <v>3</v>
      </c>
      <c r="AA2038" s="4">
        <v>3</v>
      </c>
      <c r="AB2038" s="4">
        <v>1</v>
      </c>
      <c r="AC2038" s="4">
        <v>1</v>
      </c>
      <c r="AD2038" s="4">
        <v>22</v>
      </c>
      <c r="AE2038" s="4">
        <v>22</v>
      </c>
      <c r="AF2038" s="4">
        <v>0</v>
      </c>
      <c r="AG2038" s="4">
        <v>0</v>
      </c>
      <c r="AH2038" s="4">
        <v>21</v>
      </c>
      <c r="AI2038" s="4">
        <v>21</v>
      </c>
      <c r="AJ2038" s="4">
        <v>1</v>
      </c>
      <c r="AK2038" s="4">
        <v>1</v>
      </c>
      <c r="AL2038" s="4">
        <v>17</v>
      </c>
      <c r="AM2038" s="4">
        <v>17</v>
      </c>
      <c r="AN2038" s="4">
        <v>0</v>
      </c>
      <c r="AO2038" s="4">
        <v>0</v>
      </c>
      <c r="AP2038" s="4">
        <v>1</v>
      </c>
      <c r="AQ2038" s="4">
        <v>1</v>
      </c>
      <c r="AR2038" s="3" t="s">
        <v>65</v>
      </c>
      <c r="AS2038" s="3" t="s">
        <v>65</v>
      </c>
      <c r="AT2038" s="3" t="s">
        <v>65</v>
      </c>
      <c r="AV2038" s="6" t="str">
        <f>HYPERLINK("http://mcgill.on.worldcat.org/oclc/779253263","Catalog Record")</f>
        <v>Catalog Record</v>
      </c>
      <c r="AW2038" s="6" t="str">
        <f>HYPERLINK("http://www.worldcat.org/oclc/779253263","WorldCat Record")</f>
        <v>WorldCat Record</v>
      </c>
      <c r="AX2038" s="3" t="s">
        <v>19946</v>
      </c>
      <c r="AY2038" s="3" t="s">
        <v>19947</v>
      </c>
      <c r="AZ2038" s="3" t="s">
        <v>19948</v>
      </c>
      <c r="BA2038" s="3" t="s">
        <v>19948</v>
      </c>
      <c r="BB2038" s="3" t="s">
        <v>19949</v>
      </c>
      <c r="BC2038" s="3" t="s">
        <v>77</v>
      </c>
      <c r="BD2038" s="3" t="s">
        <v>78</v>
      </c>
      <c r="BE2038" s="3" t="s">
        <v>19950</v>
      </c>
      <c r="BF2038" s="3" t="s">
        <v>19949</v>
      </c>
      <c r="BG2038" s="3" t="s">
        <v>19951</v>
      </c>
    </row>
    <row r="2039" spans="1:59" ht="58" x14ac:dyDescent="0.35">
      <c r="A2039" s="2" t="s">
        <v>59</v>
      </c>
      <c r="B2039" s="2" t="s">
        <v>60</v>
      </c>
      <c r="C2039" s="2" t="s">
        <v>19952</v>
      </c>
      <c r="D2039" s="2" t="s">
        <v>19953</v>
      </c>
      <c r="E2039" s="2" t="s">
        <v>19954</v>
      </c>
      <c r="G2039" s="3" t="s">
        <v>65</v>
      </c>
      <c r="I2039" s="3" t="s">
        <v>65</v>
      </c>
      <c r="J2039" s="3" t="s">
        <v>65</v>
      </c>
      <c r="K2039" s="3" t="s">
        <v>66</v>
      </c>
      <c r="L2039" s="2" t="s">
        <v>19955</v>
      </c>
      <c r="M2039" s="2" t="s">
        <v>19956</v>
      </c>
      <c r="N2039" s="3" t="s">
        <v>126</v>
      </c>
      <c r="P2039" s="3" t="s">
        <v>140</v>
      </c>
      <c r="Q2039" s="2" t="s">
        <v>19957</v>
      </c>
      <c r="R2039" s="3" t="s">
        <v>71</v>
      </c>
      <c r="S2039" s="4">
        <v>0</v>
      </c>
      <c r="T2039" s="4">
        <v>0</v>
      </c>
      <c r="W2039" s="5" t="s">
        <v>72</v>
      </c>
      <c r="X2039" s="5" t="s">
        <v>72</v>
      </c>
      <c r="Y2039" s="4">
        <v>42</v>
      </c>
      <c r="Z2039" s="4">
        <v>6</v>
      </c>
      <c r="AA2039" s="4">
        <v>6</v>
      </c>
      <c r="AB2039" s="4">
        <v>1</v>
      </c>
      <c r="AC2039" s="4">
        <v>1</v>
      </c>
      <c r="AD2039" s="4">
        <v>32</v>
      </c>
      <c r="AE2039" s="4">
        <v>32</v>
      </c>
      <c r="AF2039" s="4">
        <v>0</v>
      </c>
      <c r="AG2039" s="4">
        <v>0</v>
      </c>
      <c r="AH2039" s="4">
        <v>31</v>
      </c>
      <c r="AI2039" s="4">
        <v>31</v>
      </c>
      <c r="AJ2039" s="4">
        <v>3</v>
      </c>
      <c r="AK2039" s="4">
        <v>3</v>
      </c>
      <c r="AL2039" s="4">
        <v>24</v>
      </c>
      <c r="AM2039" s="4">
        <v>24</v>
      </c>
      <c r="AN2039" s="4">
        <v>0</v>
      </c>
      <c r="AO2039" s="4">
        <v>0</v>
      </c>
      <c r="AP2039" s="4">
        <v>3</v>
      </c>
      <c r="AQ2039" s="4">
        <v>3</v>
      </c>
      <c r="AR2039" s="3" t="s">
        <v>65</v>
      </c>
      <c r="AS2039" s="3" t="s">
        <v>65</v>
      </c>
      <c r="AT2039" s="3" t="s">
        <v>65</v>
      </c>
      <c r="AV2039" s="6" t="str">
        <f>HYPERLINK("http://mcgill.on.worldcat.org/oclc/738358262","Catalog Record")</f>
        <v>Catalog Record</v>
      </c>
      <c r="AW2039" s="6" t="str">
        <f>HYPERLINK("http://www.worldcat.org/oclc/738358262","WorldCat Record")</f>
        <v>WorldCat Record</v>
      </c>
      <c r="AX2039" s="3" t="s">
        <v>19958</v>
      </c>
      <c r="AY2039" s="3" t="s">
        <v>19959</v>
      </c>
      <c r="AZ2039" s="3" t="s">
        <v>19960</v>
      </c>
      <c r="BA2039" s="3" t="s">
        <v>19960</v>
      </c>
      <c r="BB2039" s="3" t="s">
        <v>19961</v>
      </c>
      <c r="BC2039" s="3" t="s">
        <v>77</v>
      </c>
      <c r="BD2039" s="3" t="s">
        <v>78</v>
      </c>
      <c r="BE2039" s="3" t="s">
        <v>19962</v>
      </c>
      <c r="BF2039" s="3" t="s">
        <v>19961</v>
      </c>
      <c r="BG2039" s="3" t="s">
        <v>19963</v>
      </c>
    </row>
    <row r="2040" spans="1:59" ht="58" x14ac:dyDescent="0.35">
      <c r="A2040" s="2" t="s">
        <v>59</v>
      </c>
      <c r="B2040" s="2" t="s">
        <v>60</v>
      </c>
      <c r="C2040" s="2" t="s">
        <v>19964</v>
      </c>
      <c r="D2040" s="2" t="s">
        <v>19965</v>
      </c>
      <c r="E2040" s="2" t="s">
        <v>19966</v>
      </c>
      <c r="G2040" s="3" t="s">
        <v>65</v>
      </c>
      <c r="I2040" s="3" t="s">
        <v>65</v>
      </c>
      <c r="J2040" s="3" t="s">
        <v>65</v>
      </c>
      <c r="K2040" s="3" t="s">
        <v>66</v>
      </c>
      <c r="L2040" s="2" t="s">
        <v>19967</v>
      </c>
      <c r="M2040" s="2" t="s">
        <v>19968</v>
      </c>
      <c r="N2040" s="3" t="s">
        <v>176</v>
      </c>
      <c r="O2040" s="2" t="s">
        <v>235</v>
      </c>
      <c r="P2040" s="3" t="s">
        <v>140</v>
      </c>
      <c r="Q2040" s="2" t="s">
        <v>19969</v>
      </c>
      <c r="R2040" s="3" t="s">
        <v>71</v>
      </c>
      <c r="S2040" s="4">
        <v>0</v>
      </c>
      <c r="T2040" s="4">
        <v>0</v>
      </c>
      <c r="W2040" s="5" t="s">
        <v>72</v>
      </c>
      <c r="X2040" s="5" t="s">
        <v>72</v>
      </c>
      <c r="Y2040" s="4">
        <v>52</v>
      </c>
      <c r="Z2040" s="4">
        <v>5</v>
      </c>
      <c r="AA2040" s="4">
        <v>5</v>
      </c>
      <c r="AB2040" s="4">
        <v>1</v>
      </c>
      <c r="AC2040" s="4">
        <v>1</v>
      </c>
      <c r="AD2040" s="4">
        <v>39</v>
      </c>
      <c r="AE2040" s="4">
        <v>39</v>
      </c>
      <c r="AF2040" s="4">
        <v>0</v>
      </c>
      <c r="AG2040" s="4">
        <v>0</v>
      </c>
      <c r="AH2040" s="4">
        <v>38</v>
      </c>
      <c r="AI2040" s="4">
        <v>38</v>
      </c>
      <c r="AJ2040" s="4">
        <v>2</v>
      </c>
      <c r="AK2040" s="4">
        <v>2</v>
      </c>
      <c r="AL2040" s="4">
        <v>30</v>
      </c>
      <c r="AM2040" s="4">
        <v>30</v>
      </c>
      <c r="AN2040" s="4">
        <v>0</v>
      </c>
      <c r="AO2040" s="4">
        <v>0</v>
      </c>
      <c r="AP2040" s="4">
        <v>2</v>
      </c>
      <c r="AQ2040" s="4">
        <v>2</v>
      </c>
      <c r="AR2040" s="3" t="s">
        <v>65</v>
      </c>
      <c r="AS2040" s="3" t="s">
        <v>65</v>
      </c>
      <c r="AT2040" s="3" t="s">
        <v>65</v>
      </c>
      <c r="AV2040" s="6" t="str">
        <f>HYPERLINK("http://mcgill.on.worldcat.org/oclc/920379582","Catalog Record")</f>
        <v>Catalog Record</v>
      </c>
      <c r="AW2040" s="6" t="str">
        <f>HYPERLINK("http://www.worldcat.org/oclc/920379582","WorldCat Record")</f>
        <v>WorldCat Record</v>
      </c>
      <c r="AX2040" s="3" t="s">
        <v>19970</v>
      </c>
      <c r="AY2040" s="3" t="s">
        <v>19971</v>
      </c>
      <c r="AZ2040" s="3" t="s">
        <v>19972</v>
      </c>
      <c r="BA2040" s="3" t="s">
        <v>19972</v>
      </c>
      <c r="BB2040" s="3" t="s">
        <v>19973</v>
      </c>
      <c r="BC2040" s="3" t="s">
        <v>77</v>
      </c>
      <c r="BD2040" s="3" t="s">
        <v>78</v>
      </c>
      <c r="BE2040" s="3" t="s">
        <v>19974</v>
      </c>
      <c r="BF2040" s="3" t="s">
        <v>19973</v>
      </c>
      <c r="BG2040" s="3" t="s">
        <v>19975</v>
      </c>
    </row>
    <row r="2041" spans="1:59" ht="58" x14ac:dyDescent="0.35">
      <c r="A2041" s="2" t="s">
        <v>59</v>
      </c>
      <c r="B2041" s="2" t="s">
        <v>60</v>
      </c>
      <c r="C2041" s="2" t="s">
        <v>19976</v>
      </c>
      <c r="D2041" s="2" t="s">
        <v>19977</v>
      </c>
      <c r="E2041" s="2" t="s">
        <v>19978</v>
      </c>
      <c r="G2041" s="3" t="s">
        <v>65</v>
      </c>
      <c r="I2041" s="3" t="s">
        <v>65</v>
      </c>
      <c r="J2041" s="3" t="s">
        <v>65</v>
      </c>
      <c r="K2041" s="3" t="s">
        <v>66</v>
      </c>
      <c r="L2041" s="2" t="s">
        <v>19979</v>
      </c>
      <c r="M2041" s="2" t="s">
        <v>19980</v>
      </c>
      <c r="N2041" s="3" t="s">
        <v>1895</v>
      </c>
      <c r="O2041" s="2" t="s">
        <v>19981</v>
      </c>
      <c r="P2041" s="3" t="s">
        <v>140</v>
      </c>
      <c r="Q2041" s="2" t="s">
        <v>19982</v>
      </c>
      <c r="R2041" s="3" t="s">
        <v>71</v>
      </c>
      <c r="S2041" s="4">
        <v>2</v>
      </c>
      <c r="T2041" s="4">
        <v>2</v>
      </c>
      <c r="U2041" s="5" t="s">
        <v>9754</v>
      </c>
      <c r="V2041" s="5" t="s">
        <v>9754</v>
      </c>
      <c r="W2041" s="5" t="s">
        <v>72</v>
      </c>
      <c r="X2041" s="5" t="s">
        <v>72</v>
      </c>
      <c r="Y2041" s="4">
        <v>58</v>
      </c>
      <c r="Z2041" s="4">
        <v>5</v>
      </c>
      <c r="AA2041" s="4">
        <v>6</v>
      </c>
      <c r="AB2041" s="4">
        <v>1</v>
      </c>
      <c r="AC2041" s="4">
        <v>1</v>
      </c>
      <c r="AD2041" s="4">
        <v>34</v>
      </c>
      <c r="AE2041" s="4">
        <v>35</v>
      </c>
      <c r="AF2041" s="4">
        <v>0</v>
      </c>
      <c r="AG2041" s="4">
        <v>0</v>
      </c>
      <c r="AH2041" s="4">
        <v>33</v>
      </c>
      <c r="AI2041" s="4">
        <v>34</v>
      </c>
      <c r="AJ2041" s="4">
        <v>2</v>
      </c>
      <c r="AK2041" s="4">
        <v>3</v>
      </c>
      <c r="AL2041" s="4">
        <v>27</v>
      </c>
      <c r="AM2041" s="4">
        <v>27</v>
      </c>
      <c r="AN2041" s="4">
        <v>0</v>
      </c>
      <c r="AO2041" s="4">
        <v>0</v>
      </c>
      <c r="AP2041" s="4">
        <v>2</v>
      </c>
      <c r="AQ2041" s="4">
        <v>3</v>
      </c>
      <c r="AR2041" s="3" t="s">
        <v>65</v>
      </c>
      <c r="AS2041" s="3" t="s">
        <v>65</v>
      </c>
      <c r="AT2041" s="3" t="s">
        <v>209</v>
      </c>
      <c r="AU2041" s="6" t="str">
        <f>HYPERLINK("http://catalog.hathitrust.org/Record/003983769","HathiTrust Record")</f>
        <v>HathiTrust Record</v>
      </c>
      <c r="AV2041" s="6" t="str">
        <f>HYPERLINK("http://mcgill.on.worldcat.org/oclc/39023662","Catalog Record")</f>
        <v>Catalog Record</v>
      </c>
      <c r="AW2041" s="6" t="str">
        <f>HYPERLINK("http://www.worldcat.org/oclc/39023662","WorldCat Record")</f>
        <v>WorldCat Record</v>
      </c>
      <c r="AX2041" s="3" t="s">
        <v>19983</v>
      </c>
      <c r="AY2041" s="3" t="s">
        <v>19984</v>
      </c>
      <c r="AZ2041" s="3" t="s">
        <v>19985</v>
      </c>
      <c r="BA2041" s="3" t="s">
        <v>19985</v>
      </c>
      <c r="BB2041" s="3" t="s">
        <v>19986</v>
      </c>
      <c r="BC2041" s="3" t="s">
        <v>77</v>
      </c>
      <c r="BD2041" s="3" t="s">
        <v>78</v>
      </c>
      <c r="BE2041" s="3" t="s">
        <v>19987</v>
      </c>
      <c r="BF2041" s="3" t="s">
        <v>19986</v>
      </c>
      <c r="BG2041" s="3" t="s">
        <v>19988</v>
      </c>
    </row>
    <row r="2042" spans="1:59" ht="58" x14ac:dyDescent="0.35">
      <c r="A2042" s="2" t="s">
        <v>59</v>
      </c>
      <c r="B2042" s="2" t="s">
        <v>60</v>
      </c>
      <c r="C2042" s="2" t="s">
        <v>19989</v>
      </c>
      <c r="D2042" s="2" t="s">
        <v>19990</v>
      </c>
      <c r="E2042" s="2" t="s">
        <v>19991</v>
      </c>
      <c r="G2042" s="3" t="s">
        <v>65</v>
      </c>
      <c r="I2042" s="3" t="s">
        <v>65</v>
      </c>
      <c r="J2042" s="3" t="s">
        <v>65</v>
      </c>
      <c r="K2042" s="3" t="s">
        <v>66</v>
      </c>
      <c r="L2042" s="2" t="s">
        <v>19992</v>
      </c>
      <c r="M2042" s="2" t="s">
        <v>19993</v>
      </c>
      <c r="N2042" s="3" t="s">
        <v>139</v>
      </c>
      <c r="P2042" s="3" t="s">
        <v>140</v>
      </c>
      <c r="Q2042" s="2" t="s">
        <v>19994</v>
      </c>
      <c r="R2042" s="3" t="s">
        <v>71</v>
      </c>
      <c r="S2042" s="4">
        <v>1</v>
      </c>
      <c r="T2042" s="4">
        <v>1</v>
      </c>
      <c r="U2042" s="5" t="s">
        <v>2341</v>
      </c>
      <c r="V2042" s="5" t="s">
        <v>2341</v>
      </c>
      <c r="W2042" s="5" t="s">
        <v>72</v>
      </c>
      <c r="X2042" s="5" t="s">
        <v>72</v>
      </c>
      <c r="Y2042" s="4">
        <v>27</v>
      </c>
      <c r="Z2042" s="4">
        <v>5</v>
      </c>
      <c r="AA2042" s="4">
        <v>5</v>
      </c>
      <c r="AB2042" s="4">
        <v>1</v>
      </c>
      <c r="AC2042" s="4">
        <v>1</v>
      </c>
      <c r="AD2042" s="4">
        <v>19</v>
      </c>
      <c r="AE2042" s="4">
        <v>19</v>
      </c>
      <c r="AF2042" s="4">
        <v>0</v>
      </c>
      <c r="AG2042" s="4">
        <v>0</v>
      </c>
      <c r="AH2042" s="4">
        <v>18</v>
      </c>
      <c r="AI2042" s="4">
        <v>18</v>
      </c>
      <c r="AJ2042" s="4">
        <v>2</v>
      </c>
      <c r="AK2042" s="4">
        <v>2</v>
      </c>
      <c r="AL2042" s="4">
        <v>15</v>
      </c>
      <c r="AM2042" s="4">
        <v>15</v>
      </c>
      <c r="AN2042" s="4">
        <v>0</v>
      </c>
      <c r="AO2042" s="4">
        <v>0</v>
      </c>
      <c r="AP2042" s="4">
        <v>2</v>
      </c>
      <c r="AQ2042" s="4">
        <v>2</v>
      </c>
      <c r="AR2042" s="3" t="s">
        <v>65</v>
      </c>
      <c r="AS2042" s="3" t="s">
        <v>65</v>
      </c>
      <c r="AT2042" s="3" t="s">
        <v>65</v>
      </c>
      <c r="AV2042" s="6" t="str">
        <f>HYPERLINK("http://mcgill.on.worldcat.org/oclc/844695387","Catalog Record")</f>
        <v>Catalog Record</v>
      </c>
      <c r="AW2042" s="6" t="str">
        <f>HYPERLINK("http://www.worldcat.org/oclc/844695387","WorldCat Record")</f>
        <v>WorldCat Record</v>
      </c>
      <c r="AX2042" s="3" t="s">
        <v>19995</v>
      </c>
      <c r="AY2042" s="3" t="s">
        <v>19996</v>
      </c>
      <c r="AZ2042" s="3" t="s">
        <v>19997</v>
      </c>
      <c r="BA2042" s="3" t="s">
        <v>19997</v>
      </c>
      <c r="BB2042" s="3" t="s">
        <v>19998</v>
      </c>
      <c r="BC2042" s="3" t="s">
        <v>77</v>
      </c>
      <c r="BD2042" s="3" t="s">
        <v>78</v>
      </c>
      <c r="BE2042" s="3" t="s">
        <v>19999</v>
      </c>
      <c r="BF2042" s="3" t="s">
        <v>19998</v>
      </c>
      <c r="BG2042" s="3" t="s">
        <v>20000</v>
      </c>
    </row>
    <row r="2043" spans="1:59" ht="58" x14ac:dyDescent="0.35">
      <c r="A2043" s="2" t="s">
        <v>59</v>
      </c>
      <c r="B2043" s="2" t="s">
        <v>60</v>
      </c>
      <c r="C2043" s="2" t="s">
        <v>20001</v>
      </c>
      <c r="D2043" s="2" t="s">
        <v>20002</v>
      </c>
      <c r="E2043" s="2" t="s">
        <v>20003</v>
      </c>
      <c r="G2043" s="3" t="s">
        <v>65</v>
      </c>
      <c r="I2043" s="3" t="s">
        <v>65</v>
      </c>
      <c r="J2043" s="3" t="s">
        <v>65</v>
      </c>
      <c r="K2043" s="3" t="s">
        <v>66</v>
      </c>
      <c r="L2043" s="2" t="s">
        <v>20004</v>
      </c>
      <c r="M2043" s="2" t="s">
        <v>20005</v>
      </c>
      <c r="N2043" s="3" t="s">
        <v>176</v>
      </c>
      <c r="P2043" s="3" t="s">
        <v>140</v>
      </c>
      <c r="R2043" s="3" t="s">
        <v>71</v>
      </c>
      <c r="S2043" s="4">
        <v>0</v>
      </c>
      <c r="T2043" s="4">
        <v>0</v>
      </c>
      <c r="W2043" s="5" t="s">
        <v>72</v>
      </c>
      <c r="X2043" s="5" t="s">
        <v>72</v>
      </c>
      <c r="Y2043" s="4">
        <v>15</v>
      </c>
      <c r="Z2043" s="4">
        <v>3</v>
      </c>
      <c r="AA2043" s="4">
        <v>3</v>
      </c>
      <c r="AB2043" s="4">
        <v>1</v>
      </c>
      <c r="AC2043" s="4">
        <v>1</v>
      </c>
      <c r="AD2043" s="4">
        <v>9</v>
      </c>
      <c r="AE2043" s="4">
        <v>9</v>
      </c>
      <c r="AF2043" s="4">
        <v>0</v>
      </c>
      <c r="AG2043" s="4">
        <v>0</v>
      </c>
      <c r="AH2043" s="4">
        <v>9</v>
      </c>
      <c r="AI2043" s="4">
        <v>9</v>
      </c>
      <c r="AJ2043" s="4">
        <v>1</v>
      </c>
      <c r="AK2043" s="4">
        <v>1</v>
      </c>
      <c r="AL2043" s="4">
        <v>8</v>
      </c>
      <c r="AM2043" s="4">
        <v>8</v>
      </c>
      <c r="AN2043" s="4">
        <v>0</v>
      </c>
      <c r="AO2043" s="4">
        <v>0</v>
      </c>
      <c r="AP2043" s="4">
        <v>1</v>
      </c>
      <c r="AQ2043" s="4">
        <v>1</v>
      </c>
      <c r="AR2043" s="3" t="s">
        <v>65</v>
      </c>
      <c r="AS2043" s="3" t="s">
        <v>65</v>
      </c>
      <c r="AT2043" s="3" t="s">
        <v>65</v>
      </c>
      <c r="AV2043" s="6" t="str">
        <f>HYPERLINK("http://mcgill.on.worldcat.org/oclc/929450843","Catalog Record")</f>
        <v>Catalog Record</v>
      </c>
      <c r="AW2043" s="6" t="str">
        <f>HYPERLINK("http://www.worldcat.org/oclc/929450843","WorldCat Record")</f>
        <v>WorldCat Record</v>
      </c>
      <c r="AX2043" s="3" t="s">
        <v>20006</v>
      </c>
      <c r="AY2043" s="3" t="s">
        <v>20007</v>
      </c>
      <c r="AZ2043" s="3" t="s">
        <v>20008</v>
      </c>
      <c r="BA2043" s="3" t="s">
        <v>20008</v>
      </c>
      <c r="BB2043" s="3" t="s">
        <v>20009</v>
      </c>
      <c r="BC2043" s="3" t="s">
        <v>77</v>
      </c>
      <c r="BD2043" s="3" t="s">
        <v>78</v>
      </c>
      <c r="BE2043" s="3" t="s">
        <v>20010</v>
      </c>
      <c r="BF2043" s="3" t="s">
        <v>20009</v>
      </c>
      <c r="BG2043" s="3" t="s">
        <v>20011</v>
      </c>
    </row>
    <row r="2044" spans="1:59" ht="58" x14ac:dyDescent="0.35">
      <c r="A2044" s="2" t="s">
        <v>59</v>
      </c>
      <c r="B2044" s="2" t="s">
        <v>60</v>
      </c>
      <c r="C2044" s="2" t="s">
        <v>20012</v>
      </c>
      <c r="D2044" s="2" t="s">
        <v>20013</v>
      </c>
      <c r="E2044" s="2" t="s">
        <v>20014</v>
      </c>
      <c r="G2044" s="3" t="s">
        <v>65</v>
      </c>
      <c r="I2044" s="3" t="s">
        <v>65</v>
      </c>
      <c r="J2044" s="3" t="s">
        <v>209</v>
      </c>
      <c r="K2044" s="3" t="s">
        <v>66</v>
      </c>
      <c r="L2044" s="2" t="s">
        <v>20015</v>
      </c>
      <c r="M2044" s="2" t="s">
        <v>20016</v>
      </c>
      <c r="N2044" s="3" t="s">
        <v>5130</v>
      </c>
      <c r="P2044" s="3" t="s">
        <v>140</v>
      </c>
      <c r="Q2044" s="2" t="s">
        <v>20017</v>
      </c>
      <c r="R2044" s="3" t="s">
        <v>71</v>
      </c>
      <c r="S2044" s="4">
        <v>1</v>
      </c>
      <c r="T2044" s="4">
        <v>1</v>
      </c>
      <c r="U2044" s="5" t="s">
        <v>20018</v>
      </c>
      <c r="V2044" s="5" t="s">
        <v>20018</v>
      </c>
      <c r="W2044" s="5" t="s">
        <v>72</v>
      </c>
      <c r="X2044" s="5" t="s">
        <v>72</v>
      </c>
      <c r="Y2044" s="4">
        <v>44</v>
      </c>
      <c r="Z2044" s="4">
        <v>3</v>
      </c>
      <c r="AA2044" s="4">
        <v>15</v>
      </c>
      <c r="AB2044" s="4">
        <v>1</v>
      </c>
      <c r="AC2044" s="4">
        <v>2</v>
      </c>
      <c r="AD2044" s="4">
        <v>27</v>
      </c>
      <c r="AE2044" s="4">
        <v>68</v>
      </c>
      <c r="AF2044" s="4">
        <v>0</v>
      </c>
      <c r="AG2044" s="4">
        <v>1</v>
      </c>
      <c r="AH2044" s="4">
        <v>25</v>
      </c>
      <c r="AI2044" s="4">
        <v>60</v>
      </c>
      <c r="AJ2044" s="4">
        <v>1</v>
      </c>
      <c r="AK2044" s="4">
        <v>9</v>
      </c>
      <c r="AL2044" s="4">
        <v>18</v>
      </c>
      <c r="AM2044" s="4">
        <v>43</v>
      </c>
      <c r="AN2044" s="4">
        <v>0</v>
      </c>
      <c r="AO2044" s="4">
        <v>0</v>
      </c>
      <c r="AP2044" s="4">
        <v>1</v>
      </c>
      <c r="AQ2044" s="4">
        <v>10</v>
      </c>
      <c r="AR2044" s="3" t="s">
        <v>65</v>
      </c>
      <c r="AS2044" s="3" t="s">
        <v>65</v>
      </c>
      <c r="AT2044" s="3" t="s">
        <v>209</v>
      </c>
      <c r="AU2044" s="6" t="str">
        <f>HYPERLINK("http://catalog.hathitrust.org/Record/007961177","HathiTrust Record")</f>
        <v>HathiTrust Record</v>
      </c>
      <c r="AV2044" s="6" t="str">
        <f>HYPERLINK("http://mcgill.on.worldcat.org/oclc/1347089","Catalog Record")</f>
        <v>Catalog Record</v>
      </c>
      <c r="AW2044" s="6" t="str">
        <f>HYPERLINK("http://www.worldcat.org/oclc/1347089","WorldCat Record")</f>
        <v>WorldCat Record</v>
      </c>
      <c r="AX2044" s="3" t="s">
        <v>20019</v>
      </c>
      <c r="AY2044" s="3" t="s">
        <v>20020</v>
      </c>
      <c r="AZ2044" s="3" t="s">
        <v>20021</v>
      </c>
      <c r="BA2044" s="3" t="s">
        <v>20021</v>
      </c>
      <c r="BB2044" s="3" t="s">
        <v>20022</v>
      </c>
      <c r="BC2044" s="3" t="s">
        <v>77</v>
      </c>
      <c r="BD2044" s="3" t="s">
        <v>78</v>
      </c>
      <c r="BF2044" s="3" t="s">
        <v>20022</v>
      </c>
      <c r="BG2044" s="3" t="s">
        <v>20023</v>
      </c>
    </row>
    <row r="2045" spans="1:59" ht="58" x14ac:dyDescent="0.35">
      <c r="A2045" s="2" t="s">
        <v>59</v>
      </c>
      <c r="B2045" s="2" t="s">
        <v>60</v>
      </c>
      <c r="C2045" s="2" t="s">
        <v>20024</v>
      </c>
      <c r="D2045" s="2" t="s">
        <v>20025</v>
      </c>
      <c r="E2045" s="2" t="s">
        <v>20026</v>
      </c>
      <c r="G2045" s="3" t="s">
        <v>65</v>
      </c>
      <c r="I2045" s="3" t="s">
        <v>65</v>
      </c>
      <c r="J2045" s="3" t="s">
        <v>65</v>
      </c>
      <c r="K2045" s="3" t="s">
        <v>66</v>
      </c>
      <c r="L2045" s="2" t="s">
        <v>20027</v>
      </c>
      <c r="M2045" s="2" t="s">
        <v>20028</v>
      </c>
      <c r="N2045" s="3" t="s">
        <v>126</v>
      </c>
      <c r="P2045" s="3" t="s">
        <v>140</v>
      </c>
      <c r="R2045" s="3" t="s">
        <v>71</v>
      </c>
      <c r="S2045" s="4">
        <v>0</v>
      </c>
      <c r="T2045" s="4">
        <v>0</v>
      </c>
      <c r="W2045" s="5" t="s">
        <v>72</v>
      </c>
      <c r="X2045" s="5" t="s">
        <v>72</v>
      </c>
      <c r="Y2045" s="4">
        <v>47</v>
      </c>
      <c r="Z2045" s="4">
        <v>6</v>
      </c>
      <c r="AA2045" s="4">
        <v>6</v>
      </c>
      <c r="AB2045" s="4">
        <v>1</v>
      </c>
      <c r="AC2045" s="4">
        <v>1</v>
      </c>
      <c r="AD2045" s="4">
        <v>36</v>
      </c>
      <c r="AE2045" s="4">
        <v>36</v>
      </c>
      <c r="AF2045" s="4">
        <v>0</v>
      </c>
      <c r="AG2045" s="4">
        <v>0</v>
      </c>
      <c r="AH2045" s="4">
        <v>35</v>
      </c>
      <c r="AI2045" s="4">
        <v>35</v>
      </c>
      <c r="AJ2045" s="4">
        <v>3</v>
      </c>
      <c r="AK2045" s="4">
        <v>3</v>
      </c>
      <c r="AL2045" s="4">
        <v>25</v>
      </c>
      <c r="AM2045" s="4">
        <v>25</v>
      </c>
      <c r="AN2045" s="4">
        <v>0</v>
      </c>
      <c r="AO2045" s="4">
        <v>0</v>
      </c>
      <c r="AP2045" s="4">
        <v>3</v>
      </c>
      <c r="AQ2045" s="4">
        <v>3</v>
      </c>
      <c r="AR2045" s="3" t="s">
        <v>65</v>
      </c>
      <c r="AS2045" s="3" t="s">
        <v>65</v>
      </c>
      <c r="AT2045" s="3" t="s">
        <v>65</v>
      </c>
      <c r="AV2045" s="6" t="str">
        <f>HYPERLINK("http://mcgill.on.worldcat.org/oclc/732279991","Catalog Record")</f>
        <v>Catalog Record</v>
      </c>
      <c r="AW2045" s="6" t="str">
        <f>HYPERLINK("http://www.worldcat.org/oclc/732279991","WorldCat Record")</f>
        <v>WorldCat Record</v>
      </c>
      <c r="AX2045" s="3" t="s">
        <v>20029</v>
      </c>
      <c r="AY2045" s="3" t="s">
        <v>20030</v>
      </c>
      <c r="AZ2045" s="3" t="s">
        <v>20031</v>
      </c>
      <c r="BA2045" s="3" t="s">
        <v>20031</v>
      </c>
      <c r="BB2045" s="3" t="s">
        <v>20032</v>
      </c>
      <c r="BC2045" s="3" t="s">
        <v>77</v>
      </c>
      <c r="BD2045" s="3" t="s">
        <v>78</v>
      </c>
      <c r="BE2045" s="3" t="s">
        <v>20033</v>
      </c>
      <c r="BF2045" s="3" t="s">
        <v>20032</v>
      </c>
      <c r="BG2045" s="3" t="s">
        <v>20034</v>
      </c>
    </row>
    <row r="2046" spans="1:59" ht="58" x14ac:dyDescent="0.35">
      <c r="A2046" s="2" t="s">
        <v>59</v>
      </c>
      <c r="B2046" s="2" t="s">
        <v>60</v>
      </c>
      <c r="C2046" s="2" t="s">
        <v>20035</v>
      </c>
      <c r="D2046" s="2" t="s">
        <v>20036</v>
      </c>
      <c r="E2046" s="2" t="s">
        <v>20037</v>
      </c>
      <c r="G2046" s="3" t="s">
        <v>65</v>
      </c>
      <c r="I2046" s="3" t="s">
        <v>65</v>
      </c>
      <c r="J2046" s="3" t="s">
        <v>65</v>
      </c>
      <c r="K2046" s="3" t="s">
        <v>66</v>
      </c>
      <c r="L2046" s="2" t="s">
        <v>20038</v>
      </c>
      <c r="M2046" s="2" t="s">
        <v>20039</v>
      </c>
      <c r="N2046" s="3" t="s">
        <v>139</v>
      </c>
      <c r="P2046" s="3" t="s">
        <v>69</v>
      </c>
      <c r="Q2046" s="2" t="s">
        <v>1600</v>
      </c>
      <c r="R2046" s="3" t="s">
        <v>71</v>
      </c>
      <c r="S2046" s="4">
        <v>0</v>
      </c>
      <c r="T2046" s="4">
        <v>0</v>
      </c>
      <c r="W2046" s="5" t="s">
        <v>72</v>
      </c>
      <c r="X2046" s="5" t="s">
        <v>72</v>
      </c>
      <c r="Y2046" s="4">
        <v>111</v>
      </c>
      <c r="Z2046" s="4">
        <v>12</v>
      </c>
      <c r="AA2046" s="4">
        <v>81</v>
      </c>
      <c r="AB2046" s="4">
        <v>1</v>
      </c>
      <c r="AC2046" s="4">
        <v>14</v>
      </c>
      <c r="AD2046" s="4">
        <v>66</v>
      </c>
      <c r="AE2046" s="4">
        <v>124</v>
      </c>
      <c r="AF2046" s="4">
        <v>0</v>
      </c>
      <c r="AG2046" s="4">
        <v>8</v>
      </c>
      <c r="AH2046" s="4">
        <v>63</v>
      </c>
      <c r="AI2046" s="4">
        <v>90</v>
      </c>
      <c r="AJ2046" s="4">
        <v>9</v>
      </c>
      <c r="AK2046" s="4">
        <v>23</v>
      </c>
      <c r="AL2046" s="4">
        <v>40</v>
      </c>
      <c r="AM2046" s="4">
        <v>48</v>
      </c>
      <c r="AN2046" s="4">
        <v>0</v>
      </c>
      <c r="AO2046" s="4">
        <v>0</v>
      </c>
      <c r="AP2046" s="4">
        <v>9</v>
      </c>
      <c r="AQ2046" s="4">
        <v>43</v>
      </c>
      <c r="AR2046" s="3" t="s">
        <v>65</v>
      </c>
      <c r="AS2046" s="3" t="s">
        <v>65</v>
      </c>
      <c r="AT2046" s="3" t="s">
        <v>65</v>
      </c>
      <c r="AV2046" s="6" t="str">
        <f>HYPERLINK("http://mcgill.on.worldcat.org/oclc/759916341","Catalog Record")</f>
        <v>Catalog Record</v>
      </c>
      <c r="AW2046" s="6" t="str">
        <f>HYPERLINK("http://www.worldcat.org/oclc/759916341","WorldCat Record")</f>
        <v>WorldCat Record</v>
      </c>
      <c r="AX2046" s="3" t="s">
        <v>20040</v>
      </c>
      <c r="AY2046" s="3" t="s">
        <v>20041</v>
      </c>
      <c r="AZ2046" s="3" t="s">
        <v>20042</v>
      </c>
      <c r="BA2046" s="3" t="s">
        <v>20042</v>
      </c>
      <c r="BB2046" s="3" t="s">
        <v>20043</v>
      </c>
      <c r="BC2046" s="3" t="s">
        <v>77</v>
      </c>
      <c r="BD2046" s="3" t="s">
        <v>78</v>
      </c>
      <c r="BE2046" s="3" t="s">
        <v>20044</v>
      </c>
      <c r="BF2046" s="3" t="s">
        <v>20043</v>
      </c>
      <c r="BG2046" s="3" t="s">
        <v>20045</v>
      </c>
    </row>
    <row r="2047" spans="1:59" ht="58" x14ac:dyDescent="0.35">
      <c r="A2047" s="2" t="s">
        <v>59</v>
      </c>
      <c r="B2047" s="2" t="s">
        <v>60</v>
      </c>
      <c r="C2047" s="2" t="s">
        <v>20046</v>
      </c>
      <c r="D2047" s="2" t="s">
        <v>20047</v>
      </c>
      <c r="E2047" s="2" t="s">
        <v>20048</v>
      </c>
      <c r="G2047" s="3" t="s">
        <v>65</v>
      </c>
      <c r="I2047" s="3" t="s">
        <v>65</v>
      </c>
      <c r="J2047" s="3" t="s">
        <v>65</v>
      </c>
      <c r="K2047" s="3" t="s">
        <v>66</v>
      </c>
      <c r="L2047" s="2" t="s">
        <v>20049</v>
      </c>
      <c r="M2047" s="2" t="s">
        <v>19956</v>
      </c>
      <c r="N2047" s="3" t="s">
        <v>126</v>
      </c>
      <c r="P2047" s="3" t="s">
        <v>140</v>
      </c>
      <c r="Q2047" s="2" t="s">
        <v>20050</v>
      </c>
      <c r="R2047" s="3" t="s">
        <v>71</v>
      </c>
      <c r="S2047" s="4">
        <v>0</v>
      </c>
      <c r="T2047" s="4">
        <v>0</v>
      </c>
      <c r="W2047" s="5" t="s">
        <v>72</v>
      </c>
      <c r="X2047" s="5" t="s">
        <v>72</v>
      </c>
      <c r="Y2047" s="4">
        <v>44</v>
      </c>
      <c r="Z2047" s="4">
        <v>6</v>
      </c>
      <c r="AA2047" s="4">
        <v>6</v>
      </c>
      <c r="AB2047" s="4">
        <v>1</v>
      </c>
      <c r="AC2047" s="4">
        <v>1</v>
      </c>
      <c r="AD2047" s="4">
        <v>30</v>
      </c>
      <c r="AE2047" s="4">
        <v>30</v>
      </c>
      <c r="AF2047" s="4">
        <v>0</v>
      </c>
      <c r="AG2047" s="4">
        <v>0</v>
      </c>
      <c r="AH2047" s="4">
        <v>29</v>
      </c>
      <c r="AI2047" s="4">
        <v>29</v>
      </c>
      <c r="AJ2047" s="4">
        <v>3</v>
      </c>
      <c r="AK2047" s="4">
        <v>3</v>
      </c>
      <c r="AL2047" s="4">
        <v>22</v>
      </c>
      <c r="AM2047" s="4">
        <v>22</v>
      </c>
      <c r="AN2047" s="4">
        <v>0</v>
      </c>
      <c r="AO2047" s="4">
        <v>0</v>
      </c>
      <c r="AP2047" s="4">
        <v>3</v>
      </c>
      <c r="AQ2047" s="4">
        <v>3</v>
      </c>
      <c r="AR2047" s="3" t="s">
        <v>65</v>
      </c>
      <c r="AS2047" s="3" t="s">
        <v>65</v>
      </c>
      <c r="AT2047" s="3" t="s">
        <v>65</v>
      </c>
      <c r="AV2047" s="6" t="str">
        <f>HYPERLINK("http://mcgill.on.worldcat.org/oclc/767578041","Catalog Record")</f>
        <v>Catalog Record</v>
      </c>
      <c r="AW2047" s="6" t="str">
        <f>HYPERLINK("http://www.worldcat.org/oclc/767578041","WorldCat Record")</f>
        <v>WorldCat Record</v>
      </c>
      <c r="AX2047" s="3" t="s">
        <v>20051</v>
      </c>
      <c r="AY2047" s="3" t="s">
        <v>20052</v>
      </c>
      <c r="AZ2047" s="3" t="s">
        <v>20053</v>
      </c>
      <c r="BA2047" s="3" t="s">
        <v>20053</v>
      </c>
      <c r="BB2047" s="3" t="s">
        <v>20054</v>
      </c>
      <c r="BC2047" s="3" t="s">
        <v>77</v>
      </c>
      <c r="BD2047" s="3" t="s">
        <v>78</v>
      </c>
      <c r="BE2047" s="3" t="s">
        <v>20055</v>
      </c>
      <c r="BF2047" s="3" t="s">
        <v>20054</v>
      </c>
      <c r="BG2047" s="3" t="s">
        <v>20056</v>
      </c>
    </row>
    <row r="2048" spans="1:59" ht="58" x14ac:dyDescent="0.35">
      <c r="A2048" s="2" t="s">
        <v>59</v>
      </c>
      <c r="B2048" s="2" t="s">
        <v>60</v>
      </c>
      <c r="C2048" s="2" t="s">
        <v>20057</v>
      </c>
      <c r="D2048" s="2" t="s">
        <v>20058</v>
      </c>
      <c r="E2048" s="2" t="s">
        <v>20059</v>
      </c>
      <c r="G2048" s="3" t="s">
        <v>65</v>
      </c>
      <c r="I2048" s="3" t="s">
        <v>65</v>
      </c>
      <c r="J2048" s="3" t="s">
        <v>65</v>
      </c>
      <c r="K2048" s="3" t="s">
        <v>66</v>
      </c>
      <c r="L2048" s="2" t="s">
        <v>20060</v>
      </c>
      <c r="M2048" s="2" t="s">
        <v>20061</v>
      </c>
      <c r="N2048" s="3" t="s">
        <v>139</v>
      </c>
      <c r="P2048" s="3" t="s">
        <v>140</v>
      </c>
      <c r="R2048" s="3" t="s">
        <v>71</v>
      </c>
      <c r="S2048" s="4">
        <v>0</v>
      </c>
      <c r="T2048" s="4">
        <v>0</v>
      </c>
      <c r="W2048" s="5" t="s">
        <v>72</v>
      </c>
      <c r="X2048" s="5" t="s">
        <v>72</v>
      </c>
      <c r="Y2048" s="4">
        <v>39</v>
      </c>
      <c r="Z2048" s="4">
        <v>6</v>
      </c>
      <c r="AA2048" s="4">
        <v>6</v>
      </c>
      <c r="AB2048" s="4">
        <v>1</v>
      </c>
      <c r="AC2048" s="4">
        <v>1</v>
      </c>
      <c r="AD2048" s="4">
        <v>28</v>
      </c>
      <c r="AE2048" s="4">
        <v>29</v>
      </c>
      <c r="AF2048" s="4">
        <v>0</v>
      </c>
      <c r="AG2048" s="4">
        <v>0</v>
      </c>
      <c r="AH2048" s="4">
        <v>27</v>
      </c>
      <c r="AI2048" s="4">
        <v>28</v>
      </c>
      <c r="AJ2048" s="4">
        <v>3</v>
      </c>
      <c r="AK2048" s="4">
        <v>3</v>
      </c>
      <c r="AL2048" s="4">
        <v>21</v>
      </c>
      <c r="AM2048" s="4">
        <v>22</v>
      </c>
      <c r="AN2048" s="4">
        <v>0</v>
      </c>
      <c r="AO2048" s="4">
        <v>0</v>
      </c>
      <c r="AP2048" s="4">
        <v>3</v>
      </c>
      <c r="AQ2048" s="4">
        <v>3</v>
      </c>
      <c r="AR2048" s="3" t="s">
        <v>65</v>
      </c>
      <c r="AS2048" s="3" t="s">
        <v>65</v>
      </c>
      <c r="AT2048" s="3" t="s">
        <v>65</v>
      </c>
      <c r="AV2048" s="6" t="str">
        <f>HYPERLINK("http://mcgill.on.worldcat.org/oclc/820121412","Catalog Record")</f>
        <v>Catalog Record</v>
      </c>
      <c r="AW2048" s="6" t="str">
        <f>HYPERLINK("http://www.worldcat.org/oclc/820121412","WorldCat Record")</f>
        <v>WorldCat Record</v>
      </c>
      <c r="AX2048" s="3" t="s">
        <v>20062</v>
      </c>
      <c r="AY2048" s="3" t="s">
        <v>20063</v>
      </c>
      <c r="AZ2048" s="3" t="s">
        <v>20064</v>
      </c>
      <c r="BA2048" s="3" t="s">
        <v>20064</v>
      </c>
      <c r="BB2048" s="3" t="s">
        <v>20065</v>
      </c>
      <c r="BC2048" s="3" t="s">
        <v>77</v>
      </c>
      <c r="BD2048" s="3" t="s">
        <v>78</v>
      </c>
      <c r="BE2048" s="3" t="s">
        <v>20066</v>
      </c>
      <c r="BF2048" s="3" t="s">
        <v>20065</v>
      </c>
      <c r="BG2048" s="3" t="s">
        <v>20067</v>
      </c>
    </row>
    <row r="2049" spans="1:59" ht="58" x14ac:dyDescent="0.35">
      <c r="A2049" s="2" t="s">
        <v>59</v>
      </c>
      <c r="B2049" s="2" t="s">
        <v>60</v>
      </c>
      <c r="C2049" s="2" t="s">
        <v>20068</v>
      </c>
      <c r="D2049" s="2" t="s">
        <v>20069</v>
      </c>
      <c r="E2049" s="2" t="s">
        <v>20070</v>
      </c>
      <c r="G2049" s="3" t="s">
        <v>65</v>
      </c>
      <c r="I2049" s="3" t="s">
        <v>65</v>
      </c>
      <c r="J2049" s="3" t="s">
        <v>65</v>
      </c>
      <c r="K2049" s="3" t="s">
        <v>66</v>
      </c>
      <c r="L2049" s="2" t="s">
        <v>20071</v>
      </c>
      <c r="M2049" s="2" t="s">
        <v>20072</v>
      </c>
      <c r="N2049" s="3" t="s">
        <v>176</v>
      </c>
      <c r="P2049" s="3" t="s">
        <v>140</v>
      </c>
      <c r="Q2049" s="2" t="s">
        <v>20073</v>
      </c>
      <c r="R2049" s="3" t="s">
        <v>71</v>
      </c>
      <c r="S2049" s="4">
        <v>0</v>
      </c>
      <c r="T2049" s="4">
        <v>0</v>
      </c>
      <c r="W2049" s="5" t="s">
        <v>72</v>
      </c>
      <c r="X2049" s="5" t="s">
        <v>72</v>
      </c>
      <c r="Y2049" s="4">
        <v>30</v>
      </c>
      <c r="Z2049" s="4">
        <v>5</v>
      </c>
      <c r="AA2049" s="4">
        <v>5</v>
      </c>
      <c r="AB2049" s="4">
        <v>1</v>
      </c>
      <c r="AC2049" s="4">
        <v>1</v>
      </c>
      <c r="AD2049" s="4">
        <v>21</v>
      </c>
      <c r="AE2049" s="4">
        <v>21</v>
      </c>
      <c r="AF2049" s="4">
        <v>0</v>
      </c>
      <c r="AG2049" s="4">
        <v>0</v>
      </c>
      <c r="AH2049" s="4">
        <v>20</v>
      </c>
      <c r="AI2049" s="4">
        <v>20</v>
      </c>
      <c r="AJ2049" s="4">
        <v>2</v>
      </c>
      <c r="AK2049" s="4">
        <v>2</v>
      </c>
      <c r="AL2049" s="4">
        <v>17</v>
      </c>
      <c r="AM2049" s="4">
        <v>17</v>
      </c>
      <c r="AN2049" s="4">
        <v>0</v>
      </c>
      <c r="AO2049" s="4">
        <v>0</v>
      </c>
      <c r="AP2049" s="4">
        <v>2</v>
      </c>
      <c r="AQ2049" s="4">
        <v>2</v>
      </c>
      <c r="AR2049" s="3" t="s">
        <v>65</v>
      </c>
      <c r="AS2049" s="3" t="s">
        <v>65</v>
      </c>
      <c r="AT2049" s="3" t="s">
        <v>65</v>
      </c>
      <c r="AV2049" s="6" t="str">
        <f>HYPERLINK("http://mcgill.on.worldcat.org/oclc/903942290","Catalog Record")</f>
        <v>Catalog Record</v>
      </c>
      <c r="AW2049" s="6" t="str">
        <f>HYPERLINK("http://www.worldcat.org/oclc/903942290","WorldCat Record")</f>
        <v>WorldCat Record</v>
      </c>
      <c r="AX2049" s="3" t="s">
        <v>20074</v>
      </c>
      <c r="AY2049" s="3" t="s">
        <v>20075</v>
      </c>
      <c r="AZ2049" s="3" t="s">
        <v>20076</v>
      </c>
      <c r="BA2049" s="3" t="s">
        <v>20076</v>
      </c>
      <c r="BB2049" s="3" t="s">
        <v>20077</v>
      </c>
      <c r="BC2049" s="3" t="s">
        <v>77</v>
      </c>
      <c r="BD2049" s="3" t="s">
        <v>78</v>
      </c>
      <c r="BE2049" s="3" t="s">
        <v>20078</v>
      </c>
      <c r="BF2049" s="3" t="s">
        <v>20077</v>
      </c>
      <c r="BG2049" s="3" t="s">
        <v>20079</v>
      </c>
    </row>
    <row r="2050" spans="1:59" ht="58" x14ac:dyDescent="0.35">
      <c r="A2050" s="2" t="s">
        <v>59</v>
      </c>
      <c r="B2050" s="2" t="s">
        <v>60</v>
      </c>
      <c r="C2050" s="2" t="s">
        <v>20080</v>
      </c>
      <c r="D2050" s="2" t="s">
        <v>20081</v>
      </c>
      <c r="E2050" s="2" t="s">
        <v>20082</v>
      </c>
      <c r="G2050" s="3" t="s">
        <v>65</v>
      </c>
      <c r="I2050" s="3" t="s">
        <v>65</v>
      </c>
      <c r="J2050" s="3" t="s">
        <v>65</v>
      </c>
      <c r="K2050" s="3" t="s">
        <v>66</v>
      </c>
      <c r="M2050" s="2" t="s">
        <v>3211</v>
      </c>
      <c r="N2050" s="3" t="s">
        <v>176</v>
      </c>
      <c r="P2050" s="3" t="s">
        <v>140</v>
      </c>
      <c r="Q2050" s="2" t="s">
        <v>20083</v>
      </c>
      <c r="R2050" s="3" t="s">
        <v>71</v>
      </c>
      <c r="S2050" s="4">
        <v>0</v>
      </c>
      <c r="T2050" s="4">
        <v>0</v>
      </c>
      <c r="W2050" s="5" t="s">
        <v>72</v>
      </c>
      <c r="X2050" s="5" t="s">
        <v>72</v>
      </c>
      <c r="Y2050" s="4">
        <v>43</v>
      </c>
      <c r="Z2050" s="4">
        <v>5</v>
      </c>
      <c r="AA2050" s="4">
        <v>5</v>
      </c>
      <c r="AB2050" s="4">
        <v>1</v>
      </c>
      <c r="AC2050" s="4">
        <v>1</v>
      </c>
      <c r="AD2050" s="4">
        <v>32</v>
      </c>
      <c r="AE2050" s="4">
        <v>32</v>
      </c>
      <c r="AF2050" s="4">
        <v>0</v>
      </c>
      <c r="AG2050" s="4">
        <v>0</v>
      </c>
      <c r="AH2050" s="4">
        <v>31</v>
      </c>
      <c r="AI2050" s="4">
        <v>31</v>
      </c>
      <c r="AJ2050" s="4">
        <v>2</v>
      </c>
      <c r="AK2050" s="4">
        <v>2</v>
      </c>
      <c r="AL2050" s="4">
        <v>24</v>
      </c>
      <c r="AM2050" s="4">
        <v>24</v>
      </c>
      <c r="AN2050" s="4">
        <v>0</v>
      </c>
      <c r="AO2050" s="4">
        <v>0</v>
      </c>
      <c r="AP2050" s="4">
        <v>2</v>
      </c>
      <c r="AQ2050" s="4">
        <v>2</v>
      </c>
      <c r="AR2050" s="3" t="s">
        <v>65</v>
      </c>
      <c r="AS2050" s="3" t="s">
        <v>65</v>
      </c>
      <c r="AT2050" s="3" t="s">
        <v>65</v>
      </c>
      <c r="AV2050" s="6" t="str">
        <f>HYPERLINK("http://mcgill.on.worldcat.org/oclc/918819397","Catalog Record")</f>
        <v>Catalog Record</v>
      </c>
      <c r="AW2050" s="6" t="str">
        <f>HYPERLINK("http://www.worldcat.org/oclc/918819397","WorldCat Record")</f>
        <v>WorldCat Record</v>
      </c>
      <c r="AX2050" s="3" t="s">
        <v>20084</v>
      </c>
      <c r="AY2050" s="3" t="s">
        <v>20085</v>
      </c>
      <c r="AZ2050" s="3" t="s">
        <v>20086</v>
      </c>
      <c r="BA2050" s="3" t="s">
        <v>20086</v>
      </c>
      <c r="BB2050" s="3" t="s">
        <v>20087</v>
      </c>
      <c r="BC2050" s="3" t="s">
        <v>77</v>
      </c>
      <c r="BD2050" s="3" t="s">
        <v>78</v>
      </c>
      <c r="BE2050" s="3" t="s">
        <v>20088</v>
      </c>
      <c r="BF2050" s="3" t="s">
        <v>20087</v>
      </c>
      <c r="BG2050" s="3" t="s">
        <v>20089</v>
      </c>
    </row>
    <row r="2051" spans="1:59" ht="58" x14ac:dyDescent="0.35">
      <c r="A2051" s="2" t="s">
        <v>59</v>
      </c>
      <c r="B2051" s="2" t="s">
        <v>60</v>
      </c>
      <c r="C2051" s="2" t="s">
        <v>20090</v>
      </c>
      <c r="D2051" s="2" t="s">
        <v>20091</v>
      </c>
      <c r="E2051" s="2" t="s">
        <v>20092</v>
      </c>
      <c r="G2051" s="3" t="s">
        <v>65</v>
      </c>
      <c r="I2051" s="3" t="s">
        <v>65</v>
      </c>
      <c r="J2051" s="3" t="s">
        <v>65</v>
      </c>
      <c r="K2051" s="3" t="s">
        <v>66</v>
      </c>
      <c r="L2051" s="2" t="s">
        <v>20093</v>
      </c>
      <c r="M2051" s="2" t="s">
        <v>20094</v>
      </c>
      <c r="N2051" s="3" t="s">
        <v>176</v>
      </c>
      <c r="O2051" s="2" t="s">
        <v>235</v>
      </c>
      <c r="P2051" s="3" t="s">
        <v>140</v>
      </c>
      <c r="R2051" s="3" t="s">
        <v>71</v>
      </c>
      <c r="S2051" s="4">
        <v>0</v>
      </c>
      <c r="T2051" s="4">
        <v>0</v>
      </c>
      <c r="W2051" s="5" t="s">
        <v>72</v>
      </c>
      <c r="X2051" s="5" t="s">
        <v>72</v>
      </c>
      <c r="Y2051" s="4">
        <v>49</v>
      </c>
      <c r="Z2051" s="4">
        <v>5</v>
      </c>
      <c r="AA2051" s="4">
        <v>5</v>
      </c>
      <c r="AB2051" s="4">
        <v>1</v>
      </c>
      <c r="AC2051" s="4">
        <v>1</v>
      </c>
      <c r="AD2051" s="4">
        <v>36</v>
      </c>
      <c r="AE2051" s="4">
        <v>36</v>
      </c>
      <c r="AF2051" s="4">
        <v>0</v>
      </c>
      <c r="AG2051" s="4">
        <v>0</v>
      </c>
      <c r="AH2051" s="4">
        <v>35</v>
      </c>
      <c r="AI2051" s="4">
        <v>35</v>
      </c>
      <c r="AJ2051" s="4">
        <v>2</v>
      </c>
      <c r="AK2051" s="4">
        <v>2</v>
      </c>
      <c r="AL2051" s="4">
        <v>28</v>
      </c>
      <c r="AM2051" s="4">
        <v>28</v>
      </c>
      <c r="AN2051" s="4">
        <v>0</v>
      </c>
      <c r="AO2051" s="4">
        <v>0</v>
      </c>
      <c r="AP2051" s="4">
        <v>2</v>
      </c>
      <c r="AQ2051" s="4">
        <v>2</v>
      </c>
      <c r="AR2051" s="3" t="s">
        <v>65</v>
      </c>
      <c r="AS2051" s="3" t="s">
        <v>65</v>
      </c>
      <c r="AT2051" s="3" t="s">
        <v>65</v>
      </c>
      <c r="AV2051" s="6" t="str">
        <f>HYPERLINK("http://mcgill.on.worldcat.org/oclc/910913434","Catalog Record")</f>
        <v>Catalog Record</v>
      </c>
      <c r="AW2051" s="6" t="str">
        <f>HYPERLINK("http://www.worldcat.org/oclc/910913434","WorldCat Record")</f>
        <v>WorldCat Record</v>
      </c>
      <c r="AX2051" s="3" t="s">
        <v>20095</v>
      </c>
      <c r="AY2051" s="3" t="s">
        <v>20096</v>
      </c>
      <c r="AZ2051" s="3" t="s">
        <v>20097</v>
      </c>
      <c r="BA2051" s="3" t="s">
        <v>20097</v>
      </c>
      <c r="BB2051" s="3" t="s">
        <v>20098</v>
      </c>
      <c r="BC2051" s="3" t="s">
        <v>77</v>
      </c>
      <c r="BD2051" s="3" t="s">
        <v>78</v>
      </c>
      <c r="BE2051" s="3" t="s">
        <v>20099</v>
      </c>
      <c r="BF2051" s="3" t="s">
        <v>20098</v>
      </c>
      <c r="BG2051" s="3" t="s">
        <v>20100</v>
      </c>
    </row>
    <row r="2052" spans="1:59" ht="58" x14ac:dyDescent="0.35">
      <c r="A2052" s="2" t="s">
        <v>59</v>
      </c>
      <c r="B2052" s="2" t="s">
        <v>60</v>
      </c>
      <c r="C2052" s="2" t="s">
        <v>20101</v>
      </c>
      <c r="D2052" s="2" t="s">
        <v>20102</v>
      </c>
      <c r="E2052" s="2" t="s">
        <v>20103</v>
      </c>
      <c r="G2052" s="3" t="s">
        <v>65</v>
      </c>
      <c r="I2052" s="3" t="s">
        <v>65</v>
      </c>
      <c r="J2052" s="3" t="s">
        <v>65</v>
      </c>
      <c r="K2052" s="3" t="s">
        <v>66</v>
      </c>
      <c r="M2052" s="2" t="s">
        <v>20104</v>
      </c>
      <c r="N2052" s="3" t="s">
        <v>126</v>
      </c>
      <c r="P2052" s="3" t="s">
        <v>140</v>
      </c>
      <c r="Q2052" s="2" t="s">
        <v>20105</v>
      </c>
      <c r="R2052" s="3" t="s">
        <v>71</v>
      </c>
      <c r="S2052" s="4">
        <v>0</v>
      </c>
      <c r="T2052" s="4">
        <v>0</v>
      </c>
      <c r="W2052" s="5" t="s">
        <v>72</v>
      </c>
      <c r="X2052" s="5" t="s">
        <v>72</v>
      </c>
      <c r="Y2052" s="4">
        <v>26</v>
      </c>
      <c r="Z2052" s="4">
        <v>3</v>
      </c>
      <c r="AA2052" s="4">
        <v>3</v>
      </c>
      <c r="AB2052" s="4">
        <v>1</v>
      </c>
      <c r="AC2052" s="4">
        <v>1</v>
      </c>
      <c r="AD2052" s="4">
        <v>19</v>
      </c>
      <c r="AE2052" s="4">
        <v>19</v>
      </c>
      <c r="AF2052" s="4">
        <v>0</v>
      </c>
      <c r="AG2052" s="4">
        <v>0</v>
      </c>
      <c r="AH2052" s="4">
        <v>18</v>
      </c>
      <c r="AI2052" s="4">
        <v>18</v>
      </c>
      <c r="AJ2052" s="4">
        <v>1</v>
      </c>
      <c r="AK2052" s="4">
        <v>1</v>
      </c>
      <c r="AL2052" s="4">
        <v>14</v>
      </c>
      <c r="AM2052" s="4">
        <v>14</v>
      </c>
      <c r="AN2052" s="4">
        <v>0</v>
      </c>
      <c r="AO2052" s="4">
        <v>0</v>
      </c>
      <c r="AP2052" s="4">
        <v>1</v>
      </c>
      <c r="AQ2052" s="4">
        <v>1</v>
      </c>
      <c r="AR2052" s="3" t="s">
        <v>65</v>
      </c>
      <c r="AS2052" s="3" t="s">
        <v>65</v>
      </c>
      <c r="AT2052" s="3" t="s">
        <v>65</v>
      </c>
      <c r="AV2052" s="6" t="str">
        <f>HYPERLINK("http://mcgill.on.worldcat.org/oclc/774488053","Catalog Record")</f>
        <v>Catalog Record</v>
      </c>
      <c r="AW2052" s="6" t="str">
        <f>HYPERLINK("http://www.worldcat.org/oclc/774488053","WorldCat Record")</f>
        <v>WorldCat Record</v>
      </c>
      <c r="AX2052" s="3" t="s">
        <v>20106</v>
      </c>
      <c r="AY2052" s="3" t="s">
        <v>20107</v>
      </c>
      <c r="AZ2052" s="3" t="s">
        <v>20108</v>
      </c>
      <c r="BA2052" s="3" t="s">
        <v>20108</v>
      </c>
      <c r="BB2052" s="3" t="s">
        <v>20109</v>
      </c>
      <c r="BC2052" s="3" t="s">
        <v>77</v>
      </c>
      <c r="BD2052" s="3" t="s">
        <v>78</v>
      </c>
      <c r="BE2052" s="3" t="s">
        <v>20110</v>
      </c>
      <c r="BF2052" s="3" t="s">
        <v>20109</v>
      </c>
      <c r="BG2052" s="3" t="s">
        <v>20111</v>
      </c>
    </row>
    <row r="2053" spans="1:59" ht="58" x14ac:dyDescent="0.35">
      <c r="A2053" s="2" t="s">
        <v>59</v>
      </c>
      <c r="B2053" s="2" t="s">
        <v>60</v>
      </c>
      <c r="C2053" s="2" t="s">
        <v>20112</v>
      </c>
      <c r="D2053" s="2" t="s">
        <v>20113</v>
      </c>
      <c r="E2053" s="2" t="s">
        <v>20114</v>
      </c>
      <c r="G2053" s="3" t="s">
        <v>65</v>
      </c>
      <c r="I2053" s="3" t="s">
        <v>65</v>
      </c>
      <c r="J2053" s="3" t="s">
        <v>65</v>
      </c>
      <c r="K2053" s="3" t="s">
        <v>66</v>
      </c>
      <c r="L2053" s="2" t="s">
        <v>20115</v>
      </c>
      <c r="M2053" s="2" t="s">
        <v>20116</v>
      </c>
      <c r="N2053" s="3" t="s">
        <v>1895</v>
      </c>
      <c r="P2053" s="3" t="s">
        <v>140</v>
      </c>
      <c r="Q2053" s="2" t="s">
        <v>20117</v>
      </c>
      <c r="R2053" s="3" t="s">
        <v>71</v>
      </c>
      <c r="S2053" s="4">
        <v>1</v>
      </c>
      <c r="T2053" s="4">
        <v>1</v>
      </c>
      <c r="U2053" s="5" t="s">
        <v>20118</v>
      </c>
      <c r="V2053" s="5" t="s">
        <v>20118</v>
      </c>
      <c r="W2053" s="5" t="s">
        <v>72</v>
      </c>
      <c r="X2053" s="5" t="s">
        <v>72</v>
      </c>
      <c r="Y2053" s="4">
        <v>47</v>
      </c>
      <c r="Z2053" s="4">
        <v>3</v>
      </c>
      <c r="AA2053" s="4">
        <v>3</v>
      </c>
      <c r="AB2053" s="4">
        <v>1</v>
      </c>
      <c r="AC2053" s="4">
        <v>1</v>
      </c>
      <c r="AD2053" s="4">
        <v>31</v>
      </c>
      <c r="AE2053" s="4">
        <v>31</v>
      </c>
      <c r="AF2053" s="4">
        <v>0</v>
      </c>
      <c r="AG2053" s="4">
        <v>0</v>
      </c>
      <c r="AH2053" s="4">
        <v>30</v>
      </c>
      <c r="AI2053" s="4">
        <v>30</v>
      </c>
      <c r="AJ2053" s="4">
        <v>1</v>
      </c>
      <c r="AK2053" s="4">
        <v>1</v>
      </c>
      <c r="AL2053" s="4">
        <v>26</v>
      </c>
      <c r="AM2053" s="4">
        <v>26</v>
      </c>
      <c r="AN2053" s="4">
        <v>0</v>
      </c>
      <c r="AO2053" s="4">
        <v>0</v>
      </c>
      <c r="AP2053" s="4">
        <v>1</v>
      </c>
      <c r="AQ2053" s="4">
        <v>1</v>
      </c>
      <c r="AR2053" s="3" t="s">
        <v>65</v>
      </c>
      <c r="AS2053" s="3" t="s">
        <v>65</v>
      </c>
      <c r="AT2053" s="3" t="s">
        <v>209</v>
      </c>
      <c r="AU2053" s="6" t="str">
        <f>HYPERLINK("http://catalog.hathitrust.org/Record/003330690","HathiTrust Record")</f>
        <v>HathiTrust Record</v>
      </c>
      <c r="AV2053" s="6" t="str">
        <f>HYPERLINK("http://mcgill.on.worldcat.org/oclc/40144256","Catalog Record")</f>
        <v>Catalog Record</v>
      </c>
      <c r="AW2053" s="6" t="str">
        <f>HYPERLINK("http://www.worldcat.org/oclc/40144256","WorldCat Record")</f>
        <v>WorldCat Record</v>
      </c>
      <c r="AX2053" s="3" t="s">
        <v>20119</v>
      </c>
      <c r="AY2053" s="3" t="s">
        <v>20120</v>
      </c>
      <c r="AZ2053" s="3" t="s">
        <v>20121</v>
      </c>
      <c r="BA2053" s="3" t="s">
        <v>20121</v>
      </c>
      <c r="BB2053" s="3" t="s">
        <v>20122</v>
      </c>
      <c r="BC2053" s="3" t="s">
        <v>77</v>
      </c>
      <c r="BD2053" s="3" t="s">
        <v>78</v>
      </c>
      <c r="BE2053" s="3" t="s">
        <v>20123</v>
      </c>
      <c r="BF2053" s="3" t="s">
        <v>20122</v>
      </c>
      <c r="BG2053" s="3" t="s">
        <v>20124</v>
      </c>
    </row>
    <row r="2054" spans="1:59" ht="58" x14ac:dyDescent="0.35">
      <c r="A2054" s="2" t="s">
        <v>59</v>
      </c>
      <c r="B2054" s="2" t="s">
        <v>60</v>
      </c>
      <c r="C2054" s="2" t="s">
        <v>20125</v>
      </c>
      <c r="D2054" s="2" t="s">
        <v>20126</v>
      </c>
      <c r="E2054" s="2" t="s">
        <v>20127</v>
      </c>
      <c r="G2054" s="3" t="s">
        <v>65</v>
      </c>
      <c r="I2054" s="3" t="s">
        <v>65</v>
      </c>
      <c r="J2054" s="3" t="s">
        <v>65</v>
      </c>
      <c r="K2054" s="3" t="s">
        <v>66</v>
      </c>
      <c r="L2054" s="2" t="s">
        <v>20128</v>
      </c>
      <c r="M2054" s="2" t="s">
        <v>20129</v>
      </c>
      <c r="N2054" s="3" t="s">
        <v>126</v>
      </c>
      <c r="P2054" s="3" t="s">
        <v>140</v>
      </c>
      <c r="Q2054" s="2" t="s">
        <v>20130</v>
      </c>
      <c r="R2054" s="3" t="s">
        <v>71</v>
      </c>
      <c r="S2054" s="4">
        <v>0</v>
      </c>
      <c r="T2054" s="4">
        <v>0</v>
      </c>
      <c r="W2054" s="5" t="s">
        <v>72</v>
      </c>
      <c r="X2054" s="5" t="s">
        <v>72</v>
      </c>
      <c r="Y2054" s="4">
        <v>55</v>
      </c>
      <c r="Z2054" s="4">
        <v>5</v>
      </c>
      <c r="AA2054" s="4">
        <v>5</v>
      </c>
      <c r="AB2054" s="4">
        <v>1</v>
      </c>
      <c r="AC2054" s="4">
        <v>1</v>
      </c>
      <c r="AD2054" s="4">
        <v>38</v>
      </c>
      <c r="AE2054" s="4">
        <v>38</v>
      </c>
      <c r="AF2054" s="4">
        <v>0</v>
      </c>
      <c r="AG2054" s="4">
        <v>0</v>
      </c>
      <c r="AH2054" s="4">
        <v>36</v>
      </c>
      <c r="AI2054" s="4">
        <v>36</v>
      </c>
      <c r="AJ2054" s="4">
        <v>2</v>
      </c>
      <c r="AK2054" s="4">
        <v>2</v>
      </c>
      <c r="AL2054" s="4">
        <v>28</v>
      </c>
      <c r="AM2054" s="4">
        <v>28</v>
      </c>
      <c r="AN2054" s="4">
        <v>0</v>
      </c>
      <c r="AO2054" s="4">
        <v>0</v>
      </c>
      <c r="AP2054" s="4">
        <v>2</v>
      </c>
      <c r="AQ2054" s="4">
        <v>2</v>
      </c>
      <c r="AR2054" s="3" t="s">
        <v>65</v>
      </c>
      <c r="AS2054" s="3" t="s">
        <v>65</v>
      </c>
      <c r="AT2054" s="3" t="s">
        <v>65</v>
      </c>
      <c r="AV2054" s="6" t="str">
        <f>HYPERLINK("http://mcgill.on.worldcat.org/oclc/707959231","Catalog Record")</f>
        <v>Catalog Record</v>
      </c>
      <c r="AW2054" s="6" t="str">
        <f>HYPERLINK("http://www.worldcat.org/oclc/707959231","WorldCat Record")</f>
        <v>WorldCat Record</v>
      </c>
      <c r="AX2054" s="3" t="s">
        <v>20131</v>
      </c>
      <c r="AY2054" s="3" t="s">
        <v>20132</v>
      </c>
      <c r="AZ2054" s="3" t="s">
        <v>20133</v>
      </c>
      <c r="BA2054" s="3" t="s">
        <v>20133</v>
      </c>
      <c r="BB2054" s="3" t="s">
        <v>20134</v>
      </c>
      <c r="BC2054" s="3" t="s">
        <v>77</v>
      </c>
      <c r="BD2054" s="3" t="s">
        <v>78</v>
      </c>
      <c r="BE2054" s="3" t="s">
        <v>20135</v>
      </c>
      <c r="BF2054" s="3" t="s">
        <v>20134</v>
      </c>
      <c r="BG2054" s="3" t="s">
        <v>20136</v>
      </c>
    </row>
    <row r="2055" spans="1:59" ht="58" x14ac:dyDescent="0.35">
      <c r="A2055" s="2" t="s">
        <v>59</v>
      </c>
      <c r="B2055" s="2" t="s">
        <v>60</v>
      </c>
      <c r="C2055" s="2" t="s">
        <v>20137</v>
      </c>
      <c r="D2055" s="2" t="s">
        <v>20138</v>
      </c>
      <c r="E2055" s="2" t="s">
        <v>20139</v>
      </c>
      <c r="G2055" s="3" t="s">
        <v>65</v>
      </c>
      <c r="I2055" s="3" t="s">
        <v>65</v>
      </c>
      <c r="J2055" s="3" t="s">
        <v>65</v>
      </c>
      <c r="K2055" s="3" t="s">
        <v>66</v>
      </c>
      <c r="M2055" s="2" t="s">
        <v>20140</v>
      </c>
      <c r="N2055" s="3" t="s">
        <v>176</v>
      </c>
      <c r="P2055" s="3" t="s">
        <v>69</v>
      </c>
      <c r="Q2055" s="2" t="s">
        <v>20141</v>
      </c>
      <c r="R2055" s="3" t="s">
        <v>71</v>
      </c>
      <c r="S2055" s="4">
        <v>0</v>
      </c>
      <c r="T2055" s="4">
        <v>0</v>
      </c>
      <c r="W2055" s="5" t="s">
        <v>72</v>
      </c>
      <c r="X2055" s="5" t="s">
        <v>72</v>
      </c>
      <c r="Y2055" s="4">
        <v>40</v>
      </c>
      <c r="Z2055" s="4">
        <v>4</v>
      </c>
      <c r="AA2055" s="4">
        <v>14</v>
      </c>
      <c r="AB2055" s="4">
        <v>1</v>
      </c>
      <c r="AC2055" s="4">
        <v>3</v>
      </c>
      <c r="AD2055" s="4">
        <v>22</v>
      </c>
      <c r="AE2055" s="4">
        <v>27</v>
      </c>
      <c r="AF2055" s="4">
        <v>0</v>
      </c>
      <c r="AG2055" s="4">
        <v>0</v>
      </c>
      <c r="AH2055" s="4">
        <v>22</v>
      </c>
      <c r="AI2055" s="4">
        <v>23</v>
      </c>
      <c r="AJ2055" s="4">
        <v>3</v>
      </c>
      <c r="AK2055" s="4">
        <v>3</v>
      </c>
      <c r="AL2055" s="4">
        <v>12</v>
      </c>
      <c r="AM2055" s="4">
        <v>13</v>
      </c>
      <c r="AN2055" s="4">
        <v>0</v>
      </c>
      <c r="AO2055" s="4">
        <v>0</v>
      </c>
      <c r="AP2055" s="4">
        <v>3</v>
      </c>
      <c r="AQ2055" s="4">
        <v>7</v>
      </c>
      <c r="AR2055" s="3" t="s">
        <v>65</v>
      </c>
      <c r="AS2055" s="3" t="s">
        <v>65</v>
      </c>
      <c r="AT2055" s="3" t="s">
        <v>65</v>
      </c>
      <c r="AV2055" s="6" t="str">
        <f>HYPERLINK("http://mcgill.on.worldcat.org/oclc/902803266","Catalog Record")</f>
        <v>Catalog Record</v>
      </c>
      <c r="AW2055" s="6" t="str">
        <f>HYPERLINK("http://www.worldcat.org/oclc/902803266","WorldCat Record")</f>
        <v>WorldCat Record</v>
      </c>
      <c r="AX2055" s="3" t="s">
        <v>20142</v>
      </c>
      <c r="AY2055" s="3" t="s">
        <v>20143</v>
      </c>
      <c r="AZ2055" s="3" t="s">
        <v>20144</v>
      </c>
      <c r="BA2055" s="3" t="s">
        <v>20144</v>
      </c>
      <c r="BB2055" s="3" t="s">
        <v>20145</v>
      </c>
      <c r="BC2055" s="3" t="s">
        <v>77</v>
      </c>
      <c r="BD2055" s="3" t="s">
        <v>78</v>
      </c>
      <c r="BE2055" s="3" t="s">
        <v>20146</v>
      </c>
      <c r="BF2055" s="3" t="s">
        <v>20145</v>
      </c>
      <c r="BG2055" s="3" t="s">
        <v>20147</v>
      </c>
    </row>
    <row r="2056" spans="1:59" ht="58" x14ac:dyDescent="0.35">
      <c r="A2056" s="2" t="s">
        <v>59</v>
      </c>
      <c r="B2056" s="2" t="s">
        <v>60</v>
      </c>
      <c r="C2056" s="2" t="s">
        <v>20148</v>
      </c>
      <c r="D2056" s="2" t="s">
        <v>20149</v>
      </c>
      <c r="E2056" s="2" t="s">
        <v>20150</v>
      </c>
      <c r="G2056" s="3" t="s">
        <v>65</v>
      </c>
      <c r="I2056" s="3" t="s">
        <v>65</v>
      </c>
      <c r="J2056" s="3" t="s">
        <v>65</v>
      </c>
      <c r="K2056" s="3" t="s">
        <v>66</v>
      </c>
      <c r="L2056" s="2" t="s">
        <v>20151</v>
      </c>
      <c r="M2056" s="2" t="s">
        <v>20152</v>
      </c>
      <c r="N2056" s="3" t="s">
        <v>176</v>
      </c>
      <c r="P2056" s="3" t="s">
        <v>140</v>
      </c>
      <c r="Q2056" s="2" t="s">
        <v>20153</v>
      </c>
      <c r="R2056" s="3" t="s">
        <v>71</v>
      </c>
      <c r="S2056" s="4">
        <v>0</v>
      </c>
      <c r="T2056" s="4">
        <v>0</v>
      </c>
      <c r="W2056" s="5" t="s">
        <v>72</v>
      </c>
      <c r="X2056" s="5" t="s">
        <v>72</v>
      </c>
      <c r="Y2056" s="4">
        <v>58</v>
      </c>
      <c r="Z2056" s="4">
        <v>5</v>
      </c>
      <c r="AA2056" s="4">
        <v>5</v>
      </c>
      <c r="AB2056" s="4">
        <v>1</v>
      </c>
      <c r="AC2056" s="4">
        <v>1</v>
      </c>
      <c r="AD2056" s="4">
        <v>40</v>
      </c>
      <c r="AE2056" s="4">
        <v>40</v>
      </c>
      <c r="AF2056" s="4">
        <v>0</v>
      </c>
      <c r="AG2056" s="4">
        <v>0</v>
      </c>
      <c r="AH2056" s="4">
        <v>39</v>
      </c>
      <c r="AI2056" s="4">
        <v>39</v>
      </c>
      <c r="AJ2056" s="4">
        <v>2</v>
      </c>
      <c r="AK2056" s="4">
        <v>2</v>
      </c>
      <c r="AL2056" s="4">
        <v>31</v>
      </c>
      <c r="AM2056" s="4">
        <v>31</v>
      </c>
      <c r="AN2056" s="4">
        <v>0</v>
      </c>
      <c r="AO2056" s="4">
        <v>0</v>
      </c>
      <c r="AP2056" s="4">
        <v>2</v>
      </c>
      <c r="AQ2056" s="4">
        <v>2</v>
      </c>
      <c r="AR2056" s="3" t="s">
        <v>65</v>
      </c>
      <c r="AS2056" s="3" t="s">
        <v>65</v>
      </c>
      <c r="AT2056" s="3" t="s">
        <v>65</v>
      </c>
      <c r="AV2056" s="6" t="str">
        <f>HYPERLINK("http://mcgill.on.worldcat.org/oclc/911401156","Catalog Record")</f>
        <v>Catalog Record</v>
      </c>
      <c r="AW2056" s="6" t="str">
        <f>HYPERLINK("http://www.worldcat.org/oclc/911401156","WorldCat Record")</f>
        <v>WorldCat Record</v>
      </c>
      <c r="AX2056" s="3" t="s">
        <v>20154</v>
      </c>
      <c r="AY2056" s="3" t="s">
        <v>20155</v>
      </c>
      <c r="AZ2056" s="3" t="s">
        <v>20156</v>
      </c>
      <c r="BA2056" s="3" t="s">
        <v>20156</v>
      </c>
      <c r="BB2056" s="3" t="s">
        <v>20157</v>
      </c>
      <c r="BC2056" s="3" t="s">
        <v>77</v>
      </c>
      <c r="BD2056" s="3" t="s">
        <v>78</v>
      </c>
      <c r="BE2056" s="3" t="s">
        <v>20158</v>
      </c>
      <c r="BF2056" s="3" t="s">
        <v>20157</v>
      </c>
      <c r="BG2056" s="3" t="s">
        <v>20159</v>
      </c>
    </row>
    <row r="2057" spans="1:59" ht="58" x14ac:dyDescent="0.35">
      <c r="A2057" s="2" t="s">
        <v>59</v>
      </c>
      <c r="B2057" s="2" t="s">
        <v>60</v>
      </c>
      <c r="C2057" s="2" t="s">
        <v>20160</v>
      </c>
      <c r="D2057" s="2" t="s">
        <v>20161</v>
      </c>
      <c r="E2057" s="2" t="s">
        <v>20162</v>
      </c>
      <c r="G2057" s="3" t="s">
        <v>65</v>
      </c>
      <c r="I2057" s="3" t="s">
        <v>65</v>
      </c>
      <c r="J2057" s="3" t="s">
        <v>65</v>
      </c>
      <c r="K2057" s="3" t="s">
        <v>66</v>
      </c>
      <c r="L2057" s="2" t="s">
        <v>20163</v>
      </c>
      <c r="M2057" s="2" t="s">
        <v>20164</v>
      </c>
      <c r="N2057" s="3" t="s">
        <v>126</v>
      </c>
      <c r="P2057" s="3" t="s">
        <v>140</v>
      </c>
      <c r="R2057" s="3" t="s">
        <v>71</v>
      </c>
      <c r="S2057" s="4">
        <v>0</v>
      </c>
      <c r="T2057" s="4">
        <v>0</v>
      </c>
      <c r="W2057" s="5" t="s">
        <v>72</v>
      </c>
      <c r="X2057" s="5" t="s">
        <v>72</v>
      </c>
      <c r="Y2057" s="4">
        <v>32</v>
      </c>
      <c r="Z2057" s="4">
        <v>5</v>
      </c>
      <c r="AA2057" s="4">
        <v>5</v>
      </c>
      <c r="AB2057" s="4">
        <v>1</v>
      </c>
      <c r="AC2057" s="4">
        <v>1</v>
      </c>
      <c r="AD2057" s="4">
        <v>20</v>
      </c>
      <c r="AE2057" s="4">
        <v>20</v>
      </c>
      <c r="AF2057" s="4">
        <v>0</v>
      </c>
      <c r="AG2057" s="4">
        <v>0</v>
      </c>
      <c r="AH2057" s="4">
        <v>20</v>
      </c>
      <c r="AI2057" s="4">
        <v>20</v>
      </c>
      <c r="AJ2057" s="4">
        <v>2</v>
      </c>
      <c r="AK2057" s="4">
        <v>2</v>
      </c>
      <c r="AL2057" s="4">
        <v>13</v>
      </c>
      <c r="AM2057" s="4">
        <v>13</v>
      </c>
      <c r="AN2057" s="4">
        <v>0</v>
      </c>
      <c r="AO2057" s="4">
        <v>0</v>
      </c>
      <c r="AP2057" s="4">
        <v>2</v>
      </c>
      <c r="AQ2057" s="4">
        <v>2</v>
      </c>
      <c r="AR2057" s="3" t="s">
        <v>65</v>
      </c>
      <c r="AS2057" s="3" t="s">
        <v>65</v>
      </c>
      <c r="AT2057" s="3" t="s">
        <v>65</v>
      </c>
      <c r="AV2057" s="6" t="str">
        <f>HYPERLINK("http://mcgill.on.worldcat.org/oclc/730397699","Catalog Record")</f>
        <v>Catalog Record</v>
      </c>
      <c r="AW2057" s="6" t="str">
        <f>HYPERLINK("http://www.worldcat.org/oclc/730397699","WorldCat Record")</f>
        <v>WorldCat Record</v>
      </c>
      <c r="AX2057" s="3" t="s">
        <v>20165</v>
      </c>
      <c r="AY2057" s="3" t="s">
        <v>20166</v>
      </c>
      <c r="AZ2057" s="3" t="s">
        <v>20167</v>
      </c>
      <c r="BA2057" s="3" t="s">
        <v>20167</v>
      </c>
      <c r="BB2057" s="3" t="s">
        <v>20168</v>
      </c>
      <c r="BC2057" s="3" t="s">
        <v>77</v>
      </c>
      <c r="BD2057" s="3" t="s">
        <v>78</v>
      </c>
      <c r="BE2057" s="3" t="s">
        <v>20169</v>
      </c>
      <c r="BF2057" s="3" t="s">
        <v>20168</v>
      </c>
      <c r="BG2057" s="3" t="s">
        <v>20170</v>
      </c>
    </row>
    <row r="2058" spans="1:59" ht="58" x14ac:dyDescent="0.35">
      <c r="A2058" s="2" t="s">
        <v>59</v>
      </c>
      <c r="B2058" s="2" t="s">
        <v>60</v>
      </c>
      <c r="C2058" s="2" t="s">
        <v>20171</v>
      </c>
      <c r="D2058" s="2" t="s">
        <v>20172</v>
      </c>
      <c r="E2058" s="2" t="s">
        <v>20173</v>
      </c>
      <c r="G2058" s="3" t="s">
        <v>65</v>
      </c>
      <c r="I2058" s="3" t="s">
        <v>65</v>
      </c>
      <c r="J2058" s="3" t="s">
        <v>65</v>
      </c>
      <c r="K2058" s="3" t="s">
        <v>66</v>
      </c>
      <c r="L2058" s="2" t="s">
        <v>20174</v>
      </c>
      <c r="M2058" s="2" t="s">
        <v>20175</v>
      </c>
      <c r="N2058" s="3" t="s">
        <v>139</v>
      </c>
      <c r="P2058" s="3" t="s">
        <v>140</v>
      </c>
      <c r="Q2058" s="2" t="s">
        <v>20176</v>
      </c>
      <c r="R2058" s="3" t="s">
        <v>71</v>
      </c>
      <c r="S2058" s="4">
        <v>0</v>
      </c>
      <c r="T2058" s="4">
        <v>0</v>
      </c>
      <c r="W2058" s="5" t="s">
        <v>72</v>
      </c>
      <c r="X2058" s="5" t="s">
        <v>72</v>
      </c>
      <c r="Y2058" s="4">
        <v>36</v>
      </c>
      <c r="Z2058" s="4">
        <v>4</v>
      </c>
      <c r="AA2058" s="4">
        <v>4</v>
      </c>
      <c r="AB2058" s="4">
        <v>1</v>
      </c>
      <c r="AC2058" s="4">
        <v>1</v>
      </c>
      <c r="AD2058" s="4">
        <v>22</v>
      </c>
      <c r="AE2058" s="4">
        <v>22</v>
      </c>
      <c r="AF2058" s="4">
        <v>0</v>
      </c>
      <c r="AG2058" s="4">
        <v>0</v>
      </c>
      <c r="AH2058" s="4">
        <v>21</v>
      </c>
      <c r="AI2058" s="4">
        <v>21</v>
      </c>
      <c r="AJ2058" s="4">
        <v>1</v>
      </c>
      <c r="AK2058" s="4">
        <v>1</v>
      </c>
      <c r="AL2058" s="4">
        <v>18</v>
      </c>
      <c r="AM2058" s="4">
        <v>18</v>
      </c>
      <c r="AN2058" s="4">
        <v>0</v>
      </c>
      <c r="AO2058" s="4">
        <v>0</v>
      </c>
      <c r="AP2058" s="4">
        <v>1</v>
      </c>
      <c r="AQ2058" s="4">
        <v>1</v>
      </c>
      <c r="AR2058" s="3" t="s">
        <v>65</v>
      </c>
      <c r="AS2058" s="3" t="s">
        <v>65</v>
      </c>
      <c r="AT2058" s="3" t="s">
        <v>65</v>
      </c>
      <c r="AV2058" s="6" t="str">
        <f>HYPERLINK("http://mcgill.on.worldcat.org/oclc/840403822","Catalog Record")</f>
        <v>Catalog Record</v>
      </c>
      <c r="AW2058" s="6" t="str">
        <f>HYPERLINK("http://www.worldcat.org/oclc/840403822","WorldCat Record")</f>
        <v>WorldCat Record</v>
      </c>
      <c r="AX2058" s="3" t="s">
        <v>20177</v>
      </c>
      <c r="AY2058" s="3" t="s">
        <v>20178</v>
      </c>
      <c r="AZ2058" s="3" t="s">
        <v>20179</v>
      </c>
      <c r="BA2058" s="3" t="s">
        <v>20179</v>
      </c>
      <c r="BB2058" s="3" t="s">
        <v>20180</v>
      </c>
      <c r="BC2058" s="3" t="s">
        <v>77</v>
      </c>
      <c r="BD2058" s="3" t="s">
        <v>78</v>
      </c>
      <c r="BE2058" s="3" t="s">
        <v>20181</v>
      </c>
      <c r="BF2058" s="3" t="s">
        <v>20180</v>
      </c>
      <c r="BG2058" s="3" t="s">
        <v>20182</v>
      </c>
    </row>
    <row r="2059" spans="1:59" ht="58" x14ac:dyDescent="0.35">
      <c r="A2059" s="2" t="s">
        <v>59</v>
      </c>
      <c r="B2059" s="2" t="s">
        <v>60</v>
      </c>
      <c r="C2059" s="2" t="s">
        <v>20183</v>
      </c>
      <c r="D2059" s="2" t="s">
        <v>20184</v>
      </c>
      <c r="E2059" s="2" t="s">
        <v>20185</v>
      </c>
      <c r="G2059" s="3" t="s">
        <v>65</v>
      </c>
      <c r="I2059" s="3" t="s">
        <v>65</v>
      </c>
      <c r="J2059" s="3" t="s">
        <v>65</v>
      </c>
      <c r="K2059" s="3" t="s">
        <v>66</v>
      </c>
      <c r="L2059" s="2" t="s">
        <v>20186</v>
      </c>
      <c r="M2059" s="2" t="s">
        <v>20187</v>
      </c>
      <c r="N2059" s="3" t="s">
        <v>152</v>
      </c>
      <c r="P2059" s="3" t="s">
        <v>69</v>
      </c>
      <c r="Q2059" s="2" t="s">
        <v>2245</v>
      </c>
      <c r="R2059" s="3" t="s">
        <v>71</v>
      </c>
      <c r="S2059" s="4">
        <v>0</v>
      </c>
      <c r="T2059" s="4">
        <v>0</v>
      </c>
      <c r="W2059" s="5" t="s">
        <v>72</v>
      </c>
      <c r="X2059" s="5" t="s">
        <v>72</v>
      </c>
      <c r="Y2059" s="4">
        <v>38</v>
      </c>
      <c r="Z2059" s="4">
        <v>3</v>
      </c>
      <c r="AA2059" s="4">
        <v>3</v>
      </c>
      <c r="AB2059" s="4">
        <v>1</v>
      </c>
      <c r="AC2059" s="4">
        <v>1</v>
      </c>
      <c r="AD2059" s="4">
        <v>22</v>
      </c>
      <c r="AE2059" s="4">
        <v>22</v>
      </c>
      <c r="AF2059" s="4">
        <v>0</v>
      </c>
      <c r="AG2059" s="4">
        <v>0</v>
      </c>
      <c r="AH2059" s="4">
        <v>22</v>
      </c>
      <c r="AI2059" s="4">
        <v>22</v>
      </c>
      <c r="AJ2059" s="4">
        <v>2</v>
      </c>
      <c r="AK2059" s="4">
        <v>2</v>
      </c>
      <c r="AL2059" s="4">
        <v>15</v>
      </c>
      <c r="AM2059" s="4">
        <v>15</v>
      </c>
      <c r="AN2059" s="4">
        <v>0</v>
      </c>
      <c r="AO2059" s="4">
        <v>0</v>
      </c>
      <c r="AP2059" s="4">
        <v>2</v>
      </c>
      <c r="AQ2059" s="4">
        <v>2</v>
      </c>
      <c r="AR2059" s="3" t="s">
        <v>65</v>
      </c>
      <c r="AS2059" s="3" t="s">
        <v>65</v>
      </c>
      <c r="AT2059" s="3" t="s">
        <v>65</v>
      </c>
      <c r="AV2059" s="6" t="str">
        <f>HYPERLINK("http://mcgill.on.worldcat.org/oclc/830353336","Catalog Record")</f>
        <v>Catalog Record</v>
      </c>
      <c r="AW2059" s="6" t="str">
        <f>HYPERLINK("http://www.worldcat.org/oclc/830353336","WorldCat Record")</f>
        <v>WorldCat Record</v>
      </c>
      <c r="AX2059" s="3" t="s">
        <v>20188</v>
      </c>
      <c r="AY2059" s="3" t="s">
        <v>20189</v>
      </c>
      <c r="AZ2059" s="3" t="s">
        <v>20190</v>
      </c>
      <c r="BA2059" s="3" t="s">
        <v>20190</v>
      </c>
      <c r="BB2059" s="3" t="s">
        <v>20191</v>
      </c>
      <c r="BC2059" s="3" t="s">
        <v>77</v>
      </c>
      <c r="BD2059" s="3" t="s">
        <v>78</v>
      </c>
      <c r="BE2059" s="3" t="s">
        <v>20192</v>
      </c>
      <c r="BF2059" s="3" t="s">
        <v>20191</v>
      </c>
      <c r="BG2059" s="3" t="s">
        <v>20193</v>
      </c>
    </row>
    <row r="2060" spans="1:59" ht="58" x14ac:dyDescent="0.35">
      <c r="A2060" s="2" t="s">
        <v>59</v>
      </c>
      <c r="B2060" s="2" t="s">
        <v>60</v>
      </c>
      <c r="C2060" s="2" t="s">
        <v>20194</v>
      </c>
      <c r="D2060" s="2" t="s">
        <v>20195</v>
      </c>
      <c r="E2060" s="2" t="s">
        <v>20196</v>
      </c>
      <c r="G2060" s="3" t="s">
        <v>65</v>
      </c>
      <c r="I2060" s="3" t="s">
        <v>65</v>
      </c>
      <c r="J2060" s="3" t="s">
        <v>65</v>
      </c>
      <c r="K2060" s="3" t="s">
        <v>66</v>
      </c>
      <c r="L2060" s="2" t="s">
        <v>20197</v>
      </c>
      <c r="M2060" s="2" t="s">
        <v>20198</v>
      </c>
      <c r="N2060" s="3" t="s">
        <v>7187</v>
      </c>
      <c r="O2060" s="2" t="s">
        <v>339</v>
      </c>
      <c r="P2060" s="3" t="s">
        <v>140</v>
      </c>
      <c r="Q2060" s="2" t="s">
        <v>20199</v>
      </c>
      <c r="R2060" s="3" t="s">
        <v>71</v>
      </c>
      <c r="S2060" s="4">
        <v>4</v>
      </c>
      <c r="T2060" s="4">
        <v>4</v>
      </c>
      <c r="U2060" s="5" t="s">
        <v>15476</v>
      </c>
      <c r="V2060" s="5" t="s">
        <v>15476</v>
      </c>
      <c r="W2060" s="5" t="s">
        <v>72</v>
      </c>
      <c r="X2060" s="5" t="s">
        <v>72</v>
      </c>
      <c r="Y2060" s="4">
        <v>32</v>
      </c>
      <c r="Z2060" s="4">
        <v>3</v>
      </c>
      <c r="AA2060" s="4">
        <v>4</v>
      </c>
      <c r="AB2060" s="4">
        <v>1</v>
      </c>
      <c r="AC2060" s="4">
        <v>1</v>
      </c>
      <c r="AD2060" s="4">
        <v>16</v>
      </c>
      <c r="AE2060" s="4">
        <v>17</v>
      </c>
      <c r="AF2060" s="4">
        <v>0</v>
      </c>
      <c r="AG2060" s="4">
        <v>0</v>
      </c>
      <c r="AH2060" s="4">
        <v>15</v>
      </c>
      <c r="AI2060" s="4">
        <v>16</v>
      </c>
      <c r="AJ2060" s="4">
        <v>1</v>
      </c>
      <c r="AK2060" s="4">
        <v>1</v>
      </c>
      <c r="AL2060" s="4">
        <v>12</v>
      </c>
      <c r="AM2060" s="4">
        <v>13</v>
      </c>
      <c r="AN2060" s="4">
        <v>0</v>
      </c>
      <c r="AO2060" s="4">
        <v>0</v>
      </c>
      <c r="AP2060" s="4">
        <v>1</v>
      </c>
      <c r="AQ2060" s="4">
        <v>1</v>
      </c>
      <c r="AR2060" s="3" t="s">
        <v>65</v>
      </c>
      <c r="AS2060" s="3" t="s">
        <v>65</v>
      </c>
      <c r="AT2060" s="3" t="s">
        <v>65</v>
      </c>
      <c r="AV2060" s="6" t="str">
        <f>HYPERLINK("http://mcgill.on.worldcat.org/oclc/4779716","Catalog Record")</f>
        <v>Catalog Record</v>
      </c>
      <c r="AW2060" s="6" t="str">
        <f>HYPERLINK("http://www.worldcat.org/oclc/4779716","WorldCat Record")</f>
        <v>WorldCat Record</v>
      </c>
      <c r="AX2060" s="3" t="s">
        <v>20200</v>
      </c>
      <c r="AY2060" s="3" t="s">
        <v>20201</v>
      </c>
      <c r="AZ2060" s="3" t="s">
        <v>20202</v>
      </c>
      <c r="BA2060" s="3" t="s">
        <v>20202</v>
      </c>
      <c r="BB2060" s="3" t="s">
        <v>20203</v>
      </c>
      <c r="BC2060" s="3" t="s">
        <v>77</v>
      </c>
      <c r="BD2060" s="3" t="s">
        <v>78</v>
      </c>
      <c r="BF2060" s="3" t="s">
        <v>20203</v>
      </c>
      <c r="BG2060" s="3" t="s">
        <v>20204</v>
      </c>
    </row>
    <row r="2061" spans="1:59" ht="58" x14ac:dyDescent="0.35">
      <c r="A2061" s="2" t="s">
        <v>59</v>
      </c>
      <c r="B2061" s="2" t="s">
        <v>60</v>
      </c>
      <c r="C2061" s="2" t="s">
        <v>20205</v>
      </c>
      <c r="D2061" s="2" t="s">
        <v>20206</v>
      </c>
      <c r="E2061" s="2" t="s">
        <v>20207</v>
      </c>
      <c r="G2061" s="3" t="s">
        <v>65</v>
      </c>
      <c r="I2061" s="3" t="s">
        <v>65</v>
      </c>
      <c r="J2061" s="3" t="s">
        <v>65</v>
      </c>
      <c r="K2061" s="3" t="s">
        <v>66</v>
      </c>
      <c r="L2061" s="2" t="s">
        <v>20208</v>
      </c>
      <c r="M2061" s="2" t="s">
        <v>20209</v>
      </c>
      <c r="N2061" s="3" t="s">
        <v>3448</v>
      </c>
      <c r="P2061" s="3" t="s">
        <v>140</v>
      </c>
      <c r="R2061" s="3" t="s">
        <v>71</v>
      </c>
      <c r="S2061" s="4">
        <v>1</v>
      </c>
      <c r="T2061" s="4">
        <v>1</v>
      </c>
      <c r="U2061" s="5" t="s">
        <v>3553</v>
      </c>
      <c r="V2061" s="5" t="s">
        <v>3553</v>
      </c>
      <c r="W2061" s="5" t="s">
        <v>72</v>
      </c>
      <c r="X2061" s="5" t="s">
        <v>72</v>
      </c>
      <c r="Y2061" s="4">
        <v>5</v>
      </c>
      <c r="Z2061" s="4">
        <v>1</v>
      </c>
      <c r="AA2061" s="4">
        <v>1</v>
      </c>
      <c r="AB2061" s="4">
        <v>1</v>
      </c>
      <c r="AC2061" s="4">
        <v>1</v>
      </c>
      <c r="AD2061" s="4">
        <v>3</v>
      </c>
      <c r="AE2061" s="4">
        <v>3</v>
      </c>
      <c r="AF2061" s="4">
        <v>0</v>
      </c>
      <c r="AG2061" s="4">
        <v>0</v>
      </c>
      <c r="AH2061" s="4">
        <v>3</v>
      </c>
      <c r="AI2061" s="4">
        <v>3</v>
      </c>
      <c r="AJ2061" s="4">
        <v>0</v>
      </c>
      <c r="AK2061" s="4">
        <v>0</v>
      </c>
      <c r="AL2061" s="4">
        <v>1</v>
      </c>
      <c r="AM2061" s="4">
        <v>1</v>
      </c>
      <c r="AN2061" s="4">
        <v>0</v>
      </c>
      <c r="AO2061" s="4">
        <v>0</v>
      </c>
      <c r="AP2061" s="4">
        <v>0</v>
      </c>
      <c r="AQ2061" s="4">
        <v>0</v>
      </c>
      <c r="AR2061" s="3" t="s">
        <v>65</v>
      </c>
      <c r="AS2061" s="3" t="s">
        <v>65</v>
      </c>
      <c r="AT2061" s="3" t="s">
        <v>65</v>
      </c>
      <c r="AV2061" s="6" t="str">
        <f>HYPERLINK("http://mcgill.on.worldcat.org/oclc/25717030","Catalog Record")</f>
        <v>Catalog Record</v>
      </c>
      <c r="AW2061" s="6" t="str">
        <f>HYPERLINK("http://www.worldcat.org/oclc/25717030","WorldCat Record")</f>
        <v>WorldCat Record</v>
      </c>
      <c r="AX2061" s="3" t="s">
        <v>20210</v>
      </c>
      <c r="AY2061" s="3" t="s">
        <v>20211</v>
      </c>
      <c r="AZ2061" s="3" t="s">
        <v>20212</v>
      </c>
      <c r="BA2061" s="3" t="s">
        <v>20212</v>
      </c>
      <c r="BB2061" s="3" t="s">
        <v>20213</v>
      </c>
      <c r="BC2061" s="3" t="s">
        <v>77</v>
      </c>
      <c r="BD2061" s="3" t="s">
        <v>78</v>
      </c>
      <c r="BF2061" s="3" t="s">
        <v>20213</v>
      </c>
      <c r="BG2061" s="3" t="s">
        <v>20214</v>
      </c>
    </row>
    <row r="2062" spans="1:59" ht="58" x14ac:dyDescent="0.35">
      <c r="A2062" s="2" t="s">
        <v>59</v>
      </c>
      <c r="B2062" s="2" t="s">
        <v>60</v>
      </c>
      <c r="C2062" s="2" t="s">
        <v>20215</v>
      </c>
      <c r="D2062" s="2" t="s">
        <v>20216</v>
      </c>
      <c r="E2062" s="2" t="s">
        <v>20217</v>
      </c>
      <c r="G2062" s="3" t="s">
        <v>65</v>
      </c>
      <c r="I2062" s="3" t="s">
        <v>65</v>
      </c>
      <c r="J2062" s="3" t="s">
        <v>65</v>
      </c>
      <c r="K2062" s="3" t="s">
        <v>66</v>
      </c>
      <c r="M2062" s="2" t="s">
        <v>20218</v>
      </c>
      <c r="N2062" s="3" t="s">
        <v>139</v>
      </c>
      <c r="P2062" s="3" t="s">
        <v>69</v>
      </c>
      <c r="Q2062" s="2" t="s">
        <v>20219</v>
      </c>
      <c r="R2062" s="3" t="s">
        <v>71</v>
      </c>
      <c r="S2062" s="4">
        <v>2</v>
      </c>
      <c r="T2062" s="4">
        <v>2</v>
      </c>
      <c r="U2062" s="5" t="s">
        <v>16287</v>
      </c>
      <c r="V2062" s="5" t="s">
        <v>16287</v>
      </c>
      <c r="W2062" s="5" t="s">
        <v>72</v>
      </c>
      <c r="X2062" s="5" t="s">
        <v>72</v>
      </c>
      <c r="Y2062" s="4">
        <v>93</v>
      </c>
      <c r="Z2062" s="4">
        <v>13</v>
      </c>
      <c r="AA2062" s="4">
        <v>23</v>
      </c>
      <c r="AB2062" s="4">
        <v>1</v>
      </c>
      <c r="AC2062" s="4">
        <v>4</v>
      </c>
      <c r="AD2062" s="4">
        <v>41</v>
      </c>
      <c r="AE2062" s="4">
        <v>64</v>
      </c>
      <c r="AF2062" s="4">
        <v>0</v>
      </c>
      <c r="AG2062" s="4">
        <v>0</v>
      </c>
      <c r="AH2062" s="4">
        <v>39</v>
      </c>
      <c r="AI2062" s="4">
        <v>58</v>
      </c>
      <c r="AJ2062" s="4">
        <v>10</v>
      </c>
      <c r="AK2062" s="4">
        <v>10</v>
      </c>
      <c r="AL2062" s="4">
        <v>26</v>
      </c>
      <c r="AM2062" s="4">
        <v>33</v>
      </c>
      <c r="AN2062" s="4">
        <v>0</v>
      </c>
      <c r="AO2062" s="4">
        <v>0</v>
      </c>
      <c r="AP2062" s="4">
        <v>10</v>
      </c>
      <c r="AQ2062" s="4">
        <v>14</v>
      </c>
      <c r="AR2062" s="3" t="s">
        <v>65</v>
      </c>
      <c r="AS2062" s="3" t="s">
        <v>65</v>
      </c>
      <c r="AT2062" s="3" t="s">
        <v>65</v>
      </c>
      <c r="AV2062" s="6" t="str">
        <f>HYPERLINK("http://mcgill.on.worldcat.org/oclc/666242830","Catalog Record")</f>
        <v>Catalog Record</v>
      </c>
      <c r="AW2062" s="6" t="str">
        <f>HYPERLINK("http://www.worldcat.org/oclc/666242830","WorldCat Record")</f>
        <v>WorldCat Record</v>
      </c>
      <c r="AX2062" s="3" t="s">
        <v>20220</v>
      </c>
      <c r="AY2062" s="3" t="s">
        <v>20221</v>
      </c>
      <c r="AZ2062" s="3" t="s">
        <v>20222</v>
      </c>
      <c r="BA2062" s="3" t="s">
        <v>20222</v>
      </c>
      <c r="BB2062" s="3" t="s">
        <v>20223</v>
      </c>
      <c r="BC2062" s="3" t="s">
        <v>77</v>
      </c>
      <c r="BD2062" s="3" t="s">
        <v>78</v>
      </c>
      <c r="BE2062" s="3" t="s">
        <v>20224</v>
      </c>
      <c r="BF2062" s="3" t="s">
        <v>20223</v>
      </c>
      <c r="BG2062" s="3" t="s">
        <v>20225</v>
      </c>
    </row>
    <row r="2063" spans="1:59" ht="116" x14ac:dyDescent="0.35">
      <c r="A2063" s="2" t="s">
        <v>59</v>
      </c>
      <c r="B2063" s="2" t="s">
        <v>20226</v>
      </c>
      <c r="C2063" s="2" t="s">
        <v>20227</v>
      </c>
      <c r="D2063" s="2" t="s">
        <v>20228</v>
      </c>
      <c r="E2063" s="2" t="s">
        <v>20229</v>
      </c>
      <c r="G2063" s="3" t="s">
        <v>65</v>
      </c>
      <c r="I2063" s="3" t="s">
        <v>65</v>
      </c>
      <c r="J2063" s="3" t="s">
        <v>65</v>
      </c>
      <c r="K2063" s="3" t="s">
        <v>66</v>
      </c>
      <c r="L2063" s="2" t="s">
        <v>20230</v>
      </c>
      <c r="M2063" s="2" t="s">
        <v>20231</v>
      </c>
      <c r="N2063" s="3" t="s">
        <v>164</v>
      </c>
      <c r="O2063" s="2" t="s">
        <v>20232</v>
      </c>
      <c r="P2063" s="3" t="s">
        <v>20233</v>
      </c>
      <c r="Q2063" s="2" t="s">
        <v>20234</v>
      </c>
      <c r="R2063" s="3" t="s">
        <v>71</v>
      </c>
      <c r="S2063" s="4">
        <v>0</v>
      </c>
      <c r="T2063" s="4">
        <v>0</v>
      </c>
      <c r="W2063" s="5" t="s">
        <v>72</v>
      </c>
      <c r="X2063" s="5" t="s">
        <v>72</v>
      </c>
      <c r="Y2063" s="4">
        <v>14</v>
      </c>
      <c r="Z2063" s="4">
        <v>2</v>
      </c>
      <c r="AA2063" s="4">
        <v>12</v>
      </c>
      <c r="AB2063" s="4">
        <v>1</v>
      </c>
      <c r="AC2063" s="4">
        <v>3</v>
      </c>
      <c r="AD2063" s="4">
        <v>5</v>
      </c>
      <c r="AE2063" s="4">
        <v>14</v>
      </c>
      <c r="AF2063" s="4">
        <v>0</v>
      </c>
      <c r="AG2063" s="4">
        <v>0</v>
      </c>
      <c r="AH2063" s="4">
        <v>5</v>
      </c>
      <c r="AI2063" s="4">
        <v>13</v>
      </c>
      <c r="AJ2063" s="4">
        <v>0</v>
      </c>
      <c r="AK2063" s="4">
        <v>1</v>
      </c>
      <c r="AL2063" s="4">
        <v>4</v>
      </c>
      <c r="AM2063" s="4">
        <v>9</v>
      </c>
      <c r="AN2063" s="4">
        <v>0</v>
      </c>
      <c r="AO2063" s="4">
        <v>0</v>
      </c>
      <c r="AP2063" s="4">
        <v>0</v>
      </c>
      <c r="AQ2063" s="4">
        <v>1</v>
      </c>
      <c r="AR2063" s="3" t="s">
        <v>65</v>
      </c>
      <c r="AS2063" s="3" t="s">
        <v>65</v>
      </c>
      <c r="AT2063" s="3" t="s">
        <v>65</v>
      </c>
      <c r="AV2063" s="6" t="str">
        <f>HYPERLINK("http://mcgill.on.worldcat.org/oclc/884534714","Catalog Record")</f>
        <v>Catalog Record</v>
      </c>
      <c r="AW2063" s="6" t="str">
        <f>HYPERLINK("http://www.worldcat.org/oclc/884534714","WorldCat Record")</f>
        <v>WorldCat Record</v>
      </c>
      <c r="AX2063" s="3" t="s">
        <v>20235</v>
      </c>
      <c r="AY2063" s="3" t="s">
        <v>20236</v>
      </c>
      <c r="AZ2063" s="3" t="s">
        <v>20237</v>
      </c>
      <c r="BA2063" s="3" t="s">
        <v>20237</v>
      </c>
      <c r="BB2063" s="3" t="s">
        <v>20238</v>
      </c>
      <c r="BC2063" s="3" t="s">
        <v>77</v>
      </c>
      <c r="BD2063" s="3" t="s">
        <v>78</v>
      </c>
      <c r="BE2063" s="3" t="s">
        <v>20239</v>
      </c>
      <c r="BF2063" s="3" t="s">
        <v>20238</v>
      </c>
      <c r="BG2063" s="3" t="s">
        <v>20240</v>
      </c>
    </row>
    <row r="2064" spans="1:59" ht="72.5" x14ac:dyDescent="0.35">
      <c r="A2064" s="2" t="s">
        <v>59</v>
      </c>
      <c r="B2064" s="2" t="s">
        <v>60</v>
      </c>
      <c r="C2064" s="2" t="s">
        <v>20241</v>
      </c>
      <c r="D2064" s="2" t="s">
        <v>20242</v>
      </c>
      <c r="E2064" s="2" t="s">
        <v>20243</v>
      </c>
      <c r="G2064" s="3" t="s">
        <v>65</v>
      </c>
      <c r="I2064" s="3" t="s">
        <v>65</v>
      </c>
      <c r="J2064" s="3" t="s">
        <v>65</v>
      </c>
      <c r="K2064" s="3" t="s">
        <v>66</v>
      </c>
      <c r="L2064" s="2" t="s">
        <v>20244</v>
      </c>
      <c r="M2064" s="2" t="s">
        <v>20245</v>
      </c>
      <c r="N2064" s="3" t="s">
        <v>126</v>
      </c>
      <c r="P2064" s="3" t="s">
        <v>140</v>
      </c>
      <c r="Q2064" s="2" t="s">
        <v>20246</v>
      </c>
      <c r="R2064" s="3" t="s">
        <v>71</v>
      </c>
      <c r="S2064" s="4">
        <v>0</v>
      </c>
      <c r="T2064" s="4">
        <v>0</v>
      </c>
      <c r="W2064" s="5" t="s">
        <v>72</v>
      </c>
      <c r="X2064" s="5" t="s">
        <v>72</v>
      </c>
      <c r="Y2064" s="4">
        <v>29</v>
      </c>
      <c r="Z2064" s="4">
        <v>3</v>
      </c>
      <c r="AA2064" s="4">
        <v>3</v>
      </c>
      <c r="AB2064" s="4">
        <v>1</v>
      </c>
      <c r="AC2064" s="4">
        <v>1</v>
      </c>
      <c r="AD2064" s="4">
        <v>21</v>
      </c>
      <c r="AE2064" s="4">
        <v>21</v>
      </c>
      <c r="AF2064" s="4">
        <v>0</v>
      </c>
      <c r="AG2064" s="4">
        <v>0</v>
      </c>
      <c r="AH2064" s="4">
        <v>20</v>
      </c>
      <c r="AI2064" s="4">
        <v>20</v>
      </c>
      <c r="AJ2064" s="4">
        <v>1</v>
      </c>
      <c r="AK2064" s="4">
        <v>1</v>
      </c>
      <c r="AL2064" s="4">
        <v>18</v>
      </c>
      <c r="AM2064" s="4">
        <v>18</v>
      </c>
      <c r="AN2064" s="4">
        <v>0</v>
      </c>
      <c r="AO2064" s="4">
        <v>0</v>
      </c>
      <c r="AP2064" s="4">
        <v>1</v>
      </c>
      <c r="AQ2064" s="4">
        <v>1</v>
      </c>
      <c r="AR2064" s="3" t="s">
        <v>65</v>
      </c>
      <c r="AS2064" s="3" t="s">
        <v>65</v>
      </c>
      <c r="AT2064" s="3" t="s">
        <v>65</v>
      </c>
      <c r="AV2064" s="6" t="str">
        <f>HYPERLINK("http://mcgill.on.worldcat.org/oclc/824351789","Catalog Record")</f>
        <v>Catalog Record</v>
      </c>
      <c r="AW2064" s="6" t="str">
        <f>HYPERLINK("http://www.worldcat.org/oclc/824351789","WorldCat Record")</f>
        <v>WorldCat Record</v>
      </c>
      <c r="AX2064" s="3" t="s">
        <v>20247</v>
      </c>
      <c r="AY2064" s="3" t="s">
        <v>20248</v>
      </c>
      <c r="AZ2064" s="3" t="s">
        <v>20249</v>
      </c>
      <c r="BA2064" s="3" t="s">
        <v>20249</v>
      </c>
      <c r="BB2064" s="3" t="s">
        <v>20250</v>
      </c>
      <c r="BC2064" s="3" t="s">
        <v>77</v>
      </c>
      <c r="BD2064" s="3" t="s">
        <v>78</v>
      </c>
      <c r="BE2064" s="3" t="s">
        <v>20251</v>
      </c>
      <c r="BF2064" s="3" t="s">
        <v>20250</v>
      </c>
      <c r="BG2064" s="3" t="s">
        <v>20252</v>
      </c>
    </row>
    <row r="2065" spans="1:59" ht="72.5" x14ac:dyDescent="0.35">
      <c r="A2065" s="2" t="s">
        <v>59</v>
      </c>
      <c r="B2065" s="2" t="s">
        <v>60</v>
      </c>
      <c r="C2065" s="2" t="s">
        <v>20253</v>
      </c>
      <c r="D2065" s="2" t="s">
        <v>20254</v>
      </c>
      <c r="E2065" s="2" t="s">
        <v>20255</v>
      </c>
      <c r="G2065" s="3" t="s">
        <v>65</v>
      </c>
      <c r="I2065" s="3" t="s">
        <v>65</v>
      </c>
      <c r="J2065" s="3" t="s">
        <v>65</v>
      </c>
      <c r="K2065" s="3" t="s">
        <v>66</v>
      </c>
      <c r="M2065" s="2" t="s">
        <v>19778</v>
      </c>
      <c r="N2065" s="3" t="s">
        <v>176</v>
      </c>
      <c r="P2065" s="3" t="s">
        <v>140</v>
      </c>
      <c r="Q2065" s="2" t="s">
        <v>20256</v>
      </c>
      <c r="R2065" s="3" t="s">
        <v>71</v>
      </c>
      <c r="S2065" s="4">
        <v>0</v>
      </c>
      <c r="T2065" s="4">
        <v>0</v>
      </c>
      <c r="W2065" s="5" t="s">
        <v>72</v>
      </c>
      <c r="X2065" s="5" t="s">
        <v>72</v>
      </c>
      <c r="Y2065" s="4">
        <v>30</v>
      </c>
      <c r="Z2065" s="4">
        <v>3</v>
      </c>
      <c r="AA2065" s="4">
        <v>3</v>
      </c>
      <c r="AB2065" s="4">
        <v>1</v>
      </c>
      <c r="AC2065" s="4">
        <v>1</v>
      </c>
      <c r="AD2065" s="4">
        <v>22</v>
      </c>
      <c r="AE2065" s="4">
        <v>22</v>
      </c>
      <c r="AF2065" s="4">
        <v>0</v>
      </c>
      <c r="AG2065" s="4">
        <v>0</v>
      </c>
      <c r="AH2065" s="4">
        <v>21</v>
      </c>
      <c r="AI2065" s="4">
        <v>21</v>
      </c>
      <c r="AJ2065" s="4">
        <v>1</v>
      </c>
      <c r="AK2065" s="4">
        <v>1</v>
      </c>
      <c r="AL2065" s="4">
        <v>18</v>
      </c>
      <c r="AM2065" s="4">
        <v>18</v>
      </c>
      <c r="AN2065" s="4">
        <v>0</v>
      </c>
      <c r="AO2065" s="4">
        <v>0</v>
      </c>
      <c r="AP2065" s="4">
        <v>1</v>
      </c>
      <c r="AQ2065" s="4">
        <v>1</v>
      </c>
      <c r="AR2065" s="3" t="s">
        <v>65</v>
      </c>
      <c r="AS2065" s="3" t="s">
        <v>65</v>
      </c>
      <c r="AT2065" s="3" t="s">
        <v>65</v>
      </c>
      <c r="AV2065" s="6" t="str">
        <f>HYPERLINK("http://mcgill.on.worldcat.org/oclc/913218052","Catalog Record")</f>
        <v>Catalog Record</v>
      </c>
      <c r="AW2065" s="6" t="str">
        <f>HYPERLINK("http://www.worldcat.org/oclc/913218052","WorldCat Record")</f>
        <v>WorldCat Record</v>
      </c>
      <c r="AX2065" s="3" t="s">
        <v>20257</v>
      </c>
      <c r="AY2065" s="3" t="s">
        <v>20258</v>
      </c>
      <c r="AZ2065" s="3" t="s">
        <v>20259</v>
      </c>
      <c r="BA2065" s="3" t="s">
        <v>20259</v>
      </c>
      <c r="BB2065" s="3" t="s">
        <v>20260</v>
      </c>
      <c r="BC2065" s="3" t="s">
        <v>77</v>
      </c>
      <c r="BD2065" s="3" t="s">
        <v>78</v>
      </c>
      <c r="BE2065" s="3" t="s">
        <v>20261</v>
      </c>
      <c r="BF2065" s="3" t="s">
        <v>20260</v>
      </c>
      <c r="BG2065" s="3" t="s">
        <v>20262</v>
      </c>
    </row>
    <row r="2066" spans="1:59" ht="72.5" x14ac:dyDescent="0.35">
      <c r="A2066" s="2" t="s">
        <v>59</v>
      </c>
      <c r="B2066" s="2" t="s">
        <v>60</v>
      </c>
      <c r="C2066" s="2" t="s">
        <v>20263</v>
      </c>
      <c r="D2066" s="2" t="s">
        <v>20264</v>
      </c>
      <c r="E2066" s="2" t="s">
        <v>20265</v>
      </c>
      <c r="G2066" s="3" t="s">
        <v>65</v>
      </c>
      <c r="I2066" s="3" t="s">
        <v>65</v>
      </c>
      <c r="J2066" s="3" t="s">
        <v>65</v>
      </c>
      <c r="K2066" s="3" t="s">
        <v>66</v>
      </c>
      <c r="L2066" s="2" t="s">
        <v>20266</v>
      </c>
      <c r="M2066" s="2" t="s">
        <v>13067</v>
      </c>
      <c r="N2066" s="3" t="s">
        <v>126</v>
      </c>
      <c r="P2066" s="3" t="s">
        <v>140</v>
      </c>
      <c r="Q2066" s="2" t="s">
        <v>20267</v>
      </c>
      <c r="R2066" s="3" t="s">
        <v>71</v>
      </c>
      <c r="S2066" s="4">
        <v>0</v>
      </c>
      <c r="T2066" s="4">
        <v>0</v>
      </c>
      <c r="W2066" s="5" t="s">
        <v>72</v>
      </c>
      <c r="X2066" s="5" t="s">
        <v>72</v>
      </c>
      <c r="Y2066" s="4">
        <v>16</v>
      </c>
      <c r="Z2066" s="4">
        <v>1</v>
      </c>
      <c r="AA2066" s="4">
        <v>4</v>
      </c>
      <c r="AB2066" s="4">
        <v>1</v>
      </c>
      <c r="AC2066" s="4">
        <v>1</v>
      </c>
      <c r="AD2066" s="4">
        <v>11</v>
      </c>
      <c r="AE2066" s="4">
        <v>33</v>
      </c>
      <c r="AF2066" s="4">
        <v>0</v>
      </c>
      <c r="AG2066" s="4">
        <v>0</v>
      </c>
      <c r="AH2066" s="4">
        <v>11</v>
      </c>
      <c r="AI2066" s="4">
        <v>32</v>
      </c>
      <c r="AJ2066" s="4">
        <v>0</v>
      </c>
      <c r="AK2066" s="4">
        <v>2</v>
      </c>
      <c r="AL2066" s="4">
        <v>7</v>
      </c>
      <c r="AM2066" s="4">
        <v>24</v>
      </c>
      <c r="AN2066" s="4">
        <v>0</v>
      </c>
      <c r="AO2066" s="4">
        <v>0</v>
      </c>
      <c r="AP2066" s="4">
        <v>0</v>
      </c>
      <c r="AQ2066" s="4">
        <v>2</v>
      </c>
      <c r="AR2066" s="3" t="s">
        <v>65</v>
      </c>
      <c r="AS2066" s="3" t="s">
        <v>65</v>
      </c>
      <c r="AT2066" s="3" t="s">
        <v>65</v>
      </c>
      <c r="AV2066" s="6" t="str">
        <f>HYPERLINK("http://mcgill.on.worldcat.org/oclc/760053739","Catalog Record")</f>
        <v>Catalog Record</v>
      </c>
      <c r="AW2066" s="6" t="str">
        <f>HYPERLINK("http://www.worldcat.org/oclc/760053739","WorldCat Record")</f>
        <v>WorldCat Record</v>
      </c>
      <c r="AX2066" s="3" t="s">
        <v>20268</v>
      </c>
      <c r="AY2066" s="3" t="s">
        <v>20269</v>
      </c>
      <c r="AZ2066" s="3" t="s">
        <v>20270</v>
      </c>
      <c r="BA2066" s="3" t="s">
        <v>20270</v>
      </c>
      <c r="BB2066" s="3" t="s">
        <v>20271</v>
      </c>
      <c r="BC2066" s="3" t="s">
        <v>77</v>
      </c>
      <c r="BD2066" s="3" t="s">
        <v>78</v>
      </c>
      <c r="BE2066" s="3" t="s">
        <v>20272</v>
      </c>
      <c r="BF2066" s="3" t="s">
        <v>20271</v>
      </c>
      <c r="BG2066" s="3" t="s">
        <v>20273</v>
      </c>
    </row>
    <row r="2067" spans="1:59" ht="58" x14ac:dyDescent="0.35">
      <c r="A2067" s="2" t="s">
        <v>59</v>
      </c>
      <c r="B2067" s="2" t="s">
        <v>60</v>
      </c>
      <c r="C2067" s="2" t="s">
        <v>20274</v>
      </c>
      <c r="D2067" s="2" t="s">
        <v>20275</v>
      </c>
      <c r="E2067" s="2" t="s">
        <v>20276</v>
      </c>
      <c r="F2067" s="3" t="s">
        <v>20277</v>
      </c>
      <c r="G2067" s="3" t="s">
        <v>209</v>
      </c>
      <c r="I2067" s="3" t="s">
        <v>65</v>
      </c>
      <c r="J2067" s="3" t="s">
        <v>65</v>
      </c>
      <c r="K2067" s="3" t="s">
        <v>66</v>
      </c>
      <c r="L2067" s="2" t="s">
        <v>20278</v>
      </c>
      <c r="M2067" s="2" t="s">
        <v>20279</v>
      </c>
      <c r="N2067" s="3" t="s">
        <v>928</v>
      </c>
      <c r="P2067" s="3" t="s">
        <v>140</v>
      </c>
      <c r="Q2067" s="2" t="s">
        <v>20280</v>
      </c>
      <c r="R2067" s="3" t="s">
        <v>71</v>
      </c>
      <c r="S2067" s="4">
        <v>0</v>
      </c>
      <c r="T2067" s="4">
        <v>1</v>
      </c>
      <c r="V2067" s="5" t="s">
        <v>7314</v>
      </c>
      <c r="W2067" s="5" t="s">
        <v>72</v>
      </c>
      <c r="X2067" s="5" t="s">
        <v>72</v>
      </c>
      <c r="Y2067" s="4">
        <v>2</v>
      </c>
      <c r="Z2067" s="4">
        <v>1</v>
      </c>
      <c r="AA2067" s="4">
        <v>4</v>
      </c>
      <c r="AB2067" s="4">
        <v>1</v>
      </c>
      <c r="AC2067" s="4">
        <v>1</v>
      </c>
      <c r="AD2067" s="4">
        <v>1</v>
      </c>
      <c r="AE2067" s="4">
        <v>3</v>
      </c>
      <c r="AF2067" s="4">
        <v>0</v>
      </c>
      <c r="AG2067" s="4">
        <v>0</v>
      </c>
      <c r="AH2067" s="4">
        <v>1</v>
      </c>
      <c r="AI2067" s="4">
        <v>3</v>
      </c>
      <c r="AJ2067" s="4">
        <v>0</v>
      </c>
      <c r="AK2067" s="4">
        <v>2</v>
      </c>
      <c r="AL2067" s="4">
        <v>1</v>
      </c>
      <c r="AM2067" s="4">
        <v>2</v>
      </c>
      <c r="AN2067" s="4">
        <v>0</v>
      </c>
      <c r="AO2067" s="4">
        <v>0</v>
      </c>
      <c r="AP2067" s="4">
        <v>0</v>
      </c>
      <c r="AQ2067" s="4">
        <v>2</v>
      </c>
      <c r="AR2067" s="3" t="s">
        <v>65</v>
      </c>
      <c r="AS2067" s="3" t="s">
        <v>65</v>
      </c>
      <c r="AT2067" s="3" t="s">
        <v>65</v>
      </c>
      <c r="AV2067" s="6" t="str">
        <f t="shared" ref="AV2067:AV2078" si="34">HYPERLINK("http://mcgill.on.worldcat.org/oclc/427302859","Catalog Record")</f>
        <v>Catalog Record</v>
      </c>
      <c r="AW2067" s="6" t="str">
        <f t="shared" ref="AW2067:AW2078" si="35">HYPERLINK("http://www.worldcat.org/oclc/427302859","WorldCat Record")</f>
        <v>WorldCat Record</v>
      </c>
      <c r="AX2067" s="3" t="s">
        <v>20281</v>
      </c>
      <c r="AY2067" s="3" t="s">
        <v>20282</v>
      </c>
      <c r="AZ2067" s="3" t="s">
        <v>20283</v>
      </c>
      <c r="BA2067" s="3" t="s">
        <v>20283</v>
      </c>
      <c r="BB2067" s="3" t="s">
        <v>20284</v>
      </c>
      <c r="BC2067" s="3" t="s">
        <v>77</v>
      </c>
      <c r="BD2067" s="3" t="s">
        <v>78</v>
      </c>
      <c r="BF2067" s="3" t="s">
        <v>20284</v>
      </c>
      <c r="BG2067" s="3" t="s">
        <v>20285</v>
      </c>
    </row>
    <row r="2068" spans="1:59" ht="58" x14ac:dyDescent="0.35">
      <c r="A2068" s="2" t="s">
        <v>59</v>
      </c>
      <c r="B2068" s="2" t="s">
        <v>60</v>
      </c>
      <c r="C2068" s="2" t="s">
        <v>20274</v>
      </c>
      <c r="D2068" s="2" t="s">
        <v>20275</v>
      </c>
      <c r="E2068" s="2" t="s">
        <v>20276</v>
      </c>
      <c r="F2068" s="3" t="s">
        <v>20286</v>
      </c>
      <c r="G2068" s="3" t="s">
        <v>209</v>
      </c>
      <c r="I2068" s="3" t="s">
        <v>65</v>
      </c>
      <c r="J2068" s="3" t="s">
        <v>65</v>
      </c>
      <c r="K2068" s="3" t="s">
        <v>66</v>
      </c>
      <c r="L2068" s="2" t="s">
        <v>20278</v>
      </c>
      <c r="M2068" s="2" t="s">
        <v>20279</v>
      </c>
      <c r="N2068" s="3" t="s">
        <v>928</v>
      </c>
      <c r="P2068" s="3" t="s">
        <v>140</v>
      </c>
      <c r="Q2068" s="2" t="s">
        <v>20280</v>
      </c>
      <c r="R2068" s="3" t="s">
        <v>71</v>
      </c>
      <c r="S2068" s="4">
        <v>0</v>
      </c>
      <c r="T2068" s="4">
        <v>1</v>
      </c>
      <c r="V2068" s="5" t="s">
        <v>7314</v>
      </c>
      <c r="W2068" s="5" t="s">
        <v>72</v>
      </c>
      <c r="X2068" s="5" t="s">
        <v>72</v>
      </c>
      <c r="Y2068" s="4">
        <v>2</v>
      </c>
      <c r="Z2068" s="4">
        <v>1</v>
      </c>
      <c r="AA2068" s="4">
        <v>4</v>
      </c>
      <c r="AB2068" s="4">
        <v>1</v>
      </c>
      <c r="AC2068" s="4">
        <v>1</v>
      </c>
      <c r="AD2068" s="4">
        <v>1</v>
      </c>
      <c r="AE2068" s="4">
        <v>3</v>
      </c>
      <c r="AF2068" s="4">
        <v>0</v>
      </c>
      <c r="AG2068" s="4">
        <v>0</v>
      </c>
      <c r="AH2068" s="4">
        <v>1</v>
      </c>
      <c r="AI2068" s="4">
        <v>3</v>
      </c>
      <c r="AJ2068" s="4">
        <v>0</v>
      </c>
      <c r="AK2068" s="4">
        <v>2</v>
      </c>
      <c r="AL2068" s="4">
        <v>1</v>
      </c>
      <c r="AM2068" s="4">
        <v>2</v>
      </c>
      <c r="AN2068" s="4">
        <v>0</v>
      </c>
      <c r="AO2068" s="4">
        <v>0</v>
      </c>
      <c r="AP2068" s="4">
        <v>0</v>
      </c>
      <c r="AQ2068" s="4">
        <v>2</v>
      </c>
      <c r="AR2068" s="3" t="s">
        <v>65</v>
      </c>
      <c r="AS2068" s="3" t="s">
        <v>65</v>
      </c>
      <c r="AT2068" s="3" t="s">
        <v>65</v>
      </c>
      <c r="AV2068" s="6" t="str">
        <f t="shared" si="34"/>
        <v>Catalog Record</v>
      </c>
      <c r="AW2068" s="6" t="str">
        <f t="shared" si="35"/>
        <v>WorldCat Record</v>
      </c>
      <c r="AX2068" s="3" t="s">
        <v>20281</v>
      </c>
      <c r="AY2068" s="3" t="s">
        <v>20282</v>
      </c>
      <c r="AZ2068" s="3" t="s">
        <v>20283</v>
      </c>
      <c r="BA2068" s="3" t="s">
        <v>20283</v>
      </c>
      <c r="BB2068" s="3" t="s">
        <v>20287</v>
      </c>
      <c r="BC2068" s="3" t="s">
        <v>77</v>
      </c>
      <c r="BD2068" s="3" t="s">
        <v>78</v>
      </c>
      <c r="BF2068" s="3" t="s">
        <v>20287</v>
      </c>
      <c r="BG2068" s="3" t="s">
        <v>20288</v>
      </c>
    </row>
    <row r="2069" spans="1:59" ht="58" x14ac:dyDescent="0.35">
      <c r="A2069" s="2" t="s">
        <v>59</v>
      </c>
      <c r="B2069" s="2" t="s">
        <v>60</v>
      </c>
      <c r="C2069" s="2" t="s">
        <v>20274</v>
      </c>
      <c r="D2069" s="2" t="s">
        <v>20275</v>
      </c>
      <c r="E2069" s="2" t="s">
        <v>20276</v>
      </c>
      <c r="F2069" s="3" t="s">
        <v>245</v>
      </c>
      <c r="G2069" s="3" t="s">
        <v>209</v>
      </c>
      <c r="I2069" s="3" t="s">
        <v>65</v>
      </c>
      <c r="J2069" s="3" t="s">
        <v>65</v>
      </c>
      <c r="K2069" s="3" t="s">
        <v>66</v>
      </c>
      <c r="L2069" s="2" t="s">
        <v>20278</v>
      </c>
      <c r="M2069" s="2" t="s">
        <v>20279</v>
      </c>
      <c r="N2069" s="3" t="s">
        <v>928</v>
      </c>
      <c r="P2069" s="3" t="s">
        <v>140</v>
      </c>
      <c r="Q2069" s="2" t="s">
        <v>20280</v>
      </c>
      <c r="R2069" s="3" t="s">
        <v>71</v>
      </c>
      <c r="S2069" s="4">
        <v>0</v>
      </c>
      <c r="T2069" s="4">
        <v>1</v>
      </c>
      <c r="V2069" s="5" t="s">
        <v>7314</v>
      </c>
      <c r="W2069" s="5" t="s">
        <v>72</v>
      </c>
      <c r="X2069" s="5" t="s">
        <v>72</v>
      </c>
      <c r="Y2069" s="4">
        <v>2</v>
      </c>
      <c r="Z2069" s="4">
        <v>1</v>
      </c>
      <c r="AA2069" s="4">
        <v>4</v>
      </c>
      <c r="AB2069" s="4">
        <v>1</v>
      </c>
      <c r="AC2069" s="4">
        <v>1</v>
      </c>
      <c r="AD2069" s="4">
        <v>1</v>
      </c>
      <c r="AE2069" s="4">
        <v>3</v>
      </c>
      <c r="AF2069" s="4">
        <v>0</v>
      </c>
      <c r="AG2069" s="4">
        <v>0</v>
      </c>
      <c r="AH2069" s="4">
        <v>1</v>
      </c>
      <c r="AI2069" s="4">
        <v>3</v>
      </c>
      <c r="AJ2069" s="4">
        <v>0</v>
      </c>
      <c r="AK2069" s="4">
        <v>2</v>
      </c>
      <c r="AL2069" s="4">
        <v>1</v>
      </c>
      <c r="AM2069" s="4">
        <v>2</v>
      </c>
      <c r="AN2069" s="4">
        <v>0</v>
      </c>
      <c r="AO2069" s="4">
        <v>0</v>
      </c>
      <c r="AP2069" s="4">
        <v>0</v>
      </c>
      <c r="AQ2069" s="4">
        <v>2</v>
      </c>
      <c r="AR2069" s="3" t="s">
        <v>65</v>
      </c>
      <c r="AS2069" s="3" t="s">
        <v>65</v>
      </c>
      <c r="AT2069" s="3" t="s">
        <v>65</v>
      </c>
      <c r="AV2069" s="6" t="str">
        <f t="shared" si="34"/>
        <v>Catalog Record</v>
      </c>
      <c r="AW2069" s="6" t="str">
        <f t="shared" si="35"/>
        <v>WorldCat Record</v>
      </c>
      <c r="AX2069" s="3" t="s">
        <v>20281</v>
      </c>
      <c r="AY2069" s="3" t="s">
        <v>20282</v>
      </c>
      <c r="AZ2069" s="3" t="s">
        <v>20283</v>
      </c>
      <c r="BA2069" s="3" t="s">
        <v>20283</v>
      </c>
      <c r="BB2069" s="3" t="s">
        <v>20289</v>
      </c>
      <c r="BC2069" s="3" t="s">
        <v>77</v>
      </c>
      <c r="BD2069" s="3" t="s">
        <v>78</v>
      </c>
      <c r="BF2069" s="3" t="s">
        <v>20289</v>
      </c>
      <c r="BG2069" s="3" t="s">
        <v>20290</v>
      </c>
    </row>
    <row r="2070" spans="1:59" ht="58" x14ac:dyDescent="0.35">
      <c r="A2070" s="2" t="s">
        <v>59</v>
      </c>
      <c r="B2070" s="2" t="s">
        <v>60</v>
      </c>
      <c r="C2070" s="2" t="s">
        <v>20274</v>
      </c>
      <c r="D2070" s="2" t="s">
        <v>20275</v>
      </c>
      <c r="E2070" s="2" t="s">
        <v>20276</v>
      </c>
      <c r="F2070" s="3" t="s">
        <v>792</v>
      </c>
      <c r="G2070" s="3" t="s">
        <v>209</v>
      </c>
      <c r="I2070" s="3" t="s">
        <v>65</v>
      </c>
      <c r="J2070" s="3" t="s">
        <v>65</v>
      </c>
      <c r="K2070" s="3" t="s">
        <v>66</v>
      </c>
      <c r="L2070" s="2" t="s">
        <v>20278</v>
      </c>
      <c r="M2070" s="2" t="s">
        <v>20279</v>
      </c>
      <c r="N2070" s="3" t="s">
        <v>928</v>
      </c>
      <c r="P2070" s="3" t="s">
        <v>140</v>
      </c>
      <c r="Q2070" s="2" t="s">
        <v>20280</v>
      </c>
      <c r="R2070" s="3" t="s">
        <v>71</v>
      </c>
      <c r="S2070" s="4">
        <v>0</v>
      </c>
      <c r="T2070" s="4">
        <v>1</v>
      </c>
      <c r="V2070" s="5" t="s">
        <v>7314</v>
      </c>
      <c r="W2070" s="5" t="s">
        <v>72</v>
      </c>
      <c r="X2070" s="5" t="s">
        <v>72</v>
      </c>
      <c r="Y2070" s="4">
        <v>2</v>
      </c>
      <c r="Z2070" s="4">
        <v>1</v>
      </c>
      <c r="AA2070" s="4">
        <v>4</v>
      </c>
      <c r="AB2070" s="4">
        <v>1</v>
      </c>
      <c r="AC2070" s="4">
        <v>1</v>
      </c>
      <c r="AD2070" s="4">
        <v>1</v>
      </c>
      <c r="AE2070" s="4">
        <v>3</v>
      </c>
      <c r="AF2070" s="4">
        <v>0</v>
      </c>
      <c r="AG2070" s="4">
        <v>0</v>
      </c>
      <c r="AH2070" s="4">
        <v>1</v>
      </c>
      <c r="AI2070" s="4">
        <v>3</v>
      </c>
      <c r="AJ2070" s="4">
        <v>0</v>
      </c>
      <c r="AK2070" s="4">
        <v>2</v>
      </c>
      <c r="AL2070" s="4">
        <v>1</v>
      </c>
      <c r="AM2070" s="4">
        <v>2</v>
      </c>
      <c r="AN2070" s="4">
        <v>0</v>
      </c>
      <c r="AO2070" s="4">
        <v>0</v>
      </c>
      <c r="AP2070" s="4">
        <v>0</v>
      </c>
      <c r="AQ2070" s="4">
        <v>2</v>
      </c>
      <c r="AR2070" s="3" t="s">
        <v>65</v>
      </c>
      <c r="AS2070" s="3" t="s">
        <v>65</v>
      </c>
      <c r="AT2070" s="3" t="s">
        <v>65</v>
      </c>
      <c r="AV2070" s="6" t="str">
        <f t="shared" si="34"/>
        <v>Catalog Record</v>
      </c>
      <c r="AW2070" s="6" t="str">
        <f t="shared" si="35"/>
        <v>WorldCat Record</v>
      </c>
      <c r="AX2070" s="3" t="s">
        <v>20281</v>
      </c>
      <c r="AY2070" s="3" t="s">
        <v>20282</v>
      </c>
      <c r="AZ2070" s="3" t="s">
        <v>20283</v>
      </c>
      <c r="BA2070" s="3" t="s">
        <v>20283</v>
      </c>
      <c r="BB2070" s="3" t="s">
        <v>20291</v>
      </c>
      <c r="BC2070" s="3" t="s">
        <v>77</v>
      </c>
      <c r="BD2070" s="3" t="s">
        <v>78</v>
      </c>
      <c r="BF2070" s="3" t="s">
        <v>20291</v>
      </c>
      <c r="BG2070" s="3" t="s">
        <v>20292</v>
      </c>
    </row>
    <row r="2071" spans="1:59" ht="58" x14ac:dyDescent="0.35">
      <c r="A2071" s="2" t="s">
        <v>59</v>
      </c>
      <c r="B2071" s="2" t="s">
        <v>60</v>
      </c>
      <c r="C2071" s="2" t="s">
        <v>20274</v>
      </c>
      <c r="D2071" s="2" t="s">
        <v>20275</v>
      </c>
      <c r="E2071" s="2" t="s">
        <v>20276</v>
      </c>
      <c r="F2071" s="3" t="s">
        <v>20293</v>
      </c>
      <c r="G2071" s="3" t="s">
        <v>209</v>
      </c>
      <c r="I2071" s="3" t="s">
        <v>65</v>
      </c>
      <c r="J2071" s="3" t="s">
        <v>65</v>
      </c>
      <c r="K2071" s="3" t="s">
        <v>66</v>
      </c>
      <c r="L2071" s="2" t="s">
        <v>20278</v>
      </c>
      <c r="M2071" s="2" t="s">
        <v>20279</v>
      </c>
      <c r="N2071" s="3" t="s">
        <v>928</v>
      </c>
      <c r="P2071" s="3" t="s">
        <v>140</v>
      </c>
      <c r="Q2071" s="2" t="s">
        <v>20280</v>
      </c>
      <c r="R2071" s="3" t="s">
        <v>71</v>
      </c>
      <c r="S2071" s="4">
        <v>0</v>
      </c>
      <c r="T2071" s="4">
        <v>1</v>
      </c>
      <c r="V2071" s="5" t="s">
        <v>7314</v>
      </c>
      <c r="W2071" s="5" t="s">
        <v>72</v>
      </c>
      <c r="X2071" s="5" t="s">
        <v>72</v>
      </c>
      <c r="Y2071" s="4">
        <v>2</v>
      </c>
      <c r="Z2071" s="4">
        <v>1</v>
      </c>
      <c r="AA2071" s="4">
        <v>4</v>
      </c>
      <c r="AB2071" s="4">
        <v>1</v>
      </c>
      <c r="AC2071" s="4">
        <v>1</v>
      </c>
      <c r="AD2071" s="4">
        <v>1</v>
      </c>
      <c r="AE2071" s="4">
        <v>3</v>
      </c>
      <c r="AF2071" s="4">
        <v>0</v>
      </c>
      <c r="AG2071" s="4">
        <v>0</v>
      </c>
      <c r="AH2071" s="4">
        <v>1</v>
      </c>
      <c r="AI2071" s="4">
        <v>3</v>
      </c>
      <c r="AJ2071" s="4">
        <v>0</v>
      </c>
      <c r="AK2071" s="4">
        <v>2</v>
      </c>
      <c r="AL2071" s="4">
        <v>1</v>
      </c>
      <c r="AM2071" s="4">
        <v>2</v>
      </c>
      <c r="AN2071" s="4">
        <v>0</v>
      </c>
      <c r="AO2071" s="4">
        <v>0</v>
      </c>
      <c r="AP2071" s="4">
        <v>0</v>
      </c>
      <c r="AQ2071" s="4">
        <v>2</v>
      </c>
      <c r="AR2071" s="3" t="s">
        <v>65</v>
      </c>
      <c r="AS2071" s="3" t="s">
        <v>65</v>
      </c>
      <c r="AT2071" s="3" t="s">
        <v>65</v>
      </c>
      <c r="AV2071" s="6" t="str">
        <f t="shared" si="34"/>
        <v>Catalog Record</v>
      </c>
      <c r="AW2071" s="6" t="str">
        <f t="shared" si="35"/>
        <v>WorldCat Record</v>
      </c>
      <c r="AX2071" s="3" t="s">
        <v>20281</v>
      </c>
      <c r="AY2071" s="3" t="s">
        <v>20282</v>
      </c>
      <c r="AZ2071" s="3" t="s">
        <v>20283</v>
      </c>
      <c r="BA2071" s="3" t="s">
        <v>20283</v>
      </c>
      <c r="BB2071" s="3" t="s">
        <v>20294</v>
      </c>
      <c r="BC2071" s="3" t="s">
        <v>77</v>
      </c>
      <c r="BD2071" s="3" t="s">
        <v>78</v>
      </c>
      <c r="BF2071" s="3" t="s">
        <v>20294</v>
      </c>
      <c r="BG2071" s="3" t="s">
        <v>20295</v>
      </c>
    </row>
    <row r="2072" spans="1:59" ht="58" x14ac:dyDescent="0.35">
      <c r="A2072" s="2" t="s">
        <v>59</v>
      </c>
      <c r="B2072" s="2" t="s">
        <v>60</v>
      </c>
      <c r="C2072" s="2" t="s">
        <v>20274</v>
      </c>
      <c r="D2072" s="2" t="s">
        <v>20275</v>
      </c>
      <c r="E2072" s="2" t="s">
        <v>20276</v>
      </c>
      <c r="F2072" s="3" t="s">
        <v>20296</v>
      </c>
      <c r="G2072" s="3" t="s">
        <v>209</v>
      </c>
      <c r="I2072" s="3" t="s">
        <v>65</v>
      </c>
      <c r="J2072" s="3" t="s">
        <v>65</v>
      </c>
      <c r="K2072" s="3" t="s">
        <v>66</v>
      </c>
      <c r="L2072" s="2" t="s">
        <v>20278</v>
      </c>
      <c r="M2072" s="2" t="s">
        <v>20279</v>
      </c>
      <c r="N2072" s="3" t="s">
        <v>928</v>
      </c>
      <c r="P2072" s="3" t="s">
        <v>140</v>
      </c>
      <c r="Q2072" s="2" t="s">
        <v>20280</v>
      </c>
      <c r="R2072" s="3" t="s">
        <v>71</v>
      </c>
      <c r="S2072" s="4">
        <v>1</v>
      </c>
      <c r="T2072" s="4">
        <v>1</v>
      </c>
      <c r="U2072" s="5" t="s">
        <v>7314</v>
      </c>
      <c r="V2072" s="5" t="s">
        <v>7314</v>
      </c>
      <c r="W2072" s="5" t="s">
        <v>72</v>
      </c>
      <c r="X2072" s="5" t="s">
        <v>72</v>
      </c>
      <c r="Y2072" s="4">
        <v>2</v>
      </c>
      <c r="Z2072" s="4">
        <v>1</v>
      </c>
      <c r="AA2072" s="4">
        <v>4</v>
      </c>
      <c r="AB2072" s="4">
        <v>1</v>
      </c>
      <c r="AC2072" s="4">
        <v>1</v>
      </c>
      <c r="AD2072" s="4">
        <v>1</v>
      </c>
      <c r="AE2072" s="4">
        <v>3</v>
      </c>
      <c r="AF2072" s="4">
        <v>0</v>
      </c>
      <c r="AG2072" s="4">
        <v>0</v>
      </c>
      <c r="AH2072" s="4">
        <v>1</v>
      </c>
      <c r="AI2072" s="4">
        <v>3</v>
      </c>
      <c r="AJ2072" s="4">
        <v>0</v>
      </c>
      <c r="AK2072" s="4">
        <v>2</v>
      </c>
      <c r="AL2072" s="4">
        <v>1</v>
      </c>
      <c r="AM2072" s="4">
        <v>2</v>
      </c>
      <c r="AN2072" s="4">
        <v>0</v>
      </c>
      <c r="AO2072" s="4">
        <v>0</v>
      </c>
      <c r="AP2072" s="4">
        <v>0</v>
      </c>
      <c r="AQ2072" s="4">
        <v>2</v>
      </c>
      <c r="AR2072" s="3" t="s">
        <v>65</v>
      </c>
      <c r="AS2072" s="3" t="s">
        <v>65</v>
      </c>
      <c r="AT2072" s="3" t="s">
        <v>65</v>
      </c>
      <c r="AV2072" s="6" t="str">
        <f t="shared" si="34"/>
        <v>Catalog Record</v>
      </c>
      <c r="AW2072" s="6" t="str">
        <f t="shared" si="35"/>
        <v>WorldCat Record</v>
      </c>
      <c r="AX2072" s="3" t="s">
        <v>20281</v>
      </c>
      <c r="AY2072" s="3" t="s">
        <v>20282</v>
      </c>
      <c r="AZ2072" s="3" t="s">
        <v>20283</v>
      </c>
      <c r="BA2072" s="3" t="s">
        <v>20283</v>
      </c>
      <c r="BB2072" s="3" t="s">
        <v>20297</v>
      </c>
      <c r="BC2072" s="3" t="s">
        <v>77</v>
      </c>
      <c r="BD2072" s="3" t="s">
        <v>78</v>
      </c>
      <c r="BF2072" s="3" t="s">
        <v>20297</v>
      </c>
      <c r="BG2072" s="3" t="s">
        <v>20298</v>
      </c>
    </row>
    <row r="2073" spans="1:59" ht="58" x14ac:dyDescent="0.35">
      <c r="A2073" s="2" t="s">
        <v>59</v>
      </c>
      <c r="B2073" s="2" t="s">
        <v>60</v>
      </c>
      <c r="C2073" s="2" t="s">
        <v>20274</v>
      </c>
      <c r="D2073" s="2" t="s">
        <v>20275</v>
      </c>
      <c r="E2073" s="2" t="s">
        <v>20276</v>
      </c>
      <c r="F2073" s="3" t="s">
        <v>20299</v>
      </c>
      <c r="G2073" s="3" t="s">
        <v>209</v>
      </c>
      <c r="I2073" s="3" t="s">
        <v>65</v>
      </c>
      <c r="J2073" s="3" t="s">
        <v>65</v>
      </c>
      <c r="K2073" s="3" t="s">
        <v>66</v>
      </c>
      <c r="L2073" s="2" t="s">
        <v>20278</v>
      </c>
      <c r="M2073" s="2" t="s">
        <v>20279</v>
      </c>
      <c r="N2073" s="3" t="s">
        <v>928</v>
      </c>
      <c r="P2073" s="3" t="s">
        <v>140</v>
      </c>
      <c r="Q2073" s="2" t="s">
        <v>20280</v>
      </c>
      <c r="R2073" s="3" t="s">
        <v>71</v>
      </c>
      <c r="S2073" s="4">
        <v>0</v>
      </c>
      <c r="T2073" s="4">
        <v>1</v>
      </c>
      <c r="V2073" s="5" t="s">
        <v>7314</v>
      </c>
      <c r="W2073" s="5" t="s">
        <v>72</v>
      </c>
      <c r="X2073" s="5" t="s">
        <v>72</v>
      </c>
      <c r="Y2073" s="4">
        <v>2</v>
      </c>
      <c r="Z2073" s="4">
        <v>1</v>
      </c>
      <c r="AA2073" s="4">
        <v>4</v>
      </c>
      <c r="AB2073" s="4">
        <v>1</v>
      </c>
      <c r="AC2073" s="4">
        <v>1</v>
      </c>
      <c r="AD2073" s="4">
        <v>1</v>
      </c>
      <c r="AE2073" s="4">
        <v>3</v>
      </c>
      <c r="AF2073" s="4">
        <v>0</v>
      </c>
      <c r="AG2073" s="4">
        <v>0</v>
      </c>
      <c r="AH2073" s="4">
        <v>1</v>
      </c>
      <c r="AI2073" s="4">
        <v>3</v>
      </c>
      <c r="AJ2073" s="4">
        <v>0</v>
      </c>
      <c r="AK2073" s="4">
        <v>2</v>
      </c>
      <c r="AL2073" s="4">
        <v>1</v>
      </c>
      <c r="AM2073" s="4">
        <v>2</v>
      </c>
      <c r="AN2073" s="4">
        <v>0</v>
      </c>
      <c r="AO2073" s="4">
        <v>0</v>
      </c>
      <c r="AP2073" s="4">
        <v>0</v>
      </c>
      <c r="AQ2073" s="4">
        <v>2</v>
      </c>
      <c r="AR2073" s="3" t="s">
        <v>65</v>
      </c>
      <c r="AS2073" s="3" t="s">
        <v>65</v>
      </c>
      <c r="AT2073" s="3" t="s">
        <v>65</v>
      </c>
      <c r="AV2073" s="6" t="str">
        <f t="shared" si="34"/>
        <v>Catalog Record</v>
      </c>
      <c r="AW2073" s="6" t="str">
        <f t="shared" si="35"/>
        <v>WorldCat Record</v>
      </c>
      <c r="AX2073" s="3" t="s">
        <v>20281</v>
      </c>
      <c r="AY2073" s="3" t="s">
        <v>20282</v>
      </c>
      <c r="AZ2073" s="3" t="s">
        <v>20283</v>
      </c>
      <c r="BA2073" s="3" t="s">
        <v>20283</v>
      </c>
      <c r="BB2073" s="3" t="s">
        <v>20300</v>
      </c>
      <c r="BC2073" s="3" t="s">
        <v>77</v>
      </c>
      <c r="BD2073" s="3" t="s">
        <v>78</v>
      </c>
      <c r="BF2073" s="3" t="s">
        <v>20300</v>
      </c>
      <c r="BG2073" s="3" t="s">
        <v>20301</v>
      </c>
    </row>
    <row r="2074" spans="1:59" ht="58" x14ac:dyDescent="0.35">
      <c r="A2074" s="2" t="s">
        <v>59</v>
      </c>
      <c r="B2074" s="2" t="s">
        <v>60</v>
      </c>
      <c r="C2074" s="2" t="s">
        <v>20274</v>
      </c>
      <c r="D2074" s="2" t="s">
        <v>20275</v>
      </c>
      <c r="E2074" s="2" t="s">
        <v>20276</v>
      </c>
      <c r="F2074" s="3" t="s">
        <v>255</v>
      </c>
      <c r="G2074" s="3" t="s">
        <v>209</v>
      </c>
      <c r="I2074" s="3" t="s">
        <v>65</v>
      </c>
      <c r="J2074" s="3" t="s">
        <v>65</v>
      </c>
      <c r="K2074" s="3" t="s">
        <v>66</v>
      </c>
      <c r="L2074" s="2" t="s">
        <v>20278</v>
      </c>
      <c r="M2074" s="2" t="s">
        <v>20279</v>
      </c>
      <c r="N2074" s="3" t="s">
        <v>928</v>
      </c>
      <c r="P2074" s="3" t="s">
        <v>140</v>
      </c>
      <c r="Q2074" s="2" t="s">
        <v>20280</v>
      </c>
      <c r="R2074" s="3" t="s">
        <v>71</v>
      </c>
      <c r="S2074" s="4">
        <v>0</v>
      </c>
      <c r="T2074" s="4">
        <v>1</v>
      </c>
      <c r="V2074" s="5" t="s">
        <v>7314</v>
      </c>
      <c r="W2074" s="5" t="s">
        <v>72</v>
      </c>
      <c r="X2074" s="5" t="s">
        <v>72</v>
      </c>
      <c r="Y2074" s="4">
        <v>2</v>
      </c>
      <c r="Z2074" s="4">
        <v>1</v>
      </c>
      <c r="AA2074" s="4">
        <v>4</v>
      </c>
      <c r="AB2074" s="4">
        <v>1</v>
      </c>
      <c r="AC2074" s="4">
        <v>1</v>
      </c>
      <c r="AD2074" s="4">
        <v>1</v>
      </c>
      <c r="AE2074" s="4">
        <v>3</v>
      </c>
      <c r="AF2074" s="4">
        <v>0</v>
      </c>
      <c r="AG2074" s="4">
        <v>0</v>
      </c>
      <c r="AH2074" s="4">
        <v>1</v>
      </c>
      <c r="AI2074" s="4">
        <v>3</v>
      </c>
      <c r="AJ2074" s="4">
        <v>0</v>
      </c>
      <c r="AK2074" s="4">
        <v>2</v>
      </c>
      <c r="AL2074" s="4">
        <v>1</v>
      </c>
      <c r="AM2074" s="4">
        <v>2</v>
      </c>
      <c r="AN2074" s="4">
        <v>0</v>
      </c>
      <c r="AO2074" s="4">
        <v>0</v>
      </c>
      <c r="AP2074" s="4">
        <v>0</v>
      </c>
      <c r="AQ2074" s="4">
        <v>2</v>
      </c>
      <c r="AR2074" s="3" t="s">
        <v>65</v>
      </c>
      <c r="AS2074" s="3" t="s">
        <v>65</v>
      </c>
      <c r="AT2074" s="3" t="s">
        <v>65</v>
      </c>
      <c r="AV2074" s="6" t="str">
        <f t="shared" si="34"/>
        <v>Catalog Record</v>
      </c>
      <c r="AW2074" s="6" t="str">
        <f t="shared" si="35"/>
        <v>WorldCat Record</v>
      </c>
      <c r="AX2074" s="3" t="s">
        <v>20281</v>
      </c>
      <c r="AY2074" s="3" t="s">
        <v>20282</v>
      </c>
      <c r="AZ2074" s="3" t="s">
        <v>20283</v>
      </c>
      <c r="BA2074" s="3" t="s">
        <v>20283</v>
      </c>
      <c r="BB2074" s="3" t="s">
        <v>20302</v>
      </c>
      <c r="BC2074" s="3" t="s">
        <v>77</v>
      </c>
      <c r="BD2074" s="3" t="s">
        <v>78</v>
      </c>
      <c r="BF2074" s="3" t="s">
        <v>20302</v>
      </c>
      <c r="BG2074" s="3" t="s">
        <v>20303</v>
      </c>
    </row>
    <row r="2075" spans="1:59" ht="58" x14ac:dyDescent="0.35">
      <c r="A2075" s="2" t="s">
        <v>59</v>
      </c>
      <c r="B2075" s="2" t="s">
        <v>60</v>
      </c>
      <c r="C2075" s="2" t="s">
        <v>20274</v>
      </c>
      <c r="D2075" s="2" t="s">
        <v>20275</v>
      </c>
      <c r="E2075" s="2" t="s">
        <v>20276</v>
      </c>
      <c r="F2075" s="3" t="s">
        <v>20304</v>
      </c>
      <c r="G2075" s="3" t="s">
        <v>209</v>
      </c>
      <c r="I2075" s="3" t="s">
        <v>65</v>
      </c>
      <c r="J2075" s="3" t="s">
        <v>65</v>
      </c>
      <c r="K2075" s="3" t="s">
        <v>66</v>
      </c>
      <c r="L2075" s="2" t="s">
        <v>20278</v>
      </c>
      <c r="M2075" s="2" t="s">
        <v>20279</v>
      </c>
      <c r="N2075" s="3" t="s">
        <v>928</v>
      </c>
      <c r="P2075" s="3" t="s">
        <v>140</v>
      </c>
      <c r="Q2075" s="2" t="s">
        <v>20280</v>
      </c>
      <c r="R2075" s="3" t="s">
        <v>71</v>
      </c>
      <c r="S2075" s="4">
        <v>0</v>
      </c>
      <c r="T2075" s="4">
        <v>1</v>
      </c>
      <c r="V2075" s="5" t="s">
        <v>7314</v>
      </c>
      <c r="W2075" s="5" t="s">
        <v>72</v>
      </c>
      <c r="X2075" s="5" t="s">
        <v>72</v>
      </c>
      <c r="Y2075" s="4">
        <v>2</v>
      </c>
      <c r="Z2075" s="4">
        <v>1</v>
      </c>
      <c r="AA2075" s="4">
        <v>4</v>
      </c>
      <c r="AB2075" s="4">
        <v>1</v>
      </c>
      <c r="AC2075" s="4">
        <v>1</v>
      </c>
      <c r="AD2075" s="4">
        <v>1</v>
      </c>
      <c r="AE2075" s="4">
        <v>3</v>
      </c>
      <c r="AF2075" s="4">
        <v>0</v>
      </c>
      <c r="AG2075" s="4">
        <v>0</v>
      </c>
      <c r="AH2075" s="4">
        <v>1</v>
      </c>
      <c r="AI2075" s="4">
        <v>3</v>
      </c>
      <c r="AJ2075" s="4">
        <v>0</v>
      </c>
      <c r="AK2075" s="4">
        <v>2</v>
      </c>
      <c r="AL2075" s="4">
        <v>1</v>
      </c>
      <c r="AM2075" s="4">
        <v>2</v>
      </c>
      <c r="AN2075" s="4">
        <v>0</v>
      </c>
      <c r="AO2075" s="4">
        <v>0</v>
      </c>
      <c r="AP2075" s="4">
        <v>0</v>
      </c>
      <c r="AQ2075" s="4">
        <v>2</v>
      </c>
      <c r="AR2075" s="3" t="s">
        <v>65</v>
      </c>
      <c r="AS2075" s="3" t="s">
        <v>65</v>
      </c>
      <c r="AT2075" s="3" t="s">
        <v>65</v>
      </c>
      <c r="AV2075" s="6" t="str">
        <f t="shared" si="34"/>
        <v>Catalog Record</v>
      </c>
      <c r="AW2075" s="6" t="str">
        <f t="shared" si="35"/>
        <v>WorldCat Record</v>
      </c>
      <c r="AX2075" s="3" t="s">
        <v>20281</v>
      </c>
      <c r="AY2075" s="3" t="s">
        <v>20282</v>
      </c>
      <c r="AZ2075" s="3" t="s">
        <v>20283</v>
      </c>
      <c r="BA2075" s="3" t="s">
        <v>20283</v>
      </c>
      <c r="BB2075" s="3" t="s">
        <v>20305</v>
      </c>
      <c r="BC2075" s="3" t="s">
        <v>77</v>
      </c>
      <c r="BD2075" s="3" t="s">
        <v>78</v>
      </c>
      <c r="BF2075" s="3" t="s">
        <v>20305</v>
      </c>
      <c r="BG2075" s="3" t="s">
        <v>20306</v>
      </c>
    </row>
    <row r="2076" spans="1:59" ht="58" x14ac:dyDescent="0.35">
      <c r="A2076" s="2" t="s">
        <v>59</v>
      </c>
      <c r="B2076" s="2" t="s">
        <v>60</v>
      </c>
      <c r="C2076" s="2" t="s">
        <v>20274</v>
      </c>
      <c r="D2076" s="2" t="s">
        <v>20275</v>
      </c>
      <c r="E2076" s="2" t="s">
        <v>20276</v>
      </c>
      <c r="F2076" s="3" t="s">
        <v>20307</v>
      </c>
      <c r="G2076" s="3" t="s">
        <v>209</v>
      </c>
      <c r="I2076" s="3" t="s">
        <v>65</v>
      </c>
      <c r="J2076" s="3" t="s">
        <v>65</v>
      </c>
      <c r="K2076" s="3" t="s">
        <v>66</v>
      </c>
      <c r="L2076" s="2" t="s">
        <v>20278</v>
      </c>
      <c r="M2076" s="2" t="s">
        <v>20279</v>
      </c>
      <c r="N2076" s="3" t="s">
        <v>928</v>
      </c>
      <c r="P2076" s="3" t="s">
        <v>140</v>
      </c>
      <c r="Q2076" s="2" t="s">
        <v>20280</v>
      </c>
      <c r="R2076" s="3" t="s">
        <v>71</v>
      </c>
      <c r="S2076" s="4">
        <v>0</v>
      </c>
      <c r="T2076" s="4">
        <v>1</v>
      </c>
      <c r="V2076" s="5" t="s">
        <v>7314</v>
      </c>
      <c r="W2076" s="5" t="s">
        <v>72</v>
      </c>
      <c r="X2076" s="5" t="s">
        <v>72</v>
      </c>
      <c r="Y2076" s="4">
        <v>2</v>
      </c>
      <c r="Z2076" s="4">
        <v>1</v>
      </c>
      <c r="AA2076" s="4">
        <v>4</v>
      </c>
      <c r="AB2076" s="4">
        <v>1</v>
      </c>
      <c r="AC2076" s="4">
        <v>1</v>
      </c>
      <c r="AD2076" s="4">
        <v>1</v>
      </c>
      <c r="AE2076" s="4">
        <v>3</v>
      </c>
      <c r="AF2076" s="4">
        <v>0</v>
      </c>
      <c r="AG2076" s="4">
        <v>0</v>
      </c>
      <c r="AH2076" s="4">
        <v>1</v>
      </c>
      <c r="AI2076" s="4">
        <v>3</v>
      </c>
      <c r="AJ2076" s="4">
        <v>0</v>
      </c>
      <c r="AK2076" s="4">
        <v>2</v>
      </c>
      <c r="AL2076" s="4">
        <v>1</v>
      </c>
      <c r="AM2076" s="4">
        <v>2</v>
      </c>
      <c r="AN2076" s="4">
        <v>0</v>
      </c>
      <c r="AO2076" s="4">
        <v>0</v>
      </c>
      <c r="AP2076" s="4">
        <v>0</v>
      </c>
      <c r="AQ2076" s="4">
        <v>2</v>
      </c>
      <c r="AR2076" s="3" t="s">
        <v>65</v>
      </c>
      <c r="AS2076" s="3" t="s">
        <v>65</v>
      </c>
      <c r="AT2076" s="3" t="s">
        <v>65</v>
      </c>
      <c r="AV2076" s="6" t="str">
        <f t="shared" si="34"/>
        <v>Catalog Record</v>
      </c>
      <c r="AW2076" s="6" t="str">
        <f t="shared" si="35"/>
        <v>WorldCat Record</v>
      </c>
      <c r="AX2076" s="3" t="s">
        <v>20281</v>
      </c>
      <c r="AY2076" s="3" t="s">
        <v>20282</v>
      </c>
      <c r="AZ2076" s="3" t="s">
        <v>20283</v>
      </c>
      <c r="BA2076" s="3" t="s">
        <v>20283</v>
      </c>
      <c r="BB2076" s="3" t="s">
        <v>20308</v>
      </c>
      <c r="BC2076" s="3" t="s">
        <v>77</v>
      </c>
      <c r="BD2076" s="3" t="s">
        <v>78</v>
      </c>
      <c r="BF2076" s="3" t="s">
        <v>20308</v>
      </c>
      <c r="BG2076" s="3" t="s">
        <v>20309</v>
      </c>
    </row>
    <row r="2077" spans="1:59" ht="58" x14ac:dyDescent="0.35">
      <c r="A2077" s="2" t="s">
        <v>59</v>
      </c>
      <c r="B2077" s="2" t="s">
        <v>60</v>
      </c>
      <c r="C2077" s="2" t="s">
        <v>20274</v>
      </c>
      <c r="D2077" s="2" t="s">
        <v>20275</v>
      </c>
      <c r="E2077" s="2" t="s">
        <v>20276</v>
      </c>
      <c r="F2077" s="3" t="s">
        <v>20310</v>
      </c>
      <c r="G2077" s="3" t="s">
        <v>209</v>
      </c>
      <c r="I2077" s="3" t="s">
        <v>65</v>
      </c>
      <c r="J2077" s="3" t="s">
        <v>65</v>
      </c>
      <c r="K2077" s="3" t="s">
        <v>66</v>
      </c>
      <c r="L2077" s="2" t="s">
        <v>20278</v>
      </c>
      <c r="M2077" s="2" t="s">
        <v>20279</v>
      </c>
      <c r="N2077" s="3" t="s">
        <v>928</v>
      </c>
      <c r="P2077" s="3" t="s">
        <v>140</v>
      </c>
      <c r="Q2077" s="2" t="s">
        <v>20280</v>
      </c>
      <c r="R2077" s="3" t="s">
        <v>71</v>
      </c>
      <c r="S2077" s="4">
        <v>0</v>
      </c>
      <c r="T2077" s="4">
        <v>1</v>
      </c>
      <c r="V2077" s="5" t="s">
        <v>7314</v>
      </c>
      <c r="W2077" s="5" t="s">
        <v>72</v>
      </c>
      <c r="X2077" s="5" t="s">
        <v>72</v>
      </c>
      <c r="Y2077" s="4">
        <v>2</v>
      </c>
      <c r="Z2077" s="4">
        <v>1</v>
      </c>
      <c r="AA2077" s="4">
        <v>4</v>
      </c>
      <c r="AB2077" s="4">
        <v>1</v>
      </c>
      <c r="AC2077" s="4">
        <v>1</v>
      </c>
      <c r="AD2077" s="4">
        <v>1</v>
      </c>
      <c r="AE2077" s="4">
        <v>3</v>
      </c>
      <c r="AF2077" s="4">
        <v>0</v>
      </c>
      <c r="AG2077" s="4">
        <v>0</v>
      </c>
      <c r="AH2077" s="4">
        <v>1</v>
      </c>
      <c r="AI2077" s="4">
        <v>3</v>
      </c>
      <c r="AJ2077" s="4">
        <v>0</v>
      </c>
      <c r="AK2077" s="4">
        <v>2</v>
      </c>
      <c r="AL2077" s="4">
        <v>1</v>
      </c>
      <c r="AM2077" s="4">
        <v>2</v>
      </c>
      <c r="AN2077" s="4">
        <v>0</v>
      </c>
      <c r="AO2077" s="4">
        <v>0</v>
      </c>
      <c r="AP2077" s="4">
        <v>0</v>
      </c>
      <c r="AQ2077" s="4">
        <v>2</v>
      </c>
      <c r="AR2077" s="3" t="s">
        <v>65</v>
      </c>
      <c r="AS2077" s="3" t="s">
        <v>65</v>
      </c>
      <c r="AT2077" s="3" t="s">
        <v>65</v>
      </c>
      <c r="AV2077" s="6" t="str">
        <f t="shared" si="34"/>
        <v>Catalog Record</v>
      </c>
      <c r="AW2077" s="6" t="str">
        <f t="shared" si="35"/>
        <v>WorldCat Record</v>
      </c>
      <c r="AX2077" s="3" t="s">
        <v>20281</v>
      </c>
      <c r="AY2077" s="3" t="s">
        <v>20282</v>
      </c>
      <c r="AZ2077" s="3" t="s">
        <v>20283</v>
      </c>
      <c r="BA2077" s="3" t="s">
        <v>20283</v>
      </c>
      <c r="BB2077" s="3" t="s">
        <v>20311</v>
      </c>
      <c r="BC2077" s="3" t="s">
        <v>77</v>
      </c>
      <c r="BD2077" s="3" t="s">
        <v>78</v>
      </c>
      <c r="BF2077" s="3" t="s">
        <v>20311</v>
      </c>
      <c r="BG2077" s="3" t="s">
        <v>20312</v>
      </c>
    </row>
    <row r="2078" spans="1:59" ht="58" x14ac:dyDescent="0.35">
      <c r="A2078" s="2" t="s">
        <v>59</v>
      </c>
      <c r="B2078" s="2" t="s">
        <v>60</v>
      </c>
      <c r="C2078" s="2" t="s">
        <v>20274</v>
      </c>
      <c r="D2078" s="2" t="s">
        <v>20275</v>
      </c>
      <c r="E2078" s="2" t="s">
        <v>20276</v>
      </c>
      <c r="F2078" s="3" t="s">
        <v>20313</v>
      </c>
      <c r="G2078" s="3" t="s">
        <v>209</v>
      </c>
      <c r="I2078" s="3" t="s">
        <v>65</v>
      </c>
      <c r="J2078" s="3" t="s">
        <v>65</v>
      </c>
      <c r="K2078" s="3" t="s">
        <v>66</v>
      </c>
      <c r="L2078" s="2" t="s">
        <v>20278</v>
      </c>
      <c r="M2078" s="2" t="s">
        <v>20279</v>
      </c>
      <c r="N2078" s="3" t="s">
        <v>928</v>
      </c>
      <c r="P2078" s="3" t="s">
        <v>140</v>
      </c>
      <c r="Q2078" s="2" t="s">
        <v>20280</v>
      </c>
      <c r="R2078" s="3" t="s">
        <v>71</v>
      </c>
      <c r="S2078" s="4">
        <v>0</v>
      </c>
      <c r="T2078" s="4">
        <v>1</v>
      </c>
      <c r="V2078" s="5" t="s">
        <v>7314</v>
      </c>
      <c r="W2078" s="5" t="s">
        <v>72</v>
      </c>
      <c r="X2078" s="5" t="s">
        <v>72</v>
      </c>
      <c r="Y2078" s="4">
        <v>2</v>
      </c>
      <c r="Z2078" s="4">
        <v>1</v>
      </c>
      <c r="AA2078" s="4">
        <v>4</v>
      </c>
      <c r="AB2078" s="4">
        <v>1</v>
      </c>
      <c r="AC2078" s="4">
        <v>1</v>
      </c>
      <c r="AD2078" s="4">
        <v>1</v>
      </c>
      <c r="AE2078" s="4">
        <v>3</v>
      </c>
      <c r="AF2078" s="4">
        <v>0</v>
      </c>
      <c r="AG2078" s="4">
        <v>0</v>
      </c>
      <c r="AH2078" s="4">
        <v>1</v>
      </c>
      <c r="AI2078" s="4">
        <v>3</v>
      </c>
      <c r="AJ2078" s="4">
        <v>0</v>
      </c>
      <c r="AK2078" s="4">
        <v>2</v>
      </c>
      <c r="AL2078" s="4">
        <v>1</v>
      </c>
      <c r="AM2078" s="4">
        <v>2</v>
      </c>
      <c r="AN2078" s="4">
        <v>0</v>
      </c>
      <c r="AO2078" s="4">
        <v>0</v>
      </c>
      <c r="AP2078" s="4">
        <v>0</v>
      </c>
      <c r="AQ2078" s="4">
        <v>2</v>
      </c>
      <c r="AR2078" s="3" t="s">
        <v>65</v>
      </c>
      <c r="AS2078" s="3" t="s">
        <v>65</v>
      </c>
      <c r="AT2078" s="3" t="s">
        <v>65</v>
      </c>
      <c r="AV2078" s="6" t="str">
        <f t="shared" si="34"/>
        <v>Catalog Record</v>
      </c>
      <c r="AW2078" s="6" t="str">
        <f t="shared" si="35"/>
        <v>WorldCat Record</v>
      </c>
      <c r="AX2078" s="3" t="s">
        <v>20281</v>
      </c>
      <c r="AY2078" s="3" t="s">
        <v>20282</v>
      </c>
      <c r="AZ2078" s="3" t="s">
        <v>20283</v>
      </c>
      <c r="BA2078" s="3" t="s">
        <v>20283</v>
      </c>
      <c r="BB2078" s="3" t="s">
        <v>20314</v>
      </c>
      <c r="BC2078" s="3" t="s">
        <v>77</v>
      </c>
      <c r="BD2078" s="3" t="s">
        <v>78</v>
      </c>
      <c r="BF2078" s="3" t="s">
        <v>20314</v>
      </c>
      <c r="BG2078" s="3" t="s">
        <v>20315</v>
      </c>
    </row>
    <row r="2079" spans="1:59" ht="72.5" x14ac:dyDescent="0.35">
      <c r="A2079" s="2" t="s">
        <v>59</v>
      </c>
      <c r="B2079" s="2" t="s">
        <v>60</v>
      </c>
      <c r="C2079" s="2" t="s">
        <v>20316</v>
      </c>
      <c r="D2079" s="2" t="s">
        <v>20317</v>
      </c>
      <c r="E2079" s="2" t="s">
        <v>20318</v>
      </c>
      <c r="F2079" s="3" t="s">
        <v>19125</v>
      </c>
      <c r="G2079" s="3" t="s">
        <v>65</v>
      </c>
      <c r="I2079" s="3" t="s">
        <v>65</v>
      </c>
      <c r="J2079" s="3" t="s">
        <v>65</v>
      </c>
      <c r="K2079" s="3" t="s">
        <v>66</v>
      </c>
      <c r="L2079" s="2" t="s">
        <v>20319</v>
      </c>
      <c r="M2079" s="2" t="s">
        <v>20320</v>
      </c>
      <c r="N2079" s="3" t="s">
        <v>188</v>
      </c>
      <c r="P2079" s="3" t="s">
        <v>140</v>
      </c>
      <c r="Q2079" s="2" t="s">
        <v>20321</v>
      </c>
      <c r="R2079" s="3" t="s">
        <v>71</v>
      </c>
      <c r="S2079" s="4">
        <v>0</v>
      </c>
      <c r="T2079" s="4">
        <v>0</v>
      </c>
      <c r="W2079" s="5" t="s">
        <v>72</v>
      </c>
      <c r="X2079" s="5" t="s">
        <v>72</v>
      </c>
      <c r="Y2079" s="4">
        <v>16</v>
      </c>
      <c r="Z2079" s="4">
        <v>2</v>
      </c>
      <c r="AA2079" s="4">
        <v>2</v>
      </c>
      <c r="AB2079" s="4">
        <v>1</v>
      </c>
      <c r="AC2079" s="4">
        <v>1</v>
      </c>
      <c r="AD2079" s="4">
        <v>11</v>
      </c>
      <c r="AE2079" s="4">
        <v>11</v>
      </c>
      <c r="AF2079" s="4">
        <v>0</v>
      </c>
      <c r="AG2079" s="4">
        <v>0</v>
      </c>
      <c r="AH2079" s="4">
        <v>11</v>
      </c>
      <c r="AI2079" s="4">
        <v>11</v>
      </c>
      <c r="AJ2079" s="4">
        <v>1</v>
      </c>
      <c r="AK2079" s="4">
        <v>1</v>
      </c>
      <c r="AL2079" s="4">
        <v>8</v>
      </c>
      <c r="AM2079" s="4">
        <v>8</v>
      </c>
      <c r="AN2079" s="4">
        <v>0</v>
      </c>
      <c r="AO2079" s="4">
        <v>0</v>
      </c>
      <c r="AP2079" s="4">
        <v>1</v>
      </c>
      <c r="AQ2079" s="4">
        <v>1</v>
      </c>
      <c r="AR2079" s="3" t="s">
        <v>65</v>
      </c>
      <c r="AS2079" s="3" t="s">
        <v>65</v>
      </c>
      <c r="AT2079" s="3" t="s">
        <v>209</v>
      </c>
      <c r="AU2079" s="6" t="str">
        <f>HYPERLINK("http://catalog.hathitrust.org/Record/004177359","HathiTrust Record")</f>
        <v>HathiTrust Record</v>
      </c>
      <c r="AV2079" s="6" t="str">
        <f>HYPERLINK("http://mcgill.on.worldcat.org/oclc/1038519321","Catalog Record")</f>
        <v>Catalog Record</v>
      </c>
      <c r="AW2079" s="6" t="str">
        <f>HYPERLINK("http://www.worldcat.org/oclc/1038519321","WorldCat Record")</f>
        <v>WorldCat Record</v>
      </c>
      <c r="AX2079" s="3" t="s">
        <v>20322</v>
      </c>
      <c r="AY2079" s="3" t="s">
        <v>20323</v>
      </c>
      <c r="AZ2079" s="3" t="s">
        <v>20324</v>
      </c>
      <c r="BA2079" s="3" t="s">
        <v>20324</v>
      </c>
      <c r="BB2079" s="3" t="s">
        <v>20325</v>
      </c>
      <c r="BC2079" s="3" t="s">
        <v>77</v>
      </c>
      <c r="BD2079" s="3" t="s">
        <v>78</v>
      </c>
      <c r="BE2079" s="3" t="s">
        <v>20326</v>
      </c>
      <c r="BF2079" s="3" t="s">
        <v>20325</v>
      </c>
      <c r="BG2079" s="3" t="s">
        <v>20327</v>
      </c>
    </row>
    <row r="2080" spans="1:59" ht="101.5" x14ac:dyDescent="0.35">
      <c r="A2080" s="2" t="s">
        <v>59</v>
      </c>
      <c r="B2080" s="2" t="s">
        <v>60</v>
      </c>
      <c r="C2080" s="2" t="s">
        <v>20328</v>
      </c>
      <c r="D2080" s="2" t="s">
        <v>20329</v>
      </c>
      <c r="E2080" s="2" t="s">
        <v>20330</v>
      </c>
      <c r="F2080" s="3" t="s">
        <v>20331</v>
      </c>
      <c r="G2080" s="3" t="s">
        <v>65</v>
      </c>
      <c r="I2080" s="3" t="s">
        <v>65</v>
      </c>
      <c r="J2080" s="3" t="s">
        <v>65</v>
      </c>
      <c r="K2080" s="3" t="s">
        <v>66</v>
      </c>
      <c r="L2080" s="2" t="s">
        <v>20278</v>
      </c>
      <c r="M2080" s="2" t="s">
        <v>20332</v>
      </c>
      <c r="N2080" s="3" t="s">
        <v>1944</v>
      </c>
      <c r="P2080" s="3" t="s">
        <v>140</v>
      </c>
      <c r="Q2080" s="2" t="s">
        <v>20333</v>
      </c>
      <c r="R2080" s="3" t="s">
        <v>71</v>
      </c>
      <c r="S2080" s="4">
        <v>1</v>
      </c>
      <c r="T2080" s="4">
        <v>1</v>
      </c>
      <c r="U2080" s="5" t="s">
        <v>20334</v>
      </c>
      <c r="V2080" s="5" t="s">
        <v>20334</v>
      </c>
      <c r="W2080" s="5" t="s">
        <v>72</v>
      </c>
      <c r="X2080" s="5" t="s">
        <v>72</v>
      </c>
      <c r="Y2080" s="4">
        <v>20</v>
      </c>
      <c r="Z2080" s="4">
        <v>3</v>
      </c>
      <c r="AA2080" s="4">
        <v>3</v>
      </c>
      <c r="AB2080" s="4">
        <v>1</v>
      </c>
      <c r="AC2080" s="4">
        <v>1</v>
      </c>
      <c r="AD2080" s="4">
        <v>7</v>
      </c>
      <c r="AE2080" s="4">
        <v>7</v>
      </c>
      <c r="AF2080" s="4">
        <v>0</v>
      </c>
      <c r="AG2080" s="4">
        <v>0</v>
      </c>
      <c r="AH2080" s="4">
        <v>7</v>
      </c>
      <c r="AI2080" s="4">
        <v>7</v>
      </c>
      <c r="AJ2080" s="4">
        <v>1</v>
      </c>
      <c r="AK2080" s="4">
        <v>1</v>
      </c>
      <c r="AL2080" s="4">
        <v>5</v>
      </c>
      <c r="AM2080" s="4">
        <v>5</v>
      </c>
      <c r="AN2080" s="4">
        <v>0</v>
      </c>
      <c r="AO2080" s="4">
        <v>0</v>
      </c>
      <c r="AP2080" s="4">
        <v>1</v>
      </c>
      <c r="AQ2080" s="4">
        <v>1</v>
      </c>
      <c r="AR2080" s="3" t="s">
        <v>65</v>
      </c>
      <c r="AS2080" s="3" t="s">
        <v>65</v>
      </c>
      <c r="AT2080" s="3" t="s">
        <v>65</v>
      </c>
      <c r="AV2080" s="6" t="str">
        <f>HYPERLINK("http://mcgill.on.worldcat.org/oclc/46612883","Catalog Record")</f>
        <v>Catalog Record</v>
      </c>
      <c r="AW2080" s="6" t="str">
        <f>HYPERLINK("http://www.worldcat.org/oclc/46612883","WorldCat Record")</f>
        <v>WorldCat Record</v>
      </c>
      <c r="AX2080" s="3" t="s">
        <v>20335</v>
      </c>
      <c r="AY2080" s="3" t="s">
        <v>20336</v>
      </c>
      <c r="AZ2080" s="3" t="s">
        <v>20337</v>
      </c>
      <c r="BA2080" s="3" t="s">
        <v>20337</v>
      </c>
      <c r="BB2080" s="3" t="s">
        <v>20338</v>
      </c>
      <c r="BC2080" s="3" t="s">
        <v>77</v>
      </c>
      <c r="BD2080" s="3" t="s">
        <v>78</v>
      </c>
      <c r="BF2080" s="3" t="s">
        <v>20338</v>
      </c>
      <c r="BG2080" s="3" t="s">
        <v>20339</v>
      </c>
    </row>
    <row r="2081" spans="1:59" ht="72.5" x14ac:dyDescent="0.35">
      <c r="A2081" s="2" t="s">
        <v>59</v>
      </c>
      <c r="B2081" s="2" t="s">
        <v>60</v>
      </c>
      <c r="C2081" s="2" t="s">
        <v>20340</v>
      </c>
      <c r="D2081" s="2" t="s">
        <v>20341</v>
      </c>
      <c r="E2081" s="2" t="s">
        <v>20342</v>
      </c>
      <c r="F2081" s="3" t="s">
        <v>20343</v>
      </c>
      <c r="G2081" s="3" t="s">
        <v>65</v>
      </c>
      <c r="I2081" s="3" t="s">
        <v>65</v>
      </c>
      <c r="J2081" s="3" t="s">
        <v>65</v>
      </c>
      <c r="K2081" s="3" t="s">
        <v>66</v>
      </c>
      <c r="L2081" s="2" t="s">
        <v>20344</v>
      </c>
      <c r="M2081" s="2" t="s">
        <v>20345</v>
      </c>
      <c r="N2081" s="3" t="s">
        <v>164</v>
      </c>
      <c r="P2081" s="3" t="s">
        <v>140</v>
      </c>
      <c r="Q2081" s="2" t="s">
        <v>20346</v>
      </c>
      <c r="R2081" s="3" t="s">
        <v>71</v>
      </c>
      <c r="S2081" s="4">
        <v>0</v>
      </c>
      <c r="T2081" s="4">
        <v>0</v>
      </c>
      <c r="W2081" s="5" t="s">
        <v>72</v>
      </c>
      <c r="X2081" s="5" t="s">
        <v>72</v>
      </c>
      <c r="Y2081" s="4">
        <v>17</v>
      </c>
      <c r="Z2081" s="4">
        <v>3</v>
      </c>
      <c r="AA2081" s="4">
        <v>3</v>
      </c>
      <c r="AB2081" s="4">
        <v>1</v>
      </c>
      <c r="AC2081" s="4">
        <v>1</v>
      </c>
      <c r="AD2081" s="4">
        <v>8</v>
      </c>
      <c r="AE2081" s="4">
        <v>8</v>
      </c>
      <c r="AF2081" s="4">
        <v>0</v>
      </c>
      <c r="AG2081" s="4">
        <v>0</v>
      </c>
      <c r="AH2081" s="4">
        <v>8</v>
      </c>
      <c r="AI2081" s="4">
        <v>8</v>
      </c>
      <c r="AJ2081" s="4">
        <v>1</v>
      </c>
      <c r="AK2081" s="4">
        <v>1</v>
      </c>
      <c r="AL2081" s="4">
        <v>6</v>
      </c>
      <c r="AM2081" s="4">
        <v>6</v>
      </c>
      <c r="AN2081" s="4">
        <v>0</v>
      </c>
      <c r="AO2081" s="4">
        <v>0</v>
      </c>
      <c r="AP2081" s="4">
        <v>1</v>
      </c>
      <c r="AQ2081" s="4">
        <v>1</v>
      </c>
      <c r="AR2081" s="3" t="s">
        <v>65</v>
      </c>
      <c r="AS2081" s="3" t="s">
        <v>65</v>
      </c>
      <c r="AT2081" s="3" t="s">
        <v>209</v>
      </c>
      <c r="AU2081" s="6" t="str">
        <f>HYPERLINK("http://catalog.hathitrust.org/Record/004177359","HathiTrust Record")</f>
        <v>HathiTrust Record</v>
      </c>
      <c r="AV2081" s="6" t="str">
        <f>HYPERLINK("http://mcgill.on.worldcat.org/oclc/902639000","Catalog Record")</f>
        <v>Catalog Record</v>
      </c>
      <c r="AW2081" s="6" t="str">
        <f>HYPERLINK("http://www.worldcat.org/oclc/902639000","WorldCat Record")</f>
        <v>WorldCat Record</v>
      </c>
      <c r="AX2081" s="3" t="s">
        <v>20347</v>
      </c>
      <c r="AY2081" s="3" t="s">
        <v>20348</v>
      </c>
      <c r="AZ2081" s="3" t="s">
        <v>20349</v>
      </c>
      <c r="BA2081" s="3" t="s">
        <v>20349</v>
      </c>
      <c r="BB2081" s="3" t="s">
        <v>20350</v>
      </c>
      <c r="BC2081" s="3" t="s">
        <v>77</v>
      </c>
      <c r="BD2081" s="3" t="s">
        <v>78</v>
      </c>
      <c r="BE2081" s="3" t="s">
        <v>20351</v>
      </c>
      <c r="BF2081" s="3" t="s">
        <v>20350</v>
      </c>
      <c r="BG2081" s="3" t="s">
        <v>20352</v>
      </c>
    </row>
    <row r="2082" spans="1:59" ht="87" x14ac:dyDescent="0.35">
      <c r="A2082" s="2" t="s">
        <v>59</v>
      </c>
      <c r="B2082" s="2" t="s">
        <v>60</v>
      </c>
      <c r="C2082" s="2" t="s">
        <v>20353</v>
      </c>
      <c r="D2082" s="2" t="s">
        <v>20354</v>
      </c>
      <c r="E2082" s="2" t="s">
        <v>20355</v>
      </c>
      <c r="F2082" s="3" t="s">
        <v>20356</v>
      </c>
      <c r="G2082" s="3" t="s">
        <v>65</v>
      </c>
      <c r="I2082" s="3" t="s">
        <v>65</v>
      </c>
      <c r="J2082" s="3" t="s">
        <v>65</v>
      </c>
      <c r="K2082" s="3" t="s">
        <v>66</v>
      </c>
      <c r="L2082" s="2" t="s">
        <v>20319</v>
      </c>
      <c r="M2082" s="2" t="s">
        <v>20357</v>
      </c>
      <c r="N2082" s="3" t="s">
        <v>176</v>
      </c>
      <c r="P2082" s="3" t="s">
        <v>140</v>
      </c>
      <c r="Q2082" s="2" t="s">
        <v>20358</v>
      </c>
      <c r="R2082" s="3" t="s">
        <v>71</v>
      </c>
      <c r="S2082" s="4">
        <v>0</v>
      </c>
      <c r="T2082" s="4">
        <v>0</v>
      </c>
      <c r="W2082" s="5" t="s">
        <v>72</v>
      </c>
      <c r="X2082" s="5" t="s">
        <v>72</v>
      </c>
      <c r="Y2082" s="4">
        <v>14</v>
      </c>
      <c r="Z2082" s="4">
        <v>1</v>
      </c>
      <c r="AA2082" s="4">
        <v>1</v>
      </c>
      <c r="AB2082" s="4">
        <v>1</v>
      </c>
      <c r="AC2082" s="4">
        <v>1</v>
      </c>
      <c r="AD2082" s="4">
        <v>11</v>
      </c>
      <c r="AE2082" s="4">
        <v>13</v>
      </c>
      <c r="AF2082" s="4">
        <v>0</v>
      </c>
      <c r="AG2082" s="4">
        <v>0</v>
      </c>
      <c r="AH2082" s="4">
        <v>11</v>
      </c>
      <c r="AI2082" s="4">
        <v>12</v>
      </c>
      <c r="AJ2082" s="4">
        <v>0</v>
      </c>
      <c r="AK2082" s="4">
        <v>0</v>
      </c>
      <c r="AL2082" s="4">
        <v>6</v>
      </c>
      <c r="AM2082" s="4">
        <v>8</v>
      </c>
      <c r="AN2082" s="4">
        <v>0</v>
      </c>
      <c r="AO2082" s="4">
        <v>0</v>
      </c>
      <c r="AP2082" s="4">
        <v>0</v>
      </c>
      <c r="AQ2082" s="4">
        <v>0</v>
      </c>
      <c r="AR2082" s="3" t="s">
        <v>65</v>
      </c>
      <c r="AS2082" s="3" t="s">
        <v>65</v>
      </c>
      <c r="AT2082" s="3" t="s">
        <v>209</v>
      </c>
      <c r="AU2082" s="6" t="str">
        <f>HYPERLINK("http://catalog.hathitrust.org/Record/004177359","HathiTrust Record")</f>
        <v>HathiTrust Record</v>
      </c>
      <c r="AV2082" s="6" t="str">
        <f>HYPERLINK("http://mcgill.on.worldcat.org/oclc/969186331","Catalog Record")</f>
        <v>Catalog Record</v>
      </c>
      <c r="AW2082" s="6" t="str">
        <f>HYPERLINK("http://www.worldcat.org/oclc/969186331","WorldCat Record")</f>
        <v>WorldCat Record</v>
      </c>
      <c r="AX2082" s="3" t="s">
        <v>20359</v>
      </c>
      <c r="AY2082" s="3" t="s">
        <v>20360</v>
      </c>
      <c r="AZ2082" s="3" t="s">
        <v>20361</v>
      </c>
      <c r="BA2082" s="3" t="s">
        <v>20361</v>
      </c>
      <c r="BB2082" s="3" t="s">
        <v>20362</v>
      </c>
      <c r="BC2082" s="3" t="s">
        <v>77</v>
      </c>
      <c r="BD2082" s="3" t="s">
        <v>78</v>
      </c>
      <c r="BE2082" s="3" t="s">
        <v>20363</v>
      </c>
      <c r="BF2082" s="3" t="s">
        <v>20362</v>
      </c>
      <c r="BG2082" s="3" t="s">
        <v>20364</v>
      </c>
    </row>
    <row r="2083" spans="1:59" ht="87" x14ac:dyDescent="0.35">
      <c r="A2083" s="2" t="s">
        <v>59</v>
      </c>
      <c r="B2083" s="2" t="s">
        <v>60</v>
      </c>
      <c r="C2083" s="2" t="s">
        <v>20365</v>
      </c>
      <c r="D2083" s="2" t="s">
        <v>20366</v>
      </c>
      <c r="E2083" s="2" t="s">
        <v>20367</v>
      </c>
      <c r="F2083" s="3" t="s">
        <v>20368</v>
      </c>
      <c r="G2083" s="3" t="s">
        <v>65</v>
      </c>
      <c r="I2083" s="3" t="s">
        <v>65</v>
      </c>
      <c r="J2083" s="3" t="s">
        <v>65</v>
      </c>
      <c r="K2083" s="3" t="s">
        <v>66</v>
      </c>
      <c r="L2083" s="2" t="s">
        <v>20369</v>
      </c>
      <c r="M2083" s="2" t="s">
        <v>20357</v>
      </c>
      <c r="N2083" s="3" t="s">
        <v>176</v>
      </c>
      <c r="P2083" s="3" t="s">
        <v>140</v>
      </c>
      <c r="R2083" s="3" t="s">
        <v>71</v>
      </c>
      <c r="S2083" s="4">
        <v>0</v>
      </c>
      <c r="T2083" s="4">
        <v>0</v>
      </c>
      <c r="W2083" s="5" t="s">
        <v>72</v>
      </c>
      <c r="X2083" s="5" t="s">
        <v>72</v>
      </c>
      <c r="Y2083" s="4">
        <v>8</v>
      </c>
      <c r="Z2083" s="4">
        <v>1</v>
      </c>
      <c r="AA2083" s="4">
        <v>1</v>
      </c>
      <c r="AB2083" s="4">
        <v>1</v>
      </c>
      <c r="AC2083" s="4">
        <v>1</v>
      </c>
      <c r="AD2083" s="4">
        <v>5</v>
      </c>
      <c r="AE2083" s="4">
        <v>5</v>
      </c>
      <c r="AF2083" s="4">
        <v>0</v>
      </c>
      <c r="AG2083" s="4">
        <v>0</v>
      </c>
      <c r="AH2083" s="4">
        <v>5</v>
      </c>
      <c r="AI2083" s="4">
        <v>5</v>
      </c>
      <c r="AJ2083" s="4">
        <v>0</v>
      </c>
      <c r="AK2083" s="4">
        <v>0</v>
      </c>
      <c r="AL2083" s="4">
        <v>3</v>
      </c>
      <c r="AM2083" s="4">
        <v>3</v>
      </c>
      <c r="AN2083" s="4">
        <v>0</v>
      </c>
      <c r="AO2083" s="4">
        <v>0</v>
      </c>
      <c r="AP2083" s="4">
        <v>0</v>
      </c>
      <c r="AQ2083" s="4">
        <v>0</v>
      </c>
      <c r="AR2083" s="3" t="s">
        <v>65</v>
      </c>
      <c r="AS2083" s="3" t="s">
        <v>65</v>
      </c>
      <c r="AT2083" s="3" t="s">
        <v>65</v>
      </c>
      <c r="AV2083" s="6" t="str">
        <f>HYPERLINK("http://mcgill.on.worldcat.org/oclc/970663202","Catalog Record")</f>
        <v>Catalog Record</v>
      </c>
      <c r="AW2083" s="6" t="str">
        <f>HYPERLINK("http://www.worldcat.org/oclc/970663202","WorldCat Record")</f>
        <v>WorldCat Record</v>
      </c>
      <c r="AX2083" s="3" t="s">
        <v>20370</v>
      </c>
      <c r="AY2083" s="3" t="s">
        <v>20371</v>
      </c>
      <c r="AZ2083" s="3" t="s">
        <v>20372</v>
      </c>
      <c r="BA2083" s="3" t="s">
        <v>20372</v>
      </c>
      <c r="BB2083" s="3" t="s">
        <v>20373</v>
      </c>
      <c r="BC2083" s="3" t="s">
        <v>77</v>
      </c>
      <c r="BD2083" s="3" t="s">
        <v>78</v>
      </c>
      <c r="BF2083" s="3" t="s">
        <v>20373</v>
      </c>
      <c r="BG2083" s="3" t="s">
        <v>20374</v>
      </c>
    </row>
    <row r="2084" spans="1:59" ht="72.5" x14ac:dyDescent="0.35">
      <c r="A2084" s="2" t="s">
        <v>59</v>
      </c>
      <c r="B2084" s="2" t="s">
        <v>60</v>
      </c>
      <c r="C2084" s="2" t="s">
        <v>20375</v>
      </c>
      <c r="D2084" s="2" t="s">
        <v>20376</v>
      </c>
      <c r="E2084" s="2" t="s">
        <v>20377</v>
      </c>
      <c r="F2084" s="3" t="s">
        <v>20378</v>
      </c>
      <c r="G2084" s="3" t="s">
        <v>65</v>
      </c>
      <c r="I2084" s="3" t="s">
        <v>65</v>
      </c>
      <c r="J2084" s="3" t="s">
        <v>209</v>
      </c>
      <c r="K2084" s="3" t="s">
        <v>66</v>
      </c>
      <c r="L2084" s="2" t="s">
        <v>20319</v>
      </c>
      <c r="M2084" s="2" t="s">
        <v>20379</v>
      </c>
      <c r="N2084" s="3" t="s">
        <v>152</v>
      </c>
      <c r="P2084" s="3" t="s">
        <v>140</v>
      </c>
      <c r="Q2084" s="2" t="s">
        <v>20380</v>
      </c>
      <c r="R2084" s="3" t="s">
        <v>71</v>
      </c>
      <c r="S2084" s="4">
        <v>0</v>
      </c>
      <c r="T2084" s="4">
        <v>0</v>
      </c>
      <c r="W2084" s="5" t="s">
        <v>72</v>
      </c>
      <c r="X2084" s="5" t="s">
        <v>72</v>
      </c>
      <c r="Y2084" s="4">
        <v>20</v>
      </c>
      <c r="Z2084" s="4">
        <v>4</v>
      </c>
      <c r="AA2084" s="4">
        <v>43</v>
      </c>
      <c r="AB2084" s="4">
        <v>1</v>
      </c>
      <c r="AC2084" s="4">
        <v>8</v>
      </c>
      <c r="AD2084" s="4">
        <v>11</v>
      </c>
      <c r="AE2084" s="4">
        <v>122</v>
      </c>
      <c r="AF2084" s="4">
        <v>0</v>
      </c>
      <c r="AG2084" s="4">
        <v>3</v>
      </c>
      <c r="AH2084" s="4">
        <v>11</v>
      </c>
      <c r="AI2084" s="4">
        <v>106</v>
      </c>
      <c r="AJ2084" s="4">
        <v>2</v>
      </c>
      <c r="AK2084" s="4">
        <v>20</v>
      </c>
      <c r="AL2084" s="4">
        <v>7</v>
      </c>
      <c r="AM2084" s="4">
        <v>58</v>
      </c>
      <c r="AN2084" s="4">
        <v>0</v>
      </c>
      <c r="AO2084" s="4">
        <v>5</v>
      </c>
      <c r="AP2084" s="4">
        <v>2</v>
      </c>
      <c r="AQ2084" s="4">
        <v>22</v>
      </c>
      <c r="AR2084" s="3" t="s">
        <v>65</v>
      </c>
      <c r="AS2084" s="3" t="s">
        <v>65</v>
      </c>
      <c r="AT2084" s="3" t="s">
        <v>65</v>
      </c>
      <c r="AV2084" s="6" t="str">
        <f>HYPERLINK("http://mcgill.on.worldcat.org/oclc/881288495","Catalog Record")</f>
        <v>Catalog Record</v>
      </c>
      <c r="AW2084" s="6" t="str">
        <f>HYPERLINK("http://www.worldcat.org/oclc/881288495","WorldCat Record")</f>
        <v>WorldCat Record</v>
      </c>
      <c r="AX2084" s="3" t="s">
        <v>20381</v>
      </c>
      <c r="AY2084" s="3" t="s">
        <v>20382</v>
      </c>
      <c r="AZ2084" s="3" t="s">
        <v>20383</v>
      </c>
      <c r="BA2084" s="3" t="s">
        <v>20383</v>
      </c>
      <c r="BB2084" s="3" t="s">
        <v>20384</v>
      </c>
      <c r="BC2084" s="3" t="s">
        <v>77</v>
      </c>
      <c r="BD2084" s="3" t="s">
        <v>78</v>
      </c>
      <c r="BE2084" s="3" t="s">
        <v>20385</v>
      </c>
      <c r="BF2084" s="3" t="s">
        <v>20384</v>
      </c>
      <c r="BG2084" s="3" t="s">
        <v>20386</v>
      </c>
    </row>
    <row r="2085" spans="1:59" ht="72.5" x14ac:dyDescent="0.35">
      <c r="A2085" s="2" t="s">
        <v>59</v>
      </c>
      <c r="B2085" s="2" t="s">
        <v>60</v>
      </c>
      <c r="C2085" s="2" t="s">
        <v>20387</v>
      </c>
      <c r="D2085" s="2" t="s">
        <v>20388</v>
      </c>
      <c r="E2085" s="2" t="s">
        <v>20389</v>
      </c>
      <c r="F2085" s="3" t="s">
        <v>10601</v>
      </c>
      <c r="G2085" s="3" t="s">
        <v>209</v>
      </c>
      <c r="I2085" s="3" t="s">
        <v>65</v>
      </c>
      <c r="J2085" s="3" t="s">
        <v>65</v>
      </c>
      <c r="K2085" s="3" t="s">
        <v>66</v>
      </c>
      <c r="L2085" s="2" t="s">
        <v>20278</v>
      </c>
      <c r="M2085" s="2" t="s">
        <v>20390</v>
      </c>
      <c r="N2085" s="3" t="s">
        <v>113</v>
      </c>
      <c r="P2085" s="3" t="s">
        <v>140</v>
      </c>
      <c r="Q2085" s="2" t="s">
        <v>20391</v>
      </c>
      <c r="R2085" s="3" t="s">
        <v>71</v>
      </c>
      <c r="S2085" s="4">
        <v>0</v>
      </c>
      <c r="T2085" s="4">
        <v>0</v>
      </c>
      <c r="W2085" s="5" t="s">
        <v>72</v>
      </c>
      <c r="X2085" s="5" t="s">
        <v>72</v>
      </c>
      <c r="Y2085" s="4">
        <v>19</v>
      </c>
      <c r="Z2085" s="4">
        <v>3</v>
      </c>
      <c r="AA2085" s="4">
        <v>3</v>
      </c>
      <c r="AB2085" s="4">
        <v>1</v>
      </c>
      <c r="AC2085" s="4">
        <v>1</v>
      </c>
      <c r="AD2085" s="4">
        <v>9</v>
      </c>
      <c r="AE2085" s="4">
        <v>9</v>
      </c>
      <c r="AF2085" s="4">
        <v>0</v>
      </c>
      <c r="AG2085" s="4">
        <v>0</v>
      </c>
      <c r="AH2085" s="4">
        <v>9</v>
      </c>
      <c r="AI2085" s="4">
        <v>9</v>
      </c>
      <c r="AJ2085" s="4">
        <v>1</v>
      </c>
      <c r="AK2085" s="4">
        <v>1</v>
      </c>
      <c r="AL2085" s="4">
        <v>5</v>
      </c>
      <c r="AM2085" s="4">
        <v>5</v>
      </c>
      <c r="AN2085" s="4">
        <v>0</v>
      </c>
      <c r="AO2085" s="4">
        <v>0</v>
      </c>
      <c r="AP2085" s="4">
        <v>1</v>
      </c>
      <c r="AQ2085" s="4">
        <v>1</v>
      </c>
      <c r="AR2085" s="3" t="s">
        <v>65</v>
      </c>
      <c r="AS2085" s="3" t="s">
        <v>65</v>
      </c>
      <c r="AT2085" s="3" t="s">
        <v>65</v>
      </c>
      <c r="AV2085" s="6" t="str">
        <f>HYPERLINK("http://mcgill.on.worldcat.org/oclc/648956651","Catalog Record")</f>
        <v>Catalog Record</v>
      </c>
      <c r="AW2085" s="6" t="str">
        <f>HYPERLINK("http://www.worldcat.org/oclc/648956651","WorldCat Record")</f>
        <v>WorldCat Record</v>
      </c>
      <c r="AX2085" s="3" t="s">
        <v>20392</v>
      </c>
      <c r="AY2085" s="3" t="s">
        <v>20393</v>
      </c>
      <c r="AZ2085" s="3" t="s">
        <v>20394</v>
      </c>
      <c r="BA2085" s="3" t="s">
        <v>20394</v>
      </c>
      <c r="BB2085" s="3" t="s">
        <v>20395</v>
      </c>
      <c r="BC2085" s="3" t="s">
        <v>77</v>
      </c>
      <c r="BD2085" s="3" t="s">
        <v>78</v>
      </c>
      <c r="BE2085" s="3" t="s">
        <v>20396</v>
      </c>
      <c r="BF2085" s="3" t="s">
        <v>20395</v>
      </c>
      <c r="BG2085" s="3" t="s">
        <v>20397</v>
      </c>
    </row>
    <row r="2086" spans="1:59" ht="72.5" x14ac:dyDescent="0.35">
      <c r="A2086" s="2" t="s">
        <v>59</v>
      </c>
      <c r="B2086" s="2" t="s">
        <v>60</v>
      </c>
      <c r="C2086" s="2" t="s">
        <v>20387</v>
      </c>
      <c r="D2086" s="2" t="s">
        <v>20388</v>
      </c>
      <c r="E2086" s="2" t="s">
        <v>20389</v>
      </c>
      <c r="F2086" s="3" t="s">
        <v>20398</v>
      </c>
      <c r="G2086" s="3" t="s">
        <v>209</v>
      </c>
      <c r="I2086" s="3" t="s">
        <v>65</v>
      </c>
      <c r="J2086" s="3" t="s">
        <v>65</v>
      </c>
      <c r="K2086" s="3" t="s">
        <v>66</v>
      </c>
      <c r="L2086" s="2" t="s">
        <v>20278</v>
      </c>
      <c r="M2086" s="2" t="s">
        <v>20390</v>
      </c>
      <c r="N2086" s="3" t="s">
        <v>113</v>
      </c>
      <c r="P2086" s="3" t="s">
        <v>140</v>
      </c>
      <c r="Q2086" s="2" t="s">
        <v>20391</v>
      </c>
      <c r="R2086" s="3" t="s">
        <v>71</v>
      </c>
      <c r="S2086" s="4">
        <v>0</v>
      </c>
      <c r="T2086" s="4">
        <v>0</v>
      </c>
      <c r="W2086" s="5" t="s">
        <v>72</v>
      </c>
      <c r="X2086" s="5" t="s">
        <v>72</v>
      </c>
      <c r="Y2086" s="4">
        <v>19</v>
      </c>
      <c r="Z2086" s="4">
        <v>3</v>
      </c>
      <c r="AA2086" s="4">
        <v>3</v>
      </c>
      <c r="AB2086" s="4">
        <v>1</v>
      </c>
      <c r="AC2086" s="4">
        <v>1</v>
      </c>
      <c r="AD2086" s="4">
        <v>9</v>
      </c>
      <c r="AE2086" s="4">
        <v>9</v>
      </c>
      <c r="AF2086" s="4">
        <v>0</v>
      </c>
      <c r="AG2086" s="4">
        <v>0</v>
      </c>
      <c r="AH2086" s="4">
        <v>9</v>
      </c>
      <c r="AI2086" s="4">
        <v>9</v>
      </c>
      <c r="AJ2086" s="4">
        <v>1</v>
      </c>
      <c r="AK2086" s="4">
        <v>1</v>
      </c>
      <c r="AL2086" s="4">
        <v>5</v>
      </c>
      <c r="AM2086" s="4">
        <v>5</v>
      </c>
      <c r="AN2086" s="4">
        <v>0</v>
      </c>
      <c r="AO2086" s="4">
        <v>0</v>
      </c>
      <c r="AP2086" s="4">
        <v>1</v>
      </c>
      <c r="AQ2086" s="4">
        <v>1</v>
      </c>
      <c r="AR2086" s="3" t="s">
        <v>65</v>
      </c>
      <c r="AS2086" s="3" t="s">
        <v>65</v>
      </c>
      <c r="AT2086" s="3" t="s">
        <v>65</v>
      </c>
      <c r="AV2086" s="6" t="str">
        <f>HYPERLINK("http://mcgill.on.worldcat.org/oclc/648956651","Catalog Record")</f>
        <v>Catalog Record</v>
      </c>
      <c r="AW2086" s="6" t="str">
        <f>HYPERLINK("http://www.worldcat.org/oclc/648956651","WorldCat Record")</f>
        <v>WorldCat Record</v>
      </c>
      <c r="AX2086" s="3" t="s">
        <v>20392</v>
      </c>
      <c r="AY2086" s="3" t="s">
        <v>20393</v>
      </c>
      <c r="AZ2086" s="3" t="s">
        <v>20394</v>
      </c>
      <c r="BA2086" s="3" t="s">
        <v>20394</v>
      </c>
      <c r="BB2086" s="3" t="s">
        <v>20399</v>
      </c>
      <c r="BC2086" s="3" t="s">
        <v>77</v>
      </c>
      <c r="BD2086" s="3" t="s">
        <v>78</v>
      </c>
      <c r="BE2086" s="3" t="s">
        <v>20396</v>
      </c>
      <c r="BF2086" s="3" t="s">
        <v>20399</v>
      </c>
      <c r="BG2086" s="3" t="s">
        <v>20400</v>
      </c>
    </row>
    <row r="2087" spans="1:59" ht="72.5" x14ac:dyDescent="0.35">
      <c r="A2087" s="2" t="s">
        <v>59</v>
      </c>
      <c r="B2087" s="2" t="s">
        <v>60</v>
      </c>
      <c r="C2087" s="2" t="s">
        <v>20387</v>
      </c>
      <c r="D2087" s="2" t="s">
        <v>20388</v>
      </c>
      <c r="E2087" s="2" t="s">
        <v>20389</v>
      </c>
      <c r="F2087" s="3" t="s">
        <v>20401</v>
      </c>
      <c r="G2087" s="3" t="s">
        <v>209</v>
      </c>
      <c r="I2087" s="3" t="s">
        <v>65</v>
      </c>
      <c r="J2087" s="3" t="s">
        <v>65</v>
      </c>
      <c r="K2087" s="3" t="s">
        <v>66</v>
      </c>
      <c r="L2087" s="2" t="s">
        <v>20278</v>
      </c>
      <c r="M2087" s="2" t="s">
        <v>20390</v>
      </c>
      <c r="N2087" s="3" t="s">
        <v>113</v>
      </c>
      <c r="P2087" s="3" t="s">
        <v>140</v>
      </c>
      <c r="Q2087" s="2" t="s">
        <v>20391</v>
      </c>
      <c r="R2087" s="3" t="s">
        <v>71</v>
      </c>
      <c r="S2087" s="4">
        <v>0</v>
      </c>
      <c r="T2087" s="4">
        <v>0</v>
      </c>
      <c r="W2087" s="5" t="s">
        <v>72</v>
      </c>
      <c r="X2087" s="5" t="s">
        <v>72</v>
      </c>
      <c r="Y2087" s="4">
        <v>19</v>
      </c>
      <c r="Z2087" s="4">
        <v>3</v>
      </c>
      <c r="AA2087" s="4">
        <v>3</v>
      </c>
      <c r="AB2087" s="4">
        <v>1</v>
      </c>
      <c r="AC2087" s="4">
        <v>1</v>
      </c>
      <c r="AD2087" s="4">
        <v>9</v>
      </c>
      <c r="AE2087" s="4">
        <v>9</v>
      </c>
      <c r="AF2087" s="4">
        <v>0</v>
      </c>
      <c r="AG2087" s="4">
        <v>0</v>
      </c>
      <c r="AH2087" s="4">
        <v>9</v>
      </c>
      <c r="AI2087" s="4">
        <v>9</v>
      </c>
      <c r="AJ2087" s="4">
        <v>1</v>
      </c>
      <c r="AK2087" s="4">
        <v>1</v>
      </c>
      <c r="AL2087" s="4">
        <v>5</v>
      </c>
      <c r="AM2087" s="4">
        <v>5</v>
      </c>
      <c r="AN2087" s="4">
        <v>0</v>
      </c>
      <c r="AO2087" s="4">
        <v>0</v>
      </c>
      <c r="AP2087" s="4">
        <v>1</v>
      </c>
      <c r="AQ2087" s="4">
        <v>1</v>
      </c>
      <c r="AR2087" s="3" t="s">
        <v>65</v>
      </c>
      <c r="AS2087" s="3" t="s">
        <v>65</v>
      </c>
      <c r="AT2087" s="3" t="s">
        <v>65</v>
      </c>
      <c r="AV2087" s="6" t="str">
        <f>HYPERLINK("http://mcgill.on.worldcat.org/oclc/648956651","Catalog Record")</f>
        <v>Catalog Record</v>
      </c>
      <c r="AW2087" s="6" t="str">
        <f>HYPERLINK("http://www.worldcat.org/oclc/648956651","WorldCat Record")</f>
        <v>WorldCat Record</v>
      </c>
      <c r="AX2087" s="3" t="s">
        <v>20392</v>
      </c>
      <c r="AY2087" s="3" t="s">
        <v>20393</v>
      </c>
      <c r="AZ2087" s="3" t="s">
        <v>20394</v>
      </c>
      <c r="BA2087" s="3" t="s">
        <v>20394</v>
      </c>
      <c r="BB2087" s="3" t="s">
        <v>20402</v>
      </c>
      <c r="BC2087" s="3" t="s">
        <v>77</v>
      </c>
      <c r="BD2087" s="3" t="s">
        <v>78</v>
      </c>
      <c r="BE2087" s="3" t="s">
        <v>20396</v>
      </c>
      <c r="BF2087" s="3" t="s">
        <v>20402</v>
      </c>
      <c r="BG2087" s="3" t="s">
        <v>20403</v>
      </c>
    </row>
    <row r="2088" spans="1:59" ht="58" x14ac:dyDescent="0.35">
      <c r="A2088" s="2" t="s">
        <v>59</v>
      </c>
      <c r="B2088" s="2" t="s">
        <v>60</v>
      </c>
      <c r="C2088" s="2" t="s">
        <v>20404</v>
      </c>
      <c r="D2088" s="2" t="s">
        <v>20405</v>
      </c>
      <c r="E2088" s="2" t="s">
        <v>20406</v>
      </c>
      <c r="F2088" s="3" t="s">
        <v>20407</v>
      </c>
      <c r="G2088" s="3" t="s">
        <v>209</v>
      </c>
      <c r="I2088" s="3" t="s">
        <v>65</v>
      </c>
      <c r="J2088" s="3" t="s">
        <v>65</v>
      </c>
      <c r="K2088" s="3" t="s">
        <v>66</v>
      </c>
      <c r="L2088" s="2" t="s">
        <v>20278</v>
      </c>
      <c r="M2088" s="2" t="s">
        <v>20408</v>
      </c>
      <c r="N2088" s="3" t="s">
        <v>139</v>
      </c>
      <c r="P2088" s="3" t="s">
        <v>140</v>
      </c>
      <c r="Q2088" s="2" t="s">
        <v>20409</v>
      </c>
      <c r="R2088" s="3" t="s">
        <v>71</v>
      </c>
      <c r="S2088" s="4">
        <v>1</v>
      </c>
      <c r="T2088" s="4">
        <v>2</v>
      </c>
      <c r="U2088" s="5" t="s">
        <v>20410</v>
      </c>
      <c r="V2088" s="5" t="s">
        <v>20410</v>
      </c>
      <c r="W2088" s="5" t="s">
        <v>72</v>
      </c>
      <c r="X2088" s="5" t="s">
        <v>72</v>
      </c>
      <c r="Y2088" s="4">
        <v>8</v>
      </c>
      <c r="Z2088" s="4">
        <v>3</v>
      </c>
      <c r="AA2088" s="4">
        <v>3</v>
      </c>
      <c r="AB2088" s="4">
        <v>1</v>
      </c>
      <c r="AC2088" s="4">
        <v>1</v>
      </c>
      <c r="AD2088" s="4">
        <v>1</v>
      </c>
      <c r="AE2088" s="4">
        <v>1</v>
      </c>
      <c r="AF2088" s="4">
        <v>0</v>
      </c>
      <c r="AG2088" s="4">
        <v>0</v>
      </c>
      <c r="AH2088" s="4">
        <v>1</v>
      </c>
      <c r="AI2088" s="4">
        <v>1</v>
      </c>
      <c r="AJ2088" s="4">
        <v>1</v>
      </c>
      <c r="AK2088" s="4">
        <v>1</v>
      </c>
      <c r="AL2088" s="4">
        <v>1</v>
      </c>
      <c r="AM2088" s="4">
        <v>1</v>
      </c>
      <c r="AN2088" s="4">
        <v>0</v>
      </c>
      <c r="AO2088" s="4">
        <v>0</v>
      </c>
      <c r="AP2088" s="4">
        <v>1</v>
      </c>
      <c r="AQ2088" s="4">
        <v>1</v>
      </c>
      <c r="AR2088" s="3" t="s">
        <v>65</v>
      </c>
      <c r="AS2088" s="3" t="s">
        <v>65</v>
      </c>
      <c r="AT2088" s="3" t="s">
        <v>65</v>
      </c>
      <c r="AV2088" s="6" t="str">
        <f>HYPERLINK("http://mcgill.on.worldcat.org/oclc/854562741","Catalog Record")</f>
        <v>Catalog Record</v>
      </c>
      <c r="AW2088" s="6" t="str">
        <f>HYPERLINK("http://www.worldcat.org/oclc/854562741","WorldCat Record")</f>
        <v>WorldCat Record</v>
      </c>
      <c r="AX2088" s="3" t="s">
        <v>20411</v>
      </c>
      <c r="AY2088" s="3" t="s">
        <v>20412</v>
      </c>
      <c r="AZ2088" s="3" t="s">
        <v>20413</v>
      </c>
      <c r="BA2088" s="3" t="s">
        <v>20413</v>
      </c>
      <c r="BB2088" s="3" t="s">
        <v>20414</v>
      </c>
      <c r="BC2088" s="3" t="s">
        <v>77</v>
      </c>
      <c r="BD2088" s="3" t="s">
        <v>78</v>
      </c>
      <c r="BE2088" s="3" t="s">
        <v>20415</v>
      </c>
      <c r="BF2088" s="3" t="s">
        <v>20414</v>
      </c>
      <c r="BG2088" s="3" t="s">
        <v>20416</v>
      </c>
    </row>
    <row r="2089" spans="1:59" ht="58" x14ac:dyDescent="0.35">
      <c r="A2089" s="2" t="s">
        <v>59</v>
      </c>
      <c r="B2089" s="2" t="s">
        <v>60</v>
      </c>
      <c r="C2089" s="2" t="s">
        <v>20404</v>
      </c>
      <c r="D2089" s="2" t="s">
        <v>20405</v>
      </c>
      <c r="E2089" s="2" t="s">
        <v>20406</v>
      </c>
      <c r="F2089" s="3" t="s">
        <v>20417</v>
      </c>
      <c r="G2089" s="3" t="s">
        <v>209</v>
      </c>
      <c r="I2089" s="3" t="s">
        <v>65</v>
      </c>
      <c r="J2089" s="3" t="s">
        <v>65</v>
      </c>
      <c r="K2089" s="3" t="s">
        <v>66</v>
      </c>
      <c r="L2089" s="2" t="s">
        <v>20278</v>
      </c>
      <c r="M2089" s="2" t="s">
        <v>20408</v>
      </c>
      <c r="N2089" s="3" t="s">
        <v>139</v>
      </c>
      <c r="P2089" s="3" t="s">
        <v>140</v>
      </c>
      <c r="Q2089" s="2" t="s">
        <v>20409</v>
      </c>
      <c r="R2089" s="3" t="s">
        <v>71</v>
      </c>
      <c r="S2089" s="4">
        <v>1</v>
      </c>
      <c r="T2089" s="4">
        <v>2</v>
      </c>
      <c r="U2089" s="5" t="s">
        <v>20410</v>
      </c>
      <c r="V2089" s="5" t="s">
        <v>20410</v>
      </c>
      <c r="W2089" s="5" t="s">
        <v>72</v>
      </c>
      <c r="X2089" s="5" t="s">
        <v>72</v>
      </c>
      <c r="Y2089" s="4">
        <v>8</v>
      </c>
      <c r="Z2089" s="4">
        <v>3</v>
      </c>
      <c r="AA2089" s="4">
        <v>3</v>
      </c>
      <c r="AB2089" s="4">
        <v>1</v>
      </c>
      <c r="AC2089" s="4">
        <v>1</v>
      </c>
      <c r="AD2089" s="4">
        <v>1</v>
      </c>
      <c r="AE2089" s="4">
        <v>1</v>
      </c>
      <c r="AF2089" s="4">
        <v>0</v>
      </c>
      <c r="AG2089" s="4">
        <v>0</v>
      </c>
      <c r="AH2089" s="4">
        <v>1</v>
      </c>
      <c r="AI2089" s="4">
        <v>1</v>
      </c>
      <c r="AJ2089" s="4">
        <v>1</v>
      </c>
      <c r="AK2089" s="4">
        <v>1</v>
      </c>
      <c r="AL2089" s="4">
        <v>1</v>
      </c>
      <c r="AM2089" s="4">
        <v>1</v>
      </c>
      <c r="AN2089" s="4">
        <v>0</v>
      </c>
      <c r="AO2089" s="4">
        <v>0</v>
      </c>
      <c r="AP2089" s="4">
        <v>1</v>
      </c>
      <c r="AQ2089" s="4">
        <v>1</v>
      </c>
      <c r="AR2089" s="3" t="s">
        <v>65</v>
      </c>
      <c r="AS2089" s="3" t="s">
        <v>65</v>
      </c>
      <c r="AT2089" s="3" t="s">
        <v>65</v>
      </c>
      <c r="AV2089" s="6" t="str">
        <f>HYPERLINK("http://mcgill.on.worldcat.org/oclc/854562741","Catalog Record")</f>
        <v>Catalog Record</v>
      </c>
      <c r="AW2089" s="6" t="str">
        <f>HYPERLINK("http://www.worldcat.org/oclc/854562741","WorldCat Record")</f>
        <v>WorldCat Record</v>
      </c>
      <c r="AX2089" s="3" t="s">
        <v>20411</v>
      </c>
      <c r="AY2089" s="3" t="s">
        <v>20412</v>
      </c>
      <c r="AZ2089" s="3" t="s">
        <v>20413</v>
      </c>
      <c r="BA2089" s="3" t="s">
        <v>20413</v>
      </c>
      <c r="BB2089" s="3" t="s">
        <v>20418</v>
      </c>
      <c r="BC2089" s="3" t="s">
        <v>77</v>
      </c>
      <c r="BD2089" s="3" t="s">
        <v>78</v>
      </c>
      <c r="BE2089" s="3" t="s">
        <v>20415</v>
      </c>
      <c r="BF2089" s="3" t="s">
        <v>20418</v>
      </c>
      <c r="BG2089" s="3" t="s">
        <v>20419</v>
      </c>
    </row>
    <row r="2090" spans="1:59" ht="58" x14ac:dyDescent="0.35">
      <c r="A2090" s="2" t="s">
        <v>59</v>
      </c>
      <c r="B2090" s="2" t="s">
        <v>60</v>
      </c>
      <c r="C2090" s="2" t="s">
        <v>20420</v>
      </c>
      <c r="D2090" s="2" t="s">
        <v>20421</v>
      </c>
      <c r="E2090" s="2" t="s">
        <v>20422</v>
      </c>
      <c r="G2090" s="3" t="s">
        <v>65</v>
      </c>
      <c r="I2090" s="3" t="s">
        <v>65</v>
      </c>
      <c r="J2090" s="3" t="s">
        <v>65</v>
      </c>
      <c r="K2090" s="3" t="s">
        <v>66</v>
      </c>
      <c r="L2090" s="2" t="s">
        <v>20278</v>
      </c>
      <c r="M2090" s="2" t="s">
        <v>20423</v>
      </c>
      <c r="N2090" s="3" t="s">
        <v>2979</v>
      </c>
      <c r="P2090" s="3" t="s">
        <v>140</v>
      </c>
      <c r="Q2090" s="2" t="s">
        <v>20424</v>
      </c>
      <c r="R2090" s="3" t="s">
        <v>71</v>
      </c>
      <c r="S2090" s="4">
        <v>1</v>
      </c>
      <c r="T2090" s="4">
        <v>1</v>
      </c>
      <c r="U2090" s="5" t="s">
        <v>20410</v>
      </c>
      <c r="V2090" s="5" t="s">
        <v>20410</v>
      </c>
      <c r="W2090" s="5" t="s">
        <v>72</v>
      </c>
      <c r="X2090" s="5" t="s">
        <v>72</v>
      </c>
      <c r="Y2090" s="4">
        <v>17</v>
      </c>
      <c r="Z2090" s="4">
        <v>2</v>
      </c>
      <c r="AA2090" s="4">
        <v>2</v>
      </c>
      <c r="AB2090" s="4">
        <v>1</v>
      </c>
      <c r="AC2090" s="4">
        <v>1</v>
      </c>
      <c r="AD2090" s="4">
        <v>7</v>
      </c>
      <c r="AE2090" s="4">
        <v>7</v>
      </c>
      <c r="AF2090" s="4">
        <v>0</v>
      </c>
      <c r="AG2090" s="4">
        <v>0</v>
      </c>
      <c r="AH2090" s="4">
        <v>7</v>
      </c>
      <c r="AI2090" s="4">
        <v>7</v>
      </c>
      <c r="AJ2090" s="4">
        <v>1</v>
      </c>
      <c r="AK2090" s="4">
        <v>1</v>
      </c>
      <c r="AL2090" s="4">
        <v>5</v>
      </c>
      <c r="AM2090" s="4">
        <v>5</v>
      </c>
      <c r="AN2090" s="4">
        <v>0</v>
      </c>
      <c r="AO2090" s="4">
        <v>0</v>
      </c>
      <c r="AP2090" s="4">
        <v>1</v>
      </c>
      <c r="AQ2090" s="4">
        <v>1</v>
      </c>
      <c r="AR2090" s="3" t="s">
        <v>65</v>
      </c>
      <c r="AS2090" s="3" t="s">
        <v>65</v>
      </c>
      <c r="AT2090" s="3" t="s">
        <v>65</v>
      </c>
      <c r="AV2090" s="6" t="str">
        <f>HYPERLINK("http://mcgill.on.worldcat.org/oclc/1329852","Catalog Record")</f>
        <v>Catalog Record</v>
      </c>
      <c r="AW2090" s="6" t="str">
        <f>HYPERLINK("http://www.worldcat.org/oclc/1329852","WorldCat Record")</f>
        <v>WorldCat Record</v>
      </c>
      <c r="AX2090" s="3" t="s">
        <v>20425</v>
      </c>
      <c r="AY2090" s="3" t="s">
        <v>20426</v>
      </c>
      <c r="AZ2090" s="3" t="s">
        <v>20427</v>
      </c>
      <c r="BA2090" s="3" t="s">
        <v>20427</v>
      </c>
      <c r="BB2090" s="3" t="s">
        <v>20428</v>
      </c>
      <c r="BC2090" s="3" t="s">
        <v>77</v>
      </c>
      <c r="BD2090" s="3" t="s">
        <v>78</v>
      </c>
      <c r="BF2090" s="3" t="s">
        <v>20428</v>
      </c>
      <c r="BG2090" s="3" t="s">
        <v>20429</v>
      </c>
    </row>
    <row r="2091" spans="1:59" ht="58" x14ac:dyDescent="0.35">
      <c r="A2091" s="2" t="s">
        <v>59</v>
      </c>
      <c r="B2091" s="2" t="s">
        <v>60</v>
      </c>
      <c r="C2091" s="2" t="s">
        <v>20430</v>
      </c>
      <c r="D2091" s="2" t="s">
        <v>20431</v>
      </c>
      <c r="E2091" s="2" t="s">
        <v>20432</v>
      </c>
      <c r="G2091" s="3" t="s">
        <v>65</v>
      </c>
      <c r="I2091" s="3" t="s">
        <v>65</v>
      </c>
      <c r="J2091" s="3" t="s">
        <v>65</v>
      </c>
      <c r="K2091" s="3" t="s">
        <v>66</v>
      </c>
      <c r="L2091" s="2" t="s">
        <v>20278</v>
      </c>
      <c r="M2091" s="2" t="s">
        <v>20433</v>
      </c>
      <c r="N2091" s="3" t="s">
        <v>3994</v>
      </c>
      <c r="O2091" s="2" t="s">
        <v>20434</v>
      </c>
      <c r="P2091" s="3" t="s">
        <v>140</v>
      </c>
      <c r="Q2091" s="2" t="s">
        <v>20435</v>
      </c>
      <c r="R2091" s="3" t="s">
        <v>71</v>
      </c>
      <c r="S2091" s="4">
        <v>2</v>
      </c>
      <c r="T2091" s="4">
        <v>2</v>
      </c>
      <c r="U2091" s="5" t="s">
        <v>8583</v>
      </c>
      <c r="V2091" s="5" t="s">
        <v>8583</v>
      </c>
      <c r="W2091" s="5" t="s">
        <v>72</v>
      </c>
      <c r="X2091" s="5" t="s">
        <v>72</v>
      </c>
      <c r="Y2091" s="4">
        <v>2</v>
      </c>
      <c r="Z2091" s="4">
        <v>1</v>
      </c>
      <c r="AA2091" s="4">
        <v>1</v>
      </c>
      <c r="AB2091" s="4">
        <v>1</v>
      </c>
      <c r="AC2091" s="4">
        <v>1</v>
      </c>
      <c r="AD2091" s="4">
        <v>1</v>
      </c>
      <c r="AE2091" s="4">
        <v>1</v>
      </c>
      <c r="AF2091" s="4">
        <v>0</v>
      </c>
      <c r="AG2091" s="4">
        <v>0</v>
      </c>
      <c r="AH2091" s="4">
        <v>1</v>
      </c>
      <c r="AI2091" s="4">
        <v>1</v>
      </c>
      <c r="AJ2091" s="4">
        <v>0</v>
      </c>
      <c r="AK2091" s="4">
        <v>0</v>
      </c>
      <c r="AL2091" s="4">
        <v>1</v>
      </c>
      <c r="AM2091" s="4">
        <v>1</v>
      </c>
      <c r="AN2091" s="4">
        <v>0</v>
      </c>
      <c r="AO2091" s="4">
        <v>0</v>
      </c>
      <c r="AP2091" s="4">
        <v>0</v>
      </c>
      <c r="AQ2091" s="4">
        <v>0</v>
      </c>
      <c r="AR2091" s="3" t="s">
        <v>65</v>
      </c>
      <c r="AS2091" s="3" t="s">
        <v>65</v>
      </c>
      <c r="AT2091" s="3" t="s">
        <v>65</v>
      </c>
      <c r="AV2091" s="6" t="str">
        <f>HYPERLINK("http://mcgill.on.worldcat.org/oclc/427526773","Catalog Record")</f>
        <v>Catalog Record</v>
      </c>
      <c r="AW2091" s="6" t="str">
        <f>HYPERLINK("http://www.worldcat.org/oclc/427526773","WorldCat Record")</f>
        <v>WorldCat Record</v>
      </c>
      <c r="AX2091" s="3" t="s">
        <v>20436</v>
      </c>
      <c r="AY2091" s="3" t="s">
        <v>20437</v>
      </c>
      <c r="AZ2091" s="3" t="s">
        <v>20438</v>
      </c>
      <c r="BA2091" s="3" t="s">
        <v>20438</v>
      </c>
      <c r="BB2091" s="3" t="s">
        <v>20439</v>
      </c>
      <c r="BC2091" s="3" t="s">
        <v>77</v>
      </c>
      <c r="BD2091" s="3" t="s">
        <v>78</v>
      </c>
      <c r="BF2091" s="3" t="s">
        <v>20439</v>
      </c>
      <c r="BG2091" s="3" t="s">
        <v>20440</v>
      </c>
    </row>
    <row r="2092" spans="1:59" ht="58" x14ac:dyDescent="0.35">
      <c r="A2092" s="2" t="s">
        <v>59</v>
      </c>
      <c r="B2092" s="2" t="s">
        <v>60</v>
      </c>
      <c r="C2092" s="2" t="s">
        <v>20441</v>
      </c>
      <c r="D2092" s="2" t="s">
        <v>20442</v>
      </c>
      <c r="E2092" s="2" t="s">
        <v>20443</v>
      </c>
      <c r="G2092" s="3" t="s">
        <v>65</v>
      </c>
      <c r="I2092" s="3" t="s">
        <v>65</v>
      </c>
      <c r="J2092" s="3" t="s">
        <v>209</v>
      </c>
      <c r="K2092" s="3" t="s">
        <v>66</v>
      </c>
      <c r="L2092" s="2" t="s">
        <v>20278</v>
      </c>
      <c r="M2092" s="2" t="s">
        <v>20444</v>
      </c>
      <c r="N2092" s="3" t="s">
        <v>352</v>
      </c>
      <c r="P2092" s="3" t="s">
        <v>140</v>
      </c>
      <c r="Q2092" s="2" t="s">
        <v>20445</v>
      </c>
      <c r="R2092" s="3" t="s">
        <v>71</v>
      </c>
      <c r="S2092" s="4">
        <v>2</v>
      </c>
      <c r="T2092" s="4">
        <v>2</v>
      </c>
      <c r="U2092" s="5" t="s">
        <v>20446</v>
      </c>
      <c r="V2092" s="5" t="s">
        <v>20446</v>
      </c>
      <c r="W2092" s="5" t="s">
        <v>72</v>
      </c>
      <c r="X2092" s="5" t="s">
        <v>72</v>
      </c>
      <c r="Y2092" s="4">
        <v>2</v>
      </c>
      <c r="Z2092" s="4">
        <v>1</v>
      </c>
      <c r="AA2092" s="4">
        <v>43</v>
      </c>
      <c r="AB2092" s="4">
        <v>1</v>
      </c>
      <c r="AC2092" s="4">
        <v>8</v>
      </c>
      <c r="AD2092" s="4">
        <v>0</v>
      </c>
      <c r="AE2092" s="4">
        <v>122</v>
      </c>
      <c r="AF2092" s="4">
        <v>0</v>
      </c>
      <c r="AG2092" s="4">
        <v>3</v>
      </c>
      <c r="AH2092" s="4">
        <v>0</v>
      </c>
      <c r="AI2092" s="4">
        <v>106</v>
      </c>
      <c r="AJ2092" s="4">
        <v>0</v>
      </c>
      <c r="AK2092" s="4">
        <v>20</v>
      </c>
      <c r="AL2092" s="4">
        <v>0</v>
      </c>
      <c r="AM2092" s="4">
        <v>58</v>
      </c>
      <c r="AN2092" s="4">
        <v>0</v>
      </c>
      <c r="AO2092" s="4">
        <v>5</v>
      </c>
      <c r="AP2092" s="4">
        <v>0</v>
      </c>
      <c r="AQ2092" s="4">
        <v>22</v>
      </c>
      <c r="AR2092" s="3" t="s">
        <v>65</v>
      </c>
      <c r="AS2092" s="3" t="s">
        <v>65</v>
      </c>
      <c r="AT2092" s="3" t="s">
        <v>65</v>
      </c>
      <c r="AV2092" s="6" t="str">
        <f>HYPERLINK("http://mcgill.on.worldcat.org/oclc/427157461","Catalog Record")</f>
        <v>Catalog Record</v>
      </c>
      <c r="AW2092" s="6" t="str">
        <f>HYPERLINK("http://www.worldcat.org/oclc/427157461","WorldCat Record")</f>
        <v>WorldCat Record</v>
      </c>
      <c r="AX2092" s="3" t="s">
        <v>20381</v>
      </c>
      <c r="AY2092" s="3" t="s">
        <v>20447</v>
      </c>
      <c r="AZ2092" s="3" t="s">
        <v>20448</v>
      </c>
      <c r="BA2092" s="3" t="s">
        <v>20448</v>
      </c>
      <c r="BB2092" s="3" t="s">
        <v>20449</v>
      </c>
      <c r="BC2092" s="3" t="s">
        <v>77</v>
      </c>
      <c r="BD2092" s="3" t="s">
        <v>78</v>
      </c>
      <c r="BF2092" s="3" t="s">
        <v>20449</v>
      </c>
      <c r="BG2092" s="3" t="s">
        <v>20450</v>
      </c>
    </row>
    <row r="2093" spans="1:59" ht="58" x14ac:dyDescent="0.35">
      <c r="A2093" s="2" t="s">
        <v>59</v>
      </c>
      <c r="B2093" s="2" t="s">
        <v>60</v>
      </c>
      <c r="C2093" s="2" t="s">
        <v>20451</v>
      </c>
      <c r="D2093" s="2" t="s">
        <v>20452</v>
      </c>
      <c r="E2093" s="2" t="s">
        <v>20453</v>
      </c>
      <c r="G2093" s="3" t="s">
        <v>65</v>
      </c>
      <c r="I2093" s="3" t="s">
        <v>65</v>
      </c>
      <c r="J2093" s="3" t="s">
        <v>209</v>
      </c>
      <c r="K2093" s="3" t="s">
        <v>66</v>
      </c>
      <c r="L2093" s="2" t="s">
        <v>20278</v>
      </c>
      <c r="M2093" s="2" t="s">
        <v>20454</v>
      </c>
      <c r="N2093" s="3" t="s">
        <v>3052</v>
      </c>
      <c r="P2093" s="3" t="s">
        <v>140</v>
      </c>
      <c r="R2093" s="3" t="s">
        <v>71</v>
      </c>
      <c r="S2093" s="4">
        <v>2</v>
      </c>
      <c r="T2093" s="4">
        <v>2</v>
      </c>
      <c r="U2093" s="5" t="s">
        <v>20455</v>
      </c>
      <c r="V2093" s="5" t="s">
        <v>20455</v>
      </c>
      <c r="W2093" s="5" t="s">
        <v>72</v>
      </c>
      <c r="X2093" s="5" t="s">
        <v>72</v>
      </c>
      <c r="Y2093" s="4">
        <v>1</v>
      </c>
      <c r="Z2093" s="4">
        <v>1</v>
      </c>
      <c r="AA2093" s="4">
        <v>43</v>
      </c>
      <c r="AB2093" s="4">
        <v>1</v>
      </c>
      <c r="AC2093" s="4">
        <v>8</v>
      </c>
      <c r="AD2093" s="4">
        <v>0</v>
      </c>
      <c r="AE2093" s="4">
        <v>122</v>
      </c>
      <c r="AF2093" s="4">
        <v>0</v>
      </c>
      <c r="AG2093" s="4">
        <v>3</v>
      </c>
      <c r="AH2093" s="4">
        <v>0</v>
      </c>
      <c r="AI2093" s="4">
        <v>106</v>
      </c>
      <c r="AJ2093" s="4">
        <v>0</v>
      </c>
      <c r="AK2093" s="4">
        <v>20</v>
      </c>
      <c r="AL2093" s="4">
        <v>0</v>
      </c>
      <c r="AM2093" s="4">
        <v>58</v>
      </c>
      <c r="AN2093" s="4">
        <v>0</v>
      </c>
      <c r="AO2093" s="4">
        <v>5</v>
      </c>
      <c r="AP2093" s="4">
        <v>0</v>
      </c>
      <c r="AQ2093" s="4">
        <v>22</v>
      </c>
      <c r="AR2093" s="3" t="s">
        <v>65</v>
      </c>
      <c r="AS2093" s="3" t="s">
        <v>65</v>
      </c>
      <c r="AT2093" s="3" t="s">
        <v>65</v>
      </c>
      <c r="AV2093" s="6" t="str">
        <f>HYPERLINK("http://mcgill.on.worldcat.org/oclc/427161204","Catalog Record")</f>
        <v>Catalog Record</v>
      </c>
      <c r="AW2093" s="6" t="str">
        <f>HYPERLINK("http://www.worldcat.org/oclc/427161204","WorldCat Record")</f>
        <v>WorldCat Record</v>
      </c>
      <c r="AX2093" s="3" t="s">
        <v>20381</v>
      </c>
      <c r="AY2093" s="3" t="s">
        <v>20456</v>
      </c>
      <c r="AZ2093" s="3" t="s">
        <v>20457</v>
      </c>
      <c r="BA2093" s="3" t="s">
        <v>20457</v>
      </c>
      <c r="BB2093" s="3" t="s">
        <v>20458</v>
      </c>
      <c r="BC2093" s="3" t="s">
        <v>77</v>
      </c>
      <c r="BD2093" s="3" t="s">
        <v>78</v>
      </c>
      <c r="BF2093" s="3" t="s">
        <v>20458</v>
      </c>
      <c r="BG2093" s="3" t="s">
        <v>20459</v>
      </c>
    </row>
    <row r="2094" spans="1:59" ht="58" x14ac:dyDescent="0.35">
      <c r="A2094" s="2" t="s">
        <v>59</v>
      </c>
      <c r="B2094" s="2" t="s">
        <v>60</v>
      </c>
      <c r="C2094" s="2" t="s">
        <v>20460</v>
      </c>
      <c r="D2094" s="2" t="s">
        <v>20461</v>
      </c>
      <c r="E2094" s="2" t="s">
        <v>20462</v>
      </c>
      <c r="G2094" s="3" t="s">
        <v>65</v>
      </c>
      <c r="I2094" s="3" t="s">
        <v>65</v>
      </c>
      <c r="J2094" s="3" t="s">
        <v>209</v>
      </c>
      <c r="K2094" s="3" t="s">
        <v>66</v>
      </c>
      <c r="L2094" s="2" t="s">
        <v>20278</v>
      </c>
      <c r="M2094" s="2" t="s">
        <v>20463</v>
      </c>
      <c r="N2094" s="3" t="s">
        <v>7039</v>
      </c>
      <c r="P2094" s="3" t="s">
        <v>140</v>
      </c>
      <c r="R2094" s="3" t="s">
        <v>71</v>
      </c>
      <c r="S2094" s="4">
        <v>2</v>
      </c>
      <c r="T2094" s="4">
        <v>2</v>
      </c>
      <c r="U2094" s="5" t="s">
        <v>20464</v>
      </c>
      <c r="V2094" s="5" t="s">
        <v>20464</v>
      </c>
      <c r="W2094" s="5" t="s">
        <v>72</v>
      </c>
      <c r="X2094" s="5" t="s">
        <v>72</v>
      </c>
      <c r="Y2094" s="4">
        <v>25</v>
      </c>
      <c r="Z2094" s="4">
        <v>3</v>
      </c>
      <c r="AA2094" s="4">
        <v>43</v>
      </c>
      <c r="AB2094" s="4">
        <v>1</v>
      </c>
      <c r="AC2094" s="4">
        <v>8</v>
      </c>
      <c r="AD2094" s="4">
        <v>13</v>
      </c>
      <c r="AE2094" s="4">
        <v>122</v>
      </c>
      <c r="AF2094" s="4">
        <v>0</v>
      </c>
      <c r="AG2094" s="4">
        <v>3</v>
      </c>
      <c r="AH2094" s="4">
        <v>12</v>
      </c>
      <c r="AI2094" s="4">
        <v>106</v>
      </c>
      <c r="AJ2094" s="4">
        <v>2</v>
      </c>
      <c r="AK2094" s="4">
        <v>20</v>
      </c>
      <c r="AL2094" s="4">
        <v>11</v>
      </c>
      <c r="AM2094" s="4">
        <v>58</v>
      </c>
      <c r="AN2094" s="4">
        <v>0</v>
      </c>
      <c r="AO2094" s="4">
        <v>5</v>
      </c>
      <c r="AP2094" s="4">
        <v>2</v>
      </c>
      <c r="AQ2094" s="4">
        <v>22</v>
      </c>
      <c r="AR2094" s="3" t="s">
        <v>65</v>
      </c>
      <c r="AS2094" s="3" t="s">
        <v>65</v>
      </c>
      <c r="AT2094" s="3" t="s">
        <v>65</v>
      </c>
      <c r="AV2094" s="6" t="str">
        <f>HYPERLINK("http://mcgill.on.worldcat.org/oclc/17021095","Catalog Record")</f>
        <v>Catalog Record</v>
      </c>
      <c r="AW2094" s="6" t="str">
        <f>HYPERLINK("http://www.worldcat.org/oclc/17021095","WorldCat Record")</f>
        <v>WorldCat Record</v>
      </c>
      <c r="AX2094" s="3" t="s">
        <v>20381</v>
      </c>
      <c r="AY2094" s="3" t="s">
        <v>20465</v>
      </c>
      <c r="AZ2094" s="3" t="s">
        <v>20466</v>
      </c>
      <c r="BA2094" s="3" t="s">
        <v>20466</v>
      </c>
      <c r="BB2094" s="3" t="s">
        <v>20467</v>
      </c>
      <c r="BC2094" s="3" t="s">
        <v>77</v>
      </c>
      <c r="BD2094" s="3" t="s">
        <v>78</v>
      </c>
      <c r="BF2094" s="3" t="s">
        <v>20467</v>
      </c>
      <c r="BG2094" s="3" t="s">
        <v>20468</v>
      </c>
    </row>
    <row r="2095" spans="1:59" ht="58" x14ac:dyDescent="0.35">
      <c r="A2095" s="2" t="s">
        <v>59</v>
      </c>
      <c r="B2095" s="2" t="s">
        <v>60</v>
      </c>
      <c r="C2095" s="2" t="s">
        <v>20469</v>
      </c>
      <c r="D2095" s="2" t="s">
        <v>20470</v>
      </c>
      <c r="E2095" s="2" t="s">
        <v>20471</v>
      </c>
      <c r="G2095" s="3" t="s">
        <v>65</v>
      </c>
      <c r="I2095" s="3" t="s">
        <v>65</v>
      </c>
      <c r="J2095" s="3" t="s">
        <v>209</v>
      </c>
      <c r="K2095" s="3" t="s">
        <v>66</v>
      </c>
      <c r="L2095" s="2" t="s">
        <v>20278</v>
      </c>
      <c r="M2095" s="2" t="s">
        <v>20472</v>
      </c>
      <c r="N2095" s="3" t="s">
        <v>5130</v>
      </c>
      <c r="P2095" s="3" t="s">
        <v>140</v>
      </c>
      <c r="Q2095" s="2" t="s">
        <v>20473</v>
      </c>
      <c r="R2095" s="3" t="s">
        <v>71</v>
      </c>
      <c r="S2095" s="4">
        <v>8</v>
      </c>
      <c r="T2095" s="4">
        <v>8</v>
      </c>
      <c r="U2095" s="5" t="s">
        <v>20474</v>
      </c>
      <c r="V2095" s="5" t="s">
        <v>20474</v>
      </c>
      <c r="W2095" s="5" t="s">
        <v>72</v>
      </c>
      <c r="X2095" s="5" t="s">
        <v>72</v>
      </c>
      <c r="Y2095" s="4">
        <v>2</v>
      </c>
      <c r="Z2095" s="4">
        <v>1</v>
      </c>
      <c r="AA2095" s="4">
        <v>43</v>
      </c>
      <c r="AB2095" s="4">
        <v>1</v>
      </c>
      <c r="AC2095" s="4">
        <v>8</v>
      </c>
      <c r="AD2095" s="4">
        <v>1</v>
      </c>
      <c r="AE2095" s="4">
        <v>122</v>
      </c>
      <c r="AF2095" s="4">
        <v>0</v>
      </c>
      <c r="AG2095" s="4">
        <v>3</v>
      </c>
      <c r="AH2095" s="4">
        <v>1</v>
      </c>
      <c r="AI2095" s="4">
        <v>106</v>
      </c>
      <c r="AJ2095" s="4">
        <v>0</v>
      </c>
      <c r="AK2095" s="4">
        <v>20</v>
      </c>
      <c r="AL2095" s="4">
        <v>1</v>
      </c>
      <c r="AM2095" s="4">
        <v>58</v>
      </c>
      <c r="AN2095" s="4">
        <v>0</v>
      </c>
      <c r="AO2095" s="4">
        <v>5</v>
      </c>
      <c r="AP2095" s="4">
        <v>0</v>
      </c>
      <c r="AQ2095" s="4">
        <v>22</v>
      </c>
      <c r="AR2095" s="3" t="s">
        <v>65</v>
      </c>
      <c r="AS2095" s="3" t="s">
        <v>65</v>
      </c>
      <c r="AT2095" s="3" t="s">
        <v>65</v>
      </c>
      <c r="AV2095" s="6" t="str">
        <f>HYPERLINK("http://mcgill.on.worldcat.org/oclc/61688489","Catalog Record")</f>
        <v>Catalog Record</v>
      </c>
      <c r="AW2095" s="6" t="str">
        <f>HYPERLINK("http://www.worldcat.org/oclc/61688489","WorldCat Record")</f>
        <v>WorldCat Record</v>
      </c>
      <c r="AX2095" s="3" t="s">
        <v>20381</v>
      </c>
      <c r="AY2095" s="3" t="s">
        <v>20475</v>
      </c>
      <c r="AZ2095" s="3" t="s">
        <v>20476</v>
      </c>
      <c r="BA2095" s="3" t="s">
        <v>20476</v>
      </c>
      <c r="BB2095" s="3" t="s">
        <v>20477</v>
      </c>
      <c r="BC2095" s="3" t="s">
        <v>77</v>
      </c>
      <c r="BD2095" s="3" t="s">
        <v>78</v>
      </c>
      <c r="BF2095" s="3" t="s">
        <v>20477</v>
      </c>
      <c r="BG2095" s="3" t="s">
        <v>20478</v>
      </c>
    </row>
    <row r="2096" spans="1:59" ht="72.5" x14ac:dyDescent="0.35">
      <c r="A2096" s="2" t="s">
        <v>59</v>
      </c>
      <c r="B2096" s="2" t="s">
        <v>60</v>
      </c>
      <c r="C2096" s="2" t="s">
        <v>20479</v>
      </c>
      <c r="D2096" s="2" t="s">
        <v>20480</v>
      </c>
      <c r="E2096" s="2" t="s">
        <v>20481</v>
      </c>
      <c r="F2096" s="3" t="s">
        <v>10617</v>
      </c>
      <c r="G2096" s="3" t="s">
        <v>209</v>
      </c>
      <c r="I2096" s="3" t="s">
        <v>65</v>
      </c>
      <c r="J2096" s="3" t="s">
        <v>209</v>
      </c>
      <c r="K2096" s="3" t="s">
        <v>66</v>
      </c>
      <c r="L2096" s="2" t="s">
        <v>20278</v>
      </c>
      <c r="M2096" s="2" t="s">
        <v>20482</v>
      </c>
      <c r="N2096" s="3" t="s">
        <v>2210</v>
      </c>
      <c r="P2096" s="3" t="s">
        <v>140</v>
      </c>
      <c r="Q2096" s="2" t="s">
        <v>20483</v>
      </c>
      <c r="R2096" s="3" t="s">
        <v>71</v>
      </c>
      <c r="S2096" s="4">
        <v>6</v>
      </c>
      <c r="T2096" s="4">
        <v>14</v>
      </c>
      <c r="U2096" s="5" t="s">
        <v>785</v>
      </c>
      <c r="V2096" s="5" t="s">
        <v>785</v>
      </c>
      <c r="W2096" s="5" t="s">
        <v>72</v>
      </c>
      <c r="X2096" s="5" t="s">
        <v>72</v>
      </c>
      <c r="Y2096" s="4">
        <v>63</v>
      </c>
      <c r="Z2096" s="4">
        <v>1</v>
      </c>
      <c r="AA2096" s="4">
        <v>43</v>
      </c>
      <c r="AB2096" s="4">
        <v>1</v>
      </c>
      <c r="AC2096" s="4">
        <v>8</v>
      </c>
      <c r="AD2096" s="4">
        <v>33</v>
      </c>
      <c r="AE2096" s="4">
        <v>122</v>
      </c>
      <c r="AF2096" s="4">
        <v>0</v>
      </c>
      <c r="AG2096" s="4">
        <v>3</v>
      </c>
      <c r="AH2096" s="4">
        <v>32</v>
      </c>
      <c r="AI2096" s="4">
        <v>106</v>
      </c>
      <c r="AJ2096" s="4">
        <v>0</v>
      </c>
      <c r="AK2096" s="4">
        <v>20</v>
      </c>
      <c r="AL2096" s="4">
        <v>24</v>
      </c>
      <c r="AM2096" s="4">
        <v>58</v>
      </c>
      <c r="AN2096" s="4">
        <v>0</v>
      </c>
      <c r="AO2096" s="4">
        <v>5</v>
      </c>
      <c r="AP2096" s="4">
        <v>0</v>
      </c>
      <c r="AQ2096" s="4">
        <v>22</v>
      </c>
      <c r="AR2096" s="3" t="s">
        <v>65</v>
      </c>
      <c r="AS2096" s="3" t="s">
        <v>65</v>
      </c>
      <c r="AT2096" s="3" t="s">
        <v>209</v>
      </c>
      <c r="AU2096" s="6" t="str">
        <f>HYPERLINK("http://catalog.hathitrust.org/Record/004244522","HathiTrust Record")</f>
        <v>HathiTrust Record</v>
      </c>
      <c r="AV2096" s="6" t="str">
        <f>HYPERLINK("http://mcgill.on.worldcat.org/oclc/49874469","Catalog Record")</f>
        <v>Catalog Record</v>
      </c>
      <c r="AW2096" s="6" t="str">
        <f>HYPERLINK("http://www.worldcat.org/oclc/49874469","WorldCat Record")</f>
        <v>WorldCat Record</v>
      </c>
      <c r="AX2096" s="3" t="s">
        <v>20381</v>
      </c>
      <c r="AY2096" s="3" t="s">
        <v>20484</v>
      </c>
      <c r="AZ2096" s="3" t="s">
        <v>20485</v>
      </c>
      <c r="BA2096" s="3" t="s">
        <v>20485</v>
      </c>
      <c r="BB2096" s="3" t="s">
        <v>20486</v>
      </c>
      <c r="BC2096" s="3" t="s">
        <v>77</v>
      </c>
      <c r="BD2096" s="3" t="s">
        <v>78</v>
      </c>
      <c r="BE2096" s="3" t="s">
        <v>20487</v>
      </c>
      <c r="BF2096" s="3" t="s">
        <v>20486</v>
      </c>
      <c r="BG2096" s="3" t="s">
        <v>20488</v>
      </c>
    </row>
    <row r="2097" spans="1:59" ht="72.5" x14ac:dyDescent="0.35">
      <c r="A2097" s="2" t="s">
        <v>59</v>
      </c>
      <c r="B2097" s="2" t="s">
        <v>60</v>
      </c>
      <c r="C2097" s="2" t="s">
        <v>20479</v>
      </c>
      <c r="D2097" s="2" t="s">
        <v>20480</v>
      </c>
      <c r="E2097" s="2" t="s">
        <v>20481</v>
      </c>
      <c r="F2097" s="3" t="s">
        <v>10601</v>
      </c>
      <c r="G2097" s="3" t="s">
        <v>209</v>
      </c>
      <c r="I2097" s="3" t="s">
        <v>65</v>
      </c>
      <c r="J2097" s="3" t="s">
        <v>209</v>
      </c>
      <c r="K2097" s="3" t="s">
        <v>66</v>
      </c>
      <c r="L2097" s="2" t="s">
        <v>20278</v>
      </c>
      <c r="M2097" s="2" t="s">
        <v>20482</v>
      </c>
      <c r="N2097" s="3" t="s">
        <v>2210</v>
      </c>
      <c r="P2097" s="3" t="s">
        <v>140</v>
      </c>
      <c r="Q2097" s="2" t="s">
        <v>20483</v>
      </c>
      <c r="R2097" s="3" t="s">
        <v>71</v>
      </c>
      <c r="S2097" s="4">
        <v>8</v>
      </c>
      <c r="T2097" s="4">
        <v>14</v>
      </c>
      <c r="U2097" s="5" t="s">
        <v>5949</v>
      </c>
      <c r="V2097" s="5" t="s">
        <v>785</v>
      </c>
      <c r="W2097" s="5" t="s">
        <v>72</v>
      </c>
      <c r="X2097" s="5" t="s">
        <v>72</v>
      </c>
      <c r="Y2097" s="4">
        <v>63</v>
      </c>
      <c r="Z2097" s="4">
        <v>1</v>
      </c>
      <c r="AA2097" s="4">
        <v>43</v>
      </c>
      <c r="AB2097" s="4">
        <v>1</v>
      </c>
      <c r="AC2097" s="4">
        <v>8</v>
      </c>
      <c r="AD2097" s="4">
        <v>33</v>
      </c>
      <c r="AE2097" s="4">
        <v>122</v>
      </c>
      <c r="AF2097" s="4">
        <v>0</v>
      </c>
      <c r="AG2097" s="4">
        <v>3</v>
      </c>
      <c r="AH2097" s="4">
        <v>32</v>
      </c>
      <c r="AI2097" s="4">
        <v>106</v>
      </c>
      <c r="AJ2097" s="4">
        <v>0</v>
      </c>
      <c r="AK2097" s="4">
        <v>20</v>
      </c>
      <c r="AL2097" s="4">
        <v>24</v>
      </c>
      <c r="AM2097" s="4">
        <v>58</v>
      </c>
      <c r="AN2097" s="4">
        <v>0</v>
      </c>
      <c r="AO2097" s="4">
        <v>5</v>
      </c>
      <c r="AP2097" s="4">
        <v>0</v>
      </c>
      <c r="AQ2097" s="4">
        <v>22</v>
      </c>
      <c r="AR2097" s="3" t="s">
        <v>65</v>
      </c>
      <c r="AS2097" s="3" t="s">
        <v>65</v>
      </c>
      <c r="AT2097" s="3" t="s">
        <v>209</v>
      </c>
      <c r="AU2097" s="6" t="str">
        <f>HYPERLINK("http://catalog.hathitrust.org/Record/004244522","HathiTrust Record")</f>
        <v>HathiTrust Record</v>
      </c>
      <c r="AV2097" s="6" t="str">
        <f>HYPERLINK("http://mcgill.on.worldcat.org/oclc/49874469","Catalog Record")</f>
        <v>Catalog Record</v>
      </c>
      <c r="AW2097" s="6" t="str">
        <f>HYPERLINK("http://www.worldcat.org/oclc/49874469","WorldCat Record")</f>
        <v>WorldCat Record</v>
      </c>
      <c r="AX2097" s="3" t="s">
        <v>20381</v>
      </c>
      <c r="AY2097" s="3" t="s">
        <v>20484</v>
      </c>
      <c r="AZ2097" s="3" t="s">
        <v>20485</v>
      </c>
      <c r="BA2097" s="3" t="s">
        <v>20485</v>
      </c>
      <c r="BB2097" s="3" t="s">
        <v>20489</v>
      </c>
      <c r="BC2097" s="3" t="s">
        <v>77</v>
      </c>
      <c r="BD2097" s="3" t="s">
        <v>78</v>
      </c>
      <c r="BE2097" s="3" t="s">
        <v>20487</v>
      </c>
      <c r="BF2097" s="3" t="s">
        <v>20489</v>
      </c>
      <c r="BG2097" s="3" t="s">
        <v>20490</v>
      </c>
    </row>
    <row r="2098" spans="1:59" ht="58" x14ac:dyDescent="0.35">
      <c r="A2098" s="2" t="s">
        <v>59</v>
      </c>
      <c r="B2098" s="2" t="s">
        <v>60</v>
      </c>
      <c r="C2098" s="2" t="s">
        <v>20491</v>
      </c>
      <c r="D2098" s="2" t="s">
        <v>20492</v>
      </c>
      <c r="E2098" s="2" t="s">
        <v>20493</v>
      </c>
      <c r="G2098" s="3" t="s">
        <v>65</v>
      </c>
      <c r="I2098" s="3" t="s">
        <v>65</v>
      </c>
      <c r="J2098" s="3" t="s">
        <v>65</v>
      </c>
      <c r="K2098" s="3" t="s">
        <v>66</v>
      </c>
      <c r="L2098" s="2" t="s">
        <v>20494</v>
      </c>
      <c r="M2098" s="2" t="s">
        <v>20495</v>
      </c>
      <c r="N2098" s="3" t="s">
        <v>152</v>
      </c>
      <c r="O2098" s="2" t="s">
        <v>365</v>
      </c>
      <c r="P2098" s="3" t="s">
        <v>140</v>
      </c>
      <c r="Q2098" s="2" t="s">
        <v>20496</v>
      </c>
      <c r="R2098" s="3" t="s">
        <v>71</v>
      </c>
      <c r="S2098" s="4">
        <v>0</v>
      </c>
      <c r="T2098" s="4">
        <v>0</v>
      </c>
      <c r="W2098" s="5" t="s">
        <v>72</v>
      </c>
      <c r="X2098" s="5" t="s">
        <v>72</v>
      </c>
      <c r="Y2098" s="4">
        <v>36</v>
      </c>
      <c r="Z2098" s="4">
        <v>4</v>
      </c>
      <c r="AA2098" s="4">
        <v>4</v>
      </c>
      <c r="AB2098" s="4">
        <v>1</v>
      </c>
      <c r="AC2098" s="4">
        <v>1</v>
      </c>
      <c r="AD2098" s="4">
        <v>24</v>
      </c>
      <c r="AE2098" s="4">
        <v>24</v>
      </c>
      <c r="AF2098" s="4">
        <v>0</v>
      </c>
      <c r="AG2098" s="4">
        <v>0</v>
      </c>
      <c r="AH2098" s="4">
        <v>23</v>
      </c>
      <c r="AI2098" s="4">
        <v>23</v>
      </c>
      <c r="AJ2098" s="4">
        <v>2</v>
      </c>
      <c r="AK2098" s="4">
        <v>2</v>
      </c>
      <c r="AL2098" s="4">
        <v>17</v>
      </c>
      <c r="AM2098" s="4">
        <v>17</v>
      </c>
      <c r="AN2098" s="4">
        <v>0</v>
      </c>
      <c r="AO2098" s="4">
        <v>0</v>
      </c>
      <c r="AP2098" s="4">
        <v>2</v>
      </c>
      <c r="AQ2098" s="4">
        <v>2</v>
      </c>
      <c r="AR2098" s="3" t="s">
        <v>65</v>
      </c>
      <c r="AS2098" s="3" t="s">
        <v>65</v>
      </c>
      <c r="AT2098" s="3" t="s">
        <v>65</v>
      </c>
      <c r="AV2098" s="6" t="str">
        <f>HYPERLINK("http://mcgill.on.worldcat.org/oclc/852688752","Catalog Record")</f>
        <v>Catalog Record</v>
      </c>
      <c r="AW2098" s="6" t="str">
        <f>HYPERLINK("http://www.worldcat.org/oclc/852688752","WorldCat Record")</f>
        <v>WorldCat Record</v>
      </c>
      <c r="AX2098" s="3" t="s">
        <v>20497</v>
      </c>
      <c r="AY2098" s="3" t="s">
        <v>20498</v>
      </c>
      <c r="AZ2098" s="3" t="s">
        <v>20499</v>
      </c>
      <c r="BA2098" s="3" t="s">
        <v>20499</v>
      </c>
      <c r="BB2098" s="3" t="s">
        <v>20500</v>
      </c>
      <c r="BC2098" s="3" t="s">
        <v>77</v>
      </c>
      <c r="BD2098" s="3" t="s">
        <v>78</v>
      </c>
      <c r="BE2098" s="3" t="s">
        <v>20501</v>
      </c>
      <c r="BF2098" s="3" t="s">
        <v>20500</v>
      </c>
      <c r="BG2098" s="3" t="s">
        <v>20502</v>
      </c>
    </row>
    <row r="2099" spans="1:59" ht="58" x14ac:dyDescent="0.35">
      <c r="A2099" s="2" t="s">
        <v>59</v>
      </c>
      <c r="B2099" s="2" t="s">
        <v>60</v>
      </c>
      <c r="C2099" s="2" t="s">
        <v>20503</v>
      </c>
      <c r="D2099" s="2" t="s">
        <v>20504</v>
      </c>
      <c r="E2099" s="2" t="s">
        <v>20505</v>
      </c>
      <c r="G2099" s="3" t="s">
        <v>65</v>
      </c>
      <c r="I2099" s="3" t="s">
        <v>65</v>
      </c>
      <c r="J2099" s="3" t="s">
        <v>65</v>
      </c>
      <c r="K2099" s="3" t="s">
        <v>66</v>
      </c>
      <c r="L2099" s="2" t="s">
        <v>20266</v>
      </c>
      <c r="M2099" s="2" t="s">
        <v>20506</v>
      </c>
      <c r="N2099" s="3" t="s">
        <v>2210</v>
      </c>
      <c r="O2099" s="2" t="s">
        <v>365</v>
      </c>
      <c r="P2099" s="3" t="s">
        <v>140</v>
      </c>
      <c r="Q2099" s="2" t="s">
        <v>20507</v>
      </c>
      <c r="R2099" s="3" t="s">
        <v>71</v>
      </c>
      <c r="S2099" s="4">
        <v>1</v>
      </c>
      <c r="T2099" s="4">
        <v>1</v>
      </c>
      <c r="U2099" s="5" t="s">
        <v>20508</v>
      </c>
      <c r="V2099" s="5" t="s">
        <v>20508</v>
      </c>
      <c r="W2099" s="5" t="s">
        <v>72</v>
      </c>
      <c r="X2099" s="5" t="s">
        <v>72</v>
      </c>
      <c r="Y2099" s="4">
        <v>40</v>
      </c>
      <c r="Z2099" s="4">
        <v>5</v>
      </c>
      <c r="AA2099" s="4">
        <v>5</v>
      </c>
      <c r="AB2099" s="4">
        <v>2</v>
      </c>
      <c r="AC2099" s="4">
        <v>2</v>
      </c>
      <c r="AD2099" s="4">
        <v>26</v>
      </c>
      <c r="AE2099" s="4">
        <v>26</v>
      </c>
      <c r="AF2099" s="4">
        <v>1</v>
      </c>
      <c r="AG2099" s="4">
        <v>1</v>
      </c>
      <c r="AH2099" s="4">
        <v>24</v>
      </c>
      <c r="AI2099" s="4">
        <v>24</v>
      </c>
      <c r="AJ2099" s="4">
        <v>3</v>
      </c>
      <c r="AK2099" s="4">
        <v>3</v>
      </c>
      <c r="AL2099" s="4">
        <v>18</v>
      </c>
      <c r="AM2099" s="4">
        <v>18</v>
      </c>
      <c r="AN2099" s="4">
        <v>0</v>
      </c>
      <c r="AO2099" s="4">
        <v>0</v>
      </c>
      <c r="AP2099" s="4">
        <v>3</v>
      </c>
      <c r="AQ2099" s="4">
        <v>3</v>
      </c>
      <c r="AR2099" s="3" t="s">
        <v>65</v>
      </c>
      <c r="AS2099" s="3" t="s">
        <v>65</v>
      </c>
      <c r="AT2099" s="3" t="s">
        <v>65</v>
      </c>
      <c r="AV2099" s="6" t="str">
        <f>HYPERLINK("http://mcgill.on.worldcat.org/oclc/51216164","Catalog Record")</f>
        <v>Catalog Record</v>
      </c>
      <c r="AW2099" s="6" t="str">
        <f>HYPERLINK("http://www.worldcat.org/oclc/51216164","WorldCat Record")</f>
        <v>WorldCat Record</v>
      </c>
      <c r="AX2099" s="3" t="s">
        <v>20509</v>
      </c>
      <c r="AY2099" s="3" t="s">
        <v>20510</v>
      </c>
      <c r="AZ2099" s="3" t="s">
        <v>20511</v>
      </c>
      <c r="BA2099" s="3" t="s">
        <v>20511</v>
      </c>
      <c r="BB2099" s="3" t="s">
        <v>20512</v>
      </c>
      <c r="BC2099" s="3" t="s">
        <v>77</v>
      </c>
      <c r="BD2099" s="3" t="s">
        <v>78</v>
      </c>
      <c r="BE2099" s="3" t="s">
        <v>20513</v>
      </c>
      <c r="BF2099" s="3" t="s">
        <v>20512</v>
      </c>
      <c r="BG2099" s="3" t="s">
        <v>20514</v>
      </c>
    </row>
    <row r="2100" spans="1:59" ht="58" x14ac:dyDescent="0.35">
      <c r="A2100" s="2" t="s">
        <v>59</v>
      </c>
      <c r="B2100" s="2" t="s">
        <v>60</v>
      </c>
      <c r="C2100" s="2" t="s">
        <v>20515</v>
      </c>
      <c r="D2100" s="2" t="s">
        <v>20516</v>
      </c>
      <c r="E2100" s="2" t="s">
        <v>20517</v>
      </c>
      <c r="G2100" s="3" t="s">
        <v>65</v>
      </c>
      <c r="I2100" s="3" t="s">
        <v>65</v>
      </c>
      <c r="J2100" s="3" t="s">
        <v>65</v>
      </c>
      <c r="K2100" s="3" t="s">
        <v>66</v>
      </c>
      <c r="M2100" s="2" t="s">
        <v>20518</v>
      </c>
      <c r="N2100" s="3" t="s">
        <v>126</v>
      </c>
      <c r="P2100" s="3" t="s">
        <v>69</v>
      </c>
      <c r="R2100" s="3" t="s">
        <v>71</v>
      </c>
      <c r="S2100" s="4">
        <v>0</v>
      </c>
      <c r="T2100" s="4">
        <v>0</v>
      </c>
      <c r="W2100" s="5" t="s">
        <v>72</v>
      </c>
      <c r="X2100" s="5" t="s">
        <v>72</v>
      </c>
      <c r="Y2100" s="4">
        <v>47</v>
      </c>
      <c r="Z2100" s="4">
        <v>7</v>
      </c>
      <c r="AA2100" s="4">
        <v>36</v>
      </c>
      <c r="AB2100" s="4">
        <v>1</v>
      </c>
      <c r="AC2100" s="4">
        <v>8</v>
      </c>
      <c r="AD2100" s="4">
        <v>21</v>
      </c>
      <c r="AE2100" s="4">
        <v>35</v>
      </c>
      <c r="AF2100" s="4">
        <v>0</v>
      </c>
      <c r="AG2100" s="4">
        <v>1</v>
      </c>
      <c r="AH2100" s="4">
        <v>21</v>
      </c>
      <c r="AI2100" s="4">
        <v>28</v>
      </c>
      <c r="AJ2100" s="4">
        <v>6</v>
      </c>
      <c r="AK2100" s="4">
        <v>8</v>
      </c>
      <c r="AL2100" s="4">
        <v>8</v>
      </c>
      <c r="AM2100" s="4">
        <v>14</v>
      </c>
      <c r="AN2100" s="4">
        <v>0</v>
      </c>
      <c r="AO2100" s="4">
        <v>0</v>
      </c>
      <c r="AP2100" s="4">
        <v>6</v>
      </c>
      <c r="AQ2100" s="4">
        <v>13</v>
      </c>
      <c r="AR2100" s="3" t="s">
        <v>65</v>
      </c>
      <c r="AS2100" s="3" t="s">
        <v>65</v>
      </c>
      <c r="AT2100" s="3" t="s">
        <v>65</v>
      </c>
      <c r="AV2100" s="6" t="str">
        <f>HYPERLINK("http://mcgill.on.worldcat.org/oclc/756044529","Catalog Record")</f>
        <v>Catalog Record</v>
      </c>
      <c r="AW2100" s="6" t="str">
        <f>HYPERLINK("http://www.worldcat.org/oclc/756044529","WorldCat Record")</f>
        <v>WorldCat Record</v>
      </c>
      <c r="AX2100" s="3" t="s">
        <v>20519</v>
      </c>
      <c r="AY2100" s="3" t="s">
        <v>20520</v>
      </c>
      <c r="AZ2100" s="3" t="s">
        <v>20521</v>
      </c>
      <c r="BA2100" s="3" t="s">
        <v>20521</v>
      </c>
      <c r="BB2100" s="3" t="s">
        <v>20522</v>
      </c>
      <c r="BC2100" s="3" t="s">
        <v>77</v>
      </c>
      <c r="BD2100" s="3" t="s">
        <v>78</v>
      </c>
      <c r="BE2100" s="3" t="s">
        <v>20523</v>
      </c>
      <c r="BF2100" s="3" t="s">
        <v>20522</v>
      </c>
      <c r="BG2100" s="3" t="s">
        <v>20524</v>
      </c>
    </row>
    <row r="2101" spans="1:59" ht="58" x14ac:dyDescent="0.35">
      <c r="A2101" s="2" t="s">
        <v>59</v>
      </c>
      <c r="B2101" s="2" t="s">
        <v>60</v>
      </c>
      <c r="C2101" s="2" t="s">
        <v>20525</v>
      </c>
      <c r="D2101" s="2" t="s">
        <v>20526</v>
      </c>
      <c r="E2101" s="2" t="s">
        <v>20527</v>
      </c>
      <c r="G2101" s="3" t="s">
        <v>65</v>
      </c>
      <c r="I2101" s="3" t="s">
        <v>65</v>
      </c>
      <c r="J2101" s="3" t="s">
        <v>65</v>
      </c>
      <c r="K2101" s="3" t="s">
        <v>66</v>
      </c>
      <c r="L2101" s="2" t="s">
        <v>20528</v>
      </c>
      <c r="M2101" s="2" t="s">
        <v>20529</v>
      </c>
      <c r="N2101" s="3" t="s">
        <v>113</v>
      </c>
      <c r="P2101" s="3" t="s">
        <v>140</v>
      </c>
      <c r="Q2101" s="2" t="s">
        <v>20530</v>
      </c>
      <c r="R2101" s="3" t="s">
        <v>71</v>
      </c>
      <c r="S2101" s="4">
        <v>0</v>
      </c>
      <c r="T2101" s="4">
        <v>0</v>
      </c>
      <c r="W2101" s="5" t="s">
        <v>72</v>
      </c>
      <c r="X2101" s="5" t="s">
        <v>72</v>
      </c>
      <c r="Y2101" s="4">
        <v>37</v>
      </c>
      <c r="Z2101" s="4">
        <v>4</v>
      </c>
      <c r="AA2101" s="4">
        <v>4</v>
      </c>
      <c r="AB2101" s="4">
        <v>1</v>
      </c>
      <c r="AC2101" s="4">
        <v>1</v>
      </c>
      <c r="AD2101" s="4">
        <v>28</v>
      </c>
      <c r="AE2101" s="4">
        <v>28</v>
      </c>
      <c r="AF2101" s="4">
        <v>0</v>
      </c>
      <c r="AG2101" s="4">
        <v>0</v>
      </c>
      <c r="AH2101" s="4">
        <v>27</v>
      </c>
      <c r="AI2101" s="4">
        <v>27</v>
      </c>
      <c r="AJ2101" s="4">
        <v>2</v>
      </c>
      <c r="AK2101" s="4">
        <v>2</v>
      </c>
      <c r="AL2101" s="4">
        <v>20</v>
      </c>
      <c r="AM2101" s="4">
        <v>20</v>
      </c>
      <c r="AN2101" s="4">
        <v>0</v>
      </c>
      <c r="AO2101" s="4">
        <v>0</v>
      </c>
      <c r="AP2101" s="4">
        <v>2</v>
      </c>
      <c r="AQ2101" s="4">
        <v>2</v>
      </c>
      <c r="AR2101" s="3" t="s">
        <v>65</v>
      </c>
      <c r="AS2101" s="3" t="s">
        <v>65</v>
      </c>
      <c r="AT2101" s="3" t="s">
        <v>65</v>
      </c>
      <c r="AV2101" s="6" t="str">
        <f>HYPERLINK("http://mcgill.on.worldcat.org/oclc/670463491","Catalog Record")</f>
        <v>Catalog Record</v>
      </c>
      <c r="AW2101" s="6" t="str">
        <f>HYPERLINK("http://www.worldcat.org/oclc/670463491","WorldCat Record")</f>
        <v>WorldCat Record</v>
      </c>
      <c r="AX2101" s="3" t="s">
        <v>20531</v>
      </c>
      <c r="AY2101" s="3" t="s">
        <v>20532</v>
      </c>
      <c r="AZ2101" s="3" t="s">
        <v>20533</v>
      </c>
      <c r="BA2101" s="3" t="s">
        <v>20533</v>
      </c>
      <c r="BB2101" s="3" t="s">
        <v>20534</v>
      </c>
      <c r="BC2101" s="3" t="s">
        <v>77</v>
      </c>
      <c r="BD2101" s="3" t="s">
        <v>78</v>
      </c>
      <c r="BE2101" s="3" t="s">
        <v>20535</v>
      </c>
      <c r="BF2101" s="3" t="s">
        <v>20534</v>
      </c>
      <c r="BG2101" s="3" t="s">
        <v>20536</v>
      </c>
    </row>
    <row r="2102" spans="1:59" ht="58" x14ac:dyDescent="0.35">
      <c r="A2102" s="2" t="s">
        <v>59</v>
      </c>
      <c r="B2102" s="2" t="s">
        <v>60</v>
      </c>
      <c r="C2102" s="2" t="s">
        <v>20537</v>
      </c>
      <c r="D2102" s="2" t="s">
        <v>20538</v>
      </c>
      <c r="E2102" s="2" t="s">
        <v>20539</v>
      </c>
      <c r="G2102" s="3" t="s">
        <v>65</v>
      </c>
      <c r="I2102" s="3" t="s">
        <v>65</v>
      </c>
      <c r="J2102" s="3" t="s">
        <v>65</v>
      </c>
      <c r="K2102" s="3" t="s">
        <v>66</v>
      </c>
      <c r="L2102" s="2" t="s">
        <v>20540</v>
      </c>
      <c r="M2102" s="2" t="s">
        <v>20541</v>
      </c>
      <c r="N2102" s="3" t="s">
        <v>126</v>
      </c>
      <c r="P2102" s="3" t="s">
        <v>140</v>
      </c>
      <c r="Q2102" s="2" t="s">
        <v>20542</v>
      </c>
      <c r="R2102" s="3" t="s">
        <v>71</v>
      </c>
      <c r="S2102" s="4">
        <v>0</v>
      </c>
      <c r="T2102" s="4">
        <v>0</v>
      </c>
      <c r="W2102" s="5" t="s">
        <v>72</v>
      </c>
      <c r="X2102" s="5" t="s">
        <v>72</v>
      </c>
      <c r="Y2102" s="4">
        <v>26</v>
      </c>
      <c r="Z2102" s="4">
        <v>2</v>
      </c>
      <c r="AA2102" s="4">
        <v>2</v>
      </c>
      <c r="AB2102" s="4">
        <v>1</v>
      </c>
      <c r="AC2102" s="4">
        <v>1</v>
      </c>
      <c r="AD2102" s="4">
        <v>21</v>
      </c>
      <c r="AE2102" s="4">
        <v>21</v>
      </c>
      <c r="AF2102" s="4">
        <v>0</v>
      </c>
      <c r="AG2102" s="4">
        <v>0</v>
      </c>
      <c r="AH2102" s="4">
        <v>20</v>
      </c>
      <c r="AI2102" s="4">
        <v>20</v>
      </c>
      <c r="AJ2102" s="4">
        <v>1</v>
      </c>
      <c r="AK2102" s="4">
        <v>1</v>
      </c>
      <c r="AL2102" s="4">
        <v>14</v>
      </c>
      <c r="AM2102" s="4">
        <v>14</v>
      </c>
      <c r="AN2102" s="4">
        <v>0</v>
      </c>
      <c r="AO2102" s="4">
        <v>0</v>
      </c>
      <c r="AP2102" s="4">
        <v>1</v>
      </c>
      <c r="AQ2102" s="4">
        <v>1</v>
      </c>
      <c r="AR2102" s="3" t="s">
        <v>65</v>
      </c>
      <c r="AS2102" s="3" t="s">
        <v>65</v>
      </c>
      <c r="AT2102" s="3" t="s">
        <v>65</v>
      </c>
      <c r="AV2102" s="6" t="str">
        <f>HYPERLINK("http://mcgill.on.worldcat.org/oclc/773015272","Catalog Record")</f>
        <v>Catalog Record</v>
      </c>
      <c r="AW2102" s="6" t="str">
        <f>HYPERLINK("http://www.worldcat.org/oclc/773015272","WorldCat Record")</f>
        <v>WorldCat Record</v>
      </c>
      <c r="AX2102" s="3" t="s">
        <v>20543</v>
      </c>
      <c r="AY2102" s="3" t="s">
        <v>20544</v>
      </c>
      <c r="AZ2102" s="3" t="s">
        <v>20545</v>
      </c>
      <c r="BA2102" s="3" t="s">
        <v>20545</v>
      </c>
      <c r="BB2102" s="3" t="s">
        <v>20546</v>
      </c>
      <c r="BC2102" s="3" t="s">
        <v>77</v>
      </c>
      <c r="BD2102" s="3" t="s">
        <v>78</v>
      </c>
      <c r="BE2102" s="3" t="s">
        <v>20547</v>
      </c>
      <c r="BF2102" s="3" t="s">
        <v>20546</v>
      </c>
      <c r="BG2102" s="3" t="s">
        <v>20548</v>
      </c>
    </row>
    <row r="2103" spans="1:59" ht="58" x14ac:dyDescent="0.35">
      <c r="A2103" s="2" t="s">
        <v>59</v>
      </c>
      <c r="B2103" s="2" t="s">
        <v>60</v>
      </c>
      <c r="C2103" s="2" t="s">
        <v>20549</v>
      </c>
      <c r="D2103" s="2" t="s">
        <v>20550</v>
      </c>
      <c r="E2103" s="2" t="s">
        <v>20551</v>
      </c>
      <c r="G2103" s="3" t="s">
        <v>65</v>
      </c>
      <c r="I2103" s="3" t="s">
        <v>65</v>
      </c>
      <c r="J2103" s="3" t="s">
        <v>65</v>
      </c>
      <c r="K2103" s="3" t="s">
        <v>66</v>
      </c>
      <c r="M2103" s="2" t="s">
        <v>20552</v>
      </c>
      <c r="N2103" s="3" t="s">
        <v>176</v>
      </c>
      <c r="P2103" s="3" t="s">
        <v>140</v>
      </c>
      <c r="Q2103" s="2" t="s">
        <v>20553</v>
      </c>
      <c r="R2103" s="3" t="s">
        <v>71</v>
      </c>
      <c r="S2103" s="4">
        <v>0</v>
      </c>
      <c r="T2103" s="4">
        <v>0</v>
      </c>
      <c r="W2103" s="5" t="s">
        <v>72</v>
      </c>
      <c r="X2103" s="5" t="s">
        <v>72</v>
      </c>
      <c r="Y2103" s="4">
        <v>35</v>
      </c>
      <c r="Z2103" s="4">
        <v>3</v>
      </c>
      <c r="AA2103" s="4">
        <v>3</v>
      </c>
      <c r="AB2103" s="4">
        <v>1</v>
      </c>
      <c r="AC2103" s="4">
        <v>1</v>
      </c>
      <c r="AD2103" s="4">
        <v>22</v>
      </c>
      <c r="AE2103" s="4">
        <v>22</v>
      </c>
      <c r="AF2103" s="4">
        <v>0</v>
      </c>
      <c r="AG2103" s="4">
        <v>0</v>
      </c>
      <c r="AH2103" s="4">
        <v>21</v>
      </c>
      <c r="AI2103" s="4">
        <v>21</v>
      </c>
      <c r="AJ2103" s="4">
        <v>1</v>
      </c>
      <c r="AK2103" s="4">
        <v>1</v>
      </c>
      <c r="AL2103" s="4">
        <v>18</v>
      </c>
      <c r="AM2103" s="4">
        <v>18</v>
      </c>
      <c r="AN2103" s="4">
        <v>0</v>
      </c>
      <c r="AO2103" s="4">
        <v>0</v>
      </c>
      <c r="AP2103" s="4">
        <v>1</v>
      </c>
      <c r="AQ2103" s="4">
        <v>1</v>
      </c>
      <c r="AR2103" s="3" t="s">
        <v>65</v>
      </c>
      <c r="AS2103" s="3" t="s">
        <v>65</v>
      </c>
      <c r="AT2103" s="3" t="s">
        <v>65</v>
      </c>
      <c r="AV2103" s="6" t="str">
        <f>HYPERLINK("http://mcgill.on.worldcat.org/oclc/904251486","Catalog Record")</f>
        <v>Catalog Record</v>
      </c>
      <c r="AW2103" s="6" t="str">
        <f>HYPERLINK("http://www.worldcat.org/oclc/904251486","WorldCat Record")</f>
        <v>WorldCat Record</v>
      </c>
      <c r="AX2103" s="3" t="s">
        <v>20554</v>
      </c>
      <c r="AY2103" s="3" t="s">
        <v>20555</v>
      </c>
      <c r="AZ2103" s="3" t="s">
        <v>20556</v>
      </c>
      <c r="BA2103" s="3" t="s">
        <v>20556</v>
      </c>
      <c r="BB2103" s="3" t="s">
        <v>20557</v>
      </c>
      <c r="BC2103" s="3" t="s">
        <v>77</v>
      </c>
      <c r="BD2103" s="3" t="s">
        <v>78</v>
      </c>
      <c r="BE2103" s="3" t="s">
        <v>20558</v>
      </c>
      <c r="BF2103" s="3" t="s">
        <v>20557</v>
      </c>
      <c r="BG2103" s="3" t="s">
        <v>20559</v>
      </c>
    </row>
    <row r="2104" spans="1:59" ht="58" x14ac:dyDescent="0.35">
      <c r="A2104" s="2" t="s">
        <v>59</v>
      </c>
      <c r="B2104" s="2" t="s">
        <v>60</v>
      </c>
      <c r="C2104" s="2" t="s">
        <v>20560</v>
      </c>
      <c r="D2104" s="2" t="s">
        <v>20561</v>
      </c>
      <c r="E2104" s="2" t="s">
        <v>20562</v>
      </c>
      <c r="G2104" s="3" t="s">
        <v>65</v>
      </c>
      <c r="I2104" s="3" t="s">
        <v>65</v>
      </c>
      <c r="J2104" s="3" t="s">
        <v>209</v>
      </c>
      <c r="K2104" s="3" t="s">
        <v>66</v>
      </c>
      <c r="L2104" s="2" t="s">
        <v>1018</v>
      </c>
      <c r="M2104" s="2" t="s">
        <v>20563</v>
      </c>
      <c r="N2104" s="3" t="s">
        <v>525</v>
      </c>
      <c r="O2104" s="2" t="s">
        <v>20564</v>
      </c>
      <c r="P2104" s="3" t="s">
        <v>140</v>
      </c>
      <c r="Q2104" s="2" t="s">
        <v>20565</v>
      </c>
      <c r="R2104" s="3" t="s">
        <v>71</v>
      </c>
      <c r="S2104" s="4">
        <v>1</v>
      </c>
      <c r="T2104" s="4">
        <v>1</v>
      </c>
      <c r="U2104" s="5" t="s">
        <v>20566</v>
      </c>
      <c r="V2104" s="5" t="s">
        <v>20566</v>
      </c>
      <c r="W2104" s="5" t="s">
        <v>72</v>
      </c>
      <c r="X2104" s="5" t="s">
        <v>72</v>
      </c>
      <c r="Y2104" s="4">
        <v>53</v>
      </c>
      <c r="Z2104" s="4">
        <v>4</v>
      </c>
      <c r="AA2104" s="4">
        <v>10</v>
      </c>
      <c r="AB2104" s="4">
        <v>1</v>
      </c>
      <c r="AC2104" s="4">
        <v>3</v>
      </c>
      <c r="AD2104" s="4">
        <v>34</v>
      </c>
      <c r="AE2104" s="4">
        <v>60</v>
      </c>
      <c r="AF2104" s="4">
        <v>0</v>
      </c>
      <c r="AG2104" s="4">
        <v>1</v>
      </c>
      <c r="AH2104" s="4">
        <v>32</v>
      </c>
      <c r="AI2104" s="4">
        <v>55</v>
      </c>
      <c r="AJ2104" s="4">
        <v>2</v>
      </c>
      <c r="AK2104" s="4">
        <v>5</v>
      </c>
      <c r="AL2104" s="4">
        <v>27</v>
      </c>
      <c r="AM2104" s="4">
        <v>42</v>
      </c>
      <c r="AN2104" s="4">
        <v>0</v>
      </c>
      <c r="AO2104" s="4">
        <v>0</v>
      </c>
      <c r="AP2104" s="4">
        <v>2</v>
      </c>
      <c r="AQ2104" s="4">
        <v>5</v>
      </c>
      <c r="AR2104" s="3" t="s">
        <v>65</v>
      </c>
      <c r="AS2104" s="3" t="s">
        <v>65</v>
      </c>
      <c r="AT2104" s="3" t="s">
        <v>209</v>
      </c>
      <c r="AU2104" s="6" t="str">
        <f>HYPERLINK("http://catalog.hathitrust.org/Record/004726127","HathiTrust Record")</f>
        <v>HathiTrust Record</v>
      </c>
      <c r="AV2104" s="6" t="str">
        <f>HYPERLINK("http://mcgill.on.worldcat.org/oclc/55027888","Catalog Record")</f>
        <v>Catalog Record</v>
      </c>
      <c r="AW2104" s="6" t="str">
        <f>HYPERLINK("http://www.worldcat.org/oclc/55027888","WorldCat Record")</f>
        <v>WorldCat Record</v>
      </c>
      <c r="AX2104" s="3" t="s">
        <v>20567</v>
      </c>
      <c r="AY2104" s="3" t="s">
        <v>20568</v>
      </c>
      <c r="AZ2104" s="3" t="s">
        <v>20569</v>
      </c>
      <c r="BA2104" s="3" t="s">
        <v>20569</v>
      </c>
      <c r="BB2104" s="3" t="s">
        <v>20570</v>
      </c>
      <c r="BC2104" s="3" t="s">
        <v>77</v>
      </c>
      <c r="BD2104" s="3" t="s">
        <v>78</v>
      </c>
      <c r="BE2104" s="3" t="s">
        <v>20571</v>
      </c>
      <c r="BF2104" s="3" t="s">
        <v>20570</v>
      </c>
      <c r="BG2104" s="3" t="s">
        <v>20572</v>
      </c>
    </row>
    <row r="2105" spans="1:59" ht="58" x14ac:dyDescent="0.35">
      <c r="A2105" s="2" t="s">
        <v>59</v>
      </c>
      <c r="B2105" s="2" t="s">
        <v>60</v>
      </c>
      <c r="C2105" s="2" t="s">
        <v>20573</v>
      </c>
      <c r="D2105" s="2" t="s">
        <v>20574</v>
      </c>
      <c r="E2105" s="2" t="s">
        <v>20575</v>
      </c>
      <c r="G2105" s="3" t="s">
        <v>65</v>
      </c>
      <c r="I2105" s="3" t="s">
        <v>65</v>
      </c>
      <c r="J2105" s="3" t="s">
        <v>65</v>
      </c>
      <c r="K2105" s="3" t="s">
        <v>66</v>
      </c>
      <c r="L2105" s="2" t="s">
        <v>20576</v>
      </c>
      <c r="M2105" s="2" t="s">
        <v>20577</v>
      </c>
      <c r="N2105" s="3" t="s">
        <v>139</v>
      </c>
      <c r="O2105" s="2" t="s">
        <v>365</v>
      </c>
      <c r="P2105" s="3" t="s">
        <v>140</v>
      </c>
      <c r="Q2105" s="2" t="s">
        <v>20578</v>
      </c>
      <c r="R2105" s="3" t="s">
        <v>71</v>
      </c>
      <c r="S2105" s="4">
        <v>0</v>
      </c>
      <c r="T2105" s="4">
        <v>0</v>
      </c>
      <c r="W2105" s="5" t="s">
        <v>72</v>
      </c>
      <c r="X2105" s="5" t="s">
        <v>72</v>
      </c>
      <c r="Y2105" s="4">
        <v>27</v>
      </c>
      <c r="Z2105" s="4">
        <v>4</v>
      </c>
      <c r="AA2105" s="4">
        <v>4</v>
      </c>
      <c r="AB2105" s="4">
        <v>1</v>
      </c>
      <c r="AC2105" s="4">
        <v>1</v>
      </c>
      <c r="AD2105" s="4">
        <v>22</v>
      </c>
      <c r="AE2105" s="4">
        <v>22</v>
      </c>
      <c r="AF2105" s="4">
        <v>0</v>
      </c>
      <c r="AG2105" s="4">
        <v>0</v>
      </c>
      <c r="AH2105" s="4">
        <v>21</v>
      </c>
      <c r="AI2105" s="4">
        <v>21</v>
      </c>
      <c r="AJ2105" s="4">
        <v>2</v>
      </c>
      <c r="AK2105" s="4">
        <v>2</v>
      </c>
      <c r="AL2105" s="4">
        <v>15</v>
      </c>
      <c r="AM2105" s="4">
        <v>15</v>
      </c>
      <c r="AN2105" s="4">
        <v>0</v>
      </c>
      <c r="AO2105" s="4">
        <v>0</v>
      </c>
      <c r="AP2105" s="4">
        <v>2</v>
      </c>
      <c r="AQ2105" s="4">
        <v>2</v>
      </c>
      <c r="AR2105" s="3" t="s">
        <v>65</v>
      </c>
      <c r="AS2105" s="3" t="s">
        <v>65</v>
      </c>
      <c r="AT2105" s="3" t="s">
        <v>65</v>
      </c>
      <c r="AV2105" s="6" t="str">
        <f>HYPERLINK("http://mcgill.on.worldcat.org/oclc/783120771","Catalog Record")</f>
        <v>Catalog Record</v>
      </c>
      <c r="AW2105" s="6" t="str">
        <f>HYPERLINK("http://www.worldcat.org/oclc/783120771","WorldCat Record")</f>
        <v>WorldCat Record</v>
      </c>
      <c r="AX2105" s="3" t="s">
        <v>20579</v>
      </c>
      <c r="AY2105" s="3" t="s">
        <v>20580</v>
      </c>
      <c r="AZ2105" s="3" t="s">
        <v>20581</v>
      </c>
      <c r="BA2105" s="3" t="s">
        <v>20581</v>
      </c>
      <c r="BB2105" s="3" t="s">
        <v>20582</v>
      </c>
      <c r="BC2105" s="3" t="s">
        <v>77</v>
      </c>
      <c r="BD2105" s="3" t="s">
        <v>78</v>
      </c>
      <c r="BE2105" s="3" t="s">
        <v>20583</v>
      </c>
      <c r="BF2105" s="3" t="s">
        <v>20582</v>
      </c>
      <c r="BG2105" s="3" t="s">
        <v>20584</v>
      </c>
    </row>
    <row r="2106" spans="1:59" ht="58" x14ac:dyDescent="0.35">
      <c r="A2106" s="2" t="s">
        <v>59</v>
      </c>
      <c r="B2106" s="2" t="s">
        <v>60</v>
      </c>
      <c r="C2106" s="2" t="s">
        <v>20585</v>
      </c>
      <c r="D2106" s="2" t="s">
        <v>20586</v>
      </c>
      <c r="E2106" s="2" t="s">
        <v>20587</v>
      </c>
      <c r="G2106" s="3" t="s">
        <v>65</v>
      </c>
      <c r="I2106" s="3" t="s">
        <v>65</v>
      </c>
      <c r="J2106" s="3" t="s">
        <v>65</v>
      </c>
      <c r="K2106" s="3" t="s">
        <v>66</v>
      </c>
      <c r="L2106" s="2" t="s">
        <v>20588</v>
      </c>
      <c r="M2106" s="2" t="s">
        <v>17643</v>
      </c>
      <c r="N2106" s="3" t="s">
        <v>139</v>
      </c>
      <c r="O2106" s="2" t="s">
        <v>235</v>
      </c>
      <c r="P2106" s="3" t="s">
        <v>140</v>
      </c>
      <c r="R2106" s="3" t="s">
        <v>71</v>
      </c>
      <c r="S2106" s="4">
        <v>0</v>
      </c>
      <c r="T2106" s="4">
        <v>0</v>
      </c>
      <c r="W2106" s="5" t="s">
        <v>72</v>
      </c>
      <c r="X2106" s="5" t="s">
        <v>72</v>
      </c>
      <c r="Y2106" s="4">
        <v>31</v>
      </c>
      <c r="Z2106" s="4">
        <v>4</v>
      </c>
      <c r="AA2106" s="4">
        <v>4</v>
      </c>
      <c r="AB2106" s="4">
        <v>1</v>
      </c>
      <c r="AC2106" s="4">
        <v>1</v>
      </c>
      <c r="AD2106" s="4">
        <v>19</v>
      </c>
      <c r="AE2106" s="4">
        <v>19</v>
      </c>
      <c r="AF2106" s="4">
        <v>0</v>
      </c>
      <c r="AG2106" s="4">
        <v>0</v>
      </c>
      <c r="AH2106" s="4">
        <v>18</v>
      </c>
      <c r="AI2106" s="4">
        <v>18</v>
      </c>
      <c r="AJ2106" s="4">
        <v>2</v>
      </c>
      <c r="AK2106" s="4">
        <v>2</v>
      </c>
      <c r="AL2106" s="4">
        <v>15</v>
      </c>
      <c r="AM2106" s="4">
        <v>15</v>
      </c>
      <c r="AN2106" s="4">
        <v>0</v>
      </c>
      <c r="AO2106" s="4">
        <v>0</v>
      </c>
      <c r="AP2106" s="4">
        <v>2</v>
      </c>
      <c r="AQ2106" s="4">
        <v>2</v>
      </c>
      <c r="AR2106" s="3" t="s">
        <v>65</v>
      </c>
      <c r="AS2106" s="3" t="s">
        <v>65</v>
      </c>
      <c r="AT2106" s="3" t="s">
        <v>65</v>
      </c>
      <c r="AV2106" s="6" t="str">
        <f>HYPERLINK("http://mcgill.on.worldcat.org/oclc/828889380","Catalog Record")</f>
        <v>Catalog Record</v>
      </c>
      <c r="AW2106" s="6" t="str">
        <f>HYPERLINK("http://www.worldcat.org/oclc/828889380","WorldCat Record")</f>
        <v>WorldCat Record</v>
      </c>
      <c r="AX2106" s="3" t="s">
        <v>20589</v>
      </c>
      <c r="AY2106" s="3" t="s">
        <v>20590</v>
      </c>
      <c r="AZ2106" s="3" t="s">
        <v>20591</v>
      </c>
      <c r="BA2106" s="3" t="s">
        <v>20591</v>
      </c>
      <c r="BB2106" s="3" t="s">
        <v>20592</v>
      </c>
      <c r="BC2106" s="3" t="s">
        <v>77</v>
      </c>
      <c r="BD2106" s="3" t="s">
        <v>78</v>
      </c>
      <c r="BE2106" s="3" t="s">
        <v>20593</v>
      </c>
      <c r="BF2106" s="3" t="s">
        <v>20592</v>
      </c>
      <c r="BG2106" s="3" t="s">
        <v>20594</v>
      </c>
    </row>
    <row r="2107" spans="1:59" ht="58" x14ac:dyDescent="0.35">
      <c r="A2107" s="2" t="s">
        <v>59</v>
      </c>
      <c r="B2107" s="2" t="s">
        <v>60</v>
      </c>
      <c r="C2107" s="2" t="s">
        <v>20595</v>
      </c>
      <c r="D2107" s="2" t="s">
        <v>20596</v>
      </c>
      <c r="E2107" s="2" t="s">
        <v>20597</v>
      </c>
      <c r="G2107" s="3" t="s">
        <v>65</v>
      </c>
      <c r="I2107" s="3" t="s">
        <v>65</v>
      </c>
      <c r="J2107" s="3" t="s">
        <v>65</v>
      </c>
      <c r="K2107" s="3" t="s">
        <v>66</v>
      </c>
      <c r="L2107" s="2" t="s">
        <v>13660</v>
      </c>
      <c r="M2107" s="2" t="s">
        <v>20598</v>
      </c>
      <c r="N2107" s="3" t="s">
        <v>139</v>
      </c>
      <c r="O2107" s="2" t="s">
        <v>235</v>
      </c>
      <c r="P2107" s="3" t="s">
        <v>140</v>
      </c>
      <c r="Q2107" s="2" t="s">
        <v>20599</v>
      </c>
      <c r="R2107" s="3" t="s">
        <v>71</v>
      </c>
      <c r="S2107" s="4">
        <v>0</v>
      </c>
      <c r="T2107" s="4">
        <v>0</v>
      </c>
      <c r="W2107" s="5" t="s">
        <v>72</v>
      </c>
      <c r="X2107" s="5" t="s">
        <v>72</v>
      </c>
      <c r="Y2107" s="4">
        <v>27</v>
      </c>
      <c r="Z2107" s="4">
        <v>2</v>
      </c>
      <c r="AA2107" s="4">
        <v>4</v>
      </c>
      <c r="AB2107" s="4">
        <v>1</v>
      </c>
      <c r="AC2107" s="4">
        <v>1</v>
      </c>
      <c r="AD2107" s="4">
        <v>17</v>
      </c>
      <c r="AE2107" s="4">
        <v>18</v>
      </c>
      <c r="AF2107" s="4">
        <v>0</v>
      </c>
      <c r="AG2107" s="4">
        <v>0</v>
      </c>
      <c r="AH2107" s="4">
        <v>16</v>
      </c>
      <c r="AI2107" s="4">
        <v>17</v>
      </c>
      <c r="AJ2107" s="4">
        <v>1</v>
      </c>
      <c r="AK2107" s="4">
        <v>2</v>
      </c>
      <c r="AL2107" s="4">
        <v>12</v>
      </c>
      <c r="AM2107" s="4">
        <v>13</v>
      </c>
      <c r="AN2107" s="4">
        <v>0</v>
      </c>
      <c r="AO2107" s="4">
        <v>0</v>
      </c>
      <c r="AP2107" s="4">
        <v>1</v>
      </c>
      <c r="AQ2107" s="4">
        <v>2</v>
      </c>
      <c r="AR2107" s="3" t="s">
        <v>65</v>
      </c>
      <c r="AS2107" s="3" t="s">
        <v>65</v>
      </c>
      <c r="AT2107" s="3" t="s">
        <v>65</v>
      </c>
      <c r="AV2107" s="6" t="str">
        <f>HYPERLINK("http://mcgill.on.worldcat.org/oclc/798610398","Catalog Record")</f>
        <v>Catalog Record</v>
      </c>
      <c r="AW2107" s="6" t="str">
        <f>HYPERLINK("http://www.worldcat.org/oclc/798610398","WorldCat Record")</f>
        <v>WorldCat Record</v>
      </c>
      <c r="AX2107" s="3" t="s">
        <v>20600</v>
      </c>
      <c r="AY2107" s="3" t="s">
        <v>20601</v>
      </c>
      <c r="AZ2107" s="3" t="s">
        <v>20602</v>
      </c>
      <c r="BA2107" s="3" t="s">
        <v>20602</v>
      </c>
      <c r="BB2107" s="3" t="s">
        <v>20603</v>
      </c>
      <c r="BC2107" s="3" t="s">
        <v>77</v>
      </c>
      <c r="BD2107" s="3" t="s">
        <v>78</v>
      </c>
      <c r="BE2107" s="3" t="s">
        <v>20604</v>
      </c>
      <c r="BF2107" s="3" t="s">
        <v>20603</v>
      </c>
      <c r="BG2107" s="3" t="s">
        <v>20605</v>
      </c>
    </row>
    <row r="2108" spans="1:59" ht="58" x14ac:dyDescent="0.35">
      <c r="A2108" s="2" t="s">
        <v>59</v>
      </c>
      <c r="B2108" s="2" t="s">
        <v>60</v>
      </c>
      <c r="C2108" s="2" t="s">
        <v>20606</v>
      </c>
      <c r="D2108" s="2" t="s">
        <v>20607</v>
      </c>
      <c r="E2108" s="2" t="s">
        <v>20608</v>
      </c>
      <c r="G2108" s="3" t="s">
        <v>65</v>
      </c>
      <c r="I2108" s="3" t="s">
        <v>65</v>
      </c>
      <c r="J2108" s="3" t="s">
        <v>65</v>
      </c>
      <c r="K2108" s="3" t="s">
        <v>66</v>
      </c>
      <c r="L2108" s="2" t="s">
        <v>20609</v>
      </c>
      <c r="M2108" s="2" t="s">
        <v>5287</v>
      </c>
      <c r="N2108" s="3" t="s">
        <v>152</v>
      </c>
      <c r="P2108" s="3" t="s">
        <v>140</v>
      </c>
      <c r="Q2108" s="2" t="s">
        <v>20610</v>
      </c>
      <c r="R2108" s="3" t="s">
        <v>71</v>
      </c>
      <c r="S2108" s="4">
        <v>0</v>
      </c>
      <c r="T2108" s="4">
        <v>0</v>
      </c>
      <c r="W2108" s="5" t="s">
        <v>72</v>
      </c>
      <c r="X2108" s="5" t="s">
        <v>72</v>
      </c>
      <c r="Y2108" s="4">
        <v>8</v>
      </c>
      <c r="Z2108" s="4">
        <v>2</v>
      </c>
      <c r="AA2108" s="4">
        <v>2</v>
      </c>
      <c r="AB2108" s="4">
        <v>1</v>
      </c>
      <c r="AC2108" s="4">
        <v>1</v>
      </c>
      <c r="AD2108" s="4">
        <v>5</v>
      </c>
      <c r="AE2108" s="4">
        <v>21</v>
      </c>
      <c r="AF2108" s="4">
        <v>0</v>
      </c>
      <c r="AG2108" s="4">
        <v>0</v>
      </c>
      <c r="AH2108" s="4">
        <v>4</v>
      </c>
      <c r="AI2108" s="4">
        <v>20</v>
      </c>
      <c r="AJ2108" s="4">
        <v>1</v>
      </c>
      <c r="AK2108" s="4">
        <v>1</v>
      </c>
      <c r="AL2108" s="4">
        <v>3</v>
      </c>
      <c r="AM2108" s="4">
        <v>15</v>
      </c>
      <c r="AN2108" s="4">
        <v>0</v>
      </c>
      <c r="AO2108" s="4">
        <v>0</v>
      </c>
      <c r="AP2108" s="4">
        <v>1</v>
      </c>
      <c r="AQ2108" s="4">
        <v>1</v>
      </c>
      <c r="AR2108" s="3" t="s">
        <v>65</v>
      </c>
      <c r="AS2108" s="3" t="s">
        <v>65</v>
      </c>
      <c r="AT2108" s="3" t="s">
        <v>65</v>
      </c>
      <c r="AV2108" s="6" t="str">
        <f>HYPERLINK("http://mcgill.on.worldcat.org/oclc/815378672","Catalog Record")</f>
        <v>Catalog Record</v>
      </c>
      <c r="AW2108" s="6" t="str">
        <f>HYPERLINK("http://www.worldcat.org/oclc/815378672","WorldCat Record")</f>
        <v>WorldCat Record</v>
      </c>
      <c r="AX2108" s="3" t="s">
        <v>20611</v>
      </c>
      <c r="AY2108" s="3" t="s">
        <v>20612</v>
      </c>
      <c r="AZ2108" s="3" t="s">
        <v>20613</v>
      </c>
      <c r="BA2108" s="3" t="s">
        <v>20613</v>
      </c>
      <c r="BB2108" s="3" t="s">
        <v>20614</v>
      </c>
      <c r="BC2108" s="3" t="s">
        <v>77</v>
      </c>
      <c r="BD2108" s="3" t="s">
        <v>78</v>
      </c>
      <c r="BE2108" s="3" t="s">
        <v>20615</v>
      </c>
      <c r="BF2108" s="3" t="s">
        <v>20614</v>
      </c>
      <c r="BG2108" s="3" t="s">
        <v>20616</v>
      </c>
    </row>
    <row r="2109" spans="1:59" ht="58" x14ac:dyDescent="0.35">
      <c r="A2109" s="2" t="s">
        <v>59</v>
      </c>
      <c r="B2109" s="2" t="s">
        <v>60</v>
      </c>
      <c r="C2109" s="2" t="s">
        <v>20617</v>
      </c>
      <c r="D2109" s="2" t="s">
        <v>20618</v>
      </c>
      <c r="E2109" s="2" t="s">
        <v>20619</v>
      </c>
      <c r="G2109" s="3" t="s">
        <v>65</v>
      </c>
      <c r="I2109" s="3" t="s">
        <v>65</v>
      </c>
      <c r="J2109" s="3" t="s">
        <v>209</v>
      </c>
      <c r="K2109" s="3" t="s">
        <v>213</v>
      </c>
      <c r="L2109" s="2" t="s">
        <v>20319</v>
      </c>
      <c r="M2109" s="2" t="s">
        <v>20620</v>
      </c>
      <c r="N2109" s="3" t="s">
        <v>152</v>
      </c>
      <c r="P2109" s="3" t="s">
        <v>69</v>
      </c>
      <c r="Q2109" s="2" t="s">
        <v>20621</v>
      </c>
      <c r="R2109" s="3" t="s">
        <v>71</v>
      </c>
      <c r="S2109" s="4">
        <v>2</v>
      </c>
      <c r="T2109" s="4">
        <v>2</v>
      </c>
      <c r="U2109" s="5" t="s">
        <v>20622</v>
      </c>
      <c r="V2109" s="5" t="s">
        <v>20622</v>
      </c>
      <c r="W2109" s="5" t="s">
        <v>72</v>
      </c>
      <c r="X2109" s="5" t="s">
        <v>72</v>
      </c>
      <c r="Y2109" s="4">
        <v>89</v>
      </c>
      <c r="Z2109" s="4">
        <v>5</v>
      </c>
      <c r="AA2109" s="4">
        <v>76</v>
      </c>
      <c r="AB2109" s="4">
        <v>1</v>
      </c>
      <c r="AC2109" s="4">
        <v>6</v>
      </c>
      <c r="AD2109" s="4">
        <v>15</v>
      </c>
      <c r="AE2109" s="4">
        <v>145</v>
      </c>
      <c r="AF2109" s="4">
        <v>0</v>
      </c>
      <c r="AG2109" s="4">
        <v>1</v>
      </c>
      <c r="AH2109" s="4">
        <v>15</v>
      </c>
      <c r="AI2109" s="4">
        <v>112</v>
      </c>
      <c r="AJ2109" s="4">
        <v>2</v>
      </c>
      <c r="AK2109" s="4">
        <v>23</v>
      </c>
      <c r="AL2109" s="4">
        <v>7</v>
      </c>
      <c r="AM2109" s="4">
        <v>59</v>
      </c>
      <c r="AN2109" s="4">
        <v>0</v>
      </c>
      <c r="AO2109" s="4">
        <v>9</v>
      </c>
      <c r="AP2109" s="4">
        <v>2</v>
      </c>
      <c r="AQ2109" s="4">
        <v>42</v>
      </c>
      <c r="AR2109" s="3" t="s">
        <v>65</v>
      </c>
      <c r="AS2109" s="3" t="s">
        <v>65</v>
      </c>
      <c r="AT2109" s="3" t="s">
        <v>65</v>
      </c>
      <c r="AV2109" s="6" t="str">
        <f>HYPERLINK("http://mcgill.on.worldcat.org/oclc/825046429","Catalog Record")</f>
        <v>Catalog Record</v>
      </c>
      <c r="AW2109" s="6" t="str">
        <f>HYPERLINK("http://www.worldcat.org/oclc/825046429","WorldCat Record")</f>
        <v>WorldCat Record</v>
      </c>
      <c r="AX2109" s="3" t="s">
        <v>20623</v>
      </c>
      <c r="AY2109" s="3" t="s">
        <v>20624</v>
      </c>
      <c r="AZ2109" s="3" t="s">
        <v>20625</v>
      </c>
      <c r="BA2109" s="3" t="s">
        <v>20625</v>
      </c>
      <c r="BB2109" s="3" t="s">
        <v>20626</v>
      </c>
      <c r="BC2109" s="3" t="s">
        <v>77</v>
      </c>
      <c r="BD2109" s="3" t="s">
        <v>78</v>
      </c>
      <c r="BE2109" s="3" t="s">
        <v>20627</v>
      </c>
      <c r="BF2109" s="3" t="s">
        <v>20626</v>
      </c>
      <c r="BG2109" s="3" t="s">
        <v>20628</v>
      </c>
    </row>
    <row r="2110" spans="1:59" ht="58" x14ac:dyDescent="0.35">
      <c r="A2110" s="2" t="s">
        <v>59</v>
      </c>
      <c r="B2110" s="2" t="s">
        <v>60</v>
      </c>
      <c r="C2110" s="2" t="s">
        <v>20629</v>
      </c>
      <c r="D2110" s="2" t="s">
        <v>20630</v>
      </c>
      <c r="E2110" s="2" t="s">
        <v>20631</v>
      </c>
      <c r="F2110" s="3" t="s">
        <v>258</v>
      </c>
      <c r="G2110" s="3" t="s">
        <v>209</v>
      </c>
      <c r="I2110" s="3" t="s">
        <v>65</v>
      </c>
      <c r="J2110" s="3" t="s">
        <v>209</v>
      </c>
      <c r="K2110" s="3" t="s">
        <v>213</v>
      </c>
      <c r="L2110" s="2" t="s">
        <v>20278</v>
      </c>
      <c r="M2110" s="2" t="s">
        <v>20632</v>
      </c>
      <c r="N2110" s="3" t="s">
        <v>3448</v>
      </c>
      <c r="P2110" s="3" t="s">
        <v>69</v>
      </c>
      <c r="Q2110" s="2" t="s">
        <v>20633</v>
      </c>
      <c r="R2110" s="3" t="s">
        <v>71</v>
      </c>
      <c r="S2110" s="4">
        <v>13</v>
      </c>
      <c r="T2110" s="4">
        <v>31</v>
      </c>
      <c r="U2110" s="5" t="s">
        <v>19335</v>
      </c>
      <c r="V2110" s="5" t="s">
        <v>19335</v>
      </c>
      <c r="W2110" s="5" t="s">
        <v>72</v>
      </c>
      <c r="X2110" s="5" t="s">
        <v>72</v>
      </c>
      <c r="Y2110" s="4">
        <v>1</v>
      </c>
      <c r="Z2110" s="4">
        <v>1</v>
      </c>
      <c r="AA2110" s="4">
        <v>76</v>
      </c>
      <c r="AB2110" s="4">
        <v>1</v>
      </c>
      <c r="AC2110" s="4">
        <v>6</v>
      </c>
      <c r="AD2110" s="4">
        <v>0</v>
      </c>
      <c r="AE2110" s="4">
        <v>145</v>
      </c>
      <c r="AF2110" s="4">
        <v>0</v>
      </c>
      <c r="AG2110" s="4">
        <v>1</v>
      </c>
      <c r="AH2110" s="4">
        <v>0</v>
      </c>
      <c r="AI2110" s="4">
        <v>112</v>
      </c>
      <c r="AJ2110" s="4">
        <v>0</v>
      </c>
      <c r="AK2110" s="4">
        <v>23</v>
      </c>
      <c r="AL2110" s="4">
        <v>0</v>
      </c>
      <c r="AM2110" s="4">
        <v>59</v>
      </c>
      <c r="AN2110" s="4">
        <v>0</v>
      </c>
      <c r="AO2110" s="4">
        <v>9</v>
      </c>
      <c r="AP2110" s="4">
        <v>0</v>
      </c>
      <c r="AQ2110" s="4">
        <v>42</v>
      </c>
      <c r="AR2110" s="3" t="s">
        <v>65</v>
      </c>
      <c r="AS2110" s="3" t="s">
        <v>65</v>
      </c>
      <c r="AT2110" s="3" t="s">
        <v>65</v>
      </c>
      <c r="AV2110" s="6" t="str">
        <f>HYPERLINK("http://mcgill.on.worldcat.org/oclc/427245434","Catalog Record")</f>
        <v>Catalog Record</v>
      </c>
      <c r="AW2110" s="6" t="str">
        <f>HYPERLINK("http://www.worldcat.org/oclc/427245434","WorldCat Record")</f>
        <v>WorldCat Record</v>
      </c>
      <c r="AX2110" s="3" t="s">
        <v>20623</v>
      </c>
      <c r="AY2110" s="3" t="s">
        <v>20634</v>
      </c>
      <c r="AZ2110" s="3" t="s">
        <v>20635</v>
      </c>
      <c r="BA2110" s="3" t="s">
        <v>20635</v>
      </c>
      <c r="BB2110" s="3" t="s">
        <v>20636</v>
      </c>
      <c r="BC2110" s="3" t="s">
        <v>77</v>
      </c>
      <c r="BD2110" s="3" t="s">
        <v>78</v>
      </c>
      <c r="BE2110" s="3" t="s">
        <v>20637</v>
      </c>
      <c r="BF2110" s="3" t="s">
        <v>20636</v>
      </c>
      <c r="BG2110" s="3" t="s">
        <v>20638</v>
      </c>
    </row>
    <row r="2111" spans="1:59" ht="58" x14ac:dyDescent="0.35">
      <c r="A2111" s="2" t="s">
        <v>59</v>
      </c>
      <c r="B2111" s="2" t="s">
        <v>60</v>
      </c>
      <c r="C2111" s="2" t="s">
        <v>20629</v>
      </c>
      <c r="D2111" s="2" t="s">
        <v>20630</v>
      </c>
      <c r="E2111" s="2" t="s">
        <v>20631</v>
      </c>
      <c r="F2111" s="3" t="s">
        <v>245</v>
      </c>
      <c r="G2111" s="3" t="s">
        <v>209</v>
      </c>
      <c r="I2111" s="3" t="s">
        <v>65</v>
      </c>
      <c r="J2111" s="3" t="s">
        <v>209</v>
      </c>
      <c r="K2111" s="3" t="s">
        <v>213</v>
      </c>
      <c r="L2111" s="2" t="s">
        <v>20278</v>
      </c>
      <c r="M2111" s="2" t="s">
        <v>20632</v>
      </c>
      <c r="N2111" s="3" t="s">
        <v>3448</v>
      </c>
      <c r="P2111" s="3" t="s">
        <v>69</v>
      </c>
      <c r="Q2111" s="2" t="s">
        <v>20633</v>
      </c>
      <c r="R2111" s="3" t="s">
        <v>71</v>
      </c>
      <c r="S2111" s="4">
        <v>18</v>
      </c>
      <c r="T2111" s="4">
        <v>31</v>
      </c>
      <c r="U2111" s="5" t="s">
        <v>19335</v>
      </c>
      <c r="V2111" s="5" t="s">
        <v>19335</v>
      </c>
      <c r="W2111" s="5" t="s">
        <v>72</v>
      </c>
      <c r="X2111" s="5" t="s">
        <v>72</v>
      </c>
      <c r="Y2111" s="4">
        <v>1</v>
      </c>
      <c r="Z2111" s="4">
        <v>1</v>
      </c>
      <c r="AA2111" s="4">
        <v>76</v>
      </c>
      <c r="AB2111" s="4">
        <v>1</v>
      </c>
      <c r="AC2111" s="4">
        <v>6</v>
      </c>
      <c r="AD2111" s="4">
        <v>0</v>
      </c>
      <c r="AE2111" s="4">
        <v>145</v>
      </c>
      <c r="AF2111" s="4">
        <v>0</v>
      </c>
      <c r="AG2111" s="4">
        <v>1</v>
      </c>
      <c r="AH2111" s="4">
        <v>0</v>
      </c>
      <c r="AI2111" s="4">
        <v>112</v>
      </c>
      <c r="AJ2111" s="4">
        <v>0</v>
      </c>
      <c r="AK2111" s="4">
        <v>23</v>
      </c>
      <c r="AL2111" s="4">
        <v>0</v>
      </c>
      <c r="AM2111" s="4">
        <v>59</v>
      </c>
      <c r="AN2111" s="4">
        <v>0</v>
      </c>
      <c r="AO2111" s="4">
        <v>9</v>
      </c>
      <c r="AP2111" s="4">
        <v>0</v>
      </c>
      <c r="AQ2111" s="4">
        <v>42</v>
      </c>
      <c r="AR2111" s="3" t="s">
        <v>65</v>
      </c>
      <c r="AS2111" s="3" t="s">
        <v>65</v>
      </c>
      <c r="AT2111" s="3" t="s">
        <v>65</v>
      </c>
      <c r="AV2111" s="6" t="str">
        <f>HYPERLINK("http://mcgill.on.worldcat.org/oclc/427245434","Catalog Record")</f>
        <v>Catalog Record</v>
      </c>
      <c r="AW2111" s="6" t="str">
        <f>HYPERLINK("http://www.worldcat.org/oclc/427245434","WorldCat Record")</f>
        <v>WorldCat Record</v>
      </c>
      <c r="AX2111" s="3" t="s">
        <v>20623</v>
      </c>
      <c r="AY2111" s="3" t="s">
        <v>20634</v>
      </c>
      <c r="AZ2111" s="3" t="s">
        <v>20635</v>
      </c>
      <c r="BA2111" s="3" t="s">
        <v>20635</v>
      </c>
      <c r="BB2111" s="3" t="s">
        <v>20639</v>
      </c>
      <c r="BC2111" s="3" t="s">
        <v>77</v>
      </c>
      <c r="BD2111" s="3" t="s">
        <v>78</v>
      </c>
      <c r="BE2111" s="3" t="s">
        <v>20637</v>
      </c>
      <c r="BF2111" s="3" t="s">
        <v>20639</v>
      </c>
      <c r="BG2111" s="3" t="s">
        <v>20640</v>
      </c>
    </row>
    <row r="2112" spans="1:59" ht="58" x14ac:dyDescent="0.35">
      <c r="A2112" s="2" t="s">
        <v>59</v>
      </c>
      <c r="B2112" s="2" t="s">
        <v>60</v>
      </c>
      <c r="C2112" s="2" t="s">
        <v>20641</v>
      </c>
      <c r="D2112" s="2" t="s">
        <v>20642</v>
      </c>
      <c r="E2112" s="2" t="s">
        <v>20643</v>
      </c>
      <c r="G2112" s="3" t="s">
        <v>65</v>
      </c>
      <c r="I2112" s="3" t="s">
        <v>65</v>
      </c>
      <c r="J2112" s="3" t="s">
        <v>209</v>
      </c>
      <c r="K2112" s="3" t="s">
        <v>213</v>
      </c>
      <c r="L2112" s="2" t="s">
        <v>20278</v>
      </c>
      <c r="M2112" s="2" t="s">
        <v>7247</v>
      </c>
      <c r="N2112" s="3" t="s">
        <v>3448</v>
      </c>
      <c r="P2112" s="3" t="s">
        <v>69</v>
      </c>
      <c r="Q2112" s="2" t="s">
        <v>9116</v>
      </c>
      <c r="R2112" s="3" t="s">
        <v>71</v>
      </c>
      <c r="S2112" s="4">
        <v>52</v>
      </c>
      <c r="T2112" s="4">
        <v>52</v>
      </c>
      <c r="U2112" s="5" t="s">
        <v>7286</v>
      </c>
      <c r="V2112" s="5" t="s">
        <v>7286</v>
      </c>
      <c r="W2112" s="5" t="s">
        <v>72</v>
      </c>
      <c r="X2112" s="5" t="s">
        <v>72</v>
      </c>
      <c r="Y2112" s="4">
        <v>514</v>
      </c>
      <c r="Z2112" s="4">
        <v>26</v>
      </c>
      <c r="AA2112" s="4">
        <v>76</v>
      </c>
      <c r="AB2112" s="4">
        <v>2</v>
      </c>
      <c r="AC2112" s="4">
        <v>6</v>
      </c>
      <c r="AD2112" s="4">
        <v>73</v>
      </c>
      <c r="AE2112" s="4">
        <v>145</v>
      </c>
      <c r="AF2112" s="4">
        <v>1</v>
      </c>
      <c r="AG2112" s="4">
        <v>1</v>
      </c>
      <c r="AH2112" s="4">
        <v>62</v>
      </c>
      <c r="AI2112" s="4">
        <v>112</v>
      </c>
      <c r="AJ2112" s="4">
        <v>10</v>
      </c>
      <c r="AK2112" s="4">
        <v>23</v>
      </c>
      <c r="AL2112" s="4">
        <v>38</v>
      </c>
      <c r="AM2112" s="4">
        <v>59</v>
      </c>
      <c r="AN2112" s="4">
        <v>0</v>
      </c>
      <c r="AO2112" s="4">
        <v>9</v>
      </c>
      <c r="AP2112" s="4">
        <v>16</v>
      </c>
      <c r="AQ2112" s="4">
        <v>42</v>
      </c>
      <c r="AR2112" s="3" t="s">
        <v>65</v>
      </c>
      <c r="AS2112" s="3" t="s">
        <v>65</v>
      </c>
      <c r="AT2112" s="3" t="s">
        <v>65</v>
      </c>
      <c r="AV2112" s="6" t="str">
        <f>HYPERLINK("http://mcgill.on.worldcat.org/oclc/696681","Catalog Record")</f>
        <v>Catalog Record</v>
      </c>
      <c r="AW2112" s="6" t="str">
        <f>HYPERLINK("http://www.worldcat.org/oclc/696681","WorldCat Record")</f>
        <v>WorldCat Record</v>
      </c>
      <c r="AX2112" s="3" t="s">
        <v>20623</v>
      </c>
      <c r="AY2112" s="3" t="s">
        <v>20644</v>
      </c>
      <c r="AZ2112" s="3" t="s">
        <v>20645</v>
      </c>
      <c r="BA2112" s="3" t="s">
        <v>20645</v>
      </c>
      <c r="BB2112" s="3" t="s">
        <v>20646</v>
      </c>
      <c r="BC2112" s="3" t="s">
        <v>77</v>
      </c>
      <c r="BD2112" s="3" t="s">
        <v>78</v>
      </c>
      <c r="BE2112" s="3" t="s">
        <v>20637</v>
      </c>
      <c r="BF2112" s="3" t="s">
        <v>20646</v>
      </c>
      <c r="BG2112" s="3" t="s">
        <v>20647</v>
      </c>
    </row>
    <row r="2113" spans="1:59" ht="58" x14ac:dyDescent="0.35">
      <c r="A2113" s="2" t="s">
        <v>59</v>
      </c>
      <c r="B2113" s="2" t="s">
        <v>60</v>
      </c>
      <c r="C2113" s="2" t="s">
        <v>20648</v>
      </c>
      <c r="D2113" s="2" t="s">
        <v>20649</v>
      </c>
      <c r="E2113" s="2" t="s">
        <v>20650</v>
      </c>
      <c r="G2113" s="3" t="s">
        <v>65</v>
      </c>
      <c r="I2113" s="3" t="s">
        <v>65</v>
      </c>
      <c r="J2113" s="3" t="s">
        <v>65</v>
      </c>
      <c r="K2113" s="3" t="s">
        <v>66</v>
      </c>
      <c r="M2113" s="2" t="s">
        <v>13673</v>
      </c>
      <c r="N2113" s="3" t="s">
        <v>176</v>
      </c>
      <c r="P2113" s="3" t="s">
        <v>140</v>
      </c>
      <c r="Q2113" s="2" t="s">
        <v>20651</v>
      </c>
      <c r="R2113" s="3" t="s">
        <v>71</v>
      </c>
      <c r="S2113" s="4">
        <v>0</v>
      </c>
      <c r="T2113" s="4">
        <v>0</v>
      </c>
      <c r="W2113" s="5" t="s">
        <v>72</v>
      </c>
      <c r="X2113" s="5" t="s">
        <v>72</v>
      </c>
      <c r="Y2113" s="4">
        <v>47</v>
      </c>
      <c r="Z2113" s="4">
        <v>4</v>
      </c>
      <c r="AA2113" s="4">
        <v>5</v>
      </c>
      <c r="AB2113" s="4">
        <v>1</v>
      </c>
      <c r="AC2113" s="4">
        <v>2</v>
      </c>
      <c r="AD2113" s="4">
        <v>30</v>
      </c>
      <c r="AE2113" s="4">
        <v>30</v>
      </c>
      <c r="AF2113" s="4">
        <v>0</v>
      </c>
      <c r="AG2113" s="4">
        <v>0</v>
      </c>
      <c r="AH2113" s="4">
        <v>29</v>
      </c>
      <c r="AI2113" s="4">
        <v>29</v>
      </c>
      <c r="AJ2113" s="4">
        <v>2</v>
      </c>
      <c r="AK2113" s="4">
        <v>2</v>
      </c>
      <c r="AL2113" s="4">
        <v>24</v>
      </c>
      <c r="AM2113" s="4">
        <v>24</v>
      </c>
      <c r="AN2113" s="4">
        <v>0</v>
      </c>
      <c r="AO2113" s="4">
        <v>0</v>
      </c>
      <c r="AP2113" s="4">
        <v>2</v>
      </c>
      <c r="AQ2113" s="4">
        <v>2</v>
      </c>
      <c r="AR2113" s="3" t="s">
        <v>65</v>
      </c>
      <c r="AS2113" s="3" t="s">
        <v>65</v>
      </c>
      <c r="AT2113" s="3" t="s">
        <v>65</v>
      </c>
      <c r="AV2113" s="6" t="str">
        <f>HYPERLINK("http://mcgill.on.worldcat.org/oclc/933229189","Catalog Record")</f>
        <v>Catalog Record</v>
      </c>
      <c r="AW2113" s="6" t="str">
        <f>HYPERLINK("http://www.worldcat.org/oclc/933229189","WorldCat Record")</f>
        <v>WorldCat Record</v>
      </c>
      <c r="AX2113" s="3" t="s">
        <v>20652</v>
      </c>
      <c r="AY2113" s="3" t="s">
        <v>20653</v>
      </c>
      <c r="AZ2113" s="3" t="s">
        <v>20654</v>
      </c>
      <c r="BA2113" s="3" t="s">
        <v>20654</v>
      </c>
      <c r="BB2113" s="3" t="s">
        <v>20655</v>
      </c>
      <c r="BC2113" s="3" t="s">
        <v>77</v>
      </c>
      <c r="BD2113" s="3" t="s">
        <v>78</v>
      </c>
      <c r="BE2113" s="3" t="s">
        <v>20656</v>
      </c>
      <c r="BF2113" s="3" t="s">
        <v>20655</v>
      </c>
      <c r="BG2113" s="3" t="s">
        <v>20657</v>
      </c>
    </row>
    <row r="2114" spans="1:59" ht="58" x14ac:dyDescent="0.35">
      <c r="A2114" s="2" t="s">
        <v>59</v>
      </c>
      <c r="B2114" s="2" t="s">
        <v>60</v>
      </c>
      <c r="C2114" s="2" t="s">
        <v>20658</v>
      </c>
      <c r="D2114" s="2" t="s">
        <v>20659</v>
      </c>
      <c r="E2114" s="2" t="s">
        <v>20660</v>
      </c>
      <c r="G2114" s="3" t="s">
        <v>65</v>
      </c>
      <c r="I2114" s="3" t="s">
        <v>65</v>
      </c>
      <c r="J2114" s="3" t="s">
        <v>65</v>
      </c>
      <c r="K2114" s="3" t="s">
        <v>66</v>
      </c>
      <c r="L2114" s="2" t="s">
        <v>20661</v>
      </c>
      <c r="M2114" s="2" t="s">
        <v>20662</v>
      </c>
      <c r="N2114" s="3" t="s">
        <v>1151</v>
      </c>
      <c r="P2114" s="3" t="s">
        <v>69</v>
      </c>
      <c r="Q2114" s="2" t="s">
        <v>20663</v>
      </c>
      <c r="R2114" s="3" t="s">
        <v>71</v>
      </c>
      <c r="S2114" s="4">
        <v>2</v>
      </c>
      <c r="T2114" s="4">
        <v>2</v>
      </c>
      <c r="U2114" s="5" t="s">
        <v>20622</v>
      </c>
      <c r="V2114" s="5" t="s">
        <v>20622</v>
      </c>
      <c r="W2114" s="5" t="s">
        <v>72</v>
      </c>
      <c r="X2114" s="5" t="s">
        <v>72</v>
      </c>
      <c r="Y2114" s="4">
        <v>467</v>
      </c>
      <c r="Z2114" s="4">
        <v>28</v>
      </c>
      <c r="AA2114" s="4">
        <v>33</v>
      </c>
      <c r="AB2114" s="4">
        <v>2</v>
      </c>
      <c r="AC2114" s="4">
        <v>4</v>
      </c>
      <c r="AD2114" s="4">
        <v>110</v>
      </c>
      <c r="AE2114" s="4">
        <v>114</v>
      </c>
      <c r="AF2114" s="4">
        <v>1</v>
      </c>
      <c r="AG2114" s="4">
        <v>1</v>
      </c>
      <c r="AH2114" s="4">
        <v>97</v>
      </c>
      <c r="AI2114" s="4">
        <v>100</v>
      </c>
      <c r="AJ2114" s="4">
        <v>17</v>
      </c>
      <c r="AK2114" s="4">
        <v>19</v>
      </c>
      <c r="AL2114" s="4">
        <v>51</v>
      </c>
      <c r="AM2114" s="4">
        <v>52</v>
      </c>
      <c r="AN2114" s="4">
        <v>0</v>
      </c>
      <c r="AO2114" s="4">
        <v>0</v>
      </c>
      <c r="AP2114" s="4">
        <v>21</v>
      </c>
      <c r="AQ2114" s="4">
        <v>24</v>
      </c>
      <c r="AR2114" s="3" t="s">
        <v>65</v>
      </c>
      <c r="AS2114" s="3" t="s">
        <v>65</v>
      </c>
      <c r="AT2114" s="3" t="s">
        <v>209</v>
      </c>
      <c r="AU2114" s="6" t="str">
        <f>HYPERLINK("http://catalog.hathitrust.org/Record/000691484","HathiTrust Record")</f>
        <v>HathiTrust Record</v>
      </c>
      <c r="AV2114" s="6" t="str">
        <f>HYPERLINK("http://mcgill.on.worldcat.org/oclc/2213306","Catalog Record")</f>
        <v>Catalog Record</v>
      </c>
      <c r="AW2114" s="6" t="str">
        <f>HYPERLINK("http://www.worldcat.org/oclc/2213306","WorldCat Record")</f>
        <v>WorldCat Record</v>
      </c>
      <c r="AX2114" s="3" t="s">
        <v>20664</v>
      </c>
      <c r="AY2114" s="3" t="s">
        <v>20665</v>
      </c>
      <c r="AZ2114" s="3" t="s">
        <v>20666</v>
      </c>
      <c r="BA2114" s="3" t="s">
        <v>20666</v>
      </c>
      <c r="BB2114" s="3" t="s">
        <v>20667</v>
      </c>
      <c r="BC2114" s="3" t="s">
        <v>77</v>
      </c>
      <c r="BD2114" s="3" t="s">
        <v>78</v>
      </c>
      <c r="BE2114" s="3" t="s">
        <v>20668</v>
      </c>
      <c r="BF2114" s="3" t="s">
        <v>20667</v>
      </c>
      <c r="BG2114" s="3" t="s">
        <v>20669</v>
      </c>
    </row>
    <row r="2115" spans="1:59" ht="58" x14ac:dyDescent="0.35">
      <c r="A2115" s="2" t="s">
        <v>59</v>
      </c>
      <c r="B2115" s="2" t="s">
        <v>60</v>
      </c>
      <c r="C2115" s="2" t="s">
        <v>20670</v>
      </c>
      <c r="D2115" s="2" t="s">
        <v>20671</v>
      </c>
      <c r="E2115" s="2" t="s">
        <v>20672</v>
      </c>
      <c r="G2115" s="3" t="s">
        <v>65</v>
      </c>
      <c r="I2115" s="3" t="s">
        <v>65</v>
      </c>
      <c r="J2115" s="3" t="s">
        <v>65</v>
      </c>
      <c r="K2115" s="3" t="s">
        <v>66</v>
      </c>
      <c r="L2115" s="2" t="s">
        <v>20673</v>
      </c>
      <c r="M2115" s="2" t="s">
        <v>200</v>
      </c>
      <c r="N2115" s="3" t="s">
        <v>139</v>
      </c>
      <c r="P2115" s="3" t="s">
        <v>140</v>
      </c>
      <c r="Q2115" s="2" t="s">
        <v>20674</v>
      </c>
      <c r="R2115" s="3" t="s">
        <v>71</v>
      </c>
      <c r="S2115" s="4">
        <v>0</v>
      </c>
      <c r="T2115" s="4">
        <v>0</v>
      </c>
      <c r="W2115" s="5" t="s">
        <v>72</v>
      </c>
      <c r="X2115" s="5" t="s">
        <v>72</v>
      </c>
      <c r="Y2115" s="4">
        <v>37</v>
      </c>
      <c r="Z2115" s="4">
        <v>4</v>
      </c>
      <c r="AA2115" s="4">
        <v>4</v>
      </c>
      <c r="AB2115" s="4">
        <v>1</v>
      </c>
      <c r="AC2115" s="4">
        <v>1</v>
      </c>
      <c r="AD2115" s="4">
        <v>25</v>
      </c>
      <c r="AE2115" s="4">
        <v>25</v>
      </c>
      <c r="AF2115" s="4">
        <v>0</v>
      </c>
      <c r="AG2115" s="4">
        <v>0</v>
      </c>
      <c r="AH2115" s="4">
        <v>24</v>
      </c>
      <c r="AI2115" s="4">
        <v>24</v>
      </c>
      <c r="AJ2115" s="4">
        <v>2</v>
      </c>
      <c r="AK2115" s="4">
        <v>2</v>
      </c>
      <c r="AL2115" s="4">
        <v>21</v>
      </c>
      <c r="AM2115" s="4">
        <v>21</v>
      </c>
      <c r="AN2115" s="4">
        <v>0</v>
      </c>
      <c r="AO2115" s="4">
        <v>0</v>
      </c>
      <c r="AP2115" s="4">
        <v>2</v>
      </c>
      <c r="AQ2115" s="4">
        <v>2</v>
      </c>
      <c r="AR2115" s="3" t="s">
        <v>65</v>
      </c>
      <c r="AS2115" s="3" t="s">
        <v>65</v>
      </c>
      <c r="AT2115" s="3" t="s">
        <v>65</v>
      </c>
      <c r="AV2115" s="6" t="str">
        <f>HYPERLINK("http://mcgill.on.worldcat.org/oclc/818725024","Catalog Record")</f>
        <v>Catalog Record</v>
      </c>
      <c r="AW2115" s="6" t="str">
        <f>HYPERLINK("http://www.worldcat.org/oclc/818725024","WorldCat Record")</f>
        <v>WorldCat Record</v>
      </c>
      <c r="AX2115" s="3" t="s">
        <v>20675</v>
      </c>
      <c r="AY2115" s="3" t="s">
        <v>20676</v>
      </c>
      <c r="AZ2115" s="3" t="s">
        <v>20677</v>
      </c>
      <c r="BA2115" s="3" t="s">
        <v>20677</v>
      </c>
      <c r="BB2115" s="3" t="s">
        <v>20678</v>
      </c>
      <c r="BC2115" s="3" t="s">
        <v>77</v>
      </c>
      <c r="BD2115" s="3" t="s">
        <v>78</v>
      </c>
      <c r="BE2115" s="3" t="s">
        <v>20679</v>
      </c>
      <c r="BF2115" s="3" t="s">
        <v>20678</v>
      </c>
      <c r="BG2115" s="3" t="s">
        <v>20680</v>
      </c>
    </row>
    <row r="2116" spans="1:59" ht="58" x14ac:dyDescent="0.35">
      <c r="A2116" s="2" t="s">
        <v>59</v>
      </c>
      <c r="B2116" s="2" t="s">
        <v>60</v>
      </c>
      <c r="C2116" s="2" t="s">
        <v>20681</v>
      </c>
      <c r="D2116" s="2" t="s">
        <v>20682</v>
      </c>
      <c r="E2116" s="2" t="s">
        <v>20683</v>
      </c>
      <c r="G2116" s="3" t="s">
        <v>65</v>
      </c>
      <c r="I2116" s="3" t="s">
        <v>65</v>
      </c>
      <c r="J2116" s="3" t="s">
        <v>65</v>
      </c>
      <c r="K2116" s="3" t="s">
        <v>66</v>
      </c>
      <c r="L2116" s="2" t="s">
        <v>20684</v>
      </c>
      <c r="M2116" s="2" t="s">
        <v>20320</v>
      </c>
      <c r="N2116" s="3" t="s">
        <v>188</v>
      </c>
      <c r="P2116" s="3" t="s">
        <v>140</v>
      </c>
      <c r="Q2116" s="2" t="s">
        <v>20685</v>
      </c>
      <c r="R2116" s="3" t="s">
        <v>71</v>
      </c>
      <c r="S2116" s="4">
        <v>0</v>
      </c>
      <c r="T2116" s="4">
        <v>0</v>
      </c>
      <c r="W2116" s="5" t="s">
        <v>72</v>
      </c>
      <c r="X2116" s="5" t="s">
        <v>72</v>
      </c>
      <c r="Y2116" s="4">
        <v>28</v>
      </c>
      <c r="Z2116" s="4">
        <v>2</v>
      </c>
      <c r="AA2116" s="4">
        <v>2</v>
      </c>
      <c r="AB2116" s="4">
        <v>1</v>
      </c>
      <c r="AC2116" s="4">
        <v>1</v>
      </c>
      <c r="AD2116" s="4">
        <v>23</v>
      </c>
      <c r="AE2116" s="4">
        <v>23</v>
      </c>
      <c r="AF2116" s="4">
        <v>0</v>
      </c>
      <c r="AG2116" s="4">
        <v>0</v>
      </c>
      <c r="AH2116" s="4">
        <v>22</v>
      </c>
      <c r="AI2116" s="4">
        <v>22</v>
      </c>
      <c r="AJ2116" s="4">
        <v>1</v>
      </c>
      <c r="AK2116" s="4">
        <v>1</v>
      </c>
      <c r="AL2116" s="4">
        <v>16</v>
      </c>
      <c r="AM2116" s="4">
        <v>16</v>
      </c>
      <c r="AN2116" s="4">
        <v>0</v>
      </c>
      <c r="AO2116" s="4">
        <v>0</v>
      </c>
      <c r="AP2116" s="4">
        <v>1</v>
      </c>
      <c r="AQ2116" s="4">
        <v>1</v>
      </c>
      <c r="AR2116" s="3" t="s">
        <v>65</v>
      </c>
      <c r="AS2116" s="3" t="s">
        <v>65</v>
      </c>
      <c r="AT2116" s="3" t="s">
        <v>65</v>
      </c>
      <c r="AV2116" s="6" t="str">
        <f>HYPERLINK("http://mcgill.on.worldcat.org/oclc/1015246194","Catalog Record")</f>
        <v>Catalog Record</v>
      </c>
      <c r="AW2116" s="6" t="str">
        <f>HYPERLINK("http://www.worldcat.org/oclc/1015246194","WorldCat Record")</f>
        <v>WorldCat Record</v>
      </c>
      <c r="AX2116" s="3" t="s">
        <v>20686</v>
      </c>
      <c r="AY2116" s="3" t="s">
        <v>20687</v>
      </c>
      <c r="AZ2116" s="3" t="s">
        <v>20688</v>
      </c>
      <c r="BA2116" s="3" t="s">
        <v>20688</v>
      </c>
      <c r="BB2116" s="3" t="s">
        <v>20689</v>
      </c>
      <c r="BC2116" s="3" t="s">
        <v>77</v>
      </c>
      <c r="BD2116" s="3" t="s">
        <v>78</v>
      </c>
      <c r="BE2116" s="3" t="s">
        <v>20690</v>
      </c>
      <c r="BF2116" s="3" t="s">
        <v>20689</v>
      </c>
      <c r="BG2116" s="3" t="s">
        <v>20691</v>
      </c>
    </row>
    <row r="2117" spans="1:59" ht="58" x14ac:dyDescent="0.35">
      <c r="A2117" s="2" t="s">
        <v>59</v>
      </c>
      <c r="B2117" s="2" t="s">
        <v>60</v>
      </c>
      <c r="C2117" s="2" t="s">
        <v>20692</v>
      </c>
      <c r="D2117" s="2" t="s">
        <v>20693</v>
      </c>
      <c r="E2117" s="2" t="s">
        <v>20694</v>
      </c>
      <c r="G2117" s="3" t="s">
        <v>65</v>
      </c>
      <c r="I2117" s="3" t="s">
        <v>65</v>
      </c>
      <c r="J2117" s="3" t="s">
        <v>65</v>
      </c>
      <c r="K2117" s="3" t="s">
        <v>66</v>
      </c>
      <c r="L2117" s="2" t="s">
        <v>20695</v>
      </c>
      <c r="M2117" s="2" t="s">
        <v>15090</v>
      </c>
      <c r="N2117" s="3" t="s">
        <v>1109</v>
      </c>
      <c r="P2117" s="3" t="s">
        <v>69</v>
      </c>
      <c r="Q2117" s="2" t="s">
        <v>20696</v>
      </c>
      <c r="R2117" s="3" t="s">
        <v>71</v>
      </c>
      <c r="S2117" s="4">
        <v>7</v>
      </c>
      <c r="T2117" s="4">
        <v>7</v>
      </c>
      <c r="U2117" s="5" t="s">
        <v>11474</v>
      </c>
      <c r="V2117" s="5" t="s">
        <v>11474</v>
      </c>
      <c r="W2117" s="5" t="s">
        <v>72</v>
      </c>
      <c r="X2117" s="5" t="s">
        <v>72</v>
      </c>
      <c r="Y2117" s="4">
        <v>302</v>
      </c>
      <c r="Z2117" s="4">
        <v>25</v>
      </c>
      <c r="AA2117" s="4">
        <v>28</v>
      </c>
      <c r="AB2117" s="4">
        <v>2</v>
      </c>
      <c r="AC2117" s="4">
        <v>3</v>
      </c>
      <c r="AD2117" s="4">
        <v>95</v>
      </c>
      <c r="AE2117" s="4">
        <v>97</v>
      </c>
      <c r="AF2117" s="4">
        <v>1</v>
      </c>
      <c r="AG2117" s="4">
        <v>2</v>
      </c>
      <c r="AH2117" s="4">
        <v>83</v>
      </c>
      <c r="AI2117" s="4">
        <v>84</v>
      </c>
      <c r="AJ2117" s="4">
        <v>15</v>
      </c>
      <c r="AK2117" s="4">
        <v>17</v>
      </c>
      <c r="AL2117" s="4">
        <v>46</v>
      </c>
      <c r="AM2117" s="4">
        <v>46</v>
      </c>
      <c r="AN2117" s="4">
        <v>0</v>
      </c>
      <c r="AO2117" s="4">
        <v>0</v>
      </c>
      <c r="AP2117" s="4">
        <v>18</v>
      </c>
      <c r="AQ2117" s="4">
        <v>19</v>
      </c>
      <c r="AR2117" s="3" t="s">
        <v>65</v>
      </c>
      <c r="AS2117" s="3" t="s">
        <v>65</v>
      </c>
      <c r="AT2117" s="3" t="s">
        <v>65</v>
      </c>
      <c r="AV2117" s="6" t="str">
        <f>HYPERLINK("http://mcgill.on.worldcat.org/oclc/1218116","Catalog Record")</f>
        <v>Catalog Record</v>
      </c>
      <c r="AW2117" s="6" t="str">
        <f>HYPERLINK("http://www.worldcat.org/oclc/1218116","WorldCat Record")</f>
        <v>WorldCat Record</v>
      </c>
      <c r="AX2117" s="3" t="s">
        <v>20697</v>
      </c>
      <c r="AY2117" s="3" t="s">
        <v>20698</v>
      </c>
      <c r="AZ2117" s="3" t="s">
        <v>20699</v>
      </c>
      <c r="BA2117" s="3" t="s">
        <v>20699</v>
      </c>
      <c r="BB2117" s="3" t="s">
        <v>20700</v>
      </c>
      <c r="BC2117" s="3" t="s">
        <v>77</v>
      </c>
      <c r="BD2117" s="3" t="s">
        <v>78</v>
      </c>
      <c r="BE2117" s="3" t="s">
        <v>20701</v>
      </c>
      <c r="BF2117" s="3" t="s">
        <v>20700</v>
      </c>
      <c r="BG2117" s="3" t="s">
        <v>20702</v>
      </c>
    </row>
    <row r="2118" spans="1:59" ht="58" x14ac:dyDescent="0.35">
      <c r="A2118" s="2" t="s">
        <v>59</v>
      </c>
      <c r="B2118" s="2" t="s">
        <v>60</v>
      </c>
      <c r="C2118" s="2" t="s">
        <v>20703</v>
      </c>
      <c r="D2118" s="2" t="s">
        <v>20704</v>
      </c>
      <c r="E2118" s="2" t="s">
        <v>20705</v>
      </c>
      <c r="G2118" s="3" t="s">
        <v>65</v>
      </c>
      <c r="I2118" s="3" t="s">
        <v>65</v>
      </c>
      <c r="J2118" s="3" t="s">
        <v>209</v>
      </c>
      <c r="K2118" s="3" t="s">
        <v>66</v>
      </c>
      <c r="L2118" s="2" t="s">
        <v>20706</v>
      </c>
      <c r="M2118" s="2" t="s">
        <v>20707</v>
      </c>
      <c r="N2118" s="3" t="s">
        <v>928</v>
      </c>
      <c r="P2118" s="3" t="s">
        <v>69</v>
      </c>
      <c r="R2118" s="3" t="s">
        <v>71</v>
      </c>
      <c r="S2118" s="4">
        <v>3</v>
      </c>
      <c r="T2118" s="4">
        <v>3</v>
      </c>
      <c r="U2118" s="5" t="s">
        <v>11474</v>
      </c>
      <c r="V2118" s="5" t="s">
        <v>11474</v>
      </c>
      <c r="W2118" s="5" t="s">
        <v>72</v>
      </c>
      <c r="X2118" s="5" t="s">
        <v>72</v>
      </c>
      <c r="Y2118" s="4">
        <v>192</v>
      </c>
      <c r="Z2118" s="4">
        <v>10</v>
      </c>
      <c r="AA2118" s="4">
        <v>22</v>
      </c>
      <c r="AB2118" s="4">
        <v>1</v>
      </c>
      <c r="AC2118" s="4">
        <v>3</v>
      </c>
      <c r="AD2118" s="4">
        <v>49</v>
      </c>
      <c r="AE2118" s="4">
        <v>99</v>
      </c>
      <c r="AF2118" s="4">
        <v>0</v>
      </c>
      <c r="AG2118" s="4">
        <v>1</v>
      </c>
      <c r="AH2118" s="4">
        <v>46</v>
      </c>
      <c r="AI2118" s="4">
        <v>90</v>
      </c>
      <c r="AJ2118" s="4">
        <v>5</v>
      </c>
      <c r="AK2118" s="4">
        <v>11</v>
      </c>
      <c r="AL2118" s="4">
        <v>25</v>
      </c>
      <c r="AM2118" s="4">
        <v>49</v>
      </c>
      <c r="AN2118" s="4">
        <v>0</v>
      </c>
      <c r="AO2118" s="4">
        <v>5</v>
      </c>
      <c r="AP2118" s="4">
        <v>5</v>
      </c>
      <c r="AQ2118" s="4">
        <v>12</v>
      </c>
      <c r="AR2118" s="3" t="s">
        <v>65</v>
      </c>
      <c r="AS2118" s="3" t="s">
        <v>65</v>
      </c>
      <c r="AT2118" s="3" t="s">
        <v>209</v>
      </c>
      <c r="AU2118" s="6" t="str">
        <f>HYPERLINK("http://catalog.hathitrust.org/Record/001361058","HathiTrust Record")</f>
        <v>HathiTrust Record</v>
      </c>
      <c r="AV2118" s="6" t="str">
        <f>HYPERLINK("http://mcgill.on.worldcat.org/oclc/755835","Catalog Record")</f>
        <v>Catalog Record</v>
      </c>
      <c r="AW2118" s="6" t="str">
        <f>HYPERLINK("http://www.worldcat.org/oclc/755835","WorldCat Record")</f>
        <v>WorldCat Record</v>
      </c>
      <c r="AX2118" s="3" t="s">
        <v>20708</v>
      </c>
      <c r="AY2118" s="3" t="s">
        <v>20709</v>
      </c>
      <c r="AZ2118" s="3" t="s">
        <v>20710</v>
      </c>
      <c r="BA2118" s="3" t="s">
        <v>20710</v>
      </c>
      <c r="BB2118" s="3" t="s">
        <v>20711</v>
      </c>
      <c r="BC2118" s="3" t="s">
        <v>77</v>
      </c>
      <c r="BD2118" s="3" t="s">
        <v>78</v>
      </c>
      <c r="BF2118" s="3" t="s">
        <v>20711</v>
      </c>
      <c r="BG2118" s="3" t="s">
        <v>20712</v>
      </c>
    </row>
    <row r="2119" spans="1:59" ht="58" x14ac:dyDescent="0.35">
      <c r="A2119" s="2" t="s">
        <v>59</v>
      </c>
      <c r="B2119" s="2" t="s">
        <v>60</v>
      </c>
      <c r="C2119" s="2" t="s">
        <v>20713</v>
      </c>
      <c r="D2119" s="2" t="s">
        <v>20714</v>
      </c>
      <c r="E2119" s="2" t="s">
        <v>20715</v>
      </c>
      <c r="G2119" s="3" t="s">
        <v>65</v>
      </c>
      <c r="I2119" s="3" t="s">
        <v>65</v>
      </c>
      <c r="J2119" s="3" t="s">
        <v>65</v>
      </c>
      <c r="K2119" s="3" t="s">
        <v>66</v>
      </c>
      <c r="L2119" s="2" t="s">
        <v>20716</v>
      </c>
      <c r="M2119" s="2" t="s">
        <v>10802</v>
      </c>
      <c r="N2119" s="3" t="s">
        <v>152</v>
      </c>
      <c r="P2119" s="3" t="s">
        <v>140</v>
      </c>
      <c r="Q2119" s="2" t="s">
        <v>20717</v>
      </c>
      <c r="R2119" s="3" t="s">
        <v>71</v>
      </c>
      <c r="S2119" s="4">
        <v>0</v>
      </c>
      <c r="T2119" s="4">
        <v>0</v>
      </c>
      <c r="W2119" s="5" t="s">
        <v>72</v>
      </c>
      <c r="X2119" s="5" t="s">
        <v>72</v>
      </c>
      <c r="Y2119" s="4">
        <v>36</v>
      </c>
      <c r="Z2119" s="4">
        <v>5</v>
      </c>
      <c r="AA2119" s="4">
        <v>5</v>
      </c>
      <c r="AB2119" s="4">
        <v>1</v>
      </c>
      <c r="AC2119" s="4">
        <v>1</v>
      </c>
      <c r="AD2119" s="4">
        <v>27</v>
      </c>
      <c r="AE2119" s="4">
        <v>27</v>
      </c>
      <c r="AF2119" s="4">
        <v>0</v>
      </c>
      <c r="AG2119" s="4">
        <v>0</v>
      </c>
      <c r="AH2119" s="4">
        <v>26</v>
      </c>
      <c r="AI2119" s="4">
        <v>26</v>
      </c>
      <c r="AJ2119" s="4">
        <v>2</v>
      </c>
      <c r="AK2119" s="4">
        <v>2</v>
      </c>
      <c r="AL2119" s="4">
        <v>22</v>
      </c>
      <c r="AM2119" s="4">
        <v>22</v>
      </c>
      <c r="AN2119" s="4">
        <v>0</v>
      </c>
      <c r="AO2119" s="4">
        <v>0</v>
      </c>
      <c r="AP2119" s="4">
        <v>2</v>
      </c>
      <c r="AQ2119" s="4">
        <v>2</v>
      </c>
      <c r="AR2119" s="3" t="s">
        <v>65</v>
      </c>
      <c r="AS2119" s="3" t="s">
        <v>65</v>
      </c>
      <c r="AT2119" s="3" t="s">
        <v>65</v>
      </c>
      <c r="AV2119" s="6" t="str">
        <f>HYPERLINK("http://mcgill.on.worldcat.org/oclc/844692529","Catalog Record")</f>
        <v>Catalog Record</v>
      </c>
      <c r="AW2119" s="6" t="str">
        <f>HYPERLINK("http://www.worldcat.org/oclc/844692529","WorldCat Record")</f>
        <v>WorldCat Record</v>
      </c>
      <c r="AX2119" s="3" t="s">
        <v>20718</v>
      </c>
      <c r="AY2119" s="3" t="s">
        <v>20719</v>
      </c>
      <c r="AZ2119" s="3" t="s">
        <v>20720</v>
      </c>
      <c r="BA2119" s="3" t="s">
        <v>20720</v>
      </c>
      <c r="BB2119" s="3" t="s">
        <v>20721</v>
      </c>
      <c r="BC2119" s="3" t="s">
        <v>77</v>
      </c>
      <c r="BD2119" s="3" t="s">
        <v>78</v>
      </c>
      <c r="BE2119" s="3" t="s">
        <v>20722</v>
      </c>
      <c r="BF2119" s="3" t="s">
        <v>20721</v>
      </c>
      <c r="BG2119" s="3" t="s">
        <v>20723</v>
      </c>
    </row>
    <row r="2120" spans="1:59" ht="58" x14ac:dyDescent="0.35">
      <c r="A2120" s="2" t="s">
        <v>59</v>
      </c>
      <c r="B2120" s="2" t="s">
        <v>60</v>
      </c>
      <c r="C2120" s="2" t="s">
        <v>20724</v>
      </c>
      <c r="D2120" s="2" t="s">
        <v>20725</v>
      </c>
      <c r="E2120" s="2" t="s">
        <v>20726</v>
      </c>
      <c r="G2120" s="3" t="s">
        <v>65</v>
      </c>
      <c r="I2120" s="3" t="s">
        <v>65</v>
      </c>
      <c r="J2120" s="3" t="s">
        <v>65</v>
      </c>
      <c r="K2120" s="3" t="s">
        <v>66</v>
      </c>
      <c r="L2120" s="2" t="s">
        <v>20727</v>
      </c>
      <c r="M2120" s="2" t="s">
        <v>20728</v>
      </c>
      <c r="N2120" s="3" t="s">
        <v>113</v>
      </c>
      <c r="P2120" s="3" t="s">
        <v>140</v>
      </c>
      <c r="Q2120" s="2" t="s">
        <v>20729</v>
      </c>
      <c r="R2120" s="3" t="s">
        <v>71</v>
      </c>
      <c r="S2120" s="4">
        <v>0</v>
      </c>
      <c r="T2120" s="4">
        <v>0</v>
      </c>
      <c r="W2120" s="5" t="s">
        <v>72</v>
      </c>
      <c r="X2120" s="5" t="s">
        <v>72</v>
      </c>
      <c r="Y2120" s="4">
        <v>46</v>
      </c>
      <c r="Z2120" s="4">
        <v>5</v>
      </c>
      <c r="AA2120" s="4">
        <v>5</v>
      </c>
      <c r="AB2120" s="4">
        <v>1</v>
      </c>
      <c r="AC2120" s="4">
        <v>1</v>
      </c>
      <c r="AD2120" s="4">
        <v>35</v>
      </c>
      <c r="AE2120" s="4">
        <v>35</v>
      </c>
      <c r="AF2120" s="4">
        <v>0</v>
      </c>
      <c r="AG2120" s="4">
        <v>0</v>
      </c>
      <c r="AH2120" s="4">
        <v>34</v>
      </c>
      <c r="AI2120" s="4">
        <v>34</v>
      </c>
      <c r="AJ2120" s="4">
        <v>3</v>
      </c>
      <c r="AK2120" s="4">
        <v>3</v>
      </c>
      <c r="AL2120" s="4">
        <v>27</v>
      </c>
      <c r="AM2120" s="4">
        <v>27</v>
      </c>
      <c r="AN2120" s="4">
        <v>0</v>
      </c>
      <c r="AO2120" s="4">
        <v>0</v>
      </c>
      <c r="AP2120" s="4">
        <v>3</v>
      </c>
      <c r="AQ2120" s="4">
        <v>3</v>
      </c>
      <c r="AR2120" s="3" t="s">
        <v>65</v>
      </c>
      <c r="AS2120" s="3" t="s">
        <v>65</v>
      </c>
      <c r="AT2120" s="3" t="s">
        <v>65</v>
      </c>
      <c r="AV2120" s="6" t="str">
        <f>HYPERLINK("http://mcgill.on.worldcat.org/oclc/759150636","Catalog Record")</f>
        <v>Catalog Record</v>
      </c>
      <c r="AW2120" s="6" t="str">
        <f>HYPERLINK("http://www.worldcat.org/oclc/759150636","WorldCat Record")</f>
        <v>WorldCat Record</v>
      </c>
      <c r="AX2120" s="3" t="s">
        <v>20730</v>
      </c>
      <c r="AY2120" s="3" t="s">
        <v>20731</v>
      </c>
      <c r="AZ2120" s="3" t="s">
        <v>20732</v>
      </c>
      <c r="BA2120" s="3" t="s">
        <v>20732</v>
      </c>
      <c r="BB2120" s="3" t="s">
        <v>20733</v>
      </c>
      <c r="BC2120" s="3" t="s">
        <v>77</v>
      </c>
      <c r="BD2120" s="3" t="s">
        <v>78</v>
      </c>
      <c r="BE2120" s="3" t="s">
        <v>20734</v>
      </c>
      <c r="BF2120" s="3" t="s">
        <v>20733</v>
      </c>
      <c r="BG2120" s="3" t="s">
        <v>20735</v>
      </c>
    </row>
    <row r="2121" spans="1:59" ht="58" x14ac:dyDescent="0.35">
      <c r="A2121" s="2" t="s">
        <v>59</v>
      </c>
      <c r="B2121" s="2" t="s">
        <v>60</v>
      </c>
      <c r="C2121" s="2" t="s">
        <v>20736</v>
      </c>
      <c r="D2121" s="2" t="s">
        <v>20737</v>
      </c>
      <c r="E2121" s="2" t="s">
        <v>20738</v>
      </c>
      <c r="G2121" s="3" t="s">
        <v>65</v>
      </c>
      <c r="I2121" s="3" t="s">
        <v>65</v>
      </c>
      <c r="J2121" s="3" t="s">
        <v>65</v>
      </c>
      <c r="K2121" s="3" t="s">
        <v>66</v>
      </c>
      <c r="L2121" s="2" t="s">
        <v>20739</v>
      </c>
      <c r="M2121" s="2" t="s">
        <v>20740</v>
      </c>
      <c r="N2121" s="3" t="s">
        <v>1944</v>
      </c>
      <c r="P2121" s="3" t="s">
        <v>69</v>
      </c>
      <c r="Q2121" s="2" t="s">
        <v>20741</v>
      </c>
      <c r="R2121" s="3" t="s">
        <v>71</v>
      </c>
      <c r="S2121" s="4">
        <v>4</v>
      </c>
      <c r="T2121" s="4">
        <v>4</v>
      </c>
      <c r="U2121" s="5" t="s">
        <v>1871</v>
      </c>
      <c r="V2121" s="5" t="s">
        <v>1871</v>
      </c>
      <c r="W2121" s="5" t="s">
        <v>72</v>
      </c>
      <c r="X2121" s="5" t="s">
        <v>72</v>
      </c>
      <c r="Y2121" s="4">
        <v>100</v>
      </c>
      <c r="Z2121" s="4">
        <v>4</v>
      </c>
      <c r="AA2121" s="4">
        <v>4</v>
      </c>
      <c r="AB2121" s="4">
        <v>1</v>
      </c>
      <c r="AC2121" s="4">
        <v>1</v>
      </c>
      <c r="AD2121" s="4">
        <v>62</v>
      </c>
      <c r="AE2121" s="4">
        <v>62</v>
      </c>
      <c r="AF2121" s="4">
        <v>0</v>
      </c>
      <c r="AG2121" s="4">
        <v>0</v>
      </c>
      <c r="AH2121" s="4">
        <v>60</v>
      </c>
      <c r="AI2121" s="4">
        <v>60</v>
      </c>
      <c r="AJ2121" s="4">
        <v>3</v>
      </c>
      <c r="AK2121" s="4">
        <v>3</v>
      </c>
      <c r="AL2121" s="4">
        <v>35</v>
      </c>
      <c r="AM2121" s="4">
        <v>35</v>
      </c>
      <c r="AN2121" s="4">
        <v>0</v>
      </c>
      <c r="AO2121" s="4">
        <v>0</v>
      </c>
      <c r="AP2121" s="4">
        <v>3</v>
      </c>
      <c r="AQ2121" s="4">
        <v>3</v>
      </c>
      <c r="AR2121" s="3" t="s">
        <v>65</v>
      </c>
      <c r="AS2121" s="3" t="s">
        <v>65</v>
      </c>
      <c r="AT2121" s="3" t="s">
        <v>209</v>
      </c>
      <c r="AU2121" s="6" t="str">
        <f>HYPERLINK("http://catalog.hathitrust.org/Record/004115356","HathiTrust Record")</f>
        <v>HathiTrust Record</v>
      </c>
      <c r="AV2121" s="6" t="str">
        <f>HYPERLINK("http://mcgill.on.worldcat.org/oclc/42475768","Catalog Record")</f>
        <v>Catalog Record</v>
      </c>
      <c r="AW2121" s="6" t="str">
        <f>HYPERLINK("http://www.worldcat.org/oclc/42475768","WorldCat Record")</f>
        <v>WorldCat Record</v>
      </c>
      <c r="AX2121" s="3" t="s">
        <v>20742</v>
      </c>
      <c r="AY2121" s="3" t="s">
        <v>20743</v>
      </c>
      <c r="AZ2121" s="3" t="s">
        <v>20744</v>
      </c>
      <c r="BA2121" s="3" t="s">
        <v>20744</v>
      </c>
      <c r="BB2121" s="3" t="s">
        <v>20745</v>
      </c>
      <c r="BC2121" s="3" t="s">
        <v>77</v>
      </c>
      <c r="BD2121" s="3" t="s">
        <v>78</v>
      </c>
      <c r="BE2121" s="3" t="s">
        <v>20746</v>
      </c>
      <c r="BF2121" s="3" t="s">
        <v>20745</v>
      </c>
      <c r="BG2121" s="3" t="s">
        <v>20747</v>
      </c>
    </row>
    <row r="2122" spans="1:59" ht="58" x14ac:dyDescent="0.35">
      <c r="A2122" s="2" t="s">
        <v>59</v>
      </c>
      <c r="B2122" s="2" t="s">
        <v>60</v>
      </c>
      <c r="C2122" s="2" t="s">
        <v>20748</v>
      </c>
      <c r="D2122" s="2" t="s">
        <v>20749</v>
      </c>
      <c r="E2122" s="2" t="s">
        <v>20750</v>
      </c>
      <c r="G2122" s="3" t="s">
        <v>65</v>
      </c>
      <c r="I2122" s="3" t="s">
        <v>65</v>
      </c>
      <c r="J2122" s="3" t="s">
        <v>65</v>
      </c>
      <c r="K2122" s="3" t="s">
        <v>66</v>
      </c>
      <c r="L2122" s="2" t="s">
        <v>20751</v>
      </c>
      <c r="M2122" s="2" t="s">
        <v>10397</v>
      </c>
      <c r="N2122" s="3" t="s">
        <v>176</v>
      </c>
      <c r="P2122" s="3" t="s">
        <v>140</v>
      </c>
      <c r="Q2122" s="2" t="s">
        <v>20752</v>
      </c>
      <c r="R2122" s="3" t="s">
        <v>71</v>
      </c>
      <c r="S2122" s="4">
        <v>0</v>
      </c>
      <c r="T2122" s="4">
        <v>0</v>
      </c>
      <c r="W2122" s="5" t="s">
        <v>72</v>
      </c>
      <c r="X2122" s="5" t="s">
        <v>72</v>
      </c>
      <c r="Y2122" s="4">
        <v>49</v>
      </c>
      <c r="Z2122" s="4">
        <v>4</v>
      </c>
      <c r="AA2122" s="4">
        <v>4</v>
      </c>
      <c r="AB2122" s="4">
        <v>1</v>
      </c>
      <c r="AC2122" s="4">
        <v>1</v>
      </c>
      <c r="AD2122" s="4">
        <v>38</v>
      </c>
      <c r="AE2122" s="4">
        <v>38</v>
      </c>
      <c r="AF2122" s="4">
        <v>0</v>
      </c>
      <c r="AG2122" s="4">
        <v>0</v>
      </c>
      <c r="AH2122" s="4">
        <v>37</v>
      </c>
      <c r="AI2122" s="4">
        <v>37</v>
      </c>
      <c r="AJ2122" s="4">
        <v>2</v>
      </c>
      <c r="AK2122" s="4">
        <v>2</v>
      </c>
      <c r="AL2122" s="4">
        <v>29</v>
      </c>
      <c r="AM2122" s="4">
        <v>29</v>
      </c>
      <c r="AN2122" s="4">
        <v>0</v>
      </c>
      <c r="AO2122" s="4">
        <v>0</v>
      </c>
      <c r="AP2122" s="4">
        <v>2</v>
      </c>
      <c r="AQ2122" s="4">
        <v>2</v>
      </c>
      <c r="AR2122" s="3" t="s">
        <v>65</v>
      </c>
      <c r="AS2122" s="3" t="s">
        <v>65</v>
      </c>
      <c r="AT2122" s="3" t="s">
        <v>65</v>
      </c>
      <c r="AV2122" s="6" t="str">
        <f>HYPERLINK("http://mcgill.on.worldcat.org/oclc/909277985","Catalog Record")</f>
        <v>Catalog Record</v>
      </c>
      <c r="AW2122" s="6" t="str">
        <f>HYPERLINK("http://www.worldcat.org/oclc/909277985","WorldCat Record")</f>
        <v>WorldCat Record</v>
      </c>
      <c r="AX2122" s="3" t="s">
        <v>20753</v>
      </c>
      <c r="AY2122" s="3" t="s">
        <v>20754</v>
      </c>
      <c r="AZ2122" s="3" t="s">
        <v>20755</v>
      </c>
      <c r="BA2122" s="3" t="s">
        <v>20755</v>
      </c>
      <c r="BB2122" s="3" t="s">
        <v>20756</v>
      </c>
      <c r="BC2122" s="3" t="s">
        <v>77</v>
      </c>
      <c r="BD2122" s="3" t="s">
        <v>78</v>
      </c>
      <c r="BE2122" s="3" t="s">
        <v>20757</v>
      </c>
      <c r="BF2122" s="3" t="s">
        <v>20756</v>
      </c>
      <c r="BG2122" s="3" t="s">
        <v>20758</v>
      </c>
    </row>
    <row r="2123" spans="1:59" ht="58" x14ac:dyDescent="0.35">
      <c r="A2123" s="2" t="s">
        <v>59</v>
      </c>
      <c r="B2123" s="2" t="s">
        <v>60</v>
      </c>
      <c r="C2123" s="2" t="s">
        <v>20759</v>
      </c>
      <c r="D2123" s="2" t="s">
        <v>20760</v>
      </c>
      <c r="E2123" s="2" t="s">
        <v>20761</v>
      </c>
      <c r="G2123" s="3" t="s">
        <v>65</v>
      </c>
      <c r="I2123" s="3" t="s">
        <v>65</v>
      </c>
      <c r="J2123" s="3" t="s">
        <v>65</v>
      </c>
      <c r="K2123" s="3" t="s">
        <v>66</v>
      </c>
      <c r="L2123" s="2" t="s">
        <v>20762</v>
      </c>
      <c r="M2123" s="2" t="s">
        <v>20763</v>
      </c>
      <c r="N2123" s="3" t="s">
        <v>176</v>
      </c>
      <c r="O2123" s="2" t="s">
        <v>12101</v>
      </c>
      <c r="P2123" s="3" t="s">
        <v>140</v>
      </c>
      <c r="Q2123" s="2" t="s">
        <v>20764</v>
      </c>
      <c r="R2123" s="3" t="s">
        <v>71</v>
      </c>
      <c r="S2123" s="4">
        <v>0</v>
      </c>
      <c r="T2123" s="4">
        <v>0</v>
      </c>
      <c r="W2123" s="5" t="s">
        <v>72</v>
      </c>
      <c r="X2123" s="5" t="s">
        <v>72</v>
      </c>
      <c r="Y2123" s="4">
        <v>44</v>
      </c>
      <c r="Z2123" s="4">
        <v>4</v>
      </c>
      <c r="AA2123" s="4">
        <v>4</v>
      </c>
      <c r="AB2123" s="4">
        <v>1</v>
      </c>
      <c r="AC2123" s="4">
        <v>1</v>
      </c>
      <c r="AD2123" s="4">
        <v>32</v>
      </c>
      <c r="AE2123" s="4">
        <v>32</v>
      </c>
      <c r="AF2123" s="4">
        <v>0</v>
      </c>
      <c r="AG2123" s="4">
        <v>0</v>
      </c>
      <c r="AH2123" s="4">
        <v>31</v>
      </c>
      <c r="AI2123" s="4">
        <v>31</v>
      </c>
      <c r="AJ2123" s="4">
        <v>2</v>
      </c>
      <c r="AK2123" s="4">
        <v>2</v>
      </c>
      <c r="AL2123" s="4">
        <v>25</v>
      </c>
      <c r="AM2123" s="4">
        <v>25</v>
      </c>
      <c r="AN2123" s="4">
        <v>0</v>
      </c>
      <c r="AO2123" s="4">
        <v>0</v>
      </c>
      <c r="AP2123" s="4">
        <v>2</v>
      </c>
      <c r="AQ2123" s="4">
        <v>2</v>
      </c>
      <c r="AR2123" s="3" t="s">
        <v>65</v>
      </c>
      <c r="AS2123" s="3" t="s">
        <v>65</v>
      </c>
      <c r="AT2123" s="3" t="s">
        <v>65</v>
      </c>
      <c r="AV2123" s="6" t="str">
        <f>HYPERLINK("http://mcgill.on.worldcat.org/oclc/903598993","Catalog Record")</f>
        <v>Catalog Record</v>
      </c>
      <c r="AW2123" s="6" t="str">
        <f>HYPERLINK("http://www.worldcat.org/oclc/903598993","WorldCat Record")</f>
        <v>WorldCat Record</v>
      </c>
      <c r="AX2123" s="3" t="s">
        <v>20765</v>
      </c>
      <c r="AY2123" s="3" t="s">
        <v>20766</v>
      </c>
      <c r="AZ2123" s="3" t="s">
        <v>20767</v>
      </c>
      <c r="BA2123" s="3" t="s">
        <v>20767</v>
      </c>
      <c r="BB2123" s="3" t="s">
        <v>20768</v>
      </c>
      <c r="BC2123" s="3" t="s">
        <v>77</v>
      </c>
      <c r="BD2123" s="3" t="s">
        <v>78</v>
      </c>
      <c r="BE2123" s="3" t="s">
        <v>20769</v>
      </c>
      <c r="BF2123" s="3" t="s">
        <v>20768</v>
      </c>
      <c r="BG2123" s="3" t="s">
        <v>20770</v>
      </c>
    </row>
    <row r="2124" spans="1:59" ht="87" x14ac:dyDescent="0.35">
      <c r="A2124" s="2" t="s">
        <v>59</v>
      </c>
      <c r="B2124" s="2" t="s">
        <v>60</v>
      </c>
      <c r="C2124" s="2" t="s">
        <v>20771</v>
      </c>
      <c r="D2124" s="2" t="s">
        <v>20772</v>
      </c>
      <c r="E2124" s="2" t="s">
        <v>20773</v>
      </c>
      <c r="G2124" s="3" t="s">
        <v>65</v>
      </c>
      <c r="I2124" s="3" t="s">
        <v>65</v>
      </c>
      <c r="J2124" s="3" t="s">
        <v>65</v>
      </c>
      <c r="K2124" s="3" t="s">
        <v>66</v>
      </c>
      <c r="L2124" s="2" t="s">
        <v>20774</v>
      </c>
      <c r="M2124" s="2" t="s">
        <v>20775</v>
      </c>
      <c r="N2124" s="3" t="s">
        <v>113</v>
      </c>
      <c r="P2124" s="3" t="s">
        <v>140</v>
      </c>
      <c r="Q2124" s="2" t="s">
        <v>20776</v>
      </c>
      <c r="R2124" s="3" t="s">
        <v>71</v>
      </c>
      <c r="S2124" s="4">
        <v>0</v>
      </c>
      <c r="T2124" s="4">
        <v>0</v>
      </c>
      <c r="W2124" s="5" t="s">
        <v>72</v>
      </c>
      <c r="X2124" s="5" t="s">
        <v>72</v>
      </c>
      <c r="Y2124" s="4">
        <v>17</v>
      </c>
      <c r="Z2124" s="4">
        <v>3</v>
      </c>
      <c r="AA2124" s="4">
        <v>3</v>
      </c>
      <c r="AB2124" s="4">
        <v>1</v>
      </c>
      <c r="AC2124" s="4">
        <v>1</v>
      </c>
      <c r="AD2124" s="4">
        <v>13</v>
      </c>
      <c r="AE2124" s="4">
        <v>19</v>
      </c>
      <c r="AF2124" s="4">
        <v>0</v>
      </c>
      <c r="AG2124" s="4">
        <v>0</v>
      </c>
      <c r="AH2124" s="4">
        <v>13</v>
      </c>
      <c r="AI2124" s="4">
        <v>18</v>
      </c>
      <c r="AJ2124" s="4">
        <v>1</v>
      </c>
      <c r="AK2124" s="4">
        <v>1</v>
      </c>
      <c r="AL2124" s="4">
        <v>8</v>
      </c>
      <c r="AM2124" s="4">
        <v>14</v>
      </c>
      <c r="AN2124" s="4">
        <v>0</v>
      </c>
      <c r="AO2124" s="4">
        <v>0</v>
      </c>
      <c r="AP2124" s="4">
        <v>1</v>
      </c>
      <c r="AQ2124" s="4">
        <v>1</v>
      </c>
      <c r="AR2124" s="3" t="s">
        <v>65</v>
      </c>
      <c r="AS2124" s="3" t="s">
        <v>65</v>
      </c>
      <c r="AT2124" s="3" t="s">
        <v>65</v>
      </c>
      <c r="AV2124" s="6" t="str">
        <f>HYPERLINK("http://mcgill.on.worldcat.org/oclc/775410794","Catalog Record")</f>
        <v>Catalog Record</v>
      </c>
      <c r="AW2124" s="6" t="str">
        <f>HYPERLINK("http://www.worldcat.org/oclc/775410794","WorldCat Record")</f>
        <v>WorldCat Record</v>
      </c>
      <c r="AX2124" s="3" t="s">
        <v>20777</v>
      </c>
      <c r="AY2124" s="3" t="s">
        <v>20778</v>
      </c>
      <c r="AZ2124" s="3" t="s">
        <v>20779</v>
      </c>
      <c r="BA2124" s="3" t="s">
        <v>20779</v>
      </c>
      <c r="BB2124" s="3" t="s">
        <v>20780</v>
      </c>
      <c r="BC2124" s="3" t="s">
        <v>77</v>
      </c>
      <c r="BD2124" s="3" t="s">
        <v>78</v>
      </c>
      <c r="BF2124" s="3" t="s">
        <v>20780</v>
      </c>
      <c r="BG2124" s="3" t="s">
        <v>20781</v>
      </c>
    </row>
    <row r="2125" spans="1:59" ht="58" x14ac:dyDescent="0.35">
      <c r="A2125" s="2" t="s">
        <v>59</v>
      </c>
      <c r="B2125" s="2" t="s">
        <v>60</v>
      </c>
      <c r="C2125" s="2" t="s">
        <v>20782</v>
      </c>
      <c r="D2125" s="2" t="s">
        <v>20783</v>
      </c>
      <c r="E2125" s="2" t="s">
        <v>20784</v>
      </c>
      <c r="G2125" s="3" t="s">
        <v>65</v>
      </c>
      <c r="I2125" s="3" t="s">
        <v>65</v>
      </c>
      <c r="J2125" s="3" t="s">
        <v>65</v>
      </c>
      <c r="K2125" s="3" t="s">
        <v>66</v>
      </c>
      <c r="L2125" s="2" t="s">
        <v>20785</v>
      </c>
      <c r="M2125" s="2" t="s">
        <v>20786</v>
      </c>
      <c r="N2125" s="3" t="s">
        <v>139</v>
      </c>
      <c r="P2125" s="3" t="s">
        <v>140</v>
      </c>
      <c r="Q2125" s="2" t="s">
        <v>20787</v>
      </c>
      <c r="R2125" s="3" t="s">
        <v>71</v>
      </c>
      <c r="S2125" s="4">
        <v>0</v>
      </c>
      <c r="T2125" s="4">
        <v>0</v>
      </c>
      <c r="W2125" s="5" t="s">
        <v>72</v>
      </c>
      <c r="X2125" s="5" t="s">
        <v>72</v>
      </c>
      <c r="Y2125" s="4">
        <v>25</v>
      </c>
      <c r="Z2125" s="4">
        <v>3</v>
      </c>
      <c r="AA2125" s="4">
        <v>3</v>
      </c>
      <c r="AB2125" s="4">
        <v>1</v>
      </c>
      <c r="AC2125" s="4">
        <v>1</v>
      </c>
      <c r="AD2125" s="4">
        <v>16</v>
      </c>
      <c r="AE2125" s="4">
        <v>16</v>
      </c>
      <c r="AF2125" s="4">
        <v>0</v>
      </c>
      <c r="AG2125" s="4">
        <v>0</v>
      </c>
      <c r="AH2125" s="4">
        <v>15</v>
      </c>
      <c r="AI2125" s="4">
        <v>15</v>
      </c>
      <c r="AJ2125" s="4">
        <v>1</v>
      </c>
      <c r="AK2125" s="4">
        <v>1</v>
      </c>
      <c r="AL2125" s="4">
        <v>13</v>
      </c>
      <c r="AM2125" s="4">
        <v>13</v>
      </c>
      <c r="AN2125" s="4">
        <v>0</v>
      </c>
      <c r="AO2125" s="4">
        <v>0</v>
      </c>
      <c r="AP2125" s="4">
        <v>1</v>
      </c>
      <c r="AQ2125" s="4">
        <v>1</v>
      </c>
      <c r="AR2125" s="3" t="s">
        <v>65</v>
      </c>
      <c r="AS2125" s="3" t="s">
        <v>65</v>
      </c>
      <c r="AT2125" s="3" t="s">
        <v>65</v>
      </c>
      <c r="AV2125" s="6" t="str">
        <f>HYPERLINK("http://mcgill.on.worldcat.org/oclc/828889427","Catalog Record")</f>
        <v>Catalog Record</v>
      </c>
      <c r="AW2125" s="6" t="str">
        <f>HYPERLINK("http://www.worldcat.org/oclc/828889427","WorldCat Record")</f>
        <v>WorldCat Record</v>
      </c>
      <c r="AX2125" s="3" t="s">
        <v>20788</v>
      </c>
      <c r="AY2125" s="3" t="s">
        <v>20789</v>
      </c>
      <c r="AZ2125" s="3" t="s">
        <v>20790</v>
      </c>
      <c r="BA2125" s="3" t="s">
        <v>20790</v>
      </c>
      <c r="BB2125" s="3" t="s">
        <v>20791</v>
      </c>
      <c r="BC2125" s="3" t="s">
        <v>77</v>
      </c>
      <c r="BD2125" s="3" t="s">
        <v>78</v>
      </c>
      <c r="BE2125" s="3" t="s">
        <v>20792</v>
      </c>
      <c r="BF2125" s="3" t="s">
        <v>20791</v>
      </c>
      <c r="BG2125" s="3" t="s">
        <v>20793</v>
      </c>
    </row>
    <row r="2126" spans="1:59" ht="58" x14ac:dyDescent="0.35">
      <c r="A2126" s="2" t="s">
        <v>59</v>
      </c>
      <c r="B2126" s="2" t="s">
        <v>60</v>
      </c>
      <c r="C2126" s="2" t="s">
        <v>20794</v>
      </c>
      <c r="D2126" s="2" t="s">
        <v>20795</v>
      </c>
      <c r="E2126" s="2" t="s">
        <v>20796</v>
      </c>
      <c r="G2126" s="3" t="s">
        <v>65</v>
      </c>
      <c r="I2126" s="3" t="s">
        <v>65</v>
      </c>
      <c r="J2126" s="3" t="s">
        <v>65</v>
      </c>
      <c r="K2126" s="3" t="s">
        <v>66</v>
      </c>
      <c r="M2126" s="2" t="s">
        <v>20797</v>
      </c>
      <c r="N2126" s="3" t="s">
        <v>139</v>
      </c>
      <c r="P2126" s="3" t="s">
        <v>140</v>
      </c>
      <c r="Q2126" s="2" t="s">
        <v>20798</v>
      </c>
      <c r="R2126" s="3" t="s">
        <v>71</v>
      </c>
      <c r="S2126" s="4">
        <v>0</v>
      </c>
      <c r="T2126" s="4">
        <v>0</v>
      </c>
      <c r="W2126" s="5" t="s">
        <v>72</v>
      </c>
      <c r="X2126" s="5" t="s">
        <v>72</v>
      </c>
      <c r="Y2126" s="4">
        <v>40</v>
      </c>
      <c r="Z2126" s="4">
        <v>4</v>
      </c>
      <c r="AA2126" s="4">
        <v>4</v>
      </c>
      <c r="AB2126" s="4">
        <v>1</v>
      </c>
      <c r="AC2126" s="4">
        <v>1</v>
      </c>
      <c r="AD2126" s="4">
        <v>27</v>
      </c>
      <c r="AE2126" s="4">
        <v>27</v>
      </c>
      <c r="AF2126" s="4">
        <v>0</v>
      </c>
      <c r="AG2126" s="4">
        <v>0</v>
      </c>
      <c r="AH2126" s="4">
        <v>26</v>
      </c>
      <c r="AI2126" s="4">
        <v>26</v>
      </c>
      <c r="AJ2126" s="4">
        <v>2</v>
      </c>
      <c r="AK2126" s="4">
        <v>2</v>
      </c>
      <c r="AL2126" s="4">
        <v>21</v>
      </c>
      <c r="AM2126" s="4">
        <v>21</v>
      </c>
      <c r="AN2126" s="4">
        <v>0</v>
      </c>
      <c r="AO2126" s="4">
        <v>0</v>
      </c>
      <c r="AP2126" s="4">
        <v>2</v>
      </c>
      <c r="AQ2126" s="4">
        <v>2</v>
      </c>
      <c r="AR2126" s="3" t="s">
        <v>65</v>
      </c>
      <c r="AS2126" s="3" t="s">
        <v>65</v>
      </c>
      <c r="AT2126" s="3" t="s">
        <v>65</v>
      </c>
      <c r="AV2126" s="6" t="str">
        <f>HYPERLINK("http://mcgill.on.worldcat.org/oclc/798609766","Catalog Record")</f>
        <v>Catalog Record</v>
      </c>
      <c r="AW2126" s="6" t="str">
        <f>HYPERLINK("http://www.worldcat.org/oclc/798609766","WorldCat Record")</f>
        <v>WorldCat Record</v>
      </c>
      <c r="AX2126" s="3" t="s">
        <v>20799</v>
      </c>
      <c r="AY2126" s="3" t="s">
        <v>20800</v>
      </c>
      <c r="AZ2126" s="3" t="s">
        <v>20801</v>
      </c>
      <c r="BA2126" s="3" t="s">
        <v>20801</v>
      </c>
      <c r="BB2126" s="3" t="s">
        <v>20802</v>
      </c>
      <c r="BC2126" s="3" t="s">
        <v>77</v>
      </c>
      <c r="BD2126" s="3" t="s">
        <v>78</v>
      </c>
      <c r="BE2126" s="3" t="s">
        <v>20803</v>
      </c>
      <c r="BF2126" s="3" t="s">
        <v>20802</v>
      </c>
      <c r="BG2126" s="3" t="s">
        <v>20804</v>
      </c>
    </row>
    <row r="2127" spans="1:59" ht="58" x14ac:dyDescent="0.35">
      <c r="A2127" s="2" t="s">
        <v>59</v>
      </c>
      <c r="B2127" s="2" t="s">
        <v>60</v>
      </c>
      <c r="C2127" s="2" t="s">
        <v>20805</v>
      </c>
      <c r="D2127" s="2" t="s">
        <v>20806</v>
      </c>
      <c r="E2127" s="2" t="s">
        <v>20807</v>
      </c>
      <c r="G2127" s="3" t="s">
        <v>65</v>
      </c>
      <c r="I2127" s="3" t="s">
        <v>65</v>
      </c>
      <c r="J2127" s="3" t="s">
        <v>65</v>
      </c>
      <c r="K2127" s="3" t="s">
        <v>66</v>
      </c>
      <c r="M2127" s="2" t="s">
        <v>20808</v>
      </c>
      <c r="N2127" s="3" t="s">
        <v>1122</v>
      </c>
      <c r="P2127" s="3" t="s">
        <v>69</v>
      </c>
      <c r="Q2127" s="2" t="s">
        <v>20809</v>
      </c>
      <c r="R2127" s="3" t="s">
        <v>71</v>
      </c>
      <c r="S2127" s="4">
        <v>1</v>
      </c>
      <c r="T2127" s="4">
        <v>1</v>
      </c>
      <c r="U2127" s="5" t="s">
        <v>15733</v>
      </c>
      <c r="V2127" s="5" t="s">
        <v>15733</v>
      </c>
      <c r="W2127" s="5" t="s">
        <v>72</v>
      </c>
      <c r="X2127" s="5" t="s">
        <v>72</v>
      </c>
      <c r="Y2127" s="4">
        <v>28</v>
      </c>
      <c r="Z2127" s="4">
        <v>14</v>
      </c>
      <c r="AA2127" s="4">
        <v>14</v>
      </c>
      <c r="AB2127" s="4">
        <v>2</v>
      </c>
      <c r="AC2127" s="4">
        <v>2</v>
      </c>
      <c r="AD2127" s="4">
        <v>18</v>
      </c>
      <c r="AE2127" s="4">
        <v>18</v>
      </c>
      <c r="AF2127" s="4">
        <v>0</v>
      </c>
      <c r="AG2127" s="4">
        <v>0</v>
      </c>
      <c r="AH2127" s="4">
        <v>14</v>
      </c>
      <c r="AI2127" s="4">
        <v>14</v>
      </c>
      <c r="AJ2127" s="4">
        <v>10</v>
      </c>
      <c r="AK2127" s="4">
        <v>10</v>
      </c>
      <c r="AL2127" s="4">
        <v>6</v>
      </c>
      <c r="AM2127" s="4">
        <v>6</v>
      </c>
      <c r="AN2127" s="4">
        <v>0</v>
      </c>
      <c r="AO2127" s="4">
        <v>0</v>
      </c>
      <c r="AP2127" s="4">
        <v>9</v>
      </c>
      <c r="AQ2127" s="4">
        <v>9</v>
      </c>
      <c r="AR2127" s="3" t="s">
        <v>65</v>
      </c>
      <c r="AS2127" s="3" t="s">
        <v>65</v>
      </c>
      <c r="AT2127" s="3" t="s">
        <v>65</v>
      </c>
      <c r="AV2127" s="6" t="str">
        <f>HYPERLINK("http://mcgill.on.worldcat.org/oclc/316666719","Catalog Record")</f>
        <v>Catalog Record</v>
      </c>
      <c r="AW2127" s="6" t="str">
        <f>HYPERLINK("http://www.worldcat.org/oclc/316666719","WorldCat Record")</f>
        <v>WorldCat Record</v>
      </c>
      <c r="AX2127" s="3" t="s">
        <v>20810</v>
      </c>
      <c r="AY2127" s="3" t="s">
        <v>20811</v>
      </c>
      <c r="AZ2127" s="3" t="s">
        <v>20812</v>
      </c>
      <c r="BA2127" s="3" t="s">
        <v>20812</v>
      </c>
      <c r="BB2127" s="3" t="s">
        <v>20813</v>
      </c>
      <c r="BC2127" s="3" t="s">
        <v>77</v>
      </c>
      <c r="BD2127" s="3" t="s">
        <v>78</v>
      </c>
      <c r="BE2127" s="3" t="s">
        <v>20814</v>
      </c>
      <c r="BF2127" s="3" t="s">
        <v>20813</v>
      </c>
      <c r="BG2127" s="3" t="s">
        <v>20815</v>
      </c>
    </row>
    <row r="2128" spans="1:59" ht="58" x14ac:dyDescent="0.35">
      <c r="A2128" s="2" t="s">
        <v>59</v>
      </c>
      <c r="B2128" s="2" t="s">
        <v>60</v>
      </c>
      <c r="C2128" s="2" t="s">
        <v>20816</v>
      </c>
      <c r="D2128" s="2" t="s">
        <v>20817</v>
      </c>
      <c r="E2128" s="2" t="s">
        <v>20818</v>
      </c>
      <c r="G2128" s="3" t="s">
        <v>65</v>
      </c>
      <c r="I2128" s="3" t="s">
        <v>65</v>
      </c>
      <c r="J2128" s="3" t="s">
        <v>65</v>
      </c>
      <c r="K2128" s="3" t="s">
        <v>66</v>
      </c>
      <c r="L2128" s="2" t="s">
        <v>20819</v>
      </c>
      <c r="M2128" s="2" t="s">
        <v>20820</v>
      </c>
      <c r="N2128" s="3" t="s">
        <v>265</v>
      </c>
      <c r="O2128" s="2" t="s">
        <v>12101</v>
      </c>
      <c r="P2128" s="3" t="s">
        <v>140</v>
      </c>
      <c r="Q2128" s="2" t="s">
        <v>20821</v>
      </c>
      <c r="R2128" s="3" t="s">
        <v>71</v>
      </c>
      <c r="S2128" s="4">
        <v>0</v>
      </c>
      <c r="T2128" s="4">
        <v>0</v>
      </c>
      <c r="W2128" s="5" t="s">
        <v>266</v>
      </c>
      <c r="X2128" s="5" t="s">
        <v>266</v>
      </c>
      <c r="Y2128" s="4">
        <v>19</v>
      </c>
      <c r="Z2128" s="4">
        <v>1</v>
      </c>
      <c r="AA2128" s="4">
        <v>1</v>
      </c>
      <c r="AB2128" s="4">
        <v>1</v>
      </c>
      <c r="AC2128" s="4">
        <v>1</v>
      </c>
      <c r="AD2128" s="4">
        <v>16</v>
      </c>
      <c r="AE2128" s="4">
        <v>16</v>
      </c>
      <c r="AF2128" s="4">
        <v>0</v>
      </c>
      <c r="AG2128" s="4">
        <v>0</v>
      </c>
      <c r="AH2128" s="4">
        <v>15</v>
      </c>
      <c r="AI2128" s="4">
        <v>15</v>
      </c>
      <c r="AJ2128" s="4">
        <v>0</v>
      </c>
      <c r="AK2128" s="4">
        <v>0</v>
      </c>
      <c r="AL2128" s="4">
        <v>14</v>
      </c>
      <c r="AM2128" s="4">
        <v>14</v>
      </c>
      <c r="AN2128" s="4">
        <v>0</v>
      </c>
      <c r="AO2128" s="4">
        <v>0</v>
      </c>
      <c r="AP2128" s="4">
        <v>0</v>
      </c>
      <c r="AQ2128" s="4">
        <v>0</v>
      </c>
      <c r="AR2128" s="3" t="s">
        <v>65</v>
      </c>
      <c r="AS2128" s="3" t="s">
        <v>65</v>
      </c>
      <c r="AT2128" s="3" t="s">
        <v>65</v>
      </c>
      <c r="AV2128" s="6" t="str">
        <f>HYPERLINK("http://mcgill.on.worldcat.org/oclc/1129100732","Catalog Record")</f>
        <v>Catalog Record</v>
      </c>
      <c r="AW2128" s="6" t="str">
        <f>HYPERLINK("http://www.worldcat.org/oclc/1129100732","WorldCat Record")</f>
        <v>WorldCat Record</v>
      </c>
      <c r="AX2128" s="3" t="s">
        <v>20822</v>
      </c>
      <c r="AY2128" s="3" t="s">
        <v>20823</v>
      </c>
      <c r="AZ2128" s="3" t="s">
        <v>20824</v>
      </c>
      <c r="BA2128" s="3" t="s">
        <v>20824</v>
      </c>
      <c r="BB2128" s="3" t="s">
        <v>20825</v>
      </c>
      <c r="BC2128" s="3" t="s">
        <v>77</v>
      </c>
      <c r="BD2128" s="3" t="s">
        <v>78</v>
      </c>
      <c r="BE2128" s="3" t="s">
        <v>20826</v>
      </c>
      <c r="BF2128" s="3" t="s">
        <v>20825</v>
      </c>
      <c r="BG2128" s="3" t="s">
        <v>20827</v>
      </c>
    </row>
    <row r="2129" spans="1:59" ht="58" x14ac:dyDescent="0.35">
      <c r="A2129" s="2" t="s">
        <v>59</v>
      </c>
      <c r="B2129" s="2" t="s">
        <v>60</v>
      </c>
      <c r="C2129" s="2" t="s">
        <v>20828</v>
      </c>
      <c r="D2129" s="2" t="s">
        <v>20829</v>
      </c>
      <c r="E2129" s="2" t="s">
        <v>20830</v>
      </c>
      <c r="G2129" s="3" t="s">
        <v>65</v>
      </c>
      <c r="I2129" s="3" t="s">
        <v>65</v>
      </c>
      <c r="J2129" s="3" t="s">
        <v>65</v>
      </c>
      <c r="K2129" s="3" t="s">
        <v>66</v>
      </c>
      <c r="L2129" s="2" t="s">
        <v>20831</v>
      </c>
      <c r="M2129" s="2" t="s">
        <v>20832</v>
      </c>
      <c r="N2129" s="3" t="s">
        <v>188</v>
      </c>
      <c r="O2129" s="2" t="s">
        <v>1410</v>
      </c>
      <c r="P2129" s="3" t="s">
        <v>140</v>
      </c>
      <c r="Q2129" s="2" t="s">
        <v>20833</v>
      </c>
      <c r="R2129" s="3" t="s">
        <v>71</v>
      </c>
      <c r="S2129" s="4">
        <v>0</v>
      </c>
      <c r="T2129" s="4">
        <v>0</v>
      </c>
      <c r="W2129" s="5" t="s">
        <v>72</v>
      </c>
      <c r="X2129" s="5" t="s">
        <v>72</v>
      </c>
      <c r="Y2129" s="4">
        <v>30</v>
      </c>
      <c r="Z2129" s="4">
        <v>2</v>
      </c>
      <c r="AA2129" s="4">
        <v>2</v>
      </c>
      <c r="AB2129" s="4">
        <v>1</v>
      </c>
      <c r="AC2129" s="4">
        <v>1</v>
      </c>
      <c r="AD2129" s="4">
        <v>22</v>
      </c>
      <c r="AE2129" s="4">
        <v>22</v>
      </c>
      <c r="AF2129" s="4">
        <v>0</v>
      </c>
      <c r="AG2129" s="4">
        <v>0</v>
      </c>
      <c r="AH2129" s="4">
        <v>21</v>
      </c>
      <c r="AI2129" s="4">
        <v>21</v>
      </c>
      <c r="AJ2129" s="4">
        <v>1</v>
      </c>
      <c r="AK2129" s="4">
        <v>1</v>
      </c>
      <c r="AL2129" s="4">
        <v>16</v>
      </c>
      <c r="AM2129" s="4">
        <v>16</v>
      </c>
      <c r="AN2129" s="4">
        <v>0</v>
      </c>
      <c r="AO2129" s="4">
        <v>0</v>
      </c>
      <c r="AP2129" s="4">
        <v>1</v>
      </c>
      <c r="AQ2129" s="4">
        <v>1</v>
      </c>
      <c r="AR2129" s="3" t="s">
        <v>65</v>
      </c>
      <c r="AS2129" s="3" t="s">
        <v>65</v>
      </c>
      <c r="AT2129" s="3" t="s">
        <v>65</v>
      </c>
      <c r="AV2129" s="6" t="str">
        <f>HYPERLINK("http://mcgill.on.worldcat.org/oclc/994730117","Catalog Record")</f>
        <v>Catalog Record</v>
      </c>
      <c r="AW2129" s="6" t="str">
        <f>HYPERLINK("http://www.worldcat.org/oclc/994730117","WorldCat Record")</f>
        <v>WorldCat Record</v>
      </c>
      <c r="AX2129" s="3" t="s">
        <v>20834</v>
      </c>
      <c r="AY2129" s="3" t="s">
        <v>20835</v>
      </c>
      <c r="AZ2129" s="3" t="s">
        <v>20836</v>
      </c>
      <c r="BA2129" s="3" t="s">
        <v>20836</v>
      </c>
      <c r="BB2129" s="3" t="s">
        <v>20837</v>
      </c>
      <c r="BC2129" s="3" t="s">
        <v>77</v>
      </c>
      <c r="BD2129" s="3" t="s">
        <v>78</v>
      </c>
      <c r="BE2129" s="3" t="s">
        <v>20838</v>
      </c>
      <c r="BF2129" s="3" t="s">
        <v>20837</v>
      </c>
      <c r="BG2129" s="3" t="s">
        <v>20839</v>
      </c>
    </row>
    <row r="2130" spans="1:59" ht="58" x14ac:dyDescent="0.35">
      <c r="A2130" s="2" t="s">
        <v>59</v>
      </c>
      <c r="B2130" s="2" t="s">
        <v>60</v>
      </c>
      <c r="C2130" s="2" t="s">
        <v>20840</v>
      </c>
      <c r="D2130" s="2" t="s">
        <v>20841</v>
      </c>
      <c r="E2130" s="2" t="s">
        <v>20842</v>
      </c>
      <c r="G2130" s="3" t="s">
        <v>65</v>
      </c>
      <c r="I2130" s="3" t="s">
        <v>65</v>
      </c>
      <c r="J2130" s="3" t="s">
        <v>65</v>
      </c>
      <c r="K2130" s="3" t="s">
        <v>66</v>
      </c>
      <c r="L2130" s="2" t="s">
        <v>20843</v>
      </c>
      <c r="M2130" s="2" t="s">
        <v>20844</v>
      </c>
      <c r="N2130" s="3" t="s">
        <v>164</v>
      </c>
      <c r="P2130" s="3" t="s">
        <v>140</v>
      </c>
      <c r="Q2130" s="2" t="s">
        <v>20845</v>
      </c>
      <c r="R2130" s="3" t="s">
        <v>71</v>
      </c>
      <c r="S2130" s="4">
        <v>1</v>
      </c>
      <c r="T2130" s="4">
        <v>1</v>
      </c>
      <c r="W2130" s="5" t="s">
        <v>72</v>
      </c>
      <c r="X2130" s="5" t="s">
        <v>72</v>
      </c>
      <c r="Y2130" s="4">
        <v>31</v>
      </c>
      <c r="Z2130" s="4">
        <v>3</v>
      </c>
      <c r="AA2130" s="4">
        <v>5</v>
      </c>
      <c r="AB2130" s="4">
        <v>1</v>
      </c>
      <c r="AC2130" s="4">
        <v>1</v>
      </c>
      <c r="AD2130" s="4">
        <v>21</v>
      </c>
      <c r="AE2130" s="4">
        <v>23</v>
      </c>
      <c r="AF2130" s="4">
        <v>0</v>
      </c>
      <c r="AG2130" s="4">
        <v>0</v>
      </c>
      <c r="AH2130" s="4">
        <v>20</v>
      </c>
      <c r="AI2130" s="4">
        <v>22</v>
      </c>
      <c r="AJ2130" s="4">
        <v>1</v>
      </c>
      <c r="AK2130" s="4">
        <v>2</v>
      </c>
      <c r="AL2130" s="4">
        <v>16</v>
      </c>
      <c r="AM2130" s="4">
        <v>17</v>
      </c>
      <c r="AN2130" s="4">
        <v>0</v>
      </c>
      <c r="AO2130" s="4">
        <v>0</v>
      </c>
      <c r="AP2130" s="4">
        <v>1</v>
      </c>
      <c r="AQ2130" s="4">
        <v>2</v>
      </c>
      <c r="AR2130" s="3" t="s">
        <v>65</v>
      </c>
      <c r="AS2130" s="3" t="s">
        <v>65</v>
      </c>
      <c r="AT2130" s="3" t="s">
        <v>65</v>
      </c>
      <c r="AV2130" s="6" t="str">
        <f>HYPERLINK("http://mcgill.on.worldcat.org/oclc/902638972","Catalog Record")</f>
        <v>Catalog Record</v>
      </c>
      <c r="AW2130" s="6" t="str">
        <f>HYPERLINK("http://www.worldcat.org/oclc/902638972","WorldCat Record")</f>
        <v>WorldCat Record</v>
      </c>
      <c r="AX2130" s="3" t="s">
        <v>20846</v>
      </c>
      <c r="AY2130" s="3" t="s">
        <v>20847</v>
      </c>
      <c r="AZ2130" s="3" t="s">
        <v>20848</v>
      </c>
      <c r="BA2130" s="3" t="s">
        <v>20848</v>
      </c>
      <c r="BB2130" s="3" t="s">
        <v>20849</v>
      </c>
      <c r="BC2130" s="3" t="s">
        <v>77</v>
      </c>
      <c r="BD2130" s="3" t="s">
        <v>106</v>
      </c>
      <c r="BE2130" s="3" t="s">
        <v>20850</v>
      </c>
      <c r="BF2130" s="3" t="s">
        <v>20849</v>
      </c>
      <c r="BG2130" s="3" t="s">
        <v>20851</v>
      </c>
    </row>
    <row r="2131" spans="1:59" ht="58" x14ac:dyDescent="0.35">
      <c r="A2131" s="2" t="s">
        <v>59</v>
      </c>
      <c r="B2131" s="2" t="s">
        <v>60</v>
      </c>
      <c r="C2131" s="2" t="s">
        <v>20852</v>
      </c>
      <c r="D2131" s="2" t="s">
        <v>20853</v>
      </c>
      <c r="E2131" s="2" t="s">
        <v>20854</v>
      </c>
      <c r="G2131" s="3" t="s">
        <v>65</v>
      </c>
      <c r="I2131" s="3" t="s">
        <v>65</v>
      </c>
      <c r="J2131" s="3" t="s">
        <v>65</v>
      </c>
      <c r="K2131" s="3" t="s">
        <v>66</v>
      </c>
      <c r="L2131" s="2" t="s">
        <v>20855</v>
      </c>
      <c r="M2131" s="2" t="s">
        <v>20856</v>
      </c>
      <c r="N2131" s="3" t="s">
        <v>113</v>
      </c>
      <c r="P2131" s="3" t="s">
        <v>140</v>
      </c>
      <c r="Q2131" s="2" t="s">
        <v>20857</v>
      </c>
      <c r="R2131" s="3" t="s">
        <v>71</v>
      </c>
      <c r="S2131" s="4">
        <v>0</v>
      </c>
      <c r="T2131" s="4">
        <v>0</v>
      </c>
      <c r="W2131" s="5" t="s">
        <v>72</v>
      </c>
      <c r="X2131" s="5" t="s">
        <v>72</v>
      </c>
      <c r="Y2131" s="4">
        <v>36</v>
      </c>
      <c r="Z2131" s="4">
        <v>3</v>
      </c>
      <c r="AA2131" s="4">
        <v>3</v>
      </c>
      <c r="AB2131" s="4">
        <v>1</v>
      </c>
      <c r="AC2131" s="4">
        <v>1</v>
      </c>
      <c r="AD2131" s="4">
        <v>28</v>
      </c>
      <c r="AE2131" s="4">
        <v>28</v>
      </c>
      <c r="AF2131" s="4">
        <v>0</v>
      </c>
      <c r="AG2131" s="4">
        <v>0</v>
      </c>
      <c r="AH2131" s="4">
        <v>27</v>
      </c>
      <c r="AI2131" s="4">
        <v>27</v>
      </c>
      <c r="AJ2131" s="4">
        <v>1</v>
      </c>
      <c r="AK2131" s="4">
        <v>1</v>
      </c>
      <c r="AL2131" s="4">
        <v>22</v>
      </c>
      <c r="AM2131" s="4">
        <v>22</v>
      </c>
      <c r="AN2131" s="4">
        <v>0</v>
      </c>
      <c r="AO2131" s="4">
        <v>0</v>
      </c>
      <c r="AP2131" s="4">
        <v>1</v>
      </c>
      <c r="AQ2131" s="4">
        <v>1</v>
      </c>
      <c r="AR2131" s="3" t="s">
        <v>65</v>
      </c>
      <c r="AS2131" s="3" t="s">
        <v>65</v>
      </c>
      <c r="AT2131" s="3" t="s">
        <v>65</v>
      </c>
      <c r="AV2131" s="6" t="str">
        <f>HYPERLINK("http://mcgill.on.worldcat.org/oclc/690102013","Catalog Record")</f>
        <v>Catalog Record</v>
      </c>
      <c r="AW2131" s="6" t="str">
        <f>HYPERLINK("http://www.worldcat.org/oclc/690102013","WorldCat Record")</f>
        <v>WorldCat Record</v>
      </c>
      <c r="AX2131" s="3" t="s">
        <v>20858</v>
      </c>
      <c r="AY2131" s="3" t="s">
        <v>20859</v>
      </c>
      <c r="AZ2131" s="3" t="s">
        <v>20860</v>
      </c>
      <c r="BA2131" s="3" t="s">
        <v>20860</v>
      </c>
      <c r="BB2131" s="3" t="s">
        <v>20861</v>
      </c>
      <c r="BC2131" s="3" t="s">
        <v>77</v>
      </c>
      <c r="BD2131" s="3" t="s">
        <v>78</v>
      </c>
      <c r="BE2131" s="3" t="s">
        <v>20862</v>
      </c>
      <c r="BF2131" s="3" t="s">
        <v>20861</v>
      </c>
      <c r="BG2131" s="3" t="s">
        <v>20863</v>
      </c>
    </row>
    <row r="2132" spans="1:59" ht="58" x14ac:dyDescent="0.35">
      <c r="A2132" s="2" t="s">
        <v>59</v>
      </c>
      <c r="B2132" s="2" t="s">
        <v>60</v>
      </c>
      <c r="C2132" s="2" t="s">
        <v>20864</v>
      </c>
      <c r="D2132" s="2" t="s">
        <v>20865</v>
      </c>
      <c r="E2132" s="2" t="s">
        <v>20866</v>
      </c>
      <c r="G2132" s="3" t="s">
        <v>65</v>
      </c>
      <c r="I2132" s="3" t="s">
        <v>65</v>
      </c>
      <c r="J2132" s="3" t="s">
        <v>65</v>
      </c>
      <c r="K2132" s="3" t="s">
        <v>66</v>
      </c>
      <c r="M2132" s="2" t="s">
        <v>20867</v>
      </c>
      <c r="N2132" s="3" t="s">
        <v>1944</v>
      </c>
      <c r="O2132" s="2" t="s">
        <v>365</v>
      </c>
      <c r="P2132" s="3" t="s">
        <v>140</v>
      </c>
      <c r="R2132" s="3" t="s">
        <v>71</v>
      </c>
      <c r="S2132" s="4">
        <v>2</v>
      </c>
      <c r="T2132" s="4">
        <v>2</v>
      </c>
      <c r="U2132" s="5" t="s">
        <v>17444</v>
      </c>
      <c r="V2132" s="5" t="s">
        <v>17444</v>
      </c>
      <c r="W2132" s="5" t="s">
        <v>72</v>
      </c>
      <c r="X2132" s="5" t="s">
        <v>72</v>
      </c>
      <c r="Y2132" s="4">
        <v>44</v>
      </c>
      <c r="Z2132" s="4">
        <v>3</v>
      </c>
      <c r="AA2132" s="4">
        <v>3</v>
      </c>
      <c r="AB2132" s="4">
        <v>1</v>
      </c>
      <c r="AC2132" s="4">
        <v>1</v>
      </c>
      <c r="AD2132" s="4">
        <v>29</v>
      </c>
      <c r="AE2132" s="4">
        <v>29</v>
      </c>
      <c r="AF2132" s="4">
        <v>0</v>
      </c>
      <c r="AG2132" s="4">
        <v>0</v>
      </c>
      <c r="AH2132" s="4">
        <v>27</v>
      </c>
      <c r="AI2132" s="4">
        <v>27</v>
      </c>
      <c r="AJ2132" s="4">
        <v>1</v>
      </c>
      <c r="AK2132" s="4">
        <v>1</v>
      </c>
      <c r="AL2132" s="4">
        <v>24</v>
      </c>
      <c r="AM2132" s="4">
        <v>24</v>
      </c>
      <c r="AN2132" s="4">
        <v>0</v>
      </c>
      <c r="AO2132" s="4">
        <v>0</v>
      </c>
      <c r="AP2132" s="4">
        <v>1</v>
      </c>
      <c r="AQ2132" s="4">
        <v>1</v>
      </c>
      <c r="AR2132" s="3" t="s">
        <v>65</v>
      </c>
      <c r="AS2132" s="3" t="s">
        <v>65</v>
      </c>
      <c r="AT2132" s="3" t="s">
        <v>209</v>
      </c>
      <c r="AU2132" s="6" t="str">
        <f>HYPERLINK("http://catalog.hathitrust.org/Record/004300367","HathiTrust Record")</f>
        <v>HathiTrust Record</v>
      </c>
      <c r="AV2132" s="6" t="str">
        <f>HYPERLINK("http://mcgill.on.worldcat.org/oclc/44539763","Catalog Record")</f>
        <v>Catalog Record</v>
      </c>
      <c r="AW2132" s="6" t="str">
        <f>HYPERLINK("http://www.worldcat.org/oclc/44539763","WorldCat Record")</f>
        <v>WorldCat Record</v>
      </c>
      <c r="AX2132" s="3" t="s">
        <v>20868</v>
      </c>
      <c r="AY2132" s="3" t="s">
        <v>20869</v>
      </c>
      <c r="AZ2132" s="3" t="s">
        <v>20870</v>
      </c>
      <c r="BA2132" s="3" t="s">
        <v>20870</v>
      </c>
      <c r="BB2132" s="3" t="s">
        <v>20871</v>
      </c>
      <c r="BC2132" s="3" t="s">
        <v>77</v>
      </c>
      <c r="BD2132" s="3" t="s">
        <v>78</v>
      </c>
      <c r="BF2132" s="3" t="s">
        <v>20871</v>
      </c>
      <c r="BG2132" s="3" t="s">
        <v>20872</v>
      </c>
    </row>
    <row r="2133" spans="1:59" ht="72.5" x14ac:dyDescent="0.35">
      <c r="A2133" s="2" t="s">
        <v>59</v>
      </c>
      <c r="B2133" s="2" t="s">
        <v>60</v>
      </c>
      <c r="C2133" s="2" t="s">
        <v>20873</v>
      </c>
      <c r="D2133" s="2" t="s">
        <v>20874</v>
      </c>
      <c r="E2133" s="2" t="s">
        <v>20875</v>
      </c>
      <c r="G2133" s="3" t="s">
        <v>65</v>
      </c>
      <c r="I2133" s="3" t="s">
        <v>65</v>
      </c>
      <c r="J2133" s="3" t="s">
        <v>65</v>
      </c>
      <c r="K2133" s="3" t="s">
        <v>66</v>
      </c>
      <c r="L2133" s="2" t="s">
        <v>20876</v>
      </c>
      <c r="M2133" s="2" t="s">
        <v>20877</v>
      </c>
      <c r="N2133" s="3" t="s">
        <v>126</v>
      </c>
      <c r="P2133" s="3" t="s">
        <v>140</v>
      </c>
      <c r="Q2133" s="2" t="s">
        <v>20878</v>
      </c>
      <c r="R2133" s="3" t="s">
        <v>71</v>
      </c>
      <c r="S2133" s="4">
        <v>0</v>
      </c>
      <c r="T2133" s="4">
        <v>0</v>
      </c>
      <c r="W2133" s="5" t="s">
        <v>72</v>
      </c>
      <c r="X2133" s="5" t="s">
        <v>72</v>
      </c>
      <c r="Y2133" s="4">
        <v>36</v>
      </c>
      <c r="Z2133" s="4">
        <v>4</v>
      </c>
      <c r="AA2133" s="4">
        <v>4</v>
      </c>
      <c r="AB2133" s="4">
        <v>1</v>
      </c>
      <c r="AC2133" s="4">
        <v>1</v>
      </c>
      <c r="AD2133" s="4">
        <v>27</v>
      </c>
      <c r="AE2133" s="4">
        <v>27</v>
      </c>
      <c r="AF2133" s="4">
        <v>0</v>
      </c>
      <c r="AG2133" s="4">
        <v>0</v>
      </c>
      <c r="AH2133" s="4">
        <v>26</v>
      </c>
      <c r="AI2133" s="4">
        <v>26</v>
      </c>
      <c r="AJ2133" s="4">
        <v>2</v>
      </c>
      <c r="AK2133" s="4">
        <v>2</v>
      </c>
      <c r="AL2133" s="4">
        <v>19</v>
      </c>
      <c r="AM2133" s="4">
        <v>19</v>
      </c>
      <c r="AN2133" s="4">
        <v>0</v>
      </c>
      <c r="AO2133" s="4">
        <v>0</v>
      </c>
      <c r="AP2133" s="4">
        <v>2</v>
      </c>
      <c r="AQ2133" s="4">
        <v>2</v>
      </c>
      <c r="AR2133" s="3" t="s">
        <v>65</v>
      </c>
      <c r="AS2133" s="3" t="s">
        <v>65</v>
      </c>
      <c r="AT2133" s="3" t="s">
        <v>65</v>
      </c>
      <c r="AV2133" s="6" t="str">
        <f>HYPERLINK("http://mcgill.on.worldcat.org/oclc/773667889","Catalog Record")</f>
        <v>Catalog Record</v>
      </c>
      <c r="AW2133" s="6" t="str">
        <f>HYPERLINK("http://www.worldcat.org/oclc/773667889","WorldCat Record")</f>
        <v>WorldCat Record</v>
      </c>
      <c r="AX2133" s="3" t="s">
        <v>20879</v>
      </c>
      <c r="AY2133" s="3" t="s">
        <v>20880</v>
      </c>
      <c r="AZ2133" s="3" t="s">
        <v>20881</v>
      </c>
      <c r="BA2133" s="3" t="s">
        <v>20881</v>
      </c>
      <c r="BB2133" s="3" t="s">
        <v>20882</v>
      </c>
      <c r="BC2133" s="3" t="s">
        <v>77</v>
      </c>
      <c r="BD2133" s="3" t="s">
        <v>78</v>
      </c>
      <c r="BE2133" s="3" t="s">
        <v>20883</v>
      </c>
      <c r="BF2133" s="3" t="s">
        <v>20882</v>
      </c>
      <c r="BG2133" s="3" t="s">
        <v>20884</v>
      </c>
    </row>
    <row r="2134" spans="1:59" ht="72.5" x14ac:dyDescent="0.35">
      <c r="A2134" s="2" t="s">
        <v>59</v>
      </c>
      <c r="B2134" s="2" t="s">
        <v>60</v>
      </c>
      <c r="C2134" s="2" t="s">
        <v>20885</v>
      </c>
      <c r="D2134" s="2" t="s">
        <v>20886</v>
      </c>
      <c r="E2134" s="2" t="s">
        <v>20887</v>
      </c>
      <c r="G2134" s="3" t="s">
        <v>65</v>
      </c>
      <c r="I2134" s="3" t="s">
        <v>65</v>
      </c>
      <c r="J2134" s="3" t="s">
        <v>65</v>
      </c>
      <c r="K2134" s="3" t="s">
        <v>66</v>
      </c>
      <c r="L2134" s="2" t="s">
        <v>20888</v>
      </c>
      <c r="M2134" s="2" t="s">
        <v>20889</v>
      </c>
      <c r="N2134" s="3" t="s">
        <v>139</v>
      </c>
      <c r="P2134" s="3" t="s">
        <v>140</v>
      </c>
      <c r="Q2134" s="2" t="s">
        <v>20890</v>
      </c>
      <c r="R2134" s="3" t="s">
        <v>71</v>
      </c>
      <c r="S2134" s="4">
        <v>0</v>
      </c>
      <c r="T2134" s="4">
        <v>0</v>
      </c>
      <c r="U2134" s="5" t="s">
        <v>2061</v>
      </c>
      <c r="V2134" s="5" t="s">
        <v>2061</v>
      </c>
      <c r="W2134" s="5" t="s">
        <v>72</v>
      </c>
      <c r="X2134" s="5" t="s">
        <v>72</v>
      </c>
      <c r="Y2134" s="4">
        <v>25</v>
      </c>
      <c r="Z2134" s="4">
        <v>3</v>
      </c>
      <c r="AA2134" s="4">
        <v>3</v>
      </c>
      <c r="AB2134" s="4">
        <v>1</v>
      </c>
      <c r="AC2134" s="4">
        <v>1</v>
      </c>
      <c r="AD2134" s="4">
        <v>17</v>
      </c>
      <c r="AE2134" s="4">
        <v>17</v>
      </c>
      <c r="AF2134" s="4">
        <v>0</v>
      </c>
      <c r="AG2134" s="4">
        <v>0</v>
      </c>
      <c r="AH2134" s="4">
        <v>16</v>
      </c>
      <c r="AI2134" s="4">
        <v>16</v>
      </c>
      <c r="AJ2134" s="4">
        <v>1</v>
      </c>
      <c r="AK2134" s="4">
        <v>1</v>
      </c>
      <c r="AL2134" s="4">
        <v>15</v>
      </c>
      <c r="AM2134" s="4">
        <v>15</v>
      </c>
      <c r="AN2134" s="4">
        <v>0</v>
      </c>
      <c r="AO2134" s="4">
        <v>0</v>
      </c>
      <c r="AP2134" s="4">
        <v>1</v>
      </c>
      <c r="AQ2134" s="4">
        <v>1</v>
      </c>
      <c r="AR2134" s="3" t="s">
        <v>65</v>
      </c>
      <c r="AS2134" s="3" t="s">
        <v>65</v>
      </c>
      <c r="AT2134" s="3" t="s">
        <v>65</v>
      </c>
      <c r="AV2134" s="6" t="str">
        <f>HYPERLINK("http://mcgill.on.worldcat.org/oclc/844695445","Catalog Record")</f>
        <v>Catalog Record</v>
      </c>
      <c r="AW2134" s="6" t="str">
        <f>HYPERLINK("http://www.worldcat.org/oclc/844695445","WorldCat Record")</f>
        <v>WorldCat Record</v>
      </c>
      <c r="AX2134" s="3" t="s">
        <v>20891</v>
      </c>
      <c r="AY2134" s="3" t="s">
        <v>20892</v>
      </c>
      <c r="AZ2134" s="3" t="s">
        <v>20893</v>
      </c>
      <c r="BA2134" s="3" t="s">
        <v>20893</v>
      </c>
      <c r="BB2134" s="3" t="s">
        <v>20894</v>
      </c>
      <c r="BC2134" s="3" t="s">
        <v>77</v>
      </c>
      <c r="BD2134" s="3" t="s">
        <v>78</v>
      </c>
      <c r="BE2134" s="3" t="s">
        <v>20895</v>
      </c>
      <c r="BF2134" s="3" t="s">
        <v>20894</v>
      </c>
      <c r="BG2134" s="3" t="s">
        <v>20896</v>
      </c>
    </row>
    <row r="2135" spans="1:59" ht="58" x14ac:dyDescent="0.35">
      <c r="A2135" s="2" t="s">
        <v>59</v>
      </c>
      <c r="B2135" s="2" t="s">
        <v>60</v>
      </c>
      <c r="C2135" s="2" t="s">
        <v>20897</v>
      </c>
      <c r="D2135" s="2" t="s">
        <v>20898</v>
      </c>
      <c r="E2135" s="2" t="s">
        <v>20899</v>
      </c>
      <c r="G2135" s="3" t="s">
        <v>65</v>
      </c>
      <c r="I2135" s="3" t="s">
        <v>65</v>
      </c>
      <c r="J2135" s="3" t="s">
        <v>65</v>
      </c>
      <c r="K2135" s="3" t="s">
        <v>66</v>
      </c>
      <c r="L2135" s="2" t="s">
        <v>20900</v>
      </c>
      <c r="M2135" s="2" t="s">
        <v>20901</v>
      </c>
      <c r="N2135" s="3" t="s">
        <v>164</v>
      </c>
      <c r="P2135" s="3" t="s">
        <v>69</v>
      </c>
      <c r="Q2135" s="2" t="s">
        <v>7248</v>
      </c>
      <c r="R2135" s="3" t="s">
        <v>71</v>
      </c>
      <c r="S2135" s="4">
        <v>2</v>
      </c>
      <c r="T2135" s="4">
        <v>2</v>
      </c>
      <c r="U2135" s="5" t="s">
        <v>20902</v>
      </c>
      <c r="V2135" s="5" t="s">
        <v>20902</v>
      </c>
      <c r="W2135" s="5" t="s">
        <v>72</v>
      </c>
      <c r="X2135" s="5" t="s">
        <v>72</v>
      </c>
      <c r="Y2135" s="4">
        <v>152</v>
      </c>
      <c r="Z2135" s="4">
        <v>9</v>
      </c>
      <c r="AA2135" s="4">
        <v>9</v>
      </c>
      <c r="AB2135" s="4">
        <v>1</v>
      </c>
      <c r="AC2135" s="4">
        <v>1</v>
      </c>
      <c r="AD2135" s="4">
        <v>53</v>
      </c>
      <c r="AE2135" s="4">
        <v>53</v>
      </c>
      <c r="AF2135" s="4">
        <v>0</v>
      </c>
      <c r="AG2135" s="4">
        <v>0</v>
      </c>
      <c r="AH2135" s="4">
        <v>52</v>
      </c>
      <c r="AI2135" s="4">
        <v>52</v>
      </c>
      <c r="AJ2135" s="4">
        <v>6</v>
      </c>
      <c r="AK2135" s="4">
        <v>6</v>
      </c>
      <c r="AL2135" s="4">
        <v>31</v>
      </c>
      <c r="AM2135" s="4">
        <v>31</v>
      </c>
      <c r="AN2135" s="4">
        <v>0</v>
      </c>
      <c r="AO2135" s="4">
        <v>0</v>
      </c>
      <c r="AP2135" s="4">
        <v>6</v>
      </c>
      <c r="AQ2135" s="4">
        <v>6</v>
      </c>
      <c r="AR2135" s="3" t="s">
        <v>65</v>
      </c>
      <c r="AS2135" s="3" t="s">
        <v>65</v>
      </c>
      <c r="AT2135" s="3" t="s">
        <v>65</v>
      </c>
      <c r="AV2135" s="6" t="str">
        <f>HYPERLINK("http://mcgill.on.worldcat.org/oclc/872977837","Catalog Record")</f>
        <v>Catalog Record</v>
      </c>
      <c r="AW2135" s="6" t="str">
        <f>HYPERLINK("http://www.worldcat.org/oclc/872977837","WorldCat Record")</f>
        <v>WorldCat Record</v>
      </c>
      <c r="AX2135" s="3" t="s">
        <v>20903</v>
      </c>
      <c r="AY2135" s="3" t="s">
        <v>20904</v>
      </c>
      <c r="AZ2135" s="3" t="s">
        <v>20905</v>
      </c>
      <c r="BA2135" s="3" t="s">
        <v>20905</v>
      </c>
      <c r="BB2135" s="3" t="s">
        <v>20906</v>
      </c>
      <c r="BC2135" s="3" t="s">
        <v>77</v>
      </c>
      <c r="BD2135" s="3" t="s">
        <v>106</v>
      </c>
      <c r="BE2135" s="3" t="s">
        <v>20907</v>
      </c>
      <c r="BF2135" s="3" t="s">
        <v>20906</v>
      </c>
      <c r="BG2135" s="3" t="s">
        <v>20908</v>
      </c>
    </row>
    <row r="2136" spans="1:59" ht="58" x14ac:dyDescent="0.35">
      <c r="A2136" s="2" t="s">
        <v>59</v>
      </c>
      <c r="B2136" s="2" t="s">
        <v>60</v>
      </c>
      <c r="C2136" s="2" t="s">
        <v>20909</v>
      </c>
      <c r="D2136" s="2" t="s">
        <v>20910</v>
      </c>
      <c r="E2136" s="2" t="s">
        <v>20911</v>
      </c>
      <c r="G2136" s="3" t="s">
        <v>65</v>
      </c>
      <c r="I2136" s="3" t="s">
        <v>65</v>
      </c>
      <c r="J2136" s="3" t="s">
        <v>65</v>
      </c>
      <c r="K2136" s="3" t="s">
        <v>66</v>
      </c>
      <c r="L2136" s="2" t="s">
        <v>20912</v>
      </c>
      <c r="M2136" s="2" t="s">
        <v>18312</v>
      </c>
      <c r="N2136" s="3" t="s">
        <v>126</v>
      </c>
      <c r="O2136" s="2" t="s">
        <v>365</v>
      </c>
      <c r="P2136" s="3" t="s">
        <v>140</v>
      </c>
      <c r="Q2136" s="2" t="s">
        <v>565</v>
      </c>
      <c r="R2136" s="3" t="s">
        <v>71</v>
      </c>
      <c r="S2136" s="4">
        <v>0</v>
      </c>
      <c r="T2136" s="4">
        <v>0</v>
      </c>
      <c r="W2136" s="5" t="s">
        <v>72</v>
      </c>
      <c r="X2136" s="5" t="s">
        <v>72</v>
      </c>
      <c r="Y2136" s="4">
        <v>47</v>
      </c>
      <c r="Z2136" s="4">
        <v>6</v>
      </c>
      <c r="AA2136" s="4">
        <v>6</v>
      </c>
      <c r="AB2136" s="4">
        <v>1</v>
      </c>
      <c r="AC2136" s="4">
        <v>1</v>
      </c>
      <c r="AD2136" s="4">
        <v>34</v>
      </c>
      <c r="AE2136" s="4">
        <v>34</v>
      </c>
      <c r="AF2136" s="4">
        <v>0</v>
      </c>
      <c r="AG2136" s="4">
        <v>0</v>
      </c>
      <c r="AH2136" s="4">
        <v>33</v>
      </c>
      <c r="AI2136" s="4">
        <v>33</v>
      </c>
      <c r="AJ2136" s="4">
        <v>3</v>
      </c>
      <c r="AK2136" s="4">
        <v>3</v>
      </c>
      <c r="AL2136" s="4">
        <v>26</v>
      </c>
      <c r="AM2136" s="4">
        <v>26</v>
      </c>
      <c r="AN2136" s="4">
        <v>0</v>
      </c>
      <c r="AO2136" s="4">
        <v>0</v>
      </c>
      <c r="AP2136" s="4">
        <v>3</v>
      </c>
      <c r="AQ2136" s="4">
        <v>3</v>
      </c>
      <c r="AR2136" s="3" t="s">
        <v>65</v>
      </c>
      <c r="AS2136" s="3" t="s">
        <v>65</v>
      </c>
      <c r="AT2136" s="3" t="s">
        <v>65</v>
      </c>
      <c r="AV2136" s="6" t="str">
        <f>HYPERLINK("http://mcgill.on.worldcat.org/oclc/740627214","Catalog Record")</f>
        <v>Catalog Record</v>
      </c>
      <c r="AW2136" s="6" t="str">
        <f>HYPERLINK("http://www.worldcat.org/oclc/740627214","WorldCat Record")</f>
        <v>WorldCat Record</v>
      </c>
      <c r="AX2136" s="3" t="s">
        <v>20913</v>
      </c>
      <c r="AY2136" s="3" t="s">
        <v>20914</v>
      </c>
      <c r="AZ2136" s="3" t="s">
        <v>20915</v>
      </c>
      <c r="BA2136" s="3" t="s">
        <v>20915</v>
      </c>
      <c r="BB2136" s="3" t="s">
        <v>20916</v>
      </c>
      <c r="BC2136" s="3" t="s">
        <v>77</v>
      </c>
      <c r="BD2136" s="3" t="s">
        <v>78</v>
      </c>
      <c r="BE2136" s="3" t="s">
        <v>20917</v>
      </c>
      <c r="BF2136" s="3" t="s">
        <v>20916</v>
      </c>
      <c r="BG2136" s="3" t="s">
        <v>20918</v>
      </c>
    </row>
    <row r="2137" spans="1:59" ht="58" x14ac:dyDescent="0.35">
      <c r="A2137" s="2" t="s">
        <v>59</v>
      </c>
      <c r="B2137" s="2" t="s">
        <v>60</v>
      </c>
      <c r="C2137" s="2" t="s">
        <v>20919</v>
      </c>
      <c r="D2137" s="2" t="s">
        <v>20920</v>
      </c>
      <c r="E2137" s="2" t="s">
        <v>20921</v>
      </c>
      <c r="G2137" s="3" t="s">
        <v>65</v>
      </c>
      <c r="I2137" s="3" t="s">
        <v>65</v>
      </c>
      <c r="J2137" s="3" t="s">
        <v>65</v>
      </c>
      <c r="K2137" s="3" t="s">
        <v>66</v>
      </c>
      <c r="L2137" s="2" t="s">
        <v>13456</v>
      </c>
      <c r="M2137" s="2" t="s">
        <v>20922</v>
      </c>
      <c r="N2137" s="3" t="s">
        <v>126</v>
      </c>
      <c r="P2137" s="3" t="s">
        <v>140</v>
      </c>
      <c r="Q2137" s="2" t="s">
        <v>20923</v>
      </c>
      <c r="R2137" s="3" t="s">
        <v>71</v>
      </c>
      <c r="S2137" s="4">
        <v>0</v>
      </c>
      <c r="T2137" s="4">
        <v>0</v>
      </c>
      <c r="W2137" s="5" t="s">
        <v>72</v>
      </c>
      <c r="X2137" s="5" t="s">
        <v>72</v>
      </c>
      <c r="Y2137" s="4">
        <v>37</v>
      </c>
      <c r="Z2137" s="4">
        <v>5</v>
      </c>
      <c r="AA2137" s="4">
        <v>5</v>
      </c>
      <c r="AB2137" s="4">
        <v>1</v>
      </c>
      <c r="AC2137" s="4">
        <v>1</v>
      </c>
      <c r="AD2137" s="4">
        <v>26</v>
      </c>
      <c r="AE2137" s="4">
        <v>26</v>
      </c>
      <c r="AF2137" s="4">
        <v>0</v>
      </c>
      <c r="AG2137" s="4">
        <v>0</v>
      </c>
      <c r="AH2137" s="4">
        <v>25</v>
      </c>
      <c r="AI2137" s="4">
        <v>25</v>
      </c>
      <c r="AJ2137" s="4">
        <v>3</v>
      </c>
      <c r="AK2137" s="4">
        <v>3</v>
      </c>
      <c r="AL2137" s="4">
        <v>18</v>
      </c>
      <c r="AM2137" s="4">
        <v>18</v>
      </c>
      <c r="AN2137" s="4">
        <v>0</v>
      </c>
      <c r="AO2137" s="4">
        <v>0</v>
      </c>
      <c r="AP2137" s="4">
        <v>3</v>
      </c>
      <c r="AQ2137" s="4">
        <v>3</v>
      </c>
      <c r="AR2137" s="3" t="s">
        <v>65</v>
      </c>
      <c r="AS2137" s="3" t="s">
        <v>65</v>
      </c>
      <c r="AT2137" s="3" t="s">
        <v>65</v>
      </c>
      <c r="AV2137" s="6" t="str">
        <f>HYPERLINK("http://mcgill.on.worldcat.org/oclc/760988583","Catalog Record")</f>
        <v>Catalog Record</v>
      </c>
      <c r="AW2137" s="6" t="str">
        <f>HYPERLINK("http://www.worldcat.org/oclc/760988583","WorldCat Record")</f>
        <v>WorldCat Record</v>
      </c>
      <c r="AX2137" s="3" t="s">
        <v>20924</v>
      </c>
      <c r="AY2137" s="3" t="s">
        <v>20925</v>
      </c>
      <c r="AZ2137" s="3" t="s">
        <v>20926</v>
      </c>
      <c r="BA2137" s="3" t="s">
        <v>20926</v>
      </c>
      <c r="BB2137" s="3" t="s">
        <v>20927</v>
      </c>
      <c r="BC2137" s="3" t="s">
        <v>77</v>
      </c>
      <c r="BD2137" s="3" t="s">
        <v>78</v>
      </c>
      <c r="BE2137" s="3" t="s">
        <v>20928</v>
      </c>
      <c r="BF2137" s="3" t="s">
        <v>20927</v>
      </c>
      <c r="BG2137" s="3" t="s">
        <v>20929</v>
      </c>
    </row>
    <row r="2138" spans="1:59" ht="58" x14ac:dyDescent="0.35">
      <c r="A2138" s="2" t="s">
        <v>59</v>
      </c>
      <c r="B2138" s="2" t="s">
        <v>60</v>
      </c>
      <c r="C2138" s="2" t="s">
        <v>20930</v>
      </c>
      <c r="D2138" s="2" t="s">
        <v>20931</v>
      </c>
      <c r="E2138" s="2" t="s">
        <v>20932</v>
      </c>
      <c r="G2138" s="3" t="s">
        <v>65</v>
      </c>
      <c r="I2138" s="3" t="s">
        <v>65</v>
      </c>
      <c r="J2138" s="3" t="s">
        <v>65</v>
      </c>
      <c r="K2138" s="3" t="s">
        <v>66</v>
      </c>
      <c r="L2138" s="2" t="s">
        <v>20933</v>
      </c>
      <c r="M2138" s="2" t="s">
        <v>20934</v>
      </c>
      <c r="N2138" s="3" t="s">
        <v>126</v>
      </c>
      <c r="P2138" s="3" t="s">
        <v>140</v>
      </c>
      <c r="Q2138" s="2" t="s">
        <v>20935</v>
      </c>
      <c r="R2138" s="3" t="s">
        <v>71</v>
      </c>
      <c r="S2138" s="4">
        <v>0</v>
      </c>
      <c r="T2138" s="4">
        <v>0</v>
      </c>
      <c r="W2138" s="5" t="s">
        <v>72</v>
      </c>
      <c r="X2138" s="5" t="s">
        <v>72</v>
      </c>
      <c r="Y2138" s="4">
        <v>38</v>
      </c>
      <c r="Z2138" s="4">
        <v>4</v>
      </c>
      <c r="AA2138" s="4">
        <v>18</v>
      </c>
      <c r="AB2138" s="4">
        <v>1</v>
      </c>
      <c r="AC2138" s="4">
        <v>2</v>
      </c>
      <c r="AD2138" s="4">
        <v>26</v>
      </c>
      <c r="AE2138" s="4">
        <v>63</v>
      </c>
      <c r="AF2138" s="4">
        <v>0</v>
      </c>
      <c r="AG2138" s="4">
        <v>0</v>
      </c>
      <c r="AH2138" s="4">
        <v>25</v>
      </c>
      <c r="AI2138" s="4">
        <v>59</v>
      </c>
      <c r="AJ2138" s="4">
        <v>2</v>
      </c>
      <c r="AK2138" s="4">
        <v>11</v>
      </c>
      <c r="AL2138" s="4">
        <v>20</v>
      </c>
      <c r="AM2138" s="4">
        <v>31</v>
      </c>
      <c r="AN2138" s="4">
        <v>0</v>
      </c>
      <c r="AO2138" s="4">
        <v>0</v>
      </c>
      <c r="AP2138" s="4">
        <v>2</v>
      </c>
      <c r="AQ2138" s="4">
        <v>13</v>
      </c>
      <c r="AR2138" s="3" t="s">
        <v>65</v>
      </c>
      <c r="AS2138" s="3" t="s">
        <v>65</v>
      </c>
      <c r="AT2138" s="3" t="s">
        <v>65</v>
      </c>
      <c r="AV2138" s="6" t="str">
        <f>HYPERLINK("http://mcgill.on.worldcat.org/oclc/719414050","Catalog Record")</f>
        <v>Catalog Record</v>
      </c>
      <c r="AW2138" s="6" t="str">
        <f>HYPERLINK("http://www.worldcat.org/oclc/719414050","WorldCat Record")</f>
        <v>WorldCat Record</v>
      </c>
      <c r="AX2138" s="3" t="s">
        <v>20936</v>
      </c>
      <c r="AY2138" s="3" t="s">
        <v>20937</v>
      </c>
      <c r="AZ2138" s="3" t="s">
        <v>20938</v>
      </c>
      <c r="BA2138" s="3" t="s">
        <v>20938</v>
      </c>
      <c r="BB2138" s="3" t="s">
        <v>20939</v>
      </c>
      <c r="BC2138" s="3" t="s">
        <v>77</v>
      </c>
      <c r="BD2138" s="3" t="s">
        <v>78</v>
      </c>
      <c r="BE2138" s="3" t="s">
        <v>20940</v>
      </c>
      <c r="BF2138" s="3" t="s">
        <v>20939</v>
      </c>
      <c r="BG2138" s="3" t="s">
        <v>20941</v>
      </c>
    </row>
    <row r="2139" spans="1:59" ht="58" x14ac:dyDescent="0.35">
      <c r="A2139" s="2" t="s">
        <v>59</v>
      </c>
      <c r="B2139" s="2" t="s">
        <v>60</v>
      </c>
      <c r="C2139" s="2" t="s">
        <v>20942</v>
      </c>
      <c r="D2139" s="2" t="s">
        <v>20943</v>
      </c>
      <c r="E2139" s="2" t="s">
        <v>20944</v>
      </c>
      <c r="G2139" s="3" t="s">
        <v>65</v>
      </c>
      <c r="I2139" s="3" t="s">
        <v>65</v>
      </c>
      <c r="J2139" s="3" t="s">
        <v>65</v>
      </c>
      <c r="K2139" s="3" t="s">
        <v>66</v>
      </c>
      <c r="L2139" s="2" t="s">
        <v>20933</v>
      </c>
      <c r="M2139" s="2" t="s">
        <v>20945</v>
      </c>
      <c r="N2139" s="3" t="s">
        <v>139</v>
      </c>
      <c r="P2139" s="3" t="s">
        <v>140</v>
      </c>
      <c r="Q2139" s="2" t="s">
        <v>20935</v>
      </c>
      <c r="R2139" s="3" t="s">
        <v>71</v>
      </c>
      <c r="S2139" s="4">
        <v>0</v>
      </c>
      <c r="T2139" s="4">
        <v>0</v>
      </c>
      <c r="W2139" s="5" t="s">
        <v>72</v>
      </c>
      <c r="X2139" s="5" t="s">
        <v>72</v>
      </c>
      <c r="Y2139" s="4">
        <v>46</v>
      </c>
      <c r="Z2139" s="4">
        <v>4</v>
      </c>
      <c r="AA2139" s="4">
        <v>4</v>
      </c>
      <c r="AB2139" s="4">
        <v>1</v>
      </c>
      <c r="AC2139" s="4">
        <v>1</v>
      </c>
      <c r="AD2139" s="4">
        <v>30</v>
      </c>
      <c r="AE2139" s="4">
        <v>30</v>
      </c>
      <c r="AF2139" s="4">
        <v>0</v>
      </c>
      <c r="AG2139" s="4">
        <v>0</v>
      </c>
      <c r="AH2139" s="4">
        <v>29</v>
      </c>
      <c r="AI2139" s="4">
        <v>29</v>
      </c>
      <c r="AJ2139" s="4">
        <v>2</v>
      </c>
      <c r="AK2139" s="4">
        <v>2</v>
      </c>
      <c r="AL2139" s="4">
        <v>21</v>
      </c>
      <c r="AM2139" s="4">
        <v>21</v>
      </c>
      <c r="AN2139" s="4">
        <v>0</v>
      </c>
      <c r="AO2139" s="4">
        <v>0</v>
      </c>
      <c r="AP2139" s="4">
        <v>2</v>
      </c>
      <c r="AQ2139" s="4">
        <v>2</v>
      </c>
      <c r="AR2139" s="3" t="s">
        <v>65</v>
      </c>
      <c r="AS2139" s="3" t="s">
        <v>65</v>
      </c>
      <c r="AT2139" s="3" t="s">
        <v>65</v>
      </c>
      <c r="AV2139" s="6" t="str">
        <f>HYPERLINK("http://mcgill.on.worldcat.org/oclc/785336061","Catalog Record")</f>
        <v>Catalog Record</v>
      </c>
      <c r="AW2139" s="6" t="str">
        <f>HYPERLINK("http://www.worldcat.org/oclc/785336061","WorldCat Record")</f>
        <v>WorldCat Record</v>
      </c>
      <c r="AX2139" s="3" t="s">
        <v>20946</v>
      </c>
      <c r="AY2139" s="3" t="s">
        <v>20947</v>
      </c>
      <c r="AZ2139" s="3" t="s">
        <v>20948</v>
      </c>
      <c r="BA2139" s="3" t="s">
        <v>20948</v>
      </c>
      <c r="BB2139" s="3" t="s">
        <v>20949</v>
      </c>
      <c r="BC2139" s="3" t="s">
        <v>77</v>
      </c>
      <c r="BD2139" s="3" t="s">
        <v>78</v>
      </c>
      <c r="BE2139" s="3" t="s">
        <v>20950</v>
      </c>
      <c r="BF2139" s="3" t="s">
        <v>20949</v>
      </c>
      <c r="BG2139" s="3" t="s">
        <v>20951</v>
      </c>
    </row>
    <row r="2140" spans="1:59" ht="58" x14ac:dyDescent="0.35">
      <c r="A2140" s="2" t="s">
        <v>59</v>
      </c>
      <c r="B2140" s="2" t="s">
        <v>60</v>
      </c>
      <c r="C2140" s="2" t="s">
        <v>20952</v>
      </c>
      <c r="D2140" s="2" t="s">
        <v>20953</v>
      </c>
      <c r="E2140" s="2" t="s">
        <v>20954</v>
      </c>
      <c r="G2140" s="3" t="s">
        <v>65</v>
      </c>
      <c r="I2140" s="3" t="s">
        <v>65</v>
      </c>
      <c r="J2140" s="3" t="s">
        <v>65</v>
      </c>
      <c r="K2140" s="3" t="s">
        <v>66</v>
      </c>
      <c r="L2140" s="2" t="s">
        <v>20955</v>
      </c>
      <c r="M2140" s="2" t="s">
        <v>20956</v>
      </c>
      <c r="N2140" s="3" t="s">
        <v>214</v>
      </c>
      <c r="P2140" s="3" t="s">
        <v>140</v>
      </c>
      <c r="Q2140" s="2" t="s">
        <v>20957</v>
      </c>
      <c r="R2140" s="3" t="s">
        <v>71</v>
      </c>
      <c r="S2140" s="4">
        <v>3</v>
      </c>
      <c r="T2140" s="4">
        <v>3</v>
      </c>
      <c r="U2140" s="5" t="s">
        <v>18672</v>
      </c>
      <c r="V2140" s="5" t="s">
        <v>18672</v>
      </c>
      <c r="W2140" s="5" t="s">
        <v>72</v>
      </c>
      <c r="X2140" s="5" t="s">
        <v>72</v>
      </c>
      <c r="Y2140" s="4">
        <v>26</v>
      </c>
      <c r="Z2140" s="4">
        <v>4</v>
      </c>
      <c r="AA2140" s="4">
        <v>4</v>
      </c>
      <c r="AB2140" s="4">
        <v>1</v>
      </c>
      <c r="AC2140" s="4">
        <v>1</v>
      </c>
      <c r="AD2140" s="4">
        <v>21</v>
      </c>
      <c r="AE2140" s="4">
        <v>21</v>
      </c>
      <c r="AF2140" s="4">
        <v>0</v>
      </c>
      <c r="AG2140" s="4">
        <v>0</v>
      </c>
      <c r="AH2140" s="4">
        <v>19</v>
      </c>
      <c r="AI2140" s="4">
        <v>19</v>
      </c>
      <c r="AJ2140" s="4">
        <v>2</v>
      </c>
      <c r="AK2140" s="4">
        <v>2</v>
      </c>
      <c r="AL2140" s="4">
        <v>17</v>
      </c>
      <c r="AM2140" s="4">
        <v>17</v>
      </c>
      <c r="AN2140" s="4">
        <v>0</v>
      </c>
      <c r="AO2140" s="4">
        <v>0</v>
      </c>
      <c r="AP2140" s="4">
        <v>2</v>
      </c>
      <c r="AQ2140" s="4">
        <v>2</v>
      </c>
      <c r="AR2140" s="3" t="s">
        <v>65</v>
      </c>
      <c r="AS2140" s="3" t="s">
        <v>65</v>
      </c>
      <c r="AT2140" s="3" t="s">
        <v>209</v>
      </c>
      <c r="AU2140" s="6" t="str">
        <f>HYPERLINK("http://catalog.hathitrust.org/Record/006710253","HathiTrust Record")</f>
        <v>HathiTrust Record</v>
      </c>
      <c r="AV2140" s="6" t="str">
        <f>HYPERLINK("http://mcgill.on.worldcat.org/oclc/10924472","Catalog Record")</f>
        <v>Catalog Record</v>
      </c>
      <c r="AW2140" s="6" t="str">
        <f>HYPERLINK("http://www.worldcat.org/oclc/10924472","WorldCat Record")</f>
        <v>WorldCat Record</v>
      </c>
      <c r="AX2140" s="3" t="s">
        <v>20958</v>
      </c>
      <c r="AY2140" s="3" t="s">
        <v>20959</v>
      </c>
      <c r="AZ2140" s="3" t="s">
        <v>20960</v>
      </c>
      <c r="BA2140" s="3" t="s">
        <v>20960</v>
      </c>
      <c r="BB2140" s="3" t="s">
        <v>20961</v>
      </c>
      <c r="BC2140" s="3" t="s">
        <v>77</v>
      </c>
      <c r="BD2140" s="3" t="s">
        <v>106</v>
      </c>
      <c r="BF2140" s="3" t="s">
        <v>20961</v>
      </c>
      <c r="BG2140" s="3" t="s">
        <v>20962</v>
      </c>
    </row>
    <row r="2141" spans="1:59" ht="58" x14ac:dyDescent="0.35">
      <c r="A2141" s="2" t="s">
        <v>59</v>
      </c>
      <c r="B2141" s="2" t="s">
        <v>60</v>
      </c>
      <c r="C2141" s="2" t="s">
        <v>20963</v>
      </c>
      <c r="D2141" s="2" t="s">
        <v>20964</v>
      </c>
      <c r="E2141" s="2" t="s">
        <v>20965</v>
      </c>
      <c r="G2141" s="3" t="s">
        <v>65</v>
      </c>
      <c r="I2141" s="3" t="s">
        <v>65</v>
      </c>
      <c r="J2141" s="3" t="s">
        <v>65</v>
      </c>
      <c r="K2141" s="3" t="s">
        <v>66</v>
      </c>
      <c r="L2141" s="2" t="s">
        <v>20966</v>
      </c>
      <c r="M2141" s="2" t="s">
        <v>20967</v>
      </c>
      <c r="N2141" s="3" t="s">
        <v>4042</v>
      </c>
      <c r="P2141" s="3" t="s">
        <v>140</v>
      </c>
      <c r="Q2141" s="2" t="s">
        <v>16344</v>
      </c>
      <c r="R2141" s="3" t="s">
        <v>71</v>
      </c>
      <c r="S2141" s="4">
        <v>3</v>
      </c>
      <c r="T2141" s="4">
        <v>3</v>
      </c>
      <c r="U2141" s="5" t="s">
        <v>3235</v>
      </c>
      <c r="V2141" s="5" t="s">
        <v>3235</v>
      </c>
      <c r="W2141" s="5" t="s">
        <v>72</v>
      </c>
      <c r="X2141" s="5" t="s">
        <v>72</v>
      </c>
      <c r="Y2141" s="4">
        <v>32</v>
      </c>
      <c r="Z2141" s="4">
        <v>5</v>
      </c>
      <c r="AA2141" s="4">
        <v>9</v>
      </c>
      <c r="AB2141" s="4">
        <v>1</v>
      </c>
      <c r="AC2141" s="4">
        <v>1</v>
      </c>
      <c r="AD2141" s="4">
        <v>18</v>
      </c>
      <c r="AE2141" s="4">
        <v>21</v>
      </c>
      <c r="AF2141" s="4">
        <v>0</v>
      </c>
      <c r="AG2141" s="4">
        <v>0</v>
      </c>
      <c r="AH2141" s="4">
        <v>15</v>
      </c>
      <c r="AI2141" s="4">
        <v>17</v>
      </c>
      <c r="AJ2141" s="4">
        <v>3</v>
      </c>
      <c r="AK2141" s="4">
        <v>6</v>
      </c>
      <c r="AL2141" s="4">
        <v>11</v>
      </c>
      <c r="AM2141" s="4">
        <v>12</v>
      </c>
      <c r="AN2141" s="4">
        <v>0</v>
      </c>
      <c r="AO2141" s="4">
        <v>0</v>
      </c>
      <c r="AP2141" s="4">
        <v>3</v>
      </c>
      <c r="AQ2141" s="4">
        <v>6</v>
      </c>
      <c r="AR2141" s="3" t="s">
        <v>65</v>
      </c>
      <c r="AS2141" s="3" t="s">
        <v>65</v>
      </c>
      <c r="AT2141" s="3" t="s">
        <v>65</v>
      </c>
      <c r="AV2141" s="6" t="str">
        <f>HYPERLINK("http://mcgill.on.worldcat.org/oclc/4871899","Catalog Record")</f>
        <v>Catalog Record</v>
      </c>
      <c r="AW2141" s="6" t="str">
        <f>HYPERLINK("http://www.worldcat.org/oclc/4871899","WorldCat Record")</f>
        <v>WorldCat Record</v>
      </c>
      <c r="AX2141" s="3" t="s">
        <v>20968</v>
      </c>
      <c r="AY2141" s="3" t="s">
        <v>20969</v>
      </c>
      <c r="AZ2141" s="3" t="s">
        <v>20970</v>
      </c>
      <c r="BA2141" s="3" t="s">
        <v>20970</v>
      </c>
      <c r="BB2141" s="3" t="s">
        <v>20971</v>
      </c>
      <c r="BC2141" s="3" t="s">
        <v>77</v>
      </c>
      <c r="BD2141" s="3" t="s">
        <v>78</v>
      </c>
      <c r="BF2141" s="3" t="s">
        <v>20971</v>
      </c>
      <c r="BG2141" s="3" t="s">
        <v>20972</v>
      </c>
    </row>
    <row r="2142" spans="1:59" ht="58" x14ac:dyDescent="0.35">
      <c r="A2142" s="2" t="s">
        <v>59</v>
      </c>
      <c r="B2142" s="2" t="s">
        <v>60</v>
      </c>
      <c r="C2142" s="2" t="s">
        <v>20973</v>
      </c>
      <c r="D2142" s="2" t="s">
        <v>20974</v>
      </c>
      <c r="E2142" s="2" t="s">
        <v>20975</v>
      </c>
      <c r="G2142" s="3" t="s">
        <v>65</v>
      </c>
      <c r="I2142" s="3" t="s">
        <v>65</v>
      </c>
      <c r="J2142" s="3" t="s">
        <v>65</v>
      </c>
      <c r="K2142" s="3" t="s">
        <v>66</v>
      </c>
      <c r="L2142" s="2" t="s">
        <v>20976</v>
      </c>
      <c r="M2142" s="2" t="s">
        <v>5769</v>
      </c>
      <c r="N2142" s="3" t="s">
        <v>164</v>
      </c>
      <c r="P2142" s="3" t="s">
        <v>69</v>
      </c>
      <c r="Q2142" s="2" t="s">
        <v>1197</v>
      </c>
      <c r="R2142" s="3" t="s">
        <v>71</v>
      </c>
      <c r="S2142" s="4">
        <v>0</v>
      </c>
      <c r="T2142" s="4">
        <v>0</v>
      </c>
      <c r="W2142" s="5" t="s">
        <v>72</v>
      </c>
      <c r="X2142" s="5" t="s">
        <v>72</v>
      </c>
      <c r="Y2142" s="4">
        <v>109</v>
      </c>
      <c r="Z2142" s="4">
        <v>14</v>
      </c>
      <c r="AA2142" s="4">
        <v>95</v>
      </c>
      <c r="AB2142" s="4">
        <v>1</v>
      </c>
      <c r="AC2142" s="4">
        <v>16</v>
      </c>
      <c r="AD2142" s="4">
        <v>66</v>
      </c>
      <c r="AE2142" s="4">
        <v>123</v>
      </c>
      <c r="AF2142" s="4">
        <v>0</v>
      </c>
      <c r="AG2142" s="4">
        <v>8</v>
      </c>
      <c r="AH2142" s="4">
        <v>59</v>
      </c>
      <c r="AI2142" s="4">
        <v>83</v>
      </c>
      <c r="AJ2142" s="4">
        <v>9</v>
      </c>
      <c r="AK2142" s="4">
        <v>23</v>
      </c>
      <c r="AL2142" s="4">
        <v>42</v>
      </c>
      <c r="AM2142" s="4">
        <v>48</v>
      </c>
      <c r="AN2142" s="4">
        <v>0</v>
      </c>
      <c r="AO2142" s="4">
        <v>0</v>
      </c>
      <c r="AP2142" s="4">
        <v>9</v>
      </c>
      <c r="AQ2142" s="4">
        <v>48</v>
      </c>
      <c r="AR2142" s="3" t="s">
        <v>209</v>
      </c>
      <c r="AS2142" s="3" t="s">
        <v>65</v>
      </c>
      <c r="AT2142" s="3" t="s">
        <v>65</v>
      </c>
      <c r="AV2142" s="6" t="str">
        <f>HYPERLINK("http://mcgill.on.worldcat.org/oclc/879584248","Catalog Record")</f>
        <v>Catalog Record</v>
      </c>
      <c r="AW2142" s="6" t="str">
        <f>HYPERLINK("http://www.worldcat.org/oclc/879584248","WorldCat Record")</f>
        <v>WorldCat Record</v>
      </c>
      <c r="AX2142" s="3" t="s">
        <v>20977</v>
      </c>
      <c r="AY2142" s="3" t="s">
        <v>20978</v>
      </c>
      <c r="AZ2142" s="3" t="s">
        <v>20979</v>
      </c>
      <c r="BA2142" s="3" t="s">
        <v>20979</v>
      </c>
      <c r="BB2142" s="3" t="s">
        <v>20980</v>
      </c>
      <c r="BC2142" s="3" t="s">
        <v>77</v>
      </c>
      <c r="BD2142" s="3" t="s">
        <v>78</v>
      </c>
      <c r="BE2142" s="3" t="s">
        <v>20981</v>
      </c>
      <c r="BF2142" s="3" t="s">
        <v>20980</v>
      </c>
      <c r="BG2142" s="3" t="s">
        <v>20982</v>
      </c>
    </row>
    <row r="2143" spans="1:59" ht="58" x14ac:dyDescent="0.35">
      <c r="A2143" s="2" t="s">
        <v>59</v>
      </c>
      <c r="B2143" s="2" t="s">
        <v>60</v>
      </c>
      <c r="C2143" s="2" t="s">
        <v>20983</v>
      </c>
      <c r="D2143" s="2" t="s">
        <v>20984</v>
      </c>
      <c r="E2143" s="2" t="s">
        <v>20985</v>
      </c>
      <c r="G2143" s="3" t="s">
        <v>65</v>
      </c>
      <c r="I2143" s="3" t="s">
        <v>65</v>
      </c>
      <c r="J2143" s="3" t="s">
        <v>65</v>
      </c>
      <c r="K2143" s="3" t="s">
        <v>66</v>
      </c>
      <c r="L2143" s="2" t="s">
        <v>20986</v>
      </c>
      <c r="M2143" s="2" t="s">
        <v>20987</v>
      </c>
      <c r="N2143" s="3" t="s">
        <v>1151</v>
      </c>
      <c r="P2143" s="3" t="s">
        <v>140</v>
      </c>
      <c r="Q2143" s="2" t="s">
        <v>20988</v>
      </c>
      <c r="R2143" s="3" t="s">
        <v>71</v>
      </c>
      <c r="S2143" s="4">
        <v>8</v>
      </c>
      <c r="T2143" s="4">
        <v>8</v>
      </c>
      <c r="U2143" s="5" t="s">
        <v>14086</v>
      </c>
      <c r="V2143" s="5" t="s">
        <v>14086</v>
      </c>
      <c r="W2143" s="5" t="s">
        <v>72</v>
      </c>
      <c r="X2143" s="5" t="s">
        <v>72</v>
      </c>
      <c r="Y2143" s="4">
        <v>37</v>
      </c>
      <c r="Z2143" s="4">
        <v>2</v>
      </c>
      <c r="AA2143" s="4">
        <v>3</v>
      </c>
      <c r="AB2143" s="4">
        <v>1</v>
      </c>
      <c r="AC2143" s="4">
        <v>1</v>
      </c>
      <c r="AD2143" s="4">
        <v>14</v>
      </c>
      <c r="AE2143" s="4">
        <v>38</v>
      </c>
      <c r="AF2143" s="4">
        <v>0</v>
      </c>
      <c r="AG2143" s="4">
        <v>0</v>
      </c>
      <c r="AH2143" s="4">
        <v>13</v>
      </c>
      <c r="AI2143" s="4">
        <v>35</v>
      </c>
      <c r="AJ2143" s="4">
        <v>1</v>
      </c>
      <c r="AK2143" s="4">
        <v>1</v>
      </c>
      <c r="AL2143" s="4">
        <v>9</v>
      </c>
      <c r="AM2143" s="4">
        <v>27</v>
      </c>
      <c r="AN2143" s="4">
        <v>0</v>
      </c>
      <c r="AO2143" s="4">
        <v>0</v>
      </c>
      <c r="AP2143" s="4">
        <v>1</v>
      </c>
      <c r="AQ2143" s="4">
        <v>2</v>
      </c>
      <c r="AR2143" s="3" t="s">
        <v>65</v>
      </c>
      <c r="AS2143" s="3" t="s">
        <v>65</v>
      </c>
      <c r="AT2143" s="3" t="s">
        <v>65</v>
      </c>
      <c r="AV2143" s="6" t="str">
        <f>HYPERLINK("http://mcgill.on.worldcat.org/oclc/3991246","Catalog Record")</f>
        <v>Catalog Record</v>
      </c>
      <c r="AW2143" s="6" t="str">
        <f>HYPERLINK("http://www.worldcat.org/oclc/3991246","WorldCat Record")</f>
        <v>WorldCat Record</v>
      </c>
      <c r="AX2143" s="3" t="s">
        <v>20989</v>
      </c>
      <c r="AY2143" s="3" t="s">
        <v>20990</v>
      </c>
      <c r="AZ2143" s="3" t="s">
        <v>20991</v>
      </c>
      <c r="BA2143" s="3" t="s">
        <v>20991</v>
      </c>
      <c r="BB2143" s="3" t="s">
        <v>20992</v>
      </c>
      <c r="BC2143" s="3" t="s">
        <v>77</v>
      </c>
      <c r="BD2143" s="3" t="s">
        <v>78</v>
      </c>
      <c r="BF2143" s="3" t="s">
        <v>20992</v>
      </c>
      <c r="BG2143" s="3" t="s">
        <v>20993</v>
      </c>
    </row>
    <row r="2144" spans="1:59" ht="58" x14ac:dyDescent="0.35">
      <c r="A2144" s="2" t="s">
        <v>59</v>
      </c>
      <c r="B2144" s="2" t="s">
        <v>60</v>
      </c>
      <c r="C2144" s="2" t="s">
        <v>20994</v>
      </c>
      <c r="D2144" s="2" t="s">
        <v>20995</v>
      </c>
      <c r="E2144" s="2" t="s">
        <v>20996</v>
      </c>
      <c r="G2144" s="3" t="s">
        <v>65</v>
      </c>
      <c r="I2144" s="3" t="s">
        <v>65</v>
      </c>
      <c r="J2144" s="3" t="s">
        <v>65</v>
      </c>
      <c r="K2144" s="3" t="s">
        <v>66</v>
      </c>
      <c r="L2144" s="2" t="s">
        <v>20986</v>
      </c>
      <c r="M2144" s="2" t="s">
        <v>20997</v>
      </c>
      <c r="N2144" s="3" t="s">
        <v>1895</v>
      </c>
      <c r="P2144" s="3" t="s">
        <v>69</v>
      </c>
      <c r="Q2144" s="2" t="s">
        <v>20998</v>
      </c>
      <c r="R2144" s="3" t="s">
        <v>71</v>
      </c>
      <c r="S2144" s="4">
        <v>8</v>
      </c>
      <c r="T2144" s="4">
        <v>8</v>
      </c>
      <c r="U2144" s="5" t="s">
        <v>819</v>
      </c>
      <c r="V2144" s="5" t="s">
        <v>819</v>
      </c>
      <c r="W2144" s="5" t="s">
        <v>72</v>
      </c>
      <c r="X2144" s="5" t="s">
        <v>72</v>
      </c>
      <c r="Y2144" s="4">
        <v>150</v>
      </c>
      <c r="Z2144" s="4">
        <v>9</v>
      </c>
      <c r="AA2144" s="4">
        <v>9</v>
      </c>
      <c r="AB2144" s="4">
        <v>2</v>
      </c>
      <c r="AC2144" s="4">
        <v>2</v>
      </c>
      <c r="AD2144" s="4">
        <v>47</v>
      </c>
      <c r="AE2144" s="4">
        <v>48</v>
      </c>
      <c r="AF2144" s="4">
        <v>0</v>
      </c>
      <c r="AG2144" s="4">
        <v>0</v>
      </c>
      <c r="AH2144" s="4">
        <v>45</v>
      </c>
      <c r="AI2144" s="4">
        <v>46</v>
      </c>
      <c r="AJ2144" s="4">
        <v>2</v>
      </c>
      <c r="AK2144" s="4">
        <v>2</v>
      </c>
      <c r="AL2144" s="4">
        <v>35</v>
      </c>
      <c r="AM2144" s="4">
        <v>36</v>
      </c>
      <c r="AN2144" s="4">
        <v>0</v>
      </c>
      <c r="AO2144" s="4">
        <v>0</v>
      </c>
      <c r="AP2144" s="4">
        <v>2</v>
      </c>
      <c r="AQ2144" s="4">
        <v>2</v>
      </c>
      <c r="AR2144" s="3" t="s">
        <v>65</v>
      </c>
      <c r="AS2144" s="3" t="s">
        <v>65</v>
      </c>
      <c r="AT2144" s="3" t="s">
        <v>209</v>
      </c>
      <c r="AU2144" s="6" t="str">
        <f>HYPERLINK("http://catalog.hathitrust.org/Record/004034239","HathiTrust Record")</f>
        <v>HathiTrust Record</v>
      </c>
      <c r="AV2144" s="6" t="str">
        <f>HYPERLINK("http://mcgill.on.worldcat.org/oclc/39982248","Catalog Record")</f>
        <v>Catalog Record</v>
      </c>
      <c r="AW2144" s="6" t="str">
        <f>HYPERLINK("http://www.worldcat.org/oclc/39982248","WorldCat Record")</f>
        <v>WorldCat Record</v>
      </c>
      <c r="AX2144" s="3" t="s">
        <v>20999</v>
      </c>
      <c r="AY2144" s="3" t="s">
        <v>21000</v>
      </c>
      <c r="AZ2144" s="3" t="s">
        <v>21001</v>
      </c>
      <c r="BA2144" s="3" t="s">
        <v>21001</v>
      </c>
      <c r="BB2144" s="3" t="s">
        <v>21002</v>
      </c>
      <c r="BC2144" s="3" t="s">
        <v>77</v>
      </c>
      <c r="BD2144" s="3" t="s">
        <v>78</v>
      </c>
      <c r="BE2144" s="3" t="s">
        <v>21003</v>
      </c>
      <c r="BF2144" s="3" t="s">
        <v>21002</v>
      </c>
      <c r="BG2144" s="3" t="s">
        <v>21004</v>
      </c>
    </row>
    <row r="2145" spans="1:59" ht="58" x14ac:dyDescent="0.35">
      <c r="A2145" s="2" t="s">
        <v>59</v>
      </c>
      <c r="B2145" s="2" t="s">
        <v>60</v>
      </c>
      <c r="C2145" s="2" t="s">
        <v>21005</v>
      </c>
      <c r="D2145" s="2" t="s">
        <v>21006</v>
      </c>
      <c r="E2145" s="2" t="s">
        <v>21007</v>
      </c>
      <c r="G2145" s="3" t="s">
        <v>65</v>
      </c>
      <c r="I2145" s="3" t="s">
        <v>65</v>
      </c>
      <c r="J2145" s="3" t="s">
        <v>65</v>
      </c>
      <c r="K2145" s="3" t="s">
        <v>66</v>
      </c>
      <c r="L2145" s="2" t="s">
        <v>21008</v>
      </c>
      <c r="M2145" s="2" t="s">
        <v>21009</v>
      </c>
      <c r="N2145" s="3" t="s">
        <v>152</v>
      </c>
      <c r="P2145" s="3" t="s">
        <v>69</v>
      </c>
      <c r="R2145" s="3" t="s">
        <v>71</v>
      </c>
      <c r="S2145" s="4">
        <v>1</v>
      </c>
      <c r="T2145" s="4">
        <v>1</v>
      </c>
      <c r="U2145" s="5" t="s">
        <v>21010</v>
      </c>
      <c r="V2145" s="5" t="s">
        <v>21010</v>
      </c>
      <c r="W2145" s="5" t="s">
        <v>72</v>
      </c>
      <c r="X2145" s="5" t="s">
        <v>72</v>
      </c>
      <c r="Y2145" s="4">
        <v>47</v>
      </c>
      <c r="Z2145" s="4">
        <v>6</v>
      </c>
      <c r="AA2145" s="4">
        <v>6</v>
      </c>
      <c r="AB2145" s="4">
        <v>1</v>
      </c>
      <c r="AC2145" s="4">
        <v>1</v>
      </c>
      <c r="AD2145" s="4">
        <v>31</v>
      </c>
      <c r="AE2145" s="4">
        <v>31</v>
      </c>
      <c r="AF2145" s="4">
        <v>0</v>
      </c>
      <c r="AG2145" s="4">
        <v>0</v>
      </c>
      <c r="AH2145" s="4">
        <v>30</v>
      </c>
      <c r="AI2145" s="4">
        <v>30</v>
      </c>
      <c r="AJ2145" s="4">
        <v>4</v>
      </c>
      <c r="AK2145" s="4">
        <v>4</v>
      </c>
      <c r="AL2145" s="4">
        <v>23</v>
      </c>
      <c r="AM2145" s="4">
        <v>23</v>
      </c>
      <c r="AN2145" s="4">
        <v>0</v>
      </c>
      <c r="AO2145" s="4">
        <v>0</v>
      </c>
      <c r="AP2145" s="4">
        <v>4</v>
      </c>
      <c r="AQ2145" s="4">
        <v>4</v>
      </c>
      <c r="AR2145" s="3" t="s">
        <v>65</v>
      </c>
      <c r="AS2145" s="3" t="s">
        <v>65</v>
      </c>
      <c r="AT2145" s="3" t="s">
        <v>65</v>
      </c>
      <c r="AV2145" s="6" t="str">
        <f>HYPERLINK("http://mcgill.on.worldcat.org/oclc/838791904","Catalog Record")</f>
        <v>Catalog Record</v>
      </c>
      <c r="AW2145" s="6" t="str">
        <f>HYPERLINK("http://www.worldcat.org/oclc/838791904","WorldCat Record")</f>
        <v>WorldCat Record</v>
      </c>
      <c r="AX2145" s="3" t="s">
        <v>21011</v>
      </c>
      <c r="AY2145" s="3" t="s">
        <v>21012</v>
      </c>
      <c r="AZ2145" s="3" t="s">
        <v>21013</v>
      </c>
      <c r="BA2145" s="3" t="s">
        <v>21013</v>
      </c>
      <c r="BB2145" s="3" t="s">
        <v>21014</v>
      </c>
      <c r="BC2145" s="3" t="s">
        <v>77</v>
      </c>
      <c r="BD2145" s="3" t="s">
        <v>78</v>
      </c>
      <c r="BE2145" s="3" t="s">
        <v>21015</v>
      </c>
      <c r="BF2145" s="3" t="s">
        <v>21014</v>
      </c>
      <c r="BG2145" s="3" t="s">
        <v>21016</v>
      </c>
    </row>
    <row r="2146" spans="1:59" ht="58" x14ac:dyDescent="0.35">
      <c r="A2146" s="2" t="s">
        <v>59</v>
      </c>
      <c r="B2146" s="2" t="s">
        <v>60</v>
      </c>
      <c r="C2146" s="2" t="s">
        <v>21017</v>
      </c>
      <c r="D2146" s="2" t="s">
        <v>21018</v>
      </c>
      <c r="E2146" s="2" t="s">
        <v>21019</v>
      </c>
      <c r="G2146" s="3" t="s">
        <v>65</v>
      </c>
      <c r="I2146" s="3" t="s">
        <v>65</v>
      </c>
      <c r="J2146" s="3" t="s">
        <v>65</v>
      </c>
      <c r="K2146" s="3" t="s">
        <v>66</v>
      </c>
      <c r="L2146" s="2" t="s">
        <v>21020</v>
      </c>
      <c r="M2146" s="2" t="s">
        <v>21021</v>
      </c>
      <c r="N2146" s="3" t="s">
        <v>863</v>
      </c>
      <c r="P2146" s="3" t="s">
        <v>69</v>
      </c>
      <c r="R2146" s="3" t="s">
        <v>71</v>
      </c>
      <c r="S2146" s="4">
        <v>2</v>
      </c>
      <c r="T2146" s="4">
        <v>2</v>
      </c>
      <c r="U2146" s="5" t="s">
        <v>3235</v>
      </c>
      <c r="V2146" s="5" t="s">
        <v>3235</v>
      </c>
      <c r="W2146" s="5" t="s">
        <v>72</v>
      </c>
      <c r="X2146" s="5" t="s">
        <v>72</v>
      </c>
      <c r="Y2146" s="4">
        <v>207</v>
      </c>
      <c r="Z2146" s="4">
        <v>9</v>
      </c>
      <c r="AA2146" s="4">
        <v>11</v>
      </c>
      <c r="AB2146" s="4">
        <v>1</v>
      </c>
      <c r="AC2146" s="4">
        <v>1</v>
      </c>
      <c r="AD2146" s="4">
        <v>67</v>
      </c>
      <c r="AE2146" s="4">
        <v>69</v>
      </c>
      <c r="AF2146" s="4">
        <v>0</v>
      </c>
      <c r="AG2146" s="4">
        <v>0</v>
      </c>
      <c r="AH2146" s="4">
        <v>63</v>
      </c>
      <c r="AI2146" s="4">
        <v>63</v>
      </c>
      <c r="AJ2146" s="4">
        <v>6</v>
      </c>
      <c r="AK2146" s="4">
        <v>7</v>
      </c>
      <c r="AL2146" s="4">
        <v>42</v>
      </c>
      <c r="AM2146" s="4">
        <v>42</v>
      </c>
      <c r="AN2146" s="4">
        <v>0</v>
      </c>
      <c r="AO2146" s="4">
        <v>0</v>
      </c>
      <c r="AP2146" s="4">
        <v>6</v>
      </c>
      <c r="AQ2146" s="4">
        <v>8</v>
      </c>
      <c r="AR2146" s="3" t="s">
        <v>65</v>
      </c>
      <c r="AS2146" s="3" t="s">
        <v>65</v>
      </c>
      <c r="AT2146" s="3" t="s">
        <v>209</v>
      </c>
      <c r="AU2146" s="6" t="str">
        <f>HYPERLINK("http://catalog.hathitrust.org/Record/002582661","HathiTrust Record")</f>
        <v>HathiTrust Record</v>
      </c>
      <c r="AV2146" s="6" t="str">
        <f>HYPERLINK("http://mcgill.on.worldcat.org/oclc/24504076","Catalog Record")</f>
        <v>Catalog Record</v>
      </c>
      <c r="AW2146" s="6" t="str">
        <f>HYPERLINK("http://www.worldcat.org/oclc/24504076","WorldCat Record")</f>
        <v>WorldCat Record</v>
      </c>
      <c r="AX2146" s="3" t="s">
        <v>21022</v>
      </c>
      <c r="AY2146" s="3" t="s">
        <v>21023</v>
      </c>
      <c r="AZ2146" s="3" t="s">
        <v>21024</v>
      </c>
      <c r="BA2146" s="3" t="s">
        <v>21024</v>
      </c>
      <c r="BB2146" s="3" t="s">
        <v>21025</v>
      </c>
      <c r="BC2146" s="3" t="s">
        <v>77</v>
      </c>
      <c r="BD2146" s="3" t="s">
        <v>78</v>
      </c>
      <c r="BE2146" s="3" t="s">
        <v>21026</v>
      </c>
      <c r="BF2146" s="3" t="s">
        <v>21025</v>
      </c>
      <c r="BG2146" s="3" t="s">
        <v>21027</v>
      </c>
    </row>
    <row r="2147" spans="1:59" ht="58" x14ac:dyDescent="0.35">
      <c r="A2147" s="2" t="s">
        <v>59</v>
      </c>
      <c r="B2147" s="2" t="s">
        <v>60</v>
      </c>
      <c r="C2147" s="2" t="s">
        <v>21028</v>
      </c>
      <c r="D2147" s="2" t="s">
        <v>21029</v>
      </c>
      <c r="E2147" s="2" t="s">
        <v>21030</v>
      </c>
      <c r="G2147" s="3" t="s">
        <v>65</v>
      </c>
      <c r="I2147" s="3" t="s">
        <v>65</v>
      </c>
      <c r="J2147" s="3" t="s">
        <v>65</v>
      </c>
      <c r="K2147" s="3" t="s">
        <v>66</v>
      </c>
      <c r="L2147" s="2" t="s">
        <v>21020</v>
      </c>
      <c r="M2147" s="2" t="s">
        <v>21031</v>
      </c>
      <c r="N2147" s="3" t="s">
        <v>1932</v>
      </c>
      <c r="P2147" s="3" t="s">
        <v>69</v>
      </c>
      <c r="R2147" s="3" t="s">
        <v>71</v>
      </c>
      <c r="S2147" s="4">
        <v>8</v>
      </c>
      <c r="T2147" s="4">
        <v>8</v>
      </c>
      <c r="U2147" s="5" t="s">
        <v>13846</v>
      </c>
      <c r="V2147" s="5" t="s">
        <v>13846</v>
      </c>
      <c r="W2147" s="5" t="s">
        <v>72</v>
      </c>
      <c r="X2147" s="5" t="s">
        <v>72</v>
      </c>
      <c r="Y2147" s="4">
        <v>227</v>
      </c>
      <c r="Z2147" s="4">
        <v>14</v>
      </c>
      <c r="AA2147" s="4">
        <v>17</v>
      </c>
      <c r="AB2147" s="4">
        <v>1</v>
      </c>
      <c r="AC2147" s="4">
        <v>2</v>
      </c>
      <c r="AD2147" s="4">
        <v>66</v>
      </c>
      <c r="AE2147" s="4">
        <v>75</v>
      </c>
      <c r="AF2147" s="4">
        <v>0</v>
      </c>
      <c r="AG2147" s="4">
        <v>1</v>
      </c>
      <c r="AH2147" s="4">
        <v>62</v>
      </c>
      <c r="AI2147" s="4">
        <v>70</v>
      </c>
      <c r="AJ2147" s="4">
        <v>5</v>
      </c>
      <c r="AK2147" s="4">
        <v>6</v>
      </c>
      <c r="AL2147" s="4">
        <v>40</v>
      </c>
      <c r="AM2147" s="4">
        <v>45</v>
      </c>
      <c r="AN2147" s="4">
        <v>0</v>
      </c>
      <c r="AO2147" s="4">
        <v>0</v>
      </c>
      <c r="AP2147" s="4">
        <v>7</v>
      </c>
      <c r="AQ2147" s="4">
        <v>9</v>
      </c>
      <c r="AR2147" s="3" t="s">
        <v>65</v>
      </c>
      <c r="AS2147" s="3" t="s">
        <v>65</v>
      </c>
      <c r="AT2147" s="3" t="s">
        <v>65</v>
      </c>
      <c r="AV2147" s="6" t="str">
        <f>HYPERLINK("http://mcgill.on.worldcat.org/oclc/30156290","Catalog Record")</f>
        <v>Catalog Record</v>
      </c>
      <c r="AW2147" s="6" t="str">
        <f>HYPERLINK("http://www.worldcat.org/oclc/30156290","WorldCat Record")</f>
        <v>WorldCat Record</v>
      </c>
      <c r="AX2147" s="3" t="s">
        <v>21032</v>
      </c>
      <c r="AY2147" s="3" t="s">
        <v>21033</v>
      </c>
      <c r="AZ2147" s="3" t="s">
        <v>21034</v>
      </c>
      <c r="BA2147" s="3" t="s">
        <v>21034</v>
      </c>
      <c r="BB2147" s="3" t="s">
        <v>21035</v>
      </c>
      <c r="BC2147" s="3" t="s">
        <v>77</v>
      </c>
      <c r="BD2147" s="3" t="s">
        <v>78</v>
      </c>
      <c r="BE2147" s="3" t="s">
        <v>21036</v>
      </c>
      <c r="BF2147" s="3" t="s">
        <v>21035</v>
      </c>
      <c r="BG2147" s="3" t="s">
        <v>21037</v>
      </c>
    </row>
    <row r="2148" spans="1:59" ht="58" x14ac:dyDescent="0.35">
      <c r="A2148" s="2" t="s">
        <v>59</v>
      </c>
      <c r="B2148" s="2" t="s">
        <v>60</v>
      </c>
      <c r="C2148" s="2" t="s">
        <v>21038</v>
      </c>
      <c r="D2148" s="2" t="s">
        <v>21039</v>
      </c>
      <c r="E2148" s="2" t="s">
        <v>21040</v>
      </c>
      <c r="G2148" s="3" t="s">
        <v>65</v>
      </c>
      <c r="I2148" s="3" t="s">
        <v>65</v>
      </c>
      <c r="J2148" s="3" t="s">
        <v>65</v>
      </c>
      <c r="K2148" s="3" t="s">
        <v>66</v>
      </c>
      <c r="L2148" s="2" t="s">
        <v>21041</v>
      </c>
      <c r="M2148" s="2" t="s">
        <v>21042</v>
      </c>
      <c r="N2148" s="3" t="s">
        <v>126</v>
      </c>
      <c r="P2148" s="3" t="s">
        <v>140</v>
      </c>
      <c r="R2148" s="3" t="s">
        <v>71</v>
      </c>
      <c r="S2148" s="4">
        <v>0</v>
      </c>
      <c r="T2148" s="4">
        <v>0</v>
      </c>
      <c r="W2148" s="5" t="s">
        <v>72</v>
      </c>
      <c r="X2148" s="5" t="s">
        <v>72</v>
      </c>
      <c r="Y2148" s="4">
        <v>25</v>
      </c>
      <c r="Z2148" s="4">
        <v>3</v>
      </c>
      <c r="AA2148" s="4">
        <v>3</v>
      </c>
      <c r="AB2148" s="4">
        <v>1</v>
      </c>
      <c r="AC2148" s="4">
        <v>1</v>
      </c>
      <c r="AD2148" s="4">
        <v>18</v>
      </c>
      <c r="AE2148" s="4">
        <v>18</v>
      </c>
      <c r="AF2148" s="4">
        <v>0</v>
      </c>
      <c r="AG2148" s="4">
        <v>0</v>
      </c>
      <c r="AH2148" s="4">
        <v>17</v>
      </c>
      <c r="AI2148" s="4">
        <v>17</v>
      </c>
      <c r="AJ2148" s="4">
        <v>1</v>
      </c>
      <c r="AK2148" s="4">
        <v>1</v>
      </c>
      <c r="AL2148" s="4">
        <v>16</v>
      </c>
      <c r="AM2148" s="4">
        <v>16</v>
      </c>
      <c r="AN2148" s="4">
        <v>0</v>
      </c>
      <c r="AO2148" s="4">
        <v>0</v>
      </c>
      <c r="AP2148" s="4">
        <v>1</v>
      </c>
      <c r="AQ2148" s="4">
        <v>1</v>
      </c>
      <c r="AR2148" s="3" t="s">
        <v>65</v>
      </c>
      <c r="AS2148" s="3" t="s">
        <v>65</v>
      </c>
      <c r="AT2148" s="3" t="s">
        <v>65</v>
      </c>
      <c r="AV2148" s="6" t="str">
        <f>HYPERLINK("http://mcgill.on.worldcat.org/oclc/724303318","Catalog Record")</f>
        <v>Catalog Record</v>
      </c>
      <c r="AW2148" s="6" t="str">
        <f>HYPERLINK("http://www.worldcat.org/oclc/724303318","WorldCat Record")</f>
        <v>WorldCat Record</v>
      </c>
      <c r="AX2148" s="3" t="s">
        <v>21043</v>
      </c>
      <c r="AY2148" s="3" t="s">
        <v>21044</v>
      </c>
      <c r="AZ2148" s="3" t="s">
        <v>21045</v>
      </c>
      <c r="BA2148" s="3" t="s">
        <v>21045</v>
      </c>
      <c r="BB2148" s="3" t="s">
        <v>21046</v>
      </c>
      <c r="BC2148" s="3" t="s">
        <v>77</v>
      </c>
      <c r="BD2148" s="3" t="s">
        <v>78</v>
      </c>
      <c r="BE2148" s="3" t="s">
        <v>21047</v>
      </c>
      <c r="BF2148" s="3" t="s">
        <v>21046</v>
      </c>
      <c r="BG2148" s="3" t="s">
        <v>21048</v>
      </c>
    </row>
    <row r="2149" spans="1:59" ht="58" x14ac:dyDescent="0.35">
      <c r="A2149" s="2" t="s">
        <v>59</v>
      </c>
      <c r="B2149" s="2" t="s">
        <v>60</v>
      </c>
      <c r="C2149" s="2" t="s">
        <v>21049</v>
      </c>
      <c r="D2149" s="2" t="s">
        <v>21050</v>
      </c>
      <c r="E2149" s="2" t="s">
        <v>21051</v>
      </c>
      <c r="G2149" s="3" t="s">
        <v>65</v>
      </c>
      <c r="I2149" s="3" t="s">
        <v>65</v>
      </c>
      <c r="J2149" s="3" t="s">
        <v>209</v>
      </c>
      <c r="K2149" s="3" t="s">
        <v>66</v>
      </c>
      <c r="L2149" s="2" t="s">
        <v>21052</v>
      </c>
      <c r="M2149" s="2" t="s">
        <v>21053</v>
      </c>
      <c r="N2149" s="3" t="s">
        <v>5130</v>
      </c>
      <c r="O2149" s="2" t="s">
        <v>16651</v>
      </c>
      <c r="P2149" s="3" t="s">
        <v>140</v>
      </c>
      <c r="Q2149" s="2" t="s">
        <v>21054</v>
      </c>
      <c r="R2149" s="3" t="s">
        <v>71</v>
      </c>
      <c r="S2149" s="4">
        <v>8</v>
      </c>
      <c r="T2149" s="4">
        <v>8</v>
      </c>
      <c r="U2149" s="5" t="s">
        <v>9827</v>
      </c>
      <c r="V2149" s="5" t="s">
        <v>9827</v>
      </c>
      <c r="W2149" s="5" t="s">
        <v>72</v>
      </c>
      <c r="X2149" s="5" t="s">
        <v>72</v>
      </c>
      <c r="Y2149" s="4">
        <v>33</v>
      </c>
      <c r="Z2149" s="4">
        <v>7</v>
      </c>
      <c r="AA2149" s="4">
        <v>10</v>
      </c>
      <c r="AB2149" s="4">
        <v>1</v>
      </c>
      <c r="AC2149" s="4">
        <v>1</v>
      </c>
      <c r="AD2149" s="4">
        <v>14</v>
      </c>
      <c r="AE2149" s="4">
        <v>38</v>
      </c>
      <c r="AF2149" s="4">
        <v>0</v>
      </c>
      <c r="AG2149" s="4">
        <v>0</v>
      </c>
      <c r="AH2149" s="4">
        <v>14</v>
      </c>
      <c r="AI2149" s="4">
        <v>36</v>
      </c>
      <c r="AJ2149" s="4">
        <v>4</v>
      </c>
      <c r="AK2149" s="4">
        <v>5</v>
      </c>
      <c r="AL2149" s="4">
        <v>9</v>
      </c>
      <c r="AM2149" s="4">
        <v>29</v>
      </c>
      <c r="AN2149" s="4">
        <v>0</v>
      </c>
      <c r="AO2149" s="4">
        <v>3</v>
      </c>
      <c r="AP2149" s="4">
        <v>4</v>
      </c>
      <c r="AQ2149" s="4">
        <v>5</v>
      </c>
      <c r="AR2149" s="3" t="s">
        <v>65</v>
      </c>
      <c r="AS2149" s="3" t="s">
        <v>65</v>
      </c>
      <c r="AT2149" s="3" t="s">
        <v>209</v>
      </c>
      <c r="AU2149" s="6" t="str">
        <f>HYPERLINK("http://catalog.hathitrust.org/Record/001220108","HathiTrust Record")</f>
        <v>HathiTrust Record</v>
      </c>
      <c r="AV2149" s="6" t="str">
        <f>HYPERLINK("http://mcgill.on.worldcat.org/oclc/950808","Catalog Record")</f>
        <v>Catalog Record</v>
      </c>
      <c r="AW2149" s="6" t="str">
        <f>HYPERLINK("http://www.worldcat.org/oclc/950808","WorldCat Record")</f>
        <v>WorldCat Record</v>
      </c>
      <c r="AX2149" s="3" t="s">
        <v>21055</v>
      </c>
      <c r="AY2149" s="3" t="s">
        <v>21056</v>
      </c>
      <c r="AZ2149" s="3" t="s">
        <v>21057</v>
      </c>
      <c r="BA2149" s="3" t="s">
        <v>21057</v>
      </c>
      <c r="BB2149" s="3" t="s">
        <v>21058</v>
      </c>
      <c r="BC2149" s="3" t="s">
        <v>77</v>
      </c>
      <c r="BD2149" s="3" t="s">
        <v>78</v>
      </c>
      <c r="BF2149" s="3" t="s">
        <v>21058</v>
      </c>
      <c r="BG2149" s="3" t="s">
        <v>21059</v>
      </c>
    </row>
    <row r="2150" spans="1:59" ht="58" x14ac:dyDescent="0.35">
      <c r="A2150" s="2" t="s">
        <v>59</v>
      </c>
      <c r="B2150" s="2" t="s">
        <v>60</v>
      </c>
      <c r="C2150" s="2" t="s">
        <v>21060</v>
      </c>
      <c r="D2150" s="2" t="s">
        <v>21061</v>
      </c>
      <c r="E2150" s="2" t="s">
        <v>21062</v>
      </c>
      <c r="G2150" s="3" t="s">
        <v>65</v>
      </c>
      <c r="I2150" s="3" t="s">
        <v>65</v>
      </c>
      <c r="J2150" s="3" t="s">
        <v>209</v>
      </c>
      <c r="K2150" s="3" t="s">
        <v>66</v>
      </c>
      <c r="L2150" s="2" t="s">
        <v>21052</v>
      </c>
      <c r="M2150" s="2" t="s">
        <v>21063</v>
      </c>
      <c r="N2150" s="3" t="s">
        <v>247</v>
      </c>
      <c r="P2150" s="3" t="s">
        <v>140</v>
      </c>
      <c r="Q2150" s="2" t="s">
        <v>21064</v>
      </c>
      <c r="R2150" s="3" t="s">
        <v>71</v>
      </c>
      <c r="S2150" s="4">
        <v>6</v>
      </c>
      <c r="T2150" s="4">
        <v>6</v>
      </c>
      <c r="U2150" s="5" t="s">
        <v>6859</v>
      </c>
      <c r="V2150" s="5" t="s">
        <v>6859</v>
      </c>
      <c r="W2150" s="5" t="s">
        <v>72</v>
      </c>
      <c r="X2150" s="5" t="s">
        <v>72</v>
      </c>
      <c r="Y2150" s="4">
        <v>29</v>
      </c>
      <c r="Z2150" s="4">
        <v>4</v>
      </c>
      <c r="AA2150" s="4">
        <v>10</v>
      </c>
      <c r="AB2150" s="4">
        <v>1</v>
      </c>
      <c r="AC2150" s="4">
        <v>1</v>
      </c>
      <c r="AD2150" s="4">
        <v>14</v>
      </c>
      <c r="AE2150" s="4">
        <v>38</v>
      </c>
      <c r="AF2150" s="4">
        <v>0</v>
      </c>
      <c r="AG2150" s="4">
        <v>0</v>
      </c>
      <c r="AH2150" s="4">
        <v>14</v>
      </c>
      <c r="AI2150" s="4">
        <v>36</v>
      </c>
      <c r="AJ2150" s="4">
        <v>2</v>
      </c>
      <c r="AK2150" s="4">
        <v>5</v>
      </c>
      <c r="AL2150" s="4">
        <v>12</v>
      </c>
      <c r="AM2150" s="4">
        <v>29</v>
      </c>
      <c r="AN2150" s="4">
        <v>0</v>
      </c>
      <c r="AO2150" s="4">
        <v>3</v>
      </c>
      <c r="AP2150" s="4">
        <v>2</v>
      </c>
      <c r="AQ2150" s="4">
        <v>5</v>
      </c>
      <c r="AR2150" s="3" t="s">
        <v>65</v>
      </c>
      <c r="AS2150" s="3" t="s">
        <v>65</v>
      </c>
      <c r="AT2150" s="3" t="s">
        <v>209</v>
      </c>
      <c r="AU2150" s="6" t="str">
        <f>HYPERLINK("http://catalog.hathitrust.org/Record/007965087","HathiTrust Record")</f>
        <v>HathiTrust Record</v>
      </c>
      <c r="AV2150" s="6" t="str">
        <f>HYPERLINK("http://mcgill.on.worldcat.org/oclc/30372331","Catalog Record")</f>
        <v>Catalog Record</v>
      </c>
      <c r="AW2150" s="6" t="str">
        <f>HYPERLINK("http://www.worldcat.org/oclc/30372331","WorldCat Record")</f>
        <v>WorldCat Record</v>
      </c>
      <c r="AX2150" s="3" t="s">
        <v>21055</v>
      </c>
      <c r="AY2150" s="3" t="s">
        <v>21065</v>
      </c>
      <c r="AZ2150" s="3" t="s">
        <v>21066</v>
      </c>
      <c r="BA2150" s="3" t="s">
        <v>21066</v>
      </c>
      <c r="BB2150" s="3" t="s">
        <v>21067</v>
      </c>
      <c r="BC2150" s="3" t="s">
        <v>77</v>
      </c>
      <c r="BD2150" s="3" t="s">
        <v>78</v>
      </c>
      <c r="BE2150" s="3" t="s">
        <v>21068</v>
      </c>
      <c r="BF2150" s="3" t="s">
        <v>21067</v>
      </c>
      <c r="BG2150" s="3" t="s">
        <v>21069</v>
      </c>
    </row>
    <row r="2151" spans="1:59" ht="58" x14ac:dyDescent="0.35">
      <c r="A2151" s="2" t="s">
        <v>59</v>
      </c>
      <c r="B2151" s="2" t="s">
        <v>60</v>
      </c>
      <c r="C2151" s="2" t="s">
        <v>21070</v>
      </c>
      <c r="D2151" s="2" t="s">
        <v>21071</v>
      </c>
      <c r="E2151" s="2" t="s">
        <v>21072</v>
      </c>
      <c r="G2151" s="3" t="s">
        <v>65</v>
      </c>
      <c r="I2151" s="3" t="s">
        <v>65</v>
      </c>
      <c r="J2151" s="3" t="s">
        <v>65</v>
      </c>
      <c r="K2151" s="3" t="s">
        <v>66</v>
      </c>
      <c r="L2151" s="2" t="s">
        <v>21073</v>
      </c>
      <c r="M2151" s="2" t="s">
        <v>21074</v>
      </c>
      <c r="N2151" s="3" t="s">
        <v>164</v>
      </c>
      <c r="P2151" s="3" t="s">
        <v>140</v>
      </c>
      <c r="Q2151" s="2" t="s">
        <v>21075</v>
      </c>
      <c r="R2151" s="3" t="s">
        <v>71</v>
      </c>
      <c r="S2151" s="4">
        <v>0</v>
      </c>
      <c r="T2151" s="4">
        <v>0</v>
      </c>
      <c r="W2151" s="5" t="s">
        <v>72</v>
      </c>
      <c r="X2151" s="5" t="s">
        <v>72</v>
      </c>
      <c r="Y2151" s="4">
        <v>31</v>
      </c>
      <c r="Z2151" s="4">
        <v>3</v>
      </c>
      <c r="AA2151" s="4">
        <v>3</v>
      </c>
      <c r="AB2151" s="4">
        <v>1</v>
      </c>
      <c r="AC2151" s="4">
        <v>1</v>
      </c>
      <c r="AD2151" s="4">
        <v>20</v>
      </c>
      <c r="AE2151" s="4">
        <v>20</v>
      </c>
      <c r="AF2151" s="4">
        <v>0</v>
      </c>
      <c r="AG2151" s="4">
        <v>0</v>
      </c>
      <c r="AH2151" s="4">
        <v>19</v>
      </c>
      <c r="AI2151" s="4">
        <v>19</v>
      </c>
      <c r="AJ2151" s="4">
        <v>1</v>
      </c>
      <c r="AK2151" s="4">
        <v>1</v>
      </c>
      <c r="AL2151" s="4">
        <v>16</v>
      </c>
      <c r="AM2151" s="4">
        <v>16</v>
      </c>
      <c r="AN2151" s="4">
        <v>0</v>
      </c>
      <c r="AO2151" s="4">
        <v>0</v>
      </c>
      <c r="AP2151" s="4">
        <v>1</v>
      </c>
      <c r="AQ2151" s="4">
        <v>1</v>
      </c>
      <c r="AR2151" s="3" t="s">
        <v>65</v>
      </c>
      <c r="AS2151" s="3" t="s">
        <v>65</v>
      </c>
      <c r="AT2151" s="3" t="s">
        <v>65</v>
      </c>
      <c r="AV2151" s="6" t="str">
        <f>HYPERLINK("http://mcgill.on.worldcat.org/oclc/911267391","Catalog Record")</f>
        <v>Catalog Record</v>
      </c>
      <c r="AW2151" s="6" t="str">
        <f>HYPERLINK("http://www.worldcat.org/oclc/911267391","WorldCat Record")</f>
        <v>WorldCat Record</v>
      </c>
      <c r="AX2151" s="3" t="s">
        <v>21076</v>
      </c>
      <c r="AY2151" s="3" t="s">
        <v>21077</v>
      </c>
      <c r="AZ2151" s="3" t="s">
        <v>21078</v>
      </c>
      <c r="BA2151" s="3" t="s">
        <v>21078</v>
      </c>
      <c r="BB2151" s="3" t="s">
        <v>21079</v>
      </c>
      <c r="BC2151" s="3" t="s">
        <v>77</v>
      </c>
      <c r="BD2151" s="3" t="s">
        <v>78</v>
      </c>
      <c r="BE2151" s="3" t="s">
        <v>21080</v>
      </c>
      <c r="BF2151" s="3" t="s">
        <v>21079</v>
      </c>
      <c r="BG2151" s="3" t="s">
        <v>21081</v>
      </c>
    </row>
    <row r="2152" spans="1:59" ht="58" x14ac:dyDescent="0.35">
      <c r="A2152" s="2" t="s">
        <v>59</v>
      </c>
      <c r="B2152" s="2" t="s">
        <v>60</v>
      </c>
      <c r="C2152" s="2" t="s">
        <v>21082</v>
      </c>
      <c r="D2152" s="2" t="s">
        <v>21083</v>
      </c>
      <c r="E2152" s="2" t="s">
        <v>21084</v>
      </c>
      <c r="F2152" s="3" t="s">
        <v>258</v>
      </c>
      <c r="G2152" s="3" t="s">
        <v>209</v>
      </c>
      <c r="I2152" s="3" t="s">
        <v>65</v>
      </c>
      <c r="J2152" s="3" t="s">
        <v>209</v>
      </c>
      <c r="K2152" s="3" t="s">
        <v>66</v>
      </c>
      <c r="L2152" s="2" t="s">
        <v>21085</v>
      </c>
      <c r="M2152" s="2" t="s">
        <v>21086</v>
      </c>
      <c r="N2152" s="3" t="s">
        <v>3994</v>
      </c>
      <c r="P2152" s="3" t="s">
        <v>140</v>
      </c>
      <c r="Q2152" s="2" t="s">
        <v>21087</v>
      </c>
      <c r="R2152" s="3" t="s">
        <v>71</v>
      </c>
      <c r="S2152" s="4">
        <v>0</v>
      </c>
      <c r="T2152" s="4">
        <v>15</v>
      </c>
      <c r="V2152" s="5" t="s">
        <v>21088</v>
      </c>
      <c r="W2152" s="5" t="s">
        <v>72</v>
      </c>
      <c r="X2152" s="5" t="s">
        <v>72</v>
      </c>
      <c r="Y2152" s="4">
        <v>105</v>
      </c>
      <c r="Z2152" s="4">
        <v>8</v>
      </c>
      <c r="AA2152" s="4">
        <v>19</v>
      </c>
      <c r="AB2152" s="4">
        <v>2</v>
      </c>
      <c r="AC2152" s="4">
        <v>2</v>
      </c>
      <c r="AD2152" s="4">
        <v>33</v>
      </c>
      <c r="AE2152" s="4">
        <v>90</v>
      </c>
      <c r="AF2152" s="4">
        <v>1</v>
      </c>
      <c r="AG2152" s="4">
        <v>1</v>
      </c>
      <c r="AH2152" s="4">
        <v>28</v>
      </c>
      <c r="AI2152" s="4">
        <v>83</v>
      </c>
      <c r="AJ2152" s="4">
        <v>4</v>
      </c>
      <c r="AK2152" s="4">
        <v>12</v>
      </c>
      <c r="AL2152" s="4">
        <v>17</v>
      </c>
      <c r="AM2152" s="4">
        <v>45</v>
      </c>
      <c r="AN2152" s="4">
        <v>0</v>
      </c>
      <c r="AO2152" s="4">
        <v>2</v>
      </c>
      <c r="AP2152" s="4">
        <v>5</v>
      </c>
      <c r="AQ2152" s="4">
        <v>13</v>
      </c>
      <c r="AR2152" s="3" t="s">
        <v>65</v>
      </c>
      <c r="AS2152" s="3" t="s">
        <v>65</v>
      </c>
      <c r="AT2152" s="3" t="s">
        <v>65</v>
      </c>
      <c r="AV2152" s="6" t="str">
        <f>HYPERLINK("http://mcgill.on.worldcat.org/oclc/3835056","Catalog Record")</f>
        <v>Catalog Record</v>
      </c>
      <c r="AW2152" s="6" t="str">
        <f>HYPERLINK("http://www.worldcat.org/oclc/3835056","WorldCat Record")</f>
        <v>WorldCat Record</v>
      </c>
      <c r="AX2152" s="3" t="s">
        <v>21089</v>
      </c>
      <c r="AY2152" s="3" t="s">
        <v>21090</v>
      </c>
      <c r="AZ2152" s="3" t="s">
        <v>21091</v>
      </c>
      <c r="BA2152" s="3" t="s">
        <v>21091</v>
      </c>
      <c r="BB2152" s="3" t="s">
        <v>21092</v>
      </c>
      <c r="BC2152" s="3" t="s">
        <v>77</v>
      </c>
      <c r="BD2152" s="3" t="s">
        <v>78</v>
      </c>
      <c r="BF2152" s="3" t="s">
        <v>21092</v>
      </c>
      <c r="BG2152" s="3" t="s">
        <v>21093</v>
      </c>
    </row>
    <row r="2153" spans="1:59" ht="58" x14ac:dyDescent="0.35">
      <c r="A2153" s="2" t="s">
        <v>59</v>
      </c>
      <c r="B2153" s="2" t="s">
        <v>60</v>
      </c>
      <c r="C2153" s="2" t="s">
        <v>21082</v>
      </c>
      <c r="D2153" s="2" t="s">
        <v>21083</v>
      </c>
      <c r="E2153" s="2" t="s">
        <v>21084</v>
      </c>
      <c r="F2153" s="3" t="s">
        <v>245</v>
      </c>
      <c r="G2153" s="3" t="s">
        <v>209</v>
      </c>
      <c r="I2153" s="3" t="s">
        <v>65</v>
      </c>
      <c r="J2153" s="3" t="s">
        <v>209</v>
      </c>
      <c r="K2153" s="3" t="s">
        <v>66</v>
      </c>
      <c r="L2153" s="2" t="s">
        <v>21085</v>
      </c>
      <c r="M2153" s="2" t="s">
        <v>21086</v>
      </c>
      <c r="N2153" s="3" t="s">
        <v>3994</v>
      </c>
      <c r="P2153" s="3" t="s">
        <v>140</v>
      </c>
      <c r="Q2153" s="2" t="s">
        <v>21087</v>
      </c>
      <c r="R2153" s="3" t="s">
        <v>71</v>
      </c>
      <c r="S2153" s="4">
        <v>15</v>
      </c>
      <c r="T2153" s="4">
        <v>15</v>
      </c>
      <c r="U2153" s="5" t="s">
        <v>21088</v>
      </c>
      <c r="V2153" s="5" t="s">
        <v>21088</v>
      </c>
      <c r="W2153" s="5" t="s">
        <v>72</v>
      </c>
      <c r="X2153" s="5" t="s">
        <v>72</v>
      </c>
      <c r="Y2153" s="4">
        <v>105</v>
      </c>
      <c r="Z2153" s="4">
        <v>8</v>
      </c>
      <c r="AA2153" s="4">
        <v>19</v>
      </c>
      <c r="AB2153" s="4">
        <v>2</v>
      </c>
      <c r="AC2153" s="4">
        <v>2</v>
      </c>
      <c r="AD2153" s="4">
        <v>33</v>
      </c>
      <c r="AE2153" s="4">
        <v>90</v>
      </c>
      <c r="AF2153" s="4">
        <v>1</v>
      </c>
      <c r="AG2153" s="4">
        <v>1</v>
      </c>
      <c r="AH2153" s="4">
        <v>28</v>
      </c>
      <c r="AI2153" s="4">
        <v>83</v>
      </c>
      <c r="AJ2153" s="4">
        <v>4</v>
      </c>
      <c r="AK2153" s="4">
        <v>12</v>
      </c>
      <c r="AL2153" s="4">
        <v>17</v>
      </c>
      <c r="AM2153" s="4">
        <v>45</v>
      </c>
      <c r="AN2153" s="4">
        <v>0</v>
      </c>
      <c r="AO2153" s="4">
        <v>2</v>
      </c>
      <c r="AP2153" s="4">
        <v>5</v>
      </c>
      <c r="AQ2153" s="4">
        <v>13</v>
      </c>
      <c r="AR2153" s="3" t="s">
        <v>65</v>
      </c>
      <c r="AS2153" s="3" t="s">
        <v>65</v>
      </c>
      <c r="AT2153" s="3" t="s">
        <v>65</v>
      </c>
      <c r="AV2153" s="6" t="str">
        <f>HYPERLINK("http://mcgill.on.worldcat.org/oclc/3835056","Catalog Record")</f>
        <v>Catalog Record</v>
      </c>
      <c r="AW2153" s="6" t="str">
        <f>HYPERLINK("http://www.worldcat.org/oclc/3835056","WorldCat Record")</f>
        <v>WorldCat Record</v>
      </c>
      <c r="AX2153" s="3" t="s">
        <v>21089</v>
      </c>
      <c r="AY2153" s="3" t="s">
        <v>21090</v>
      </c>
      <c r="AZ2153" s="3" t="s">
        <v>21091</v>
      </c>
      <c r="BA2153" s="3" t="s">
        <v>21091</v>
      </c>
      <c r="BB2153" s="3" t="s">
        <v>21094</v>
      </c>
      <c r="BC2153" s="3" t="s">
        <v>77</v>
      </c>
      <c r="BD2153" s="3" t="s">
        <v>78</v>
      </c>
      <c r="BF2153" s="3" t="s">
        <v>21094</v>
      </c>
      <c r="BG2153" s="3" t="s">
        <v>21095</v>
      </c>
    </row>
    <row r="2154" spans="1:59" ht="72.5" x14ac:dyDescent="0.35">
      <c r="A2154" s="2" t="s">
        <v>59</v>
      </c>
      <c r="B2154" s="2" t="s">
        <v>60</v>
      </c>
      <c r="C2154" s="2" t="s">
        <v>21096</v>
      </c>
      <c r="D2154" s="2" t="s">
        <v>21097</v>
      </c>
      <c r="E2154" s="2" t="s">
        <v>21098</v>
      </c>
      <c r="G2154" s="3" t="s">
        <v>65</v>
      </c>
      <c r="I2154" s="3" t="s">
        <v>209</v>
      </c>
      <c r="J2154" s="3" t="s">
        <v>65</v>
      </c>
      <c r="K2154" s="3" t="s">
        <v>66</v>
      </c>
      <c r="L2154" s="2" t="s">
        <v>21099</v>
      </c>
      <c r="M2154" s="2" t="s">
        <v>21100</v>
      </c>
      <c r="N2154" s="3" t="s">
        <v>5130</v>
      </c>
      <c r="O2154" s="2" t="s">
        <v>21101</v>
      </c>
      <c r="P2154" s="3" t="s">
        <v>69</v>
      </c>
      <c r="R2154" s="3" t="s">
        <v>71</v>
      </c>
      <c r="S2154" s="4">
        <v>13</v>
      </c>
      <c r="T2154" s="4">
        <v>26</v>
      </c>
      <c r="U2154" s="5" t="s">
        <v>21102</v>
      </c>
      <c r="V2154" s="5" t="s">
        <v>21103</v>
      </c>
      <c r="W2154" s="5" t="s">
        <v>72</v>
      </c>
      <c r="X2154" s="5" t="s">
        <v>72</v>
      </c>
      <c r="Y2154" s="4">
        <v>378</v>
      </c>
      <c r="Z2154" s="4">
        <v>26</v>
      </c>
      <c r="AA2154" s="4">
        <v>32</v>
      </c>
      <c r="AB2154" s="4">
        <v>3</v>
      </c>
      <c r="AC2154" s="4">
        <v>3</v>
      </c>
      <c r="AD2154" s="4">
        <v>111</v>
      </c>
      <c r="AE2154" s="4">
        <v>126</v>
      </c>
      <c r="AF2154" s="4">
        <v>2</v>
      </c>
      <c r="AG2154" s="4">
        <v>2</v>
      </c>
      <c r="AH2154" s="4">
        <v>97</v>
      </c>
      <c r="AI2154" s="4">
        <v>107</v>
      </c>
      <c r="AJ2154" s="4">
        <v>16</v>
      </c>
      <c r="AK2154" s="4">
        <v>21</v>
      </c>
      <c r="AL2154" s="4">
        <v>51</v>
      </c>
      <c r="AM2154" s="4">
        <v>59</v>
      </c>
      <c r="AN2154" s="4">
        <v>0</v>
      </c>
      <c r="AO2154" s="4">
        <v>0</v>
      </c>
      <c r="AP2154" s="4">
        <v>21</v>
      </c>
      <c r="AQ2154" s="4">
        <v>26</v>
      </c>
      <c r="AR2154" s="3" t="s">
        <v>65</v>
      </c>
      <c r="AS2154" s="3" t="s">
        <v>65</v>
      </c>
      <c r="AT2154" s="3" t="s">
        <v>65</v>
      </c>
      <c r="AV2154" s="6" t="str">
        <f>HYPERLINK("http://mcgill.on.worldcat.org/oclc/674355","Catalog Record")</f>
        <v>Catalog Record</v>
      </c>
      <c r="AW2154" s="6" t="str">
        <f>HYPERLINK("http://www.worldcat.org/oclc/674355","WorldCat Record")</f>
        <v>WorldCat Record</v>
      </c>
      <c r="AX2154" s="3" t="s">
        <v>21104</v>
      </c>
      <c r="AY2154" s="3" t="s">
        <v>21105</v>
      </c>
      <c r="AZ2154" s="3" t="s">
        <v>21106</v>
      </c>
      <c r="BA2154" s="3" t="s">
        <v>21106</v>
      </c>
      <c r="BB2154" s="3" t="s">
        <v>21107</v>
      </c>
      <c r="BC2154" s="3" t="s">
        <v>77</v>
      </c>
      <c r="BD2154" s="3" t="s">
        <v>78</v>
      </c>
      <c r="BE2154" s="3" t="s">
        <v>21108</v>
      </c>
      <c r="BF2154" s="3" t="s">
        <v>21107</v>
      </c>
      <c r="BG2154" s="3" t="s">
        <v>21109</v>
      </c>
    </row>
    <row r="2155" spans="1:59" ht="72.5" x14ac:dyDescent="0.35">
      <c r="A2155" s="2" t="s">
        <v>59</v>
      </c>
      <c r="B2155" s="2" t="s">
        <v>60</v>
      </c>
      <c r="C2155" s="2" t="s">
        <v>21096</v>
      </c>
      <c r="D2155" s="2" t="s">
        <v>21097</v>
      </c>
      <c r="E2155" s="2" t="s">
        <v>21098</v>
      </c>
      <c r="G2155" s="3" t="s">
        <v>65</v>
      </c>
      <c r="I2155" s="3" t="s">
        <v>209</v>
      </c>
      <c r="J2155" s="3" t="s">
        <v>65</v>
      </c>
      <c r="K2155" s="3" t="s">
        <v>66</v>
      </c>
      <c r="L2155" s="2" t="s">
        <v>21099</v>
      </c>
      <c r="M2155" s="2" t="s">
        <v>21100</v>
      </c>
      <c r="N2155" s="3" t="s">
        <v>5130</v>
      </c>
      <c r="O2155" s="2" t="s">
        <v>21101</v>
      </c>
      <c r="P2155" s="3" t="s">
        <v>69</v>
      </c>
      <c r="R2155" s="3" t="s">
        <v>71</v>
      </c>
      <c r="S2155" s="4">
        <v>13</v>
      </c>
      <c r="T2155" s="4">
        <v>26</v>
      </c>
      <c r="U2155" s="5" t="s">
        <v>21103</v>
      </c>
      <c r="V2155" s="5" t="s">
        <v>21103</v>
      </c>
      <c r="W2155" s="5" t="s">
        <v>72</v>
      </c>
      <c r="X2155" s="5" t="s">
        <v>72</v>
      </c>
      <c r="Y2155" s="4">
        <v>378</v>
      </c>
      <c r="Z2155" s="4">
        <v>26</v>
      </c>
      <c r="AA2155" s="4">
        <v>32</v>
      </c>
      <c r="AB2155" s="4">
        <v>3</v>
      </c>
      <c r="AC2155" s="4">
        <v>3</v>
      </c>
      <c r="AD2155" s="4">
        <v>111</v>
      </c>
      <c r="AE2155" s="4">
        <v>126</v>
      </c>
      <c r="AF2155" s="4">
        <v>2</v>
      </c>
      <c r="AG2155" s="4">
        <v>2</v>
      </c>
      <c r="AH2155" s="4">
        <v>97</v>
      </c>
      <c r="AI2155" s="4">
        <v>107</v>
      </c>
      <c r="AJ2155" s="4">
        <v>16</v>
      </c>
      <c r="AK2155" s="4">
        <v>21</v>
      </c>
      <c r="AL2155" s="4">
        <v>51</v>
      </c>
      <c r="AM2155" s="4">
        <v>59</v>
      </c>
      <c r="AN2155" s="4">
        <v>0</v>
      </c>
      <c r="AO2155" s="4">
        <v>0</v>
      </c>
      <c r="AP2155" s="4">
        <v>21</v>
      </c>
      <c r="AQ2155" s="4">
        <v>26</v>
      </c>
      <c r="AR2155" s="3" t="s">
        <v>65</v>
      </c>
      <c r="AS2155" s="3" t="s">
        <v>65</v>
      </c>
      <c r="AT2155" s="3" t="s">
        <v>65</v>
      </c>
      <c r="AV2155" s="6" t="str">
        <f>HYPERLINK("http://mcgill.on.worldcat.org/oclc/674355","Catalog Record")</f>
        <v>Catalog Record</v>
      </c>
      <c r="AW2155" s="6" t="str">
        <f>HYPERLINK("http://www.worldcat.org/oclc/674355","WorldCat Record")</f>
        <v>WorldCat Record</v>
      </c>
      <c r="AX2155" s="3" t="s">
        <v>21104</v>
      </c>
      <c r="AY2155" s="3" t="s">
        <v>21105</v>
      </c>
      <c r="AZ2155" s="3" t="s">
        <v>21106</v>
      </c>
      <c r="BA2155" s="3" t="s">
        <v>21106</v>
      </c>
      <c r="BB2155" s="3" t="s">
        <v>21110</v>
      </c>
      <c r="BC2155" s="3" t="s">
        <v>77</v>
      </c>
      <c r="BD2155" s="3" t="s">
        <v>78</v>
      </c>
      <c r="BE2155" s="3" t="s">
        <v>21108</v>
      </c>
      <c r="BF2155" s="3" t="s">
        <v>21110</v>
      </c>
      <c r="BG2155" s="3" t="s">
        <v>21111</v>
      </c>
    </row>
    <row r="2156" spans="1:59" ht="58" x14ac:dyDescent="0.35">
      <c r="A2156" s="2" t="s">
        <v>59</v>
      </c>
      <c r="B2156" s="2" t="s">
        <v>60</v>
      </c>
      <c r="C2156" s="2" t="s">
        <v>21112</v>
      </c>
      <c r="D2156" s="2" t="s">
        <v>21113</v>
      </c>
      <c r="E2156" s="2" t="s">
        <v>21114</v>
      </c>
      <c r="G2156" s="3" t="s">
        <v>65</v>
      </c>
      <c r="I2156" s="3" t="s">
        <v>65</v>
      </c>
      <c r="J2156" s="3" t="s">
        <v>209</v>
      </c>
      <c r="K2156" s="3" t="s">
        <v>66</v>
      </c>
      <c r="L2156" s="2" t="s">
        <v>21085</v>
      </c>
      <c r="M2156" s="2" t="s">
        <v>21115</v>
      </c>
      <c r="N2156" s="3" t="s">
        <v>214</v>
      </c>
      <c r="P2156" s="3" t="s">
        <v>69</v>
      </c>
      <c r="R2156" s="3" t="s">
        <v>71</v>
      </c>
      <c r="S2156" s="4">
        <v>36</v>
      </c>
      <c r="T2156" s="4">
        <v>36</v>
      </c>
      <c r="U2156" s="5" t="s">
        <v>21116</v>
      </c>
      <c r="V2156" s="5" t="s">
        <v>21116</v>
      </c>
      <c r="W2156" s="5" t="s">
        <v>72</v>
      </c>
      <c r="X2156" s="5" t="s">
        <v>72</v>
      </c>
      <c r="Y2156" s="4">
        <v>301</v>
      </c>
      <c r="Z2156" s="4">
        <v>11</v>
      </c>
      <c r="AA2156" s="4">
        <v>43</v>
      </c>
      <c r="AB2156" s="4">
        <v>1</v>
      </c>
      <c r="AC2156" s="4">
        <v>5</v>
      </c>
      <c r="AD2156" s="4">
        <v>84</v>
      </c>
      <c r="AE2156" s="4">
        <v>133</v>
      </c>
      <c r="AF2156" s="4">
        <v>0</v>
      </c>
      <c r="AG2156" s="4">
        <v>1</v>
      </c>
      <c r="AH2156" s="4">
        <v>79</v>
      </c>
      <c r="AI2156" s="4">
        <v>110</v>
      </c>
      <c r="AJ2156" s="4">
        <v>7</v>
      </c>
      <c r="AK2156" s="4">
        <v>18</v>
      </c>
      <c r="AL2156" s="4">
        <v>47</v>
      </c>
      <c r="AM2156" s="4">
        <v>61</v>
      </c>
      <c r="AN2156" s="4">
        <v>0</v>
      </c>
      <c r="AO2156" s="4">
        <v>3</v>
      </c>
      <c r="AP2156" s="4">
        <v>6</v>
      </c>
      <c r="AQ2156" s="4">
        <v>27</v>
      </c>
      <c r="AR2156" s="3" t="s">
        <v>65</v>
      </c>
      <c r="AS2156" s="3" t="s">
        <v>65</v>
      </c>
      <c r="AT2156" s="3" t="s">
        <v>65</v>
      </c>
      <c r="AV2156" s="6" t="str">
        <f>HYPERLINK("http://mcgill.on.worldcat.org/oclc/9324156","Catalog Record")</f>
        <v>Catalog Record</v>
      </c>
      <c r="AW2156" s="6" t="str">
        <f>HYPERLINK("http://www.worldcat.org/oclc/9324156","WorldCat Record")</f>
        <v>WorldCat Record</v>
      </c>
      <c r="AX2156" s="3" t="s">
        <v>21117</v>
      </c>
      <c r="AY2156" s="3" t="s">
        <v>21118</v>
      </c>
      <c r="AZ2156" s="3" t="s">
        <v>21119</v>
      </c>
      <c r="BA2156" s="3" t="s">
        <v>21119</v>
      </c>
      <c r="BB2156" s="3" t="s">
        <v>21120</v>
      </c>
      <c r="BC2156" s="3" t="s">
        <v>77</v>
      </c>
      <c r="BD2156" s="3" t="s">
        <v>78</v>
      </c>
      <c r="BE2156" s="3" t="s">
        <v>21121</v>
      </c>
      <c r="BF2156" s="3" t="s">
        <v>21120</v>
      </c>
      <c r="BG2156" s="3" t="s">
        <v>21122</v>
      </c>
    </row>
    <row r="2157" spans="1:59" ht="58" x14ac:dyDescent="0.35">
      <c r="A2157" s="2" t="s">
        <v>59</v>
      </c>
      <c r="B2157" s="2" t="s">
        <v>60</v>
      </c>
      <c r="C2157" s="2" t="s">
        <v>21123</v>
      </c>
      <c r="D2157" s="2" t="s">
        <v>21124</v>
      </c>
      <c r="E2157" s="2" t="s">
        <v>21125</v>
      </c>
      <c r="G2157" s="3" t="s">
        <v>65</v>
      </c>
      <c r="I2157" s="3" t="s">
        <v>209</v>
      </c>
      <c r="J2157" s="3" t="s">
        <v>209</v>
      </c>
      <c r="K2157" s="3" t="s">
        <v>66</v>
      </c>
      <c r="L2157" s="2" t="s">
        <v>21099</v>
      </c>
      <c r="M2157" s="2" t="s">
        <v>21126</v>
      </c>
      <c r="N2157" s="3" t="s">
        <v>6681</v>
      </c>
      <c r="P2157" s="3" t="s">
        <v>69</v>
      </c>
      <c r="R2157" s="3" t="s">
        <v>71</v>
      </c>
      <c r="S2157" s="4">
        <v>25</v>
      </c>
      <c r="T2157" s="4">
        <v>53</v>
      </c>
      <c r="U2157" s="5" t="s">
        <v>21127</v>
      </c>
      <c r="V2157" s="5" t="s">
        <v>21127</v>
      </c>
      <c r="W2157" s="5" t="s">
        <v>72</v>
      </c>
      <c r="X2157" s="5" t="s">
        <v>72</v>
      </c>
      <c r="Y2157" s="4">
        <v>387</v>
      </c>
      <c r="Z2157" s="4">
        <v>7</v>
      </c>
      <c r="AA2157" s="4">
        <v>43</v>
      </c>
      <c r="AB2157" s="4">
        <v>1</v>
      </c>
      <c r="AC2157" s="4">
        <v>5</v>
      </c>
      <c r="AD2157" s="4">
        <v>85</v>
      </c>
      <c r="AE2157" s="4">
        <v>133</v>
      </c>
      <c r="AF2157" s="4">
        <v>0</v>
      </c>
      <c r="AG2157" s="4">
        <v>1</v>
      </c>
      <c r="AH2157" s="4">
        <v>79</v>
      </c>
      <c r="AI2157" s="4">
        <v>110</v>
      </c>
      <c r="AJ2157" s="4">
        <v>3</v>
      </c>
      <c r="AK2157" s="4">
        <v>18</v>
      </c>
      <c r="AL2157" s="4">
        <v>44</v>
      </c>
      <c r="AM2157" s="4">
        <v>61</v>
      </c>
      <c r="AN2157" s="4">
        <v>0</v>
      </c>
      <c r="AO2157" s="4">
        <v>3</v>
      </c>
      <c r="AP2157" s="4">
        <v>5</v>
      </c>
      <c r="AQ2157" s="4">
        <v>27</v>
      </c>
      <c r="AR2157" s="3" t="s">
        <v>65</v>
      </c>
      <c r="AS2157" s="3" t="s">
        <v>65</v>
      </c>
      <c r="AT2157" s="3" t="s">
        <v>209</v>
      </c>
      <c r="AU2157" s="6" t="str">
        <f>HYPERLINK("http://catalog.hathitrust.org/Record/001015829","HathiTrust Record")</f>
        <v>HathiTrust Record</v>
      </c>
      <c r="AV2157" s="6" t="str">
        <f>HYPERLINK("http://mcgill.on.worldcat.org/oclc/634894","Catalog Record")</f>
        <v>Catalog Record</v>
      </c>
      <c r="AW2157" s="6" t="str">
        <f>HYPERLINK("http://www.worldcat.org/oclc/634894","WorldCat Record")</f>
        <v>WorldCat Record</v>
      </c>
      <c r="AX2157" s="3" t="s">
        <v>21117</v>
      </c>
      <c r="AY2157" s="3" t="s">
        <v>21128</v>
      </c>
      <c r="AZ2157" s="3" t="s">
        <v>21129</v>
      </c>
      <c r="BA2157" s="3" t="s">
        <v>21129</v>
      </c>
      <c r="BB2157" s="3" t="s">
        <v>21130</v>
      </c>
      <c r="BC2157" s="3" t="s">
        <v>77</v>
      </c>
      <c r="BD2157" s="3" t="s">
        <v>78</v>
      </c>
      <c r="BF2157" s="3" t="s">
        <v>21130</v>
      </c>
      <c r="BG2157" s="3" t="s">
        <v>21131</v>
      </c>
    </row>
    <row r="2158" spans="1:59" ht="58" x14ac:dyDescent="0.35">
      <c r="A2158" s="2" t="s">
        <v>59</v>
      </c>
      <c r="B2158" s="2" t="s">
        <v>60</v>
      </c>
      <c r="C2158" s="2" t="s">
        <v>21123</v>
      </c>
      <c r="D2158" s="2" t="s">
        <v>21124</v>
      </c>
      <c r="E2158" s="2" t="s">
        <v>21125</v>
      </c>
      <c r="G2158" s="3" t="s">
        <v>65</v>
      </c>
      <c r="I2158" s="3" t="s">
        <v>209</v>
      </c>
      <c r="J2158" s="3" t="s">
        <v>209</v>
      </c>
      <c r="K2158" s="3" t="s">
        <v>66</v>
      </c>
      <c r="L2158" s="2" t="s">
        <v>21099</v>
      </c>
      <c r="M2158" s="2" t="s">
        <v>21126</v>
      </c>
      <c r="N2158" s="3" t="s">
        <v>6681</v>
      </c>
      <c r="P2158" s="3" t="s">
        <v>69</v>
      </c>
      <c r="R2158" s="3" t="s">
        <v>71</v>
      </c>
      <c r="S2158" s="4">
        <v>28</v>
      </c>
      <c r="T2158" s="4">
        <v>53</v>
      </c>
      <c r="U2158" s="5" t="s">
        <v>21132</v>
      </c>
      <c r="V2158" s="5" t="s">
        <v>21127</v>
      </c>
      <c r="W2158" s="5" t="s">
        <v>72</v>
      </c>
      <c r="X2158" s="5" t="s">
        <v>72</v>
      </c>
      <c r="Y2158" s="4">
        <v>387</v>
      </c>
      <c r="Z2158" s="4">
        <v>7</v>
      </c>
      <c r="AA2158" s="4">
        <v>43</v>
      </c>
      <c r="AB2158" s="4">
        <v>1</v>
      </c>
      <c r="AC2158" s="4">
        <v>5</v>
      </c>
      <c r="AD2158" s="4">
        <v>85</v>
      </c>
      <c r="AE2158" s="4">
        <v>133</v>
      </c>
      <c r="AF2158" s="4">
        <v>0</v>
      </c>
      <c r="AG2158" s="4">
        <v>1</v>
      </c>
      <c r="AH2158" s="4">
        <v>79</v>
      </c>
      <c r="AI2158" s="4">
        <v>110</v>
      </c>
      <c r="AJ2158" s="4">
        <v>3</v>
      </c>
      <c r="AK2158" s="4">
        <v>18</v>
      </c>
      <c r="AL2158" s="4">
        <v>44</v>
      </c>
      <c r="AM2158" s="4">
        <v>61</v>
      </c>
      <c r="AN2158" s="4">
        <v>0</v>
      </c>
      <c r="AO2158" s="4">
        <v>3</v>
      </c>
      <c r="AP2158" s="4">
        <v>5</v>
      </c>
      <c r="AQ2158" s="4">
        <v>27</v>
      </c>
      <c r="AR2158" s="3" t="s">
        <v>65</v>
      </c>
      <c r="AS2158" s="3" t="s">
        <v>65</v>
      </c>
      <c r="AT2158" s="3" t="s">
        <v>209</v>
      </c>
      <c r="AU2158" s="6" t="str">
        <f>HYPERLINK("http://catalog.hathitrust.org/Record/001015829","HathiTrust Record")</f>
        <v>HathiTrust Record</v>
      </c>
      <c r="AV2158" s="6" t="str">
        <f>HYPERLINK("http://mcgill.on.worldcat.org/oclc/634894","Catalog Record")</f>
        <v>Catalog Record</v>
      </c>
      <c r="AW2158" s="6" t="str">
        <f>HYPERLINK("http://www.worldcat.org/oclc/634894","WorldCat Record")</f>
        <v>WorldCat Record</v>
      </c>
      <c r="AX2158" s="3" t="s">
        <v>21117</v>
      </c>
      <c r="AY2158" s="3" t="s">
        <v>21128</v>
      </c>
      <c r="AZ2158" s="3" t="s">
        <v>21129</v>
      </c>
      <c r="BA2158" s="3" t="s">
        <v>21129</v>
      </c>
      <c r="BB2158" s="3" t="s">
        <v>21133</v>
      </c>
      <c r="BC2158" s="3" t="s">
        <v>77</v>
      </c>
      <c r="BD2158" s="3" t="s">
        <v>78</v>
      </c>
      <c r="BF2158" s="3" t="s">
        <v>21133</v>
      </c>
      <c r="BG2158" s="3" t="s">
        <v>21134</v>
      </c>
    </row>
    <row r="2159" spans="1:59" ht="58" x14ac:dyDescent="0.35">
      <c r="A2159" s="2" t="s">
        <v>59</v>
      </c>
      <c r="B2159" s="2" t="s">
        <v>60</v>
      </c>
      <c r="C2159" s="2" t="s">
        <v>21135</v>
      </c>
      <c r="D2159" s="2" t="s">
        <v>21136</v>
      </c>
      <c r="E2159" s="2" t="s">
        <v>21137</v>
      </c>
      <c r="G2159" s="3" t="s">
        <v>65</v>
      </c>
      <c r="I2159" s="3" t="s">
        <v>65</v>
      </c>
      <c r="J2159" s="3" t="s">
        <v>65</v>
      </c>
      <c r="K2159" s="3" t="s">
        <v>66</v>
      </c>
      <c r="L2159" s="2" t="s">
        <v>21138</v>
      </c>
      <c r="M2159" s="2" t="s">
        <v>21139</v>
      </c>
      <c r="N2159" s="3" t="s">
        <v>139</v>
      </c>
      <c r="O2159" s="2" t="s">
        <v>365</v>
      </c>
      <c r="P2159" s="3" t="s">
        <v>140</v>
      </c>
      <c r="Q2159" s="2" t="s">
        <v>4334</v>
      </c>
      <c r="R2159" s="3" t="s">
        <v>71</v>
      </c>
      <c r="S2159" s="4">
        <v>0</v>
      </c>
      <c r="T2159" s="4">
        <v>0</v>
      </c>
      <c r="W2159" s="5" t="s">
        <v>72</v>
      </c>
      <c r="X2159" s="5" t="s">
        <v>72</v>
      </c>
      <c r="Y2159" s="4">
        <v>39</v>
      </c>
      <c r="Z2159" s="4">
        <v>3</v>
      </c>
      <c r="AA2159" s="4">
        <v>3</v>
      </c>
      <c r="AB2159" s="4">
        <v>1</v>
      </c>
      <c r="AC2159" s="4">
        <v>1</v>
      </c>
      <c r="AD2159" s="4">
        <v>27</v>
      </c>
      <c r="AE2159" s="4">
        <v>27</v>
      </c>
      <c r="AF2159" s="4">
        <v>0</v>
      </c>
      <c r="AG2159" s="4">
        <v>0</v>
      </c>
      <c r="AH2159" s="4">
        <v>26</v>
      </c>
      <c r="AI2159" s="4">
        <v>26</v>
      </c>
      <c r="AJ2159" s="4">
        <v>2</v>
      </c>
      <c r="AK2159" s="4">
        <v>2</v>
      </c>
      <c r="AL2159" s="4">
        <v>19</v>
      </c>
      <c r="AM2159" s="4">
        <v>19</v>
      </c>
      <c r="AN2159" s="4">
        <v>0</v>
      </c>
      <c r="AO2159" s="4">
        <v>0</v>
      </c>
      <c r="AP2159" s="4">
        <v>2</v>
      </c>
      <c r="AQ2159" s="4">
        <v>2</v>
      </c>
      <c r="AR2159" s="3" t="s">
        <v>65</v>
      </c>
      <c r="AS2159" s="3" t="s">
        <v>65</v>
      </c>
      <c r="AT2159" s="3" t="s">
        <v>65</v>
      </c>
      <c r="AV2159" s="6" t="str">
        <f>HYPERLINK("http://mcgill.on.worldcat.org/oclc/795156510","Catalog Record")</f>
        <v>Catalog Record</v>
      </c>
      <c r="AW2159" s="6" t="str">
        <f>HYPERLINK("http://www.worldcat.org/oclc/795156510","WorldCat Record")</f>
        <v>WorldCat Record</v>
      </c>
      <c r="AX2159" s="3" t="s">
        <v>21140</v>
      </c>
      <c r="AY2159" s="3" t="s">
        <v>21141</v>
      </c>
      <c r="AZ2159" s="3" t="s">
        <v>21142</v>
      </c>
      <c r="BA2159" s="3" t="s">
        <v>21142</v>
      </c>
      <c r="BB2159" s="3" t="s">
        <v>21143</v>
      </c>
      <c r="BC2159" s="3" t="s">
        <v>77</v>
      </c>
      <c r="BD2159" s="3" t="s">
        <v>78</v>
      </c>
      <c r="BE2159" s="3" t="s">
        <v>21144</v>
      </c>
      <c r="BF2159" s="3" t="s">
        <v>21143</v>
      </c>
      <c r="BG2159" s="3" t="s">
        <v>21145</v>
      </c>
    </row>
    <row r="2160" spans="1:59" ht="58" x14ac:dyDescent="0.35">
      <c r="A2160" s="2" t="s">
        <v>59</v>
      </c>
      <c r="B2160" s="2" t="s">
        <v>60</v>
      </c>
      <c r="C2160" s="2" t="s">
        <v>21146</v>
      </c>
      <c r="D2160" s="2" t="s">
        <v>21147</v>
      </c>
      <c r="E2160" s="2" t="s">
        <v>21148</v>
      </c>
      <c r="G2160" s="3" t="s">
        <v>65</v>
      </c>
      <c r="I2160" s="3" t="s">
        <v>65</v>
      </c>
      <c r="J2160" s="3" t="s">
        <v>65</v>
      </c>
      <c r="K2160" s="3" t="s">
        <v>66</v>
      </c>
      <c r="L2160" s="2" t="s">
        <v>21149</v>
      </c>
      <c r="M2160" s="2" t="s">
        <v>21150</v>
      </c>
      <c r="N2160" s="3" t="s">
        <v>126</v>
      </c>
      <c r="O2160" s="2" t="s">
        <v>365</v>
      </c>
      <c r="P2160" s="3" t="s">
        <v>140</v>
      </c>
      <c r="Q2160" s="2" t="s">
        <v>21151</v>
      </c>
      <c r="R2160" s="3" t="s">
        <v>71</v>
      </c>
      <c r="S2160" s="4">
        <v>0</v>
      </c>
      <c r="T2160" s="4">
        <v>0</v>
      </c>
      <c r="W2160" s="5" t="s">
        <v>72</v>
      </c>
      <c r="X2160" s="5" t="s">
        <v>72</v>
      </c>
      <c r="Y2160" s="4">
        <v>20</v>
      </c>
      <c r="Z2160" s="4">
        <v>2</v>
      </c>
      <c r="AA2160" s="4">
        <v>4</v>
      </c>
      <c r="AB2160" s="4">
        <v>1</v>
      </c>
      <c r="AC2160" s="4">
        <v>1</v>
      </c>
      <c r="AD2160" s="4">
        <v>15</v>
      </c>
      <c r="AE2160" s="4">
        <v>16</v>
      </c>
      <c r="AF2160" s="4">
        <v>0</v>
      </c>
      <c r="AG2160" s="4">
        <v>0</v>
      </c>
      <c r="AH2160" s="4">
        <v>14</v>
      </c>
      <c r="AI2160" s="4">
        <v>15</v>
      </c>
      <c r="AJ2160" s="4">
        <v>1</v>
      </c>
      <c r="AK2160" s="4">
        <v>2</v>
      </c>
      <c r="AL2160" s="4">
        <v>10</v>
      </c>
      <c r="AM2160" s="4">
        <v>11</v>
      </c>
      <c r="AN2160" s="4">
        <v>0</v>
      </c>
      <c r="AO2160" s="4">
        <v>0</v>
      </c>
      <c r="AP2160" s="4">
        <v>1</v>
      </c>
      <c r="AQ2160" s="4">
        <v>2</v>
      </c>
      <c r="AR2160" s="3" t="s">
        <v>65</v>
      </c>
      <c r="AS2160" s="3" t="s">
        <v>65</v>
      </c>
      <c r="AT2160" s="3" t="s">
        <v>65</v>
      </c>
      <c r="AV2160" s="6" t="str">
        <f>HYPERLINK("http://mcgill.on.worldcat.org/oclc/730398198","Catalog Record")</f>
        <v>Catalog Record</v>
      </c>
      <c r="AW2160" s="6" t="str">
        <f>HYPERLINK("http://www.worldcat.org/oclc/730398198","WorldCat Record")</f>
        <v>WorldCat Record</v>
      </c>
      <c r="AX2160" s="3" t="s">
        <v>21152</v>
      </c>
      <c r="AY2160" s="3" t="s">
        <v>21153</v>
      </c>
      <c r="AZ2160" s="3" t="s">
        <v>21154</v>
      </c>
      <c r="BA2160" s="3" t="s">
        <v>21154</v>
      </c>
      <c r="BB2160" s="3" t="s">
        <v>21155</v>
      </c>
      <c r="BC2160" s="3" t="s">
        <v>5567</v>
      </c>
      <c r="BD2160" s="3" t="s">
        <v>78</v>
      </c>
      <c r="BE2160" s="3" t="s">
        <v>21156</v>
      </c>
      <c r="BF2160" s="3" t="s">
        <v>21155</v>
      </c>
      <c r="BG2160" s="3" t="s">
        <v>21157</v>
      </c>
    </row>
    <row r="2161" spans="1:59" ht="58" x14ac:dyDescent="0.35">
      <c r="A2161" s="2" t="s">
        <v>59</v>
      </c>
      <c r="B2161" s="2" t="s">
        <v>60</v>
      </c>
      <c r="C2161" s="2" t="s">
        <v>21158</v>
      </c>
      <c r="D2161" s="2" t="s">
        <v>21159</v>
      </c>
      <c r="E2161" s="2" t="s">
        <v>21160</v>
      </c>
      <c r="G2161" s="3" t="s">
        <v>65</v>
      </c>
      <c r="I2161" s="3" t="s">
        <v>65</v>
      </c>
      <c r="J2161" s="3" t="s">
        <v>209</v>
      </c>
      <c r="K2161" s="3" t="s">
        <v>66</v>
      </c>
      <c r="L2161" s="2" t="s">
        <v>21085</v>
      </c>
      <c r="M2161" s="2" t="s">
        <v>21161</v>
      </c>
      <c r="N2161" s="3" t="s">
        <v>21162</v>
      </c>
      <c r="P2161" s="3" t="s">
        <v>140</v>
      </c>
      <c r="Q2161" s="2" t="s">
        <v>21163</v>
      </c>
      <c r="R2161" s="3" t="s">
        <v>71</v>
      </c>
      <c r="S2161" s="4">
        <v>7</v>
      </c>
      <c r="T2161" s="4">
        <v>7</v>
      </c>
      <c r="U2161" s="5" t="s">
        <v>21164</v>
      </c>
      <c r="V2161" s="5" t="s">
        <v>21164</v>
      </c>
      <c r="W2161" s="5" t="s">
        <v>72</v>
      </c>
      <c r="X2161" s="5" t="s">
        <v>72</v>
      </c>
      <c r="Y2161" s="4">
        <v>19</v>
      </c>
      <c r="Z2161" s="4">
        <v>1</v>
      </c>
      <c r="AA2161" s="4">
        <v>6</v>
      </c>
      <c r="AB2161" s="4">
        <v>1</v>
      </c>
      <c r="AC2161" s="4">
        <v>1</v>
      </c>
      <c r="AD2161" s="4">
        <v>8</v>
      </c>
      <c r="AE2161" s="4">
        <v>40</v>
      </c>
      <c r="AF2161" s="4">
        <v>0</v>
      </c>
      <c r="AG2161" s="4">
        <v>0</v>
      </c>
      <c r="AH2161" s="4">
        <v>7</v>
      </c>
      <c r="AI2161" s="4">
        <v>36</v>
      </c>
      <c r="AJ2161" s="4">
        <v>0</v>
      </c>
      <c r="AK2161" s="4">
        <v>2</v>
      </c>
      <c r="AL2161" s="4">
        <v>8</v>
      </c>
      <c r="AM2161" s="4">
        <v>26</v>
      </c>
      <c r="AN2161" s="4">
        <v>0</v>
      </c>
      <c r="AO2161" s="4">
        <v>0</v>
      </c>
      <c r="AP2161" s="4">
        <v>0</v>
      </c>
      <c r="AQ2161" s="4">
        <v>4</v>
      </c>
      <c r="AR2161" s="3" t="s">
        <v>65</v>
      </c>
      <c r="AS2161" s="3" t="s">
        <v>65</v>
      </c>
      <c r="AT2161" s="3" t="s">
        <v>209</v>
      </c>
      <c r="AU2161" s="6" t="str">
        <f>HYPERLINK("http://catalog.hathitrust.org/Record/006136279","HathiTrust Record")</f>
        <v>HathiTrust Record</v>
      </c>
      <c r="AV2161" s="6" t="str">
        <f>HYPERLINK("http://mcgill.on.worldcat.org/oclc/7644059","Catalog Record")</f>
        <v>Catalog Record</v>
      </c>
      <c r="AW2161" s="6" t="str">
        <f>HYPERLINK("http://www.worldcat.org/oclc/7644059","WorldCat Record")</f>
        <v>WorldCat Record</v>
      </c>
      <c r="AX2161" s="3" t="s">
        <v>21165</v>
      </c>
      <c r="AY2161" s="3" t="s">
        <v>21166</v>
      </c>
      <c r="AZ2161" s="3" t="s">
        <v>21167</v>
      </c>
      <c r="BA2161" s="3" t="s">
        <v>21167</v>
      </c>
      <c r="BB2161" s="3" t="s">
        <v>21168</v>
      </c>
      <c r="BC2161" s="3" t="s">
        <v>77</v>
      </c>
      <c r="BD2161" s="3" t="s">
        <v>78</v>
      </c>
      <c r="BF2161" s="3" t="s">
        <v>21168</v>
      </c>
      <c r="BG2161" s="3" t="s">
        <v>21169</v>
      </c>
    </row>
    <row r="2162" spans="1:59" ht="58" x14ac:dyDescent="0.35">
      <c r="A2162" s="2" t="s">
        <v>59</v>
      </c>
      <c r="B2162" s="2" t="s">
        <v>60</v>
      </c>
      <c r="C2162" s="2" t="s">
        <v>21170</v>
      </c>
      <c r="D2162" s="2" t="s">
        <v>21171</v>
      </c>
      <c r="E2162" s="2" t="s">
        <v>21172</v>
      </c>
      <c r="G2162" s="3" t="s">
        <v>65</v>
      </c>
      <c r="I2162" s="3" t="s">
        <v>65</v>
      </c>
      <c r="J2162" s="3" t="s">
        <v>65</v>
      </c>
      <c r="K2162" s="3" t="s">
        <v>66</v>
      </c>
      <c r="L2162" s="2" t="s">
        <v>21173</v>
      </c>
      <c r="M2162" s="2" t="s">
        <v>2964</v>
      </c>
      <c r="N2162" s="3" t="s">
        <v>126</v>
      </c>
      <c r="P2162" s="3" t="s">
        <v>140</v>
      </c>
      <c r="Q2162" s="2" t="s">
        <v>21174</v>
      </c>
      <c r="R2162" s="3" t="s">
        <v>71</v>
      </c>
      <c r="S2162" s="4">
        <v>0</v>
      </c>
      <c r="T2162" s="4">
        <v>0</v>
      </c>
      <c r="W2162" s="5" t="s">
        <v>72</v>
      </c>
      <c r="X2162" s="5" t="s">
        <v>72</v>
      </c>
      <c r="Y2162" s="4">
        <v>38</v>
      </c>
      <c r="Z2162" s="4">
        <v>4</v>
      </c>
      <c r="AA2162" s="4">
        <v>4</v>
      </c>
      <c r="AB2162" s="4">
        <v>1</v>
      </c>
      <c r="AC2162" s="4">
        <v>1</v>
      </c>
      <c r="AD2162" s="4">
        <v>27</v>
      </c>
      <c r="AE2162" s="4">
        <v>27</v>
      </c>
      <c r="AF2162" s="4">
        <v>0</v>
      </c>
      <c r="AG2162" s="4">
        <v>0</v>
      </c>
      <c r="AH2162" s="4">
        <v>26</v>
      </c>
      <c r="AI2162" s="4">
        <v>26</v>
      </c>
      <c r="AJ2162" s="4">
        <v>2</v>
      </c>
      <c r="AK2162" s="4">
        <v>2</v>
      </c>
      <c r="AL2162" s="4">
        <v>19</v>
      </c>
      <c r="AM2162" s="4">
        <v>19</v>
      </c>
      <c r="AN2162" s="4">
        <v>0</v>
      </c>
      <c r="AO2162" s="4">
        <v>0</v>
      </c>
      <c r="AP2162" s="4">
        <v>2</v>
      </c>
      <c r="AQ2162" s="4">
        <v>2</v>
      </c>
      <c r="AR2162" s="3" t="s">
        <v>65</v>
      </c>
      <c r="AS2162" s="3" t="s">
        <v>65</v>
      </c>
      <c r="AT2162" s="3" t="s">
        <v>65</v>
      </c>
      <c r="AV2162" s="6" t="str">
        <f>HYPERLINK("http://mcgill.on.worldcat.org/oclc/776487598","Catalog Record")</f>
        <v>Catalog Record</v>
      </c>
      <c r="AW2162" s="6" t="str">
        <f>HYPERLINK("http://www.worldcat.org/oclc/776487598","WorldCat Record")</f>
        <v>WorldCat Record</v>
      </c>
      <c r="AX2162" s="3" t="s">
        <v>21175</v>
      </c>
      <c r="AY2162" s="3" t="s">
        <v>21176</v>
      </c>
      <c r="AZ2162" s="3" t="s">
        <v>21177</v>
      </c>
      <c r="BA2162" s="3" t="s">
        <v>21177</v>
      </c>
      <c r="BB2162" s="3" t="s">
        <v>21178</v>
      </c>
      <c r="BC2162" s="3" t="s">
        <v>77</v>
      </c>
      <c r="BD2162" s="3" t="s">
        <v>78</v>
      </c>
      <c r="BE2162" s="3" t="s">
        <v>21179</v>
      </c>
      <c r="BF2162" s="3" t="s">
        <v>21178</v>
      </c>
      <c r="BG2162" s="3" t="s">
        <v>21180</v>
      </c>
    </row>
    <row r="2163" spans="1:59" ht="58" x14ac:dyDescent="0.35">
      <c r="A2163" s="2" t="s">
        <v>59</v>
      </c>
      <c r="B2163" s="2" t="s">
        <v>60</v>
      </c>
      <c r="C2163" s="2" t="s">
        <v>21181</v>
      </c>
      <c r="D2163" s="2" t="s">
        <v>21182</v>
      </c>
      <c r="E2163" s="2" t="s">
        <v>21183</v>
      </c>
      <c r="G2163" s="3" t="s">
        <v>65</v>
      </c>
      <c r="I2163" s="3" t="s">
        <v>65</v>
      </c>
      <c r="J2163" s="3" t="s">
        <v>65</v>
      </c>
      <c r="K2163" s="3" t="s">
        <v>66</v>
      </c>
      <c r="L2163" s="2" t="s">
        <v>21085</v>
      </c>
      <c r="M2163" s="2" t="s">
        <v>21184</v>
      </c>
      <c r="N2163" s="3" t="s">
        <v>126</v>
      </c>
      <c r="P2163" s="3" t="s">
        <v>140</v>
      </c>
      <c r="Q2163" s="2" t="s">
        <v>21185</v>
      </c>
      <c r="R2163" s="3" t="s">
        <v>71</v>
      </c>
      <c r="S2163" s="4">
        <v>0</v>
      </c>
      <c r="T2163" s="4">
        <v>0</v>
      </c>
      <c r="W2163" s="5" t="s">
        <v>72</v>
      </c>
      <c r="X2163" s="5" t="s">
        <v>72</v>
      </c>
      <c r="Y2163" s="4">
        <v>44</v>
      </c>
      <c r="Z2163" s="4">
        <v>4</v>
      </c>
      <c r="AA2163" s="4">
        <v>4</v>
      </c>
      <c r="AB2163" s="4">
        <v>1</v>
      </c>
      <c r="AC2163" s="4">
        <v>1</v>
      </c>
      <c r="AD2163" s="4">
        <v>32</v>
      </c>
      <c r="AE2163" s="4">
        <v>32</v>
      </c>
      <c r="AF2163" s="4">
        <v>0</v>
      </c>
      <c r="AG2163" s="4">
        <v>0</v>
      </c>
      <c r="AH2163" s="4">
        <v>31</v>
      </c>
      <c r="AI2163" s="4">
        <v>31</v>
      </c>
      <c r="AJ2163" s="4">
        <v>2</v>
      </c>
      <c r="AK2163" s="4">
        <v>2</v>
      </c>
      <c r="AL2163" s="4">
        <v>25</v>
      </c>
      <c r="AM2163" s="4">
        <v>25</v>
      </c>
      <c r="AN2163" s="4">
        <v>0</v>
      </c>
      <c r="AO2163" s="4">
        <v>0</v>
      </c>
      <c r="AP2163" s="4">
        <v>2</v>
      </c>
      <c r="AQ2163" s="4">
        <v>2</v>
      </c>
      <c r="AR2163" s="3" t="s">
        <v>65</v>
      </c>
      <c r="AS2163" s="3" t="s">
        <v>65</v>
      </c>
      <c r="AT2163" s="3" t="s">
        <v>65</v>
      </c>
      <c r="AV2163" s="6" t="str">
        <f>HYPERLINK("http://mcgill.on.worldcat.org/oclc/779253105","Catalog Record")</f>
        <v>Catalog Record</v>
      </c>
      <c r="AW2163" s="6" t="str">
        <f>HYPERLINK("http://www.worldcat.org/oclc/779253105","WorldCat Record")</f>
        <v>WorldCat Record</v>
      </c>
      <c r="AX2163" s="3" t="s">
        <v>21186</v>
      </c>
      <c r="AY2163" s="3" t="s">
        <v>21187</v>
      </c>
      <c r="AZ2163" s="3" t="s">
        <v>21188</v>
      </c>
      <c r="BA2163" s="3" t="s">
        <v>21188</v>
      </c>
      <c r="BB2163" s="3" t="s">
        <v>21189</v>
      </c>
      <c r="BC2163" s="3" t="s">
        <v>77</v>
      </c>
      <c r="BD2163" s="3" t="s">
        <v>78</v>
      </c>
      <c r="BE2163" s="3" t="s">
        <v>21190</v>
      </c>
      <c r="BF2163" s="3" t="s">
        <v>21189</v>
      </c>
      <c r="BG2163" s="3" t="s">
        <v>21191</v>
      </c>
    </row>
    <row r="2164" spans="1:59" ht="58" x14ac:dyDescent="0.35">
      <c r="A2164" s="2" t="s">
        <v>59</v>
      </c>
      <c r="B2164" s="2" t="s">
        <v>60</v>
      </c>
      <c r="C2164" s="2" t="s">
        <v>21192</v>
      </c>
      <c r="D2164" s="2" t="s">
        <v>21193</v>
      </c>
      <c r="E2164" s="2" t="s">
        <v>21194</v>
      </c>
      <c r="G2164" s="3" t="s">
        <v>65</v>
      </c>
      <c r="I2164" s="3" t="s">
        <v>65</v>
      </c>
      <c r="J2164" s="3" t="s">
        <v>65</v>
      </c>
      <c r="K2164" s="3" t="s">
        <v>66</v>
      </c>
      <c r="L2164" s="2" t="s">
        <v>21195</v>
      </c>
      <c r="M2164" s="2" t="s">
        <v>21196</v>
      </c>
      <c r="N2164" s="3" t="s">
        <v>113</v>
      </c>
      <c r="O2164" s="2" t="s">
        <v>365</v>
      </c>
      <c r="P2164" s="3" t="s">
        <v>140</v>
      </c>
      <c r="Q2164" s="2" t="s">
        <v>21197</v>
      </c>
      <c r="R2164" s="3" t="s">
        <v>71</v>
      </c>
      <c r="S2164" s="4">
        <v>0</v>
      </c>
      <c r="T2164" s="4">
        <v>0</v>
      </c>
      <c r="W2164" s="5" t="s">
        <v>72</v>
      </c>
      <c r="X2164" s="5" t="s">
        <v>72</v>
      </c>
      <c r="Y2164" s="4">
        <v>28</v>
      </c>
      <c r="Z2164" s="4">
        <v>4</v>
      </c>
      <c r="AA2164" s="4">
        <v>4</v>
      </c>
      <c r="AB2164" s="4">
        <v>1</v>
      </c>
      <c r="AC2164" s="4">
        <v>1</v>
      </c>
      <c r="AD2164" s="4">
        <v>17</v>
      </c>
      <c r="AE2164" s="4">
        <v>17</v>
      </c>
      <c r="AF2164" s="4">
        <v>0</v>
      </c>
      <c r="AG2164" s="4">
        <v>0</v>
      </c>
      <c r="AH2164" s="4">
        <v>17</v>
      </c>
      <c r="AI2164" s="4">
        <v>17</v>
      </c>
      <c r="AJ2164" s="4">
        <v>2</v>
      </c>
      <c r="AK2164" s="4">
        <v>2</v>
      </c>
      <c r="AL2164" s="4">
        <v>12</v>
      </c>
      <c r="AM2164" s="4">
        <v>12</v>
      </c>
      <c r="AN2164" s="4">
        <v>0</v>
      </c>
      <c r="AO2164" s="4">
        <v>0</v>
      </c>
      <c r="AP2164" s="4">
        <v>2</v>
      </c>
      <c r="AQ2164" s="4">
        <v>2</v>
      </c>
      <c r="AR2164" s="3" t="s">
        <v>65</v>
      </c>
      <c r="AS2164" s="3" t="s">
        <v>65</v>
      </c>
      <c r="AT2164" s="3" t="s">
        <v>65</v>
      </c>
      <c r="AV2164" s="6" t="str">
        <f>HYPERLINK("http://mcgill.on.worldcat.org/oclc/647667029","Catalog Record")</f>
        <v>Catalog Record</v>
      </c>
      <c r="AW2164" s="6" t="str">
        <f>HYPERLINK("http://www.worldcat.org/oclc/647667029","WorldCat Record")</f>
        <v>WorldCat Record</v>
      </c>
      <c r="AX2164" s="3" t="s">
        <v>21198</v>
      </c>
      <c r="AY2164" s="3" t="s">
        <v>21199</v>
      </c>
      <c r="AZ2164" s="3" t="s">
        <v>21200</v>
      </c>
      <c r="BA2164" s="3" t="s">
        <v>21200</v>
      </c>
      <c r="BB2164" s="3" t="s">
        <v>21201</v>
      </c>
      <c r="BC2164" s="3" t="s">
        <v>77</v>
      </c>
      <c r="BD2164" s="3" t="s">
        <v>78</v>
      </c>
      <c r="BE2164" s="3" t="s">
        <v>21202</v>
      </c>
      <c r="BF2164" s="3" t="s">
        <v>21201</v>
      </c>
      <c r="BG2164" s="3" t="s">
        <v>21203</v>
      </c>
    </row>
    <row r="2165" spans="1:59" ht="58" x14ac:dyDescent="0.35">
      <c r="A2165" s="2" t="s">
        <v>59</v>
      </c>
      <c r="B2165" s="2" t="s">
        <v>60</v>
      </c>
      <c r="C2165" s="2" t="s">
        <v>21204</v>
      </c>
      <c r="D2165" s="2" t="s">
        <v>21205</v>
      </c>
      <c r="E2165" s="2" t="s">
        <v>21206</v>
      </c>
      <c r="G2165" s="3" t="s">
        <v>65</v>
      </c>
      <c r="I2165" s="3" t="s">
        <v>65</v>
      </c>
      <c r="J2165" s="3" t="s">
        <v>65</v>
      </c>
      <c r="K2165" s="3" t="s">
        <v>66</v>
      </c>
      <c r="L2165" s="2" t="s">
        <v>21207</v>
      </c>
      <c r="M2165" s="2" t="s">
        <v>21208</v>
      </c>
      <c r="N2165" s="3" t="s">
        <v>577</v>
      </c>
      <c r="P2165" s="3" t="s">
        <v>69</v>
      </c>
      <c r="Q2165" s="2" t="s">
        <v>21209</v>
      </c>
      <c r="R2165" s="3" t="s">
        <v>71</v>
      </c>
      <c r="S2165" s="4">
        <v>17</v>
      </c>
      <c r="T2165" s="4">
        <v>17</v>
      </c>
      <c r="U2165" s="5" t="s">
        <v>21164</v>
      </c>
      <c r="V2165" s="5" t="s">
        <v>21164</v>
      </c>
      <c r="W2165" s="5" t="s">
        <v>72</v>
      </c>
      <c r="X2165" s="5" t="s">
        <v>72</v>
      </c>
      <c r="Y2165" s="4">
        <v>528</v>
      </c>
      <c r="Z2165" s="4">
        <v>29</v>
      </c>
      <c r="AA2165" s="4">
        <v>29</v>
      </c>
      <c r="AB2165" s="4">
        <v>4</v>
      </c>
      <c r="AC2165" s="4">
        <v>4</v>
      </c>
      <c r="AD2165" s="4">
        <v>106</v>
      </c>
      <c r="AE2165" s="4">
        <v>106</v>
      </c>
      <c r="AF2165" s="4">
        <v>2</v>
      </c>
      <c r="AG2165" s="4">
        <v>2</v>
      </c>
      <c r="AH2165" s="4">
        <v>94</v>
      </c>
      <c r="AI2165" s="4">
        <v>94</v>
      </c>
      <c r="AJ2165" s="4">
        <v>18</v>
      </c>
      <c r="AK2165" s="4">
        <v>18</v>
      </c>
      <c r="AL2165" s="4">
        <v>46</v>
      </c>
      <c r="AM2165" s="4">
        <v>46</v>
      </c>
      <c r="AN2165" s="4">
        <v>0</v>
      </c>
      <c r="AO2165" s="4">
        <v>0</v>
      </c>
      <c r="AP2165" s="4">
        <v>20</v>
      </c>
      <c r="AQ2165" s="4">
        <v>20</v>
      </c>
      <c r="AR2165" s="3" t="s">
        <v>65</v>
      </c>
      <c r="AS2165" s="3" t="s">
        <v>65</v>
      </c>
      <c r="AT2165" s="3" t="s">
        <v>209</v>
      </c>
      <c r="AU2165" s="6" t="str">
        <f>HYPERLINK("http://catalog.hathitrust.org/Record/000091707","HathiTrust Record")</f>
        <v>HathiTrust Record</v>
      </c>
      <c r="AV2165" s="6" t="str">
        <f>HYPERLINK("http://mcgill.on.worldcat.org/oclc/3609886","Catalog Record")</f>
        <v>Catalog Record</v>
      </c>
      <c r="AW2165" s="6" t="str">
        <f>HYPERLINK("http://www.worldcat.org/oclc/3609886","WorldCat Record")</f>
        <v>WorldCat Record</v>
      </c>
      <c r="AX2165" s="3" t="s">
        <v>21210</v>
      </c>
      <c r="AY2165" s="3" t="s">
        <v>21211</v>
      </c>
      <c r="AZ2165" s="3" t="s">
        <v>21212</v>
      </c>
      <c r="BA2165" s="3" t="s">
        <v>21212</v>
      </c>
      <c r="BB2165" s="3" t="s">
        <v>21213</v>
      </c>
      <c r="BC2165" s="3" t="s">
        <v>77</v>
      </c>
      <c r="BD2165" s="3" t="s">
        <v>78</v>
      </c>
      <c r="BE2165" s="3" t="s">
        <v>21214</v>
      </c>
      <c r="BF2165" s="3" t="s">
        <v>21213</v>
      </c>
      <c r="BG2165" s="3" t="s">
        <v>21215</v>
      </c>
    </row>
    <row r="2166" spans="1:59" ht="58" x14ac:dyDescent="0.35">
      <c r="A2166" s="2" t="s">
        <v>59</v>
      </c>
      <c r="B2166" s="2" t="s">
        <v>60</v>
      </c>
      <c r="C2166" s="2" t="s">
        <v>21216</v>
      </c>
      <c r="D2166" s="2" t="s">
        <v>21217</v>
      </c>
      <c r="E2166" s="2" t="s">
        <v>21218</v>
      </c>
      <c r="G2166" s="3" t="s">
        <v>65</v>
      </c>
      <c r="I2166" s="3" t="s">
        <v>65</v>
      </c>
      <c r="J2166" s="3" t="s">
        <v>65</v>
      </c>
      <c r="K2166" s="3" t="s">
        <v>66</v>
      </c>
      <c r="L2166" s="2" t="s">
        <v>21219</v>
      </c>
      <c r="M2166" s="2" t="s">
        <v>21220</v>
      </c>
      <c r="N2166" s="3" t="s">
        <v>139</v>
      </c>
      <c r="P2166" s="3" t="s">
        <v>140</v>
      </c>
      <c r="Q2166" s="2" t="s">
        <v>21221</v>
      </c>
      <c r="R2166" s="3" t="s">
        <v>71</v>
      </c>
      <c r="S2166" s="4">
        <v>0</v>
      </c>
      <c r="T2166" s="4">
        <v>0</v>
      </c>
      <c r="W2166" s="5" t="s">
        <v>72</v>
      </c>
      <c r="X2166" s="5" t="s">
        <v>72</v>
      </c>
      <c r="Y2166" s="4">
        <v>43</v>
      </c>
      <c r="Z2166" s="4">
        <v>4</v>
      </c>
      <c r="AA2166" s="4">
        <v>4</v>
      </c>
      <c r="AB2166" s="4">
        <v>1</v>
      </c>
      <c r="AC2166" s="4">
        <v>1</v>
      </c>
      <c r="AD2166" s="4">
        <v>31</v>
      </c>
      <c r="AE2166" s="4">
        <v>31</v>
      </c>
      <c r="AF2166" s="4">
        <v>0</v>
      </c>
      <c r="AG2166" s="4">
        <v>0</v>
      </c>
      <c r="AH2166" s="4">
        <v>30</v>
      </c>
      <c r="AI2166" s="4">
        <v>30</v>
      </c>
      <c r="AJ2166" s="4">
        <v>2</v>
      </c>
      <c r="AK2166" s="4">
        <v>2</v>
      </c>
      <c r="AL2166" s="4">
        <v>25</v>
      </c>
      <c r="AM2166" s="4">
        <v>25</v>
      </c>
      <c r="AN2166" s="4">
        <v>0</v>
      </c>
      <c r="AO2166" s="4">
        <v>0</v>
      </c>
      <c r="AP2166" s="4">
        <v>2</v>
      </c>
      <c r="AQ2166" s="4">
        <v>2</v>
      </c>
      <c r="AR2166" s="3" t="s">
        <v>65</v>
      </c>
      <c r="AS2166" s="3" t="s">
        <v>65</v>
      </c>
      <c r="AT2166" s="3" t="s">
        <v>65</v>
      </c>
      <c r="AV2166" s="6" t="str">
        <f>HYPERLINK("http://mcgill.on.worldcat.org/oclc/802322860","Catalog Record")</f>
        <v>Catalog Record</v>
      </c>
      <c r="AW2166" s="6" t="str">
        <f>HYPERLINK("http://www.worldcat.org/oclc/802322860","WorldCat Record")</f>
        <v>WorldCat Record</v>
      </c>
      <c r="AX2166" s="3" t="s">
        <v>21222</v>
      </c>
      <c r="AY2166" s="3" t="s">
        <v>21223</v>
      </c>
      <c r="AZ2166" s="3" t="s">
        <v>21224</v>
      </c>
      <c r="BA2166" s="3" t="s">
        <v>21224</v>
      </c>
      <c r="BB2166" s="3" t="s">
        <v>21225</v>
      </c>
      <c r="BC2166" s="3" t="s">
        <v>77</v>
      </c>
      <c r="BD2166" s="3" t="s">
        <v>78</v>
      </c>
      <c r="BE2166" s="3" t="s">
        <v>21226</v>
      </c>
      <c r="BF2166" s="3" t="s">
        <v>21225</v>
      </c>
      <c r="BG2166" s="3" t="s">
        <v>21227</v>
      </c>
    </row>
    <row r="2167" spans="1:59" ht="72.5" x14ac:dyDescent="0.35">
      <c r="A2167" s="2" t="s">
        <v>59</v>
      </c>
      <c r="B2167" s="2" t="s">
        <v>60</v>
      </c>
      <c r="C2167" s="2" t="s">
        <v>21228</v>
      </c>
      <c r="D2167" s="2" t="s">
        <v>21229</v>
      </c>
      <c r="E2167" s="2" t="s">
        <v>21230</v>
      </c>
      <c r="G2167" s="3" t="s">
        <v>65</v>
      </c>
      <c r="I2167" s="3" t="s">
        <v>65</v>
      </c>
      <c r="J2167" s="3" t="s">
        <v>65</v>
      </c>
      <c r="K2167" s="3" t="s">
        <v>66</v>
      </c>
      <c r="L2167" s="2" t="s">
        <v>21231</v>
      </c>
      <c r="M2167" s="2" t="s">
        <v>21232</v>
      </c>
      <c r="N2167" s="3" t="s">
        <v>139</v>
      </c>
      <c r="P2167" s="3" t="s">
        <v>140</v>
      </c>
      <c r="Q2167" s="2" t="s">
        <v>21233</v>
      </c>
      <c r="R2167" s="3" t="s">
        <v>71</v>
      </c>
      <c r="S2167" s="4">
        <v>0</v>
      </c>
      <c r="T2167" s="4">
        <v>0</v>
      </c>
      <c r="W2167" s="5" t="s">
        <v>72</v>
      </c>
      <c r="X2167" s="5" t="s">
        <v>72</v>
      </c>
      <c r="Y2167" s="4">
        <v>34</v>
      </c>
      <c r="Z2167" s="4">
        <v>3</v>
      </c>
      <c r="AA2167" s="4">
        <v>3</v>
      </c>
      <c r="AB2167" s="4">
        <v>1</v>
      </c>
      <c r="AC2167" s="4">
        <v>1</v>
      </c>
      <c r="AD2167" s="4">
        <v>23</v>
      </c>
      <c r="AE2167" s="4">
        <v>23</v>
      </c>
      <c r="AF2167" s="4">
        <v>0</v>
      </c>
      <c r="AG2167" s="4">
        <v>0</v>
      </c>
      <c r="AH2167" s="4">
        <v>22</v>
      </c>
      <c r="AI2167" s="4">
        <v>22</v>
      </c>
      <c r="AJ2167" s="4">
        <v>1</v>
      </c>
      <c r="AK2167" s="4">
        <v>1</v>
      </c>
      <c r="AL2167" s="4">
        <v>18</v>
      </c>
      <c r="AM2167" s="4">
        <v>18</v>
      </c>
      <c r="AN2167" s="4">
        <v>0</v>
      </c>
      <c r="AO2167" s="4">
        <v>0</v>
      </c>
      <c r="AP2167" s="4">
        <v>1</v>
      </c>
      <c r="AQ2167" s="4">
        <v>1</v>
      </c>
      <c r="AR2167" s="3" t="s">
        <v>65</v>
      </c>
      <c r="AS2167" s="3" t="s">
        <v>65</v>
      </c>
      <c r="AT2167" s="3" t="s">
        <v>65</v>
      </c>
      <c r="AV2167" s="6" t="str">
        <f>HYPERLINK("http://mcgill.on.worldcat.org/oclc/828889440","Catalog Record")</f>
        <v>Catalog Record</v>
      </c>
      <c r="AW2167" s="6" t="str">
        <f>HYPERLINK("http://www.worldcat.org/oclc/828889440","WorldCat Record")</f>
        <v>WorldCat Record</v>
      </c>
      <c r="AX2167" s="3" t="s">
        <v>21234</v>
      </c>
      <c r="AY2167" s="3" t="s">
        <v>21235</v>
      </c>
      <c r="AZ2167" s="3" t="s">
        <v>21236</v>
      </c>
      <c r="BA2167" s="3" t="s">
        <v>21236</v>
      </c>
      <c r="BB2167" s="3" t="s">
        <v>21237</v>
      </c>
      <c r="BC2167" s="3" t="s">
        <v>77</v>
      </c>
      <c r="BD2167" s="3" t="s">
        <v>78</v>
      </c>
      <c r="BE2167" s="3" t="s">
        <v>21238</v>
      </c>
      <c r="BF2167" s="3" t="s">
        <v>21237</v>
      </c>
      <c r="BG2167" s="3" t="s">
        <v>21239</v>
      </c>
    </row>
    <row r="2168" spans="1:59" ht="72.5" x14ac:dyDescent="0.35">
      <c r="A2168" s="2" t="s">
        <v>59</v>
      </c>
      <c r="B2168" s="2" t="s">
        <v>60</v>
      </c>
      <c r="C2168" s="2" t="s">
        <v>21240</v>
      </c>
      <c r="D2168" s="2" t="s">
        <v>21241</v>
      </c>
      <c r="E2168" s="2" t="s">
        <v>21242</v>
      </c>
      <c r="G2168" s="3" t="s">
        <v>65</v>
      </c>
      <c r="I2168" s="3" t="s">
        <v>65</v>
      </c>
      <c r="J2168" s="3" t="s">
        <v>65</v>
      </c>
      <c r="K2168" s="3" t="s">
        <v>66</v>
      </c>
      <c r="L2168" s="2" t="s">
        <v>21243</v>
      </c>
      <c r="M2168" s="2" t="s">
        <v>21244</v>
      </c>
      <c r="N2168" s="3" t="s">
        <v>126</v>
      </c>
      <c r="P2168" s="3" t="s">
        <v>140</v>
      </c>
      <c r="Q2168" s="2" t="s">
        <v>21245</v>
      </c>
      <c r="R2168" s="3" t="s">
        <v>71</v>
      </c>
      <c r="S2168" s="4">
        <v>0</v>
      </c>
      <c r="T2168" s="4">
        <v>0</v>
      </c>
      <c r="W2168" s="5" t="s">
        <v>72</v>
      </c>
      <c r="X2168" s="5" t="s">
        <v>72</v>
      </c>
      <c r="Y2168" s="4">
        <v>42</v>
      </c>
      <c r="Z2168" s="4">
        <v>5</v>
      </c>
      <c r="AA2168" s="4">
        <v>5</v>
      </c>
      <c r="AB2168" s="4">
        <v>1</v>
      </c>
      <c r="AC2168" s="4">
        <v>1</v>
      </c>
      <c r="AD2168" s="4">
        <v>27</v>
      </c>
      <c r="AE2168" s="4">
        <v>27</v>
      </c>
      <c r="AF2168" s="4">
        <v>0</v>
      </c>
      <c r="AG2168" s="4">
        <v>0</v>
      </c>
      <c r="AH2168" s="4">
        <v>26</v>
      </c>
      <c r="AI2168" s="4">
        <v>26</v>
      </c>
      <c r="AJ2168" s="4">
        <v>3</v>
      </c>
      <c r="AK2168" s="4">
        <v>3</v>
      </c>
      <c r="AL2168" s="4">
        <v>18</v>
      </c>
      <c r="AM2168" s="4">
        <v>18</v>
      </c>
      <c r="AN2168" s="4">
        <v>0</v>
      </c>
      <c r="AO2168" s="4">
        <v>0</v>
      </c>
      <c r="AP2168" s="4">
        <v>3</v>
      </c>
      <c r="AQ2168" s="4">
        <v>3</v>
      </c>
      <c r="AR2168" s="3" t="s">
        <v>65</v>
      </c>
      <c r="AS2168" s="3" t="s">
        <v>65</v>
      </c>
      <c r="AT2168" s="3" t="s">
        <v>65</v>
      </c>
      <c r="AV2168" s="6" t="str">
        <f>HYPERLINK("http://mcgill.on.worldcat.org/oclc/760054027","Catalog Record")</f>
        <v>Catalog Record</v>
      </c>
      <c r="AW2168" s="6" t="str">
        <f>HYPERLINK("http://www.worldcat.org/oclc/760054027","WorldCat Record")</f>
        <v>WorldCat Record</v>
      </c>
      <c r="AX2168" s="3" t="s">
        <v>21246</v>
      </c>
      <c r="AY2168" s="3" t="s">
        <v>21247</v>
      </c>
      <c r="AZ2168" s="3" t="s">
        <v>21248</v>
      </c>
      <c r="BA2168" s="3" t="s">
        <v>21248</v>
      </c>
      <c r="BB2168" s="3" t="s">
        <v>21249</v>
      </c>
      <c r="BC2168" s="3" t="s">
        <v>77</v>
      </c>
      <c r="BD2168" s="3" t="s">
        <v>78</v>
      </c>
      <c r="BE2168" s="3" t="s">
        <v>21250</v>
      </c>
      <c r="BF2168" s="3" t="s">
        <v>21249</v>
      </c>
      <c r="BG2168" s="3" t="s">
        <v>21251</v>
      </c>
    </row>
    <row r="2169" spans="1:59" ht="58" x14ac:dyDescent="0.35">
      <c r="A2169" s="2" t="s">
        <v>59</v>
      </c>
      <c r="B2169" s="2" t="s">
        <v>60</v>
      </c>
      <c r="C2169" s="2" t="s">
        <v>21252</v>
      </c>
      <c r="D2169" s="2" t="s">
        <v>21253</v>
      </c>
      <c r="E2169" s="2" t="s">
        <v>21254</v>
      </c>
      <c r="G2169" s="3" t="s">
        <v>65</v>
      </c>
      <c r="I2169" s="3" t="s">
        <v>65</v>
      </c>
      <c r="J2169" s="3" t="s">
        <v>65</v>
      </c>
      <c r="K2169" s="3" t="s">
        <v>66</v>
      </c>
      <c r="L2169" s="2" t="s">
        <v>21255</v>
      </c>
      <c r="M2169" s="2" t="s">
        <v>3160</v>
      </c>
      <c r="N2169" s="3" t="s">
        <v>139</v>
      </c>
      <c r="O2169" s="2" t="s">
        <v>339</v>
      </c>
      <c r="P2169" s="3" t="s">
        <v>140</v>
      </c>
      <c r="Q2169" s="2" t="s">
        <v>340</v>
      </c>
      <c r="R2169" s="3" t="s">
        <v>71</v>
      </c>
      <c r="S2169" s="4">
        <v>0</v>
      </c>
      <c r="T2169" s="4">
        <v>0</v>
      </c>
      <c r="W2169" s="5" t="s">
        <v>72</v>
      </c>
      <c r="X2169" s="5" t="s">
        <v>72</v>
      </c>
      <c r="Y2169" s="4">
        <v>35</v>
      </c>
      <c r="Z2169" s="4">
        <v>4</v>
      </c>
      <c r="AA2169" s="4">
        <v>4</v>
      </c>
      <c r="AB2169" s="4">
        <v>1</v>
      </c>
      <c r="AC2169" s="4">
        <v>1</v>
      </c>
      <c r="AD2169" s="4">
        <v>25</v>
      </c>
      <c r="AE2169" s="4">
        <v>26</v>
      </c>
      <c r="AF2169" s="4">
        <v>0</v>
      </c>
      <c r="AG2169" s="4">
        <v>0</v>
      </c>
      <c r="AH2169" s="4">
        <v>24</v>
      </c>
      <c r="AI2169" s="4">
        <v>25</v>
      </c>
      <c r="AJ2169" s="4">
        <v>2</v>
      </c>
      <c r="AK2169" s="4">
        <v>2</v>
      </c>
      <c r="AL2169" s="4">
        <v>19</v>
      </c>
      <c r="AM2169" s="4">
        <v>20</v>
      </c>
      <c r="AN2169" s="4">
        <v>0</v>
      </c>
      <c r="AO2169" s="4">
        <v>0</v>
      </c>
      <c r="AP2169" s="4">
        <v>2</v>
      </c>
      <c r="AQ2169" s="4">
        <v>2</v>
      </c>
      <c r="AR2169" s="3" t="s">
        <v>65</v>
      </c>
      <c r="AS2169" s="3" t="s">
        <v>65</v>
      </c>
      <c r="AT2169" s="3" t="s">
        <v>65</v>
      </c>
      <c r="AV2169" s="6" t="str">
        <f>HYPERLINK("http://mcgill.on.worldcat.org/oclc/781673166","Catalog Record")</f>
        <v>Catalog Record</v>
      </c>
      <c r="AW2169" s="6" t="str">
        <f>HYPERLINK("http://www.worldcat.org/oclc/781673166","WorldCat Record")</f>
        <v>WorldCat Record</v>
      </c>
      <c r="AX2169" s="3" t="s">
        <v>21256</v>
      </c>
      <c r="AY2169" s="3" t="s">
        <v>21257</v>
      </c>
      <c r="AZ2169" s="3" t="s">
        <v>21258</v>
      </c>
      <c r="BA2169" s="3" t="s">
        <v>21258</v>
      </c>
      <c r="BB2169" s="3" t="s">
        <v>21259</v>
      </c>
      <c r="BC2169" s="3" t="s">
        <v>77</v>
      </c>
      <c r="BD2169" s="3" t="s">
        <v>78</v>
      </c>
      <c r="BE2169" s="3" t="s">
        <v>21260</v>
      </c>
      <c r="BF2169" s="3" t="s">
        <v>21259</v>
      </c>
      <c r="BG2169" s="3" t="s">
        <v>21261</v>
      </c>
    </row>
    <row r="2170" spans="1:59" ht="58" x14ac:dyDescent="0.35">
      <c r="A2170" s="2" t="s">
        <v>59</v>
      </c>
      <c r="B2170" s="2" t="s">
        <v>60</v>
      </c>
      <c r="C2170" s="2" t="s">
        <v>21262</v>
      </c>
      <c r="D2170" s="2" t="s">
        <v>21263</v>
      </c>
      <c r="E2170" s="2" t="s">
        <v>21264</v>
      </c>
      <c r="G2170" s="3" t="s">
        <v>65</v>
      </c>
      <c r="I2170" s="3" t="s">
        <v>65</v>
      </c>
      <c r="J2170" s="3" t="s">
        <v>65</v>
      </c>
      <c r="K2170" s="3" t="s">
        <v>66</v>
      </c>
      <c r="L2170" s="2" t="s">
        <v>3550</v>
      </c>
      <c r="M2170" s="2" t="s">
        <v>21265</v>
      </c>
      <c r="N2170" s="3" t="s">
        <v>2750</v>
      </c>
      <c r="P2170" s="3" t="s">
        <v>140</v>
      </c>
      <c r="Q2170" s="2" t="s">
        <v>21266</v>
      </c>
      <c r="R2170" s="3" t="s">
        <v>71</v>
      </c>
      <c r="S2170" s="4">
        <v>12</v>
      </c>
      <c r="T2170" s="4">
        <v>12</v>
      </c>
      <c r="U2170" s="5" t="s">
        <v>21164</v>
      </c>
      <c r="V2170" s="5" t="s">
        <v>21164</v>
      </c>
      <c r="W2170" s="5" t="s">
        <v>72</v>
      </c>
      <c r="X2170" s="5" t="s">
        <v>72</v>
      </c>
      <c r="Y2170" s="4">
        <v>58</v>
      </c>
      <c r="Z2170" s="4">
        <v>5</v>
      </c>
      <c r="AA2170" s="4">
        <v>13</v>
      </c>
      <c r="AB2170" s="4">
        <v>1</v>
      </c>
      <c r="AC2170" s="4">
        <v>2</v>
      </c>
      <c r="AD2170" s="4">
        <v>31</v>
      </c>
      <c r="AE2170" s="4">
        <v>64</v>
      </c>
      <c r="AF2170" s="4">
        <v>0</v>
      </c>
      <c r="AG2170" s="4">
        <v>1</v>
      </c>
      <c r="AH2170" s="4">
        <v>29</v>
      </c>
      <c r="AI2170" s="4">
        <v>58</v>
      </c>
      <c r="AJ2170" s="4">
        <v>4</v>
      </c>
      <c r="AK2170" s="4">
        <v>10</v>
      </c>
      <c r="AL2170" s="4">
        <v>18</v>
      </c>
      <c r="AM2170" s="4">
        <v>38</v>
      </c>
      <c r="AN2170" s="4">
        <v>0</v>
      </c>
      <c r="AO2170" s="4">
        <v>0</v>
      </c>
      <c r="AP2170" s="4">
        <v>4</v>
      </c>
      <c r="AQ2170" s="4">
        <v>10</v>
      </c>
      <c r="AR2170" s="3" t="s">
        <v>65</v>
      </c>
      <c r="AS2170" s="3" t="s">
        <v>65</v>
      </c>
      <c r="AT2170" s="3" t="s">
        <v>209</v>
      </c>
      <c r="AU2170" s="6" t="str">
        <f>HYPERLINK("http://catalog.hathitrust.org/Record/002190270","HathiTrust Record")</f>
        <v>HathiTrust Record</v>
      </c>
      <c r="AV2170" s="6" t="str">
        <f>HYPERLINK("http://mcgill.on.worldcat.org/oclc/2376535","Catalog Record")</f>
        <v>Catalog Record</v>
      </c>
      <c r="AW2170" s="6" t="str">
        <f>HYPERLINK("http://www.worldcat.org/oclc/2376535","WorldCat Record")</f>
        <v>WorldCat Record</v>
      </c>
      <c r="AX2170" s="3" t="s">
        <v>21267</v>
      </c>
      <c r="AY2170" s="3" t="s">
        <v>21268</v>
      </c>
      <c r="AZ2170" s="3" t="s">
        <v>21269</v>
      </c>
      <c r="BA2170" s="3" t="s">
        <v>21269</v>
      </c>
      <c r="BB2170" s="3" t="s">
        <v>21270</v>
      </c>
      <c r="BC2170" s="3" t="s">
        <v>77</v>
      </c>
      <c r="BD2170" s="3" t="s">
        <v>78</v>
      </c>
      <c r="BF2170" s="3" t="s">
        <v>21270</v>
      </c>
      <c r="BG2170" s="3" t="s">
        <v>21271</v>
      </c>
    </row>
    <row r="2171" spans="1:59" ht="58" x14ac:dyDescent="0.35">
      <c r="A2171" s="2" t="s">
        <v>59</v>
      </c>
      <c r="B2171" s="2" t="s">
        <v>60</v>
      </c>
      <c r="C2171" s="2" t="s">
        <v>21272</v>
      </c>
      <c r="D2171" s="2" t="s">
        <v>21273</v>
      </c>
      <c r="E2171" s="2" t="s">
        <v>21274</v>
      </c>
      <c r="G2171" s="3" t="s">
        <v>65</v>
      </c>
      <c r="I2171" s="3" t="s">
        <v>65</v>
      </c>
      <c r="J2171" s="3" t="s">
        <v>65</v>
      </c>
      <c r="K2171" s="3" t="s">
        <v>66</v>
      </c>
      <c r="L2171" s="2" t="s">
        <v>21275</v>
      </c>
      <c r="M2171" s="2" t="s">
        <v>21184</v>
      </c>
      <c r="N2171" s="3" t="s">
        <v>126</v>
      </c>
      <c r="P2171" s="3" t="s">
        <v>140</v>
      </c>
      <c r="Q2171" s="2" t="s">
        <v>21276</v>
      </c>
      <c r="R2171" s="3" t="s">
        <v>71</v>
      </c>
      <c r="S2171" s="4">
        <v>0</v>
      </c>
      <c r="T2171" s="4">
        <v>0</v>
      </c>
      <c r="W2171" s="5" t="s">
        <v>72</v>
      </c>
      <c r="X2171" s="5" t="s">
        <v>72</v>
      </c>
      <c r="Y2171" s="4">
        <v>56</v>
      </c>
      <c r="Z2171" s="4">
        <v>4</v>
      </c>
      <c r="AA2171" s="4">
        <v>4</v>
      </c>
      <c r="AB2171" s="4">
        <v>1</v>
      </c>
      <c r="AC2171" s="4">
        <v>1</v>
      </c>
      <c r="AD2171" s="4">
        <v>37</v>
      </c>
      <c r="AE2171" s="4">
        <v>37</v>
      </c>
      <c r="AF2171" s="4">
        <v>0</v>
      </c>
      <c r="AG2171" s="4">
        <v>0</v>
      </c>
      <c r="AH2171" s="4">
        <v>35</v>
      </c>
      <c r="AI2171" s="4">
        <v>35</v>
      </c>
      <c r="AJ2171" s="4">
        <v>2</v>
      </c>
      <c r="AK2171" s="4">
        <v>2</v>
      </c>
      <c r="AL2171" s="4">
        <v>30</v>
      </c>
      <c r="AM2171" s="4">
        <v>30</v>
      </c>
      <c r="AN2171" s="4">
        <v>0</v>
      </c>
      <c r="AO2171" s="4">
        <v>0</v>
      </c>
      <c r="AP2171" s="4">
        <v>2</v>
      </c>
      <c r="AQ2171" s="4">
        <v>2</v>
      </c>
      <c r="AR2171" s="3" t="s">
        <v>65</v>
      </c>
      <c r="AS2171" s="3" t="s">
        <v>65</v>
      </c>
      <c r="AT2171" s="3" t="s">
        <v>65</v>
      </c>
      <c r="AV2171" s="6" t="str">
        <f>HYPERLINK("http://mcgill.on.worldcat.org/oclc/768810286","Catalog Record")</f>
        <v>Catalog Record</v>
      </c>
      <c r="AW2171" s="6" t="str">
        <f>HYPERLINK("http://www.worldcat.org/oclc/768810286","WorldCat Record")</f>
        <v>WorldCat Record</v>
      </c>
      <c r="AX2171" s="3" t="s">
        <v>21277</v>
      </c>
      <c r="AY2171" s="3" t="s">
        <v>21278</v>
      </c>
      <c r="AZ2171" s="3" t="s">
        <v>21279</v>
      </c>
      <c r="BA2171" s="3" t="s">
        <v>21279</v>
      </c>
      <c r="BB2171" s="3" t="s">
        <v>21280</v>
      </c>
      <c r="BC2171" s="3" t="s">
        <v>77</v>
      </c>
      <c r="BD2171" s="3" t="s">
        <v>78</v>
      </c>
      <c r="BE2171" s="3" t="s">
        <v>21281</v>
      </c>
      <c r="BF2171" s="3" t="s">
        <v>21280</v>
      </c>
      <c r="BG2171" s="3" t="s">
        <v>21282</v>
      </c>
    </row>
    <row r="2172" spans="1:59" ht="58" x14ac:dyDescent="0.35">
      <c r="A2172" s="2" t="s">
        <v>59</v>
      </c>
      <c r="B2172" s="2" t="s">
        <v>60</v>
      </c>
      <c r="C2172" s="2" t="s">
        <v>21283</v>
      </c>
      <c r="D2172" s="2" t="s">
        <v>21284</v>
      </c>
      <c r="E2172" s="2" t="s">
        <v>21285</v>
      </c>
      <c r="G2172" s="3" t="s">
        <v>65</v>
      </c>
      <c r="I2172" s="3" t="s">
        <v>209</v>
      </c>
      <c r="J2172" s="3" t="s">
        <v>65</v>
      </c>
      <c r="K2172" s="3" t="s">
        <v>66</v>
      </c>
      <c r="L2172" s="2" t="s">
        <v>21286</v>
      </c>
      <c r="M2172" s="2" t="s">
        <v>18577</v>
      </c>
      <c r="N2172" s="3" t="s">
        <v>5060</v>
      </c>
      <c r="P2172" s="3" t="s">
        <v>140</v>
      </c>
      <c r="Q2172" s="2" t="s">
        <v>21287</v>
      </c>
      <c r="R2172" s="3" t="s">
        <v>71</v>
      </c>
      <c r="S2172" s="4">
        <v>5</v>
      </c>
      <c r="T2172" s="4">
        <v>12</v>
      </c>
      <c r="U2172" s="5" t="s">
        <v>16795</v>
      </c>
      <c r="V2172" s="5" t="s">
        <v>16795</v>
      </c>
      <c r="W2172" s="5" t="s">
        <v>72</v>
      </c>
      <c r="X2172" s="5" t="s">
        <v>72</v>
      </c>
      <c r="Y2172" s="4">
        <v>55</v>
      </c>
      <c r="Z2172" s="4">
        <v>8</v>
      </c>
      <c r="AA2172" s="4">
        <v>8</v>
      </c>
      <c r="AB2172" s="4">
        <v>2</v>
      </c>
      <c r="AC2172" s="4">
        <v>2</v>
      </c>
      <c r="AD2172" s="4">
        <v>32</v>
      </c>
      <c r="AE2172" s="4">
        <v>32</v>
      </c>
      <c r="AF2172" s="4">
        <v>1</v>
      </c>
      <c r="AG2172" s="4">
        <v>1</v>
      </c>
      <c r="AH2172" s="4">
        <v>26</v>
      </c>
      <c r="AI2172" s="4">
        <v>26</v>
      </c>
      <c r="AJ2172" s="4">
        <v>4</v>
      </c>
      <c r="AK2172" s="4">
        <v>4</v>
      </c>
      <c r="AL2172" s="4">
        <v>18</v>
      </c>
      <c r="AM2172" s="4">
        <v>18</v>
      </c>
      <c r="AN2172" s="4">
        <v>0</v>
      </c>
      <c r="AO2172" s="4">
        <v>0</v>
      </c>
      <c r="AP2172" s="4">
        <v>6</v>
      </c>
      <c r="AQ2172" s="4">
        <v>6</v>
      </c>
      <c r="AR2172" s="3" t="s">
        <v>65</v>
      </c>
      <c r="AS2172" s="3" t="s">
        <v>65</v>
      </c>
      <c r="AT2172" s="3" t="s">
        <v>65</v>
      </c>
      <c r="AV2172" s="6" t="str">
        <f>HYPERLINK("http://mcgill.on.worldcat.org/oclc/10669329","Catalog Record")</f>
        <v>Catalog Record</v>
      </c>
      <c r="AW2172" s="6" t="str">
        <f>HYPERLINK("http://www.worldcat.org/oclc/10669329","WorldCat Record")</f>
        <v>WorldCat Record</v>
      </c>
      <c r="AX2172" s="3" t="s">
        <v>21288</v>
      </c>
      <c r="AY2172" s="3" t="s">
        <v>21289</v>
      </c>
      <c r="AZ2172" s="3" t="s">
        <v>21290</v>
      </c>
      <c r="BA2172" s="3" t="s">
        <v>21290</v>
      </c>
      <c r="BB2172" s="3" t="s">
        <v>21291</v>
      </c>
      <c r="BC2172" s="3" t="s">
        <v>77</v>
      </c>
      <c r="BD2172" s="3" t="s">
        <v>78</v>
      </c>
      <c r="BF2172" s="3" t="s">
        <v>21291</v>
      </c>
      <c r="BG2172" s="3" t="s">
        <v>21292</v>
      </c>
    </row>
    <row r="2173" spans="1:59" ht="58" x14ac:dyDescent="0.35">
      <c r="A2173" s="2" t="s">
        <v>59</v>
      </c>
      <c r="B2173" s="2" t="s">
        <v>60</v>
      </c>
      <c r="C2173" s="2" t="s">
        <v>21283</v>
      </c>
      <c r="D2173" s="2" t="s">
        <v>21284</v>
      </c>
      <c r="E2173" s="2" t="s">
        <v>21285</v>
      </c>
      <c r="G2173" s="3" t="s">
        <v>65</v>
      </c>
      <c r="I2173" s="3" t="s">
        <v>209</v>
      </c>
      <c r="J2173" s="3" t="s">
        <v>65</v>
      </c>
      <c r="K2173" s="3" t="s">
        <v>66</v>
      </c>
      <c r="L2173" s="2" t="s">
        <v>21286</v>
      </c>
      <c r="M2173" s="2" t="s">
        <v>18577</v>
      </c>
      <c r="N2173" s="3" t="s">
        <v>5060</v>
      </c>
      <c r="P2173" s="3" t="s">
        <v>140</v>
      </c>
      <c r="Q2173" s="2" t="s">
        <v>21287</v>
      </c>
      <c r="R2173" s="3" t="s">
        <v>71</v>
      </c>
      <c r="S2173" s="4">
        <v>7</v>
      </c>
      <c r="T2173" s="4">
        <v>12</v>
      </c>
      <c r="U2173" s="5" t="s">
        <v>21293</v>
      </c>
      <c r="V2173" s="5" t="s">
        <v>16795</v>
      </c>
      <c r="W2173" s="5" t="s">
        <v>72</v>
      </c>
      <c r="X2173" s="5" t="s">
        <v>72</v>
      </c>
      <c r="Y2173" s="4">
        <v>55</v>
      </c>
      <c r="Z2173" s="4">
        <v>8</v>
      </c>
      <c r="AA2173" s="4">
        <v>8</v>
      </c>
      <c r="AB2173" s="4">
        <v>2</v>
      </c>
      <c r="AC2173" s="4">
        <v>2</v>
      </c>
      <c r="AD2173" s="4">
        <v>32</v>
      </c>
      <c r="AE2173" s="4">
        <v>32</v>
      </c>
      <c r="AF2173" s="4">
        <v>1</v>
      </c>
      <c r="AG2173" s="4">
        <v>1</v>
      </c>
      <c r="AH2173" s="4">
        <v>26</v>
      </c>
      <c r="AI2173" s="4">
        <v>26</v>
      </c>
      <c r="AJ2173" s="4">
        <v>4</v>
      </c>
      <c r="AK2173" s="4">
        <v>4</v>
      </c>
      <c r="AL2173" s="4">
        <v>18</v>
      </c>
      <c r="AM2173" s="4">
        <v>18</v>
      </c>
      <c r="AN2173" s="4">
        <v>0</v>
      </c>
      <c r="AO2173" s="4">
        <v>0</v>
      </c>
      <c r="AP2173" s="4">
        <v>6</v>
      </c>
      <c r="AQ2173" s="4">
        <v>6</v>
      </c>
      <c r="AR2173" s="3" t="s">
        <v>65</v>
      </c>
      <c r="AS2173" s="3" t="s">
        <v>65</v>
      </c>
      <c r="AT2173" s="3" t="s">
        <v>65</v>
      </c>
      <c r="AV2173" s="6" t="str">
        <f>HYPERLINK("http://mcgill.on.worldcat.org/oclc/10669329","Catalog Record")</f>
        <v>Catalog Record</v>
      </c>
      <c r="AW2173" s="6" t="str">
        <f>HYPERLINK("http://www.worldcat.org/oclc/10669329","WorldCat Record")</f>
        <v>WorldCat Record</v>
      </c>
      <c r="AX2173" s="3" t="s">
        <v>21288</v>
      </c>
      <c r="AY2173" s="3" t="s">
        <v>21289</v>
      </c>
      <c r="AZ2173" s="3" t="s">
        <v>21290</v>
      </c>
      <c r="BA2173" s="3" t="s">
        <v>21290</v>
      </c>
      <c r="BB2173" s="3" t="s">
        <v>21294</v>
      </c>
      <c r="BC2173" s="3" t="s">
        <v>77</v>
      </c>
      <c r="BD2173" s="3" t="s">
        <v>78</v>
      </c>
      <c r="BF2173" s="3" t="s">
        <v>21294</v>
      </c>
      <c r="BG2173" s="3" t="s">
        <v>21295</v>
      </c>
    </row>
    <row r="2174" spans="1:59" ht="72.5" x14ac:dyDescent="0.35">
      <c r="A2174" s="2" t="s">
        <v>59</v>
      </c>
      <c r="B2174" s="2" t="s">
        <v>60</v>
      </c>
      <c r="C2174" s="2" t="s">
        <v>21296</v>
      </c>
      <c r="D2174" s="2" t="s">
        <v>21297</v>
      </c>
      <c r="E2174" s="2" t="s">
        <v>21298</v>
      </c>
      <c r="G2174" s="3" t="s">
        <v>65</v>
      </c>
      <c r="I2174" s="3" t="s">
        <v>65</v>
      </c>
      <c r="J2174" s="3" t="s">
        <v>65</v>
      </c>
      <c r="K2174" s="3" t="s">
        <v>66</v>
      </c>
      <c r="L2174" s="2" t="s">
        <v>21299</v>
      </c>
      <c r="M2174" s="2" t="s">
        <v>21300</v>
      </c>
      <c r="N2174" s="3" t="s">
        <v>86</v>
      </c>
      <c r="O2174" s="2" t="s">
        <v>379</v>
      </c>
      <c r="P2174" s="3" t="s">
        <v>140</v>
      </c>
      <c r="R2174" s="3" t="s">
        <v>71</v>
      </c>
      <c r="S2174" s="4">
        <v>0</v>
      </c>
      <c r="T2174" s="4">
        <v>0</v>
      </c>
      <c r="W2174" s="5" t="s">
        <v>4229</v>
      </c>
      <c r="X2174" s="5" t="s">
        <v>4229</v>
      </c>
      <c r="Y2174" s="4">
        <v>37</v>
      </c>
      <c r="Z2174" s="4">
        <v>2</v>
      </c>
      <c r="AA2174" s="4">
        <v>2</v>
      </c>
      <c r="AB2174" s="4">
        <v>1</v>
      </c>
      <c r="AC2174" s="4">
        <v>1</v>
      </c>
      <c r="AD2174" s="4">
        <v>28</v>
      </c>
      <c r="AE2174" s="4">
        <v>28</v>
      </c>
      <c r="AF2174" s="4">
        <v>0</v>
      </c>
      <c r="AG2174" s="4">
        <v>0</v>
      </c>
      <c r="AH2174" s="4">
        <v>27</v>
      </c>
      <c r="AI2174" s="4">
        <v>27</v>
      </c>
      <c r="AJ2174" s="4">
        <v>1</v>
      </c>
      <c r="AK2174" s="4">
        <v>1</v>
      </c>
      <c r="AL2174" s="4">
        <v>20</v>
      </c>
      <c r="AM2174" s="4">
        <v>20</v>
      </c>
      <c r="AN2174" s="4">
        <v>0</v>
      </c>
      <c r="AO2174" s="4">
        <v>0</v>
      </c>
      <c r="AP2174" s="4">
        <v>1</v>
      </c>
      <c r="AQ2174" s="4">
        <v>1</v>
      </c>
      <c r="AR2174" s="3" t="s">
        <v>65</v>
      </c>
      <c r="AS2174" s="3" t="s">
        <v>65</v>
      </c>
      <c r="AT2174" s="3" t="s">
        <v>65</v>
      </c>
      <c r="AV2174" s="6" t="str">
        <f>HYPERLINK("http://mcgill.on.worldcat.org/oclc/1032031852","Catalog Record")</f>
        <v>Catalog Record</v>
      </c>
      <c r="AW2174" s="6" t="str">
        <f>HYPERLINK("http://www.worldcat.org/oclc/1032031852","WorldCat Record")</f>
        <v>WorldCat Record</v>
      </c>
      <c r="AX2174" s="3" t="s">
        <v>21301</v>
      </c>
      <c r="AY2174" s="3" t="s">
        <v>21302</v>
      </c>
      <c r="AZ2174" s="3" t="s">
        <v>21303</v>
      </c>
      <c r="BA2174" s="3" t="s">
        <v>21303</v>
      </c>
      <c r="BB2174" s="3" t="s">
        <v>21304</v>
      </c>
      <c r="BC2174" s="3" t="s">
        <v>77</v>
      </c>
      <c r="BD2174" s="3" t="s">
        <v>78</v>
      </c>
      <c r="BE2174" s="3" t="s">
        <v>21305</v>
      </c>
      <c r="BF2174" s="3" t="s">
        <v>21304</v>
      </c>
      <c r="BG2174" s="3" t="s">
        <v>21306</v>
      </c>
    </row>
    <row r="2175" spans="1:59" ht="58" x14ac:dyDescent="0.35">
      <c r="A2175" s="2" t="s">
        <v>59</v>
      </c>
      <c r="B2175" s="2" t="s">
        <v>60</v>
      </c>
      <c r="C2175" s="2" t="s">
        <v>21307</v>
      </c>
      <c r="D2175" s="2" t="s">
        <v>21308</v>
      </c>
      <c r="E2175" s="2" t="s">
        <v>21309</v>
      </c>
      <c r="G2175" s="3" t="s">
        <v>65</v>
      </c>
      <c r="I2175" s="3" t="s">
        <v>65</v>
      </c>
      <c r="J2175" s="3" t="s">
        <v>65</v>
      </c>
      <c r="K2175" s="3" t="s">
        <v>66</v>
      </c>
      <c r="L2175" s="2" t="s">
        <v>21310</v>
      </c>
      <c r="M2175" s="2" t="s">
        <v>2256</v>
      </c>
      <c r="N2175" s="3" t="s">
        <v>126</v>
      </c>
      <c r="O2175" s="2" t="s">
        <v>654</v>
      </c>
      <c r="P2175" s="3" t="s">
        <v>140</v>
      </c>
      <c r="Q2175" s="2" t="s">
        <v>21311</v>
      </c>
      <c r="R2175" s="3" t="s">
        <v>71</v>
      </c>
      <c r="S2175" s="4">
        <v>0</v>
      </c>
      <c r="T2175" s="4">
        <v>0</v>
      </c>
      <c r="W2175" s="5" t="s">
        <v>72</v>
      </c>
      <c r="X2175" s="5" t="s">
        <v>72</v>
      </c>
      <c r="Y2175" s="4">
        <v>24</v>
      </c>
      <c r="Z2175" s="4">
        <v>4</v>
      </c>
      <c r="AA2175" s="4">
        <v>4</v>
      </c>
      <c r="AB2175" s="4">
        <v>1</v>
      </c>
      <c r="AC2175" s="4">
        <v>1</v>
      </c>
      <c r="AD2175" s="4">
        <v>15</v>
      </c>
      <c r="AE2175" s="4">
        <v>15</v>
      </c>
      <c r="AF2175" s="4">
        <v>0</v>
      </c>
      <c r="AG2175" s="4">
        <v>0</v>
      </c>
      <c r="AH2175" s="4">
        <v>15</v>
      </c>
      <c r="AI2175" s="4">
        <v>15</v>
      </c>
      <c r="AJ2175" s="4">
        <v>2</v>
      </c>
      <c r="AK2175" s="4">
        <v>2</v>
      </c>
      <c r="AL2175" s="4">
        <v>9</v>
      </c>
      <c r="AM2175" s="4">
        <v>9</v>
      </c>
      <c r="AN2175" s="4">
        <v>0</v>
      </c>
      <c r="AO2175" s="4">
        <v>0</v>
      </c>
      <c r="AP2175" s="4">
        <v>2</v>
      </c>
      <c r="AQ2175" s="4">
        <v>2</v>
      </c>
      <c r="AR2175" s="3" t="s">
        <v>65</v>
      </c>
      <c r="AS2175" s="3" t="s">
        <v>65</v>
      </c>
      <c r="AT2175" s="3" t="s">
        <v>65</v>
      </c>
      <c r="AV2175" s="6" t="str">
        <f>HYPERLINK("http://mcgill.on.worldcat.org/oclc/760053795","Catalog Record")</f>
        <v>Catalog Record</v>
      </c>
      <c r="AW2175" s="6" t="str">
        <f>HYPERLINK("http://www.worldcat.org/oclc/760053795","WorldCat Record")</f>
        <v>WorldCat Record</v>
      </c>
      <c r="AX2175" s="3" t="s">
        <v>21312</v>
      </c>
      <c r="AY2175" s="3" t="s">
        <v>21313</v>
      </c>
      <c r="AZ2175" s="3" t="s">
        <v>21314</v>
      </c>
      <c r="BA2175" s="3" t="s">
        <v>21314</v>
      </c>
      <c r="BB2175" s="3" t="s">
        <v>21315</v>
      </c>
      <c r="BC2175" s="3" t="s">
        <v>77</v>
      </c>
      <c r="BD2175" s="3" t="s">
        <v>78</v>
      </c>
      <c r="BE2175" s="3" t="s">
        <v>21316</v>
      </c>
      <c r="BF2175" s="3" t="s">
        <v>21315</v>
      </c>
      <c r="BG2175" s="3" t="s">
        <v>21317</v>
      </c>
    </row>
    <row r="2176" spans="1:59" ht="58" x14ac:dyDescent="0.35">
      <c r="A2176" s="2" t="s">
        <v>59</v>
      </c>
      <c r="B2176" s="2" t="s">
        <v>60</v>
      </c>
      <c r="C2176" s="2" t="s">
        <v>21318</v>
      </c>
      <c r="D2176" s="2" t="s">
        <v>21319</v>
      </c>
      <c r="E2176" s="2" t="s">
        <v>21320</v>
      </c>
      <c r="G2176" s="3" t="s">
        <v>65</v>
      </c>
      <c r="I2176" s="3" t="s">
        <v>65</v>
      </c>
      <c r="J2176" s="3" t="s">
        <v>65</v>
      </c>
      <c r="K2176" s="3" t="s">
        <v>66</v>
      </c>
      <c r="M2176" s="2" t="s">
        <v>21321</v>
      </c>
      <c r="N2176" s="3" t="s">
        <v>7187</v>
      </c>
      <c r="P2176" s="3" t="s">
        <v>140</v>
      </c>
      <c r="R2176" s="3" t="s">
        <v>71</v>
      </c>
      <c r="S2176" s="4">
        <v>5</v>
      </c>
      <c r="T2176" s="4">
        <v>5</v>
      </c>
      <c r="U2176" s="5" t="s">
        <v>21322</v>
      </c>
      <c r="V2176" s="5" t="s">
        <v>21322</v>
      </c>
      <c r="W2176" s="5" t="s">
        <v>72</v>
      </c>
      <c r="X2176" s="5" t="s">
        <v>72</v>
      </c>
      <c r="Y2176" s="4">
        <v>41</v>
      </c>
      <c r="Z2176" s="4">
        <v>5</v>
      </c>
      <c r="AA2176" s="4">
        <v>5</v>
      </c>
      <c r="AB2176" s="4">
        <v>1</v>
      </c>
      <c r="AC2176" s="4">
        <v>1</v>
      </c>
      <c r="AD2176" s="4">
        <v>26</v>
      </c>
      <c r="AE2176" s="4">
        <v>26</v>
      </c>
      <c r="AF2176" s="4">
        <v>0</v>
      </c>
      <c r="AG2176" s="4">
        <v>0</v>
      </c>
      <c r="AH2176" s="4">
        <v>25</v>
      </c>
      <c r="AI2176" s="4">
        <v>25</v>
      </c>
      <c r="AJ2176" s="4">
        <v>3</v>
      </c>
      <c r="AK2176" s="4">
        <v>3</v>
      </c>
      <c r="AL2176" s="4">
        <v>19</v>
      </c>
      <c r="AM2176" s="4">
        <v>19</v>
      </c>
      <c r="AN2176" s="4">
        <v>0</v>
      </c>
      <c r="AO2176" s="4">
        <v>0</v>
      </c>
      <c r="AP2176" s="4">
        <v>3</v>
      </c>
      <c r="AQ2176" s="4">
        <v>3</v>
      </c>
      <c r="AR2176" s="3" t="s">
        <v>65</v>
      </c>
      <c r="AS2176" s="3" t="s">
        <v>65</v>
      </c>
      <c r="AT2176" s="3" t="s">
        <v>209</v>
      </c>
      <c r="AU2176" s="6" t="str">
        <f>HYPERLINK("http://catalog.hathitrust.org/Record/007962970","HathiTrust Record")</f>
        <v>HathiTrust Record</v>
      </c>
      <c r="AV2176" s="6" t="str">
        <f>HYPERLINK("http://mcgill.on.worldcat.org/oclc/3842300","Catalog Record")</f>
        <v>Catalog Record</v>
      </c>
      <c r="AW2176" s="6" t="str">
        <f>HYPERLINK("http://www.worldcat.org/oclc/3842300","WorldCat Record")</f>
        <v>WorldCat Record</v>
      </c>
      <c r="AX2176" s="3" t="s">
        <v>21323</v>
      </c>
      <c r="AY2176" s="3" t="s">
        <v>21324</v>
      </c>
      <c r="AZ2176" s="3" t="s">
        <v>21325</v>
      </c>
      <c r="BA2176" s="3" t="s">
        <v>21325</v>
      </c>
      <c r="BB2176" s="3" t="s">
        <v>21326</v>
      </c>
      <c r="BC2176" s="3" t="s">
        <v>77</v>
      </c>
      <c r="BD2176" s="3" t="s">
        <v>78</v>
      </c>
      <c r="BF2176" s="3" t="s">
        <v>21326</v>
      </c>
      <c r="BG2176" s="3" t="s">
        <v>21327</v>
      </c>
    </row>
    <row r="2177" spans="1:59" ht="58" x14ac:dyDescent="0.35">
      <c r="A2177" s="2" t="s">
        <v>59</v>
      </c>
      <c r="B2177" s="2" t="s">
        <v>60</v>
      </c>
      <c r="C2177" s="2" t="s">
        <v>21328</v>
      </c>
      <c r="D2177" s="2" t="s">
        <v>21329</v>
      </c>
      <c r="E2177" s="2" t="s">
        <v>21330</v>
      </c>
      <c r="F2177" s="3" t="s">
        <v>258</v>
      </c>
      <c r="G2177" s="3" t="s">
        <v>209</v>
      </c>
      <c r="I2177" s="3" t="s">
        <v>65</v>
      </c>
      <c r="J2177" s="3" t="s">
        <v>209</v>
      </c>
      <c r="K2177" s="3" t="s">
        <v>66</v>
      </c>
      <c r="L2177" s="2" t="s">
        <v>21331</v>
      </c>
      <c r="M2177" s="2" t="s">
        <v>21332</v>
      </c>
      <c r="N2177" s="3" t="s">
        <v>8812</v>
      </c>
      <c r="O2177" s="2" t="s">
        <v>21333</v>
      </c>
      <c r="P2177" s="3" t="s">
        <v>140</v>
      </c>
      <c r="R2177" s="3" t="s">
        <v>71</v>
      </c>
      <c r="S2177" s="4">
        <v>0</v>
      </c>
      <c r="T2177" s="4">
        <v>1</v>
      </c>
      <c r="V2177" s="5" t="s">
        <v>21334</v>
      </c>
      <c r="W2177" s="5" t="s">
        <v>72</v>
      </c>
      <c r="X2177" s="5" t="s">
        <v>72</v>
      </c>
      <c r="Y2177" s="4">
        <v>7</v>
      </c>
      <c r="Z2177" s="4">
        <v>1</v>
      </c>
      <c r="AA2177" s="4">
        <v>3</v>
      </c>
      <c r="AB2177" s="4">
        <v>1</v>
      </c>
      <c r="AC2177" s="4">
        <v>1</v>
      </c>
      <c r="AD2177" s="4">
        <v>4</v>
      </c>
      <c r="AE2177" s="4">
        <v>8</v>
      </c>
      <c r="AF2177" s="4">
        <v>0</v>
      </c>
      <c r="AG2177" s="4">
        <v>0</v>
      </c>
      <c r="AH2177" s="4">
        <v>4</v>
      </c>
      <c r="AI2177" s="4">
        <v>8</v>
      </c>
      <c r="AJ2177" s="4">
        <v>0</v>
      </c>
      <c r="AK2177" s="4">
        <v>1</v>
      </c>
      <c r="AL2177" s="4">
        <v>3</v>
      </c>
      <c r="AM2177" s="4">
        <v>6</v>
      </c>
      <c r="AN2177" s="4">
        <v>0</v>
      </c>
      <c r="AO2177" s="4">
        <v>0</v>
      </c>
      <c r="AP2177" s="4">
        <v>0</v>
      </c>
      <c r="AQ2177" s="4">
        <v>1</v>
      </c>
      <c r="AR2177" s="3" t="s">
        <v>65</v>
      </c>
      <c r="AS2177" s="3" t="s">
        <v>65</v>
      </c>
      <c r="AT2177" s="3" t="s">
        <v>65</v>
      </c>
      <c r="AV2177" s="6" t="str">
        <f>HYPERLINK("http://mcgill.on.worldcat.org/oclc/15515954","Catalog Record")</f>
        <v>Catalog Record</v>
      </c>
      <c r="AW2177" s="6" t="str">
        <f>HYPERLINK("http://www.worldcat.org/oclc/15515954","WorldCat Record")</f>
        <v>WorldCat Record</v>
      </c>
      <c r="AX2177" s="3" t="s">
        <v>21335</v>
      </c>
      <c r="AY2177" s="3" t="s">
        <v>21336</v>
      </c>
      <c r="AZ2177" s="3" t="s">
        <v>21337</v>
      </c>
      <c r="BA2177" s="3" t="s">
        <v>21337</v>
      </c>
      <c r="BB2177" s="3" t="s">
        <v>21338</v>
      </c>
      <c r="BC2177" s="3" t="s">
        <v>77</v>
      </c>
      <c r="BD2177" s="3" t="s">
        <v>78</v>
      </c>
      <c r="BF2177" s="3" t="s">
        <v>21338</v>
      </c>
      <c r="BG2177" s="3" t="s">
        <v>21339</v>
      </c>
    </row>
    <row r="2178" spans="1:59" ht="58" x14ac:dyDescent="0.35">
      <c r="A2178" s="2" t="s">
        <v>59</v>
      </c>
      <c r="B2178" s="2" t="s">
        <v>60</v>
      </c>
      <c r="C2178" s="2" t="s">
        <v>21328</v>
      </c>
      <c r="D2178" s="2" t="s">
        <v>21329</v>
      </c>
      <c r="E2178" s="2" t="s">
        <v>21330</v>
      </c>
      <c r="F2178" s="3" t="s">
        <v>245</v>
      </c>
      <c r="G2178" s="3" t="s">
        <v>209</v>
      </c>
      <c r="I2178" s="3" t="s">
        <v>65</v>
      </c>
      <c r="J2178" s="3" t="s">
        <v>209</v>
      </c>
      <c r="K2178" s="3" t="s">
        <v>66</v>
      </c>
      <c r="L2178" s="2" t="s">
        <v>21331</v>
      </c>
      <c r="M2178" s="2" t="s">
        <v>21332</v>
      </c>
      <c r="N2178" s="3" t="s">
        <v>8812</v>
      </c>
      <c r="O2178" s="2" t="s">
        <v>21333</v>
      </c>
      <c r="P2178" s="3" t="s">
        <v>140</v>
      </c>
      <c r="R2178" s="3" t="s">
        <v>71</v>
      </c>
      <c r="S2178" s="4">
        <v>1</v>
      </c>
      <c r="T2178" s="4">
        <v>1</v>
      </c>
      <c r="U2178" s="5" t="s">
        <v>21334</v>
      </c>
      <c r="V2178" s="5" t="s">
        <v>21334</v>
      </c>
      <c r="W2178" s="5" t="s">
        <v>72</v>
      </c>
      <c r="X2178" s="5" t="s">
        <v>72</v>
      </c>
      <c r="Y2178" s="4">
        <v>7</v>
      </c>
      <c r="Z2178" s="4">
        <v>1</v>
      </c>
      <c r="AA2178" s="4">
        <v>3</v>
      </c>
      <c r="AB2178" s="4">
        <v>1</v>
      </c>
      <c r="AC2178" s="4">
        <v>1</v>
      </c>
      <c r="AD2178" s="4">
        <v>4</v>
      </c>
      <c r="AE2178" s="4">
        <v>8</v>
      </c>
      <c r="AF2178" s="4">
        <v>0</v>
      </c>
      <c r="AG2178" s="4">
        <v>0</v>
      </c>
      <c r="AH2178" s="4">
        <v>4</v>
      </c>
      <c r="AI2178" s="4">
        <v>8</v>
      </c>
      <c r="AJ2178" s="4">
        <v>0</v>
      </c>
      <c r="AK2178" s="4">
        <v>1</v>
      </c>
      <c r="AL2178" s="4">
        <v>3</v>
      </c>
      <c r="AM2178" s="4">
        <v>6</v>
      </c>
      <c r="AN2178" s="4">
        <v>0</v>
      </c>
      <c r="AO2178" s="4">
        <v>0</v>
      </c>
      <c r="AP2178" s="4">
        <v>0</v>
      </c>
      <c r="AQ2178" s="4">
        <v>1</v>
      </c>
      <c r="AR2178" s="3" t="s">
        <v>65</v>
      </c>
      <c r="AS2178" s="3" t="s">
        <v>65</v>
      </c>
      <c r="AT2178" s="3" t="s">
        <v>65</v>
      </c>
      <c r="AV2178" s="6" t="str">
        <f>HYPERLINK("http://mcgill.on.worldcat.org/oclc/15515954","Catalog Record")</f>
        <v>Catalog Record</v>
      </c>
      <c r="AW2178" s="6" t="str">
        <f>HYPERLINK("http://www.worldcat.org/oclc/15515954","WorldCat Record")</f>
        <v>WorldCat Record</v>
      </c>
      <c r="AX2178" s="3" t="s">
        <v>21335</v>
      </c>
      <c r="AY2178" s="3" t="s">
        <v>21336</v>
      </c>
      <c r="AZ2178" s="3" t="s">
        <v>21337</v>
      </c>
      <c r="BA2178" s="3" t="s">
        <v>21337</v>
      </c>
      <c r="BB2178" s="3" t="s">
        <v>21340</v>
      </c>
      <c r="BC2178" s="3" t="s">
        <v>77</v>
      </c>
      <c r="BD2178" s="3" t="s">
        <v>78</v>
      </c>
      <c r="BF2178" s="3" t="s">
        <v>21340</v>
      </c>
      <c r="BG2178" s="3" t="s">
        <v>21341</v>
      </c>
    </row>
    <row r="2179" spans="1:59" ht="58" x14ac:dyDescent="0.35">
      <c r="A2179" s="2" t="s">
        <v>59</v>
      </c>
      <c r="B2179" s="2" t="s">
        <v>60</v>
      </c>
      <c r="C2179" s="2" t="s">
        <v>21342</v>
      </c>
      <c r="D2179" s="2" t="s">
        <v>21343</v>
      </c>
      <c r="E2179" s="2" t="s">
        <v>21330</v>
      </c>
      <c r="F2179" s="3" t="s">
        <v>503</v>
      </c>
      <c r="G2179" s="3" t="s">
        <v>209</v>
      </c>
      <c r="I2179" s="3" t="s">
        <v>65</v>
      </c>
      <c r="J2179" s="3" t="s">
        <v>209</v>
      </c>
      <c r="K2179" s="3" t="s">
        <v>66</v>
      </c>
      <c r="L2179" s="2" t="s">
        <v>21331</v>
      </c>
      <c r="M2179" s="2" t="s">
        <v>21344</v>
      </c>
      <c r="N2179" s="3" t="s">
        <v>9115</v>
      </c>
      <c r="O2179" s="2" t="s">
        <v>21345</v>
      </c>
      <c r="P2179" s="3" t="s">
        <v>140</v>
      </c>
      <c r="Q2179" s="2" t="s">
        <v>21346</v>
      </c>
      <c r="R2179" s="3" t="s">
        <v>71</v>
      </c>
      <c r="S2179" s="4">
        <v>2</v>
      </c>
      <c r="T2179" s="4">
        <v>13</v>
      </c>
      <c r="U2179" s="5" t="s">
        <v>21347</v>
      </c>
      <c r="V2179" s="5" t="s">
        <v>21348</v>
      </c>
      <c r="W2179" s="5" t="s">
        <v>72</v>
      </c>
      <c r="X2179" s="5" t="s">
        <v>72</v>
      </c>
      <c r="Y2179" s="4">
        <v>1</v>
      </c>
      <c r="Z2179" s="4">
        <v>1</v>
      </c>
      <c r="AA2179" s="4">
        <v>3</v>
      </c>
      <c r="AB2179" s="4">
        <v>1</v>
      </c>
      <c r="AC2179" s="4">
        <v>1</v>
      </c>
      <c r="AD2179" s="4">
        <v>0</v>
      </c>
      <c r="AE2179" s="4">
        <v>8</v>
      </c>
      <c r="AF2179" s="4">
        <v>0</v>
      </c>
      <c r="AG2179" s="4">
        <v>0</v>
      </c>
      <c r="AH2179" s="4">
        <v>0</v>
      </c>
      <c r="AI2179" s="4">
        <v>8</v>
      </c>
      <c r="AJ2179" s="4">
        <v>0</v>
      </c>
      <c r="AK2179" s="4">
        <v>1</v>
      </c>
      <c r="AL2179" s="4">
        <v>0</v>
      </c>
      <c r="AM2179" s="4">
        <v>6</v>
      </c>
      <c r="AN2179" s="4">
        <v>0</v>
      </c>
      <c r="AO2179" s="4">
        <v>0</v>
      </c>
      <c r="AP2179" s="4">
        <v>0</v>
      </c>
      <c r="AQ2179" s="4">
        <v>1</v>
      </c>
      <c r="AR2179" s="3" t="s">
        <v>65</v>
      </c>
      <c r="AS2179" s="3" t="s">
        <v>65</v>
      </c>
      <c r="AT2179" s="3" t="s">
        <v>65</v>
      </c>
      <c r="AV2179" s="6" t="str">
        <f>HYPERLINK("http://mcgill.on.worldcat.org/oclc/61578131","Catalog Record")</f>
        <v>Catalog Record</v>
      </c>
      <c r="AW2179" s="6" t="str">
        <f>HYPERLINK("http://www.worldcat.org/oclc/61578131","WorldCat Record")</f>
        <v>WorldCat Record</v>
      </c>
      <c r="AX2179" s="3" t="s">
        <v>21335</v>
      </c>
      <c r="AY2179" s="3" t="s">
        <v>21349</v>
      </c>
      <c r="AZ2179" s="3" t="s">
        <v>21350</v>
      </c>
      <c r="BA2179" s="3" t="s">
        <v>21350</v>
      </c>
      <c r="BB2179" s="3" t="s">
        <v>21351</v>
      </c>
      <c r="BC2179" s="3" t="s">
        <v>77</v>
      </c>
      <c r="BD2179" s="3" t="s">
        <v>78</v>
      </c>
      <c r="BF2179" s="3" t="s">
        <v>21351</v>
      </c>
      <c r="BG2179" s="3" t="s">
        <v>21352</v>
      </c>
    </row>
    <row r="2180" spans="1:59" ht="58" x14ac:dyDescent="0.35">
      <c r="A2180" s="2" t="s">
        <v>59</v>
      </c>
      <c r="B2180" s="2" t="s">
        <v>60</v>
      </c>
      <c r="C2180" s="2" t="s">
        <v>21342</v>
      </c>
      <c r="D2180" s="2" t="s">
        <v>21343</v>
      </c>
      <c r="E2180" s="2" t="s">
        <v>21330</v>
      </c>
      <c r="F2180" s="3" t="s">
        <v>490</v>
      </c>
      <c r="G2180" s="3" t="s">
        <v>209</v>
      </c>
      <c r="I2180" s="3" t="s">
        <v>65</v>
      </c>
      <c r="J2180" s="3" t="s">
        <v>209</v>
      </c>
      <c r="K2180" s="3" t="s">
        <v>66</v>
      </c>
      <c r="L2180" s="2" t="s">
        <v>21331</v>
      </c>
      <c r="M2180" s="2" t="s">
        <v>21344</v>
      </c>
      <c r="N2180" s="3" t="s">
        <v>9115</v>
      </c>
      <c r="O2180" s="2" t="s">
        <v>21345</v>
      </c>
      <c r="P2180" s="3" t="s">
        <v>140</v>
      </c>
      <c r="Q2180" s="2" t="s">
        <v>21346</v>
      </c>
      <c r="R2180" s="3" t="s">
        <v>71</v>
      </c>
      <c r="S2180" s="4">
        <v>11</v>
      </c>
      <c r="T2180" s="4">
        <v>13</v>
      </c>
      <c r="U2180" s="5" t="s">
        <v>21348</v>
      </c>
      <c r="V2180" s="5" t="s">
        <v>21348</v>
      </c>
      <c r="W2180" s="5" t="s">
        <v>72</v>
      </c>
      <c r="X2180" s="5" t="s">
        <v>72</v>
      </c>
      <c r="Y2180" s="4">
        <v>1</v>
      </c>
      <c r="Z2180" s="4">
        <v>1</v>
      </c>
      <c r="AA2180" s="4">
        <v>3</v>
      </c>
      <c r="AB2180" s="4">
        <v>1</v>
      </c>
      <c r="AC2180" s="4">
        <v>1</v>
      </c>
      <c r="AD2180" s="4">
        <v>0</v>
      </c>
      <c r="AE2180" s="4">
        <v>8</v>
      </c>
      <c r="AF2180" s="4">
        <v>0</v>
      </c>
      <c r="AG2180" s="4">
        <v>0</v>
      </c>
      <c r="AH2180" s="4">
        <v>0</v>
      </c>
      <c r="AI2180" s="4">
        <v>8</v>
      </c>
      <c r="AJ2180" s="4">
        <v>0</v>
      </c>
      <c r="AK2180" s="4">
        <v>1</v>
      </c>
      <c r="AL2180" s="4">
        <v>0</v>
      </c>
      <c r="AM2180" s="4">
        <v>6</v>
      </c>
      <c r="AN2180" s="4">
        <v>0</v>
      </c>
      <c r="AO2180" s="4">
        <v>0</v>
      </c>
      <c r="AP2180" s="4">
        <v>0</v>
      </c>
      <c r="AQ2180" s="4">
        <v>1</v>
      </c>
      <c r="AR2180" s="3" t="s">
        <v>65</v>
      </c>
      <c r="AS2180" s="3" t="s">
        <v>65</v>
      </c>
      <c r="AT2180" s="3" t="s">
        <v>65</v>
      </c>
      <c r="AV2180" s="6" t="str">
        <f>HYPERLINK("http://mcgill.on.worldcat.org/oclc/61578131","Catalog Record")</f>
        <v>Catalog Record</v>
      </c>
      <c r="AW2180" s="6" t="str">
        <f>HYPERLINK("http://www.worldcat.org/oclc/61578131","WorldCat Record")</f>
        <v>WorldCat Record</v>
      </c>
      <c r="AX2180" s="3" t="s">
        <v>21335</v>
      </c>
      <c r="AY2180" s="3" t="s">
        <v>21349</v>
      </c>
      <c r="AZ2180" s="3" t="s">
        <v>21350</v>
      </c>
      <c r="BA2180" s="3" t="s">
        <v>21350</v>
      </c>
      <c r="BB2180" s="3" t="s">
        <v>21353</v>
      </c>
      <c r="BC2180" s="3" t="s">
        <v>77</v>
      </c>
      <c r="BD2180" s="3" t="s">
        <v>78</v>
      </c>
      <c r="BF2180" s="3" t="s">
        <v>21353</v>
      </c>
      <c r="BG2180" s="3" t="s">
        <v>21354</v>
      </c>
    </row>
    <row r="2181" spans="1:59" ht="58" x14ac:dyDescent="0.35">
      <c r="A2181" s="2" t="s">
        <v>59</v>
      </c>
      <c r="B2181" s="2" t="s">
        <v>60</v>
      </c>
      <c r="C2181" s="2" t="s">
        <v>21355</v>
      </c>
      <c r="D2181" s="2" t="s">
        <v>21356</v>
      </c>
      <c r="E2181" s="2" t="s">
        <v>21357</v>
      </c>
      <c r="F2181" s="3" t="s">
        <v>245</v>
      </c>
      <c r="G2181" s="3" t="s">
        <v>209</v>
      </c>
      <c r="I2181" s="3" t="s">
        <v>65</v>
      </c>
      <c r="J2181" s="3" t="s">
        <v>65</v>
      </c>
      <c r="K2181" s="3" t="s">
        <v>66</v>
      </c>
      <c r="L2181" s="2" t="s">
        <v>21331</v>
      </c>
      <c r="M2181" s="2" t="s">
        <v>21358</v>
      </c>
      <c r="N2181" s="3" t="s">
        <v>2460</v>
      </c>
      <c r="O2181" s="2" t="s">
        <v>21359</v>
      </c>
      <c r="P2181" s="3" t="s">
        <v>140</v>
      </c>
      <c r="Q2181" s="2" t="s">
        <v>7116</v>
      </c>
      <c r="R2181" s="3" t="s">
        <v>71</v>
      </c>
      <c r="S2181" s="4">
        <v>17</v>
      </c>
      <c r="T2181" s="4">
        <v>22</v>
      </c>
      <c r="U2181" s="5" t="s">
        <v>21360</v>
      </c>
      <c r="V2181" s="5" t="s">
        <v>21361</v>
      </c>
      <c r="W2181" s="5" t="s">
        <v>72</v>
      </c>
      <c r="X2181" s="5" t="s">
        <v>72</v>
      </c>
      <c r="Y2181" s="4">
        <v>84</v>
      </c>
      <c r="Z2181" s="4">
        <v>7</v>
      </c>
      <c r="AA2181" s="4">
        <v>15</v>
      </c>
      <c r="AB2181" s="4">
        <v>1</v>
      </c>
      <c r="AC2181" s="4">
        <v>3</v>
      </c>
      <c r="AD2181" s="4">
        <v>39</v>
      </c>
      <c r="AE2181" s="4">
        <v>65</v>
      </c>
      <c r="AF2181" s="4">
        <v>0</v>
      </c>
      <c r="AG2181" s="4">
        <v>2</v>
      </c>
      <c r="AH2181" s="4">
        <v>37</v>
      </c>
      <c r="AI2181" s="4">
        <v>57</v>
      </c>
      <c r="AJ2181" s="4">
        <v>4</v>
      </c>
      <c r="AK2181" s="4">
        <v>10</v>
      </c>
      <c r="AL2181" s="4">
        <v>29</v>
      </c>
      <c r="AM2181" s="4">
        <v>41</v>
      </c>
      <c r="AN2181" s="4">
        <v>0</v>
      </c>
      <c r="AO2181" s="4">
        <v>0</v>
      </c>
      <c r="AP2181" s="4">
        <v>4</v>
      </c>
      <c r="AQ2181" s="4">
        <v>10</v>
      </c>
      <c r="AR2181" s="3" t="s">
        <v>65</v>
      </c>
      <c r="AS2181" s="3" t="s">
        <v>65</v>
      </c>
      <c r="AT2181" s="3" t="s">
        <v>209</v>
      </c>
      <c r="AU2181" s="6" t="str">
        <f>HYPERLINK("http://catalog.hathitrust.org/Record/001820384","HathiTrust Record")</f>
        <v>HathiTrust Record</v>
      </c>
      <c r="AV2181" s="6" t="str">
        <f>HYPERLINK("http://mcgill.on.worldcat.org/oclc/20431132","Catalog Record")</f>
        <v>Catalog Record</v>
      </c>
      <c r="AW2181" s="6" t="str">
        <f>HYPERLINK("http://www.worldcat.org/oclc/20431132","WorldCat Record")</f>
        <v>WorldCat Record</v>
      </c>
      <c r="AX2181" s="3" t="s">
        <v>21362</v>
      </c>
      <c r="AY2181" s="3" t="s">
        <v>21363</v>
      </c>
      <c r="AZ2181" s="3" t="s">
        <v>21364</v>
      </c>
      <c r="BA2181" s="3" t="s">
        <v>21364</v>
      </c>
      <c r="BB2181" s="3" t="s">
        <v>21365</v>
      </c>
      <c r="BC2181" s="3" t="s">
        <v>77</v>
      </c>
      <c r="BD2181" s="3" t="s">
        <v>78</v>
      </c>
      <c r="BE2181" s="3" t="s">
        <v>21366</v>
      </c>
      <c r="BF2181" s="3" t="s">
        <v>21365</v>
      </c>
      <c r="BG2181" s="3" t="s">
        <v>21367</v>
      </c>
    </row>
    <row r="2182" spans="1:59" ht="58" x14ac:dyDescent="0.35">
      <c r="A2182" s="2" t="s">
        <v>59</v>
      </c>
      <c r="B2182" s="2" t="s">
        <v>60</v>
      </c>
      <c r="C2182" s="2" t="s">
        <v>21355</v>
      </c>
      <c r="D2182" s="2" t="s">
        <v>21356</v>
      </c>
      <c r="E2182" s="2" t="s">
        <v>21357</v>
      </c>
      <c r="F2182" s="3" t="s">
        <v>258</v>
      </c>
      <c r="G2182" s="3" t="s">
        <v>209</v>
      </c>
      <c r="I2182" s="3" t="s">
        <v>65</v>
      </c>
      <c r="J2182" s="3" t="s">
        <v>65</v>
      </c>
      <c r="K2182" s="3" t="s">
        <v>66</v>
      </c>
      <c r="L2182" s="2" t="s">
        <v>21331</v>
      </c>
      <c r="M2182" s="2" t="s">
        <v>21358</v>
      </c>
      <c r="N2182" s="3" t="s">
        <v>2460</v>
      </c>
      <c r="O2182" s="2" t="s">
        <v>21359</v>
      </c>
      <c r="P2182" s="3" t="s">
        <v>140</v>
      </c>
      <c r="Q2182" s="2" t="s">
        <v>7116</v>
      </c>
      <c r="R2182" s="3" t="s">
        <v>71</v>
      </c>
      <c r="S2182" s="4">
        <v>5</v>
      </c>
      <c r="T2182" s="4">
        <v>22</v>
      </c>
      <c r="U2182" s="5" t="s">
        <v>21361</v>
      </c>
      <c r="V2182" s="5" t="s">
        <v>21361</v>
      </c>
      <c r="W2182" s="5" t="s">
        <v>72</v>
      </c>
      <c r="X2182" s="5" t="s">
        <v>72</v>
      </c>
      <c r="Y2182" s="4">
        <v>84</v>
      </c>
      <c r="Z2182" s="4">
        <v>7</v>
      </c>
      <c r="AA2182" s="4">
        <v>15</v>
      </c>
      <c r="AB2182" s="4">
        <v>1</v>
      </c>
      <c r="AC2182" s="4">
        <v>3</v>
      </c>
      <c r="AD2182" s="4">
        <v>39</v>
      </c>
      <c r="AE2182" s="4">
        <v>65</v>
      </c>
      <c r="AF2182" s="4">
        <v>0</v>
      </c>
      <c r="AG2182" s="4">
        <v>2</v>
      </c>
      <c r="AH2182" s="4">
        <v>37</v>
      </c>
      <c r="AI2182" s="4">
        <v>57</v>
      </c>
      <c r="AJ2182" s="4">
        <v>4</v>
      </c>
      <c r="AK2182" s="4">
        <v>10</v>
      </c>
      <c r="AL2182" s="4">
        <v>29</v>
      </c>
      <c r="AM2182" s="4">
        <v>41</v>
      </c>
      <c r="AN2182" s="4">
        <v>0</v>
      </c>
      <c r="AO2182" s="4">
        <v>0</v>
      </c>
      <c r="AP2182" s="4">
        <v>4</v>
      </c>
      <c r="AQ2182" s="4">
        <v>10</v>
      </c>
      <c r="AR2182" s="3" t="s">
        <v>65</v>
      </c>
      <c r="AS2182" s="3" t="s">
        <v>65</v>
      </c>
      <c r="AT2182" s="3" t="s">
        <v>209</v>
      </c>
      <c r="AU2182" s="6" t="str">
        <f>HYPERLINK("http://catalog.hathitrust.org/Record/001820384","HathiTrust Record")</f>
        <v>HathiTrust Record</v>
      </c>
      <c r="AV2182" s="6" t="str">
        <f>HYPERLINK("http://mcgill.on.worldcat.org/oclc/20431132","Catalog Record")</f>
        <v>Catalog Record</v>
      </c>
      <c r="AW2182" s="6" t="str">
        <f>HYPERLINK("http://www.worldcat.org/oclc/20431132","WorldCat Record")</f>
        <v>WorldCat Record</v>
      </c>
      <c r="AX2182" s="3" t="s">
        <v>21362</v>
      </c>
      <c r="AY2182" s="3" t="s">
        <v>21363</v>
      </c>
      <c r="AZ2182" s="3" t="s">
        <v>21364</v>
      </c>
      <c r="BA2182" s="3" t="s">
        <v>21364</v>
      </c>
      <c r="BB2182" s="3" t="s">
        <v>21368</v>
      </c>
      <c r="BC2182" s="3" t="s">
        <v>77</v>
      </c>
      <c r="BD2182" s="3" t="s">
        <v>78</v>
      </c>
      <c r="BE2182" s="3" t="s">
        <v>21366</v>
      </c>
      <c r="BF2182" s="3" t="s">
        <v>21368</v>
      </c>
      <c r="BG2182" s="3" t="s">
        <v>21369</v>
      </c>
    </row>
    <row r="2183" spans="1:59" ht="72.5" x14ac:dyDescent="0.35">
      <c r="A2183" s="2" t="s">
        <v>59</v>
      </c>
      <c r="B2183" s="2" t="s">
        <v>60</v>
      </c>
      <c r="C2183" s="2" t="s">
        <v>21370</v>
      </c>
      <c r="D2183" s="2" t="s">
        <v>21371</v>
      </c>
      <c r="E2183" s="2" t="s">
        <v>21372</v>
      </c>
      <c r="F2183" s="3" t="s">
        <v>258</v>
      </c>
      <c r="G2183" s="3" t="s">
        <v>209</v>
      </c>
      <c r="I2183" s="3" t="s">
        <v>65</v>
      </c>
      <c r="J2183" s="3" t="s">
        <v>65</v>
      </c>
      <c r="K2183" s="3" t="s">
        <v>66</v>
      </c>
      <c r="L2183" s="2" t="s">
        <v>21331</v>
      </c>
      <c r="M2183" s="2" t="s">
        <v>21373</v>
      </c>
      <c r="N2183" s="3" t="s">
        <v>352</v>
      </c>
      <c r="O2183" s="2" t="s">
        <v>21374</v>
      </c>
      <c r="P2183" s="3" t="s">
        <v>140</v>
      </c>
      <c r="Q2183" s="2" t="s">
        <v>21375</v>
      </c>
      <c r="R2183" s="3" t="s">
        <v>71</v>
      </c>
      <c r="S2183" s="4">
        <v>1</v>
      </c>
      <c r="T2183" s="4">
        <v>4</v>
      </c>
      <c r="U2183" s="5" t="s">
        <v>1072</v>
      </c>
      <c r="V2183" s="5" t="s">
        <v>6727</v>
      </c>
      <c r="W2183" s="5" t="s">
        <v>72</v>
      </c>
      <c r="X2183" s="5" t="s">
        <v>72</v>
      </c>
      <c r="Y2183" s="4">
        <v>19</v>
      </c>
      <c r="Z2183" s="4">
        <v>3</v>
      </c>
      <c r="AA2183" s="4">
        <v>4</v>
      </c>
      <c r="AB2183" s="4">
        <v>1</v>
      </c>
      <c r="AC2183" s="4">
        <v>1</v>
      </c>
      <c r="AD2183" s="4">
        <v>7</v>
      </c>
      <c r="AE2183" s="4">
        <v>12</v>
      </c>
      <c r="AF2183" s="4">
        <v>0</v>
      </c>
      <c r="AG2183" s="4">
        <v>0</v>
      </c>
      <c r="AH2183" s="4">
        <v>6</v>
      </c>
      <c r="AI2183" s="4">
        <v>10</v>
      </c>
      <c r="AJ2183" s="4">
        <v>2</v>
      </c>
      <c r="AK2183" s="4">
        <v>2</v>
      </c>
      <c r="AL2183" s="4">
        <v>4</v>
      </c>
      <c r="AM2183" s="4">
        <v>7</v>
      </c>
      <c r="AN2183" s="4">
        <v>0</v>
      </c>
      <c r="AO2183" s="4">
        <v>0</v>
      </c>
      <c r="AP2183" s="4">
        <v>2</v>
      </c>
      <c r="AQ2183" s="4">
        <v>3</v>
      </c>
      <c r="AR2183" s="3" t="s">
        <v>65</v>
      </c>
      <c r="AS2183" s="3" t="s">
        <v>65</v>
      </c>
      <c r="AT2183" s="3" t="s">
        <v>65</v>
      </c>
      <c r="AV2183" s="6" t="str">
        <f>HYPERLINK("http://mcgill.on.worldcat.org/oclc/24110282","Catalog Record")</f>
        <v>Catalog Record</v>
      </c>
      <c r="AW2183" s="6" t="str">
        <f>HYPERLINK("http://www.worldcat.org/oclc/24110282","WorldCat Record")</f>
        <v>WorldCat Record</v>
      </c>
      <c r="AX2183" s="3" t="s">
        <v>21376</v>
      </c>
      <c r="AY2183" s="3" t="s">
        <v>21377</v>
      </c>
      <c r="AZ2183" s="3" t="s">
        <v>21378</v>
      </c>
      <c r="BA2183" s="3" t="s">
        <v>21378</v>
      </c>
      <c r="BB2183" s="3" t="s">
        <v>21379</v>
      </c>
      <c r="BC2183" s="3" t="s">
        <v>77</v>
      </c>
      <c r="BD2183" s="3" t="s">
        <v>78</v>
      </c>
      <c r="BF2183" s="3" t="s">
        <v>21379</v>
      </c>
      <c r="BG2183" s="3" t="s">
        <v>21380</v>
      </c>
    </row>
    <row r="2184" spans="1:59" ht="72.5" x14ac:dyDescent="0.35">
      <c r="A2184" s="2" t="s">
        <v>59</v>
      </c>
      <c r="B2184" s="2" t="s">
        <v>60</v>
      </c>
      <c r="C2184" s="2" t="s">
        <v>21370</v>
      </c>
      <c r="D2184" s="2" t="s">
        <v>21371</v>
      </c>
      <c r="E2184" s="2" t="s">
        <v>21372</v>
      </c>
      <c r="F2184" s="3" t="s">
        <v>255</v>
      </c>
      <c r="G2184" s="3" t="s">
        <v>209</v>
      </c>
      <c r="I2184" s="3" t="s">
        <v>65</v>
      </c>
      <c r="J2184" s="3" t="s">
        <v>65</v>
      </c>
      <c r="K2184" s="3" t="s">
        <v>66</v>
      </c>
      <c r="L2184" s="2" t="s">
        <v>21331</v>
      </c>
      <c r="M2184" s="2" t="s">
        <v>21373</v>
      </c>
      <c r="N2184" s="3" t="s">
        <v>352</v>
      </c>
      <c r="O2184" s="2" t="s">
        <v>21374</v>
      </c>
      <c r="P2184" s="3" t="s">
        <v>140</v>
      </c>
      <c r="Q2184" s="2" t="s">
        <v>21375</v>
      </c>
      <c r="R2184" s="3" t="s">
        <v>71</v>
      </c>
      <c r="S2184" s="4">
        <v>1</v>
      </c>
      <c r="T2184" s="4">
        <v>4</v>
      </c>
      <c r="U2184" s="5" t="s">
        <v>1072</v>
      </c>
      <c r="V2184" s="5" t="s">
        <v>6727</v>
      </c>
      <c r="W2184" s="5" t="s">
        <v>72</v>
      </c>
      <c r="X2184" s="5" t="s">
        <v>72</v>
      </c>
      <c r="Y2184" s="4">
        <v>19</v>
      </c>
      <c r="Z2184" s="4">
        <v>3</v>
      </c>
      <c r="AA2184" s="4">
        <v>4</v>
      </c>
      <c r="AB2184" s="4">
        <v>1</v>
      </c>
      <c r="AC2184" s="4">
        <v>1</v>
      </c>
      <c r="AD2184" s="4">
        <v>7</v>
      </c>
      <c r="AE2184" s="4">
        <v>12</v>
      </c>
      <c r="AF2184" s="4">
        <v>0</v>
      </c>
      <c r="AG2184" s="4">
        <v>0</v>
      </c>
      <c r="AH2184" s="4">
        <v>6</v>
      </c>
      <c r="AI2184" s="4">
        <v>10</v>
      </c>
      <c r="AJ2184" s="4">
        <v>2</v>
      </c>
      <c r="AK2184" s="4">
        <v>2</v>
      </c>
      <c r="AL2184" s="4">
        <v>4</v>
      </c>
      <c r="AM2184" s="4">
        <v>7</v>
      </c>
      <c r="AN2184" s="4">
        <v>0</v>
      </c>
      <c r="AO2184" s="4">
        <v>0</v>
      </c>
      <c r="AP2184" s="4">
        <v>2</v>
      </c>
      <c r="AQ2184" s="4">
        <v>3</v>
      </c>
      <c r="AR2184" s="3" t="s">
        <v>65</v>
      </c>
      <c r="AS2184" s="3" t="s">
        <v>65</v>
      </c>
      <c r="AT2184" s="3" t="s">
        <v>65</v>
      </c>
      <c r="AV2184" s="6" t="str">
        <f>HYPERLINK("http://mcgill.on.worldcat.org/oclc/24110282","Catalog Record")</f>
        <v>Catalog Record</v>
      </c>
      <c r="AW2184" s="6" t="str">
        <f>HYPERLINK("http://www.worldcat.org/oclc/24110282","WorldCat Record")</f>
        <v>WorldCat Record</v>
      </c>
      <c r="AX2184" s="3" t="s">
        <v>21376</v>
      </c>
      <c r="AY2184" s="3" t="s">
        <v>21377</v>
      </c>
      <c r="AZ2184" s="3" t="s">
        <v>21378</v>
      </c>
      <c r="BA2184" s="3" t="s">
        <v>21378</v>
      </c>
      <c r="BB2184" s="3" t="s">
        <v>21381</v>
      </c>
      <c r="BC2184" s="3" t="s">
        <v>77</v>
      </c>
      <c r="BD2184" s="3" t="s">
        <v>78</v>
      </c>
      <c r="BF2184" s="3" t="s">
        <v>21381</v>
      </c>
      <c r="BG2184" s="3" t="s">
        <v>21382</v>
      </c>
    </row>
    <row r="2185" spans="1:59" ht="72.5" x14ac:dyDescent="0.35">
      <c r="A2185" s="2" t="s">
        <v>59</v>
      </c>
      <c r="B2185" s="2" t="s">
        <v>60</v>
      </c>
      <c r="C2185" s="2" t="s">
        <v>21370</v>
      </c>
      <c r="D2185" s="2" t="s">
        <v>21371</v>
      </c>
      <c r="E2185" s="2" t="s">
        <v>21372</v>
      </c>
      <c r="F2185" s="3" t="s">
        <v>245</v>
      </c>
      <c r="G2185" s="3" t="s">
        <v>209</v>
      </c>
      <c r="I2185" s="3" t="s">
        <v>65</v>
      </c>
      <c r="J2185" s="3" t="s">
        <v>65</v>
      </c>
      <c r="K2185" s="3" t="s">
        <v>66</v>
      </c>
      <c r="L2185" s="2" t="s">
        <v>21331</v>
      </c>
      <c r="M2185" s="2" t="s">
        <v>21373</v>
      </c>
      <c r="N2185" s="3" t="s">
        <v>352</v>
      </c>
      <c r="O2185" s="2" t="s">
        <v>21374</v>
      </c>
      <c r="P2185" s="3" t="s">
        <v>140</v>
      </c>
      <c r="Q2185" s="2" t="s">
        <v>21375</v>
      </c>
      <c r="R2185" s="3" t="s">
        <v>71</v>
      </c>
      <c r="S2185" s="4">
        <v>2</v>
      </c>
      <c r="T2185" s="4">
        <v>4</v>
      </c>
      <c r="U2185" s="5" t="s">
        <v>6727</v>
      </c>
      <c r="V2185" s="5" t="s">
        <v>6727</v>
      </c>
      <c r="W2185" s="5" t="s">
        <v>72</v>
      </c>
      <c r="X2185" s="5" t="s">
        <v>72</v>
      </c>
      <c r="Y2185" s="4">
        <v>19</v>
      </c>
      <c r="Z2185" s="4">
        <v>3</v>
      </c>
      <c r="AA2185" s="4">
        <v>4</v>
      </c>
      <c r="AB2185" s="4">
        <v>1</v>
      </c>
      <c r="AC2185" s="4">
        <v>1</v>
      </c>
      <c r="AD2185" s="4">
        <v>7</v>
      </c>
      <c r="AE2185" s="4">
        <v>12</v>
      </c>
      <c r="AF2185" s="4">
        <v>0</v>
      </c>
      <c r="AG2185" s="4">
        <v>0</v>
      </c>
      <c r="AH2185" s="4">
        <v>6</v>
      </c>
      <c r="AI2185" s="4">
        <v>10</v>
      </c>
      <c r="AJ2185" s="4">
        <v>2</v>
      </c>
      <c r="AK2185" s="4">
        <v>2</v>
      </c>
      <c r="AL2185" s="4">
        <v>4</v>
      </c>
      <c r="AM2185" s="4">
        <v>7</v>
      </c>
      <c r="AN2185" s="4">
        <v>0</v>
      </c>
      <c r="AO2185" s="4">
        <v>0</v>
      </c>
      <c r="AP2185" s="4">
        <v>2</v>
      </c>
      <c r="AQ2185" s="4">
        <v>3</v>
      </c>
      <c r="AR2185" s="3" t="s">
        <v>65</v>
      </c>
      <c r="AS2185" s="3" t="s">
        <v>65</v>
      </c>
      <c r="AT2185" s="3" t="s">
        <v>65</v>
      </c>
      <c r="AV2185" s="6" t="str">
        <f>HYPERLINK("http://mcgill.on.worldcat.org/oclc/24110282","Catalog Record")</f>
        <v>Catalog Record</v>
      </c>
      <c r="AW2185" s="6" t="str">
        <f>HYPERLINK("http://www.worldcat.org/oclc/24110282","WorldCat Record")</f>
        <v>WorldCat Record</v>
      </c>
      <c r="AX2185" s="3" t="s">
        <v>21376</v>
      </c>
      <c r="AY2185" s="3" t="s">
        <v>21377</v>
      </c>
      <c r="AZ2185" s="3" t="s">
        <v>21378</v>
      </c>
      <c r="BA2185" s="3" t="s">
        <v>21378</v>
      </c>
      <c r="BB2185" s="3" t="s">
        <v>21383</v>
      </c>
      <c r="BC2185" s="3" t="s">
        <v>77</v>
      </c>
      <c r="BD2185" s="3" t="s">
        <v>78</v>
      </c>
      <c r="BF2185" s="3" t="s">
        <v>21383</v>
      </c>
      <c r="BG2185" s="3" t="s">
        <v>21384</v>
      </c>
    </row>
    <row r="2186" spans="1:59" ht="58" x14ac:dyDescent="0.35">
      <c r="A2186" s="2" t="s">
        <v>59</v>
      </c>
      <c r="B2186" s="2" t="s">
        <v>60</v>
      </c>
      <c r="C2186" s="2" t="s">
        <v>21385</v>
      </c>
      <c r="D2186" s="2" t="s">
        <v>21386</v>
      </c>
      <c r="E2186" s="2" t="s">
        <v>21387</v>
      </c>
      <c r="G2186" s="3" t="s">
        <v>65</v>
      </c>
      <c r="I2186" s="3" t="s">
        <v>65</v>
      </c>
      <c r="J2186" s="3" t="s">
        <v>65</v>
      </c>
      <c r="K2186" s="3" t="s">
        <v>66</v>
      </c>
      <c r="L2186" s="2" t="s">
        <v>21331</v>
      </c>
      <c r="M2186" s="2" t="s">
        <v>21388</v>
      </c>
      <c r="N2186" s="3" t="s">
        <v>113</v>
      </c>
      <c r="O2186" s="2" t="s">
        <v>21389</v>
      </c>
      <c r="P2186" s="3" t="s">
        <v>140</v>
      </c>
      <c r="Q2186" s="2" t="s">
        <v>21390</v>
      </c>
      <c r="R2186" s="3" t="s">
        <v>71</v>
      </c>
      <c r="S2186" s="4">
        <v>1</v>
      </c>
      <c r="T2186" s="4">
        <v>1</v>
      </c>
      <c r="U2186" s="5" t="s">
        <v>21391</v>
      </c>
      <c r="V2186" s="5" t="s">
        <v>21391</v>
      </c>
      <c r="W2186" s="5" t="s">
        <v>72</v>
      </c>
      <c r="X2186" s="5" t="s">
        <v>72</v>
      </c>
      <c r="Y2186" s="4">
        <v>34</v>
      </c>
      <c r="Z2186" s="4">
        <v>4</v>
      </c>
      <c r="AA2186" s="4">
        <v>4</v>
      </c>
      <c r="AB2186" s="4">
        <v>1</v>
      </c>
      <c r="AC2186" s="4">
        <v>1</v>
      </c>
      <c r="AD2186" s="4">
        <v>25</v>
      </c>
      <c r="AE2186" s="4">
        <v>25</v>
      </c>
      <c r="AF2186" s="4">
        <v>0</v>
      </c>
      <c r="AG2186" s="4">
        <v>0</v>
      </c>
      <c r="AH2186" s="4">
        <v>24</v>
      </c>
      <c r="AI2186" s="4">
        <v>24</v>
      </c>
      <c r="AJ2186" s="4">
        <v>2</v>
      </c>
      <c r="AK2186" s="4">
        <v>2</v>
      </c>
      <c r="AL2186" s="4">
        <v>19</v>
      </c>
      <c r="AM2186" s="4">
        <v>19</v>
      </c>
      <c r="AN2186" s="4">
        <v>0</v>
      </c>
      <c r="AO2186" s="4">
        <v>0</v>
      </c>
      <c r="AP2186" s="4">
        <v>2</v>
      </c>
      <c r="AQ2186" s="4">
        <v>2</v>
      </c>
      <c r="AR2186" s="3" t="s">
        <v>65</v>
      </c>
      <c r="AS2186" s="3" t="s">
        <v>65</v>
      </c>
      <c r="AT2186" s="3" t="s">
        <v>65</v>
      </c>
      <c r="AV2186" s="6" t="str">
        <f>HYPERLINK("http://mcgill.on.worldcat.org/oclc/707460082","Catalog Record")</f>
        <v>Catalog Record</v>
      </c>
      <c r="AW2186" s="6" t="str">
        <f>HYPERLINK("http://www.worldcat.org/oclc/707460082","WorldCat Record")</f>
        <v>WorldCat Record</v>
      </c>
      <c r="AX2186" s="3" t="s">
        <v>21392</v>
      </c>
      <c r="AY2186" s="3" t="s">
        <v>21393</v>
      </c>
      <c r="AZ2186" s="3" t="s">
        <v>21394</v>
      </c>
      <c r="BA2186" s="3" t="s">
        <v>21394</v>
      </c>
      <c r="BB2186" s="3" t="s">
        <v>21395</v>
      </c>
      <c r="BC2186" s="3" t="s">
        <v>77</v>
      </c>
      <c r="BD2186" s="3" t="s">
        <v>78</v>
      </c>
      <c r="BE2186" s="3" t="s">
        <v>21396</v>
      </c>
      <c r="BF2186" s="3" t="s">
        <v>21395</v>
      </c>
      <c r="BG2186" s="3" t="s">
        <v>21397</v>
      </c>
    </row>
    <row r="2187" spans="1:59" ht="58" x14ac:dyDescent="0.35">
      <c r="A2187" s="2" t="s">
        <v>59</v>
      </c>
      <c r="B2187" s="2" t="s">
        <v>60</v>
      </c>
      <c r="C2187" s="2" t="s">
        <v>21398</v>
      </c>
      <c r="D2187" s="2" t="s">
        <v>21399</v>
      </c>
      <c r="E2187" s="2" t="s">
        <v>21400</v>
      </c>
      <c r="F2187" s="3" t="s">
        <v>258</v>
      </c>
      <c r="G2187" s="3" t="s">
        <v>209</v>
      </c>
      <c r="I2187" s="3" t="s">
        <v>65</v>
      </c>
      <c r="J2187" s="3" t="s">
        <v>65</v>
      </c>
      <c r="K2187" s="3" t="s">
        <v>66</v>
      </c>
      <c r="L2187" s="2" t="s">
        <v>21331</v>
      </c>
      <c r="M2187" s="2" t="s">
        <v>21401</v>
      </c>
      <c r="N2187" s="3" t="s">
        <v>392</v>
      </c>
      <c r="O2187" s="2" t="s">
        <v>3829</v>
      </c>
      <c r="P2187" s="3" t="s">
        <v>140</v>
      </c>
      <c r="Q2187" s="2" t="s">
        <v>7116</v>
      </c>
      <c r="R2187" s="3" t="s">
        <v>71</v>
      </c>
      <c r="S2187" s="4">
        <v>0</v>
      </c>
      <c r="T2187" s="4">
        <v>4</v>
      </c>
      <c r="V2187" s="5" t="s">
        <v>21402</v>
      </c>
      <c r="W2187" s="5" t="s">
        <v>72</v>
      </c>
      <c r="X2187" s="5" t="s">
        <v>72</v>
      </c>
      <c r="Y2187" s="4">
        <v>13</v>
      </c>
      <c r="Z2187" s="4">
        <v>1</v>
      </c>
      <c r="AA2187" s="4">
        <v>4</v>
      </c>
      <c r="AB2187" s="4">
        <v>1</v>
      </c>
      <c r="AC2187" s="4">
        <v>1</v>
      </c>
      <c r="AD2187" s="4">
        <v>5</v>
      </c>
      <c r="AE2187" s="4">
        <v>16</v>
      </c>
      <c r="AF2187" s="4">
        <v>0</v>
      </c>
      <c r="AG2187" s="4">
        <v>0</v>
      </c>
      <c r="AH2187" s="4">
        <v>5</v>
      </c>
      <c r="AI2187" s="4">
        <v>15</v>
      </c>
      <c r="AJ2187" s="4">
        <v>0</v>
      </c>
      <c r="AK2187" s="4">
        <v>2</v>
      </c>
      <c r="AL2187" s="4">
        <v>4</v>
      </c>
      <c r="AM2187" s="4">
        <v>10</v>
      </c>
      <c r="AN2187" s="4">
        <v>0</v>
      </c>
      <c r="AO2187" s="4">
        <v>0</v>
      </c>
      <c r="AP2187" s="4">
        <v>0</v>
      </c>
      <c r="AQ2187" s="4">
        <v>2</v>
      </c>
      <c r="AR2187" s="3" t="s">
        <v>65</v>
      </c>
      <c r="AS2187" s="3" t="s">
        <v>65</v>
      </c>
      <c r="AT2187" s="3" t="s">
        <v>209</v>
      </c>
      <c r="AU2187" s="6" t="str">
        <f>HYPERLINK("http://catalog.hathitrust.org/Record/101950487","HathiTrust Record")</f>
        <v>HathiTrust Record</v>
      </c>
      <c r="AV2187" s="6" t="str">
        <f>HYPERLINK("http://mcgill.on.worldcat.org/oclc/23000588","Catalog Record")</f>
        <v>Catalog Record</v>
      </c>
      <c r="AW2187" s="6" t="str">
        <f>HYPERLINK("http://www.worldcat.org/oclc/23000588","WorldCat Record")</f>
        <v>WorldCat Record</v>
      </c>
      <c r="AX2187" s="3" t="s">
        <v>21403</v>
      </c>
      <c r="AY2187" s="3" t="s">
        <v>21404</v>
      </c>
      <c r="AZ2187" s="3" t="s">
        <v>21405</v>
      </c>
      <c r="BA2187" s="3" t="s">
        <v>21405</v>
      </c>
      <c r="BB2187" s="3" t="s">
        <v>21406</v>
      </c>
      <c r="BC2187" s="3" t="s">
        <v>77</v>
      </c>
      <c r="BD2187" s="3" t="s">
        <v>78</v>
      </c>
      <c r="BE2187" s="3" t="s">
        <v>21407</v>
      </c>
      <c r="BF2187" s="3" t="s">
        <v>21406</v>
      </c>
      <c r="BG2187" s="3" t="s">
        <v>21408</v>
      </c>
    </row>
    <row r="2188" spans="1:59" ht="58" x14ac:dyDescent="0.35">
      <c r="A2188" s="2" t="s">
        <v>59</v>
      </c>
      <c r="B2188" s="2" t="s">
        <v>60</v>
      </c>
      <c r="C2188" s="2" t="s">
        <v>21398</v>
      </c>
      <c r="D2188" s="2" t="s">
        <v>21399</v>
      </c>
      <c r="E2188" s="2" t="s">
        <v>21400</v>
      </c>
      <c r="F2188" s="3" t="s">
        <v>245</v>
      </c>
      <c r="G2188" s="3" t="s">
        <v>209</v>
      </c>
      <c r="I2188" s="3" t="s">
        <v>65</v>
      </c>
      <c r="J2188" s="3" t="s">
        <v>65</v>
      </c>
      <c r="K2188" s="3" t="s">
        <v>66</v>
      </c>
      <c r="L2188" s="2" t="s">
        <v>21331</v>
      </c>
      <c r="M2188" s="2" t="s">
        <v>21401</v>
      </c>
      <c r="N2188" s="3" t="s">
        <v>392</v>
      </c>
      <c r="O2188" s="2" t="s">
        <v>3829</v>
      </c>
      <c r="P2188" s="3" t="s">
        <v>140</v>
      </c>
      <c r="Q2188" s="2" t="s">
        <v>7116</v>
      </c>
      <c r="R2188" s="3" t="s">
        <v>71</v>
      </c>
      <c r="S2188" s="4">
        <v>4</v>
      </c>
      <c r="T2188" s="4">
        <v>4</v>
      </c>
      <c r="U2188" s="5" t="s">
        <v>21402</v>
      </c>
      <c r="V2188" s="5" t="s">
        <v>21402</v>
      </c>
      <c r="W2188" s="5" t="s">
        <v>72</v>
      </c>
      <c r="X2188" s="5" t="s">
        <v>72</v>
      </c>
      <c r="Y2188" s="4">
        <v>13</v>
      </c>
      <c r="Z2188" s="4">
        <v>1</v>
      </c>
      <c r="AA2188" s="4">
        <v>4</v>
      </c>
      <c r="AB2188" s="4">
        <v>1</v>
      </c>
      <c r="AC2188" s="4">
        <v>1</v>
      </c>
      <c r="AD2188" s="4">
        <v>5</v>
      </c>
      <c r="AE2188" s="4">
        <v>16</v>
      </c>
      <c r="AF2188" s="4">
        <v>0</v>
      </c>
      <c r="AG2188" s="4">
        <v>0</v>
      </c>
      <c r="AH2188" s="4">
        <v>5</v>
      </c>
      <c r="AI2188" s="4">
        <v>15</v>
      </c>
      <c r="AJ2188" s="4">
        <v>0</v>
      </c>
      <c r="AK2188" s="4">
        <v>2</v>
      </c>
      <c r="AL2188" s="4">
        <v>4</v>
      </c>
      <c r="AM2188" s="4">
        <v>10</v>
      </c>
      <c r="AN2188" s="4">
        <v>0</v>
      </c>
      <c r="AO2188" s="4">
        <v>0</v>
      </c>
      <c r="AP2188" s="4">
        <v>0</v>
      </c>
      <c r="AQ2188" s="4">
        <v>2</v>
      </c>
      <c r="AR2188" s="3" t="s">
        <v>65</v>
      </c>
      <c r="AS2188" s="3" t="s">
        <v>65</v>
      </c>
      <c r="AT2188" s="3" t="s">
        <v>209</v>
      </c>
      <c r="AU2188" s="6" t="str">
        <f>HYPERLINK("http://catalog.hathitrust.org/Record/101950487","HathiTrust Record")</f>
        <v>HathiTrust Record</v>
      </c>
      <c r="AV2188" s="6" t="str">
        <f>HYPERLINK("http://mcgill.on.worldcat.org/oclc/23000588","Catalog Record")</f>
        <v>Catalog Record</v>
      </c>
      <c r="AW2188" s="6" t="str">
        <f>HYPERLINK("http://www.worldcat.org/oclc/23000588","WorldCat Record")</f>
        <v>WorldCat Record</v>
      </c>
      <c r="AX2188" s="3" t="s">
        <v>21403</v>
      </c>
      <c r="AY2188" s="3" t="s">
        <v>21404</v>
      </c>
      <c r="AZ2188" s="3" t="s">
        <v>21405</v>
      </c>
      <c r="BA2188" s="3" t="s">
        <v>21405</v>
      </c>
      <c r="BB2188" s="3" t="s">
        <v>21409</v>
      </c>
      <c r="BC2188" s="3" t="s">
        <v>77</v>
      </c>
      <c r="BD2188" s="3" t="s">
        <v>78</v>
      </c>
      <c r="BE2188" s="3" t="s">
        <v>21407</v>
      </c>
      <c r="BF2188" s="3" t="s">
        <v>21409</v>
      </c>
      <c r="BG2188" s="3" t="s">
        <v>21410</v>
      </c>
    </row>
    <row r="2189" spans="1:59" ht="58" x14ac:dyDescent="0.35">
      <c r="A2189" s="2" t="s">
        <v>59</v>
      </c>
      <c r="B2189" s="2" t="s">
        <v>60</v>
      </c>
      <c r="C2189" s="2" t="s">
        <v>21411</v>
      </c>
      <c r="D2189" s="2" t="s">
        <v>21412</v>
      </c>
      <c r="E2189" s="2" t="s">
        <v>21413</v>
      </c>
      <c r="F2189" s="3" t="s">
        <v>258</v>
      </c>
      <c r="G2189" s="3" t="s">
        <v>209</v>
      </c>
      <c r="I2189" s="3" t="s">
        <v>65</v>
      </c>
      <c r="J2189" s="3" t="s">
        <v>209</v>
      </c>
      <c r="K2189" s="3" t="s">
        <v>66</v>
      </c>
      <c r="L2189" s="2" t="s">
        <v>21414</v>
      </c>
      <c r="M2189" s="2" t="s">
        <v>21415</v>
      </c>
      <c r="N2189" s="3" t="s">
        <v>152</v>
      </c>
      <c r="O2189" s="2" t="s">
        <v>21416</v>
      </c>
      <c r="P2189" s="3" t="s">
        <v>140</v>
      </c>
      <c r="Q2189" s="2" t="s">
        <v>6617</v>
      </c>
      <c r="R2189" s="3" t="s">
        <v>71</v>
      </c>
      <c r="S2189" s="4">
        <v>0</v>
      </c>
      <c r="T2189" s="4">
        <v>0</v>
      </c>
      <c r="W2189" s="5" t="s">
        <v>72</v>
      </c>
      <c r="X2189" s="5" t="s">
        <v>72</v>
      </c>
      <c r="Y2189" s="4">
        <v>40</v>
      </c>
      <c r="Z2189" s="4">
        <v>4</v>
      </c>
      <c r="AA2189" s="4">
        <v>13</v>
      </c>
      <c r="AB2189" s="4">
        <v>1</v>
      </c>
      <c r="AC2189" s="4">
        <v>3</v>
      </c>
      <c r="AD2189" s="4">
        <v>27</v>
      </c>
      <c r="AE2189" s="4">
        <v>63</v>
      </c>
      <c r="AF2189" s="4">
        <v>0</v>
      </c>
      <c r="AG2189" s="4">
        <v>2</v>
      </c>
      <c r="AH2189" s="4">
        <v>26</v>
      </c>
      <c r="AI2189" s="4">
        <v>56</v>
      </c>
      <c r="AJ2189" s="4">
        <v>2</v>
      </c>
      <c r="AK2189" s="4">
        <v>9</v>
      </c>
      <c r="AL2189" s="4">
        <v>23</v>
      </c>
      <c r="AM2189" s="4">
        <v>38</v>
      </c>
      <c r="AN2189" s="4">
        <v>0</v>
      </c>
      <c r="AO2189" s="4">
        <v>3</v>
      </c>
      <c r="AP2189" s="4">
        <v>2</v>
      </c>
      <c r="AQ2189" s="4">
        <v>9</v>
      </c>
      <c r="AR2189" s="3" t="s">
        <v>65</v>
      </c>
      <c r="AS2189" s="3" t="s">
        <v>65</v>
      </c>
      <c r="AT2189" s="3" t="s">
        <v>65</v>
      </c>
      <c r="AV2189" s="6" t="str">
        <f>HYPERLINK("http://mcgill.on.worldcat.org/oclc/836773325","Catalog Record")</f>
        <v>Catalog Record</v>
      </c>
      <c r="AW2189" s="6" t="str">
        <f>HYPERLINK("http://www.worldcat.org/oclc/836773325","WorldCat Record")</f>
        <v>WorldCat Record</v>
      </c>
      <c r="AX2189" s="3" t="s">
        <v>21417</v>
      </c>
      <c r="AY2189" s="3" t="s">
        <v>21418</v>
      </c>
      <c r="AZ2189" s="3" t="s">
        <v>21419</v>
      </c>
      <c r="BA2189" s="3" t="s">
        <v>21419</v>
      </c>
      <c r="BB2189" s="3" t="s">
        <v>21420</v>
      </c>
      <c r="BC2189" s="3" t="s">
        <v>77</v>
      </c>
      <c r="BD2189" s="3" t="s">
        <v>78</v>
      </c>
      <c r="BE2189" s="3" t="s">
        <v>21421</v>
      </c>
      <c r="BF2189" s="3" t="s">
        <v>21420</v>
      </c>
      <c r="BG2189" s="3" t="s">
        <v>21422</v>
      </c>
    </row>
    <row r="2190" spans="1:59" ht="58" x14ac:dyDescent="0.35">
      <c r="A2190" s="2" t="s">
        <v>59</v>
      </c>
      <c r="B2190" s="2" t="s">
        <v>60</v>
      </c>
      <c r="C2190" s="2" t="s">
        <v>21411</v>
      </c>
      <c r="D2190" s="2" t="s">
        <v>21412</v>
      </c>
      <c r="E2190" s="2" t="s">
        <v>21413</v>
      </c>
      <c r="F2190" s="3" t="s">
        <v>245</v>
      </c>
      <c r="G2190" s="3" t="s">
        <v>209</v>
      </c>
      <c r="I2190" s="3" t="s">
        <v>65</v>
      </c>
      <c r="J2190" s="3" t="s">
        <v>209</v>
      </c>
      <c r="K2190" s="3" t="s">
        <v>66</v>
      </c>
      <c r="L2190" s="2" t="s">
        <v>21414</v>
      </c>
      <c r="M2190" s="2" t="s">
        <v>21415</v>
      </c>
      <c r="N2190" s="3" t="s">
        <v>152</v>
      </c>
      <c r="O2190" s="2" t="s">
        <v>21416</v>
      </c>
      <c r="P2190" s="3" t="s">
        <v>140</v>
      </c>
      <c r="Q2190" s="2" t="s">
        <v>6617</v>
      </c>
      <c r="R2190" s="3" t="s">
        <v>71</v>
      </c>
      <c r="S2190" s="4">
        <v>0</v>
      </c>
      <c r="T2190" s="4">
        <v>0</v>
      </c>
      <c r="W2190" s="5" t="s">
        <v>72</v>
      </c>
      <c r="X2190" s="5" t="s">
        <v>72</v>
      </c>
      <c r="Y2190" s="4">
        <v>40</v>
      </c>
      <c r="Z2190" s="4">
        <v>4</v>
      </c>
      <c r="AA2190" s="4">
        <v>13</v>
      </c>
      <c r="AB2190" s="4">
        <v>1</v>
      </c>
      <c r="AC2190" s="4">
        <v>3</v>
      </c>
      <c r="AD2190" s="4">
        <v>27</v>
      </c>
      <c r="AE2190" s="4">
        <v>63</v>
      </c>
      <c r="AF2190" s="4">
        <v>0</v>
      </c>
      <c r="AG2190" s="4">
        <v>2</v>
      </c>
      <c r="AH2190" s="4">
        <v>26</v>
      </c>
      <c r="AI2190" s="4">
        <v>56</v>
      </c>
      <c r="AJ2190" s="4">
        <v>2</v>
      </c>
      <c r="AK2190" s="4">
        <v>9</v>
      </c>
      <c r="AL2190" s="4">
        <v>23</v>
      </c>
      <c r="AM2190" s="4">
        <v>38</v>
      </c>
      <c r="AN2190" s="4">
        <v>0</v>
      </c>
      <c r="AO2190" s="4">
        <v>3</v>
      </c>
      <c r="AP2190" s="4">
        <v>2</v>
      </c>
      <c r="AQ2190" s="4">
        <v>9</v>
      </c>
      <c r="AR2190" s="3" t="s">
        <v>65</v>
      </c>
      <c r="AS2190" s="3" t="s">
        <v>65</v>
      </c>
      <c r="AT2190" s="3" t="s">
        <v>65</v>
      </c>
      <c r="AV2190" s="6" t="str">
        <f>HYPERLINK("http://mcgill.on.worldcat.org/oclc/836773325","Catalog Record")</f>
        <v>Catalog Record</v>
      </c>
      <c r="AW2190" s="6" t="str">
        <f>HYPERLINK("http://www.worldcat.org/oclc/836773325","WorldCat Record")</f>
        <v>WorldCat Record</v>
      </c>
      <c r="AX2190" s="3" t="s">
        <v>21417</v>
      </c>
      <c r="AY2190" s="3" t="s">
        <v>21418</v>
      </c>
      <c r="AZ2190" s="3" t="s">
        <v>21419</v>
      </c>
      <c r="BA2190" s="3" t="s">
        <v>21419</v>
      </c>
      <c r="BB2190" s="3" t="s">
        <v>21423</v>
      </c>
      <c r="BC2190" s="3" t="s">
        <v>77</v>
      </c>
      <c r="BD2190" s="3" t="s">
        <v>78</v>
      </c>
      <c r="BE2190" s="3" t="s">
        <v>21421</v>
      </c>
      <c r="BF2190" s="3" t="s">
        <v>21423</v>
      </c>
      <c r="BG2190" s="3" t="s">
        <v>21424</v>
      </c>
    </row>
    <row r="2191" spans="1:59" ht="58" x14ac:dyDescent="0.35">
      <c r="A2191" s="2" t="s">
        <v>59</v>
      </c>
      <c r="B2191" s="2" t="s">
        <v>60</v>
      </c>
      <c r="C2191" s="2" t="s">
        <v>21425</v>
      </c>
      <c r="D2191" s="2" t="s">
        <v>21426</v>
      </c>
      <c r="E2191" s="2" t="s">
        <v>21427</v>
      </c>
      <c r="G2191" s="3" t="s">
        <v>65</v>
      </c>
      <c r="I2191" s="3" t="s">
        <v>65</v>
      </c>
      <c r="J2191" s="3" t="s">
        <v>209</v>
      </c>
      <c r="K2191" s="3" t="s">
        <v>66</v>
      </c>
      <c r="L2191" s="2" t="s">
        <v>21331</v>
      </c>
      <c r="M2191" s="2" t="s">
        <v>21428</v>
      </c>
      <c r="N2191" s="3" t="s">
        <v>126</v>
      </c>
      <c r="P2191" s="3" t="s">
        <v>140</v>
      </c>
      <c r="Q2191" s="2" t="s">
        <v>21429</v>
      </c>
      <c r="R2191" s="3" t="s">
        <v>71</v>
      </c>
      <c r="S2191" s="4">
        <v>2</v>
      </c>
      <c r="T2191" s="4">
        <v>2</v>
      </c>
      <c r="U2191" s="5" t="s">
        <v>21430</v>
      </c>
      <c r="V2191" s="5" t="s">
        <v>21430</v>
      </c>
      <c r="W2191" s="5" t="s">
        <v>72</v>
      </c>
      <c r="X2191" s="5" t="s">
        <v>72</v>
      </c>
      <c r="Y2191" s="4">
        <v>7</v>
      </c>
      <c r="Z2191" s="4">
        <v>3</v>
      </c>
      <c r="AA2191" s="4">
        <v>13</v>
      </c>
      <c r="AB2191" s="4">
        <v>1</v>
      </c>
      <c r="AC2191" s="4">
        <v>3</v>
      </c>
      <c r="AD2191" s="4">
        <v>4</v>
      </c>
      <c r="AE2191" s="4">
        <v>77</v>
      </c>
      <c r="AF2191" s="4">
        <v>0</v>
      </c>
      <c r="AG2191" s="4">
        <v>1</v>
      </c>
      <c r="AH2191" s="4">
        <v>4</v>
      </c>
      <c r="AI2191" s="4">
        <v>71</v>
      </c>
      <c r="AJ2191" s="4">
        <v>1</v>
      </c>
      <c r="AK2191" s="4">
        <v>9</v>
      </c>
      <c r="AL2191" s="4">
        <v>4</v>
      </c>
      <c r="AM2191" s="4">
        <v>48</v>
      </c>
      <c r="AN2191" s="4">
        <v>0</v>
      </c>
      <c r="AO2191" s="4">
        <v>3</v>
      </c>
      <c r="AP2191" s="4">
        <v>1</v>
      </c>
      <c r="AQ2191" s="4">
        <v>9</v>
      </c>
      <c r="AR2191" s="3" t="s">
        <v>65</v>
      </c>
      <c r="AS2191" s="3" t="s">
        <v>65</v>
      </c>
      <c r="AT2191" s="3" t="s">
        <v>65</v>
      </c>
      <c r="AV2191" s="6" t="str">
        <f>HYPERLINK("http://mcgill.on.worldcat.org/oclc/825107750","Catalog Record")</f>
        <v>Catalog Record</v>
      </c>
      <c r="AW2191" s="6" t="str">
        <f>HYPERLINK("http://www.worldcat.org/oclc/825107750","WorldCat Record")</f>
        <v>WorldCat Record</v>
      </c>
      <c r="AX2191" s="3" t="s">
        <v>21431</v>
      </c>
      <c r="AY2191" s="3" t="s">
        <v>21432</v>
      </c>
      <c r="AZ2191" s="3" t="s">
        <v>21433</v>
      </c>
      <c r="BA2191" s="3" t="s">
        <v>21433</v>
      </c>
      <c r="BB2191" s="3" t="s">
        <v>21434</v>
      </c>
      <c r="BC2191" s="3" t="s">
        <v>77</v>
      </c>
      <c r="BD2191" s="3" t="s">
        <v>78</v>
      </c>
      <c r="BE2191" s="3" t="s">
        <v>21435</v>
      </c>
      <c r="BF2191" s="3" t="s">
        <v>21434</v>
      </c>
      <c r="BG2191" s="3" t="s">
        <v>21436</v>
      </c>
    </row>
    <row r="2192" spans="1:59" ht="87" x14ac:dyDescent="0.35">
      <c r="A2192" s="2" t="s">
        <v>59</v>
      </c>
      <c r="B2192" s="2" t="s">
        <v>60</v>
      </c>
      <c r="C2192" s="2" t="s">
        <v>21437</v>
      </c>
      <c r="D2192" s="2" t="s">
        <v>21438</v>
      </c>
      <c r="E2192" s="2" t="s">
        <v>21439</v>
      </c>
      <c r="G2192" s="3" t="s">
        <v>65</v>
      </c>
      <c r="I2192" s="3" t="s">
        <v>65</v>
      </c>
      <c r="J2192" s="3" t="s">
        <v>65</v>
      </c>
      <c r="K2192" s="3" t="s">
        <v>66</v>
      </c>
      <c r="L2192" s="2" t="s">
        <v>21331</v>
      </c>
      <c r="M2192" s="2" t="s">
        <v>13821</v>
      </c>
      <c r="N2192" s="3" t="s">
        <v>1085</v>
      </c>
      <c r="O2192" s="2" t="s">
        <v>21440</v>
      </c>
      <c r="P2192" s="3" t="s">
        <v>140</v>
      </c>
      <c r="Q2192" s="2" t="s">
        <v>21441</v>
      </c>
      <c r="R2192" s="3" t="s">
        <v>71</v>
      </c>
      <c r="S2192" s="4">
        <v>2</v>
      </c>
      <c r="T2192" s="4">
        <v>2</v>
      </c>
      <c r="U2192" s="5" t="s">
        <v>12821</v>
      </c>
      <c r="V2192" s="5" t="s">
        <v>12821</v>
      </c>
      <c r="W2192" s="5" t="s">
        <v>72</v>
      </c>
      <c r="X2192" s="5" t="s">
        <v>72</v>
      </c>
      <c r="Y2192" s="4">
        <v>34</v>
      </c>
      <c r="Z2192" s="4">
        <v>5</v>
      </c>
      <c r="AA2192" s="4">
        <v>9</v>
      </c>
      <c r="AB2192" s="4">
        <v>1</v>
      </c>
      <c r="AC2192" s="4">
        <v>1</v>
      </c>
      <c r="AD2192" s="4">
        <v>18</v>
      </c>
      <c r="AE2192" s="4">
        <v>35</v>
      </c>
      <c r="AF2192" s="4">
        <v>0</v>
      </c>
      <c r="AG2192" s="4">
        <v>0</v>
      </c>
      <c r="AH2192" s="4">
        <v>18</v>
      </c>
      <c r="AI2192" s="4">
        <v>34</v>
      </c>
      <c r="AJ2192" s="4">
        <v>3</v>
      </c>
      <c r="AK2192" s="4">
        <v>5</v>
      </c>
      <c r="AL2192" s="4">
        <v>13</v>
      </c>
      <c r="AM2192" s="4">
        <v>22</v>
      </c>
      <c r="AN2192" s="4">
        <v>0</v>
      </c>
      <c r="AO2192" s="4">
        <v>0</v>
      </c>
      <c r="AP2192" s="4">
        <v>3</v>
      </c>
      <c r="AQ2192" s="4">
        <v>6</v>
      </c>
      <c r="AR2192" s="3" t="s">
        <v>65</v>
      </c>
      <c r="AS2192" s="3" t="s">
        <v>65</v>
      </c>
      <c r="AT2192" s="3" t="s">
        <v>65</v>
      </c>
      <c r="AV2192" s="6" t="str">
        <f>HYPERLINK("http://mcgill.on.worldcat.org/oclc/35980432","Catalog Record")</f>
        <v>Catalog Record</v>
      </c>
      <c r="AW2192" s="6" t="str">
        <f>HYPERLINK("http://www.worldcat.org/oclc/35980432","WorldCat Record")</f>
        <v>WorldCat Record</v>
      </c>
      <c r="AX2192" s="3" t="s">
        <v>21442</v>
      </c>
      <c r="AY2192" s="3" t="s">
        <v>21443</v>
      </c>
      <c r="AZ2192" s="3" t="s">
        <v>21444</v>
      </c>
      <c r="BA2192" s="3" t="s">
        <v>21444</v>
      </c>
      <c r="BB2192" s="3" t="s">
        <v>21445</v>
      </c>
      <c r="BC2192" s="3" t="s">
        <v>77</v>
      </c>
      <c r="BD2192" s="3" t="s">
        <v>78</v>
      </c>
      <c r="BE2192" s="3" t="s">
        <v>21446</v>
      </c>
      <c r="BF2192" s="3" t="s">
        <v>21445</v>
      </c>
      <c r="BG2192" s="3" t="s">
        <v>21447</v>
      </c>
    </row>
    <row r="2193" spans="1:59" ht="87" x14ac:dyDescent="0.35">
      <c r="A2193" s="2" t="s">
        <v>59</v>
      </c>
      <c r="B2193" s="2" t="s">
        <v>60</v>
      </c>
      <c r="C2193" s="2" t="s">
        <v>21448</v>
      </c>
      <c r="D2193" s="2" t="s">
        <v>21449</v>
      </c>
      <c r="E2193" s="2" t="s">
        <v>21450</v>
      </c>
      <c r="G2193" s="3" t="s">
        <v>65</v>
      </c>
      <c r="I2193" s="3" t="s">
        <v>65</v>
      </c>
      <c r="J2193" s="3" t="s">
        <v>65</v>
      </c>
      <c r="K2193" s="3" t="s">
        <v>66</v>
      </c>
      <c r="L2193" s="2" t="s">
        <v>21331</v>
      </c>
      <c r="M2193" s="2" t="s">
        <v>21451</v>
      </c>
      <c r="N2193" s="3" t="s">
        <v>1032</v>
      </c>
      <c r="O2193" s="2" t="s">
        <v>21440</v>
      </c>
      <c r="P2193" s="3" t="s">
        <v>140</v>
      </c>
      <c r="Q2193" s="2" t="s">
        <v>21452</v>
      </c>
      <c r="R2193" s="3" t="s">
        <v>71</v>
      </c>
      <c r="S2193" s="4">
        <v>2</v>
      </c>
      <c r="T2193" s="4">
        <v>2</v>
      </c>
      <c r="U2193" s="5" t="s">
        <v>12821</v>
      </c>
      <c r="V2193" s="5" t="s">
        <v>12821</v>
      </c>
      <c r="W2193" s="5" t="s">
        <v>72</v>
      </c>
      <c r="X2193" s="5" t="s">
        <v>72</v>
      </c>
      <c r="Y2193" s="4">
        <v>43</v>
      </c>
      <c r="Z2193" s="4">
        <v>4</v>
      </c>
      <c r="AA2193" s="4">
        <v>21</v>
      </c>
      <c r="AB2193" s="4">
        <v>2</v>
      </c>
      <c r="AC2193" s="4">
        <v>2</v>
      </c>
      <c r="AD2193" s="4">
        <v>25</v>
      </c>
      <c r="AE2193" s="4">
        <v>54</v>
      </c>
      <c r="AF2193" s="4">
        <v>1</v>
      </c>
      <c r="AG2193" s="4">
        <v>1</v>
      </c>
      <c r="AH2193" s="4">
        <v>23</v>
      </c>
      <c r="AI2193" s="4">
        <v>46</v>
      </c>
      <c r="AJ2193" s="4">
        <v>3</v>
      </c>
      <c r="AK2193" s="4">
        <v>7</v>
      </c>
      <c r="AL2193" s="4">
        <v>20</v>
      </c>
      <c r="AM2193" s="4">
        <v>31</v>
      </c>
      <c r="AN2193" s="4">
        <v>0</v>
      </c>
      <c r="AO2193" s="4">
        <v>0</v>
      </c>
      <c r="AP2193" s="4">
        <v>3</v>
      </c>
      <c r="AQ2193" s="4">
        <v>11</v>
      </c>
      <c r="AR2193" s="3" t="s">
        <v>65</v>
      </c>
      <c r="AS2193" s="3" t="s">
        <v>65</v>
      </c>
      <c r="AT2193" s="3" t="s">
        <v>65</v>
      </c>
      <c r="AV2193" s="6" t="str">
        <f>HYPERLINK("http://mcgill.on.worldcat.org/oclc/33998092","Catalog Record")</f>
        <v>Catalog Record</v>
      </c>
      <c r="AW2193" s="6" t="str">
        <f>HYPERLINK("http://www.worldcat.org/oclc/33998092","WorldCat Record")</f>
        <v>WorldCat Record</v>
      </c>
      <c r="AX2193" s="3" t="s">
        <v>21453</v>
      </c>
      <c r="AY2193" s="3" t="s">
        <v>21454</v>
      </c>
      <c r="AZ2193" s="3" t="s">
        <v>21455</v>
      </c>
      <c r="BA2193" s="3" t="s">
        <v>21455</v>
      </c>
      <c r="BB2193" s="3" t="s">
        <v>21456</v>
      </c>
      <c r="BC2193" s="3" t="s">
        <v>77</v>
      </c>
      <c r="BD2193" s="3" t="s">
        <v>78</v>
      </c>
      <c r="BE2193" s="3" t="s">
        <v>21457</v>
      </c>
      <c r="BF2193" s="3" t="s">
        <v>21456</v>
      </c>
      <c r="BG2193" s="3" t="s">
        <v>21458</v>
      </c>
    </row>
    <row r="2194" spans="1:59" ht="72.5" x14ac:dyDescent="0.35">
      <c r="A2194" s="2" t="s">
        <v>59</v>
      </c>
      <c r="B2194" s="2" t="s">
        <v>60</v>
      </c>
      <c r="C2194" s="2" t="s">
        <v>21459</v>
      </c>
      <c r="D2194" s="2" t="s">
        <v>21460</v>
      </c>
      <c r="E2194" s="2" t="s">
        <v>21461</v>
      </c>
      <c r="G2194" s="3" t="s">
        <v>65</v>
      </c>
      <c r="I2194" s="3" t="s">
        <v>65</v>
      </c>
      <c r="J2194" s="3" t="s">
        <v>65</v>
      </c>
      <c r="K2194" s="3" t="s">
        <v>66</v>
      </c>
      <c r="M2194" s="2" t="s">
        <v>4727</v>
      </c>
      <c r="N2194" s="3" t="s">
        <v>126</v>
      </c>
      <c r="P2194" s="3" t="s">
        <v>140</v>
      </c>
      <c r="Q2194" s="2" t="s">
        <v>21462</v>
      </c>
      <c r="R2194" s="3" t="s">
        <v>71</v>
      </c>
      <c r="S2194" s="4">
        <v>0</v>
      </c>
      <c r="T2194" s="4">
        <v>0</v>
      </c>
      <c r="W2194" s="5" t="s">
        <v>72</v>
      </c>
      <c r="X2194" s="5" t="s">
        <v>72</v>
      </c>
      <c r="Y2194" s="4">
        <v>32</v>
      </c>
      <c r="Z2194" s="4">
        <v>3</v>
      </c>
      <c r="AA2194" s="4">
        <v>3</v>
      </c>
      <c r="AB2194" s="4">
        <v>1</v>
      </c>
      <c r="AC2194" s="4">
        <v>1</v>
      </c>
      <c r="AD2194" s="4">
        <v>22</v>
      </c>
      <c r="AE2194" s="4">
        <v>23</v>
      </c>
      <c r="AF2194" s="4">
        <v>0</v>
      </c>
      <c r="AG2194" s="4">
        <v>0</v>
      </c>
      <c r="AH2194" s="4">
        <v>21</v>
      </c>
      <c r="AI2194" s="4">
        <v>22</v>
      </c>
      <c r="AJ2194" s="4">
        <v>1</v>
      </c>
      <c r="AK2194" s="4">
        <v>1</v>
      </c>
      <c r="AL2194" s="4">
        <v>17</v>
      </c>
      <c r="AM2194" s="4">
        <v>18</v>
      </c>
      <c r="AN2194" s="4">
        <v>0</v>
      </c>
      <c r="AO2194" s="4">
        <v>0</v>
      </c>
      <c r="AP2194" s="4">
        <v>1</v>
      </c>
      <c r="AQ2194" s="4">
        <v>1</v>
      </c>
      <c r="AR2194" s="3" t="s">
        <v>65</v>
      </c>
      <c r="AS2194" s="3" t="s">
        <v>65</v>
      </c>
      <c r="AT2194" s="3" t="s">
        <v>65</v>
      </c>
      <c r="AV2194" s="6" t="str">
        <f>HYPERLINK("http://mcgill.on.worldcat.org/oclc/781673308","Catalog Record")</f>
        <v>Catalog Record</v>
      </c>
      <c r="AW2194" s="6" t="str">
        <f>HYPERLINK("http://www.worldcat.org/oclc/781673308","WorldCat Record")</f>
        <v>WorldCat Record</v>
      </c>
      <c r="AX2194" s="3" t="s">
        <v>21463</v>
      </c>
      <c r="AY2194" s="3" t="s">
        <v>21464</v>
      </c>
      <c r="AZ2194" s="3" t="s">
        <v>21465</v>
      </c>
      <c r="BA2194" s="3" t="s">
        <v>21465</v>
      </c>
      <c r="BB2194" s="3" t="s">
        <v>21466</v>
      </c>
      <c r="BC2194" s="3" t="s">
        <v>77</v>
      </c>
      <c r="BD2194" s="3" t="s">
        <v>78</v>
      </c>
      <c r="BE2194" s="3" t="s">
        <v>21467</v>
      </c>
      <c r="BF2194" s="3" t="s">
        <v>21466</v>
      </c>
      <c r="BG2194" s="3" t="s">
        <v>21468</v>
      </c>
    </row>
    <row r="2195" spans="1:59" ht="58" x14ac:dyDescent="0.35">
      <c r="A2195" s="2" t="s">
        <v>59</v>
      </c>
      <c r="B2195" s="2" t="s">
        <v>60</v>
      </c>
      <c r="C2195" s="2" t="s">
        <v>21469</v>
      </c>
      <c r="D2195" s="2" t="s">
        <v>21470</v>
      </c>
      <c r="E2195" s="2" t="s">
        <v>21471</v>
      </c>
      <c r="G2195" s="3" t="s">
        <v>65</v>
      </c>
      <c r="I2195" s="3" t="s">
        <v>65</v>
      </c>
      <c r="J2195" s="3" t="s">
        <v>65</v>
      </c>
      <c r="K2195" s="3" t="s">
        <v>66</v>
      </c>
      <c r="L2195" s="2" t="s">
        <v>21331</v>
      </c>
      <c r="M2195" s="2" t="s">
        <v>3112</v>
      </c>
      <c r="N2195" s="3" t="s">
        <v>113</v>
      </c>
      <c r="P2195" s="3" t="s">
        <v>140</v>
      </c>
      <c r="Q2195" s="2" t="s">
        <v>21472</v>
      </c>
      <c r="R2195" s="3" t="s">
        <v>71</v>
      </c>
      <c r="S2195" s="4">
        <v>0</v>
      </c>
      <c r="T2195" s="4">
        <v>0</v>
      </c>
      <c r="W2195" s="5" t="s">
        <v>72</v>
      </c>
      <c r="X2195" s="5" t="s">
        <v>72</v>
      </c>
      <c r="Y2195" s="4">
        <v>23</v>
      </c>
      <c r="Z2195" s="4">
        <v>1</v>
      </c>
      <c r="AA2195" s="4">
        <v>3</v>
      </c>
      <c r="AB2195" s="4">
        <v>1</v>
      </c>
      <c r="AC2195" s="4">
        <v>1</v>
      </c>
      <c r="AD2195" s="4">
        <v>19</v>
      </c>
      <c r="AE2195" s="4">
        <v>23</v>
      </c>
      <c r="AF2195" s="4">
        <v>0</v>
      </c>
      <c r="AG2195" s="4">
        <v>0</v>
      </c>
      <c r="AH2195" s="4">
        <v>18</v>
      </c>
      <c r="AI2195" s="4">
        <v>22</v>
      </c>
      <c r="AJ2195" s="4">
        <v>0</v>
      </c>
      <c r="AK2195" s="4">
        <v>1</v>
      </c>
      <c r="AL2195" s="4">
        <v>18</v>
      </c>
      <c r="AM2195" s="4">
        <v>21</v>
      </c>
      <c r="AN2195" s="4">
        <v>0</v>
      </c>
      <c r="AO2195" s="4">
        <v>0</v>
      </c>
      <c r="AP2195" s="4">
        <v>0</v>
      </c>
      <c r="AQ2195" s="4">
        <v>1</v>
      </c>
      <c r="AR2195" s="3" t="s">
        <v>65</v>
      </c>
      <c r="AS2195" s="3" t="s">
        <v>65</v>
      </c>
      <c r="AT2195" s="3" t="s">
        <v>65</v>
      </c>
      <c r="AV2195" s="6" t="str">
        <f>HYPERLINK("http://mcgill.on.worldcat.org/oclc/609529851","Catalog Record")</f>
        <v>Catalog Record</v>
      </c>
      <c r="AW2195" s="6" t="str">
        <f>HYPERLINK("http://www.worldcat.org/oclc/609529851","WorldCat Record")</f>
        <v>WorldCat Record</v>
      </c>
      <c r="AX2195" s="3" t="s">
        <v>21473</v>
      </c>
      <c r="AY2195" s="3" t="s">
        <v>21474</v>
      </c>
      <c r="AZ2195" s="3" t="s">
        <v>21475</v>
      </c>
      <c r="BA2195" s="3" t="s">
        <v>21475</v>
      </c>
      <c r="BB2195" s="3" t="s">
        <v>21476</v>
      </c>
      <c r="BC2195" s="3" t="s">
        <v>77</v>
      </c>
      <c r="BD2195" s="3" t="s">
        <v>78</v>
      </c>
      <c r="BE2195" s="3" t="s">
        <v>21477</v>
      </c>
      <c r="BF2195" s="3" t="s">
        <v>21476</v>
      </c>
      <c r="BG2195" s="3" t="s">
        <v>21478</v>
      </c>
    </row>
    <row r="2196" spans="1:59" ht="58" x14ac:dyDescent="0.35">
      <c r="A2196" s="2" t="s">
        <v>59</v>
      </c>
      <c r="B2196" s="2" t="s">
        <v>60</v>
      </c>
      <c r="C2196" s="2" t="s">
        <v>21479</v>
      </c>
      <c r="D2196" s="2" t="s">
        <v>21480</v>
      </c>
      <c r="E2196" s="2" t="s">
        <v>21481</v>
      </c>
      <c r="G2196" s="3" t="s">
        <v>65</v>
      </c>
      <c r="I2196" s="3" t="s">
        <v>65</v>
      </c>
      <c r="J2196" s="3" t="s">
        <v>65</v>
      </c>
      <c r="K2196" s="3" t="s">
        <v>66</v>
      </c>
      <c r="L2196" s="2" t="s">
        <v>21331</v>
      </c>
      <c r="M2196" s="2" t="s">
        <v>21451</v>
      </c>
      <c r="N2196" s="3" t="s">
        <v>1032</v>
      </c>
      <c r="P2196" s="3" t="s">
        <v>140</v>
      </c>
      <c r="Q2196" s="2" t="s">
        <v>21482</v>
      </c>
      <c r="R2196" s="3" t="s">
        <v>71</v>
      </c>
      <c r="S2196" s="4">
        <v>8</v>
      </c>
      <c r="T2196" s="4">
        <v>8</v>
      </c>
      <c r="U2196" s="5" t="s">
        <v>10465</v>
      </c>
      <c r="V2196" s="5" t="s">
        <v>10465</v>
      </c>
      <c r="W2196" s="5" t="s">
        <v>72</v>
      </c>
      <c r="X2196" s="5" t="s">
        <v>72</v>
      </c>
      <c r="Y2196" s="4">
        <v>57</v>
      </c>
      <c r="Z2196" s="4">
        <v>5</v>
      </c>
      <c r="AA2196" s="4">
        <v>35</v>
      </c>
      <c r="AB2196" s="4">
        <v>1</v>
      </c>
      <c r="AC2196" s="4">
        <v>4</v>
      </c>
      <c r="AD2196" s="4">
        <v>25</v>
      </c>
      <c r="AE2196" s="4">
        <v>94</v>
      </c>
      <c r="AF2196" s="4">
        <v>0</v>
      </c>
      <c r="AG2196" s="4">
        <v>3</v>
      </c>
      <c r="AH2196" s="4">
        <v>24</v>
      </c>
      <c r="AI2196" s="4">
        <v>80</v>
      </c>
      <c r="AJ2196" s="4">
        <v>3</v>
      </c>
      <c r="AK2196" s="4">
        <v>15</v>
      </c>
      <c r="AL2196" s="4">
        <v>18</v>
      </c>
      <c r="AM2196" s="4">
        <v>50</v>
      </c>
      <c r="AN2196" s="4">
        <v>0</v>
      </c>
      <c r="AO2196" s="4">
        <v>11</v>
      </c>
      <c r="AP2196" s="4">
        <v>3</v>
      </c>
      <c r="AQ2196" s="4">
        <v>19</v>
      </c>
      <c r="AR2196" s="3" t="s">
        <v>65</v>
      </c>
      <c r="AS2196" s="3" t="s">
        <v>65</v>
      </c>
      <c r="AT2196" s="3" t="s">
        <v>209</v>
      </c>
      <c r="AU2196" s="6" t="str">
        <f>HYPERLINK("http://catalog.hathitrust.org/Record/003028270","HathiTrust Record")</f>
        <v>HathiTrust Record</v>
      </c>
      <c r="AV2196" s="6" t="str">
        <f>HYPERLINK("http://mcgill.on.worldcat.org/oclc/33998101","Catalog Record")</f>
        <v>Catalog Record</v>
      </c>
      <c r="AW2196" s="6" t="str">
        <f>HYPERLINK("http://www.worldcat.org/oclc/33998101","WorldCat Record")</f>
        <v>WorldCat Record</v>
      </c>
      <c r="AX2196" s="3" t="s">
        <v>21483</v>
      </c>
      <c r="AY2196" s="3" t="s">
        <v>21484</v>
      </c>
      <c r="AZ2196" s="3" t="s">
        <v>21485</v>
      </c>
      <c r="BA2196" s="3" t="s">
        <v>21485</v>
      </c>
      <c r="BB2196" s="3" t="s">
        <v>21486</v>
      </c>
      <c r="BC2196" s="3" t="s">
        <v>77</v>
      </c>
      <c r="BD2196" s="3" t="s">
        <v>78</v>
      </c>
      <c r="BE2196" s="3" t="s">
        <v>21487</v>
      </c>
      <c r="BF2196" s="3" t="s">
        <v>21486</v>
      </c>
      <c r="BG2196" s="3" t="s">
        <v>21488</v>
      </c>
    </row>
    <row r="2197" spans="1:59" ht="58" x14ac:dyDescent="0.35">
      <c r="A2197" s="2" t="s">
        <v>59</v>
      </c>
      <c r="B2197" s="2" t="s">
        <v>60</v>
      </c>
      <c r="C2197" s="2" t="s">
        <v>21489</v>
      </c>
      <c r="D2197" s="2" t="s">
        <v>21490</v>
      </c>
      <c r="E2197" s="2" t="s">
        <v>21491</v>
      </c>
      <c r="G2197" s="3" t="s">
        <v>65</v>
      </c>
      <c r="I2197" s="3" t="s">
        <v>65</v>
      </c>
      <c r="J2197" s="3" t="s">
        <v>65</v>
      </c>
      <c r="K2197" s="3" t="s">
        <v>66</v>
      </c>
      <c r="L2197" s="2" t="s">
        <v>21331</v>
      </c>
      <c r="M2197" s="2" t="s">
        <v>21492</v>
      </c>
      <c r="N2197" s="3" t="s">
        <v>152</v>
      </c>
      <c r="P2197" s="3" t="s">
        <v>69</v>
      </c>
      <c r="Q2197" s="2" t="s">
        <v>7248</v>
      </c>
      <c r="R2197" s="3" t="s">
        <v>71</v>
      </c>
      <c r="S2197" s="4">
        <v>2</v>
      </c>
      <c r="T2197" s="4">
        <v>2</v>
      </c>
      <c r="U2197" s="5" t="s">
        <v>9453</v>
      </c>
      <c r="V2197" s="5" t="s">
        <v>9453</v>
      </c>
      <c r="W2197" s="5" t="s">
        <v>72</v>
      </c>
      <c r="X2197" s="5" t="s">
        <v>72</v>
      </c>
      <c r="Y2197" s="4">
        <v>126</v>
      </c>
      <c r="Z2197" s="4">
        <v>11</v>
      </c>
      <c r="AA2197" s="4">
        <v>26</v>
      </c>
      <c r="AB2197" s="4">
        <v>1</v>
      </c>
      <c r="AC2197" s="4">
        <v>4</v>
      </c>
      <c r="AD2197" s="4">
        <v>51</v>
      </c>
      <c r="AE2197" s="4">
        <v>106</v>
      </c>
      <c r="AF2197" s="4">
        <v>0</v>
      </c>
      <c r="AG2197" s="4">
        <v>0</v>
      </c>
      <c r="AH2197" s="4">
        <v>49</v>
      </c>
      <c r="AI2197" s="4">
        <v>96</v>
      </c>
      <c r="AJ2197" s="4">
        <v>6</v>
      </c>
      <c r="AK2197" s="4">
        <v>15</v>
      </c>
      <c r="AL2197" s="4">
        <v>29</v>
      </c>
      <c r="AM2197" s="4">
        <v>54</v>
      </c>
      <c r="AN2197" s="4">
        <v>0</v>
      </c>
      <c r="AO2197" s="4">
        <v>1</v>
      </c>
      <c r="AP2197" s="4">
        <v>6</v>
      </c>
      <c r="AQ2197" s="4">
        <v>16</v>
      </c>
      <c r="AR2197" s="3" t="s">
        <v>65</v>
      </c>
      <c r="AS2197" s="3" t="s">
        <v>65</v>
      </c>
      <c r="AT2197" s="3" t="s">
        <v>65</v>
      </c>
      <c r="AV2197" s="6" t="str">
        <f>HYPERLINK("http://mcgill.on.worldcat.org/oclc/820123585","Catalog Record")</f>
        <v>Catalog Record</v>
      </c>
      <c r="AW2197" s="6" t="str">
        <f>HYPERLINK("http://www.worldcat.org/oclc/820123585","WorldCat Record")</f>
        <v>WorldCat Record</v>
      </c>
      <c r="AX2197" s="3" t="s">
        <v>21493</v>
      </c>
      <c r="AY2197" s="3" t="s">
        <v>21494</v>
      </c>
      <c r="AZ2197" s="3" t="s">
        <v>21495</v>
      </c>
      <c r="BA2197" s="3" t="s">
        <v>21495</v>
      </c>
      <c r="BB2197" s="3" t="s">
        <v>21496</v>
      </c>
      <c r="BC2197" s="3" t="s">
        <v>77</v>
      </c>
      <c r="BD2197" s="3" t="s">
        <v>78</v>
      </c>
      <c r="BE2197" s="3" t="s">
        <v>21497</v>
      </c>
      <c r="BF2197" s="3" t="s">
        <v>21496</v>
      </c>
      <c r="BG2197" s="3" t="s">
        <v>21498</v>
      </c>
    </row>
    <row r="2198" spans="1:59" ht="58" x14ac:dyDescent="0.35">
      <c r="A2198" s="2" t="s">
        <v>59</v>
      </c>
      <c r="B2198" s="2" t="s">
        <v>60</v>
      </c>
      <c r="C2198" s="2" t="s">
        <v>21499</v>
      </c>
      <c r="D2198" s="2" t="s">
        <v>21500</v>
      </c>
      <c r="E2198" s="2" t="s">
        <v>21501</v>
      </c>
      <c r="G2198" s="3" t="s">
        <v>65</v>
      </c>
      <c r="I2198" s="3" t="s">
        <v>65</v>
      </c>
      <c r="J2198" s="3" t="s">
        <v>65</v>
      </c>
      <c r="K2198" s="3" t="s">
        <v>66</v>
      </c>
      <c r="L2198" s="2" t="s">
        <v>21331</v>
      </c>
      <c r="M2198" s="2" t="s">
        <v>21502</v>
      </c>
      <c r="N2198" s="3" t="s">
        <v>392</v>
      </c>
      <c r="P2198" s="3" t="s">
        <v>69</v>
      </c>
      <c r="R2198" s="3" t="s">
        <v>71</v>
      </c>
      <c r="S2198" s="4">
        <v>3</v>
      </c>
      <c r="T2198" s="4">
        <v>3</v>
      </c>
      <c r="U2198" s="5" t="s">
        <v>21503</v>
      </c>
      <c r="V2198" s="5" t="s">
        <v>21503</v>
      </c>
      <c r="W2198" s="5" t="s">
        <v>72</v>
      </c>
      <c r="X2198" s="5" t="s">
        <v>72</v>
      </c>
      <c r="Y2198" s="4">
        <v>58</v>
      </c>
      <c r="Z2198" s="4">
        <v>3</v>
      </c>
      <c r="AA2198" s="4">
        <v>25</v>
      </c>
      <c r="AB2198" s="4">
        <v>1</v>
      </c>
      <c r="AC2198" s="4">
        <v>1</v>
      </c>
      <c r="AD2198" s="4">
        <v>29</v>
      </c>
      <c r="AE2198" s="4">
        <v>111</v>
      </c>
      <c r="AF2198" s="4">
        <v>0</v>
      </c>
      <c r="AG2198" s="4">
        <v>0</v>
      </c>
      <c r="AH2198" s="4">
        <v>26</v>
      </c>
      <c r="AI2198" s="4">
        <v>97</v>
      </c>
      <c r="AJ2198" s="4">
        <v>2</v>
      </c>
      <c r="AK2198" s="4">
        <v>15</v>
      </c>
      <c r="AL2198" s="4">
        <v>15</v>
      </c>
      <c r="AM2198" s="4">
        <v>54</v>
      </c>
      <c r="AN2198" s="4">
        <v>0</v>
      </c>
      <c r="AO2198" s="4">
        <v>0</v>
      </c>
      <c r="AP2198" s="4">
        <v>2</v>
      </c>
      <c r="AQ2198" s="4">
        <v>18</v>
      </c>
      <c r="AR2198" s="3" t="s">
        <v>65</v>
      </c>
      <c r="AS2198" s="3" t="s">
        <v>209</v>
      </c>
      <c r="AT2198" s="3" t="s">
        <v>65</v>
      </c>
      <c r="AU2198" s="6" t="str">
        <f>HYPERLINK("http://catalog.hathitrust.org/Record/002437225","HathiTrust Record")</f>
        <v>HathiTrust Record</v>
      </c>
      <c r="AV2198" s="6" t="str">
        <f>HYPERLINK("http://mcgill.on.worldcat.org/oclc/17353849","Catalog Record")</f>
        <v>Catalog Record</v>
      </c>
      <c r="AW2198" s="6" t="str">
        <f>HYPERLINK("http://www.worldcat.org/oclc/17353849","WorldCat Record")</f>
        <v>WorldCat Record</v>
      </c>
      <c r="AX2198" s="3" t="s">
        <v>21504</v>
      </c>
      <c r="AY2198" s="3" t="s">
        <v>21505</v>
      </c>
      <c r="AZ2198" s="3" t="s">
        <v>21506</v>
      </c>
      <c r="BA2198" s="3" t="s">
        <v>21506</v>
      </c>
      <c r="BB2198" s="3" t="s">
        <v>21507</v>
      </c>
      <c r="BC2198" s="3" t="s">
        <v>77</v>
      </c>
      <c r="BD2198" s="3" t="s">
        <v>78</v>
      </c>
      <c r="BE2198" s="3" t="s">
        <v>21508</v>
      </c>
      <c r="BF2198" s="3" t="s">
        <v>21507</v>
      </c>
      <c r="BG2198" s="3" t="s">
        <v>21509</v>
      </c>
    </row>
    <row r="2199" spans="1:59" ht="58" x14ac:dyDescent="0.35">
      <c r="A2199" s="2" t="s">
        <v>59</v>
      </c>
      <c r="B2199" s="2" t="s">
        <v>60</v>
      </c>
      <c r="C2199" s="2" t="s">
        <v>21510</v>
      </c>
      <c r="D2199" s="2" t="s">
        <v>21511</v>
      </c>
      <c r="E2199" s="2" t="s">
        <v>21512</v>
      </c>
      <c r="G2199" s="3" t="s">
        <v>65</v>
      </c>
      <c r="I2199" s="3" t="s">
        <v>65</v>
      </c>
      <c r="J2199" s="3" t="s">
        <v>65</v>
      </c>
      <c r="K2199" s="3" t="s">
        <v>66</v>
      </c>
      <c r="L2199" s="2" t="s">
        <v>21331</v>
      </c>
      <c r="M2199" s="2" t="s">
        <v>20877</v>
      </c>
      <c r="N2199" s="3" t="s">
        <v>126</v>
      </c>
      <c r="P2199" s="3" t="s">
        <v>140</v>
      </c>
      <c r="Q2199" s="2" t="s">
        <v>21513</v>
      </c>
      <c r="R2199" s="3" t="s">
        <v>71</v>
      </c>
      <c r="S2199" s="4">
        <v>0</v>
      </c>
      <c r="T2199" s="4">
        <v>0</v>
      </c>
      <c r="W2199" s="5" t="s">
        <v>72</v>
      </c>
      <c r="X2199" s="5" t="s">
        <v>72</v>
      </c>
      <c r="Y2199" s="4">
        <v>34</v>
      </c>
      <c r="Z2199" s="4">
        <v>4</v>
      </c>
      <c r="AA2199" s="4">
        <v>4</v>
      </c>
      <c r="AB2199" s="4">
        <v>1</v>
      </c>
      <c r="AC2199" s="4">
        <v>1</v>
      </c>
      <c r="AD2199" s="4">
        <v>25</v>
      </c>
      <c r="AE2199" s="4">
        <v>25</v>
      </c>
      <c r="AF2199" s="4">
        <v>0</v>
      </c>
      <c r="AG2199" s="4">
        <v>0</v>
      </c>
      <c r="AH2199" s="4">
        <v>24</v>
      </c>
      <c r="AI2199" s="4">
        <v>24</v>
      </c>
      <c r="AJ2199" s="4">
        <v>2</v>
      </c>
      <c r="AK2199" s="4">
        <v>2</v>
      </c>
      <c r="AL2199" s="4">
        <v>20</v>
      </c>
      <c r="AM2199" s="4">
        <v>20</v>
      </c>
      <c r="AN2199" s="4">
        <v>0</v>
      </c>
      <c r="AO2199" s="4">
        <v>0</v>
      </c>
      <c r="AP2199" s="4">
        <v>2</v>
      </c>
      <c r="AQ2199" s="4">
        <v>2</v>
      </c>
      <c r="AR2199" s="3" t="s">
        <v>65</v>
      </c>
      <c r="AS2199" s="3" t="s">
        <v>65</v>
      </c>
      <c r="AT2199" s="3" t="s">
        <v>65</v>
      </c>
      <c r="AV2199" s="6" t="str">
        <f>HYPERLINK("http://mcgill.on.worldcat.org/oclc/724303718","Catalog Record")</f>
        <v>Catalog Record</v>
      </c>
      <c r="AW2199" s="6" t="str">
        <f>HYPERLINK("http://www.worldcat.org/oclc/724303718","WorldCat Record")</f>
        <v>WorldCat Record</v>
      </c>
      <c r="AX2199" s="3" t="s">
        <v>21514</v>
      </c>
      <c r="AY2199" s="3" t="s">
        <v>21515</v>
      </c>
      <c r="AZ2199" s="3" t="s">
        <v>21516</v>
      </c>
      <c r="BA2199" s="3" t="s">
        <v>21516</v>
      </c>
      <c r="BB2199" s="3" t="s">
        <v>21517</v>
      </c>
      <c r="BC2199" s="3" t="s">
        <v>77</v>
      </c>
      <c r="BD2199" s="3" t="s">
        <v>78</v>
      </c>
      <c r="BE2199" s="3" t="s">
        <v>21518</v>
      </c>
      <c r="BF2199" s="3" t="s">
        <v>21517</v>
      </c>
      <c r="BG2199" s="3" t="s">
        <v>21519</v>
      </c>
    </row>
    <row r="2200" spans="1:59" ht="58" x14ac:dyDescent="0.35">
      <c r="A2200" s="2" t="s">
        <v>59</v>
      </c>
      <c r="B2200" s="2" t="s">
        <v>60</v>
      </c>
      <c r="C2200" s="2" t="s">
        <v>21520</v>
      </c>
      <c r="D2200" s="2" t="s">
        <v>21521</v>
      </c>
      <c r="E2200" s="2" t="s">
        <v>21522</v>
      </c>
      <c r="G2200" s="3" t="s">
        <v>65</v>
      </c>
      <c r="I2200" s="3" t="s">
        <v>65</v>
      </c>
      <c r="J2200" s="3" t="s">
        <v>65</v>
      </c>
      <c r="K2200" s="3" t="s">
        <v>66</v>
      </c>
      <c r="L2200" s="2" t="s">
        <v>21331</v>
      </c>
      <c r="M2200" s="2" t="s">
        <v>21523</v>
      </c>
      <c r="N2200" s="3" t="s">
        <v>126</v>
      </c>
      <c r="P2200" s="3" t="s">
        <v>140</v>
      </c>
      <c r="Q2200" s="2" t="s">
        <v>21524</v>
      </c>
      <c r="R2200" s="3" t="s">
        <v>71</v>
      </c>
      <c r="S2200" s="4">
        <v>0</v>
      </c>
      <c r="T2200" s="4">
        <v>0</v>
      </c>
      <c r="W2200" s="5" t="s">
        <v>72</v>
      </c>
      <c r="X2200" s="5" t="s">
        <v>72</v>
      </c>
      <c r="Y2200" s="4">
        <v>50</v>
      </c>
      <c r="Z2200" s="4">
        <v>5</v>
      </c>
      <c r="AA2200" s="4">
        <v>5</v>
      </c>
      <c r="AB2200" s="4">
        <v>1</v>
      </c>
      <c r="AC2200" s="4">
        <v>1</v>
      </c>
      <c r="AD2200" s="4">
        <v>34</v>
      </c>
      <c r="AE2200" s="4">
        <v>34</v>
      </c>
      <c r="AF2200" s="4">
        <v>0</v>
      </c>
      <c r="AG2200" s="4">
        <v>0</v>
      </c>
      <c r="AH2200" s="4">
        <v>33</v>
      </c>
      <c r="AI2200" s="4">
        <v>33</v>
      </c>
      <c r="AJ2200" s="4">
        <v>3</v>
      </c>
      <c r="AK2200" s="4">
        <v>3</v>
      </c>
      <c r="AL2200" s="4">
        <v>23</v>
      </c>
      <c r="AM2200" s="4">
        <v>23</v>
      </c>
      <c r="AN2200" s="4">
        <v>0</v>
      </c>
      <c r="AO2200" s="4">
        <v>0</v>
      </c>
      <c r="AP2200" s="4">
        <v>3</v>
      </c>
      <c r="AQ2200" s="4">
        <v>3</v>
      </c>
      <c r="AR2200" s="3" t="s">
        <v>65</v>
      </c>
      <c r="AS2200" s="3" t="s">
        <v>65</v>
      </c>
      <c r="AT2200" s="3" t="s">
        <v>65</v>
      </c>
      <c r="AV2200" s="6" t="str">
        <f>HYPERLINK("http://mcgill.on.worldcat.org/oclc/757463355","Catalog Record")</f>
        <v>Catalog Record</v>
      </c>
      <c r="AW2200" s="6" t="str">
        <f>HYPERLINK("http://www.worldcat.org/oclc/757463355","WorldCat Record")</f>
        <v>WorldCat Record</v>
      </c>
      <c r="AX2200" s="3" t="s">
        <v>21525</v>
      </c>
      <c r="AY2200" s="3" t="s">
        <v>21526</v>
      </c>
      <c r="AZ2200" s="3" t="s">
        <v>21527</v>
      </c>
      <c r="BA2200" s="3" t="s">
        <v>21527</v>
      </c>
      <c r="BB2200" s="3" t="s">
        <v>21528</v>
      </c>
      <c r="BC2200" s="3" t="s">
        <v>77</v>
      </c>
      <c r="BD2200" s="3" t="s">
        <v>78</v>
      </c>
      <c r="BE2200" s="3" t="s">
        <v>21529</v>
      </c>
      <c r="BF2200" s="3" t="s">
        <v>21528</v>
      </c>
      <c r="BG2200" s="3" t="s">
        <v>21530</v>
      </c>
    </row>
    <row r="2201" spans="1:59" ht="58" x14ac:dyDescent="0.35">
      <c r="A2201" s="2" t="s">
        <v>59</v>
      </c>
      <c r="B2201" s="2" t="s">
        <v>60</v>
      </c>
      <c r="C2201" s="2" t="s">
        <v>21531</v>
      </c>
      <c r="D2201" s="2" t="s">
        <v>21532</v>
      </c>
      <c r="E2201" s="2" t="s">
        <v>21533</v>
      </c>
      <c r="G2201" s="3" t="s">
        <v>65</v>
      </c>
      <c r="I2201" s="3" t="s">
        <v>65</v>
      </c>
      <c r="J2201" s="3" t="s">
        <v>65</v>
      </c>
      <c r="K2201" s="3" t="s">
        <v>66</v>
      </c>
      <c r="L2201" s="2" t="s">
        <v>21534</v>
      </c>
      <c r="M2201" s="2" t="s">
        <v>10140</v>
      </c>
      <c r="N2201" s="3" t="s">
        <v>126</v>
      </c>
      <c r="P2201" s="3" t="s">
        <v>140</v>
      </c>
      <c r="Q2201" s="2" t="s">
        <v>21535</v>
      </c>
      <c r="R2201" s="3" t="s">
        <v>71</v>
      </c>
      <c r="S2201" s="4">
        <v>0</v>
      </c>
      <c r="T2201" s="4">
        <v>0</v>
      </c>
      <c r="W2201" s="5" t="s">
        <v>72</v>
      </c>
      <c r="X2201" s="5" t="s">
        <v>72</v>
      </c>
      <c r="Y2201" s="4">
        <v>12</v>
      </c>
      <c r="Z2201" s="4">
        <v>1</v>
      </c>
      <c r="AA2201" s="4">
        <v>4</v>
      </c>
      <c r="AB2201" s="4">
        <v>1</v>
      </c>
      <c r="AC2201" s="4">
        <v>1</v>
      </c>
      <c r="AD2201" s="4">
        <v>2</v>
      </c>
      <c r="AE2201" s="4">
        <v>34</v>
      </c>
      <c r="AF2201" s="4">
        <v>0</v>
      </c>
      <c r="AG2201" s="4">
        <v>0</v>
      </c>
      <c r="AH2201" s="4">
        <v>1</v>
      </c>
      <c r="AI2201" s="4">
        <v>33</v>
      </c>
      <c r="AJ2201" s="4">
        <v>0</v>
      </c>
      <c r="AK2201" s="4">
        <v>2</v>
      </c>
      <c r="AL2201" s="4">
        <v>2</v>
      </c>
      <c r="AM2201" s="4">
        <v>28</v>
      </c>
      <c r="AN2201" s="4">
        <v>0</v>
      </c>
      <c r="AO2201" s="4">
        <v>0</v>
      </c>
      <c r="AP2201" s="4">
        <v>0</v>
      </c>
      <c r="AQ2201" s="4">
        <v>2</v>
      </c>
      <c r="AR2201" s="3" t="s">
        <v>65</v>
      </c>
      <c r="AS2201" s="3" t="s">
        <v>65</v>
      </c>
      <c r="AT2201" s="3" t="s">
        <v>65</v>
      </c>
      <c r="AV2201" s="6" t="str">
        <f>HYPERLINK("http://mcgill.on.worldcat.org/oclc/723549643","Catalog Record")</f>
        <v>Catalog Record</v>
      </c>
      <c r="AW2201" s="6" t="str">
        <f>HYPERLINK("http://www.worldcat.org/oclc/723549643","WorldCat Record")</f>
        <v>WorldCat Record</v>
      </c>
      <c r="AX2201" s="3" t="s">
        <v>21536</v>
      </c>
      <c r="AY2201" s="3" t="s">
        <v>21537</v>
      </c>
      <c r="AZ2201" s="3" t="s">
        <v>21538</v>
      </c>
      <c r="BA2201" s="3" t="s">
        <v>21538</v>
      </c>
      <c r="BB2201" s="3" t="s">
        <v>21539</v>
      </c>
      <c r="BC2201" s="3" t="s">
        <v>77</v>
      </c>
      <c r="BD2201" s="3" t="s">
        <v>78</v>
      </c>
      <c r="BE2201" s="3" t="s">
        <v>21540</v>
      </c>
      <c r="BF2201" s="3" t="s">
        <v>21539</v>
      </c>
      <c r="BG2201" s="3" t="s">
        <v>21541</v>
      </c>
    </row>
    <row r="2202" spans="1:59" ht="58" x14ac:dyDescent="0.35">
      <c r="A2202" s="2" t="s">
        <v>59</v>
      </c>
      <c r="B2202" s="2" t="s">
        <v>60</v>
      </c>
      <c r="C2202" s="2" t="s">
        <v>21542</v>
      </c>
      <c r="D2202" s="2" t="s">
        <v>21543</v>
      </c>
      <c r="E2202" s="2" t="s">
        <v>21544</v>
      </c>
      <c r="G2202" s="3" t="s">
        <v>65</v>
      </c>
      <c r="I2202" s="3" t="s">
        <v>65</v>
      </c>
      <c r="J2202" s="3" t="s">
        <v>65</v>
      </c>
      <c r="K2202" s="3" t="s">
        <v>66</v>
      </c>
      <c r="L2202" s="2" t="s">
        <v>21331</v>
      </c>
      <c r="M2202" s="2" t="s">
        <v>18021</v>
      </c>
      <c r="N2202" s="3" t="s">
        <v>113</v>
      </c>
      <c r="P2202" s="3" t="s">
        <v>140</v>
      </c>
      <c r="Q2202" s="2" t="s">
        <v>21545</v>
      </c>
      <c r="R2202" s="3" t="s">
        <v>71</v>
      </c>
      <c r="S2202" s="4">
        <v>0</v>
      </c>
      <c r="T2202" s="4">
        <v>0</v>
      </c>
      <c r="W2202" s="5" t="s">
        <v>72</v>
      </c>
      <c r="X2202" s="5" t="s">
        <v>72</v>
      </c>
      <c r="Y2202" s="4">
        <v>50</v>
      </c>
      <c r="Z2202" s="4">
        <v>4</v>
      </c>
      <c r="AA2202" s="4">
        <v>4</v>
      </c>
      <c r="AB2202" s="4">
        <v>1</v>
      </c>
      <c r="AC2202" s="4">
        <v>1</v>
      </c>
      <c r="AD2202" s="4">
        <v>36</v>
      </c>
      <c r="AE2202" s="4">
        <v>36</v>
      </c>
      <c r="AF2202" s="4">
        <v>0</v>
      </c>
      <c r="AG2202" s="4">
        <v>0</v>
      </c>
      <c r="AH2202" s="4">
        <v>35</v>
      </c>
      <c r="AI2202" s="4">
        <v>35</v>
      </c>
      <c r="AJ2202" s="4">
        <v>2</v>
      </c>
      <c r="AK2202" s="4">
        <v>2</v>
      </c>
      <c r="AL2202" s="4">
        <v>28</v>
      </c>
      <c r="AM2202" s="4">
        <v>28</v>
      </c>
      <c r="AN2202" s="4">
        <v>5</v>
      </c>
      <c r="AO2202" s="4">
        <v>5</v>
      </c>
      <c r="AP2202" s="4">
        <v>2</v>
      </c>
      <c r="AQ2202" s="4">
        <v>2</v>
      </c>
      <c r="AR2202" s="3" t="s">
        <v>65</v>
      </c>
      <c r="AS2202" s="3" t="s">
        <v>65</v>
      </c>
      <c r="AT2202" s="3" t="s">
        <v>209</v>
      </c>
      <c r="AU2202" s="6" t="str">
        <f>HYPERLINK("http://catalog.hathitrust.org/Record/011228547","HathiTrust Record")</f>
        <v>HathiTrust Record</v>
      </c>
      <c r="AV2202" s="6" t="str">
        <f>HYPERLINK("http://mcgill.on.worldcat.org/oclc/681706363","Catalog Record")</f>
        <v>Catalog Record</v>
      </c>
      <c r="AW2202" s="6" t="str">
        <f>HYPERLINK("http://www.worldcat.org/oclc/681706363","WorldCat Record")</f>
        <v>WorldCat Record</v>
      </c>
      <c r="AX2202" s="3" t="s">
        <v>21546</v>
      </c>
      <c r="AY2202" s="3" t="s">
        <v>21547</v>
      </c>
      <c r="AZ2202" s="3" t="s">
        <v>21548</v>
      </c>
      <c r="BA2202" s="3" t="s">
        <v>21548</v>
      </c>
      <c r="BB2202" s="3" t="s">
        <v>21549</v>
      </c>
      <c r="BC2202" s="3" t="s">
        <v>77</v>
      </c>
      <c r="BD2202" s="3" t="s">
        <v>78</v>
      </c>
      <c r="BE2202" s="3" t="s">
        <v>21550</v>
      </c>
      <c r="BF2202" s="3" t="s">
        <v>21549</v>
      </c>
      <c r="BG2202" s="3" t="s">
        <v>21551</v>
      </c>
    </row>
    <row r="2203" spans="1:59" ht="58" x14ac:dyDescent="0.35">
      <c r="A2203" s="2" t="s">
        <v>59</v>
      </c>
      <c r="B2203" s="2" t="s">
        <v>60</v>
      </c>
      <c r="C2203" s="2" t="s">
        <v>21552</v>
      </c>
      <c r="D2203" s="2" t="s">
        <v>21553</v>
      </c>
      <c r="E2203" s="2" t="s">
        <v>21554</v>
      </c>
      <c r="G2203" s="3" t="s">
        <v>65</v>
      </c>
      <c r="I2203" s="3" t="s">
        <v>65</v>
      </c>
      <c r="J2203" s="3" t="s">
        <v>65</v>
      </c>
      <c r="K2203" s="3" t="s">
        <v>66</v>
      </c>
      <c r="L2203" s="2" t="s">
        <v>21555</v>
      </c>
      <c r="M2203" s="2" t="s">
        <v>21556</v>
      </c>
      <c r="N2203" s="3" t="s">
        <v>113</v>
      </c>
      <c r="O2203" s="2" t="s">
        <v>365</v>
      </c>
      <c r="P2203" s="3" t="s">
        <v>140</v>
      </c>
      <c r="Q2203" s="2" t="s">
        <v>21557</v>
      </c>
      <c r="R2203" s="3" t="s">
        <v>71</v>
      </c>
      <c r="S2203" s="4">
        <v>0</v>
      </c>
      <c r="T2203" s="4">
        <v>0</v>
      </c>
      <c r="W2203" s="5" t="s">
        <v>72</v>
      </c>
      <c r="X2203" s="5" t="s">
        <v>72</v>
      </c>
      <c r="Y2203" s="4">
        <v>48</v>
      </c>
      <c r="Z2203" s="4">
        <v>4</v>
      </c>
      <c r="AA2203" s="4">
        <v>4</v>
      </c>
      <c r="AB2203" s="4">
        <v>1</v>
      </c>
      <c r="AC2203" s="4">
        <v>1</v>
      </c>
      <c r="AD2203" s="4">
        <v>36</v>
      </c>
      <c r="AE2203" s="4">
        <v>36</v>
      </c>
      <c r="AF2203" s="4">
        <v>0</v>
      </c>
      <c r="AG2203" s="4">
        <v>0</v>
      </c>
      <c r="AH2203" s="4">
        <v>35</v>
      </c>
      <c r="AI2203" s="4">
        <v>35</v>
      </c>
      <c r="AJ2203" s="4">
        <v>2</v>
      </c>
      <c r="AK2203" s="4">
        <v>2</v>
      </c>
      <c r="AL2203" s="4">
        <v>27</v>
      </c>
      <c r="AM2203" s="4">
        <v>27</v>
      </c>
      <c r="AN2203" s="4">
        <v>0</v>
      </c>
      <c r="AO2203" s="4">
        <v>0</v>
      </c>
      <c r="AP2203" s="4">
        <v>2</v>
      </c>
      <c r="AQ2203" s="4">
        <v>2</v>
      </c>
      <c r="AR2203" s="3" t="s">
        <v>65</v>
      </c>
      <c r="AS2203" s="3" t="s">
        <v>65</v>
      </c>
      <c r="AT2203" s="3" t="s">
        <v>65</v>
      </c>
      <c r="AV2203" s="6" t="str">
        <f>HYPERLINK("http://mcgill.on.worldcat.org/oclc/620108379","Catalog Record")</f>
        <v>Catalog Record</v>
      </c>
      <c r="AW2203" s="6" t="str">
        <f>HYPERLINK("http://www.worldcat.org/oclc/620108379","WorldCat Record")</f>
        <v>WorldCat Record</v>
      </c>
      <c r="AX2203" s="3" t="s">
        <v>21558</v>
      </c>
      <c r="AY2203" s="3" t="s">
        <v>21559</v>
      </c>
      <c r="AZ2203" s="3" t="s">
        <v>21560</v>
      </c>
      <c r="BA2203" s="3" t="s">
        <v>21560</v>
      </c>
      <c r="BB2203" s="3" t="s">
        <v>21561</v>
      </c>
      <c r="BC2203" s="3" t="s">
        <v>77</v>
      </c>
      <c r="BD2203" s="3" t="s">
        <v>78</v>
      </c>
      <c r="BE2203" s="3" t="s">
        <v>21562</v>
      </c>
      <c r="BF2203" s="3" t="s">
        <v>21561</v>
      </c>
      <c r="BG2203" s="3" t="s">
        <v>21563</v>
      </c>
    </row>
    <row r="2204" spans="1:59" ht="58" x14ac:dyDescent="0.35">
      <c r="A2204" s="2" t="s">
        <v>59</v>
      </c>
      <c r="B2204" s="2" t="s">
        <v>60</v>
      </c>
      <c r="C2204" s="2" t="s">
        <v>21564</v>
      </c>
      <c r="D2204" s="2" t="s">
        <v>21565</v>
      </c>
      <c r="E2204" s="2" t="s">
        <v>21566</v>
      </c>
      <c r="G2204" s="3" t="s">
        <v>65</v>
      </c>
      <c r="I2204" s="3" t="s">
        <v>65</v>
      </c>
      <c r="J2204" s="3" t="s">
        <v>65</v>
      </c>
      <c r="K2204" s="3" t="s">
        <v>66</v>
      </c>
      <c r="L2204" s="2" t="s">
        <v>2804</v>
      </c>
      <c r="M2204" s="2" t="s">
        <v>3816</v>
      </c>
      <c r="N2204" s="3" t="s">
        <v>176</v>
      </c>
      <c r="P2204" s="3" t="s">
        <v>140</v>
      </c>
      <c r="Q2204" s="2" t="s">
        <v>21567</v>
      </c>
      <c r="R2204" s="3" t="s">
        <v>71</v>
      </c>
      <c r="S2204" s="4">
        <v>0</v>
      </c>
      <c r="T2204" s="4">
        <v>0</v>
      </c>
      <c r="W2204" s="5" t="s">
        <v>72</v>
      </c>
      <c r="X2204" s="5" t="s">
        <v>72</v>
      </c>
      <c r="Y2204" s="4">
        <v>16</v>
      </c>
      <c r="Z2204" s="4">
        <v>1</v>
      </c>
      <c r="AA2204" s="4">
        <v>3</v>
      </c>
      <c r="AB2204" s="4">
        <v>1</v>
      </c>
      <c r="AC2204" s="4">
        <v>1</v>
      </c>
      <c r="AD2204" s="4">
        <v>9</v>
      </c>
      <c r="AE2204" s="4">
        <v>11</v>
      </c>
      <c r="AF2204" s="4">
        <v>0</v>
      </c>
      <c r="AG2204" s="4">
        <v>0</v>
      </c>
      <c r="AH2204" s="4">
        <v>9</v>
      </c>
      <c r="AI2204" s="4">
        <v>10</v>
      </c>
      <c r="AJ2204" s="4">
        <v>0</v>
      </c>
      <c r="AK2204" s="4">
        <v>1</v>
      </c>
      <c r="AL2204" s="4">
        <v>7</v>
      </c>
      <c r="AM2204" s="4">
        <v>9</v>
      </c>
      <c r="AN2204" s="4">
        <v>0</v>
      </c>
      <c r="AO2204" s="4">
        <v>0</v>
      </c>
      <c r="AP2204" s="4">
        <v>0</v>
      </c>
      <c r="AQ2204" s="4">
        <v>1</v>
      </c>
      <c r="AR2204" s="3" t="s">
        <v>65</v>
      </c>
      <c r="AS2204" s="3" t="s">
        <v>65</v>
      </c>
      <c r="AT2204" s="3" t="s">
        <v>65</v>
      </c>
      <c r="AV2204" s="6" t="str">
        <f>HYPERLINK("http://mcgill.on.worldcat.org/oclc/906792924","Catalog Record")</f>
        <v>Catalog Record</v>
      </c>
      <c r="AW2204" s="6" t="str">
        <f>HYPERLINK("http://www.worldcat.org/oclc/906792924","WorldCat Record")</f>
        <v>WorldCat Record</v>
      </c>
      <c r="AX2204" s="3" t="s">
        <v>21568</v>
      </c>
      <c r="AY2204" s="3" t="s">
        <v>21569</v>
      </c>
      <c r="AZ2204" s="3" t="s">
        <v>21570</v>
      </c>
      <c r="BA2204" s="3" t="s">
        <v>21570</v>
      </c>
      <c r="BB2204" s="3" t="s">
        <v>21571</v>
      </c>
      <c r="BC2204" s="3" t="s">
        <v>77</v>
      </c>
      <c r="BD2204" s="3" t="s">
        <v>78</v>
      </c>
      <c r="BE2204" s="3" t="s">
        <v>21572</v>
      </c>
      <c r="BF2204" s="3" t="s">
        <v>21571</v>
      </c>
      <c r="BG2204" s="3" t="s">
        <v>21573</v>
      </c>
    </row>
    <row r="2205" spans="1:59" ht="58" x14ac:dyDescent="0.35">
      <c r="A2205" s="2" t="s">
        <v>59</v>
      </c>
      <c r="B2205" s="2" t="s">
        <v>60</v>
      </c>
      <c r="C2205" s="2" t="s">
        <v>21574</v>
      </c>
      <c r="D2205" s="2" t="s">
        <v>21575</v>
      </c>
      <c r="E2205" s="2" t="s">
        <v>21576</v>
      </c>
      <c r="G2205" s="3" t="s">
        <v>65</v>
      </c>
      <c r="I2205" s="3" t="s">
        <v>65</v>
      </c>
      <c r="J2205" s="3" t="s">
        <v>65</v>
      </c>
      <c r="K2205" s="3" t="s">
        <v>66</v>
      </c>
      <c r="L2205" s="2" t="s">
        <v>21577</v>
      </c>
      <c r="M2205" s="2" t="s">
        <v>21578</v>
      </c>
      <c r="N2205" s="3" t="s">
        <v>152</v>
      </c>
      <c r="P2205" s="3" t="s">
        <v>140</v>
      </c>
      <c r="Q2205" s="2" t="s">
        <v>21579</v>
      </c>
      <c r="R2205" s="3" t="s">
        <v>71</v>
      </c>
      <c r="S2205" s="4">
        <v>0</v>
      </c>
      <c r="T2205" s="4">
        <v>0</v>
      </c>
      <c r="W2205" s="5" t="s">
        <v>72</v>
      </c>
      <c r="X2205" s="5" t="s">
        <v>72</v>
      </c>
      <c r="Y2205" s="4">
        <v>1</v>
      </c>
      <c r="Z2205" s="4">
        <v>1</v>
      </c>
      <c r="AA2205" s="4">
        <v>1</v>
      </c>
      <c r="AB2205" s="4">
        <v>1</v>
      </c>
      <c r="AC2205" s="4">
        <v>1</v>
      </c>
      <c r="AD2205" s="4">
        <v>0</v>
      </c>
      <c r="AE2205" s="4">
        <v>0</v>
      </c>
      <c r="AF2205" s="4">
        <v>0</v>
      </c>
      <c r="AG2205" s="4">
        <v>0</v>
      </c>
      <c r="AH2205" s="4">
        <v>0</v>
      </c>
      <c r="AI2205" s="4">
        <v>0</v>
      </c>
      <c r="AJ2205" s="4">
        <v>0</v>
      </c>
      <c r="AK2205" s="4">
        <v>0</v>
      </c>
      <c r="AL2205" s="4">
        <v>0</v>
      </c>
      <c r="AM2205" s="4">
        <v>0</v>
      </c>
      <c r="AN2205" s="4">
        <v>0</v>
      </c>
      <c r="AO2205" s="4">
        <v>0</v>
      </c>
      <c r="AP2205" s="4">
        <v>0</v>
      </c>
      <c r="AQ2205" s="4">
        <v>0</v>
      </c>
      <c r="AR2205" s="3" t="s">
        <v>65</v>
      </c>
      <c r="AS2205" s="3" t="s">
        <v>65</v>
      </c>
      <c r="AT2205" s="3" t="s">
        <v>65</v>
      </c>
      <c r="AV2205" s="6" t="str">
        <f>HYPERLINK("http://mcgill.on.worldcat.org/oclc/864192937","Catalog Record")</f>
        <v>Catalog Record</v>
      </c>
      <c r="AW2205" s="6" t="str">
        <f>HYPERLINK("http://www.worldcat.org/oclc/864192937","WorldCat Record")</f>
        <v>WorldCat Record</v>
      </c>
      <c r="AX2205" s="3" t="s">
        <v>21580</v>
      </c>
      <c r="AY2205" s="3" t="s">
        <v>21581</v>
      </c>
      <c r="AZ2205" s="3" t="s">
        <v>21582</v>
      </c>
      <c r="BA2205" s="3" t="s">
        <v>21582</v>
      </c>
      <c r="BB2205" s="3" t="s">
        <v>21583</v>
      </c>
      <c r="BC2205" s="3" t="s">
        <v>77</v>
      </c>
      <c r="BD2205" s="3" t="s">
        <v>78</v>
      </c>
      <c r="BE2205" s="3" t="s">
        <v>21584</v>
      </c>
      <c r="BF2205" s="3" t="s">
        <v>21583</v>
      </c>
      <c r="BG2205" s="3" t="s">
        <v>21585</v>
      </c>
    </row>
    <row r="2206" spans="1:59" ht="58" x14ac:dyDescent="0.35">
      <c r="A2206" s="2" t="s">
        <v>59</v>
      </c>
      <c r="B2206" s="2" t="s">
        <v>60</v>
      </c>
      <c r="C2206" s="2" t="s">
        <v>21586</v>
      </c>
      <c r="D2206" s="2" t="s">
        <v>21587</v>
      </c>
      <c r="E2206" s="2" t="s">
        <v>21588</v>
      </c>
      <c r="G2206" s="3" t="s">
        <v>65</v>
      </c>
      <c r="I2206" s="3" t="s">
        <v>65</v>
      </c>
      <c r="J2206" s="3" t="s">
        <v>65</v>
      </c>
      <c r="K2206" s="3" t="s">
        <v>66</v>
      </c>
      <c r="L2206" s="2" t="s">
        <v>18472</v>
      </c>
      <c r="M2206" s="2" t="s">
        <v>21589</v>
      </c>
      <c r="N2206" s="3" t="s">
        <v>139</v>
      </c>
      <c r="O2206" s="2" t="s">
        <v>235</v>
      </c>
      <c r="P2206" s="3" t="s">
        <v>140</v>
      </c>
      <c r="Q2206" s="2" t="s">
        <v>21590</v>
      </c>
      <c r="R2206" s="3" t="s">
        <v>71</v>
      </c>
      <c r="S2206" s="4">
        <v>0</v>
      </c>
      <c r="T2206" s="4">
        <v>0</v>
      </c>
      <c r="W2206" s="5" t="s">
        <v>72</v>
      </c>
      <c r="X2206" s="5" t="s">
        <v>72</v>
      </c>
      <c r="Y2206" s="4">
        <v>10</v>
      </c>
      <c r="Z2206" s="4">
        <v>3</v>
      </c>
      <c r="AA2206" s="4">
        <v>3</v>
      </c>
      <c r="AB2206" s="4">
        <v>1</v>
      </c>
      <c r="AC2206" s="4">
        <v>1</v>
      </c>
      <c r="AD2206" s="4">
        <v>8</v>
      </c>
      <c r="AE2206" s="4">
        <v>14</v>
      </c>
      <c r="AF2206" s="4">
        <v>0</v>
      </c>
      <c r="AG2206" s="4">
        <v>0</v>
      </c>
      <c r="AH2206" s="4">
        <v>8</v>
      </c>
      <c r="AI2206" s="4">
        <v>14</v>
      </c>
      <c r="AJ2206" s="4">
        <v>1</v>
      </c>
      <c r="AK2206" s="4">
        <v>1</v>
      </c>
      <c r="AL2206" s="4">
        <v>7</v>
      </c>
      <c r="AM2206" s="4">
        <v>11</v>
      </c>
      <c r="AN2206" s="4">
        <v>0</v>
      </c>
      <c r="AO2206" s="4">
        <v>0</v>
      </c>
      <c r="AP2206" s="4">
        <v>1</v>
      </c>
      <c r="AQ2206" s="4">
        <v>1</v>
      </c>
      <c r="AR2206" s="3" t="s">
        <v>65</v>
      </c>
      <c r="AS2206" s="3" t="s">
        <v>65</v>
      </c>
      <c r="AT2206" s="3" t="s">
        <v>65</v>
      </c>
      <c r="AV2206" s="6" t="str">
        <f>HYPERLINK("http://mcgill.on.worldcat.org/oclc/821071522","Catalog Record")</f>
        <v>Catalog Record</v>
      </c>
      <c r="AW2206" s="6" t="str">
        <f>HYPERLINK("http://www.worldcat.org/oclc/821071522","WorldCat Record")</f>
        <v>WorldCat Record</v>
      </c>
      <c r="AX2206" s="3" t="s">
        <v>21591</v>
      </c>
      <c r="AY2206" s="3" t="s">
        <v>21592</v>
      </c>
      <c r="AZ2206" s="3" t="s">
        <v>21593</v>
      </c>
      <c r="BA2206" s="3" t="s">
        <v>21593</v>
      </c>
      <c r="BB2206" s="3" t="s">
        <v>21594</v>
      </c>
      <c r="BC2206" s="3" t="s">
        <v>77</v>
      </c>
      <c r="BD2206" s="3" t="s">
        <v>78</v>
      </c>
      <c r="BE2206" s="3" t="s">
        <v>21595</v>
      </c>
      <c r="BF2206" s="3" t="s">
        <v>21594</v>
      </c>
      <c r="BG2206" s="3" t="s">
        <v>21596</v>
      </c>
    </row>
    <row r="2207" spans="1:59" ht="58" x14ac:dyDescent="0.35">
      <c r="A2207" s="2" t="s">
        <v>59</v>
      </c>
      <c r="B2207" s="2" t="s">
        <v>60</v>
      </c>
      <c r="C2207" s="2" t="s">
        <v>21597</v>
      </c>
      <c r="D2207" s="2" t="s">
        <v>21598</v>
      </c>
      <c r="E2207" s="2" t="s">
        <v>21599</v>
      </c>
      <c r="G2207" s="3" t="s">
        <v>65</v>
      </c>
      <c r="I2207" s="3" t="s">
        <v>65</v>
      </c>
      <c r="J2207" s="3" t="s">
        <v>65</v>
      </c>
      <c r="K2207" s="3" t="s">
        <v>66</v>
      </c>
      <c r="L2207" s="2" t="s">
        <v>21600</v>
      </c>
      <c r="M2207" s="2" t="s">
        <v>21601</v>
      </c>
      <c r="N2207" s="3" t="s">
        <v>176</v>
      </c>
      <c r="O2207" s="2" t="s">
        <v>235</v>
      </c>
      <c r="P2207" s="3" t="s">
        <v>140</v>
      </c>
      <c r="Q2207" s="2" t="s">
        <v>21602</v>
      </c>
      <c r="R2207" s="3" t="s">
        <v>71</v>
      </c>
      <c r="S2207" s="4">
        <v>0</v>
      </c>
      <c r="T2207" s="4">
        <v>0</v>
      </c>
      <c r="W2207" s="5" t="s">
        <v>72</v>
      </c>
      <c r="X2207" s="5" t="s">
        <v>72</v>
      </c>
      <c r="Y2207" s="4">
        <v>44</v>
      </c>
      <c r="Z2207" s="4">
        <v>5</v>
      </c>
      <c r="AA2207" s="4">
        <v>5</v>
      </c>
      <c r="AB2207" s="4">
        <v>1</v>
      </c>
      <c r="AC2207" s="4">
        <v>1</v>
      </c>
      <c r="AD2207" s="4">
        <v>35</v>
      </c>
      <c r="AE2207" s="4">
        <v>35</v>
      </c>
      <c r="AF2207" s="4">
        <v>0</v>
      </c>
      <c r="AG2207" s="4">
        <v>0</v>
      </c>
      <c r="AH2207" s="4">
        <v>34</v>
      </c>
      <c r="AI2207" s="4">
        <v>34</v>
      </c>
      <c r="AJ2207" s="4">
        <v>3</v>
      </c>
      <c r="AK2207" s="4">
        <v>3</v>
      </c>
      <c r="AL2207" s="4">
        <v>27</v>
      </c>
      <c r="AM2207" s="4">
        <v>27</v>
      </c>
      <c r="AN2207" s="4">
        <v>0</v>
      </c>
      <c r="AO2207" s="4">
        <v>0</v>
      </c>
      <c r="AP2207" s="4">
        <v>3</v>
      </c>
      <c r="AQ2207" s="4">
        <v>3</v>
      </c>
      <c r="AR2207" s="3" t="s">
        <v>65</v>
      </c>
      <c r="AS2207" s="3" t="s">
        <v>65</v>
      </c>
      <c r="AT2207" s="3" t="s">
        <v>65</v>
      </c>
      <c r="AV2207" s="6" t="str">
        <f>HYPERLINK("http://mcgill.on.worldcat.org/oclc/910505599","Catalog Record")</f>
        <v>Catalog Record</v>
      </c>
      <c r="AW2207" s="6" t="str">
        <f>HYPERLINK("http://www.worldcat.org/oclc/910505599","WorldCat Record")</f>
        <v>WorldCat Record</v>
      </c>
      <c r="AX2207" s="3" t="s">
        <v>21603</v>
      </c>
      <c r="AY2207" s="3" t="s">
        <v>21604</v>
      </c>
      <c r="AZ2207" s="3" t="s">
        <v>21605</v>
      </c>
      <c r="BA2207" s="3" t="s">
        <v>21605</v>
      </c>
      <c r="BB2207" s="3" t="s">
        <v>21606</v>
      </c>
      <c r="BC2207" s="3" t="s">
        <v>77</v>
      </c>
      <c r="BD2207" s="3" t="s">
        <v>78</v>
      </c>
      <c r="BE2207" s="3" t="s">
        <v>21607</v>
      </c>
      <c r="BF2207" s="3" t="s">
        <v>21606</v>
      </c>
      <c r="BG2207" s="3" t="s">
        <v>21608</v>
      </c>
    </row>
    <row r="2208" spans="1:59" ht="58" x14ac:dyDescent="0.35">
      <c r="A2208" s="2" t="s">
        <v>59</v>
      </c>
      <c r="B2208" s="2" t="s">
        <v>60</v>
      </c>
      <c r="C2208" s="2" t="s">
        <v>21609</v>
      </c>
      <c r="D2208" s="2" t="s">
        <v>21610</v>
      </c>
      <c r="E2208" s="2" t="s">
        <v>21611</v>
      </c>
      <c r="G2208" s="3" t="s">
        <v>65</v>
      </c>
      <c r="I2208" s="3" t="s">
        <v>65</v>
      </c>
      <c r="J2208" s="3" t="s">
        <v>65</v>
      </c>
      <c r="K2208" s="3" t="s">
        <v>66</v>
      </c>
      <c r="L2208" s="2" t="s">
        <v>21612</v>
      </c>
      <c r="M2208" s="2" t="s">
        <v>21613</v>
      </c>
      <c r="N2208" s="3" t="s">
        <v>126</v>
      </c>
      <c r="P2208" s="3" t="s">
        <v>140</v>
      </c>
      <c r="R2208" s="3" t="s">
        <v>71</v>
      </c>
      <c r="S2208" s="4">
        <v>0</v>
      </c>
      <c r="T2208" s="4">
        <v>0</v>
      </c>
      <c r="W2208" s="5" t="s">
        <v>72</v>
      </c>
      <c r="X2208" s="5" t="s">
        <v>72</v>
      </c>
      <c r="Y2208" s="4">
        <v>21</v>
      </c>
      <c r="Z2208" s="4">
        <v>2</v>
      </c>
      <c r="AA2208" s="4">
        <v>2</v>
      </c>
      <c r="AB2208" s="4">
        <v>1</v>
      </c>
      <c r="AC2208" s="4">
        <v>1</v>
      </c>
      <c r="AD2208" s="4">
        <v>15</v>
      </c>
      <c r="AE2208" s="4">
        <v>15</v>
      </c>
      <c r="AF2208" s="4">
        <v>0</v>
      </c>
      <c r="AG2208" s="4">
        <v>0</v>
      </c>
      <c r="AH2208" s="4">
        <v>14</v>
      </c>
      <c r="AI2208" s="4">
        <v>14</v>
      </c>
      <c r="AJ2208" s="4">
        <v>1</v>
      </c>
      <c r="AK2208" s="4">
        <v>1</v>
      </c>
      <c r="AL2208" s="4">
        <v>10</v>
      </c>
      <c r="AM2208" s="4">
        <v>10</v>
      </c>
      <c r="AN2208" s="4">
        <v>0</v>
      </c>
      <c r="AO2208" s="4">
        <v>0</v>
      </c>
      <c r="AP2208" s="4">
        <v>1</v>
      </c>
      <c r="AQ2208" s="4">
        <v>1</v>
      </c>
      <c r="AR2208" s="3" t="s">
        <v>65</v>
      </c>
      <c r="AS2208" s="3" t="s">
        <v>65</v>
      </c>
      <c r="AT2208" s="3" t="s">
        <v>65</v>
      </c>
      <c r="AV2208" s="6" t="str">
        <f>HYPERLINK("http://mcgill.on.worldcat.org/oclc/755700846","Catalog Record")</f>
        <v>Catalog Record</v>
      </c>
      <c r="AW2208" s="6" t="str">
        <f>HYPERLINK("http://www.worldcat.org/oclc/755700846","WorldCat Record")</f>
        <v>WorldCat Record</v>
      </c>
      <c r="AX2208" s="3" t="s">
        <v>21614</v>
      </c>
      <c r="AY2208" s="3" t="s">
        <v>21615</v>
      </c>
      <c r="AZ2208" s="3" t="s">
        <v>21616</v>
      </c>
      <c r="BA2208" s="3" t="s">
        <v>21616</v>
      </c>
      <c r="BB2208" s="3" t="s">
        <v>21617</v>
      </c>
      <c r="BC2208" s="3" t="s">
        <v>77</v>
      </c>
      <c r="BD2208" s="3" t="s">
        <v>78</v>
      </c>
      <c r="BE2208" s="3" t="s">
        <v>21618</v>
      </c>
      <c r="BF2208" s="3" t="s">
        <v>21617</v>
      </c>
      <c r="BG2208" s="3" t="s">
        <v>21619</v>
      </c>
    </row>
    <row r="2209" spans="1:59" ht="58" x14ac:dyDescent="0.35">
      <c r="A2209" s="2" t="s">
        <v>59</v>
      </c>
      <c r="B2209" s="2" t="s">
        <v>60</v>
      </c>
      <c r="C2209" s="2" t="s">
        <v>21620</v>
      </c>
      <c r="D2209" s="2" t="s">
        <v>21621</v>
      </c>
      <c r="E2209" s="2" t="s">
        <v>21622</v>
      </c>
      <c r="G2209" s="3" t="s">
        <v>65</v>
      </c>
      <c r="I2209" s="3" t="s">
        <v>65</v>
      </c>
      <c r="J2209" s="3" t="s">
        <v>65</v>
      </c>
      <c r="K2209" s="3" t="s">
        <v>66</v>
      </c>
      <c r="L2209" s="2" t="s">
        <v>21623</v>
      </c>
      <c r="M2209" s="2" t="s">
        <v>21624</v>
      </c>
      <c r="N2209" s="3" t="s">
        <v>176</v>
      </c>
      <c r="P2209" s="3" t="s">
        <v>140</v>
      </c>
      <c r="Q2209" s="2" t="s">
        <v>21625</v>
      </c>
      <c r="R2209" s="3" t="s">
        <v>71</v>
      </c>
      <c r="S2209" s="4">
        <v>0</v>
      </c>
      <c r="T2209" s="4">
        <v>0</v>
      </c>
      <c r="W2209" s="5" t="s">
        <v>72</v>
      </c>
      <c r="X2209" s="5" t="s">
        <v>72</v>
      </c>
      <c r="Y2209" s="4">
        <v>30</v>
      </c>
      <c r="Z2209" s="4">
        <v>4</v>
      </c>
      <c r="AA2209" s="4">
        <v>4</v>
      </c>
      <c r="AB2209" s="4">
        <v>1</v>
      </c>
      <c r="AC2209" s="4">
        <v>1</v>
      </c>
      <c r="AD2209" s="4">
        <v>21</v>
      </c>
      <c r="AE2209" s="4">
        <v>21</v>
      </c>
      <c r="AF2209" s="4">
        <v>0</v>
      </c>
      <c r="AG2209" s="4">
        <v>0</v>
      </c>
      <c r="AH2209" s="4">
        <v>20</v>
      </c>
      <c r="AI2209" s="4">
        <v>20</v>
      </c>
      <c r="AJ2209" s="4">
        <v>2</v>
      </c>
      <c r="AK2209" s="4">
        <v>2</v>
      </c>
      <c r="AL2209" s="4">
        <v>14</v>
      </c>
      <c r="AM2209" s="4">
        <v>14</v>
      </c>
      <c r="AN2209" s="4">
        <v>0</v>
      </c>
      <c r="AO2209" s="4">
        <v>0</v>
      </c>
      <c r="AP2209" s="4">
        <v>2</v>
      </c>
      <c r="AQ2209" s="4">
        <v>2</v>
      </c>
      <c r="AR2209" s="3" t="s">
        <v>65</v>
      </c>
      <c r="AS2209" s="3" t="s">
        <v>65</v>
      </c>
      <c r="AT2209" s="3" t="s">
        <v>65</v>
      </c>
      <c r="AV2209" s="6" t="str">
        <f>HYPERLINK("http://mcgill.on.worldcat.org/oclc/910913420","Catalog Record")</f>
        <v>Catalog Record</v>
      </c>
      <c r="AW2209" s="6" t="str">
        <f>HYPERLINK("http://www.worldcat.org/oclc/910913420","WorldCat Record")</f>
        <v>WorldCat Record</v>
      </c>
      <c r="AX2209" s="3" t="s">
        <v>21626</v>
      </c>
      <c r="AY2209" s="3" t="s">
        <v>21627</v>
      </c>
      <c r="AZ2209" s="3" t="s">
        <v>21628</v>
      </c>
      <c r="BA2209" s="3" t="s">
        <v>21628</v>
      </c>
      <c r="BB2209" s="3" t="s">
        <v>21629</v>
      </c>
      <c r="BC2209" s="3" t="s">
        <v>77</v>
      </c>
      <c r="BD2209" s="3" t="s">
        <v>78</v>
      </c>
      <c r="BE2209" s="3" t="s">
        <v>21630</v>
      </c>
      <c r="BF2209" s="3" t="s">
        <v>21629</v>
      </c>
      <c r="BG2209" s="3" t="s">
        <v>21631</v>
      </c>
    </row>
    <row r="2210" spans="1:59" ht="58" x14ac:dyDescent="0.35">
      <c r="A2210" s="2" t="s">
        <v>59</v>
      </c>
      <c r="B2210" s="2" t="s">
        <v>60</v>
      </c>
      <c r="C2210" s="2" t="s">
        <v>21632</v>
      </c>
      <c r="D2210" s="2" t="s">
        <v>21633</v>
      </c>
      <c r="E2210" s="2" t="s">
        <v>21634</v>
      </c>
      <c r="G2210" s="3" t="s">
        <v>65</v>
      </c>
      <c r="I2210" s="3" t="s">
        <v>65</v>
      </c>
      <c r="J2210" s="3" t="s">
        <v>65</v>
      </c>
      <c r="K2210" s="3" t="s">
        <v>66</v>
      </c>
      <c r="L2210" s="2" t="s">
        <v>21635</v>
      </c>
      <c r="M2210" s="2" t="s">
        <v>21636</v>
      </c>
      <c r="N2210" s="3" t="s">
        <v>176</v>
      </c>
      <c r="P2210" s="3" t="s">
        <v>140</v>
      </c>
      <c r="Q2210" s="2" t="s">
        <v>21637</v>
      </c>
      <c r="R2210" s="3" t="s">
        <v>71</v>
      </c>
      <c r="S2210" s="4">
        <v>0</v>
      </c>
      <c r="T2210" s="4">
        <v>0</v>
      </c>
      <c r="W2210" s="5" t="s">
        <v>72</v>
      </c>
      <c r="X2210" s="5" t="s">
        <v>72</v>
      </c>
      <c r="Y2210" s="4">
        <v>26</v>
      </c>
      <c r="Z2210" s="4">
        <v>1</v>
      </c>
      <c r="AA2210" s="4">
        <v>2</v>
      </c>
      <c r="AB2210" s="4">
        <v>1</v>
      </c>
      <c r="AC2210" s="4">
        <v>2</v>
      </c>
      <c r="AD2210" s="4">
        <v>19</v>
      </c>
      <c r="AE2210" s="4">
        <v>19</v>
      </c>
      <c r="AF2210" s="4">
        <v>0</v>
      </c>
      <c r="AG2210" s="4">
        <v>0</v>
      </c>
      <c r="AH2210" s="4">
        <v>18</v>
      </c>
      <c r="AI2210" s="4">
        <v>18</v>
      </c>
      <c r="AJ2210" s="4">
        <v>0</v>
      </c>
      <c r="AK2210" s="4">
        <v>0</v>
      </c>
      <c r="AL2210" s="4">
        <v>16</v>
      </c>
      <c r="AM2210" s="4">
        <v>16</v>
      </c>
      <c r="AN2210" s="4">
        <v>0</v>
      </c>
      <c r="AO2210" s="4">
        <v>0</v>
      </c>
      <c r="AP2210" s="4">
        <v>0</v>
      </c>
      <c r="AQ2210" s="4">
        <v>0</v>
      </c>
      <c r="AR2210" s="3" t="s">
        <v>65</v>
      </c>
      <c r="AS2210" s="3" t="s">
        <v>65</v>
      </c>
      <c r="AT2210" s="3" t="s">
        <v>65</v>
      </c>
      <c r="AV2210" s="6" t="str">
        <f>HYPERLINK("http://mcgill.on.worldcat.org/oclc/976020617","Catalog Record")</f>
        <v>Catalog Record</v>
      </c>
      <c r="AW2210" s="6" t="str">
        <f>HYPERLINK("http://www.worldcat.org/oclc/976020617","WorldCat Record")</f>
        <v>WorldCat Record</v>
      </c>
      <c r="AX2210" s="3" t="s">
        <v>21638</v>
      </c>
      <c r="AY2210" s="3" t="s">
        <v>21639</v>
      </c>
      <c r="AZ2210" s="3" t="s">
        <v>21640</v>
      </c>
      <c r="BA2210" s="3" t="s">
        <v>21640</v>
      </c>
      <c r="BB2210" s="3" t="s">
        <v>21641</v>
      </c>
      <c r="BC2210" s="3" t="s">
        <v>77</v>
      </c>
      <c r="BD2210" s="3" t="s">
        <v>78</v>
      </c>
      <c r="BE2210" s="3" t="s">
        <v>21642</v>
      </c>
      <c r="BF2210" s="3" t="s">
        <v>21641</v>
      </c>
      <c r="BG2210" s="3" t="s">
        <v>21643</v>
      </c>
    </row>
    <row r="2211" spans="1:59" ht="58" x14ac:dyDescent="0.35">
      <c r="A2211" s="2" t="s">
        <v>59</v>
      </c>
      <c r="B2211" s="2" t="s">
        <v>60</v>
      </c>
      <c r="C2211" s="2" t="s">
        <v>21644</v>
      </c>
      <c r="D2211" s="2" t="s">
        <v>21645</v>
      </c>
      <c r="E2211" s="2" t="s">
        <v>21646</v>
      </c>
      <c r="G2211" s="3" t="s">
        <v>65</v>
      </c>
      <c r="I2211" s="3" t="s">
        <v>65</v>
      </c>
      <c r="J2211" s="3" t="s">
        <v>65</v>
      </c>
      <c r="K2211" s="3" t="s">
        <v>66</v>
      </c>
      <c r="L2211" s="2" t="s">
        <v>21647</v>
      </c>
      <c r="M2211" s="2" t="s">
        <v>9789</v>
      </c>
      <c r="N2211" s="3" t="s">
        <v>139</v>
      </c>
      <c r="P2211" s="3" t="s">
        <v>140</v>
      </c>
      <c r="Q2211" s="2" t="s">
        <v>21648</v>
      </c>
      <c r="R2211" s="3" t="s">
        <v>71</v>
      </c>
      <c r="S2211" s="4">
        <v>0</v>
      </c>
      <c r="T2211" s="4">
        <v>0</v>
      </c>
      <c r="W2211" s="5" t="s">
        <v>72</v>
      </c>
      <c r="X2211" s="5" t="s">
        <v>72</v>
      </c>
      <c r="Y2211" s="4">
        <v>19</v>
      </c>
      <c r="Z2211" s="4">
        <v>1</v>
      </c>
      <c r="AA2211" s="4">
        <v>4</v>
      </c>
      <c r="AB2211" s="4">
        <v>1</v>
      </c>
      <c r="AC2211" s="4">
        <v>1</v>
      </c>
      <c r="AD2211" s="4">
        <v>4</v>
      </c>
      <c r="AE2211" s="4">
        <v>43</v>
      </c>
      <c r="AF2211" s="4">
        <v>0</v>
      </c>
      <c r="AG2211" s="4">
        <v>0</v>
      </c>
      <c r="AH2211" s="4">
        <v>4</v>
      </c>
      <c r="AI2211" s="4">
        <v>42</v>
      </c>
      <c r="AJ2211" s="4">
        <v>0</v>
      </c>
      <c r="AK2211" s="4">
        <v>2</v>
      </c>
      <c r="AL2211" s="4">
        <v>3</v>
      </c>
      <c r="AM2211" s="4">
        <v>33</v>
      </c>
      <c r="AN2211" s="4">
        <v>0</v>
      </c>
      <c r="AO2211" s="4">
        <v>0</v>
      </c>
      <c r="AP2211" s="4">
        <v>0</v>
      </c>
      <c r="AQ2211" s="4">
        <v>2</v>
      </c>
      <c r="AR2211" s="3" t="s">
        <v>65</v>
      </c>
      <c r="AS2211" s="3" t="s">
        <v>65</v>
      </c>
      <c r="AT2211" s="3" t="s">
        <v>65</v>
      </c>
      <c r="AV2211" s="6" t="str">
        <f>HYPERLINK("http://mcgill.on.worldcat.org/oclc/798550104","Catalog Record")</f>
        <v>Catalog Record</v>
      </c>
      <c r="AW2211" s="6" t="str">
        <f>HYPERLINK("http://www.worldcat.org/oclc/798550104","WorldCat Record")</f>
        <v>WorldCat Record</v>
      </c>
      <c r="AX2211" s="3" t="s">
        <v>21649</v>
      </c>
      <c r="AY2211" s="3" t="s">
        <v>21650</v>
      </c>
      <c r="AZ2211" s="3" t="s">
        <v>21651</v>
      </c>
      <c r="BA2211" s="3" t="s">
        <v>21651</v>
      </c>
      <c r="BB2211" s="3" t="s">
        <v>21652</v>
      </c>
      <c r="BC2211" s="3" t="s">
        <v>77</v>
      </c>
      <c r="BD2211" s="3" t="s">
        <v>78</v>
      </c>
      <c r="BE2211" s="3" t="s">
        <v>21653</v>
      </c>
      <c r="BF2211" s="3" t="s">
        <v>21652</v>
      </c>
      <c r="BG2211" s="3" t="s">
        <v>21654</v>
      </c>
    </row>
    <row r="2212" spans="1:59" ht="58" x14ac:dyDescent="0.35">
      <c r="A2212" s="2" t="s">
        <v>59</v>
      </c>
      <c r="B2212" s="2" t="s">
        <v>60</v>
      </c>
      <c r="C2212" s="2" t="s">
        <v>21655</v>
      </c>
      <c r="D2212" s="2" t="s">
        <v>21656</v>
      </c>
      <c r="E2212" s="2" t="s">
        <v>21657</v>
      </c>
      <c r="G2212" s="3" t="s">
        <v>65</v>
      </c>
      <c r="I2212" s="3" t="s">
        <v>65</v>
      </c>
      <c r="J2212" s="3" t="s">
        <v>65</v>
      </c>
      <c r="K2212" s="3" t="s">
        <v>66</v>
      </c>
      <c r="L2212" s="2" t="s">
        <v>21658</v>
      </c>
      <c r="M2212" s="2" t="s">
        <v>21659</v>
      </c>
      <c r="N2212" s="3" t="s">
        <v>126</v>
      </c>
      <c r="P2212" s="3" t="s">
        <v>140</v>
      </c>
      <c r="Q2212" s="2" t="s">
        <v>21660</v>
      </c>
      <c r="R2212" s="3" t="s">
        <v>71</v>
      </c>
      <c r="S2212" s="4">
        <v>0</v>
      </c>
      <c r="T2212" s="4">
        <v>0</v>
      </c>
      <c r="W2212" s="5" t="s">
        <v>72</v>
      </c>
      <c r="X2212" s="5" t="s">
        <v>72</v>
      </c>
      <c r="Y2212" s="4">
        <v>44</v>
      </c>
      <c r="Z2212" s="4">
        <v>4</v>
      </c>
      <c r="AA2212" s="4">
        <v>4</v>
      </c>
      <c r="AB2212" s="4">
        <v>1</v>
      </c>
      <c r="AC2212" s="4">
        <v>1</v>
      </c>
      <c r="AD2212" s="4">
        <v>30</v>
      </c>
      <c r="AE2212" s="4">
        <v>30</v>
      </c>
      <c r="AF2212" s="4">
        <v>0</v>
      </c>
      <c r="AG2212" s="4">
        <v>0</v>
      </c>
      <c r="AH2212" s="4">
        <v>29</v>
      </c>
      <c r="AI2212" s="4">
        <v>29</v>
      </c>
      <c r="AJ2212" s="4">
        <v>2</v>
      </c>
      <c r="AK2212" s="4">
        <v>2</v>
      </c>
      <c r="AL2212" s="4">
        <v>21</v>
      </c>
      <c r="AM2212" s="4">
        <v>21</v>
      </c>
      <c r="AN2212" s="4">
        <v>0</v>
      </c>
      <c r="AO2212" s="4">
        <v>0</v>
      </c>
      <c r="AP2212" s="4">
        <v>2</v>
      </c>
      <c r="AQ2212" s="4">
        <v>2</v>
      </c>
      <c r="AR2212" s="3" t="s">
        <v>65</v>
      </c>
      <c r="AS2212" s="3" t="s">
        <v>65</v>
      </c>
      <c r="AT2212" s="3" t="s">
        <v>65</v>
      </c>
      <c r="AV2212" s="6" t="str">
        <f>HYPERLINK("http://mcgill.on.worldcat.org/oclc/744284165","Catalog Record")</f>
        <v>Catalog Record</v>
      </c>
      <c r="AW2212" s="6" t="str">
        <f>HYPERLINK("http://www.worldcat.org/oclc/744284165","WorldCat Record")</f>
        <v>WorldCat Record</v>
      </c>
      <c r="AX2212" s="3" t="s">
        <v>21661</v>
      </c>
      <c r="AY2212" s="3" t="s">
        <v>21662</v>
      </c>
      <c r="AZ2212" s="3" t="s">
        <v>21663</v>
      </c>
      <c r="BA2212" s="3" t="s">
        <v>21663</v>
      </c>
      <c r="BB2212" s="3" t="s">
        <v>21664</v>
      </c>
      <c r="BC2212" s="3" t="s">
        <v>77</v>
      </c>
      <c r="BD2212" s="3" t="s">
        <v>78</v>
      </c>
      <c r="BE2212" s="3" t="s">
        <v>21665</v>
      </c>
      <c r="BF2212" s="3" t="s">
        <v>21664</v>
      </c>
      <c r="BG2212" s="3" t="s">
        <v>21666</v>
      </c>
    </row>
    <row r="2213" spans="1:59" ht="58" x14ac:dyDescent="0.35">
      <c r="A2213" s="2" t="s">
        <v>59</v>
      </c>
      <c r="B2213" s="2" t="s">
        <v>60</v>
      </c>
      <c r="C2213" s="2" t="s">
        <v>21667</v>
      </c>
      <c r="D2213" s="2" t="s">
        <v>21668</v>
      </c>
      <c r="E2213" s="2" t="s">
        <v>21669</v>
      </c>
      <c r="G2213" s="3" t="s">
        <v>65</v>
      </c>
      <c r="I2213" s="3" t="s">
        <v>65</v>
      </c>
      <c r="J2213" s="3" t="s">
        <v>65</v>
      </c>
      <c r="K2213" s="3" t="s">
        <v>66</v>
      </c>
      <c r="M2213" s="2" t="s">
        <v>21670</v>
      </c>
      <c r="N2213" s="3" t="s">
        <v>176</v>
      </c>
      <c r="P2213" s="3" t="s">
        <v>140</v>
      </c>
      <c r="R2213" s="3" t="s">
        <v>71</v>
      </c>
      <c r="S2213" s="4">
        <v>1</v>
      </c>
      <c r="T2213" s="4">
        <v>1</v>
      </c>
      <c r="U2213" s="5" t="s">
        <v>21671</v>
      </c>
      <c r="V2213" s="5" t="s">
        <v>21671</v>
      </c>
      <c r="W2213" s="5" t="s">
        <v>72</v>
      </c>
      <c r="X2213" s="5" t="s">
        <v>72</v>
      </c>
      <c r="Y2213" s="4">
        <v>34</v>
      </c>
      <c r="Z2213" s="4">
        <v>4</v>
      </c>
      <c r="AA2213" s="4">
        <v>4</v>
      </c>
      <c r="AB2213" s="4">
        <v>1</v>
      </c>
      <c r="AC2213" s="4">
        <v>1</v>
      </c>
      <c r="AD2213" s="4">
        <v>29</v>
      </c>
      <c r="AE2213" s="4">
        <v>29</v>
      </c>
      <c r="AF2213" s="4">
        <v>0</v>
      </c>
      <c r="AG2213" s="4">
        <v>0</v>
      </c>
      <c r="AH2213" s="4">
        <v>28</v>
      </c>
      <c r="AI2213" s="4">
        <v>28</v>
      </c>
      <c r="AJ2213" s="4">
        <v>2</v>
      </c>
      <c r="AK2213" s="4">
        <v>2</v>
      </c>
      <c r="AL2213" s="4">
        <v>22</v>
      </c>
      <c r="AM2213" s="4">
        <v>22</v>
      </c>
      <c r="AN2213" s="4">
        <v>0</v>
      </c>
      <c r="AO2213" s="4">
        <v>0</v>
      </c>
      <c r="AP2213" s="4">
        <v>2</v>
      </c>
      <c r="AQ2213" s="4">
        <v>2</v>
      </c>
      <c r="AR2213" s="3" t="s">
        <v>65</v>
      </c>
      <c r="AS2213" s="3" t="s">
        <v>65</v>
      </c>
      <c r="AT2213" s="3" t="s">
        <v>65</v>
      </c>
      <c r="AV2213" s="6" t="str">
        <f>HYPERLINK("http://mcgill.on.worldcat.org/oclc/913745134","Catalog Record")</f>
        <v>Catalog Record</v>
      </c>
      <c r="AW2213" s="6" t="str">
        <f>HYPERLINK("http://www.worldcat.org/oclc/913745134","WorldCat Record")</f>
        <v>WorldCat Record</v>
      </c>
      <c r="AX2213" s="3" t="s">
        <v>21672</v>
      </c>
      <c r="AY2213" s="3" t="s">
        <v>21673</v>
      </c>
      <c r="AZ2213" s="3" t="s">
        <v>21674</v>
      </c>
      <c r="BA2213" s="3" t="s">
        <v>21674</v>
      </c>
      <c r="BB2213" s="3" t="s">
        <v>21675</v>
      </c>
      <c r="BC2213" s="3" t="s">
        <v>77</v>
      </c>
      <c r="BD2213" s="3" t="s">
        <v>78</v>
      </c>
      <c r="BE2213" s="3" t="s">
        <v>21676</v>
      </c>
      <c r="BF2213" s="3" t="s">
        <v>21675</v>
      </c>
      <c r="BG2213" s="3" t="s">
        <v>21677</v>
      </c>
    </row>
    <row r="2214" spans="1:59" ht="58" x14ac:dyDescent="0.35">
      <c r="A2214" s="2" t="s">
        <v>59</v>
      </c>
      <c r="B2214" s="2" t="s">
        <v>60</v>
      </c>
      <c r="C2214" s="2" t="s">
        <v>21678</v>
      </c>
      <c r="D2214" s="2" t="s">
        <v>21679</v>
      </c>
      <c r="E2214" s="2" t="s">
        <v>21680</v>
      </c>
      <c r="G2214" s="3" t="s">
        <v>65</v>
      </c>
      <c r="I2214" s="3" t="s">
        <v>65</v>
      </c>
      <c r="J2214" s="3" t="s">
        <v>65</v>
      </c>
      <c r="K2214" s="3" t="s">
        <v>66</v>
      </c>
      <c r="L2214" s="2" t="s">
        <v>21681</v>
      </c>
      <c r="M2214" s="2" t="s">
        <v>21682</v>
      </c>
      <c r="N2214" s="3" t="s">
        <v>176</v>
      </c>
      <c r="P2214" s="3" t="s">
        <v>140</v>
      </c>
      <c r="Q2214" s="2" t="s">
        <v>21683</v>
      </c>
      <c r="R2214" s="3" t="s">
        <v>71</v>
      </c>
      <c r="S2214" s="4">
        <v>0</v>
      </c>
      <c r="T2214" s="4">
        <v>0</v>
      </c>
      <c r="W2214" s="5" t="s">
        <v>72</v>
      </c>
      <c r="X2214" s="5" t="s">
        <v>72</v>
      </c>
      <c r="Y2214" s="4">
        <v>21</v>
      </c>
      <c r="Z2214" s="4">
        <v>1</v>
      </c>
      <c r="AA2214" s="4">
        <v>1</v>
      </c>
      <c r="AB2214" s="4">
        <v>1</v>
      </c>
      <c r="AC2214" s="4">
        <v>1</v>
      </c>
      <c r="AD2214" s="4">
        <v>16</v>
      </c>
      <c r="AE2214" s="4">
        <v>16</v>
      </c>
      <c r="AF2214" s="4">
        <v>0</v>
      </c>
      <c r="AG2214" s="4">
        <v>0</v>
      </c>
      <c r="AH2214" s="4">
        <v>15</v>
      </c>
      <c r="AI2214" s="4">
        <v>15</v>
      </c>
      <c r="AJ2214" s="4">
        <v>0</v>
      </c>
      <c r="AK2214" s="4">
        <v>0</v>
      </c>
      <c r="AL2214" s="4">
        <v>12</v>
      </c>
      <c r="AM2214" s="4">
        <v>12</v>
      </c>
      <c r="AN2214" s="4">
        <v>0</v>
      </c>
      <c r="AO2214" s="4">
        <v>0</v>
      </c>
      <c r="AP2214" s="4">
        <v>0</v>
      </c>
      <c r="AQ2214" s="4">
        <v>0</v>
      </c>
      <c r="AR2214" s="3" t="s">
        <v>65</v>
      </c>
      <c r="AS2214" s="3" t="s">
        <v>65</v>
      </c>
      <c r="AT2214" s="3" t="s">
        <v>65</v>
      </c>
      <c r="AV2214" s="6" t="str">
        <f>HYPERLINK("http://mcgill.on.worldcat.org/oclc/907295590","Catalog Record")</f>
        <v>Catalog Record</v>
      </c>
      <c r="AW2214" s="6" t="str">
        <f>HYPERLINK("http://www.worldcat.org/oclc/907295590","WorldCat Record")</f>
        <v>WorldCat Record</v>
      </c>
      <c r="AX2214" s="3" t="s">
        <v>21684</v>
      </c>
      <c r="AY2214" s="3" t="s">
        <v>21685</v>
      </c>
      <c r="AZ2214" s="3" t="s">
        <v>21686</v>
      </c>
      <c r="BA2214" s="3" t="s">
        <v>21686</v>
      </c>
      <c r="BB2214" s="3" t="s">
        <v>21687</v>
      </c>
      <c r="BC2214" s="3" t="s">
        <v>77</v>
      </c>
      <c r="BD2214" s="3" t="s">
        <v>78</v>
      </c>
      <c r="BE2214" s="3" t="s">
        <v>21688</v>
      </c>
      <c r="BF2214" s="3" t="s">
        <v>21687</v>
      </c>
      <c r="BG2214" s="3" t="s">
        <v>21689</v>
      </c>
    </row>
    <row r="2215" spans="1:59" ht="72.5" x14ac:dyDescent="0.35">
      <c r="A2215" s="2" t="s">
        <v>59</v>
      </c>
      <c r="B2215" s="2" t="s">
        <v>60</v>
      </c>
      <c r="C2215" s="2" t="s">
        <v>21690</v>
      </c>
      <c r="D2215" s="2" t="s">
        <v>21691</v>
      </c>
      <c r="E2215" s="2" t="s">
        <v>21692</v>
      </c>
      <c r="G2215" s="3" t="s">
        <v>65</v>
      </c>
      <c r="I2215" s="3" t="s">
        <v>65</v>
      </c>
      <c r="J2215" s="3" t="s">
        <v>65</v>
      </c>
      <c r="K2215" s="3" t="s">
        <v>66</v>
      </c>
      <c r="M2215" s="2" t="s">
        <v>21693</v>
      </c>
      <c r="N2215" s="3" t="s">
        <v>139</v>
      </c>
      <c r="P2215" s="3" t="s">
        <v>140</v>
      </c>
      <c r="Q2215" s="2" t="s">
        <v>21694</v>
      </c>
      <c r="R2215" s="3" t="s">
        <v>71</v>
      </c>
      <c r="S2215" s="4">
        <v>0</v>
      </c>
      <c r="T2215" s="4">
        <v>0</v>
      </c>
      <c r="W2215" s="5" t="s">
        <v>72</v>
      </c>
      <c r="X2215" s="5" t="s">
        <v>72</v>
      </c>
      <c r="Y2215" s="4">
        <v>34</v>
      </c>
      <c r="Z2215" s="4">
        <v>3</v>
      </c>
      <c r="AA2215" s="4">
        <v>3</v>
      </c>
      <c r="AB2215" s="4">
        <v>1</v>
      </c>
      <c r="AC2215" s="4">
        <v>1</v>
      </c>
      <c r="AD2215" s="4">
        <v>23</v>
      </c>
      <c r="AE2215" s="4">
        <v>23</v>
      </c>
      <c r="AF2215" s="4">
        <v>0</v>
      </c>
      <c r="AG2215" s="4">
        <v>0</v>
      </c>
      <c r="AH2215" s="4">
        <v>22</v>
      </c>
      <c r="AI2215" s="4">
        <v>22</v>
      </c>
      <c r="AJ2215" s="4">
        <v>1</v>
      </c>
      <c r="AK2215" s="4">
        <v>1</v>
      </c>
      <c r="AL2215" s="4">
        <v>18</v>
      </c>
      <c r="AM2215" s="4">
        <v>18</v>
      </c>
      <c r="AN2215" s="4">
        <v>0</v>
      </c>
      <c r="AO2215" s="4">
        <v>0</v>
      </c>
      <c r="AP2215" s="4">
        <v>1</v>
      </c>
      <c r="AQ2215" s="4">
        <v>1</v>
      </c>
      <c r="AR2215" s="3" t="s">
        <v>65</v>
      </c>
      <c r="AS2215" s="3" t="s">
        <v>65</v>
      </c>
      <c r="AT2215" s="3" t="s">
        <v>65</v>
      </c>
      <c r="AV2215" s="6" t="str">
        <f>HYPERLINK("http://mcgill.on.worldcat.org/oclc/794703671","Catalog Record")</f>
        <v>Catalog Record</v>
      </c>
      <c r="AW2215" s="6" t="str">
        <f>HYPERLINK("http://www.worldcat.org/oclc/794703671","WorldCat Record")</f>
        <v>WorldCat Record</v>
      </c>
      <c r="AX2215" s="3" t="s">
        <v>21695</v>
      </c>
      <c r="AY2215" s="3" t="s">
        <v>21696</v>
      </c>
      <c r="AZ2215" s="3" t="s">
        <v>21697</v>
      </c>
      <c r="BA2215" s="3" t="s">
        <v>21697</v>
      </c>
      <c r="BB2215" s="3" t="s">
        <v>21698</v>
      </c>
      <c r="BC2215" s="3" t="s">
        <v>77</v>
      </c>
      <c r="BD2215" s="3" t="s">
        <v>78</v>
      </c>
      <c r="BE2215" s="3" t="s">
        <v>21699</v>
      </c>
      <c r="BF2215" s="3" t="s">
        <v>21698</v>
      </c>
      <c r="BG2215" s="3" t="s">
        <v>21700</v>
      </c>
    </row>
    <row r="2216" spans="1:59" ht="58" x14ac:dyDescent="0.35">
      <c r="A2216" s="2" t="s">
        <v>59</v>
      </c>
      <c r="B2216" s="2" t="s">
        <v>60</v>
      </c>
      <c r="C2216" s="2" t="s">
        <v>21701</v>
      </c>
      <c r="D2216" s="2" t="s">
        <v>21702</v>
      </c>
      <c r="E2216" s="2" t="s">
        <v>21703</v>
      </c>
      <c r="G2216" s="3" t="s">
        <v>65</v>
      </c>
      <c r="I2216" s="3" t="s">
        <v>65</v>
      </c>
      <c r="J2216" s="3" t="s">
        <v>65</v>
      </c>
      <c r="K2216" s="3" t="s">
        <v>66</v>
      </c>
      <c r="M2216" s="2" t="s">
        <v>21704</v>
      </c>
      <c r="N2216" s="3" t="s">
        <v>176</v>
      </c>
      <c r="P2216" s="3" t="s">
        <v>140</v>
      </c>
      <c r="R2216" s="3" t="s">
        <v>71</v>
      </c>
      <c r="S2216" s="4">
        <v>0</v>
      </c>
      <c r="T2216" s="4">
        <v>0</v>
      </c>
      <c r="W2216" s="5" t="s">
        <v>72</v>
      </c>
      <c r="X2216" s="5" t="s">
        <v>72</v>
      </c>
      <c r="Y2216" s="4">
        <v>33</v>
      </c>
      <c r="Z2216" s="4">
        <v>1</v>
      </c>
      <c r="AA2216" s="4">
        <v>3</v>
      </c>
      <c r="AB2216" s="4">
        <v>1</v>
      </c>
      <c r="AC2216" s="4">
        <v>1</v>
      </c>
      <c r="AD2216" s="4">
        <v>24</v>
      </c>
      <c r="AE2216" s="4">
        <v>25</v>
      </c>
      <c r="AF2216" s="4">
        <v>0</v>
      </c>
      <c r="AG2216" s="4">
        <v>0</v>
      </c>
      <c r="AH2216" s="4">
        <v>23</v>
      </c>
      <c r="AI2216" s="4">
        <v>24</v>
      </c>
      <c r="AJ2216" s="4">
        <v>0</v>
      </c>
      <c r="AK2216" s="4">
        <v>1</v>
      </c>
      <c r="AL2216" s="4">
        <v>20</v>
      </c>
      <c r="AM2216" s="4">
        <v>21</v>
      </c>
      <c r="AN2216" s="4">
        <v>0</v>
      </c>
      <c r="AO2216" s="4">
        <v>0</v>
      </c>
      <c r="AP2216" s="4">
        <v>0</v>
      </c>
      <c r="AQ2216" s="4">
        <v>1</v>
      </c>
      <c r="AR2216" s="3" t="s">
        <v>65</v>
      </c>
      <c r="AS2216" s="3" t="s">
        <v>65</v>
      </c>
      <c r="AT2216" s="3" t="s">
        <v>65</v>
      </c>
      <c r="AV2216" s="6" t="str">
        <f>HYPERLINK("http://mcgill.on.worldcat.org/oclc/914471065","Catalog Record")</f>
        <v>Catalog Record</v>
      </c>
      <c r="AW2216" s="6" t="str">
        <f>HYPERLINK("http://www.worldcat.org/oclc/914471065","WorldCat Record")</f>
        <v>WorldCat Record</v>
      </c>
      <c r="AX2216" s="3" t="s">
        <v>21705</v>
      </c>
      <c r="AY2216" s="3" t="s">
        <v>21706</v>
      </c>
      <c r="AZ2216" s="3" t="s">
        <v>21707</v>
      </c>
      <c r="BA2216" s="3" t="s">
        <v>21707</v>
      </c>
      <c r="BB2216" s="3" t="s">
        <v>21708</v>
      </c>
      <c r="BC2216" s="3" t="s">
        <v>77</v>
      </c>
      <c r="BD2216" s="3" t="s">
        <v>78</v>
      </c>
      <c r="BE2216" s="3" t="s">
        <v>21709</v>
      </c>
      <c r="BF2216" s="3" t="s">
        <v>21708</v>
      </c>
      <c r="BG2216" s="3" t="s">
        <v>21710</v>
      </c>
    </row>
    <row r="2217" spans="1:59" ht="58" x14ac:dyDescent="0.35">
      <c r="A2217" s="2" t="s">
        <v>59</v>
      </c>
      <c r="B2217" s="2" t="s">
        <v>60</v>
      </c>
      <c r="C2217" s="2" t="s">
        <v>21711</v>
      </c>
      <c r="D2217" s="2" t="s">
        <v>21712</v>
      </c>
      <c r="E2217" s="2" t="s">
        <v>21713</v>
      </c>
      <c r="G2217" s="3" t="s">
        <v>65</v>
      </c>
      <c r="I2217" s="3" t="s">
        <v>65</v>
      </c>
      <c r="J2217" s="3" t="s">
        <v>65</v>
      </c>
      <c r="K2217" s="3" t="s">
        <v>66</v>
      </c>
      <c r="L2217" s="2" t="s">
        <v>21714</v>
      </c>
      <c r="M2217" s="2" t="s">
        <v>19485</v>
      </c>
      <c r="N2217" s="3" t="s">
        <v>126</v>
      </c>
      <c r="O2217" s="2" t="s">
        <v>339</v>
      </c>
      <c r="P2217" s="3" t="s">
        <v>140</v>
      </c>
      <c r="Q2217" s="2" t="s">
        <v>19486</v>
      </c>
      <c r="R2217" s="3" t="s">
        <v>71</v>
      </c>
      <c r="S2217" s="4">
        <v>0</v>
      </c>
      <c r="T2217" s="4">
        <v>0</v>
      </c>
      <c r="W2217" s="5" t="s">
        <v>72</v>
      </c>
      <c r="X2217" s="5" t="s">
        <v>72</v>
      </c>
      <c r="Y2217" s="4">
        <v>53</v>
      </c>
      <c r="Z2217" s="4">
        <v>5</v>
      </c>
      <c r="AA2217" s="4">
        <v>5</v>
      </c>
      <c r="AB2217" s="4">
        <v>1</v>
      </c>
      <c r="AC2217" s="4">
        <v>1</v>
      </c>
      <c r="AD2217" s="4">
        <v>37</v>
      </c>
      <c r="AE2217" s="4">
        <v>38</v>
      </c>
      <c r="AF2217" s="4">
        <v>0</v>
      </c>
      <c r="AG2217" s="4">
        <v>0</v>
      </c>
      <c r="AH2217" s="4">
        <v>36</v>
      </c>
      <c r="AI2217" s="4">
        <v>37</v>
      </c>
      <c r="AJ2217" s="4">
        <v>3</v>
      </c>
      <c r="AK2217" s="4">
        <v>3</v>
      </c>
      <c r="AL2217" s="4">
        <v>24</v>
      </c>
      <c r="AM2217" s="4">
        <v>25</v>
      </c>
      <c r="AN2217" s="4">
        <v>0</v>
      </c>
      <c r="AO2217" s="4">
        <v>0</v>
      </c>
      <c r="AP2217" s="4">
        <v>3</v>
      </c>
      <c r="AQ2217" s="4">
        <v>3</v>
      </c>
      <c r="AR2217" s="3" t="s">
        <v>65</v>
      </c>
      <c r="AS2217" s="3" t="s">
        <v>65</v>
      </c>
      <c r="AT2217" s="3" t="s">
        <v>65</v>
      </c>
      <c r="AV2217" s="6" t="str">
        <f>HYPERLINK("http://mcgill.on.worldcat.org/oclc/773015705","Catalog Record")</f>
        <v>Catalog Record</v>
      </c>
      <c r="AW2217" s="6" t="str">
        <f>HYPERLINK("http://www.worldcat.org/oclc/773015705","WorldCat Record")</f>
        <v>WorldCat Record</v>
      </c>
      <c r="AX2217" s="3" t="s">
        <v>21715</v>
      </c>
      <c r="AY2217" s="3" t="s">
        <v>21716</v>
      </c>
      <c r="AZ2217" s="3" t="s">
        <v>21717</v>
      </c>
      <c r="BA2217" s="3" t="s">
        <v>21717</v>
      </c>
      <c r="BB2217" s="3" t="s">
        <v>21718</v>
      </c>
      <c r="BC2217" s="3" t="s">
        <v>77</v>
      </c>
      <c r="BD2217" s="3" t="s">
        <v>78</v>
      </c>
      <c r="BE2217" s="3" t="s">
        <v>21719</v>
      </c>
      <c r="BF2217" s="3" t="s">
        <v>21718</v>
      </c>
      <c r="BG2217" s="3" t="s">
        <v>21720</v>
      </c>
    </row>
    <row r="2218" spans="1:59" ht="58" x14ac:dyDescent="0.35">
      <c r="A2218" s="2" t="s">
        <v>59</v>
      </c>
      <c r="B2218" s="2" t="s">
        <v>60</v>
      </c>
      <c r="C2218" s="2" t="s">
        <v>21721</v>
      </c>
      <c r="D2218" s="2" t="s">
        <v>21722</v>
      </c>
      <c r="E2218" s="2" t="s">
        <v>21723</v>
      </c>
      <c r="G2218" s="3" t="s">
        <v>65</v>
      </c>
      <c r="I2218" s="3" t="s">
        <v>65</v>
      </c>
      <c r="J2218" s="3" t="s">
        <v>65</v>
      </c>
      <c r="K2218" s="3" t="s">
        <v>66</v>
      </c>
      <c r="L2218" s="2" t="s">
        <v>21724</v>
      </c>
      <c r="M2218" s="2" t="s">
        <v>21725</v>
      </c>
      <c r="N2218" s="3" t="s">
        <v>139</v>
      </c>
      <c r="O2218" s="2" t="s">
        <v>365</v>
      </c>
      <c r="P2218" s="3" t="s">
        <v>140</v>
      </c>
      <c r="Q2218" s="2" t="s">
        <v>21726</v>
      </c>
      <c r="R2218" s="3" t="s">
        <v>71</v>
      </c>
      <c r="S2218" s="4">
        <v>0</v>
      </c>
      <c r="T2218" s="4">
        <v>0</v>
      </c>
      <c r="W2218" s="5" t="s">
        <v>72</v>
      </c>
      <c r="X2218" s="5" t="s">
        <v>72</v>
      </c>
      <c r="Y2218" s="4">
        <v>29</v>
      </c>
      <c r="Z2218" s="4">
        <v>4</v>
      </c>
      <c r="AA2218" s="4">
        <v>4</v>
      </c>
      <c r="AB2218" s="4">
        <v>1</v>
      </c>
      <c r="AC2218" s="4">
        <v>1</v>
      </c>
      <c r="AD2218" s="4">
        <v>22</v>
      </c>
      <c r="AE2218" s="4">
        <v>22</v>
      </c>
      <c r="AF2218" s="4">
        <v>0</v>
      </c>
      <c r="AG2218" s="4">
        <v>0</v>
      </c>
      <c r="AH2218" s="4">
        <v>21</v>
      </c>
      <c r="AI2218" s="4">
        <v>21</v>
      </c>
      <c r="AJ2218" s="4">
        <v>2</v>
      </c>
      <c r="AK2218" s="4">
        <v>2</v>
      </c>
      <c r="AL2218" s="4">
        <v>16</v>
      </c>
      <c r="AM2218" s="4">
        <v>16</v>
      </c>
      <c r="AN2218" s="4">
        <v>0</v>
      </c>
      <c r="AO2218" s="4">
        <v>0</v>
      </c>
      <c r="AP2218" s="4">
        <v>2</v>
      </c>
      <c r="AQ2218" s="4">
        <v>2</v>
      </c>
      <c r="AR2218" s="3" t="s">
        <v>65</v>
      </c>
      <c r="AS2218" s="3" t="s">
        <v>65</v>
      </c>
      <c r="AT2218" s="3" t="s">
        <v>65</v>
      </c>
      <c r="AV2218" s="6" t="str">
        <f>HYPERLINK("http://mcgill.on.worldcat.org/oclc/807031552","Catalog Record")</f>
        <v>Catalog Record</v>
      </c>
      <c r="AW2218" s="6" t="str">
        <f>HYPERLINK("http://www.worldcat.org/oclc/807031552","WorldCat Record")</f>
        <v>WorldCat Record</v>
      </c>
      <c r="AX2218" s="3" t="s">
        <v>21727</v>
      </c>
      <c r="AY2218" s="3" t="s">
        <v>21728</v>
      </c>
      <c r="AZ2218" s="3" t="s">
        <v>21729</v>
      </c>
      <c r="BA2218" s="3" t="s">
        <v>21729</v>
      </c>
      <c r="BB2218" s="3" t="s">
        <v>21730</v>
      </c>
      <c r="BC2218" s="3" t="s">
        <v>77</v>
      </c>
      <c r="BD2218" s="3" t="s">
        <v>78</v>
      </c>
      <c r="BE2218" s="3" t="s">
        <v>21731</v>
      </c>
      <c r="BF2218" s="3" t="s">
        <v>21730</v>
      </c>
      <c r="BG2218" s="3" t="s">
        <v>21732</v>
      </c>
    </row>
    <row r="2219" spans="1:59" ht="58" x14ac:dyDescent="0.35">
      <c r="A2219" s="2" t="s">
        <v>59</v>
      </c>
      <c r="B2219" s="2" t="s">
        <v>60</v>
      </c>
      <c r="C2219" s="2" t="s">
        <v>21733</v>
      </c>
      <c r="D2219" s="2" t="s">
        <v>21734</v>
      </c>
      <c r="E2219" s="2" t="s">
        <v>21735</v>
      </c>
      <c r="G2219" s="3" t="s">
        <v>65</v>
      </c>
      <c r="I2219" s="3" t="s">
        <v>65</v>
      </c>
      <c r="J2219" s="3" t="s">
        <v>65</v>
      </c>
      <c r="K2219" s="3" t="s">
        <v>66</v>
      </c>
      <c r="L2219" s="2" t="s">
        <v>21736</v>
      </c>
      <c r="M2219" s="2" t="s">
        <v>478</v>
      </c>
      <c r="N2219" s="3" t="s">
        <v>479</v>
      </c>
      <c r="O2219" s="2" t="s">
        <v>365</v>
      </c>
      <c r="P2219" s="3" t="s">
        <v>140</v>
      </c>
      <c r="Q2219" s="2" t="s">
        <v>10186</v>
      </c>
      <c r="R2219" s="3" t="s">
        <v>71</v>
      </c>
      <c r="S2219" s="4">
        <v>4</v>
      </c>
      <c r="T2219" s="4">
        <v>4</v>
      </c>
      <c r="U2219" s="5" t="s">
        <v>12821</v>
      </c>
      <c r="V2219" s="5" t="s">
        <v>12821</v>
      </c>
      <c r="W2219" s="5" t="s">
        <v>72</v>
      </c>
      <c r="X2219" s="5" t="s">
        <v>72</v>
      </c>
      <c r="Y2219" s="4">
        <v>56</v>
      </c>
      <c r="Z2219" s="4">
        <v>4</v>
      </c>
      <c r="AA2219" s="4">
        <v>4</v>
      </c>
      <c r="AB2219" s="4">
        <v>1</v>
      </c>
      <c r="AC2219" s="4">
        <v>1</v>
      </c>
      <c r="AD2219" s="4">
        <v>41</v>
      </c>
      <c r="AE2219" s="4">
        <v>41</v>
      </c>
      <c r="AF2219" s="4">
        <v>0</v>
      </c>
      <c r="AG2219" s="4">
        <v>0</v>
      </c>
      <c r="AH2219" s="4">
        <v>39</v>
      </c>
      <c r="AI2219" s="4">
        <v>39</v>
      </c>
      <c r="AJ2219" s="4">
        <v>2</v>
      </c>
      <c r="AK2219" s="4">
        <v>2</v>
      </c>
      <c r="AL2219" s="4">
        <v>32</v>
      </c>
      <c r="AM2219" s="4">
        <v>32</v>
      </c>
      <c r="AN2219" s="4">
        <v>0</v>
      </c>
      <c r="AO2219" s="4">
        <v>0</v>
      </c>
      <c r="AP2219" s="4">
        <v>2</v>
      </c>
      <c r="AQ2219" s="4">
        <v>2</v>
      </c>
      <c r="AR2219" s="3" t="s">
        <v>65</v>
      </c>
      <c r="AS2219" s="3" t="s">
        <v>65</v>
      </c>
      <c r="AT2219" s="3" t="s">
        <v>209</v>
      </c>
      <c r="AU2219" s="6" t="str">
        <f>HYPERLINK("http://catalog.hathitrust.org/Record/005680339","HathiTrust Record")</f>
        <v>HathiTrust Record</v>
      </c>
      <c r="AV2219" s="6" t="str">
        <f>HYPERLINK("http://mcgill.on.worldcat.org/oclc/216923452","Catalog Record")</f>
        <v>Catalog Record</v>
      </c>
      <c r="AW2219" s="6" t="str">
        <f>HYPERLINK("http://www.worldcat.org/oclc/216923452","WorldCat Record")</f>
        <v>WorldCat Record</v>
      </c>
      <c r="AX2219" s="3" t="s">
        <v>21737</v>
      </c>
      <c r="AY2219" s="3" t="s">
        <v>21738</v>
      </c>
      <c r="AZ2219" s="3" t="s">
        <v>21739</v>
      </c>
      <c r="BA2219" s="3" t="s">
        <v>21739</v>
      </c>
      <c r="BB2219" s="3" t="s">
        <v>21740</v>
      </c>
      <c r="BC2219" s="3" t="s">
        <v>77</v>
      </c>
      <c r="BD2219" s="3" t="s">
        <v>78</v>
      </c>
      <c r="BE2219" s="3" t="s">
        <v>21741</v>
      </c>
      <c r="BF2219" s="3" t="s">
        <v>21740</v>
      </c>
      <c r="BG2219" s="3" t="s">
        <v>21742</v>
      </c>
    </row>
    <row r="2220" spans="1:59" ht="58" x14ac:dyDescent="0.35">
      <c r="A2220" s="2" t="s">
        <v>59</v>
      </c>
      <c r="B2220" s="2" t="s">
        <v>60</v>
      </c>
      <c r="C2220" s="2" t="s">
        <v>21743</v>
      </c>
      <c r="D2220" s="2" t="s">
        <v>21744</v>
      </c>
      <c r="E2220" s="2" t="s">
        <v>21745</v>
      </c>
      <c r="G2220" s="3" t="s">
        <v>65</v>
      </c>
      <c r="I2220" s="3" t="s">
        <v>65</v>
      </c>
      <c r="J2220" s="3" t="s">
        <v>65</v>
      </c>
      <c r="K2220" s="3" t="s">
        <v>66</v>
      </c>
      <c r="L2220" s="2" t="s">
        <v>21736</v>
      </c>
      <c r="M2220" s="2" t="s">
        <v>21746</v>
      </c>
      <c r="N2220" s="3" t="s">
        <v>152</v>
      </c>
      <c r="O2220" s="2" t="s">
        <v>365</v>
      </c>
      <c r="P2220" s="3" t="s">
        <v>140</v>
      </c>
      <c r="Q2220" s="2" t="s">
        <v>10186</v>
      </c>
      <c r="R2220" s="3" t="s">
        <v>71</v>
      </c>
      <c r="S2220" s="4">
        <v>1</v>
      </c>
      <c r="T2220" s="4">
        <v>1</v>
      </c>
      <c r="U2220" s="5" t="s">
        <v>21671</v>
      </c>
      <c r="V2220" s="5" t="s">
        <v>21671</v>
      </c>
      <c r="W2220" s="5" t="s">
        <v>72</v>
      </c>
      <c r="X2220" s="5" t="s">
        <v>72</v>
      </c>
      <c r="Y2220" s="4">
        <v>43</v>
      </c>
      <c r="Z2220" s="4">
        <v>3</v>
      </c>
      <c r="AA2220" s="4">
        <v>3</v>
      </c>
      <c r="AB2220" s="4">
        <v>1</v>
      </c>
      <c r="AC2220" s="4">
        <v>1</v>
      </c>
      <c r="AD2220" s="4">
        <v>32</v>
      </c>
      <c r="AE2220" s="4">
        <v>32</v>
      </c>
      <c r="AF2220" s="4">
        <v>0</v>
      </c>
      <c r="AG2220" s="4">
        <v>0</v>
      </c>
      <c r="AH2220" s="4">
        <v>31</v>
      </c>
      <c r="AI2220" s="4">
        <v>31</v>
      </c>
      <c r="AJ2220" s="4">
        <v>1</v>
      </c>
      <c r="AK2220" s="4">
        <v>1</v>
      </c>
      <c r="AL2220" s="4">
        <v>27</v>
      </c>
      <c r="AM2220" s="4">
        <v>27</v>
      </c>
      <c r="AN2220" s="4">
        <v>0</v>
      </c>
      <c r="AO2220" s="4">
        <v>0</v>
      </c>
      <c r="AP2220" s="4">
        <v>1</v>
      </c>
      <c r="AQ2220" s="4">
        <v>1</v>
      </c>
      <c r="AR2220" s="3" t="s">
        <v>65</v>
      </c>
      <c r="AS2220" s="3" t="s">
        <v>65</v>
      </c>
      <c r="AT2220" s="3" t="s">
        <v>65</v>
      </c>
      <c r="AV2220" s="6" t="str">
        <f>HYPERLINK("http://mcgill.on.worldcat.org/oclc/836773290","Catalog Record")</f>
        <v>Catalog Record</v>
      </c>
      <c r="AW2220" s="6" t="str">
        <f>HYPERLINK("http://www.worldcat.org/oclc/836773290","WorldCat Record")</f>
        <v>WorldCat Record</v>
      </c>
      <c r="AX2220" s="3" t="s">
        <v>21747</v>
      </c>
      <c r="AY2220" s="3" t="s">
        <v>21748</v>
      </c>
      <c r="AZ2220" s="3" t="s">
        <v>21749</v>
      </c>
      <c r="BA2220" s="3" t="s">
        <v>21749</v>
      </c>
      <c r="BB2220" s="3" t="s">
        <v>21750</v>
      </c>
      <c r="BC2220" s="3" t="s">
        <v>77</v>
      </c>
      <c r="BD2220" s="3" t="s">
        <v>78</v>
      </c>
      <c r="BE2220" s="3" t="s">
        <v>21751</v>
      </c>
      <c r="BF2220" s="3" t="s">
        <v>21750</v>
      </c>
      <c r="BG2220" s="3" t="s">
        <v>21752</v>
      </c>
    </row>
    <row r="2221" spans="1:59" ht="58" x14ac:dyDescent="0.35">
      <c r="A2221" s="2" t="s">
        <v>59</v>
      </c>
      <c r="B2221" s="2" t="s">
        <v>60</v>
      </c>
      <c r="C2221" s="2" t="s">
        <v>21753</v>
      </c>
      <c r="D2221" s="2" t="s">
        <v>21754</v>
      </c>
      <c r="E2221" s="2" t="s">
        <v>21755</v>
      </c>
      <c r="G2221" s="3" t="s">
        <v>65</v>
      </c>
      <c r="I2221" s="3" t="s">
        <v>65</v>
      </c>
      <c r="J2221" s="3" t="s">
        <v>65</v>
      </c>
      <c r="K2221" s="3" t="s">
        <v>66</v>
      </c>
      <c r="L2221" s="2" t="s">
        <v>21756</v>
      </c>
      <c r="M2221" s="2" t="s">
        <v>5746</v>
      </c>
      <c r="N2221" s="3" t="s">
        <v>139</v>
      </c>
      <c r="O2221" s="2" t="s">
        <v>365</v>
      </c>
      <c r="P2221" s="3" t="s">
        <v>140</v>
      </c>
      <c r="Q2221" s="2" t="s">
        <v>565</v>
      </c>
      <c r="R2221" s="3" t="s">
        <v>71</v>
      </c>
      <c r="S2221" s="4">
        <v>0</v>
      </c>
      <c r="T2221" s="4">
        <v>0</v>
      </c>
      <c r="W2221" s="5" t="s">
        <v>72</v>
      </c>
      <c r="X2221" s="5" t="s">
        <v>72</v>
      </c>
      <c r="Y2221" s="4">
        <v>41</v>
      </c>
      <c r="Z2221" s="4">
        <v>4</v>
      </c>
      <c r="AA2221" s="4">
        <v>4</v>
      </c>
      <c r="AB2221" s="4">
        <v>1</v>
      </c>
      <c r="AC2221" s="4">
        <v>1</v>
      </c>
      <c r="AD2221" s="4">
        <v>27</v>
      </c>
      <c r="AE2221" s="4">
        <v>27</v>
      </c>
      <c r="AF2221" s="4">
        <v>0</v>
      </c>
      <c r="AG2221" s="4">
        <v>0</v>
      </c>
      <c r="AH2221" s="4">
        <v>26</v>
      </c>
      <c r="AI2221" s="4">
        <v>26</v>
      </c>
      <c r="AJ2221" s="4">
        <v>2</v>
      </c>
      <c r="AK2221" s="4">
        <v>2</v>
      </c>
      <c r="AL2221" s="4">
        <v>21</v>
      </c>
      <c r="AM2221" s="4">
        <v>21</v>
      </c>
      <c r="AN2221" s="4">
        <v>0</v>
      </c>
      <c r="AO2221" s="4">
        <v>0</v>
      </c>
      <c r="AP2221" s="4">
        <v>2</v>
      </c>
      <c r="AQ2221" s="4">
        <v>2</v>
      </c>
      <c r="AR2221" s="3" t="s">
        <v>65</v>
      </c>
      <c r="AS2221" s="3" t="s">
        <v>65</v>
      </c>
      <c r="AT2221" s="3" t="s">
        <v>65</v>
      </c>
      <c r="AV2221" s="6" t="str">
        <f>HYPERLINK("http://mcgill.on.worldcat.org/oclc/794362007","Catalog Record")</f>
        <v>Catalog Record</v>
      </c>
      <c r="AW2221" s="6" t="str">
        <f>HYPERLINK("http://www.worldcat.org/oclc/794362007","WorldCat Record")</f>
        <v>WorldCat Record</v>
      </c>
      <c r="AX2221" s="3" t="s">
        <v>21757</v>
      </c>
      <c r="AY2221" s="3" t="s">
        <v>21758</v>
      </c>
      <c r="AZ2221" s="3" t="s">
        <v>21759</v>
      </c>
      <c r="BA2221" s="3" t="s">
        <v>21759</v>
      </c>
      <c r="BB2221" s="3" t="s">
        <v>21760</v>
      </c>
      <c r="BC2221" s="3" t="s">
        <v>77</v>
      </c>
      <c r="BD2221" s="3" t="s">
        <v>78</v>
      </c>
      <c r="BE2221" s="3" t="s">
        <v>21761</v>
      </c>
      <c r="BF2221" s="3" t="s">
        <v>21760</v>
      </c>
      <c r="BG2221" s="3" t="s">
        <v>21762</v>
      </c>
    </row>
    <row r="2222" spans="1:59" ht="58" x14ac:dyDescent="0.35">
      <c r="A2222" s="2" t="s">
        <v>59</v>
      </c>
      <c r="B2222" s="2" t="s">
        <v>60</v>
      </c>
      <c r="C2222" s="2" t="s">
        <v>21763</v>
      </c>
      <c r="D2222" s="2" t="s">
        <v>21764</v>
      </c>
      <c r="E2222" s="2" t="s">
        <v>21765</v>
      </c>
      <c r="G2222" s="3" t="s">
        <v>65</v>
      </c>
      <c r="I2222" s="3" t="s">
        <v>65</v>
      </c>
      <c r="J2222" s="3" t="s">
        <v>65</v>
      </c>
      <c r="K2222" s="3" t="s">
        <v>66</v>
      </c>
      <c r="L2222" s="2" t="s">
        <v>21766</v>
      </c>
      <c r="M2222" s="2" t="s">
        <v>21767</v>
      </c>
      <c r="N2222" s="3" t="s">
        <v>113</v>
      </c>
      <c r="P2222" s="3" t="s">
        <v>140</v>
      </c>
      <c r="Q2222" s="2" t="s">
        <v>21768</v>
      </c>
      <c r="R2222" s="3" t="s">
        <v>71</v>
      </c>
      <c r="S2222" s="4">
        <v>0</v>
      </c>
      <c r="T2222" s="4">
        <v>0</v>
      </c>
      <c r="W2222" s="5" t="s">
        <v>72</v>
      </c>
      <c r="X2222" s="5" t="s">
        <v>72</v>
      </c>
      <c r="Y2222" s="4">
        <v>46</v>
      </c>
      <c r="Z2222" s="4">
        <v>4</v>
      </c>
      <c r="AA2222" s="4">
        <v>4</v>
      </c>
      <c r="AB2222" s="4">
        <v>1</v>
      </c>
      <c r="AC2222" s="4">
        <v>1</v>
      </c>
      <c r="AD2222" s="4">
        <v>34</v>
      </c>
      <c r="AE2222" s="4">
        <v>34</v>
      </c>
      <c r="AF2222" s="4">
        <v>0</v>
      </c>
      <c r="AG2222" s="4">
        <v>0</v>
      </c>
      <c r="AH2222" s="4">
        <v>33</v>
      </c>
      <c r="AI2222" s="4">
        <v>33</v>
      </c>
      <c r="AJ2222" s="4">
        <v>2</v>
      </c>
      <c r="AK2222" s="4">
        <v>2</v>
      </c>
      <c r="AL2222" s="4">
        <v>26</v>
      </c>
      <c r="AM2222" s="4">
        <v>26</v>
      </c>
      <c r="AN2222" s="4">
        <v>0</v>
      </c>
      <c r="AO2222" s="4">
        <v>0</v>
      </c>
      <c r="AP2222" s="4">
        <v>2</v>
      </c>
      <c r="AQ2222" s="4">
        <v>2</v>
      </c>
      <c r="AR2222" s="3" t="s">
        <v>65</v>
      </c>
      <c r="AS2222" s="3" t="s">
        <v>65</v>
      </c>
      <c r="AT2222" s="3" t="s">
        <v>65</v>
      </c>
      <c r="AV2222" s="6" t="str">
        <f>HYPERLINK("http://mcgill.on.worldcat.org/oclc/711513934","Catalog Record")</f>
        <v>Catalog Record</v>
      </c>
      <c r="AW2222" s="6" t="str">
        <f>HYPERLINK("http://www.worldcat.org/oclc/711513934","WorldCat Record")</f>
        <v>WorldCat Record</v>
      </c>
      <c r="AX2222" s="3" t="s">
        <v>21769</v>
      </c>
      <c r="AY2222" s="3" t="s">
        <v>21770</v>
      </c>
      <c r="AZ2222" s="3" t="s">
        <v>21771</v>
      </c>
      <c r="BA2222" s="3" t="s">
        <v>21771</v>
      </c>
      <c r="BB2222" s="3" t="s">
        <v>21772</v>
      </c>
      <c r="BC2222" s="3" t="s">
        <v>77</v>
      </c>
      <c r="BD2222" s="3" t="s">
        <v>78</v>
      </c>
      <c r="BE2222" s="3" t="s">
        <v>21773</v>
      </c>
      <c r="BF2222" s="3" t="s">
        <v>21772</v>
      </c>
      <c r="BG2222" s="3" t="s">
        <v>21774</v>
      </c>
    </row>
    <row r="2223" spans="1:59" ht="58" x14ac:dyDescent="0.35">
      <c r="A2223" s="2" t="s">
        <v>59</v>
      </c>
      <c r="B2223" s="2" t="s">
        <v>60</v>
      </c>
      <c r="C2223" s="2" t="s">
        <v>21775</v>
      </c>
      <c r="D2223" s="2" t="s">
        <v>21776</v>
      </c>
      <c r="E2223" s="2" t="s">
        <v>21777</v>
      </c>
      <c r="G2223" s="3" t="s">
        <v>65</v>
      </c>
      <c r="I2223" s="3" t="s">
        <v>65</v>
      </c>
      <c r="J2223" s="3" t="s">
        <v>65</v>
      </c>
      <c r="K2223" s="3" t="s">
        <v>66</v>
      </c>
      <c r="L2223" s="2" t="s">
        <v>21766</v>
      </c>
      <c r="M2223" s="2" t="s">
        <v>21778</v>
      </c>
      <c r="N2223" s="3" t="s">
        <v>139</v>
      </c>
      <c r="P2223" s="3" t="s">
        <v>140</v>
      </c>
      <c r="Q2223" s="2" t="s">
        <v>21779</v>
      </c>
      <c r="R2223" s="3" t="s">
        <v>71</v>
      </c>
      <c r="S2223" s="4">
        <v>0</v>
      </c>
      <c r="T2223" s="4">
        <v>0</v>
      </c>
      <c r="W2223" s="5" t="s">
        <v>72</v>
      </c>
      <c r="X2223" s="5" t="s">
        <v>72</v>
      </c>
      <c r="Y2223" s="4">
        <v>40</v>
      </c>
      <c r="Z2223" s="4">
        <v>4</v>
      </c>
      <c r="AA2223" s="4">
        <v>4</v>
      </c>
      <c r="AB2223" s="4">
        <v>1</v>
      </c>
      <c r="AC2223" s="4">
        <v>1</v>
      </c>
      <c r="AD2223" s="4">
        <v>30</v>
      </c>
      <c r="AE2223" s="4">
        <v>30</v>
      </c>
      <c r="AF2223" s="4">
        <v>0</v>
      </c>
      <c r="AG2223" s="4">
        <v>0</v>
      </c>
      <c r="AH2223" s="4">
        <v>29</v>
      </c>
      <c r="AI2223" s="4">
        <v>29</v>
      </c>
      <c r="AJ2223" s="4">
        <v>2</v>
      </c>
      <c r="AK2223" s="4">
        <v>2</v>
      </c>
      <c r="AL2223" s="4">
        <v>24</v>
      </c>
      <c r="AM2223" s="4">
        <v>24</v>
      </c>
      <c r="AN2223" s="4">
        <v>0</v>
      </c>
      <c r="AO2223" s="4">
        <v>0</v>
      </c>
      <c r="AP2223" s="4">
        <v>2</v>
      </c>
      <c r="AQ2223" s="4">
        <v>2</v>
      </c>
      <c r="AR2223" s="3" t="s">
        <v>65</v>
      </c>
      <c r="AS2223" s="3" t="s">
        <v>65</v>
      </c>
      <c r="AT2223" s="3" t="s">
        <v>65</v>
      </c>
      <c r="AV2223" s="6" t="str">
        <f>HYPERLINK("http://mcgill.on.worldcat.org/oclc/807031409","Catalog Record")</f>
        <v>Catalog Record</v>
      </c>
      <c r="AW2223" s="6" t="str">
        <f>HYPERLINK("http://www.worldcat.org/oclc/807031409","WorldCat Record")</f>
        <v>WorldCat Record</v>
      </c>
      <c r="AX2223" s="3" t="s">
        <v>21780</v>
      </c>
      <c r="AY2223" s="3" t="s">
        <v>21781</v>
      </c>
      <c r="AZ2223" s="3" t="s">
        <v>21782</v>
      </c>
      <c r="BA2223" s="3" t="s">
        <v>21782</v>
      </c>
      <c r="BB2223" s="3" t="s">
        <v>21783</v>
      </c>
      <c r="BC2223" s="3" t="s">
        <v>77</v>
      </c>
      <c r="BD2223" s="3" t="s">
        <v>78</v>
      </c>
      <c r="BE2223" s="3" t="s">
        <v>21784</v>
      </c>
      <c r="BF2223" s="3" t="s">
        <v>21783</v>
      </c>
      <c r="BG2223" s="3" t="s">
        <v>21785</v>
      </c>
    </row>
    <row r="2224" spans="1:59" ht="58" x14ac:dyDescent="0.35">
      <c r="A2224" s="2" t="s">
        <v>59</v>
      </c>
      <c r="B2224" s="2" t="s">
        <v>60</v>
      </c>
      <c r="C2224" s="2" t="s">
        <v>21786</v>
      </c>
      <c r="D2224" s="2" t="s">
        <v>21787</v>
      </c>
      <c r="E2224" s="2" t="s">
        <v>21788</v>
      </c>
      <c r="G2224" s="3" t="s">
        <v>65</v>
      </c>
      <c r="I2224" s="3" t="s">
        <v>65</v>
      </c>
      <c r="J2224" s="3" t="s">
        <v>65</v>
      </c>
      <c r="K2224" s="3" t="s">
        <v>66</v>
      </c>
      <c r="L2224" s="2" t="s">
        <v>21766</v>
      </c>
      <c r="M2224" s="2" t="s">
        <v>20877</v>
      </c>
      <c r="N2224" s="3" t="s">
        <v>126</v>
      </c>
      <c r="P2224" s="3" t="s">
        <v>140</v>
      </c>
      <c r="Q2224" s="2" t="s">
        <v>21789</v>
      </c>
      <c r="R2224" s="3" t="s">
        <v>71</v>
      </c>
      <c r="S2224" s="4">
        <v>0</v>
      </c>
      <c r="T2224" s="4">
        <v>0</v>
      </c>
      <c r="W2224" s="5" t="s">
        <v>72</v>
      </c>
      <c r="X2224" s="5" t="s">
        <v>72</v>
      </c>
      <c r="Y2224" s="4">
        <v>43</v>
      </c>
      <c r="Z2224" s="4">
        <v>3</v>
      </c>
      <c r="AA2224" s="4">
        <v>3</v>
      </c>
      <c r="AB2224" s="4">
        <v>1</v>
      </c>
      <c r="AC2224" s="4">
        <v>1</v>
      </c>
      <c r="AD2224" s="4">
        <v>30</v>
      </c>
      <c r="AE2224" s="4">
        <v>30</v>
      </c>
      <c r="AF2224" s="4">
        <v>0</v>
      </c>
      <c r="AG2224" s="4">
        <v>0</v>
      </c>
      <c r="AH2224" s="4">
        <v>28</v>
      </c>
      <c r="AI2224" s="4">
        <v>28</v>
      </c>
      <c r="AJ2224" s="4">
        <v>1</v>
      </c>
      <c r="AK2224" s="4">
        <v>1</v>
      </c>
      <c r="AL2224" s="4">
        <v>24</v>
      </c>
      <c r="AM2224" s="4">
        <v>24</v>
      </c>
      <c r="AN2224" s="4">
        <v>0</v>
      </c>
      <c r="AO2224" s="4">
        <v>0</v>
      </c>
      <c r="AP2224" s="4">
        <v>1</v>
      </c>
      <c r="AQ2224" s="4">
        <v>1</v>
      </c>
      <c r="AR2224" s="3" t="s">
        <v>65</v>
      </c>
      <c r="AS2224" s="3" t="s">
        <v>65</v>
      </c>
      <c r="AT2224" s="3" t="s">
        <v>65</v>
      </c>
      <c r="AV2224" s="6" t="str">
        <f>HYPERLINK("http://mcgill.on.worldcat.org/oclc/773015703","Catalog Record")</f>
        <v>Catalog Record</v>
      </c>
      <c r="AW2224" s="6" t="str">
        <f>HYPERLINK("http://www.worldcat.org/oclc/773015703","WorldCat Record")</f>
        <v>WorldCat Record</v>
      </c>
      <c r="AX2224" s="3" t="s">
        <v>21790</v>
      </c>
      <c r="AY2224" s="3" t="s">
        <v>21791</v>
      </c>
      <c r="AZ2224" s="3" t="s">
        <v>21792</v>
      </c>
      <c r="BA2224" s="3" t="s">
        <v>21792</v>
      </c>
      <c r="BB2224" s="3" t="s">
        <v>21793</v>
      </c>
      <c r="BC2224" s="3" t="s">
        <v>77</v>
      </c>
      <c r="BD2224" s="3" t="s">
        <v>78</v>
      </c>
      <c r="BE2224" s="3" t="s">
        <v>21794</v>
      </c>
      <c r="BF2224" s="3" t="s">
        <v>21793</v>
      </c>
      <c r="BG2224" s="3" t="s">
        <v>21795</v>
      </c>
    </row>
    <row r="2225" spans="1:59" ht="58" x14ac:dyDescent="0.35">
      <c r="A2225" s="2" t="s">
        <v>59</v>
      </c>
      <c r="B2225" s="2" t="s">
        <v>60</v>
      </c>
      <c r="C2225" s="2" t="s">
        <v>21796</v>
      </c>
      <c r="D2225" s="2" t="s">
        <v>21797</v>
      </c>
      <c r="E2225" s="2" t="s">
        <v>21798</v>
      </c>
      <c r="G2225" s="3" t="s">
        <v>65</v>
      </c>
      <c r="I2225" s="3" t="s">
        <v>65</v>
      </c>
      <c r="J2225" s="3" t="s">
        <v>65</v>
      </c>
      <c r="K2225" s="3" t="s">
        <v>66</v>
      </c>
      <c r="L2225" s="2" t="s">
        <v>21766</v>
      </c>
      <c r="M2225" s="2" t="s">
        <v>21799</v>
      </c>
      <c r="N2225" s="3" t="s">
        <v>139</v>
      </c>
      <c r="P2225" s="3" t="s">
        <v>140</v>
      </c>
      <c r="Q2225" s="2" t="s">
        <v>21800</v>
      </c>
      <c r="R2225" s="3" t="s">
        <v>71</v>
      </c>
      <c r="S2225" s="4">
        <v>0</v>
      </c>
      <c r="T2225" s="4">
        <v>0</v>
      </c>
      <c r="W2225" s="5" t="s">
        <v>72</v>
      </c>
      <c r="X2225" s="5" t="s">
        <v>72</v>
      </c>
      <c r="Y2225" s="4">
        <v>47</v>
      </c>
      <c r="Z2225" s="4">
        <v>5</v>
      </c>
      <c r="AA2225" s="4">
        <v>5</v>
      </c>
      <c r="AB2225" s="4">
        <v>1</v>
      </c>
      <c r="AC2225" s="4">
        <v>1</v>
      </c>
      <c r="AD2225" s="4">
        <v>34</v>
      </c>
      <c r="AE2225" s="4">
        <v>34</v>
      </c>
      <c r="AF2225" s="4">
        <v>0</v>
      </c>
      <c r="AG2225" s="4">
        <v>0</v>
      </c>
      <c r="AH2225" s="4">
        <v>33</v>
      </c>
      <c r="AI2225" s="4">
        <v>33</v>
      </c>
      <c r="AJ2225" s="4">
        <v>3</v>
      </c>
      <c r="AK2225" s="4">
        <v>3</v>
      </c>
      <c r="AL2225" s="4">
        <v>27</v>
      </c>
      <c r="AM2225" s="4">
        <v>27</v>
      </c>
      <c r="AN2225" s="4">
        <v>0</v>
      </c>
      <c r="AO2225" s="4">
        <v>0</v>
      </c>
      <c r="AP2225" s="4">
        <v>3</v>
      </c>
      <c r="AQ2225" s="4">
        <v>3</v>
      </c>
      <c r="AR2225" s="3" t="s">
        <v>65</v>
      </c>
      <c r="AS2225" s="3" t="s">
        <v>65</v>
      </c>
      <c r="AT2225" s="3" t="s">
        <v>65</v>
      </c>
      <c r="AV2225" s="6" t="str">
        <f>HYPERLINK("http://mcgill.on.worldcat.org/oclc/820120905","Catalog Record")</f>
        <v>Catalog Record</v>
      </c>
      <c r="AW2225" s="6" t="str">
        <f>HYPERLINK("http://www.worldcat.org/oclc/820120905","WorldCat Record")</f>
        <v>WorldCat Record</v>
      </c>
      <c r="AX2225" s="3" t="s">
        <v>21801</v>
      </c>
      <c r="AY2225" s="3" t="s">
        <v>21802</v>
      </c>
      <c r="AZ2225" s="3" t="s">
        <v>21803</v>
      </c>
      <c r="BA2225" s="3" t="s">
        <v>21803</v>
      </c>
      <c r="BB2225" s="3" t="s">
        <v>21804</v>
      </c>
      <c r="BC2225" s="3" t="s">
        <v>77</v>
      </c>
      <c r="BD2225" s="3" t="s">
        <v>78</v>
      </c>
      <c r="BE2225" s="3" t="s">
        <v>21805</v>
      </c>
      <c r="BF2225" s="3" t="s">
        <v>21804</v>
      </c>
      <c r="BG2225" s="3" t="s">
        <v>21806</v>
      </c>
    </row>
    <row r="2226" spans="1:59" ht="58" x14ac:dyDescent="0.35">
      <c r="A2226" s="2" t="s">
        <v>59</v>
      </c>
      <c r="B2226" s="2" t="s">
        <v>60</v>
      </c>
      <c r="C2226" s="2" t="s">
        <v>21807</v>
      </c>
      <c r="D2226" s="2" t="s">
        <v>21808</v>
      </c>
      <c r="E2226" s="2" t="s">
        <v>21809</v>
      </c>
      <c r="G2226" s="3" t="s">
        <v>65</v>
      </c>
      <c r="I2226" s="3" t="s">
        <v>65</v>
      </c>
      <c r="J2226" s="3" t="s">
        <v>65</v>
      </c>
      <c r="K2226" s="3" t="s">
        <v>66</v>
      </c>
      <c r="L2226" s="2" t="s">
        <v>21766</v>
      </c>
      <c r="M2226" s="2" t="s">
        <v>21810</v>
      </c>
      <c r="N2226" s="3" t="s">
        <v>152</v>
      </c>
      <c r="O2226" s="2" t="s">
        <v>365</v>
      </c>
      <c r="P2226" s="3" t="s">
        <v>140</v>
      </c>
      <c r="Q2226" s="2" t="s">
        <v>21800</v>
      </c>
      <c r="R2226" s="3" t="s">
        <v>71</v>
      </c>
      <c r="S2226" s="4">
        <v>0</v>
      </c>
      <c r="T2226" s="4">
        <v>0</v>
      </c>
      <c r="W2226" s="5" t="s">
        <v>72</v>
      </c>
      <c r="X2226" s="5" t="s">
        <v>72</v>
      </c>
      <c r="Y2226" s="4">
        <v>32</v>
      </c>
      <c r="Z2226" s="4">
        <v>3</v>
      </c>
      <c r="AA2226" s="4">
        <v>3</v>
      </c>
      <c r="AB2226" s="4">
        <v>1</v>
      </c>
      <c r="AC2226" s="4">
        <v>1</v>
      </c>
      <c r="AD2226" s="4">
        <v>23</v>
      </c>
      <c r="AE2226" s="4">
        <v>23</v>
      </c>
      <c r="AF2226" s="4">
        <v>0</v>
      </c>
      <c r="AG2226" s="4">
        <v>0</v>
      </c>
      <c r="AH2226" s="4">
        <v>22</v>
      </c>
      <c r="AI2226" s="4">
        <v>22</v>
      </c>
      <c r="AJ2226" s="4">
        <v>1</v>
      </c>
      <c r="AK2226" s="4">
        <v>1</v>
      </c>
      <c r="AL2226" s="4">
        <v>20</v>
      </c>
      <c r="AM2226" s="4">
        <v>20</v>
      </c>
      <c r="AN2226" s="4">
        <v>0</v>
      </c>
      <c r="AO2226" s="4">
        <v>0</v>
      </c>
      <c r="AP2226" s="4">
        <v>1</v>
      </c>
      <c r="AQ2226" s="4">
        <v>1</v>
      </c>
      <c r="AR2226" s="3" t="s">
        <v>65</v>
      </c>
      <c r="AS2226" s="3" t="s">
        <v>65</v>
      </c>
      <c r="AT2226" s="3" t="s">
        <v>65</v>
      </c>
      <c r="AV2226" s="6" t="str">
        <f>HYPERLINK("http://mcgill.on.worldcat.org/oclc/840403828","Catalog Record")</f>
        <v>Catalog Record</v>
      </c>
      <c r="AW2226" s="6" t="str">
        <f>HYPERLINK("http://www.worldcat.org/oclc/840403828","WorldCat Record")</f>
        <v>WorldCat Record</v>
      </c>
      <c r="AX2226" s="3" t="s">
        <v>21811</v>
      </c>
      <c r="AY2226" s="3" t="s">
        <v>21812</v>
      </c>
      <c r="AZ2226" s="3" t="s">
        <v>21813</v>
      </c>
      <c r="BA2226" s="3" t="s">
        <v>21813</v>
      </c>
      <c r="BB2226" s="3" t="s">
        <v>21814</v>
      </c>
      <c r="BC2226" s="3" t="s">
        <v>77</v>
      </c>
      <c r="BD2226" s="3" t="s">
        <v>78</v>
      </c>
      <c r="BE2226" s="3" t="s">
        <v>21815</v>
      </c>
      <c r="BF2226" s="3" t="s">
        <v>21814</v>
      </c>
      <c r="BG2226" s="3" t="s">
        <v>21816</v>
      </c>
    </row>
    <row r="2227" spans="1:59" ht="58" x14ac:dyDescent="0.35">
      <c r="A2227" s="2" t="s">
        <v>59</v>
      </c>
      <c r="B2227" s="2" t="s">
        <v>60</v>
      </c>
      <c r="C2227" s="2" t="s">
        <v>21817</v>
      </c>
      <c r="D2227" s="2" t="s">
        <v>21818</v>
      </c>
      <c r="E2227" s="2" t="s">
        <v>21819</v>
      </c>
      <c r="G2227" s="3" t="s">
        <v>65</v>
      </c>
      <c r="I2227" s="3" t="s">
        <v>65</v>
      </c>
      <c r="J2227" s="3" t="s">
        <v>65</v>
      </c>
      <c r="K2227" s="3" t="s">
        <v>66</v>
      </c>
      <c r="L2227" s="2" t="s">
        <v>21820</v>
      </c>
      <c r="M2227" s="2" t="s">
        <v>21821</v>
      </c>
      <c r="N2227" s="3" t="s">
        <v>176</v>
      </c>
      <c r="P2227" s="3" t="s">
        <v>140</v>
      </c>
      <c r="Q2227" s="2" t="s">
        <v>21822</v>
      </c>
      <c r="R2227" s="3" t="s">
        <v>71</v>
      </c>
      <c r="S2227" s="4">
        <v>0</v>
      </c>
      <c r="T2227" s="4">
        <v>0</v>
      </c>
      <c r="W2227" s="5" t="s">
        <v>72</v>
      </c>
      <c r="X2227" s="5" t="s">
        <v>72</v>
      </c>
      <c r="Y2227" s="4">
        <v>33</v>
      </c>
      <c r="Z2227" s="4">
        <v>2</v>
      </c>
      <c r="AA2227" s="4">
        <v>4</v>
      </c>
      <c r="AB2227" s="4">
        <v>1</v>
      </c>
      <c r="AC2227" s="4">
        <v>1</v>
      </c>
      <c r="AD2227" s="4">
        <v>27</v>
      </c>
      <c r="AE2227" s="4">
        <v>28</v>
      </c>
      <c r="AF2227" s="4">
        <v>0</v>
      </c>
      <c r="AG2227" s="4">
        <v>0</v>
      </c>
      <c r="AH2227" s="4">
        <v>26</v>
      </c>
      <c r="AI2227" s="4">
        <v>27</v>
      </c>
      <c r="AJ2227" s="4">
        <v>1</v>
      </c>
      <c r="AK2227" s="4">
        <v>2</v>
      </c>
      <c r="AL2227" s="4">
        <v>20</v>
      </c>
      <c r="AM2227" s="4">
        <v>21</v>
      </c>
      <c r="AN2227" s="4">
        <v>0</v>
      </c>
      <c r="AO2227" s="4">
        <v>0</v>
      </c>
      <c r="AP2227" s="4">
        <v>1</v>
      </c>
      <c r="AQ2227" s="4">
        <v>2</v>
      </c>
      <c r="AR2227" s="3" t="s">
        <v>65</v>
      </c>
      <c r="AS2227" s="3" t="s">
        <v>65</v>
      </c>
      <c r="AT2227" s="3" t="s">
        <v>65</v>
      </c>
      <c r="AV2227" s="6" t="str">
        <f>HYPERLINK("http://mcgill.on.worldcat.org/oclc/907638889","Catalog Record")</f>
        <v>Catalog Record</v>
      </c>
      <c r="AW2227" s="6" t="str">
        <f>HYPERLINK("http://www.worldcat.org/oclc/907638889","WorldCat Record")</f>
        <v>WorldCat Record</v>
      </c>
      <c r="AX2227" s="3" t="s">
        <v>21823</v>
      </c>
      <c r="AY2227" s="3" t="s">
        <v>21824</v>
      </c>
      <c r="AZ2227" s="3" t="s">
        <v>21825</v>
      </c>
      <c r="BA2227" s="3" t="s">
        <v>21825</v>
      </c>
      <c r="BB2227" s="3" t="s">
        <v>21826</v>
      </c>
      <c r="BC2227" s="3" t="s">
        <v>77</v>
      </c>
      <c r="BD2227" s="3" t="s">
        <v>78</v>
      </c>
      <c r="BE2227" s="3" t="s">
        <v>21827</v>
      </c>
      <c r="BF2227" s="3" t="s">
        <v>21826</v>
      </c>
      <c r="BG2227" s="3" t="s">
        <v>21828</v>
      </c>
    </row>
    <row r="2228" spans="1:59" ht="58" x14ac:dyDescent="0.35">
      <c r="A2228" s="2" t="s">
        <v>59</v>
      </c>
      <c r="B2228" s="2" t="s">
        <v>60</v>
      </c>
      <c r="C2228" s="2" t="s">
        <v>21829</v>
      </c>
      <c r="D2228" s="2" t="s">
        <v>21830</v>
      </c>
      <c r="E2228" s="2" t="s">
        <v>21831</v>
      </c>
      <c r="G2228" s="3" t="s">
        <v>65</v>
      </c>
      <c r="H2228" s="3" t="s">
        <v>213</v>
      </c>
      <c r="I2228" s="3" t="s">
        <v>65</v>
      </c>
      <c r="J2228" s="3" t="s">
        <v>65</v>
      </c>
      <c r="K2228" s="3" t="s">
        <v>66</v>
      </c>
      <c r="L2228" s="2" t="s">
        <v>21832</v>
      </c>
      <c r="M2228" s="2" t="s">
        <v>21833</v>
      </c>
      <c r="N2228" s="3" t="s">
        <v>265</v>
      </c>
      <c r="P2228" s="3" t="s">
        <v>140</v>
      </c>
      <c r="Q2228" s="2" t="s">
        <v>21834</v>
      </c>
      <c r="R2228" s="3" t="s">
        <v>71</v>
      </c>
      <c r="S2228" s="4">
        <v>0</v>
      </c>
      <c r="T2228" s="4">
        <v>0</v>
      </c>
      <c r="W2228" s="5" t="s">
        <v>9283</v>
      </c>
      <c r="X2228" s="5" t="s">
        <v>9283</v>
      </c>
      <c r="Y2228" s="4">
        <v>25</v>
      </c>
      <c r="Z2228" s="4">
        <v>1</v>
      </c>
      <c r="AA2228" s="4">
        <v>1</v>
      </c>
      <c r="AB2228" s="4">
        <v>1</v>
      </c>
      <c r="AC2228" s="4">
        <v>1</v>
      </c>
      <c r="AD2228" s="4">
        <v>16</v>
      </c>
      <c r="AE2228" s="4">
        <v>16</v>
      </c>
      <c r="AF2228" s="4">
        <v>0</v>
      </c>
      <c r="AG2228" s="4">
        <v>0</v>
      </c>
      <c r="AH2228" s="4">
        <v>15</v>
      </c>
      <c r="AI2228" s="4">
        <v>15</v>
      </c>
      <c r="AJ2228" s="4">
        <v>0</v>
      </c>
      <c r="AK2228" s="4">
        <v>0</v>
      </c>
      <c r="AL2228" s="4">
        <v>13</v>
      </c>
      <c r="AM2228" s="4">
        <v>13</v>
      </c>
      <c r="AN2228" s="4">
        <v>0</v>
      </c>
      <c r="AO2228" s="4">
        <v>0</v>
      </c>
      <c r="AP2228" s="4">
        <v>0</v>
      </c>
      <c r="AQ2228" s="4">
        <v>0</v>
      </c>
      <c r="AR2228" s="3" t="s">
        <v>65</v>
      </c>
      <c r="AS2228" s="3" t="s">
        <v>65</v>
      </c>
      <c r="AT2228" s="3" t="s">
        <v>65</v>
      </c>
      <c r="AV2228" s="6" t="str">
        <f>HYPERLINK("http://mcgill.on.worldcat.org/oclc/1123184761","Catalog Record")</f>
        <v>Catalog Record</v>
      </c>
      <c r="AW2228" s="6" t="str">
        <f>HYPERLINK("http://www.worldcat.org/oclc/1123184761","WorldCat Record")</f>
        <v>WorldCat Record</v>
      </c>
      <c r="AX2228" s="3" t="s">
        <v>21835</v>
      </c>
      <c r="AY2228" s="3" t="s">
        <v>21836</v>
      </c>
      <c r="AZ2228" s="3" t="s">
        <v>21837</v>
      </c>
      <c r="BA2228" s="3" t="s">
        <v>21837</v>
      </c>
      <c r="BB2228" s="3" t="s">
        <v>21838</v>
      </c>
      <c r="BC2228" s="3" t="s">
        <v>77</v>
      </c>
      <c r="BD2228" s="3" t="s">
        <v>78</v>
      </c>
      <c r="BE2228" s="3" t="s">
        <v>21839</v>
      </c>
      <c r="BF2228" s="3" t="s">
        <v>21838</v>
      </c>
      <c r="BG2228" s="3" t="s">
        <v>21840</v>
      </c>
    </row>
    <row r="2229" spans="1:59" ht="58" x14ac:dyDescent="0.35">
      <c r="A2229" s="2" t="s">
        <v>59</v>
      </c>
      <c r="B2229" s="2" t="s">
        <v>60</v>
      </c>
      <c r="C2229" s="2" t="s">
        <v>21841</v>
      </c>
      <c r="D2229" s="2" t="s">
        <v>21842</v>
      </c>
      <c r="E2229" s="2" t="s">
        <v>21843</v>
      </c>
      <c r="G2229" s="3" t="s">
        <v>65</v>
      </c>
      <c r="I2229" s="3" t="s">
        <v>65</v>
      </c>
      <c r="J2229" s="3" t="s">
        <v>65</v>
      </c>
      <c r="K2229" s="3" t="s">
        <v>66</v>
      </c>
      <c r="L2229" s="2" t="s">
        <v>21844</v>
      </c>
      <c r="M2229" s="2" t="s">
        <v>21845</v>
      </c>
      <c r="N2229" s="3" t="s">
        <v>68</v>
      </c>
      <c r="P2229" s="3" t="s">
        <v>140</v>
      </c>
      <c r="Q2229" s="2" t="s">
        <v>21846</v>
      </c>
      <c r="R2229" s="3" t="s">
        <v>71</v>
      </c>
      <c r="S2229" s="4">
        <v>0</v>
      </c>
      <c r="T2229" s="4">
        <v>0</v>
      </c>
      <c r="W2229" s="5" t="s">
        <v>72</v>
      </c>
      <c r="X2229" s="5" t="s">
        <v>72</v>
      </c>
      <c r="Y2229" s="4">
        <v>19</v>
      </c>
      <c r="Z2229" s="4">
        <v>2</v>
      </c>
      <c r="AA2229" s="4">
        <v>2</v>
      </c>
      <c r="AB2229" s="4">
        <v>1</v>
      </c>
      <c r="AC2229" s="4">
        <v>1</v>
      </c>
      <c r="AD2229" s="4">
        <v>14</v>
      </c>
      <c r="AE2229" s="4">
        <v>14</v>
      </c>
      <c r="AF2229" s="4">
        <v>0</v>
      </c>
      <c r="AG2229" s="4">
        <v>0</v>
      </c>
      <c r="AH2229" s="4">
        <v>13</v>
      </c>
      <c r="AI2229" s="4">
        <v>13</v>
      </c>
      <c r="AJ2229" s="4">
        <v>1</v>
      </c>
      <c r="AK2229" s="4">
        <v>1</v>
      </c>
      <c r="AL2229" s="4">
        <v>10</v>
      </c>
      <c r="AM2229" s="4">
        <v>10</v>
      </c>
      <c r="AN2229" s="4">
        <v>0</v>
      </c>
      <c r="AO2229" s="4">
        <v>0</v>
      </c>
      <c r="AP2229" s="4">
        <v>1</v>
      </c>
      <c r="AQ2229" s="4">
        <v>1</v>
      </c>
      <c r="AR2229" s="3" t="s">
        <v>65</v>
      </c>
      <c r="AS2229" s="3" t="s">
        <v>65</v>
      </c>
      <c r="AT2229" s="3" t="s">
        <v>65</v>
      </c>
      <c r="AV2229" s="6" t="str">
        <f>HYPERLINK("http://mcgill.on.worldcat.org/oclc/972504589","Catalog Record")</f>
        <v>Catalog Record</v>
      </c>
      <c r="AW2229" s="6" t="str">
        <f>HYPERLINK("http://www.worldcat.org/oclc/972504589","WorldCat Record")</f>
        <v>WorldCat Record</v>
      </c>
      <c r="AX2229" s="3" t="s">
        <v>21847</v>
      </c>
      <c r="AY2229" s="3" t="s">
        <v>21848</v>
      </c>
      <c r="AZ2229" s="3" t="s">
        <v>21849</v>
      </c>
      <c r="BA2229" s="3" t="s">
        <v>21849</v>
      </c>
      <c r="BB2229" s="3" t="s">
        <v>21850</v>
      </c>
      <c r="BC2229" s="3" t="s">
        <v>77</v>
      </c>
      <c r="BD2229" s="3" t="s">
        <v>78</v>
      </c>
      <c r="BE2229" s="3" t="s">
        <v>21851</v>
      </c>
      <c r="BF2229" s="3" t="s">
        <v>21850</v>
      </c>
      <c r="BG2229" s="3" t="s">
        <v>21852</v>
      </c>
    </row>
    <row r="2230" spans="1:59" ht="58" x14ac:dyDescent="0.35">
      <c r="A2230" s="2" t="s">
        <v>59</v>
      </c>
      <c r="B2230" s="2" t="s">
        <v>60</v>
      </c>
      <c r="C2230" s="2" t="s">
        <v>21853</v>
      </c>
      <c r="D2230" s="2" t="s">
        <v>21854</v>
      </c>
      <c r="E2230" s="2" t="s">
        <v>21855</v>
      </c>
      <c r="G2230" s="3" t="s">
        <v>65</v>
      </c>
      <c r="I2230" s="3" t="s">
        <v>65</v>
      </c>
      <c r="J2230" s="3" t="s">
        <v>65</v>
      </c>
      <c r="K2230" s="3" t="s">
        <v>66</v>
      </c>
      <c r="L2230" s="2" t="s">
        <v>21856</v>
      </c>
      <c r="M2230" s="2" t="s">
        <v>21857</v>
      </c>
      <c r="N2230" s="3" t="s">
        <v>126</v>
      </c>
      <c r="P2230" s="3" t="s">
        <v>140</v>
      </c>
      <c r="Q2230" s="2" t="s">
        <v>21858</v>
      </c>
      <c r="R2230" s="3" t="s">
        <v>71</v>
      </c>
      <c r="S2230" s="4">
        <v>0</v>
      </c>
      <c r="T2230" s="4">
        <v>0</v>
      </c>
      <c r="W2230" s="5" t="s">
        <v>72</v>
      </c>
      <c r="X2230" s="5" t="s">
        <v>72</v>
      </c>
      <c r="Y2230" s="4">
        <v>12</v>
      </c>
      <c r="Z2230" s="4">
        <v>1</v>
      </c>
      <c r="AA2230" s="4">
        <v>1</v>
      </c>
      <c r="AB2230" s="4">
        <v>1</v>
      </c>
      <c r="AC2230" s="4">
        <v>1</v>
      </c>
      <c r="AD2230" s="4">
        <v>3</v>
      </c>
      <c r="AE2230" s="4">
        <v>19</v>
      </c>
      <c r="AF2230" s="4">
        <v>0</v>
      </c>
      <c r="AG2230" s="4">
        <v>0</v>
      </c>
      <c r="AH2230" s="4">
        <v>3</v>
      </c>
      <c r="AI2230" s="4">
        <v>18</v>
      </c>
      <c r="AJ2230" s="4">
        <v>0</v>
      </c>
      <c r="AK2230" s="4">
        <v>0</v>
      </c>
      <c r="AL2230" s="4">
        <v>3</v>
      </c>
      <c r="AM2230" s="4">
        <v>15</v>
      </c>
      <c r="AN2230" s="4">
        <v>0</v>
      </c>
      <c r="AO2230" s="4">
        <v>0</v>
      </c>
      <c r="AP2230" s="4">
        <v>0</v>
      </c>
      <c r="AQ2230" s="4">
        <v>0</v>
      </c>
      <c r="AR2230" s="3" t="s">
        <v>65</v>
      </c>
      <c r="AS2230" s="3" t="s">
        <v>65</v>
      </c>
      <c r="AT2230" s="3" t="s">
        <v>65</v>
      </c>
      <c r="AV2230" s="6" t="str">
        <f>HYPERLINK("http://mcgill.on.worldcat.org/oclc/800447900","Catalog Record")</f>
        <v>Catalog Record</v>
      </c>
      <c r="AW2230" s="6" t="str">
        <f>HYPERLINK("http://www.worldcat.org/oclc/800447900","WorldCat Record")</f>
        <v>WorldCat Record</v>
      </c>
      <c r="AX2230" s="3" t="s">
        <v>21859</v>
      </c>
      <c r="AY2230" s="3" t="s">
        <v>21860</v>
      </c>
      <c r="AZ2230" s="3" t="s">
        <v>21861</v>
      </c>
      <c r="BA2230" s="3" t="s">
        <v>21861</v>
      </c>
      <c r="BB2230" s="3" t="s">
        <v>21862</v>
      </c>
      <c r="BC2230" s="3" t="s">
        <v>77</v>
      </c>
      <c r="BD2230" s="3" t="s">
        <v>78</v>
      </c>
      <c r="BF2230" s="3" t="s">
        <v>21862</v>
      </c>
      <c r="BG2230" s="3" t="s">
        <v>21863</v>
      </c>
    </row>
    <row r="2231" spans="1:59" ht="58" x14ac:dyDescent="0.35">
      <c r="A2231" s="2" t="s">
        <v>59</v>
      </c>
      <c r="B2231" s="2" t="s">
        <v>60</v>
      </c>
      <c r="C2231" s="2" t="s">
        <v>21864</v>
      </c>
      <c r="D2231" s="2" t="s">
        <v>21865</v>
      </c>
      <c r="E2231" s="2" t="s">
        <v>21866</v>
      </c>
      <c r="G2231" s="3" t="s">
        <v>65</v>
      </c>
      <c r="I2231" s="3" t="s">
        <v>65</v>
      </c>
      <c r="J2231" s="3" t="s">
        <v>65</v>
      </c>
      <c r="K2231" s="3" t="s">
        <v>66</v>
      </c>
      <c r="L2231" s="2" t="s">
        <v>21867</v>
      </c>
      <c r="M2231" s="2" t="s">
        <v>21868</v>
      </c>
      <c r="N2231" s="3" t="s">
        <v>113</v>
      </c>
      <c r="P2231" s="3" t="s">
        <v>140</v>
      </c>
      <c r="Q2231" s="2" t="s">
        <v>21869</v>
      </c>
      <c r="R2231" s="3" t="s">
        <v>71</v>
      </c>
      <c r="S2231" s="4">
        <v>0</v>
      </c>
      <c r="T2231" s="4">
        <v>0</v>
      </c>
      <c r="W2231" s="5" t="s">
        <v>72</v>
      </c>
      <c r="X2231" s="5" t="s">
        <v>72</v>
      </c>
      <c r="Y2231" s="4">
        <v>39</v>
      </c>
      <c r="Z2231" s="4">
        <v>4</v>
      </c>
      <c r="AA2231" s="4">
        <v>4</v>
      </c>
      <c r="AB2231" s="4">
        <v>1</v>
      </c>
      <c r="AC2231" s="4">
        <v>1</v>
      </c>
      <c r="AD2231" s="4">
        <v>30</v>
      </c>
      <c r="AE2231" s="4">
        <v>30</v>
      </c>
      <c r="AF2231" s="4">
        <v>0</v>
      </c>
      <c r="AG2231" s="4">
        <v>0</v>
      </c>
      <c r="AH2231" s="4">
        <v>29</v>
      </c>
      <c r="AI2231" s="4">
        <v>29</v>
      </c>
      <c r="AJ2231" s="4">
        <v>2</v>
      </c>
      <c r="AK2231" s="4">
        <v>2</v>
      </c>
      <c r="AL2231" s="4">
        <v>22</v>
      </c>
      <c r="AM2231" s="4">
        <v>22</v>
      </c>
      <c r="AN2231" s="4">
        <v>0</v>
      </c>
      <c r="AO2231" s="4">
        <v>0</v>
      </c>
      <c r="AP2231" s="4">
        <v>2</v>
      </c>
      <c r="AQ2231" s="4">
        <v>2</v>
      </c>
      <c r="AR2231" s="3" t="s">
        <v>65</v>
      </c>
      <c r="AS2231" s="3" t="s">
        <v>65</v>
      </c>
      <c r="AT2231" s="3" t="s">
        <v>65</v>
      </c>
      <c r="AV2231" s="6" t="str">
        <f>HYPERLINK("http://mcgill.on.worldcat.org/oclc/699720794","Catalog Record")</f>
        <v>Catalog Record</v>
      </c>
      <c r="AW2231" s="6" t="str">
        <f>HYPERLINK("http://www.worldcat.org/oclc/699720794","WorldCat Record")</f>
        <v>WorldCat Record</v>
      </c>
      <c r="AX2231" s="3" t="s">
        <v>21870</v>
      </c>
      <c r="AY2231" s="3" t="s">
        <v>21871</v>
      </c>
      <c r="AZ2231" s="3" t="s">
        <v>21872</v>
      </c>
      <c r="BA2231" s="3" t="s">
        <v>21872</v>
      </c>
      <c r="BB2231" s="3" t="s">
        <v>21873</v>
      </c>
      <c r="BC2231" s="3" t="s">
        <v>77</v>
      </c>
      <c r="BD2231" s="3" t="s">
        <v>78</v>
      </c>
      <c r="BE2231" s="3" t="s">
        <v>21874</v>
      </c>
      <c r="BF2231" s="3" t="s">
        <v>21873</v>
      </c>
      <c r="BG2231" s="3" t="s">
        <v>21875</v>
      </c>
    </row>
    <row r="2232" spans="1:59" ht="58" x14ac:dyDescent="0.35">
      <c r="A2232" s="2" t="s">
        <v>59</v>
      </c>
      <c r="B2232" s="2" t="s">
        <v>60</v>
      </c>
      <c r="C2232" s="2" t="s">
        <v>21876</v>
      </c>
      <c r="D2232" s="2" t="s">
        <v>21877</v>
      </c>
      <c r="E2232" s="2" t="s">
        <v>21878</v>
      </c>
      <c r="G2232" s="3" t="s">
        <v>65</v>
      </c>
      <c r="I2232" s="3" t="s">
        <v>65</v>
      </c>
      <c r="J2232" s="3" t="s">
        <v>65</v>
      </c>
      <c r="K2232" s="3" t="s">
        <v>66</v>
      </c>
      <c r="L2232" s="2" t="s">
        <v>21879</v>
      </c>
      <c r="M2232" s="2" t="s">
        <v>21880</v>
      </c>
      <c r="N2232" s="3" t="s">
        <v>1085</v>
      </c>
      <c r="P2232" s="3" t="s">
        <v>140</v>
      </c>
      <c r="Q2232" s="2" t="s">
        <v>21881</v>
      </c>
      <c r="R2232" s="3" t="s">
        <v>71</v>
      </c>
      <c r="S2232" s="4">
        <v>1</v>
      </c>
      <c r="T2232" s="4">
        <v>1</v>
      </c>
      <c r="U2232" s="5" t="s">
        <v>13505</v>
      </c>
      <c r="V2232" s="5" t="s">
        <v>13505</v>
      </c>
      <c r="W2232" s="5" t="s">
        <v>72</v>
      </c>
      <c r="X2232" s="5" t="s">
        <v>72</v>
      </c>
      <c r="Y2232" s="4">
        <v>31</v>
      </c>
      <c r="Z2232" s="4">
        <v>3</v>
      </c>
      <c r="AA2232" s="4">
        <v>3</v>
      </c>
      <c r="AB2232" s="4">
        <v>1</v>
      </c>
      <c r="AC2232" s="4">
        <v>1</v>
      </c>
      <c r="AD2232" s="4">
        <v>21</v>
      </c>
      <c r="AE2232" s="4">
        <v>21</v>
      </c>
      <c r="AF2232" s="4">
        <v>0</v>
      </c>
      <c r="AG2232" s="4">
        <v>0</v>
      </c>
      <c r="AH2232" s="4">
        <v>21</v>
      </c>
      <c r="AI2232" s="4">
        <v>21</v>
      </c>
      <c r="AJ2232" s="4">
        <v>1</v>
      </c>
      <c r="AK2232" s="4">
        <v>1</v>
      </c>
      <c r="AL2232" s="4">
        <v>17</v>
      </c>
      <c r="AM2232" s="4">
        <v>17</v>
      </c>
      <c r="AN2232" s="4">
        <v>0</v>
      </c>
      <c r="AO2232" s="4">
        <v>0</v>
      </c>
      <c r="AP2232" s="4">
        <v>1</v>
      </c>
      <c r="AQ2232" s="4">
        <v>1</v>
      </c>
      <c r="AR2232" s="3" t="s">
        <v>65</v>
      </c>
      <c r="AS2232" s="3" t="s">
        <v>65</v>
      </c>
      <c r="AT2232" s="3" t="s">
        <v>209</v>
      </c>
      <c r="AU2232" s="6" t="str">
        <f>HYPERLINK("http://catalog.hathitrust.org/Record/003974680","HathiTrust Record")</f>
        <v>HathiTrust Record</v>
      </c>
      <c r="AV2232" s="6" t="str">
        <f>HYPERLINK("http://mcgill.on.worldcat.org/oclc/38113531","Catalog Record")</f>
        <v>Catalog Record</v>
      </c>
      <c r="AW2232" s="6" t="str">
        <f>HYPERLINK("http://www.worldcat.org/oclc/38113531","WorldCat Record")</f>
        <v>WorldCat Record</v>
      </c>
      <c r="AX2232" s="3" t="s">
        <v>21882</v>
      </c>
      <c r="AY2232" s="3" t="s">
        <v>21883</v>
      </c>
      <c r="AZ2232" s="3" t="s">
        <v>21884</v>
      </c>
      <c r="BA2232" s="3" t="s">
        <v>21884</v>
      </c>
      <c r="BB2232" s="3" t="s">
        <v>21885</v>
      </c>
      <c r="BC2232" s="3" t="s">
        <v>77</v>
      </c>
      <c r="BD2232" s="3" t="s">
        <v>78</v>
      </c>
      <c r="BE2232" s="3" t="s">
        <v>21886</v>
      </c>
      <c r="BF2232" s="3" t="s">
        <v>21885</v>
      </c>
      <c r="BG2232" s="3" t="s">
        <v>21887</v>
      </c>
    </row>
    <row r="2233" spans="1:59" ht="58" x14ac:dyDescent="0.35">
      <c r="A2233" s="2" t="s">
        <v>59</v>
      </c>
      <c r="B2233" s="2" t="s">
        <v>60</v>
      </c>
      <c r="C2233" s="2" t="s">
        <v>21888</v>
      </c>
      <c r="D2233" s="2" t="s">
        <v>21889</v>
      </c>
      <c r="E2233" s="2" t="s">
        <v>21890</v>
      </c>
      <c r="G2233" s="3" t="s">
        <v>65</v>
      </c>
      <c r="I2233" s="3" t="s">
        <v>65</v>
      </c>
      <c r="J2233" s="3" t="s">
        <v>65</v>
      </c>
      <c r="K2233" s="3" t="s">
        <v>66</v>
      </c>
      <c r="L2233" s="2" t="s">
        <v>21891</v>
      </c>
      <c r="M2233" s="2" t="s">
        <v>21767</v>
      </c>
      <c r="N2233" s="3" t="s">
        <v>113</v>
      </c>
      <c r="P2233" s="3" t="s">
        <v>140</v>
      </c>
      <c r="Q2233" s="2" t="s">
        <v>21892</v>
      </c>
      <c r="R2233" s="3" t="s">
        <v>71</v>
      </c>
      <c r="S2233" s="4">
        <v>0</v>
      </c>
      <c r="T2233" s="4">
        <v>0</v>
      </c>
      <c r="W2233" s="5" t="s">
        <v>72</v>
      </c>
      <c r="X2233" s="5" t="s">
        <v>72</v>
      </c>
      <c r="Y2233" s="4">
        <v>42</v>
      </c>
      <c r="Z2233" s="4">
        <v>4</v>
      </c>
      <c r="AA2233" s="4">
        <v>4</v>
      </c>
      <c r="AB2233" s="4">
        <v>1</v>
      </c>
      <c r="AC2233" s="4">
        <v>1</v>
      </c>
      <c r="AD2233" s="4">
        <v>33</v>
      </c>
      <c r="AE2233" s="4">
        <v>33</v>
      </c>
      <c r="AF2233" s="4">
        <v>0</v>
      </c>
      <c r="AG2233" s="4">
        <v>0</v>
      </c>
      <c r="AH2233" s="4">
        <v>32</v>
      </c>
      <c r="AI2233" s="4">
        <v>32</v>
      </c>
      <c r="AJ2233" s="4">
        <v>2</v>
      </c>
      <c r="AK2233" s="4">
        <v>2</v>
      </c>
      <c r="AL2233" s="4">
        <v>25</v>
      </c>
      <c r="AM2233" s="4">
        <v>25</v>
      </c>
      <c r="AN2233" s="4">
        <v>0</v>
      </c>
      <c r="AO2233" s="4">
        <v>0</v>
      </c>
      <c r="AP2233" s="4">
        <v>2</v>
      </c>
      <c r="AQ2233" s="4">
        <v>2</v>
      </c>
      <c r="AR2233" s="3" t="s">
        <v>65</v>
      </c>
      <c r="AS2233" s="3" t="s">
        <v>65</v>
      </c>
      <c r="AT2233" s="3" t="s">
        <v>65</v>
      </c>
      <c r="AV2233" s="6" t="str">
        <f>HYPERLINK("http://mcgill.on.worldcat.org/oclc/694057282","Catalog Record")</f>
        <v>Catalog Record</v>
      </c>
      <c r="AW2233" s="6" t="str">
        <f>HYPERLINK("http://www.worldcat.org/oclc/694057282","WorldCat Record")</f>
        <v>WorldCat Record</v>
      </c>
      <c r="AX2233" s="3" t="s">
        <v>21893</v>
      </c>
      <c r="AY2233" s="3" t="s">
        <v>21894</v>
      </c>
      <c r="AZ2233" s="3" t="s">
        <v>21895</v>
      </c>
      <c r="BA2233" s="3" t="s">
        <v>21895</v>
      </c>
      <c r="BB2233" s="3" t="s">
        <v>21896</v>
      </c>
      <c r="BC2233" s="3" t="s">
        <v>77</v>
      </c>
      <c r="BD2233" s="3" t="s">
        <v>78</v>
      </c>
      <c r="BE2233" s="3" t="s">
        <v>21897</v>
      </c>
      <c r="BF2233" s="3" t="s">
        <v>21896</v>
      </c>
      <c r="BG2233" s="3" t="s">
        <v>21898</v>
      </c>
    </row>
    <row r="2234" spans="1:59" ht="72.5" x14ac:dyDescent="0.35">
      <c r="A2234" s="2" t="s">
        <v>59</v>
      </c>
      <c r="B2234" s="2" t="s">
        <v>60</v>
      </c>
      <c r="C2234" s="2" t="s">
        <v>21899</v>
      </c>
      <c r="D2234" s="2" t="s">
        <v>21900</v>
      </c>
      <c r="E2234" s="2" t="s">
        <v>21901</v>
      </c>
      <c r="G2234" s="3" t="s">
        <v>65</v>
      </c>
      <c r="I2234" s="3" t="s">
        <v>65</v>
      </c>
      <c r="J2234" s="3" t="s">
        <v>65</v>
      </c>
      <c r="K2234" s="3" t="s">
        <v>66</v>
      </c>
      <c r="M2234" s="2" t="s">
        <v>21693</v>
      </c>
      <c r="N2234" s="3" t="s">
        <v>139</v>
      </c>
      <c r="P2234" s="3" t="s">
        <v>140</v>
      </c>
      <c r="Q2234" s="2" t="s">
        <v>21902</v>
      </c>
      <c r="R2234" s="3" t="s">
        <v>71</v>
      </c>
      <c r="S2234" s="4">
        <v>0</v>
      </c>
      <c r="T2234" s="4">
        <v>0</v>
      </c>
      <c r="W2234" s="5" t="s">
        <v>72</v>
      </c>
      <c r="X2234" s="5" t="s">
        <v>72</v>
      </c>
      <c r="Y2234" s="4">
        <v>26</v>
      </c>
      <c r="Z2234" s="4">
        <v>3</v>
      </c>
      <c r="AA2234" s="4">
        <v>3</v>
      </c>
      <c r="AB2234" s="4">
        <v>1</v>
      </c>
      <c r="AC2234" s="4">
        <v>1</v>
      </c>
      <c r="AD2234" s="4">
        <v>19</v>
      </c>
      <c r="AE2234" s="4">
        <v>19</v>
      </c>
      <c r="AF2234" s="4">
        <v>0</v>
      </c>
      <c r="AG2234" s="4">
        <v>0</v>
      </c>
      <c r="AH2234" s="4">
        <v>18</v>
      </c>
      <c r="AI2234" s="4">
        <v>18</v>
      </c>
      <c r="AJ2234" s="4">
        <v>1</v>
      </c>
      <c r="AK2234" s="4">
        <v>1</v>
      </c>
      <c r="AL2234" s="4">
        <v>18</v>
      </c>
      <c r="AM2234" s="4">
        <v>18</v>
      </c>
      <c r="AN2234" s="4">
        <v>0</v>
      </c>
      <c r="AO2234" s="4">
        <v>0</v>
      </c>
      <c r="AP2234" s="4">
        <v>1</v>
      </c>
      <c r="AQ2234" s="4">
        <v>1</v>
      </c>
      <c r="AR2234" s="3" t="s">
        <v>65</v>
      </c>
      <c r="AS2234" s="3" t="s">
        <v>65</v>
      </c>
      <c r="AT2234" s="3" t="s">
        <v>65</v>
      </c>
      <c r="AV2234" s="6" t="str">
        <f>HYPERLINK("http://mcgill.on.worldcat.org/oclc/836773256","Catalog Record")</f>
        <v>Catalog Record</v>
      </c>
      <c r="AW2234" s="6" t="str">
        <f>HYPERLINK("http://www.worldcat.org/oclc/836773256","WorldCat Record")</f>
        <v>WorldCat Record</v>
      </c>
      <c r="AX2234" s="3" t="s">
        <v>21903</v>
      </c>
      <c r="AY2234" s="3" t="s">
        <v>21904</v>
      </c>
      <c r="AZ2234" s="3" t="s">
        <v>21905</v>
      </c>
      <c r="BA2234" s="3" t="s">
        <v>21905</v>
      </c>
      <c r="BB2234" s="3" t="s">
        <v>21906</v>
      </c>
      <c r="BC2234" s="3" t="s">
        <v>77</v>
      </c>
      <c r="BD2234" s="3" t="s">
        <v>78</v>
      </c>
      <c r="BE2234" s="3" t="s">
        <v>21907</v>
      </c>
      <c r="BF2234" s="3" t="s">
        <v>21906</v>
      </c>
      <c r="BG2234" s="3" t="s">
        <v>21908</v>
      </c>
    </row>
    <row r="2235" spans="1:59" ht="58" x14ac:dyDescent="0.35">
      <c r="A2235" s="2" t="s">
        <v>59</v>
      </c>
      <c r="B2235" s="2" t="s">
        <v>60</v>
      </c>
      <c r="C2235" s="2" t="s">
        <v>21909</v>
      </c>
      <c r="D2235" s="2" t="s">
        <v>21910</v>
      </c>
      <c r="E2235" s="2" t="s">
        <v>21911</v>
      </c>
      <c r="G2235" s="3" t="s">
        <v>65</v>
      </c>
      <c r="I2235" s="3" t="s">
        <v>65</v>
      </c>
      <c r="J2235" s="3" t="s">
        <v>65</v>
      </c>
      <c r="K2235" s="3" t="s">
        <v>66</v>
      </c>
      <c r="L2235" s="2" t="s">
        <v>21912</v>
      </c>
      <c r="M2235" s="2" t="s">
        <v>21913</v>
      </c>
      <c r="N2235" s="3" t="s">
        <v>113</v>
      </c>
      <c r="P2235" s="3" t="s">
        <v>140</v>
      </c>
      <c r="Q2235" s="2" t="s">
        <v>21914</v>
      </c>
      <c r="R2235" s="3" t="s">
        <v>71</v>
      </c>
      <c r="S2235" s="4">
        <v>0</v>
      </c>
      <c r="T2235" s="4">
        <v>0</v>
      </c>
      <c r="W2235" s="5" t="s">
        <v>72</v>
      </c>
      <c r="X2235" s="5" t="s">
        <v>72</v>
      </c>
      <c r="Y2235" s="4">
        <v>47</v>
      </c>
      <c r="Z2235" s="4">
        <v>4</v>
      </c>
      <c r="AA2235" s="4">
        <v>4</v>
      </c>
      <c r="AB2235" s="4">
        <v>1</v>
      </c>
      <c r="AC2235" s="4">
        <v>1</v>
      </c>
      <c r="AD2235" s="4">
        <v>38</v>
      </c>
      <c r="AE2235" s="4">
        <v>38</v>
      </c>
      <c r="AF2235" s="4">
        <v>0</v>
      </c>
      <c r="AG2235" s="4">
        <v>0</v>
      </c>
      <c r="AH2235" s="4">
        <v>37</v>
      </c>
      <c r="AI2235" s="4">
        <v>37</v>
      </c>
      <c r="AJ2235" s="4">
        <v>2</v>
      </c>
      <c r="AK2235" s="4">
        <v>2</v>
      </c>
      <c r="AL2235" s="4">
        <v>28</v>
      </c>
      <c r="AM2235" s="4">
        <v>28</v>
      </c>
      <c r="AN2235" s="4">
        <v>0</v>
      </c>
      <c r="AO2235" s="4">
        <v>0</v>
      </c>
      <c r="AP2235" s="4">
        <v>2</v>
      </c>
      <c r="AQ2235" s="4">
        <v>2</v>
      </c>
      <c r="AR2235" s="3" t="s">
        <v>65</v>
      </c>
      <c r="AS2235" s="3" t="s">
        <v>65</v>
      </c>
      <c r="AT2235" s="3" t="s">
        <v>65</v>
      </c>
      <c r="AV2235" s="6" t="str">
        <f>HYPERLINK("http://mcgill.on.worldcat.org/oclc/656501717","Catalog Record")</f>
        <v>Catalog Record</v>
      </c>
      <c r="AW2235" s="6" t="str">
        <f>HYPERLINK("http://www.worldcat.org/oclc/656501717","WorldCat Record")</f>
        <v>WorldCat Record</v>
      </c>
      <c r="AX2235" s="3" t="s">
        <v>21915</v>
      </c>
      <c r="AY2235" s="3" t="s">
        <v>21916</v>
      </c>
      <c r="AZ2235" s="3" t="s">
        <v>21917</v>
      </c>
      <c r="BA2235" s="3" t="s">
        <v>21917</v>
      </c>
      <c r="BB2235" s="3" t="s">
        <v>21918</v>
      </c>
      <c r="BC2235" s="3" t="s">
        <v>77</v>
      </c>
      <c r="BD2235" s="3" t="s">
        <v>78</v>
      </c>
      <c r="BE2235" s="3" t="s">
        <v>21919</v>
      </c>
      <c r="BF2235" s="3" t="s">
        <v>21918</v>
      </c>
      <c r="BG2235" s="3" t="s">
        <v>21920</v>
      </c>
    </row>
    <row r="2236" spans="1:59" ht="58" x14ac:dyDescent="0.35">
      <c r="A2236" s="2" t="s">
        <v>59</v>
      </c>
      <c r="B2236" s="2" t="s">
        <v>60</v>
      </c>
      <c r="C2236" s="2" t="s">
        <v>21921</v>
      </c>
      <c r="D2236" s="2" t="s">
        <v>21922</v>
      </c>
      <c r="E2236" s="2" t="s">
        <v>21923</v>
      </c>
      <c r="G2236" s="3" t="s">
        <v>65</v>
      </c>
      <c r="I2236" s="3" t="s">
        <v>65</v>
      </c>
      <c r="J2236" s="3" t="s">
        <v>65</v>
      </c>
      <c r="K2236" s="3" t="s">
        <v>66</v>
      </c>
      <c r="L2236" s="2" t="s">
        <v>21924</v>
      </c>
      <c r="M2236" s="2" t="s">
        <v>21925</v>
      </c>
      <c r="N2236" s="3" t="s">
        <v>126</v>
      </c>
      <c r="P2236" s="3" t="s">
        <v>140</v>
      </c>
      <c r="Q2236" s="2" t="s">
        <v>21926</v>
      </c>
      <c r="R2236" s="3" t="s">
        <v>71</v>
      </c>
      <c r="S2236" s="4">
        <v>0</v>
      </c>
      <c r="T2236" s="4">
        <v>0</v>
      </c>
      <c r="W2236" s="5" t="s">
        <v>72</v>
      </c>
      <c r="X2236" s="5" t="s">
        <v>72</v>
      </c>
      <c r="Y2236" s="4">
        <v>31</v>
      </c>
      <c r="Z2236" s="4">
        <v>4</v>
      </c>
      <c r="AA2236" s="4">
        <v>4</v>
      </c>
      <c r="AB2236" s="4">
        <v>1</v>
      </c>
      <c r="AC2236" s="4">
        <v>1</v>
      </c>
      <c r="AD2236" s="4">
        <v>22</v>
      </c>
      <c r="AE2236" s="4">
        <v>22</v>
      </c>
      <c r="AF2236" s="4">
        <v>0</v>
      </c>
      <c r="AG2236" s="4">
        <v>0</v>
      </c>
      <c r="AH2236" s="4">
        <v>21</v>
      </c>
      <c r="AI2236" s="4">
        <v>21</v>
      </c>
      <c r="AJ2236" s="4">
        <v>2</v>
      </c>
      <c r="AK2236" s="4">
        <v>2</v>
      </c>
      <c r="AL2236" s="4">
        <v>18</v>
      </c>
      <c r="AM2236" s="4">
        <v>18</v>
      </c>
      <c r="AN2236" s="4">
        <v>0</v>
      </c>
      <c r="AO2236" s="4">
        <v>0</v>
      </c>
      <c r="AP2236" s="4">
        <v>2</v>
      </c>
      <c r="AQ2236" s="4">
        <v>2</v>
      </c>
      <c r="AR2236" s="3" t="s">
        <v>65</v>
      </c>
      <c r="AS2236" s="3" t="s">
        <v>65</v>
      </c>
      <c r="AT2236" s="3" t="s">
        <v>65</v>
      </c>
      <c r="AV2236" s="6" t="str">
        <f>HYPERLINK("http://mcgill.on.worldcat.org/oclc/726827857","Catalog Record")</f>
        <v>Catalog Record</v>
      </c>
      <c r="AW2236" s="6" t="str">
        <f>HYPERLINK("http://www.worldcat.org/oclc/726827857","WorldCat Record")</f>
        <v>WorldCat Record</v>
      </c>
      <c r="AX2236" s="3" t="s">
        <v>21927</v>
      </c>
      <c r="AY2236" s="3" t="s">
        <v>21928</v>
      </c>
      <c r="AZ2236" s="3" t="s">
        <v>21929</v>
      </c>
      <c r="BA2236" s="3" t="s">
        <v>21929</v>
      </c>
      <c r="BB2236" s="3" t="s">
        <v>21930</v>
      </c>
      <c r="BC2236" s="3" t="s">
        <v>77</v>
      </c>
      <c r="BD2236" s="3" t="s">
        <v>78</v>
      </c>
      <c r="BE2236" s="3" t="s">
        <v>21931</v>
      </c>
      <c r="BF2236" s="3" t="s">
        <v>21930</v>
      </c>
      <c r="BG2236" s="3" t="s">
        <v>21932</v>
      </c>
    </row>
    <row r="2237" spans="1:59" ht="58" x14ac:dyDescent="0.35">
      <c r="A2237" s="2" t="s">
        <v>59</v>
      </c>
      <c r="B2237" s="2" t="s">
        <v>60</v>
      </c>
      <c r="C2237" s="2" t="s">
        <v>21933</v>
      </c>
      <c r="D2237" s="2" t="s">
        <v>21934</v>
      </c>
      <c r="E2237" s="2" t="s">
        <v>21935</v>
      </c>
      <c r="G2237" s="3" t="s">
        <v>65</v>
      </c>
      <c r="I2237" s="3" t="s">
        <v>65</v>
      </c>
      <c r="J2237" s="3" t="s">
        <v>65</v>
      </c>
      <c r="K2237" s="3" t="s">
        <v>66</v>
      </c>
      <c r="L2237" s="2" t="s">
        <v>21936</v>
      </c>
      <c r="M2237" s="2" t="s">
        <v>21937</v>
      </c>
      <c r="N2237" s="3" t="s">
        <v>176</v>
      </c>
      <c r="O2237" s="2" t="s">
        <v>235</v>
      </c>
      <c r="P2237" s="3" t="s">
        <v>140</v>
      </c>
      <c r="R2237" s="3" t="s">
        <v>71</v>
      </c>
      <c r="S2237" s="4">
        <v>0</v>
      </c>
      <c r="T2237" s="4">
        <v>0</v>
      </c>
      <c r="W2237" s="5" t="s">
        <v>72</v>
      </c>
      <c r="X2237" s="5" t="s">
        <v>72</v>
      </c>
      <c r="Y2237" s="4">
        <v>28</v>
      </c>
      <c r="Z2237" s="4">
        <v>4</v>
      </c>
      <c r="AA2237" s="4">
        <v>4</v>
      </c>
      <c r="AB2237" s="4">
        <v>1</v>
      </c>
      <c r="AC2237" s="4">
        <v>1</v>
      </c>
      <c r="AD2237" s="4">
        <v>21</v>
      </c>
      <c r="AE2237" s="4">
        <v>21</v>
      </c>
      <c r="AF2237" s="4">
        <v>0</v>
      </c>
      <c r="AG2237" s="4">
        <v>0</v>
      </c>
      <c r="AH2237" s="4">
        <v>20</v>
      </c>
      <c r="AI2237" s="4">
        <v>20</v>
      </c>
      <c r="AJ2237" s="4">
        <v>2</v>
      </c>
      <c r="AK2237" s="4">
        <v>2</v>
      </c>
      <c r="AL2237" s="4">
        <v>14</v>
      </c>
      <c r="AM2237" s="4">
        <v>14</v>
      </c>
      <c r="AN2237" s="4">
        <v>0</v>
      </c>
      <c r="AO2237" s="4">
        <v>0</v>
      </c>
      <c r="AP2237" s="4">
        <v>2</v>
      </c>
      <c r="AQ2237" s="4">
        <v>2</v>
      </c>
      <c r="AR2237" s="3" t="s">
        <v>65</v>
      </c>
      <c r="AS2237" s="3" t="s">
        <v>65</v>
      </c>
      <c r="AT2237" s="3" t="s">
        <v>65</v>
      </c>
      <c r="AV2237" s="6" t="str">
        <f>HYPERLINK("http://mcgill.on.worldcat.org/oclc/913217994","Catalog Record")</f>
        <v>Catalog Record</v>
      </c>
      <c r="AW2237" s="6" t="str">
        <f>HYPERLINK("http://www.worldcat.org/oclc/913217994","WorldCat Record")</f>
        <v>WorldCat Record</v>
      </c>
      <c r="AX2237" s="3" t="s">
        <v>21938</v>
      </c>
      <c r="AY2237" s="3" t="s">
        <v>21939</v>
      </c>
      <c r="AZ2237" s="3" t="s">
        <v>21940</v>
      </c>
      <c r="BA2237" s="3" t="s">
        <v>21940</v>
      </c>
      <c r="BB2237" s="3" t="s">
        <v>21941</v>
      </c>
      <c r="BC2237" s="3" t="s">
        <v>77</v>
      </c>
      <c r="BD2237" s="3" t="s">
        <v>78</v>
      </c>
      <c r="BE2237" s="3" t="s">
        <v>21942</v>
      </c>
      <c r="BF2237" s="3" t="s">
        <v>21941</v>
      </c>
      <c r="BG2237" s="3" t="s">
        <v>21943</v>
      </c>
    </row>
    <row r="2238" spans="1:59" ht="58" x14ac:dyDescent="0.35">
      <c r="A2238" s="2" t="s">
        <v>59</v>
      </c>
      <c r="B2238" s="2" t="s">
        <v>60</v>
      </c>
      <c r="C2238" s="2" t="s">
        <v>21944</v>
      </c>
      <c r="D2238" s="2" t="s">
        <v>21945</v>
      </c>
      <c r="E2238" s="2" t="s">
        <v>21946</v>
      </c>
      <c r="G2238" s="3" t="s">
        <v>65</v>
      </c>
      <c r="I2238" s="3" t="s">
        <v>65</v>
      </c>
      <c r="J2238" s="3" t="s">
        <v>65</v>
      </c>
      <c r="K2238" s="3" t="s">
        <v>66</v>
      </c>
      <c r="L2238" s="2" t="s">
        <v>21947</v>
      </c>
      <c r="M2238" s="2" t="s">
        <v>20005</v>
      </c>
      <c r="N2238" s="3" t="s">
        <v>176</v>
      </c>
      <c r="P2238" s="3" t="s">
        <v>140</v>
      </c>
      <c r="Q2238" s="2" t="s">
        <v>21948</v>
      </c>
      <c r="R2238" s="3" t="s">
        <v>71</v>
      </c>
      <c r="S2238" s="4">
        <v>0</v>
      </c>
      <c r="T2238" s="4">
        <v>0</v>
      </c>
      <c r="W2238" s="5" t="s">
        <v>72</v>
      </c>
      <c r="X2238" s="5" t="s">
        <v>72</v>
      </c>
      <c r="Y2238" s="4">
        <v>52</v>
      </c>
      <c r="Z2238" s="4">
        <v>5</v>
      </c>
      <c r="AA2238" s="4">
        <v>5</v>
      </c>
      <c r="AB2238" s="4">
        <v>1</v>
      </c>
      <c r="AC2238" s="4">
        <v>1</v>
      </c>
      <c r="AD2238" s="4">
        <v>39</v>
      </c>
      <c r="AE2238" s="4">
        <v>39</v>
      </c>
      <c r="AF2238" s="4">
        <v>0</v>
      </c>
      <c r="AG2238" s="4">
        <v>0</v>
      </c>
      <c r="AH2238" s="4">
        <v>38</v>
      </c>
      <c r="AI2238" s="4">
        <v>38</v>
      </c>
      <c r="AJ2238" s="4">
        <v>2</v>
      </c>
      <c r="AK2238" s="4">
        <v>2</v>
      </c>
      <c r="AL2238" s="4">
        <v>29</v>
      </c>
      <c r="AM2238" s="4">
        <v>29</v>
      </c>
      <c r="AN2238" s="4">
        <v>0</v>
      </c>
      <c r="AO2238" s="4">
        <v>0</v>
      </c>
      <c r="AP2238" s="4">
        <v>2</v>
      </c>
      <c r="AQ2238" s="4">
        <v>2</v>
      </c>
      <c r="AR2238" s="3" t="s">
        <v>65</v>
      </c>
      <c r="AS2238" s="3" t="s">
        <v>65</v>
      </c>
      <c r="AT2238" s="3" t="s">
        <v>65</v>
      </c>
      <c r="AV2238" s="6" t="str">
        <f>HYPERLINK("http://mcgill.on.worldcat.org/oclc/913744424","Catalog Record")</f>
        <v>Catalog Record</v>
      </c>
      <c r="AW2238" s="6" t="str">
        <f>HYPERLINK("http://www.worldcat.org/oclc/913744424","WorldCat Record")</f>
        <v>WorldCat Record</v>
      </c>
      <c r="AX2238" s="3" t="s">
        <v>21949</v>
      </c>
      <c r="AY2238" s="3" t="s">
        <v>21950</v>
      </c>
      <c r="AZ2238" s="3" t="s">
        <v>21951</v>
      </c>
      <c r="BA2238" s="3" t="s">
        <v>21951</v>
      </c>
      <c r="BB2238" s="3" t="s">
        <v>21952</v>
      </c>
      <c r="BC2238" s="3" t="s">
        <v>77</v>
      </c>
      <c r="BD2238" s="3" t="s">
        <v>78</v>
      </c>
      <c r="BE2238" s="3" t="s">
        <v>21953</v>
      </c>
      <c r="BF2238" s="3" t="s">
        <v>21952</v>
      </c>
      <c r="BG2238" s="3" t="s">
        <v>21954</v>
      </c>
    </row>
    <row r="2239" spans="1:59" ht="58" x14ac:dyDescent="0.35">
      <c r="A2239" s="2" t="s">
        <v>59</v>
      </c>
      <c r="B2239" s="2" t="s">
        <v>60</v>
      </c>
      <c r="C2239" s="2" t="s">
        <v>21955</v>
      </c>
      <c r="D2239" s="2" t="s">
        <v>21956</v>
      </c>
      <c r="E2239" s="2" t="s">
        <v>21957</v>
      </c>
      <c r="G2239" s="3" t="s">
        <v>65</v>
      </c>
      <c r="I2239" s="3" t="s">
        <v>65</v>
      </c>
      <c r="J2239" s="3" t="s">
        <v>65</v>
      </c>
      <c r="K2239" s="3" t="s">
        <v>66</v>
      </c>
      <c r="L2239" s="2" t="s">
        <v>21958</v>
      </c>
      <c r="M2239" s="2" t="s">
        <v>2280</v>
      </c>
      <c r="N2239" s="3" t="s">
        <v>126</v>
      </c>
      <c r="P2239" s="3" t="s">
        <v>140</v>
      </c>
      <c r="Q2239" s="2" t="s">
        <v>21959</v>
      </c>
      <c r="R2239" s="3" t="s">
        <v>71</v>
      </c>
      <c r="S2239" s="4">
        <v>0</v>
      </c>
      <c r="T2239" s="4">
        <v>0</v>
      </c>
      <c r="W2239" s="5" t="s">
        <v>72</v>
      </c>
      <c r="X2239" s="5" t="s">
        <v>72</v>
      </c>
      <c r="Y2239" s="4">
        <v>35</v>
      </c>
      <c r="Z2239" s="4">
        <v>1</v>
      </c>
      <c r="AA2239" s="4">
        <v>3</v>
      </c>
      <c r="AB2239" s="4">
        <v>1</v>
      </c>
      <c r="AC2239" s="4">
        <v>1</v>
      </c>
      <c r="AD2239" s="4">
        <v>27</v>
      </c>
      <c r="AE2239" s="4">
        <v>28</v>
      </c>
      <c r="AF2239" s="4">
        <v>0</v>
      </c>
      <c r="AG2239" s="4">
        <v>0</v>
      </c>
      <c r="AH2239" s="4">
        <v>26</v>
      </c>
      <c r="AI2239" s="4">
        <v>27</v>
      </c>
      <c r="AJ2239" s="4">
        <v>0</v>
      </c>
      <c r="AK2239" s="4">
        <v>1</v>
      </c>
      <c r="AL2239" s="4">
        <v>22</v>
      </c>
      <c r="AM2239" s="4">
        <v>23</v>
      </c>
      <c r="AN2239" s="4">
        <v>0</v>
      </c>
      <c r="AO2239" s="4">
        <v>0</v>
      </c>
      <c r="AP2239" s="4">
        <v>0</v>
      </c>
      <c r="AQ2239" s="4">
        <v>1</v>
      </c>
      <c r="AR2239" s="3" t="s">
        <v>65</v>
      </c>
      <c r="AS2239" s="3" t="s">
        <v>65</v>
      </c>
      <c r="AT2239" s="3" t="s">
        <v>65</v>
      </c>
      <c r="AV2239" s="6" t="str">
        <f>HYPERLINK("http://mcgill.on.worldcat.org/oclc/758438806","Catalog Record")</f>
        <v>Catalog Record</v>
      </c>
      <c r="AW2239" s="6" t="str">
        <f>HYPERLINK("http://www.worldcat.org/oclc/758438806","WorldCat Record")</f>
        <v>WorldCat Record</v>
      </c>
      <c r="AX2239" s="3" t="s">
        <v>21960</v>
      </c>
      <c r="AY2239" s="3" t="s">
        <v>21961</v>
      </c>
      <c r="AZ2239" s="3" t="s">
        <v>21962</v>
      </c>
      <c r="BA2239" s="3" t="s">
        <v>21962</v>
      </c>
      <c r="BB2239" s="3" t="s">
        <v>21963</v>
      </c>
      <c r="BC2239" s="3" t="s">
        <v>5567</v>
      </c>
      <c r="BD2239" s="3" t="s">
        <v>78</v>
      </c>
      <c r="BE2239" s="3" t="s">
        <v>21964</v>
      </c>
      <c r="BF2239" s="3" t="s">
        <v>21963</v>
      </c>
      <c r="BG2239" s="3" t="s">
        <v>21965</v>
      </c>
    </row>
    <row r="2240" spans="1:59" ht="58" x14ac:dyDescent="0.35">
      <c r="A2240" s="2" t="s">
        <v>59</v>
      </c>
      <c r="B2240" s="2" t="s">
        <v>60</v>
      </c>
      <c r="C2240" s="2" t="s">
        <v>21966</v>
      </c>
      <c r="D2240" s="2" t="s">
        <v>21967</v>
      </c>
      <c r="E2240" s="2" t="s">
        <v>21968</v>
      </c>
      <c r="G2240" s="3" t="s">
        <v>65</v>
      </c>
      <c r="I2240" s="3" t="s">
        <v>65</v>
      </c>
      <c r="J2240" s="3" t="s">
        <v>65</v>
      </c>
      <c r="K2240" s="3" t="s">
        <v>66</v>
      </c>
      <c r="L2240" s="2" t="s">
        <v>21969</v>
      </c>
      <c r="M2240" s="2" t="s">
        <v>21970</v>
      </c>
      <c r="N2240" s="3" t="s">
        <v>152</v>
      </c>
      <c r="P2240" s="3" t="s">
        <v>140</v>
      </c>
      <c r="Q2240" s="2" t="s">
        <v>21971</v>
      </c>
      <c r="R2240" s="3" t="s">
        <v>71</v>
      </c>
      <c r="S2240" s="4">
        <v>0</v>
      </c>
      <c r="T2240" s="4">
        <v>0</v>
      </c>
      <c r="W2240" s="5" t="s">
        <v>72</v>
      </c>
      <c r="X2240" s="5" t="s">
        <v>72</v>
      </c>
      <c r="Y2240" s="4">
        <v>23</v>
      </c>
      <c r="Z2240" s="4">
        <v>3</v>
      </c>
      <c r="AA2240" s="4">
        <v>3</v>
      </c>
      <c r="AB2240" s="4">
        <v>1</v>
      </c>
      <c r="AC2240" s="4">
        <v>1</v>
      </c>
      <c r="AD2240" s="4">
        <v>15</v>
      </c>
      <c r="AE2240" s="4">
        <v>15</v>
      </c>
      <c r="AF2240" s="4">
        <v>0</v>
      </c>
      <c r="AG2240" s="4">
        <v>0</v>
      </c>
      <c r="AH2240" s="4">
        <v>14</v>
      </c>
      <c r="AI2240" s="4">
        <v>14</v>
      </c>
      <c r="AJ2240" s="4">
        <v>1</v>
      </c>
      <c r="AK2240" s="4">
        <v>1</v>
      </c>
      <c r="AL2240" s="4">
        <v>13</v>
      </c>
      <c r="AM2240" s="4">
        <v>13</v>
      </c>
      <c r="AN2240" s="4">
        <v>0</v>
      </c>
      <c r="AO2240" s="4">
        <v>0</v>
      </c>
      <c r="AP2240" s="4">
        <v>1</v>
      </c>
      <c r="AQ2240" s="4">
        <v>1</v>
      </c>
      <c r="AR2240" s="3" t="s">
        <v>65</v>
      </c>
      <c r="AS2240" s="3" t="s">
        <v>65</v>
      </c>
      <c r="AT2240" s="3" t="s">
        <v>65</v>
      </c>
      <c r="AV2240" s="6" t="str">
        <f>HYPERLINK("http://mcgill.on.worldcat.org/oclc/839273817","Catalog Record")</f>
        <v>Catalog Record</v>
      </c>
      <c r="AW2240" s="6" t="str">
        <f>HYPERLINK("http://www.worldcat.org/oclc/839273817","WorldCat Record")</f>
        <v>WorldCat Record</v>
      </c>
      <c r="AX2240" s="3" t="s">
        <v>21972</v>
      </c>
      <c r="AY2240" s="3" t="s">
        <v>21973</v>
      </c>
      <c r="AZ2240" s="3" t="s">
        <v>21974</v>
      </c>
      <c r="BA2240" s="3" t="s">
        <v>21974</v>
      </c>
      <c r="BB2240" s="3" t="s">
        <v>21975</v>
      </c>
      <c r="BC2240" s="3" t="s">
        <v>77</v>
      </c>
      <c r="BD2240" s="3" t="s">
        <v>78</v>
      </c>
      <c r="BE2240" s="3" t="s">
        <v>21976</v>
      </c>
      <c r="BF2240" s="3" t="s">
        <v>21975</v>
      </c>
      <c r="BG2240" s="3" t="s">
        <v>21977</v>
      </c>
    </row>
    <row r="2241" spans="1:59" ht="58" x14ac:dyDescent="0.35">
      <c r="A2241" s="2" t="s">
        <v>59</v>
      </c>
      <c r="B2241" s="2" t="s">
        <v>60</v>
      </c>
      <c r="C2241" s="2" t="s">
        <v>21978</v>
      </c>
      <c r="D2241" s="2" t="s">
        <v>21979</v>
      </c>
      <c r="E2241" s="2" t="s">
        <v>21980</v>
      </c>
      <c r="G2241" s="3" t="s">
        <v>65</v>
      </c>
      <c r="I2241" s="3" t="s">
        <v>65</v>
      </c>
      <c r="J2241" s="3" t="s">
        <v>65</v>
      </c>
      <c r="K2241" s="3" t="s">
        <v>66</v>
      </c>
      <c r="L2241" s="2" t="s">
        <v>21981</v>
      </c>
      <c r="M2241" s="2" t="s">
        <v>21982</v>
      </c>
      <c r="N2241" s="3" t="s">
        <v>139</v>
      </c>
      <c r="P2241" s="3" t="s">
        <v>140</v>
      </c>
      <c r="Q2241" s="2" t="s">
        <v>21971</v>
      </c>
      <c r="R2241" s="3" t="s">
        <v>71</v>
      </c>
      <c r="S2241" s="4">
        <v>0</v>
      </c>
      <c r="T2241" s="4">
        <v>0</v>
      </c>
      <c r="W2241" s="5" t="s">
        <v>72</v>
      </c>
      <c r="X2241" s="5" t="s">
        <v>72</v>
      </c>
      <c r="Y2241" s="4">
        <v>42</v>
      </c>
      <c r="Z2241" s="4">
        <v>4</v>
      </c>
      <c r="AA2241" s="4">
        <v>4</v>
      </c>
      <c r="AB2241" s="4">
        <v>1</v>
      </c>
      <c r="AC2241" s="4">
        <v>1</v>
      </c>
      <c r="AD2241" s="4">
        <v>32</v>
      </c>
      <c r="AE2241" s="4">
        <v>32</v>
      </c>
      <c r="AF2241" s="4">
        <v>0</v>
      </c>
      <c r="AG2241" s="4">
        <v>0</v>
      </c>
      <c r="AH2241" s="4">
        <v>31</v>
      </c>
      <c r="AI2241" s="4">
        <v>31</v>
      </c>
      <c r="AJ2241" s="4">
        <v>2</v>
      </c>
      <c r="AK2241" s="4">
        <v>2</v>
      </c>
      <c r="AL2241" s="4">
        <v>24</v>
      </c>
      <c r="AM2241" s="4">
        <v>24</v>
      </c>
      <c r="AN2241" s="4">
        <v>0</v>
      </c>
      <c r="AO2241" s="4">
        <v>0</v>
      </c>
      <c r="AP2241" s="4">
        <v>2</v>
      </c>
      <c r="AQ2241" s="4">
        <v>2</v>
      </c>
      <c r="AR2241" s="3" t="s">
        <v>65</v>
      </c>
      <c r="AS2241" s="3" t="s">
        <v>65</v>
      </c>
      <c r="AT2241" s="3" t="s">
        <v>65</v>
      </c>
      <c r="AV2241" s="6" t="str">
        <f>HYPERLINK("http://mcgill.on.worldcat.org/oclc/799999290","Catalog Record")</f>
        <v>Catalog Record</v>
      </c>
      <c r="AW2241" s="6" t="str">
        <f>HYPERLINK("http://www.worldcat.org/oclc/799999290","WorldCat Record")</f>
        <v>WorldCat Record</v>
      </c>
      <c r="AX2241" s="3" t="s">
        <v>21983</v>
      </c>
      <c r="AY2241" s="3" t="s">
        <v>21984</v>
      </c>
      <c r="AZ2241" s="3" t="s">
        <v>21985</v>
      </c>
      <c r="BA2241" s="3" t="s">
        <v>21985</v>
      </c>
      <c r="BB2241" s="3" t="s">
        <v>21986</v>
      </c>
      <c r="BC2241" s="3" t="s">
        <v>77</v>
      </c>
      <c r="BD2241" s="3" t="s">
        <v>78</v>
      </c>
      <c r="BE2241" s="3" t="s">
        <v>21987</v>
      </c>
      <c r="BF2241" s="3" t="s">
        <v>21986</v>
      </c>
      <c r="BG2241" s="3" t="s">
        <v>21988</v>
      </c>
    </row>
    <row r="2242" spans="1:59" ht="58" x14ac:dyDescent="0.35">
      <c r="A2242" s="2" t="s">
        <v>59</v>
      </c>
      <c r="B2242" s="2" t="s">
        <v>60</v>
      </c>
      <c r="C2242" s="2" t="s">
        <v>21989</v>
      </c>
      <c r="D2242" s="2" t="s">
        <v>21990</v>
      </c>
      <c r="E2242" s="2" t="s">
        <v>21991</v>
      </c>
      <c r="G2242" s="3" t="s">
        <v>65</v>
      </c>
      <c r="I2242" s="3" t="s">
        <v>65</v>
      </c>
      <c r="J2242" s="3" t="s">
        <v>65</v>
      </c>
      <c r="K2242" s="3" t="s">
        <v>66</v>
      </c>
      <c r="L2242" s="2" t="s">
        <v>21992</v>
      </c>
      <c r="M2242" s="2" t="s">
        <v>21993</v>
      </c>
      <c r="N2242" s="3" t="s">
        <v>126</v>
      </c>
      <c r="P2242" s="3" t="s">
        <v>140</v>
      </c>
      <c r="Q2242" s="2" t="s">
        <v>7431</v>
      </c>
      <c r="R2242" s="3" t="s">
        <v>71</v>
      </c>
      <c r="S2242" s="4">
        <v>0</v>
      </c>
      <c r="T2242" s="4">
        <v>0</v>
      </c>
      <c r="W2242" s="5" t="s">
        <v>72</v>
      </c>
      <c r="X2242" s="5" t="s">
        <v>72</v>
      </c>
      <c r="Y2242" s="4">
        <v>55</v>
      </c>
      <c r="Z2242" s="4">
        <v>5</v>
      </c>
      <c r="AA2242" s="4">
        <v>5</v>
      </c>
      <c r="AB2242" s="4">
        <v>1</v>
      </c>
      <c r="AC2242" s="4">
        <v>1</v>
      </c>
      <c r="AD2242" s="4">
        <v>37</v>
      </c>
      <c r="AE2242" s="4">
        <v>37</v>
      </c>
      <c r="AF2242" s="4">
        <v>0</v>
      </c>
      <c r="AG2242" s="4">
        <v>0</v>
      </c>
      <c r="AH2242" s="4">
        <v>36</v>
      </c>
      <c r="AI2242" s="4">
        <v>36</v>
      </c>
      <c r="AJ2242" s="4">
        <v>3</v>
      </c>
      <c r="AK2242" s="4">
        <v>3</v>
      </c>
      <c r="AL2242" s="4">
        <v>28</v>
      </c>
      <c r="AM2242" s="4">
        <v>28</v>
      </c>
      <c r="AN2242" s="4">
        <v>0</v>
      </c>
      <c r="AO2242" s="4">
        <v>0</v>
      </c>
      <c r="AP2242" s="4">
        <v>3</v>
      </c>
      <c r="AQ2242" s="4">
        <v>3</v>
      </c>
      <c r="AR2242" s="3" t="s">
        <v>65</v>
      </c>
      <c r="AS2242" s="3" t="s">
        <v>65</v>
      </c>
      <c r="AT2242" s="3" t="s">
        <v>65</v>
      </c>
      <c r="AV2242" s="6" t="str">
        <f>HYPERLINK("http://mcgill.on.worldcat.org/oclc/811589524","Catalog Record")</f>
        <v>Catalog Record</v>
      </c>
      <c r="AW2242" s="6" t="str">
        <f>HYPERLINK("http://www.worldcat.org/oclc/811589524","WorldCat Record")</f>
        <v>WorldCat Record</v>
      </c>
      <c r="AX2242" s="3" t="s">
        <v>21994</v>
      </c>
      <c r="AY2242" s="3" t="s">
        <v>21995</v>
      </c>
      <c r="AZ2242" s="3" t="s">
        <v>21996</v>
      </c>
      <c r="BA2242" s="3" t="s">
        <v>21996</v>
      </c>
      <c r="BB2242" s="3" t="s">
        <v>21997</v>
      </c>
      <c r="BC2242" s="3" t="s">
        <v>77</v>
      </c>
      <c r="BD2242" s="3" t="s">
        <v>78</v>
      </c>
      <c r="BE2242" s="3" t="s">
        <v>21998</v>
      </c>
      <c r="BF2242" s="3" t="s">
        <v>21997</v>
      </c>
      <c r="BG2242" s="3" t="s">
        <v>21999</v>
      </c>
    </row>
    <row r="2243" spans="1:59" ht="58" x14ac:dyDescent="0.35">
      <c r="A2243" s="2" t="s">
        <v>59</v>
      </c>
      <c r="B2243" s="2" t="s">
        <v>60</v>
      </c>
      <c r="C2243" s="2" t="s">
        <v>22000</v>
      </c>
      <c r="D2243" s="2" t="s">
        <v>22001</v>
      </c>
      <c r="E2243" s="2" t="s">
        <v>22002</v>
      </c>
      <c r="G2243" s="3" t="s">
        <v>65</v>
      </c>
      <c r="I2243" s="3" t="s">
        <v>65</v>
      </c>
      <c r="J2243" s="3" t="s">
        <v>65</v>
      </c>
      <c r="K2243" s="3" t="s">
        <v>66</v>
      </c>
      <c r="L2243" s="2" t="s">
        <v>22003</v>
      </c>
      <c r="M2243" s="2" t="s">
        <v>22004</v>
      </c>
      <c r="N2243" s="3" t="s">
        <v>1835</v>
      </c>
      <c r="O2243" s="2" t="s">
        <v>365</v>
      </c>
      <c r="P2243" s="3" t="s">
        <v>140</v>
      </c>
      <c r="Q2243" s="2" t="s">
        <v>22005</v>
      </c>
      <c r="R2243" s="3" t="s">
        <v>71</v>
      </c>
      <c r="S2243" s="4">
        <v>2</v>
      </c>
      <c r="T2243" s="4">
        <v>2</v>
      </c>
      <c r="U2243" s="5" t="s">
        <v>11143</v>
      </c>
      <c r="V2243" s="5" t="s">
        <v>11143</v>
      </c>
      <c r="W2243" s="5" t="s">
        <v>72</v>
      </c>
      <c r="X2243" s="5" t="s">
        <v>72</v>
      </c>
      <c r="Y2243" s="4">
        <v>28</v>
      </c>
      <c r="Z2243" s="4">
        <v>2</v>
      </c>
      <c r="AA2243" s="4">
        <v>2</v>
      </c>
      <c r="AB2243" s="4">
        <v>1</v>
      </c>
      <c r="AC2243" s="4">
        <v>1</v>
      </c>
      <c r="AD2243" s="4">
        <v>18</v>
      </c>
      <c r="AE2243" s="4">
        <v>18</v>
      </c>
      <c r="AF2243" s="4">
        <v>0</v>
      </c>
      <c r="AG2243" s="4">
        <v>0</v>
      </c>
      <c r="AH2243" s="4">
        <v>16</v>
      </c>
      <c r="AI2243" s="4">
        <v>16</v>
      </c>
      <c r="AJ2243" s="4">
        <v>0</v>
      </c>
      <c r="AK2243" s="4">
        <v>0</v>
      </c>
      <c r="AL2243" s="4">
        <v>11</v>
      </c>
      <c r="AM2243" s="4">
        <v>11</v>
      </c>
      <c r="AN2243" s="4">
        <v>0</v>
      </c>
      <c r="AO2243" s="4">
        <v>0</v>
      </c>
      <c r="AP2243" s="4">
        <v>0</v>
      </c>
      <c r="AQ2243" s="4">
        <v>0</v>
      </c>
      <c r="AR2243" s="3" t="s">
        <v>65</v>
      </c>
      <c r="AS2243" s="3" t="s">
        <v>65</v>
      </c>
      <c r="AT2243" s="3" t="s">
        <v>65</v>
      </c>
      <c r="AV2243" s="6" t="str">
        <f>HYPERLINK("http://mcgill.on.worldcat.org/oclc/17024556","Catalog Record")</f>
        <v>Catalog Record</v>
      </c>
      <c r="AW2243" s="6" t="str">
        <f>HYPERLINK("http://www.worldcat.org/oclc/17024556","WorldCat Record")</f>
        <v>WorldCat Record</v>
      </c>
      <c r="AX2243" s="3" t="s">
        <v>22006</v>
      </c>
      <c r="AY2243" s="3" t="s">
        <v>22007</v>
      </c>
      <c r="AZ2243" s="3" t="s">
        <v>22008</v>
      </c>
      <c r="BA2243" s="3" t="s">
        <v>22008</v>
      </c>
      <c r="BB2243" s="3" t="s">
        <v>22009</v>
      </c>
      <c r="BC2243" s="3" t="s">
        <v>77</v>
      </c>
      <c r="BD2243" s="3" t="s">
        <v>78</v>
      </c>
      <c r="BF2243" s="3" t="s">
        <v>22009</v>
      </c>
      <c r="BG2243" s="3" t="s">
        <v>22010</v>
      </c>
    </row>
    <row r="2244" spans="1:59" ht="58" x14ac:dyDescent="0.35">
      <c r="A2244" s="2" t="s">
        <v>59</v>
      </c>
      <c r="B2244" s="2" t="s">
        <v>60</v>
      </c>
      <c r="C2244" s="2" t="s">
        <v>22011</v>
      </c>
      <c r="D2244" s="2" t="s">
        <v>22012</v>
      </c>
      <c r="E2244" s="2" t="s">
        <v>22013</v>
      </c>
      <c r="G2244" s="3" t="s">
        <v>65</v>
      </c>
      <c r="I2244" s="3" t="s">
        <v>65</v>
      </c>
      <c r="J2244" s="3" t="s">
        <v>65</v>
      </c>
      <c r="K2244" s="3" t="s">
        <v>66</v>
      </c>
      <c r="L2244" s="2" t="s">
        <v>22003</v>
      </c>
      <c r="M2244" s="2" t="s">
        <v>22014</v>
      </c>
      <c r="N2244" s="3" t="s">
        <v>7187</v>
      </c>
      <c r="P2244" s="3" t="s">
        <v>140</v>
      </c>
      <c r="R2244" s="3" t="s">
        <v>71</v>
      </c>
      <c r="S2244" s="4">
        <v>2</v>
      </c>
      <c r="T2244" s="4">
        <v>2</v>
      </c>
      <c r="U2244" s="5" t="s">
        <v>3959</v>
      </c>
      <c r="V2244" s="5" t="s">
        <v>3959</v>
      </c>
      <c r="W2244" s="5" t="s">
        <v>72</v>
      </c>
      <c r="X2244" s="5" t="s">
        <v>72</v>
      </c>
      <c r="Y2244" s="4">
        <v>87</v>
      </c>
      <c r="Z2244" s="4">
        <v>7</v>
      </c>
      <c r="AA2244" s="4">
        <v>7</v>
      </c>
      <c r="AB2244" s="4">
        <v>1</v>
      </c>
      <c r="AC2244" s="4">
        <v>1</v>
      </c>
      <c r="AD2244" s="4">
        <v>39</v>
      </c>
      <c r="AE2244" s="4">
        <v>40</v>
      </c>
      <c r="AF2244" s="4">
        <v>0</v>
      </c>
      <c r="AG2244" s="4">
        <v>0</v>
      </c>
      <c r="AH2244" s="4">
        <v>35</v>
      </c>
      <c r="AI2244" s="4">
        <v>36</v>
      </c>
      <c r="AJ2244" s="4">
        <v>5</v>
      </c>
      <c r="AK2244" s="4">
        <v>5</v>
      </c>
      <c r="AL2244" s="4">
        <v>26</v>
      </c>
      <c r="AM2244" s="4">
        <v>26</v>
      </c>
      <c r="AN2244" s="4">
        <v>0</v>
      </c>
      <c r="AO2244" s="4">
        <v>0</v>
      </c>
      <c r="AP2244" s="4">
        <v>5</v>
      </c>
      <c r="AQ2244" s="4">
        <v>5</v>
      </c>
      <c r="AR2244" s="3" t="s">
        <v>65</v>
      </c>
      <c r="AS2244" s="3" t="s">
        <v>65</v>
      </c>
      <c r="AT2244" s="3" t="s">
        <v>209</v>
      </c>
      <c r="AU2244" s="6" t="str">
        <f>HYPERLINK("http://catalog.hathitrust.org/Record/007875282","HathiTrust Record")</f>
        <v>HathiTrust Record</v>
      </c>
      <c r="AV2244" s="6" t="str">
        <f>HYPERLINK("http://mcgill.on.worldcat.org/oclc/4002359","Catalog Record")</f>
        <v>Catalog Record</v>
      </c>
      <c r="AW2244" s="6" t="str">
        <f>HYPERLINK("http://www.worldcat.org/oclc/4002359","WorldCat Record")</f>
        <v>WorldCat Record</v>
      </c>
      <c r="AX2244" s="3" t="s">
        <v>22015</v>
      </c>
      <c r="AY2244" s="3" t="s">
        <v>22016</v>
      </c>
      <c r="AZ2244" s="3" t="s">
        <v>22017</v>
      </c>
      <c r="BA2244" s="3" t="s">
        <v>22017</v>
      </c>
      <c r="BB2244" s="3" t="s">
        <v>22018</v>
      </c>
      <c r="BC2244" s="3" t="s">
        <v>77</v>
      </c>
      <c r="BD2244" s="3" t="s">
        <v>78</v>
      </c>
      <c r="BF2244" s="3" t="s">
        <v>22018</v>
      </c>
      <c r="BG2244" s="3" t="s">
        <v>22019</v>
      </c>
    </row>
    <row r="2245" spans="1:59" ht="58" x14ac:dyDescent="0.35">
      <c r="A2245" s="2" t="s">
        <v>59</v>
      </c>
      <c r="B2245" s="2" t="s">
        <v>60</v>
      </c>
      <c r="C2245" s="2" t="s">
        <v>22020</v>
      </c>
      <c r="D2245" s="2" t="s">
        <v>22021</v>
      </c>
      <c r="E2245" s="2" t="s">
        <v>22022</v>
      </c>
      <c r="G2245" s="3" t="s">
        <v>65</v>
      </c>
      <c r="I2245" s="3" t="s">
        <v>65</v>
      </c>
      <c r="J2245" s="3" t="s">
        <v>65</v>
      </c>
      <c r="K2245" s="3" t="s">
        <v>66</v>
      </c>
      <c r="L2245" s="2" t="s">
        <v>22003</v>
      </c>
      <c r="M2245" s="2" t="s">
        <v>22023</v>
      </c>
      <c r="N2245" s="3" t="s">
        <v>126</v>
      </c>
      <c r="P2245" s="3" t="s">
        <v>69</v>
      </c>
      <c r="Q2245" s="2" t="s">
        <v>22024</v>
      </c>
      <c r="R2245" s="3" t="s">
        <v>71</v>
      </c>
      <c r="S2245" s="4">
        <v>0</v>
      </c>
      <c r="T2245" s="4">
        <v>0</v>
      </c>
      <c r="W2245" s="5" t="s">
        <v>72</v>
      </c>
      <c r="X2245" s="5" t="s">
        <v>72</v>
      </c>
      <c r="Y2245" s="4">
        <v>52</v>
      </c>
      <c r="Z2245" s="4">
        <v>4</v>
      </c>
      <c r="AA2245" s="4">
        <v>5</v>
      </c>
      <c r="AB2245" s="4">
        <v>1</v>
      </c>
      <c r="AC2245" s="4">
        <v>1</v>
      </c>
      <c r="AD2245" s="4">
        <v>8</v>
      </c>
      <c r="AE2245" s="4">
        <v>9</v>
      </c>
      <c r="AF2245" s="4">
        <v>0</v>
      </c>
      <c r="AG2245" s="4">
        <v>0</v>
      </c>
      <c r="AH2245" s="4">
        <v>7</v>
      </c>
      <c r="AI2245" s="4">
        <v>8</v>
      </c>
      <c r="AJ2245" s="4">
        <v>2</v>
      </c>
      <c r="AK2245" s="4">
        <v>2</v>
      </c>
      <c r="AL2245" s="4">
        <v>5</v>
      </c>
      <c r="AM2245" s="4">
        <v>6</v>
      </c>
      <c r="AN2245" s="4">
        <v>0</v>
      </c>
      <c r="AO2245" s="4">
        <v>0</v>
      </c>
      <c r="AP2245" s="4">
        <v>2</v>
      </c>
      <c r="AQ2245" s="4">
        <v>2</v>
      </c>
      <c r="AR2245" s="3" t="s">
        <v>65</v>
      </c>
      <c r="AS2245" s="3" t="s">
        <v>65</v>
      </c>
      <c r="AT2245" s="3" t="s">
        <v>65</v>
      </c>
      <c r="AV2245" s="6" t="str">
        <f>HYPERLINK("http://mcgill.on.worldcat.org/oclc/720521276","Catalog Record")</f>
        <v>Catalog Record</v>
      </c>
      <c r="AW2245" s="6" t="str">
        <f>HYPERLINK("http://www.worldcat.org/oclc/720521276","WorldCat Record")</f>
        <v>WorldCat Record</v>
      </c>
      <c r="AX2245" s="3" t="s">
        <v>22025</v>
      </c>
      <c r="AY2245" s="3" t="s">
        <v>22026</v>
      </c>
      <c r="AZ2245" s="3" t="s">
        <v>22027</v>
      </c>
      <c r="BA2245" s="3" t="s">
        <v>22027</v>
      </c>
      <c r="BB2245" s="3" t="s">
        <v>22028</v>
      </c>
      <c r="BC2245" s="3" t="s">
        <v>77</v>
      </c>
      <c r="BD2245" s="3" t="s">
        <v>78</v>
      </c>
      <c r="BE2245" s="3" t="s">
        <v>22029</v>
      </c>
      <c r="BF2245" s="3" t="s">
        <v>22028</v>
      </c>
      <c r="BG2245" s="3" t="s">
        <v>22030</v>
      </c>
    </row>
    <row r="2246" spans="1:59" ht="58" x14ac:dyDescent="0.35">
      <c r="A2246" s="2" t="s">
        <v>59</v>
      </c>
      <c r="B2246" s="2" t="s">
        <v>60</v>
      </c>
      <c r="C2246" s="2" t="s">
        <v>22031</v>
      </c>
      <c r="D2246" s="2" t="s">
        <v>22032</v>
      </c>
      <c r="E2246" s="2" t="s">
        <v>22033</v>
      </c>
      <c r="G2246" s="3" t="s">
        <v>65</v>
      </c>
      <c r="I2246" s="3" t="s">
        <v>65</v>
      </c>
      <c r="J2246" s="3" t="s">
        <v>65</v>
      </c>
      <c r="K2246" s="3" t="s">
        <v>66</v>
      </c>
      <c r="L2246" s="2" t="s">
        <v>22003</v>
      </c>
      <c r="M2246" s="2" t="s">
        <v>22034</v>
      </c>
      <c r="N2246" s="3" t="s">
        <v>7039</v>
      </c>
      <c r="P2246" s="3" t="s">
        <v>140</v>
      </c>
      <c r="Q2246" s="2" t="s">
        <v>22035</v>
      </c>
      <c r="R2246" s="3" t="s">
        <v>71</v>
      </c>
      <c r="S2246" s="4">
        <v>1</v>
      </c>
      <c r="T2246" s="4">
        <v>1</v>
      </c>
      <c r="U2246" s="5" t="s">
        <v>8217</v>
      </c>
      <c r="V2246" s="5" t="s">
        <v>8217</v>
      </c>
      <c r="W2246" s="5" t="s">
        <v>72</v>
      </c>
      <c r="X2246" s="5" t="s">
        <v>72</v>
      </c>
      <c r="Y2246" s="4">
        <v>83</v>
      </c>
      <c r="Z2246" s="4">
        <v>9</v>
      </c>
      <c r="AA2246" s="4">
        <v>13</v>
      </c>
      <c r="AB2246" s="4">
        <v>2</v>
      </c>
      <c r="AC2246" s="4">
        <v>3</v>
      </c>
      <c r="AD2246" s="4">
        <v>33</v>
      </c>
      <c r="AE2246" s="4">
        <v>54</v>
      </c>
      <c r="AF2246" s="4">
        <v>1</v>
      </c>
      <c r="AG2246" s="4">
        <v>2</v>
      </c>
      <c r="AH2246" s="4">
        <v>30</v>
      </c>
      <c r="AI2246" s="4">
        <v>47</v>
      </c>
      <c r="AJ2246" s="4">
        <v>7</v>
      </c>
      <c r="AK2246" s="4">
        <v>10</v>
      </c>
      <c r="AL2246" s="4">
        <v>17</v>
      </c>
      <c r="AM2246" s="4">
        <v>34</v>
      </c>
      <c r="AN2246" s="4">
        <v>0</v>
      </c>
      <c r="AO2246" s="4">
        <v>0</v>
      </c>
      <c r="AP2246" s="4">
        <v>7</v>
      </c>
      <c r="AQ2246" s="4">
        <v>9</v>
      </c>
      <c r="AR2246" s="3" t="s">
        <v>65</v>
      </c>
      <c r="AS2246" s="3" t="s">
        <v>65</v>
      </c>
      <c r="AT2246" s="3" t="s">
        <v>65</v>
      </c>
      <c r="AV2246" s="6" t="str">
        <f>HYPERLINK("http://mcgill.on.worldcat.org/oclc/8658613","Catalog Record")</f>
        <v>Catalog Record</v>
      </c>
      <c r="AW2246" s="6" t="str">
        <f>HYPERLINK("http://www.worldcat.org/oclc/8658613","WorldCat Record")</f>
        <v>WorldCat Record</v>
      </c>
      <c r="AX2246" s="3" t="s">
        <v>22036</v>
      </c>
      <c r="AY2246" s="3" t="s">
        <v>22037</v>
      </c>
      <c r="AZ2246" s="3" t="s">
        <v>22038</v>
      </c>
      <c r="BA2246" s="3" t="s">
        <v>22038</v>
      </c>
      <c r="BB2246" s="3" t="s">
        <v>22039</v>
      </c>
      <c r="BC2246" s="3" t="s">
        <v>77</v>
      </c>
      <c r="BD2246" s="3" t="s">
        <v>78</v>
      </c>
      <c r="BF2246" s="3" t="s">
        <v>22039</v>
      </c>
      <c r="BG2246" s="3" t="s">
        <v>22040</v>
      </c>
    </row>
    <row r="2247" spans="1:59" ht="58" x14ac:dyDescent="0.35">
      <c r="A2247" s="2" t="s">
        <v>59</v>
      </c>
      <c r="B2247" s="2" t="s">
        <v>60</v>
      </c>
      <c r="C2247" s="2" t="s">
        <v>22041</v>
      </c>
      <c r="D2247" s="2" t="s">
        <v>22042</v>
      </c>
      <c r="E2247" s="2" t="s">
        <v>22043</v>
      </c>
      <c r="G2247" s="3" t="s">
        <v>65</v>
      </c>
      <c r="I2247" s="3" t="s">
        <v>65</v>
      </c>
      <c r="J2247" s="3" t="s">
        <v>65</v>
      </c>
      <c r="K2247" s="3" t="s">
        <v>66</v>
      </c>
      <c r="L2247" s="2" t="s">
        <v>22003</v>
      </c>
      <c r="M2247" s="2" t="s">
        <v>20987</v>
      </c>
      <c r="N2247" s="3" t="s">
        <v>1151</v>
      </c>
      <c r="P2247" s="3" t="s">
        <v>140</v>
      </c>
      <c r="R2247" s="3" t="s">
        <v>71</v>
      </c>
      <c r="S2247" s="4">
        <v>2</v>
      </c>
      <c r="T2247" s="4">
        <v>2</v>
      </c>
      <c r="U2247" s="5" t="s">
        <v>11143</v>
      </c>
      <c r="V2247" s="5" t="s">
        <v>11143</v>
      </c>
      <c r="W2247" s="5" t="s">
        <v>72</v>
      </c>
      <c r="X2247" s="5" t="s">
        <v>72</v>
      </c>
      <c r="Y2247" s="4">
        <v>83</v>
      </c>
      <c r="Z2247" s="4">
        <v>10</v>
      </c>
      <c r="AA2247" s="4">
        <v>10</v>
      </c>
      <c r="AB2247" s="4">
        <v>1</v>
      </c>
      <c r="AC2247" s="4">
        <v>1</v>
      </c>
      <c r="AD2247" s="4">
        <v>42</v>
      </c>
      <c r="AE2247" s="4">
        <v>42</v>
      </c>
      <c r="AF2247" s="4">
        <v>0</v>
      </c>
      <c r="AG2247" s="4">
        <v>0</v>
      </c>
      <c r="AH2247" s="4">
        <v>38</v>
      </c>
      <c r="AI2247" s="4">
        <v>38</v>
      </c>
      <c r="AJ2247" s="4">
        <v>7</v>
      </c>
      <c r="AK2247" s="4">
        <v>7</v>
      </c>
      <c r="AL2247" s="4">
        <v>27</v>
      </c>
      <c r="AM2247" s="4">
        <v>27</v>
      </c>
      <c r="AN2247" s="4">
        <v>0</v>
      </c>
      <c r="AO2247" s="4">
        <v>0</v>
      </c>
      <c r="AP2247" s="4">
        <v>7</v>
      </c>
      <c r="AQ2247" s="4">
        <v>7</v>
      </c>
      <c r="AR2247" s="3" t="s">
        <v>65</v>
      </c>
      <c r="AS2247" s="3" t="s">
        <v>65</v>
      </c>
      <c r="AT2247" s="3" t="s">
        <v>65</v>
      </c>
      <c r="AV2247" s="6" t="str">
        <f>HYPERLINK("http://mcgill.on.worldcat.org/oclc/2837898","Catalog Record")</f>
        <v>Catalog Record</v>
      </c>
      <c r="AW2247" s="6" t="str">
        <f>HYPERLINK("http://www.worldcat.org/oclc/2837898","WorldCat Record")</f>
        <v>WorldCat Record</v>
      </c>
      <c r="AX2247" s="3" t="s">
        <v>22044</v>
      </c>
      <c r="AY2247" s="3" t="s">
        <v>22045</v>
      </c>
      <c r="AZ2247" s="3" t="s">
        <v>22046</v>
      </c>
      <c r="BA2247" s="3" t="s">
        <v>22046</v>
      </c>
      <c r="BB2247" s="3" t="s">
        <v>22047</v>
      </c>
      <c r="BC2247" s="3" t="s">
        <v>77</v>
      </c>
      <c r="BD2247" s="3" t="s">
        <v>78</v>
      </c>
      <c r="BF2247" s="3" t="s">
        <v>22047</v>
      </c>
      <c r="BG2247" s="3" t="s">
        <v>22048</v>
      </c>
    </row>
    <row r="2248" spans="1:59" ht="58" x14ac:dyDescent="0.35">
      <c r="A2248" s="2" t="s">
        <v>59</v>
      </c>
      <c r="B2248" s="2" t="s">
        <v>60</v>
      </c>
      <c r="C2248" s="2" t="s">
        <v>22049</v>
      </c>
      <c r="D2248" s="2" t="s">
        <v>22050</v>
      </c>
      <c r="E2248" s="2" t="s">
        <v>22051</v>
      </c>
      <c r="G2248" s="3" t="s">
        <v>65</v>
      </c>
      <c r="I2248" s="3" t="s">
        <v>65</v>
      </c>
      <c r="J2248" s="3" t="s">
        <v>65</v>
      </c>
      <c r="K2248" s="3" t="s">
        <v>66</v>
      </c>
      <c r="L2248" s="2" t="s">
        <v>22003</v>
      </c>
      <c r="M2248" s="2" t="s">
        <v>22052</v>
      </c>
      <c r="N2248" s="3" t="s">
        <v>214</v>
      </c>
      <c r="O2248" s="2" t="s">
        <v>654</v>
      </c>
      <c r="P2248" s="3" t="s">
        <v>140</v>
      </c>
      <c r="Q2248" s="2" t="s">
        <v>22053</v>
      </c>
      <c r="R2248" s="3" t="s">
        <v>71</v>
      </c>
      <c r="S2248" s="4">
        <v>2</v>
      </c>
      <c r="T2248" s="4">
        <v>2</v>
      </c>
      <c r="U2248" s="5" t="s">
        <v>5441</v>
      </c>
      <c r="V2248" s="5" t="s">
        <v>5441</v>
      </c>
      <c r="W2248" s="5" t="s">
        <v>72</v>
      </c>
      <c r="X2248" s="5" t="s">
        <v>72</v>
      </c>
      <c r="Y2248" s="4">
        <v>100</v>
      </c>
      <c r="Z2248" s="4">
        <v>9</v>
      </c>
      <c r="AA2248" s="4">
        <v>9</v>
      </c>
      <c r="AB2248" s="4">
        <v>1</v>
      </c>
      <c r="AC2248" s="4">
        <v>1</v>
      </c>
      <c r="AD2248" s="4">
        <v>54</v>
      </c>
      <c r="AE2248" s="4">
        <v>54</v>
      </c>
      <c r="AF2248" s="4">
        <v>0</v>
      </c>
      <c r="AG2248" s="4">
        <v>0</v>
      </c>
      <c r="AH2248" s="4">
        <v>51</v>
      </c>
      <c r="AI2248" s="4">
        <v>51</v>
      </c>
      <c r="AJ2248" s="4">
        <v>6</v>
      </c>
      <c r="AK2248" s="4">
        <v>6</v>
      </c>
      <c r="AL2248" s="4">
        <v>36</v>
      </c>
      <c r="AM2248" s="4">
        <v>36</v>
      </c>
      <c r="AN2248" s="4">
        <v>0</v>
      </c>
      <c r="AO2248" s="4">
        <v>0</v>
      </c>
      <c r="AP2248" s="4">
        <v>6</v>
      </c>
      <c r="AQ2248" s="4">
        <v>6</v>
      </c>
      <c r="AR2248" s="3" t="s">
        <v>65</v>
      </c>
      <c r="AS2248" s="3" t="s">
        <v>65</v>
      </c>
      <c r="AT2248" s="3" t="s">
        <v>209</v>
      </c>
      <c r="AU2248" s="6" t="str">
        <f>HYPERLINK("http://catalog.hathitrust.org/Record/006711051","HathiTrust Record")</f>
        <v>HathiTrust Record</v>
      </c>
      <c r="AV2248" s="6" t="str">
        <f>HYPERLINK("http://mcgill.on.worldcat.org/oclc/11279293","Catalog Record")</f>
        <v>Catalog Record</v>
      </c>
      <c r="AW2248" s="6" t="str">
        <f>HYPERLINK("http://www.worldcat.org/oclc/11279293","WorldCat Record")</f>
        <v>WorldCat Record</v>
      </c>
      <c r="AX2248" s="3" t="s">
        <v>22054</v>
      </c>
      <c r="AY2248" s="3" t="s">
        <v>22055</v>
      </c>
      <c r="AZ2248" s="3" t="s">
        <v>22056</v>
      </c>
      <c r="BA2248" s="3" t="s">
        <v>22056</v>
      </c>
      <c r="BB2248" s="3" t="s">
        <v>22057</v>
      </c>
      <c r="BC2248" s="3" t="s">
        <v>77</v>
      </c>
      <c r="BD2248" s="3" t="s">
        <v>78</v>
      </c>
      <c r="BF2248" s="3" t="s">
        <v>22057</v>
      </c>
      <c r="BG2248" s="3" t="s">
        <v>22058</v>
      </c>
    </row>
    <row r="2249" spans="1:59" ht="58" x14ac:dyDescent="0.35">
      <c r="A2249" s="2" t="s">
        <v>59</v>
      </c>
      <c r="B2249" s="2" t="s">
        <v>60</v>
      </c>
      <c r="C2249" s="2" t="s">
        <v>22059</v>
      </c>
      <c r="D2249" s="2" t="s">
        <v>22060</v>
      </c>
      <c r="E2249" s="2" t="s">
        <v>22061</v>
      </c>
      <c r="G2249" s="3" t="s">
        <v>65</v>
      </c>
      <c r="I2249" s="3" t="s">
        <v>65</v>
      </c>
      <c r="J2249" s="3" t="s">
        <v>65</v>
      </c>
      <c r="K2249" s="3" t="s">
        <v>66</v>
      </c>
      <c r="L2249" s="2" t="s">
        <v>22003</v>
      </c>
      <c r="M2249" s="2" t="s">
        <v>22062</v>
      </c>
      <c r="N2249" s="3" t="s">
        <v>942</v>
      </c>
      <c r="O2249" s="2" t="s">
        <v>22063</v>
      </c>
      <c r="P2249" s="3" t="s">
        <v>140</v>
      </c>
      <c r="Q2249" s="2" t="s">
        <v>22064</v>
      </c>
      <c r="R2249" s="3" t="s">
        <v>71</v>
      </c>
      <c r="S2249" s="4">
        <v>1</v>
      </c>
      <c r="T2249" s="4">
        <v>1</v>
      </c>
      <c r="U2249" s="5" t="s">
        <v>4453</v>
      </c>
      <c r="V2249" s="5" t="s">
        <v>4453</v>
      </c>
      <c r="W2249" s="5" t="s">
        <v>72</v>
      </c>
      <c r="X2249" s="5" t="s">
        <v>72</v>
      </c>
      <c r="Y2249" s="4">
        <v>8</v>
      </c>
      <c r="Z2249" s="4">
        <v>2</v>
      </c>
      <c r="AA2249" s="4">
        <v>15</v>
      </c>
      <c r="AB2249" s="4">
        <v>1</v>
      </c>
      <c r="AC2249" s="4">
        <v>3</v>
      </c>
      <c r="AD2249" s="4">
        <v>3</v>
      </c>
      <c r="AE2249" s="4">
        <v>77</v>
      </c>
      <c r="AF2249" s="4">
        <v>0</v>
      </c>
      <c r="AG2249" s="4">
        <v>2</v>
      </c>
      <c r="AH2249" s="4">
        <v>3</v>
      </c>
      <c r="AI2249" s="4">
        <v>72</v>
      </c>
      <c r="AJ2249" s="4">
        <v>1</v>
      </c>
      <c r="AK2249" s="4">
        <v>11</v>
      </c>
      <c r="AL2249" s="4">
        <v>1</v>
      </c>
      <c r="AM2249" s="4">
        <v>43</v>
      </c>
      <c r="AN2249" s="4">
        <v>0</v>
      </c>
      <c r="AO2249" s="4">
        <v>3</v>
      </c>
      <c r="AP2249" s="4">
        <v>1</v>
      </c>
      <c r="AQ2249" s="4">
        <v>10</v>
      </c>
      <c r="AR2249" s="3" t="s">
        <v>65</v>
      </c>
      <c r="AS2249" s="3" t="s">
        <v>65</v>
      </c>
      <c r="AT2249" s="3" t="s">
        <v>65</v>
      </c>
      <c r="AV2249" s="6" t="str">
        <f>HYPERLINK("http://mcgill.on.worldcat.org/oclc/12490954","Catalog Record")</f>
        <v>Catalog Record</v>
      </c>
      <c r="AW2249" s="6" t="str">
        <f>HYPERLINK("http://www.worldcat.org/oclc/12490954","WorldCat Record")</f>
        <v>WorldCat Record</v>
      </c>
      <c r="AX2249" s="3" t="s">
        <v>22065</v>
      </c>
      <c r="AY2249" s="3" t="s">
        <v>22066</v>
      </c>
      <c r="AZ2249" s="3" t="s">
        <v>22067</v>
      </c>
      <c r="BA2249" s="3" t="s">
        <v>22067</v>
      </c>
      <c r="BB2249" s="3" t="s">
        <v>22068</v>
      </c>
      <c r="BC2249" s="3" t="s">
        <v>77</v>
      </c>
      <c r="BD2249" s="3" t="s">
        <v>78</v>
      </c>
      <c r="BF2249" s="3" t="s">
        <v>22068</v>
      </c>
      <c r="BG2249" s="3" t="s">
        <v>22069</v>
      </c>
    </row>
    <row r="2250" spans="1:59" ht="58" x14ac:dyDescent="0.35">
      <c r="A2250" s="2" t="s">
        <v>59</v>
      </c>
      <c r="B2250" s="2" t="s">
        <v>60</v>
      </c>
      <c r="C2250" s="2" t="s">
        <v>22070</v>
      </c>
      <c r="D2250" s="2" t="s">
        <v>22071</v>
      </c>
      <c r="E2250" s="2" t="s">
        <v>22072</v>
      </c>
      <c r="G2250" s="3" t="s">
        <v>65</v>
      </c>
      <c r="I2250" s="3" t="s">
        <v>65</v>
      </c>
      <c r="J2250" s="3" t="s">
        <v>65</v>
      </c>
      <c r="K2250" s="3" t="s">
        <v>66</v>
      </c>
      <c r="L2250" s="2" t="s">
        <v>22073</v>
      </c>
      <c r="M2250" s="2" t="s">
        <v>22074</v>
      </c>
      <c r="N2250" s="3" t="s">
        <v>139</v>
      </c>
      <c r="P2250" s="3" t="s">
        <v>140</v>
      </c>
      <c r="R2250" s="3" t="s">
        <v>71</v>
      </c>
      <c r="S2250" s="4">
        <v>0</v>
      </c>
      <c r="T2250" s="4">
        <v>0</v>
      </c>
      <c r="W2250" s="5" t="s">
        <v>72</v>
      </c>
      <c r="X2250" s="5" t="s">
        <v>72</v>
      </c>
      <c r="Y2250" s="4">
        <v>12</v>
      </c>
      <c r="Z2250" s="4">
        <v>1</v>
      </c>
      <c r="AA2250" s="4">
        <v>1</v>
      </c>
      <c r="AB2250" s="4">
        <v>1</v>
      </c>
      <c r="AC2250" s="4">
        <v>1</v>
      </c>
      <c r="AD2250" s="4">
        <v>9</v>
      </c>
      <c r="AE2250" s="4">
        <v>9</v>
      </c>
      <c r="AF2250" s="4">
        <v>0</v>
      </c>
      <c r="AG2250" s="4">
        <v>0</v>
      </c>
      <c r="AH2250" s="4">
        <v>9</v>
      </c>
      <c r="AI2250" s="4">
        <v>9</v>
      </c>
      <c r="AJ2250" s="4">
        <v>0</v>
      </c>
      <c r="AK2250" s="4">
        <v>0</v>
      </c>
      <c r="AL2250" s="4">
        <v>8</v>
      </c>
      <c r="AM2250" s="4">
        <v>8</v>
      </c>
      <c r="AN2250" s="4">
        <v>0</v>
      </c>
      <c r="AO2250" s="4">
        <v>0</v>
      </c>
      <c r="AP2250" s="4">
        <v>0</v>
      </c>
      <c r="AQ2250" s="4">
        <v>0</v>
      </c>
      <c r="AR2250" s="3" t="s">
        <v>65</v>
      </c>
      <c r="AS2250" s="3" t="s">
        <v>65</v>
      </c>
      <c r="AT2250" s="3" t="s">
        <v>65</v>
      </c>
      <c r="AV2250" s="6" t="str">
        <f>HYPERLINK("http://mcgill.on.worldcat.org/oclc/812250787","Catalog Record")</f>
        <v>Catalog Record</v>
      </c>
      <c r="AW2250" s="6" t="str">
        <f>HYPERLINK("http://www.worldcat.org/oclc/812250787","WorldCat Record")</f>
        <v>WorldCat Record</v>
      </c>
      <c r="AX2250" s="3" t="s">
        <v>22075</v>
      </c>
      <c r="AY2250" s="3" t="s">
        <v>22076</v>
      </c>
      <c r="AZ2250" s="3" t="s">
        <v>22077</v>
      </c>
      <c r="BA2250" s="3" t="s">
        <v>22077</v>
      </c>
      <c r="BB2250" s="3" t="s">
        <v>22078</v>
      </c>
      <c r="BC2250" s="3" t="s">
        <v>77</v>
      </c>
      <c r="BD2250" s="3" t="s">
        <v>78</v>
      </c>
      <c r="BE2250" s="3" t="s">
        <v>22079</v>
      </c>
      <c r="BF2250" s="3" t="s">
        <v>22078</v>
      </c>
      <c r="BG2250" s="3" t="s">
        <v>22080</v>
      </c>
    </row>
    <row r="2251" spans="1:59" ht="58" x14ac:dyDescent="0.35">
      <c r="A2251" s="2" t="s">
        <v>59</v>
      </c>
      <c r="B2251" s="2" t="s">
        <v>60</v>
      </c>
      <c r="C2251" s="2" t="s">
        <v>22081</v>
      </c>
      <c r="D2251" s="2" t="s">
        <v>22082</v>
      </c>
      <c r="E2251" s="2" t="s">
        <v>22083</v>
      </c>
      <c r="F2251" s="3" t="s">
        <v>490</v>
      </c>
      <c r="G2251" s="3" t="s">
        <v>209</v>
      </c>
      <c r="I2251" s="3" t="s">
        <v>65</v>
      </c>
      <c r="J2251" s="3" t="s">
        <v>65</v>
      </c>
      <c r="K2251" s="3" t="s">
        <v>66</v>
      </c>
      <c r="L2251" s="2" t="s">
        <v>22084</v>
      </c>
      <c r="M2251" s="2" t="s">
        <v>22085</v>
      </c>
      <c r="N2251" s="3" t="s">
        <v>352</v>
      </c>
      <c r="O2251" s="2" t="s">
        <v>5881</v>
      </c>
      <c r="P2251" s="3" t="s">
        <v>140</v>
      </c>
      <c r="Q2251" s="2" t="s">
        <v>22086</v>
      </c>
      <c r="R2251" s="3" t="s">
        <v>71</v>
      </c>
      <c r="S2251" s="4">
        <v>2</v>
      </c>
      <c r="T2251" s="4">
        <v>3</v>
      </c>
      <c r="U2251" s="5" t="s">
        <v>16566</v>
      </c>
      <c r="V2251" s="5" t="s">
        <v>16566</v>
      </c>
      <c r="W2251" s="5" t="s">
        <v>72</v>
      </c>
      <c r="X2251" s="5" t="s">
        <v>72</v>
      </c>
      <c r="Y2251" s="4">
        <v>80</v>
      </c>
      <c r="Z2251" s="4">
        <v>8</v>
      </c>
      <c r="AA2251" s="4">
        <v>8</v>
      </c>
      <c r="AB2251" s="4">
        <v>1</v>
      </c>
      <c r="AC2251" s="4">
        <v>1</v>
      </c>
      <c r="AD2251" s="4">
        <v>35</v>
      </c>
      <c r="AE2251" s="4">
        <v>35</v>
      </c>
      <c r="AF2251" s="4">
        <v>0</v>
      </c>
      <c r="AG2251" s="4">
        <v>0</v>
      </c>
      <c r="AH2251" s="4">
        <v>32</v>
      </c>
      <c r="AI2251" s="4">
        <v>32</v>
      </c>
      <c r="AJ2251" s="4">
        <v>4</v>
      </c>
      <c r="AK2251" s="4">
        <v>4</v>
      </c>
      <c r="AL2251" s="4">
        <v>23</v>
      </c>
      <c r="AM2251" s="4">
        <v>23</v>
      </c>
      <c r="AN2251" s="4">
        <v>0</v>
      </c>
      <c r="AO2251" s="4">
        <v>0</v>
      </c>
      <c r="AP2251" s="4">
        <v>4</v>
      </c>
      <c r="AQ2251" s="4">
        <v>4</v>
      </c>
      <c r="AR2251" s="3" t="s">
        <v>65</v>
      </c>
      <c r="AS2251" s="3" t="s">
        <v>65</v>
      </c>
      <c r="AT2251" s="3" t="s">
        <v>209</v>
      </c>
      <c r="AU2251" s="6" t="str">
        <f>HYPERLINK("http://catalog.hathitrust.org/Record/001218521","HathiTrust Record")</f>
        <v>HathiTrust Record</v>
      </c>
      <c r="AV2251" s="6" t="str">
        <f>HYPERLINK("http://mcgill.on.worldcat.org/oclc/40318092","Catalog Record")</f>
        <v>Catalog Record</v>
      </c>
      <c r="AW2251" s="6" t="str">
        <f>HYPERLINK("http://www.worldcat.org/oclc/40318092","WorldCat Record")</f>
        <v>WorldCat Record</v>
      </c>
      <c r="AX2251" s="3" t="s">
        <v>22087</v>
      </c>
      <c r="AY2251" s="3" t="s">
        <v>22088</v>
      </c>
      <c r="AZ2251" s="3" t="s">
        <v>22089</v>
      </c>
      <c r="BA2251" s="3" t="s">
        <v>22089</v>
      </c>
      <c r="BB2251" s="3" t="s">
        <v>22090</v>
      </c>
      <c r="BC2251" s="3" t="s">
        <v>77</v>
      </c>
      <c r="BD2251" s="3" t="s">
        <v>78</v>
      </c>
      <c r="BF2251" s="3" t="s">
        <v>22090</v>
      </c>
      <c r="BG2251" s="3" t="s">
        <v>22091</v>
      </c>
    </row>
    <row r="2252" spans="1:59" ht="58" x14ac:dyDescent="0.35">
      <c r="A2252" s="2" t="s">
        <v>59</v>
      </c>
      <c r="B2252" s="2" t="s">
        <v>60</v>
      </c>
      <c r="C2252" s="2" t="s">
        <v>22081</v>
      </c>
      <c r="D2252" s="2" t="s">
        <v>22082</v>
      </c>
      <c r="E2252" s="2" t="s">
        <v>22083</v>
      </c>
      <c r="F2252" s="3" t="s">
        <v>503</v>
      </c>
      <c r="G2252" s="3" t="s">
        <v>209</v>
      </c>
      <c r="I2252" s="3" t="s">
        <v>65</v>
      </c>
      <c r="J2252" s="3" t="s">
        <v>65</v>
      </c>
      <c r="K2252" s="3" t="s">
        <v>66</v>
      </c>
      <c r="L2252" s="2" t="s">
        <v>22084</v>
      </c>
      <c r="M2252" s="2" t="s">
        <v>22085</v>
      </c>
      <c r="N2252" s="3" t="s">
        <v>352</v>
      </c>
      <c r="O2252" s="2" t="s">
        <v>5881</v>
      </c>
      <c r="P2252" s="3" t="s">
        <v>140</v>
      </c>
      <c r="Q2252" s="2" t="s">
        <v>22086</v>
      </c>
      <c r="R2252" s="3" t="s">
        <v>71</v>
      </c>
      <c r="S2252" s="4">
        <v>1</v>
      </c>
      <c r="T2252" s="4">
        <v>3</v>
      </c>
      <c r="U2252" s="5" t="s">
        <v>16566</v>
      </c>
      <c r="V2252" s="5" t="s">
        <v>16566</v>
      </c>
      <c r="W2252" s="5" t="s">
        <v>72</v>
      </c>
      <c r="X2252" s="5" t="s">
        <v>72</v>
      </c>
      <c r="Y2252" s="4">
        <v>80</v>
      </c>
      <c r="Z2252" s="4">
        <v>8</v>
      </c>
      <c r="AA2252" s="4">
        <v>8</v>
      </c>
      <c r="AB2252" s="4">
        <v>1</v>
      </c>
      <c r="AC2252" s="4">
        <v>1</v>
      </c>
      <c r="AD2252" s="4">
        <v>35</v>
      </c>
      <c r="AE2252" s="4">
        <v>35</v>
      </c>
      <c r="AF2252" s="4">
        <v>0</v>
      </c>
      <c r="AG2252" s="4">
        <v>0</v>
      </c>
      <c r="AH2252" s="4">
        <v>32</v>
      </c>
      <c r="AI2252" s="4">
        <v>32</v>
      </c>
      <c r="AJ2252" s="4">
        <v>4</v>
      </c>
      <c r="AK2252" s="4">
        <v>4</v>
      </c>
      <c r="AL2252" s="4">
        <v>23</v>
      </c>
      <c r="AM2252" s="4">
        <v>23</v>
      </c>
      <c r="AN2252" s="4">
        <v>0</v>
      </c>
      <c r="AO2252" s="4">
        <v>0</v>
      </c>
      <c r="AP2252" s="4">
        <v>4</v>
      </c>
      <c r="AQ2252" s="4">
        <v>4</v>
      </c>
      <c r="AR2252" s="3" t="s">
        <v>65</v>
      </c>
      <c r="AS2252" s="3" t="s">
        <v>65</v>
      </c>
      <c r="AT2252" s="3" t="s">
        <v>209</v>
      </c>
      <c r="AU2252" s="6" t="str">
        <f>HYPERLINK("http://catalog.hathitrust.org/Record/001218521","HathiTrust Record")</f>
        <v>HathiTrust Record</v>
      </c>
      <c r="AV2252" s="6" t="str">
        <f>HYPERLINK("http://mcgill.on.worldcat.org/oclc/40318092","Catalog Record")</f>
        <v>Catalog Record</v>
      </c>
      <c r="AW2252" s="6" t="str">
        <f>HYPERLINK("http://www.worldcat.org/oclc/40318092","WorldCat Record")</f>
        <v>WorldCat Record</v>
      </c>
      <c r="AX2252" s="3" t="s">
        <v>22087</v>
      </c>
      <c r="AY2252" s="3" t="s">
        <v>22088</v>
      </c>
      <c r="AZ2252" s="3" t="s">
        <v>22089</v>
      </c>
      <c r="BA2252" s="3" t="s">
        <v>22089</v>
      </c>
      <c r="BB2252" s="3" t="s">
        <v>22092</v>
      </c>
      <c r="BC2252" s="3" t="s">
        <v>77</v>
      </c>
      <c r="BD2252" s="3" t="s">
        <v>78</v>
      </c>
      <c r="BF2252" s="3" t="s">
        <v>22092</v>
      </c>
      <c r="BG2252" s="3" t="s">
        <v>22093</v>
      </c>
    </row>
    <row r="2253" spans="1:59" ht="58" x14ac:dyDescent="0.35">
      <c r="A2253" s="2" t="s">
        <v>59</v>
      </c>
      <c r="B2253" s="2" t="s">
        <v>60</v>
      </c>
      <c r="C2253" s="2" t="s">
        <v>22094</v>
      </c>
      <c r="D2253" s="2" t="s">
        <v>22095</v>
      </c>
      <c r="E2253" s="2" t="s">
        <v>22096</v>
      </c>
      <c r="G2253" s="3" t="s">
        <v>65</v>
      </c>
      <c r="I2253" s="3" t="s">
        <v>65</v>
      </c>
      <c r="J2253" s="3" t="s">
        <v>209</v>
      </c>
      <c r="K2253" s="3" t="s">
        <v>66</v>
      </c>
      <c r="L2253" s="2" t="s">
        <v>22084</v>
      </c>
      <c r="M2253" s="2" t="s">
        <v>2073</v>
      </c>
      <c r="N2253" s="3" t="s">
        <v>214</v>
      </c>
      <c r="P2253" s="3" t="s">
        <v>140</v>
      </c>
      <c r="Q2253" s="2" t="s">
        <v>22097</v>
      </c>
      <c r="R2253" s="3" t="s">
        <v>71</v>
      </c>
      <c r="S2253" s="4">
        <v>1</v>
      </c>
      <c r="T2253" s="4">
        <v>1</v>
      </c>
      <c r="U2253" s="5" t="s">
        <v>11798</v>
      </c>
      <c r="V2253" s="5" t="s">
        <v>11798</v>
      </c>
      <c r="W2253" s="5" t="s">
        <v>72</v>
      </c>
      <c r="X2253" s="5" t="s">
        <v>72</v>
      </c>
      <c r="Y2253" s="4">
        <v>1</v>
      </c>
      <c r="Z2253" s="4">
        <v>1</v>
      </c>
      <c r="AA2253" s="4">
        <v>18</v>
      </c>
      <c r="AB2253" s="4">
        <v>1</v>
      </c>
      <c r="AC2253" s="4">
        <v>4</v>
      </c>
      <c r="AD2253" s="4">
        <v>0</v>
      </c>
      <c r="AE2253" s="4">
        <v>78</v>
      </c>
      <c r="AF2253" s="4">
        <v>0</v>
      </c>
      <c r="AG2253" s="4">
        <v>2</v>
      </c>
      <c r="AH2253" s="4">
        <v>0</v>
      </c>
      <c r="AI2253" s="4">
        <v>71</v>
      </c>
      <c r="AJ2253" s="4">
        <v>0</v>
      </c>
      <c r="AK2253" s="4">
        <v>12</v>
      </c>
      <c r="AL2253" s="4">
        <v>0</v>
      </c>
      <c r="AM2253" s="4">
        <v>43</v>
      </c>
      <c r="AN2253" s="4">
        <v>0</v>
      </c>
      <c r="AO2253" s="4">
        <v>8</v>
      </c>
      <c r="AP2253" s="4">
        <v>0</v>
      </c>
      <c r="AQ2253" s="4">
        <v>12</v>
      </c>
      <c r="AR2253" s="3" t="s">
        <v>65</v>
      </c>
      <c r="AS2253" s="3" t="s">
        <v>65</v>
      </c>
      <c r="AT2253" s="3" t="s">
        <v>65</v>
      </c>
      <c r="AV2253" s="6" t="str">
        <f>HYPERLINK("http://mcgill.on.worldcat.org/oclc/427089272","Catalog Record")</f>
        <v>Catalog Record</v>
      </c>
      <c r="AW2253" s="6" t="str">
        <f>HYPERLINK("http://www.worldcat.org/oclc/427089272","WorldCat Record")</f>
        <v>WorldCat Record</v>
      </c>
      <c r="AX2253" s="3" t="s">
        <v>22098</v>
      </c>
      <c r="AY2253" s="3" t="s">
        <v>22099</v>
      </c>
      <c r="AZ2253" s="3" t="s">
        <v>22100</v>
      </c>
      <c r="BA2253" s="3" t="s">
        <v>22100</v>
      </c>
      <c r="BB2253" s="3" t="s">
        <v>22101</v>
      </c>
      <c r="BC2253" s="3" t="s">
        <v>77</v>
      </c>
      <c r="BD2253" s="3" t="s">
        <v>78</v>
      </c>
      <c r="BF2253" s="3" t="s">
        <v>22101</v>
      </c>
      <c r="BG2253" s="3" t="s">
        <v>22102</v>
      </c>
    </row>
    <row r="2254" spans="1:59" ht="72.5" x14ac:dyDescent="0.35">
      <c r="A2254" s="2" t="s">
        <v>59</v>
      </c>
      <c r="B2254" s="2" t="s">
        <v>60</v>
      </c>
      <c r="C2254" s="2" t="s">
        <v>22103</v>
      </c>
      <c r="D2254" s="2" t="s">
        <v>22104</v>
      </c>
      <c r="E2254" s="2" t="s">
        <v>22105</v>
      </c>
      <c r="G2254" s="3" t="s">
        <v>65</v>
      </c>
      <c r="I2254" s="3" t="s">
        <v>65</v>
      </c>
      <c r="J2254" s="3" t="s">
        <v>65</v>
      </c>
      <c r="K2254" s="3" t="s">
        <v>66</v>
      </c>
      <c r="L2254" s="2" t="s">
        <v>22106</v>
      </c>
      <c r="M2254" s="2" t="s">
        <v>22107</v>
      </c>
      <c r="N2254" s="3" t="s">
        <v>392</v>
      </c>
      <c r="P2254" s="3" t="s">
        <v>140</v>
      </c>
      <c r="Q2254" s="2" t="s">
        <v>22108</v>
      </c>
      <c r="R2254" s="3" t="s">
        <v>71</v>
      </c>
      <c r="S2254" s="4">
        <v>2</v>
      </c>
      <c r="T2254" s="4">
        <v>2</v>
      </c>
      <c r="U2254" s="5" t="s">
        <v>10901</v>
      </c>
      <c r="V2254" s="5" t="s">
        <v>10901</v>
      </c>
      <c r="W2254" s="5" t="s">
        <v>72</v>
      </c>
      <c r="X2254" s="5" t="s">
        <v>72</v>
      </c>
      <c r="Y2254" s="4">
        <v>30</v>
      </c>
      <c r="Z2254" s="4">
        <v>4</v>
      </c>
      <c r="AA2254" s="4">
        <v>4</v>
      </c>
      <c r="AB2254" s="4">
        <v>1</v>
      </c>
      <c r="AC2254" s="4">
        <v>1</v>
      </c>
      <c r="AD2254" s="4">
        <v>17</v>
      </c>
      <c r="AE2254" s="4">
        <v>17</v>
      </c>
      <c r="AF2254" s="4">
        <v>0</v>
      </c>
      <c r="AG2254" s="4">
        <v>0</v>
      </c>
      <c r="AH2254" s="4">
        <v>16</v>
      </c>
      <c r="AI2254" s="4">
        <v>16</v>
      </c>
      <c r="AJ2254" s="4">
        <v>2</v>
      </c>
      <c r="AK2254" s="4">
        <v>2</v>
      </c>
      <c r="AL2254" s="4">
        <v>12</v>
      </c>
      <c r="AM2254" s="4">
        <v>12</v>
      </c>
      <c r="AN2254" s="4">
        <v>0</v>
      </c>
      <c r="AO2254" s="4">
        <v>0</v>
      </c>
      <c r="AP2254" s="4">
        <v>2</v>
      </c>
      <c r="AQ2254" s="4">
        <v>2</v>
      </c>
      <c r="AR2254" s="3" t="s">
        <v>65</v>
      </c>
      <c r="AS2254" s="3" t="s">
        <v>65</v>
      </c>
      <c r="AT2254" s="3" t="s">
        <v>65</v>
      </c>
      <c r="AV2254" s="6" t="str">
        <f>HYPERLINK("http://mcgill.on.worldcat.org/oclc/23467894","Catalog Record")</f>
        <v>Catalog Record</v>
      </c>
      <c r="AW2254" s="6" t="str">
        <f>HYPERLINK("http://www.worldcat.org/oclc/23467894","WorldCat Record")</f>
        <v>WorldCat Record</v>
      </c>
      <c r="AX2254" s="3" t="s">
        <v>22109</v>
      </c>
      <c r="AY2254" s="3" t="s">
        <v>22110</v>
      </c>
      <c r="AZ2254" s="3" t="s">
        <v>22111</v>
      </c>
      <c r="BA2254" s="3" t="s">
        <v>22111</v>
      </c>
      <c r="BB2254" s="3" t="s">
        <v>22112</v>
      </c>
      <c r="BC2254" s="3" t="s">
        <v>77</v>
      </c>
      <c r="BD2254" s="3" t="s">
        <v>78</v>
      </c>
      <c r="BE2254" s="3" t="s">
        <v>22113</v>
      </c>
      <c r="BF2254" s="3" t="s">
        <v>22112</v>
      </c>
      <c r="BG2254" s="3" t="s">
        <v>22114</v>
      </c>
    </row>
    <row r="2255" spans="1:59" ht="58" x14ac:dyDescent="0.35">
      <c r="A2255" s="2" t="s">
        <v>59</v>
      </c>
      <c r="B2255" s="2" t="s">
        <v>60</v>
      </c>
      <c r="C2255" s="2" t="s">
        <v>22115</v>
      </c>
      <c r="D2255" s="2" t="s">
        <v>22116</v>
      </c>
      <c r="E2255" s="2" t="s">
        <v>22117</v>
      </c>
      <c r="G2255" s="3" t="s">
        <v>65</v>
      </c>
      <c r="I2255" s="3" t="s">
        <v>65</v>
      </c>
      <c r="J2255" s="3" t="s">
        <v>65</v>
      </c>
      <c r="K2255" s="3" t="s">
        <v>66</v>
      </c>
      <c r="M2255" s="2" t="s">
        <v>13673</v>
      </c>
      <c r="N2255" s="3" t="s">
        <v>176</v>
      </c>
      <c r="P2255" s="3" t="s">
        <v>140</v>
      </c>
      <c r="Q2255" s="2" t="s">
        <v>22118</v>
      </c>
      <c r="R2255" s="3" t="s">
        <v>71</v>
      </c>
      <c r="S2255" s="4">
        <v>0</v>
      </c>
      <c r="T2255" s="4">
        <v>0</v>
      </c>
      <c r="W2255" s="5" t="s">
        <v>72</v>
      </c>
      <c r="X2255" s="5" t="s">
        <v>72</v>
      </c>
      <c r="Y2255" s="4">
        <v>30</v>
      </c>
      <c r="Z2255" s="4">
        <v>3</v>
      </c>
      <c r="AA2255" s="4">
        <v>4</v>
      </c>
      <c r="AB2255" s="4">
        <v>1</v>
      </c>
      <c r="AC2255" s="4">
        <v>2</v>
      </c>
      <c r="AD2255" s="4">
        <v>21</v>
      </c>
      <c r="AE2255" s="4">
        <v>21</v>
      </c>
      <c r="AF2255" s="4">
        <v>0</v>
      </c>
      <c r="AG2255" s="4">
        <v>0</v>
      </c>
      <c r="AH2255" s="4">
        <v>20</v>
      </c>
      <c r="AI2255" s="4">
        <v>20</v>
      </c>
      <c r="AJ2255" s="4">
        <v>1</v>
      </c>
      <c r="AK2255" s="4">
        <v>1</v>
      </c>
      <c r="AL2255" s="4">
        <v>17</v>
      </c>
      <c r="AM2255" s="4">
        <v>17</v>
      </c>
      <c r="AN2255" s="4">
        <v>0</v>
      </c>
      <c r="AO2255" s="4">
        <v>0</v>
      </c>
      <c r="AP2255" s="4">
        <v>1</v>
      </c>
      <c r="AQ2255" s="4">
        <v>1</v>
      </c>
      <c r="AR2255" s="3" t="s">
        <v>65</v>
      </c>
      <c r="AS2255" s="3" t="s">
        <v>65</v>
      </c>
      <c r="AT2255" s="3" t="s">
        <v>65</v>
      </c>
      <c r="AV2255" s="6" t="str">
        <f>HYPERLINK("http://mcgill.on.worldcat.org/oclc/922884600","Catalog Record")</f>
        <v>Catalog Record</v>
      </c>
      <c r="AW2255" s="6" t="str">
        <f>HYPERLINK("http://www.worldcat.org/oclc/922884600","WorldCat Record")</f>
        <v>WorldCat Record</v>
      </c>
      <c r="AX2255" s="3" t="s">
        <v>22119</v>
      </c>
      <c r="AY2255" s="3" t="s">
        <v>22120</v>
      </c>
      <c r="AZ2255" s="3" t="s">
        <v>22121</v>
      </c>
      <c r="BA2255" s="3" t="s">
        <v>22121</v>
      </c>
      <c r="BB2255" s="3" t="s">
        <v>22122</v>
      </c>
      <c r="BC2255" s="3" t="s">
        <v>77</v>
      </c>
      <c r="BD2255" s="3" t="s">
        <v>78</v>
      </c>
      <c r="BE2255" s="3" t="s">
        <v>22123</v>
      </c>
      <c r="BF2255" s="3" t="s">
        <v>22122</v>
      </c>
      <c r="BG2255" s="3" t="s">
        <v>22124</v>
      </c>
    </row>
    <row r="2256" spans="1:59" ht="58" x14ac:dyDescent="0.35">
      <c r="A2256" s="2" t="s">
        <v>59</v>
      </c>
      <c r="B2256" s="2" t="s">
        <v>60</v>
      </c>
      <c r="C2256" s="2" t="s">
        <v>22125</v>
      </c>
      <c r="D2256" s="2" t="s">
        <v>22126</v>
      </c>
      <c r="E2256" s="2" t="s">
        <v>22127</v>
      </c>
      <c r="G2256" s="3" t="s">
        <v>65</v>
      </c>
      <c r="I2256" s="3" t="s">
        <v>65</v>
      </c>
      <c r="J2256" s="3" t="s">
        <v>65</v>
      </c>
      <c r="K2256" s="3" t="s">
        <v>66</v>
      </c>
      <c r="L2256" s="2" t="s">
        <v>22128</v>
      </c>
      <c r="M2256" s="2" t="s">
        <v>22129</v>
      </c>
      <c r="N2256" s="3" t="s">
        <v>139</v>
      </c>
      <c r="P2256" s="3" t="s">
        <v>140</v>
      </c>
      <c r="Q2256" s="2" t="s">
        <v>22130</v>
      </c>
      <c r="R2256" s="3" t="s">
        <v>71</v>
      </c>
      <c r="S2256" s="4">
        <v>0</v>
      </c>
      <c r="T2256" s="4">
        <v>0</v>
      </c>
      <c r="W2256" s="5" t="s">
        <v>72</v>
      </c>
      <c r="X2256" s="5" t="s">
        <v>72</v>
      </c>
      <c r="Y2256" s="4">
        <v>23</v>
      </c>
      <c r="Z2256" s="4">
        <v>3</v>
      </c>
      <c r="AA2256" s="4">
        <v>3</v>
      </c>
      <c r="AB2256" s="4">
        <v>1</v>
      </c>
      <c r="AC2256" s="4">
        <v>1</v>
      </c>
      <c r="AD2256" s="4">
        <v>15</v>
      </c>
      <c r="AE2256" s="4">
        <v>15</v>
      </c>
      <c r="AF2256" s="4">
        <v>0</v>
      </c>
      <c r="AG2256" s="4">
        <v>0</v>
      </c>
      <c r="AH2256" s="4">
        <v>14</v>
      </c>
      <c r="AI2256" s="4">
        <v>14</v>
      </c>
      <c r="AJ2256" s="4">
        <v>1</v>
      </c>
      <c r="AK2256" s="4">
        <v>1</v>
      </c>
      <c r="AL2256" s="4">
        <v>13</v>
      </c>
      <c r="AM2256" s="4">
        <v>13</v>
      </c>
      <c r="AN2256" s="4">
        <v>0</v>
      </c>
      <c r="AO2256" s="4">
        <v>0</v>
      </c>
      <c r="AP2256" s="4">
        <v>1</v>
      </c>
      <c r="AQ2256" s="4">
        <v>1</v>
      </c>
      <c r="AR2256" s="3" t="s">
        <v>65</v>
      </c>
      <c r="AS2256" s="3" t="s">
        <v>65</v>
      </c>
      <c r="AT2256" s="3" t="s">
        <v>65</v>
      </c>
      <c r="AV2256" s="6" t="str">
        <f>HYPERLINK("http://mcgill.on.worldcat.org/oclc/824727695","Catalog Record")</f>
        <v>Catalog Record</v>
      </c>
      <c r="AW2256" s="6" t="str">
        <f>HYPERLINK("http://www.worldcat.org/oclc/824727695","WorldCat Record")</f>
        <v>WorldCat Record</v>
      </c>
      <c r="AX2256" s="3" t="s">
        <v>22131</v>
      </c>
      <c r="AY2256" s="3" t="s">
        <v>22132</v>
      </c>
      <c r="AZ2256" s="3" t="s">
        <v>22133</v>
      </c>
      <c r="BA2256" s="3" t="s">
        <v>22133</v>
      </c>
      <c r="BB2256" s="3" t="s">
        <v>22134</v>
      </c>
      <c r="BC2256" s="3" t="s">
        <v>77</v>
      </c>
      <c r="BD2256" s="3" t="s">
        <v>78</v>
      </c>
      <c r="BE2256" s="3" t="s">
        <v>22135</v>
      </c>
      <c r="BF2256" s="3" t="s">
        <v>22134</v>
      </c>
      <c r="BG2256" s="3" t="s">
        <v>22136</v>
      </c>
    </row>
    <row r="2257" spans="1:59" ht="58" x14ac:dyDescent="0.35">
      <c r="A2257" s="2" t="s">
        <v>59</v>
      </c>
      <c r="B2257" s="2" t="s">
        <v>60</v>
      </c>
      <c r="C2257" s="2" t="s">
        <v>22137</v>
      </c>
      <c r="D2257" s="2" t="s">
        <v>22138</v>
      </c>
      <c r="E2257" s="2" t="s">
        <v>22139</v>
      </c>
      <c r="G2257" s="3" t="s">
        <v>65</v>
      </c>
      <c r="I2257" s="3" t="s">
        <v>65</v>
      </c>
      <c r="J2257" s="3" t="s">
        <v>65</v>
      </c>
      <c r="K2257" s="3" t="s">
        <v>66</v>
      </c>
      <c r="L2257" s="2" t="s">
        <v>22140</v>
      </c>
      <c r="M2257" s="2" t="s">
        <v>22141</v>
      </c>
      <c r="N2257" s="3" t="s">
        <v>2979</v>
      </c>
      <c r="P2257" s="3" t="s">
        <v>69</v>
      </c>
      <c r="R2257" s="3" t="s">
        <v>71</v>
      </c>
      <c r="S2257" s="4">
        <v>5</v>
      </c>
      <c r="T2257" s="4">
        <v>5</v>
      </c>
      <c r="U2257" s="5" t="s">
        <v>22142</v>
      </c>
      <c r="V2257" s="5" t="s">
        <v>22142</v>
      </c>
      <c r="W2257" s="5" t="s">
        <v>72</v>
      </c>
      <c r="X2257" s="5" t="s">
        <v>72</v>
      </c>
      <c r="Y2257" s="4">
        <v>156</v>
      </c>
      <c r="Z2257" s="4">
        <v>11</v>
      </c>
      <c r="AA2257" s="4">
        <v>13</v>
      </c>
      <c r="AB2257" s="4">
        <v>2</v>
      </c>
      <c r="AC2257" s="4">
        <v>2</v>
      </c>
      <c r="AD2257" s="4">
        <v>54</v>
      </c>
      <c r="AE2257" s="4">
        <v>64</v>
      </c>
      <c r="AF2257" s="4">
        <v>1</v>
      </c>
      <c r="AG2257" s="4">
        <v>1</v>
      </c>
      <c r="AH2257" s="4">
        <v>47</v>
      </c>
      <c r="AI2257" s="4">
        <v>55</v>
      </c>
      <c r="AJ2257" s="4">
        <v>5</v>
      </c>
      <c r="AK2257" s="4">
        <v>7</v>
      </c>
      <c r="AL2257" s="4">
        <v>30</v>
      </c>
      <c r="AM2257" s="4">
        <v>34</v>
      </c>
      <c r="AN2257" s="4">
        <v>0</v>
      </c>
      <c r="AO2257" s="4">
        <v>0</v>
      </c>
      <c r="AP2257" s="4">
        <v>5</v>
      </c>
      <c r="AQ2257" s="4">
        <v>7</v>
      </c>
      <c r="AR2257" s="3" t="s">
        <v>65</v>
      </c>
      <c r="AS2257" s="3" t="s">
        <v>65</v>
      </c>
      <c r="AT2257" s="3" t="s">
        <v>209</v>
      </c>
      <c r="AU2257" s="6" t="str">
        <f>HYPERLINK("http://catalog.hathitrust.org/Record/007935247","HathiTrust Record")</f>
        <v>HathiTrust Record</v>
      </c>
      <c r="AV2257" s="6" t="str">
        <f>HYPERLINK("http://mcgill.on.worldcat.org/oclc/814227","Catalog Record")</f>
        <v>Catalog Record</v>
      </c>
      <c r="AW2257" s="6" t="str">
        <f>HYPERLINK("http://www.worldcat.org/oclc/814227","WorldCat Record")</f>
        <v>WorldCat Record</v>
      </c>
      <c r="AX2257" s="3" t="s">
        <v>22143</v>
      </c>
      <c r="AY2257" s="3" t="s">
        <v>22144</v>
      </c>
      <c r="AZ2257" s="3" t="s">
        <v>22145</v>
      </c>
      <c r="BA2257" s="3" t="s">
        <v>22145</v>
      </c>
      <c r="BB2257" s="3" t="s">
        <v>22146</v>
      </c>
      <c r="BC2257" s="3" t="s">
        <v>77</v>
      </c>
      <c r="BD2257" s="3" t="s">
        <v>78</v>
      </c>
      <c r="BF2257" s="3" t="s">
        <v>22146</v>
      </c>
      <c r="BG2257" s="3" t="s">
        <v>22147</v>
      </c>
    </row>
    <row r="2258" spans="1:59" ht="58" x14ac:dyDescent="0.35">
      <c r="A2258" s="2" t="s">
        <v>59</v>
      </c>
      <c r="B2258" s="2" t="s">
        <v>60</v>
      </c>
      <c r="C2258" s="2" t="s">
        <v>22148</v>
      </c>
      <c r="D2258" s="2" t="s">
        <v>22149</v>
      </c>
      <c r="E2258" s="2" t="s">
        <v>22150</v>
      </c>
      <c r="G2258" s="3" t="s">
        <v>65</v>
      </c>
      <c r="I2258" s="3" t="s">
        <v>65</v>
      </c>
      <c r="J2258" s="3" t="s">
        <v>65</v>
      </c>
      <c r="K2258" s="3" t="s">
        <v>66</v>
      </c>
      <c r="L2258" s="2" t="s">
        <v>22151</v>
      </c>
      <c r="M2258" s="2" t="s">
        <v>22152</v>
      </c>
      <c r="N2258" s="3" t="s">
        <v>164</v>
      </c>
      <c r="O2258" s="2" t="s">
        <v>22153</v>
      </c>
      <c r="P2258" s="3" t="s">
        <v>140</v>
      </c>
      <c r="Q2258" s="2" t="s">
        <v>22154</v>
      </c>
      <c r="R2258" s="3" t="s">
        <v>71</v>
      </c>
      <c r="S2258" s="4">
        <v>0</v>
      </c>
      <c r="T2258" s="4">
        <v>0</v>
      </c>
      <c r="W2258" s="5" t="s">
        <v>72</v>
      </c>
      <c r="X2258" s="5" t="s">
        <v>72</v>
      </c>
      <c r="Y2258" s="4">
        <v>48</v>
      </c>
      <c r="Z2258" s="4">
        <v>4</v>
      </c>
      <c r="AA2258" s="4">
        <v>4</v>
      </c>
      <c r="AB2258" s="4">
        <v>1</v>
      </c>
      <c r="AC2258" s="4">
        <v>1</v>
      </c>
      <c r="AD2258" s="4">
        <v>32</v>
      </c>
      <c r="AE2258" s="4">
        <v>32</v>
      </c>
      <c r="AF2258" s="4">
        <v>0</v>
      </c>
      <c r="AG2258" s="4">
        <v>0</v>
      </c>
      <c r="AH2258" s="4">
        <v>31</v>
      </c>
      <c r="AI2258" s="4">
        <v>31</v>
      </c>
      <c r="AJ2258" s="4">
        <v>2</v>
      </c>
      <c r="AK2258" s="4">
        <v>2</v>
      </c>
      <c r="AL2258" s="4">
        <v>24</v>
      </c>
      <c r="AM2258" s="4">
        <v>24</v>
      </c>
      <c r="AN2258" s="4">
        <v>0</v>
      </c>
      <c r="AO2258" s="4">
        <v>0</v>
      </c>
      <c r="AP2258" s="4">
        <v>2</v>
      </c>
      <c r="AQ2258" s="4">
        <v>2</v>
      </c>
      <c r="AR2258" s="3" t="s">
        <v>65</v>
      </c>
      <c r="AS2258" s="3" t="s">
        <v>65</v>
      </c>
      <c r="AT2258" s="3" t="s">
        <v>65</v>
      </c>
      <c r="AV2258" s="6" t="str">
        <f>HYPERLINK("http://mcgill.on.worldcat.org/oclc/900465439","Catalog Record")</f>
        <v>Catalog Record</v>
      </c>
      <c r="AW2258" s="6" t="str">
        <f>HYPERLINK("http://www.worldcat.org/oclc/900465439","WorldCat Record")</f>
        <v>WorldCat Record</v>
      </c>
      <c r="AX2258" s="3" t="s">
        <v>22155</v>
      </c>
      <c r="AY2258" s="3" t="s">
        <v>22156</v>
      </c>
      <c r="AZ2258" s="3" t="s">
        <v>22157</v>
      </c>
      <c r="BA2258" s="3" t="s">
        <v>22157</v>
      </c>
      <c r="BB2258" s="3" t="s">
        <v>22158</v>
      </c>
      <c r="BC2258" s="3" t="s">
        <v>77</v>
      </c>
      <c r="BD2258" s="3" t="s">
        <v>78</v>
      </c>
      <c r="BE2258" s="3" t="s">
        <v>22159</v>
      </c>
      <c r="BF2258" s="3" t="s">
        <v>22158</v>
      </c>
      <c r="BG2258" s="3" t="s">
        <v>22160</v>
      </c>
    </row>
    <row r="2259" spans="1:59" ht="58" x14ac:dyDescent="0.35">
      <c r="A2259" s="2" t="s">
        <v>59</v>
      </c>
      <c r="B2259" s="2" t="s">
        <v>60</v>
      </c>
      <c r="C2259" s="2" t="s">
        <v>22161</v>
      </c>
      <c r="D2259" s="2" t="s">
        <v>22162</v>
      </c>
      <c r="E2259" s="2" t="s">
        <v>22163</v>
      </c>
      <c r="G2259" s="3" t="s">
        <v>65</v>
      </c>
      <c r="I2259" s="3" t="s">
        <v>209</v>
      </c>
      <c r="J2259" s="3" t="s">
        <v>209</v>
      </c>
      <c r="K2259" s="3" t="s">
        <v>66</v>
      </c>
      <c r="L2259" s="2" t="s">
        <v>22151</v>
      </c>
      <c r="M2259" s="2" t="s">
        <v>22164</v>
      </c>
      <c r="N2259" s="3" t="s">
        <v>5060</v>
      </c>
      <c r="P2259" s="3" t="s">
        <v>69</v>
      </c>
      <c r="R2259" s="3" t="s">
        <v>71</v>
      </c>
      <c r="S2259" s="4">
        <v>21</v>
      </c>
      <c r="T2259" s="4">
        <v>21</v>
      </c>
      <c r="U2259" s="5" t="s">
        <v>22165</v>
      </c>
      <c r="V2259" s="5" t="s">
        <v>22165</v>
      </c>
      <c r="W2259" s="5" t="s">
        <v>72</v>
      </c>
      <c r="X2259" s="5" t="s">
        <v>72</v>
      </c>
      <c r="Y2259" s="4">
        <v>787</v>
      </c>
      <c r="Z2259" s="4">
        <v>15</v>
      </c>
      <c r="AA2259" s="4">
        <v>45</v>
      </c>
      <c r="AB2259" s="4">
        <v>2</v>
      </c>
      <c r="AC2259" s="4">
        <v>7</v>
      </c>
      <c r="AD2259" s="4">
        <v>96</v>
      </c>
      <c r="AE2259" s="4">
        <v>130</v>
      </c>
      <c r="AF2259" s="4">
        <v>1</v>
      </c>
      <c r="AG2259" s="4">
        <v>2</v>
      </c>
      <c r="AH2259" s="4">
        <v>83</v>
      </c>
      <c r="AI2259" s="4">
        <v>108</v>
      </c>
      <c r="AJ2259" s="4">
        <v>11</v>
      </c>
      <c r="AK2259" s="4">
        <v>19</v>
      </c>
      <c r="AL2259" s="4">
        <v>46</v>
      </c>
      <c r="AM2259" s="4">
        <v>62</v>
      </c>
      <c r="AN2259" s="4">
        <v>0</v>
      </c>
      <c r="AO2259" s="4">
        <v>0</v>
      </c>
      <c r="AP2259" s="4">
        <v>12</v>
      </c>
      <c r="AQ2259" s="4">
        <v>24</v>
      </c>
      <c r="AR2259" s="3" t="s">
        <v>65</v>
      </c>
      <c r="AS2259" s="3" t="s">
        <v>65</v>
      </c>
      <c r="AT2259" s="3" t="s">
        <v>209</v>
      </c>
      <c r="AU2259" s="6" t="str">
        <f>HYPERLINK("http://catalog.hathitrust.org/Record/001004047","HathiTrust Record")</f>
        <v>HathiTrust Record</v>
      </c>
      <c r="AV2259" s="6" t="str">
        <f>HYPERLINK("http://mcgill.on.worldcat.org/oclc/730201","Catalog Record")</f>
        <v>Catalog Record</v>
      </c>
      <c r="AW2259" s="6" t="str">
        <f>HYPERLINK("http://www.worldcat.org/oclc/730201","WorldCat Record")</f>
        <v>WorldCat Record</v>
      </c>
      <c r="AX2259" s="3" t="s">
        <v>22166</v>
      </c>
      <c r="AY2259" s="3" t="s">
        <v>22167</v>
      </c>
      <c r="AZ2259" s="3" t="s">
        <v>22168</v>
      </c>
      <c r="BA2259" s="3" t="s">
        <v>22168</v>
      </c>
      <c r="BB2259" s="3" t="s">
        <v>22169</v>
      </c>
      <c r="BC2259" s="3" t="s">
        <v>77</v>
      </c>
      <c r="BD2259" s="3" t="s">
        <v>78</v>
      </c>
      <c r="BE2259" s="3" t="s">
        <v>22170</v>
      </c>
      <c r="BF2259" s="3" t="s">
        <v>22169</v>
      </c>
      <c r="BG2259" s="3" t="s">
        <v>22171</v>
      </c>
    </row>
    <row r="2260" spans="1:59" ht="58" x14ac:dyDescent="0.35">
      <c r="A2260" s="2" t="s">
        <v>59</v>
      </c>
      <c r="B2260" s="2" t="s">
        <v>60</v>
      </c>
      <c r="C2260" s="2" t="s">
        <v>22172</v>
      </c>
      <c r="D2260" s="2" t="s">
        <v>22173</v>
      </c>
      <c r="E2260" s="2" t="s">
        <v>22174</v>
      </c>
      <c r="G2260" s="3" t="s">
        <v>65</v>
      </c>
      <c r="I2260" s="3" t="s">
        <v>65</v>
      </c>
      <c r="J2260" s="3" t="s">
        <v>209</v>
      </c>
      <c r="K2260" s="3" t="s">
        <v>66</v>
      </c>
      <c r="L2260" s="2" t="s">
        <v>22151</v>
      </c>
      <c r="M2260" s="2" t="s">
        <v>22175</v>
      </c>
      <c r="N2260" s="3" t="s">
        <v>214</v>
      </c>
      <c r="P2260" s="3" t="s">
        <v>69</v>
      </c>
      <c r="Q2260" s="2" t="s">
        <v>22176</v>
      </c>
      <c r="R2260" s="3" t="s">
        <v>71</v>
      </c>
      <c r="S2260" s="4">
        <v>11</v>
      </c>
      <c r="T2260" s="4">
        <v>11</v>
      </c>
      <c r="U2260" s="5" t="s">
        <v>11274</v>
      </c>
      <c r="V2260" s="5" t="s">
        <v>11274</v>
      </c>
      <c r="W2260" s="5" t="s">
        <v>72</v>
      </c>
      <c r="X2260" s="5" t="s">
        <v>72</v>
      </c>
      <c r="Y2260" s="4">
        <v>113</v>
      </c>
      <c r="Z2260" s="4">
        <v>3</v>
      </c>
      <c r="AA2260" s="4">
        <v>45</v>
      </c>
      <c r="AB2260" s="4">
        <v>1</v>
      </c>
      <c r="AC2260" s="4">
        <v>7</v>
      </c>
      <c r="AD2260" s="4">
        <v>16</v>
      </c>
      <c r="AE2260" s="4">
        <v>130</v>
      </c>
      <c r="AF2260" s="4">
        <v>0</v>
      </c>
      <c r="AG2260" s="4">
        <v>2</v>
      </c>
      <c r="AH2260" s="4">
        <v>14</v>
      </c>
      <c r="AI2260" s="4">
        <v>108</v>
      </c>
      <c r="AJ2260" s="4">
        <v>1</v>
      </c>
      <c r="AK2260" s="4">
        <v>19</v>
      </c>
      <c r="AL2260" s="4">
        <v>12</v>
      </c>
      <c r="AM2260" s="4">
        <v>62</v>
      </c>
      <c r="AN2260" s="4">
        <v>0</v>
      </c>
      <c r="AO2260" s="4">
        <v>0</v>
      </c>
      <c r="AP2260" s="4">
        <v>1</v>
      </c>
      <c r="AQ2260" s="4">
        <v>24</v>
      </c>
      <c r="AR2260" s="3" t="s">
        <v>65</v>
      </c>
      <c r="AS2260" s="3" t="s">
        <v>65</v>
      </c>
      <c r="AT2260" s="3" t="s">
        <v>65</v>
      </c>
      <c r="AV2260" s="6" t="str">
        <f>HYPERLINK("http://mcgill.on.worldcat.org/oclc/9488672","Catalog Record")</f>
        <v>Catalog Record</v>
      </c>
      <c r="AW2260" s="6" t="str">
        <f>HYPERLINK("http://www.worldcat.org/oclc/9488672","WorldCat Record")</f>
        <v>WorldCat Record</v>
      </c>
      <c r="AX2260" s="3" t="s">
        <v>22166</v>
      </c>
      <c r="AY2260" s="3" t="s">
        <v>22177</v>
      </c>
      <c r="AZ2260" s="3" t="s">
        <v>22178</v>
      </c>
      <c r="BA2260" s="3" t="s">
        <v>22178</v>
      </c>
      <c r="BB2260" s="3" t="s">
        <v>22179</v>
      </c>
      <c r="BC2260" s="3" t="s">
        <v>77</v>
      </c>
      <c r="BD2260" s="3" t="s">
        <v>78</v>
      </c>
      <c r="BE2260" s="3" t="s">
        <v>22180</v>
      </c>
      <c r="BF2260" s="3" t="s">
        <v>22179</v>
      </c>
      <c r="BG2260" s="3" t="s">
        <v>22181</v>
      </c>
    </row>
    <row r="2261" spans="1:59" ht="58" x14ac:dyDescent="0.35">
      <c r="A2261" s="2" t="s">
        <v>59</v>
      </c>
      <c r="B2261" s="2" t="s">
        <v>60</v>
      </c>
      <c r="C2261" s="2" t="s">
        <v>22182</v>
      </c>
      <c r="D2261" s="2" t="s">
        <v>22183</v>
      </c>
      <c r="E2261" s="2" t="s">
        <v>22184</v>
      </c>
      <c r="G2261" s="3" t="s">
        <v>65</v>
      </c>
      <c r="I2261" s="3" t="s">
        <v>65</v>
      </c>
      <c r="J2261" s="3" t="s">
        <v>209</v>
      </c>
      <c r="K2261" s="3" t="s">
        <v>66</v>
      </c>
      <c r="L2261" s="2" t="s">
        <v>22151</v>
      </c>
      <c r="M2261" s="2" t="s">
        <v>22185</v>
      </c>
      <c r="N2261" s="3" t="s">
        <v>221</v>
      </c>
      <c r="P2261" s="3" t="s">
        <v>69</v>
      </c>
      <c r="Q2261" s="2" t="s">
        <v>22186</v>
      </c>
      <c r="R2261" s="3" t="s">
        <v>71</v>
      </c>
      <c r="S2261" s="4">
        <v>15</v>
      </c>
      <c r="T2261" s="4">
        <v>15</v>
      </c>
      <c r="U2261" s="5" t="s">
        <v>22187</v>
      </c>
      <c r="V2261" s="5" t="s">
        <v>22187</v>
      </c>
      <c r="W2261" s="5" t="s">
        <v>72</v>
      </c>
      <c r="X2261" s="5" t="s">
        <v>72</v>
      </c>
      <c r="Y2261" s="4">
        <v>129</v>
      </c>
      <c r="Z2261" s="4">
        <v>13</v>
      </c>
      <c r="AA2261" s="4">
        <v>45</v>
      </c>
      <c r="AB2261" s="4">
        <v>2</v>
      </c>
      <c r="AC2261" s="4">
        <v>7</v>
      </c>
      <c r="AD2261" s="4">
        <v>28</v>
      </c>
      <c r="AE2261" s="4">
        <v>130</v>
      </c>
      <c r="AF2261" s="4">
        <v>0</v>
      </c>
      <c r="AG2261" s="4">
        <v>2</v>
      </c>
      <c r="AH2261" s="4">
        <v>23</v>
      </c>
      <c r="AI2261" s="4">
        <v>108</v>
      </c>
      <c r="AJ2261" s="4">
        <v>6</v>
      </c>
      <c r="AK2261" s="4">
        <v>19</v>
      </c>
      <c r="AL2261" s="4">
        <v>17</v>
      </c>
      <c r="AM2261" s="4">
        <v>62</v>
      </c>
      <c r="AN2261" s="4">
        <v>0</v>
      </c>
      <c r="AO2261" s="4">
        <v>0</v>
      </c>
      <c r="AP2261" s="4">
        <v>7</v>
      </c>
      <c r="AQ2261" s="4">
        <v>24</v>
      </c>
      <c r="AR2261" s="3" t="s">
        <v>65</v>
      </c>
      <c r="AS2261" s="3" t="s">
        <v>65</v>
      </c>
      <c r="AT2261" s="3" t="s">
        <v>65</v>
      </c>
      <c r="AV2261" s="6" t="str">
        <f>HYPERLINK("http://mcgill.on.worldcat.org/oclc/71807796","Catalog Record")</f>
        <v>Catalog Record</v>
      </c>
      <c r="AW2261" s="6" t="str">
        <f>HYPERLINK("http://www.worldcat.org/oclc/71807796","WorldCat Record")</f>
        <v>WorldCat Record</v>
      </c>
      <c r="AX2261" s="3" t="s">
        <v>22166</v>
      </c>
      <c r="AY2261" s="3" t="s">
        <v>22188</v>
      </c>
      <c r="AZ2261" s="3" t="s">
        <v>22189</v>
      </c>
      <c r="BA2261" s="3" t="s">
        <v>22189</v>
      </c>
      <c r="BB2261" s="3" t="s">
        <v>22190</v>
      </c>
      <c r="BC2261" s="3" t="s">
        <v>77</v>
      </c>
      <c r="BD2261" s="3" t="s">
        <v>78</v>
      </c>
      <c r="BE2261" s="3" t="s">
        <v>22191</v>
      </c>
      <c r="BF2261" s="3" t="s">
        <v>22190</v>
      </c>
      <c r="BG2261" s="3" t="s">
        <v>22192</v>
      </c>
    </row>
    <row r="2262" spans="1:59" ht="58" x14ac:dyDescent="0.35">
      <c r="A2262" s="2" t="s">
        <v>59</v>
      </c>
      <c r="B2262" s="2" t="s">
        <v>60</v>
      </c>
      <c r="C2262" s="2" t="s">
        <v>22193</v>
      </c>
      <c r="D2262" s="2" t="s">
        <v>22194</v>
      </c>
      <c r="E2262" s="2" t="s">
        <v>22195</v>
      </c>
      <c r="G2262" s="3" t="s">
        <v>65</v>
      </c>
      <c r="I2262" s="3" t="s">
        <v>65</v>
      </c>
      <c r="J2262" s="3" t="s">
        <v>65</v>
      </c>
      <c r="K2262" s="3" t="s">
        <v>66</v>
      </c>
      <c r="L2262" s="2" t="s">
        <v>22196</v>
      </c>
      <c r="M2262" s="2" t="s">
        <v>22197</v>
      </c>
      <c r="N2262" s="3" t="s">
        <v>126</v>
      </c>
      <c r="P2262" s="3" t="s">
        <v>140</v>
      </c>
      <c r="Q2262" s="2" t="s">
        <v>22198</v>
      </c>
      <c r="R2262" s="3" t="s">
        <v>71</v>
      </c>
      <c r="S2262" s="4">
        <v>0</v>
      </c>
      <c r="T2262" s="4">
        <v>0</v>
      </c>
      <c r="W2262" s="5" t="s">
        <v>72</v>
      </c>
      <c r="X2262" s="5" t="s">
        <v>72</v>
      </c>
      <c r="Y2262" s="4">
        <v>52</v>
      </c>
      <c r="Z2262" s="4">
        <v>3</v>
      </c>
      <c r="AA2262" s="4">
        <v>3</v>
      </c>
      <c r="AB2262" s="4">
        <v>1</v>
      </c>
      <c r="AC2262" s="4">
        <v>1</v>
      </c>
      <c r="AD2262" s="4">
        <v>39</v>
      </c>
      <c r="AE2262" s="4">
        <v>39</v>
      </c>
      <c r="AF2262" s="4">
        <v>0</v>
      </c>
      <c r="AG2262" s="4">
        <v>0</v>
      </c>
      <c r="AH2262" s="4">
        <v>38</v>
      </c>
      <c r="AI2262" s="4">
        <v>38</v>
      </c>
      <c r="AJ2262" s="4">
        <v>1</v>
      </c>
      <c r="AK2262" s="4">
        <v>1</v>
      </c>
      <c r="AL2262" s="4">
        <v>30</v>
      </c>
      <c r="AM2262" s="4">
        <v>30</v>
      </c>
      <c r="AN2262" s="4">
        <v>0</v>
      </c>
      <c r="AO2262" s="4">
        <v>0</v>
      </c>
      <c r="AP2262" s="4">
        <v>1</v>
      </c>
      <c r="AQ2262" s="4">
        <v>1</v>
      </c>
      <c r="AR2262" s="3" t="s">
        <v>65</v>
      </c>
      <c r="AS2262" s="3" t="s">
        <v>65</v>
      </c>
      <c r="AT2262" s="3" t="s">
        <v>65</v>
      </c>
      <c r="AV2262" s="6" t="str">
        <f>HYPERLINK("http://mcgill.on.worldcat.org/oclc/712111989","Catalog Record")</f>
        <v>Catalog Record</v>
      </c>
      <c r="AW2262" s="6" t="str">
        <f>HYPERLINK("http://www.worldcat.org/oclc/712111989","WorldCat Record")</f>
        <v>WorldCat Record</v>
      </c>
      <c r="AX2262" s="3" t="s">
        <v>22199</v>
      </c>
      <c r="AY2262" s="3" t="s">
        <v>22200</v>
      </c>
      <c r="AZ2262" s="3" t="s">
        <v>22201</v>
      </c>
      <c r="BA2262" s="3" t="s">
        <v>22201</v>
      </c>
      <c r="BB2262" s="3" t="s">
        <v>22202</v>
      </c>
      <c r="BC2262" s="3" t="s">
        <v>77</v>
      </c>
      <c r="BD2262" s="3" t="s">
        <v>78</v>
      </c>
      <c r="BE2262" s="3" t="s">
        <v>22203</v>
      </c>
      <c r="BF2262" s="3" t="s">
        <v>22202</v>
      </c>
      <c r="BG2262" s="3" t="s">
        <v>22204</v>
      </c>
    </row>
    <row r="2263" spans="1:59" ht="58" x14ac:dyDescent="0.35">
      <c r="A2263" s="2" t="s">
        <v>59</v>
      </c>
      <c r="B2263" s="2" t="s">
        <v>60</v>
      </c>
      <c r="C2263" s="2" t="s">
        <v>22205</v>
      </c>
      <c r="D2263" s="2" t="s">
        <v>22206</v>
      </c>
      <c r="E2263" s="2" t="s">
        <v>22207</v>
      </c>
      <c r="G2263" s="3" t="s">
        <v>65</v>
      </c>
      <c r="I2263" s="3" t="s">
        <v>65</v>
      </c>
      <c r="J2263" s="3" t="s">
        <v>65</v>
      </c>
      <c r="K2263" s="3" t="s">
        <v>66</v>
      </c>
      <c r="L2263" s="2" t="s">
        <v>22151</v>
      </c>
      <c r="M2263" s="2" t="s">
        <v>22208</v>
      </c>
      <c r="N2263" s="3" t="s">
        <v>5439</v>
      </c>
      <c r="O2263" s="2" t="s">
        <v>22209</v>
      </c>
      <c r="P2263" s="3" t="s">
        <v>140</v>
      </c>
      <c r="R2263" s="3" t="s">
        <v>71</v>
      </c>
      <c r="S2263" s="4">
        <v>34</v>
      </c>
      <c r="T2263" s="4">
        <v>34</v>
      </c>
      <c r="U2263" s="5" t="s">
        <v>7556</v>
      </c>
      <c r="V2263" s="5" t="s">
        <v>7556</v>
      </c>
      <c r="W2263" s="5" t="s">
        <v>72</v>
      </c>
      <c r="X2263" s="5" t="s">
        <v>72</v>
      </c>
      <c r="Y2263" s="4">
        <v>255</v>
      </c>
      <c r="Z2263" s="4">
        <v>11</v>
      </c>
      <c r="AA2263" s="4">
        <v>34</v>
      </c>
      <c r="AB2263" s="4">
        <v>2</v>
      </c>
      <c r="AC2263" s="4">
        <v>6</v>
      </c>
      <c r="AD2263" s="4">
        <v>76</v>
      </c>
      <c r="AE2263" s="4">
        <v>114</v>
      </c>
      <c r="AF2263" s="4">
        <v>1</v>
      </c>
      <c r="AG2263" s="4">
        <v>3</v>
      </c>
      <c r="AH2263" s="4">
        <v>68</v>
      </c>
      <c r="AI2263" s="4">
        <v>99</v>
      </c>
      <c r="AJ2263" s="4">
        <v>7</v>
      </c>
      <c r="AK2263" s="4">
        <v>20</v>
      </c>
      <c r="AL2263" s="4">
        <v>42</v>
      </c>
      <c r="AM2263" s="4">
        <v>58</v>
      </c>
      <c r="AN2263" s="4">
        <v>0</v>
      </c>
      <c r="AO2263" s="4">
        <v>3</v>
      </c>
      <c r="AP2263" s="4">
        <v>8</v>
      </c>
      <c r="AQ2263" s="4">
        <v>20</v>
      </c>
      <c r="AR2263" s="3" t="s">
        <v>65</v>
      </c>
      <c r="AS2263" s="3" t="s">
        <v>65</v>
      </c>
      <c r="AT2263" s="3" t="s">
        <v>209</v>
      </c>
      <c r="AU2263" s="6" t="str">
        <f>HYPERLINK("http://catalog.hathitrust.org/Record/001226742","HathiTrust Record")</f>
        <v>HathiTrust Record</v>
      </c>
      <c r="AV2263" s="6" t="str">
        <f>HYPERLINK("http://mcgill.on.worldcat.org/oclc/358624","Catalog Record")</f>
        <v>Catalog Record</v>
      </c>
      <c r="AW2263" s="6" t="str">
        <f>HYPERLINK("http://www.worldcat.org/oclc/358624","WorldCat Record")</f>
        <v>WorldCat Record</v>
      </c>
      <c r="AX2263" s="3" t="s">
        <v>22210</v>
      </c>
      <c r="AY2263" s="3" t="s">
        <v>22211</v>
      </c>
      <c r="AZ2263" s="3" t="s">
        <v>22212</v>
      </c>
      <c r="BA2263" s="3" t="s">
        <v>22212</v>
      </c>
      <c r="BB2263" s="3" t="s">
        <v>22213</v>
      </c>
      <c r="BC2263" s="3" t="s">
        <v>77</v>
      </c>
      <c r="BD2263" s="3" t="s">
        <v>78</v>
      </c>
      <c r="BE2263" s="3" t="s">
        <v>22214</v>
      </c>
      <c r="BF2263" s="3" t="s">
        <v>22213</v>
      </c>
      <c r="BG2263" s="3" t="s">
        <v>22215</v>
      </c>
    </row>
    <row r="2264" spans="1:59" ht="72.5" x14ac:dyDescent="0.35">
      <c r="A2264" s="2" t="s">
        <v>59</v>
      </c>
      <c r="B2264" s="2" t="s">
        <v>60</v>
      </c>
      <c r="C2264" s="2" t="s">
        <v>22216</v>
      </c>
      <c r="D2264" s="2" t="s">
        <v>22217</v>
      </c>
      <c r="E2264" s="2" t="s">
        <v>22218</v>
      </c>
      <c r="G2264" s="3" t="s">
        <v>65</v>
      </c>
      <c r="I2264" s="3" t="s">
        <v>65</v>
      </c>
      <c r="J2264" s="3" t="s">
        <v>209</v>
      </c>
      <c r="K2264" s="3" t="s">
        <v>66</v>
      </c>
      <c r="L2264" s="2" t="s">
        <v>22151</v>
      </c>
      <c r="M2264" s="2" t="s">
        <v>22219</v>
      </c>
      <c r="N2264" s="3" t="s">
        <v>11262</v>
      </c>
      <c r="O2264" s="2" t="s">
        <v>22220</v>
      </c>
      <c r="P2264" s="3" t="s">
        <v>69</v>
      </c>
      <c r="R2264" s="3" t="s">
        <v>71</v>
      </c>
      <c r="S2264" s="4">
        <v>21</v>
      </c>
      <c r="T2264" s="4">
        <v>21</v>
      </c>
      <c r="U2264" s="5" t="s">
        <v>10465</v>
      </c>
      <c r="V2264" s="5" t="s">
        <v>10465</v>
      </c>
      <c r="W2264" s="5" t="s">
        <v>72</v>
      </c>
      <c r="X2264" s="5" t="s">
        <v>72</v>
      </c>
      <c r="Y2264" s="4">
        <v>218</v>
      </c>
      <c r="Z2264" s="4">
        <v>8</v>
      </c>
      <c r="AA2264" s="4">
        <v>18</v>
      </c>
      <c r="AB2264" s="4">
        <v>3</v>
      </c>
      <c r="AC2264" s="4">
        <v>4</v>
      </c>
      <c r="AD2264" s="4">
        <v>60</v>
      </c>
      <c r="AE2264" s="4">
        <v>83</v>
      </c>
      <c r="AF2264" s="4">
        <v>1</v>
      </c>
      <c r="AG2264" s="4">
        <v>1</v>
      </c>
      <c r="AH2264" s="4">
        <v>55</v>
      </c>
      <c r="AI2264" s="4">
        <v>74</v>
      </c>
      <c r="AJ2264" s="4">
        <v>5</v>
      </c>
      <c r="AK2264" s="4">
        <v>10</v>
      </c>
      <c r="AL2264" s="4">
        <v>36</v>
      </c>
      <c r="AM2264" s="4">
        <v>50</v>
      </c>
      <c r="AN2264" s="4">
        <v>0</v>
      </c>
      <c r="AO2264" s="4">
        <v>0</v>
      </c>
      <c r="AP2264" s="4">
        <v>5</v>
      </c>
      <c r="AQ2264" s="4">
        <v>10</v>
      </c>
      <c r="AR2264" s="3" t="s">
        <v>65</v>
      </c>
      <c r="AS2264" s="3" t="s">
        <v>65</v>
      </c>
      <c r="AT2264" s="3" t="s">
        <v>209</v>
      </c>
      <c r="AU2264" s="6" t="str">
        <f>HYPERLINK("http://catalog.hathitrust.org/Record/001218574","HathiTrust Record")</f>
        <v>HathiTrust Record</v>
      </c>
      <c r="AV2264" s="6" t="str">
        <f>HYPERLINK("http://mcgill.on.worldcat.org/oclc/1251951","Catalog Record")</f>
        <v>Catalog Record</v>
      </c>
      <c r="AW2264" s="6" t="str">
        <f>HYPERLINK("http://www.worldcat.org/oclc/1251951","WorldCat Record")</f>
        <v>WorldCat Record</v>
      </c>
      <c r="AX2264" s="3" t="s">
        <v>22221</v>
      </c>
      <c r="AY2264" s="3" t="s">
        <v>22222</v>
      </c>
      <c r="AZ2264" s="3" t="s">
        <v>22223</v>
      </c>
      <c r="BA2264" s="3" t="s">
        <v>22223</v>
      </c>
      <c r="BB2264" s="3" t="s">
        <v>22224</v>
      </c>
      <c r="BC2264" s="3" t="s">
        <v>77</v>
      </c>
      <c r="BD2264" s="3" t="s">
        <v>78</v>
      </c>
      <c r="BF2264" s="3" t="s">
        <v>22224</v>
      </c>
      <c r="BG2264" s="3" t="s">
        <v>22225</v>
      </c>
    </row>
    <row r="2265" spans="1:59" ht="72.5" x14ac:dyDescent="0.35">
      <c r="A2265" s="2" t="s">
        <v>59</v>
      </c>
      <c r="B2265" s="2" t="s">
        <v>60</v>
      </c>
      <c r="C2265" s="2" t="s">
        <v>22226</v>
      </c>
      <c r="D2265" s="2" t="s">
        <v>22227</v>
      </c>
      <c r="E2265" s="2" t="s">
        <v>22228</v>
      </c>
      <c r="G2265" s="3" t="s">
        <v>65</v>
      </c>
      <c r="I2265" s="3" t="s">
        <v>65</v>
      </c>
      <c r="J2265" s="3" t="s">
        <v>209</v>
      </c>
      <c r="K2265" s="3" t="s">
        <v>66</v>
      </c>
      <c r="L2265" s="2" t="s">
        <v>22151</v>
      </c>
      <c r="M2265" s="2" t="s">
        <v>22229</v>
      </c>
      <c r="N2265" s="3" t="s">
        <v>139</v>
      </c>
      <c r="P2265" s="3" t="s">
        <v>69</v>
      </c>
      <c r="Q2265" s="2" t="s">
        <v>22024</v>
      </c>
      <c r="R2265" s="3" t="s">
        <v>71</v>
      </c>
      <c r="S2265" s="4">
        <v>17</v>
      </c>
      <c r="T2265" s="4">
        <v>17</v>
      </c>
      <c r="U2265" s="5" t="s">
        <v>21361</v>
      </c>
      <c r="V2265" s="5" t="s">
        <v>21361</v>
      </c>
      <c r="W2265" s="5" t="s">
        <v>72</v>
      </c>
      <c r="X2265" s="5" t="s">
        <v>72</v>
      </c>
      <c r="Y2265" s="4">
        <v>97</v>
      </c>
      <c r="Z2265" s="4">
        <v>8</v>
      </c>
      <c r="AA2265" s="4">
        <v>18</v>
      </c>
      <c r="AB2265" s="4">
        <v>1</v>
      </c>
      <c r="AC2265" s="4">
        <v>4</v>
      </c>
      <c r="AD2265" s="4">
        <v>33</v>
      </c>
      <c r="AE2265" s="4">
        <v>83</v>
      </c>
      <c r="AF2265" s="4">
        <v>0</v>
      </c>
      <c r="AG2265" s="4">
        <v>1</v>
      </c>
      <c r="AH2265" s="4">
        <v>32</v>
      </c>
      <c r="AI2265" s="4">
        <v>74</v>
      </c>
      <c r="AJ2265" s="4">
        <v>4</v>
      </c>
      <c r="AK2265" s="4">
        <v>10</v>
      </c>
      <c r="AL2265" s="4">
        <v>25</v>
      </c>
      <c r="AM2265" s="4">
        <v>50</v>
      </c>
      <c r="AN2265" s="4">
        <v>0</v>
      </c>
      <c r="AO2265" s="4">
        <v>0</v>
      </c>
      <c r="AP2265" s="4">
        <v>4</v>
      </c>
      <c r="AQ2265" s="4">
        <v>10</v>
      </c>
      <c r="AR2265" s="3" t="s">
        <v>65</v>
      </c>
      <c r="AS2265" s="3" t="s">
        <v>65</v>
      </c>
      <c r="AT2265" s="3" t="s">
        <v>65</v>
      </c>
      <c r="AV2265" s="6" t="str">
        <f>HYPERLINK("http://mcgill.on.worldcat.org/oclc/757930749","Catalog Record")</f>
        <v>Catalog Record</v>
      </c>
      <c r="AW2265" s="6" t="str">
        <f>HYPERLINK("http://www.worldcat.org/oclc/757930749","WorldCat Record")</f>
        <v>WorldCat Record</v>
      </c>
      <c r="AX2265" s="3" t="s">
        <v>22221</v>
      </c>
      <c r="AY2265" s="3" t="s">
        <v>22230</v>
      </c>
      <c r="AZ2265" s="3" t="s">
        <v>22231</v>
      </c>
      <c r="BA2265" s="3" t="s">
        <v>22231</v>
      </c>
      <c r="BB2265" s="3" t="s">
        <v>22232</v>
      </c>
      <c r="BC2265" s="3" t="s">
        <v>77</v>
      </c>
      <c r="BD2265" s="3" t="s">
        <v>78</v>
      </c>
      <c r="BE2265" s="3" t="s">
        <v>22233</v>
      </c>
      <c r="BF2265" s="3" t="s">
        <v>22232</v>
      </c>
      <c r="BG2265" s="3" t="s">
        <v>22234</v>
      </c>
    </row>
    <row r="2266" spans="1:59" ht="58" x14ac:dyDescent="0.35">
      <c r="A2266" s="2" t="s">
        <v>59</v>
      </c>
      <c r="B2266" s="2" t="s">
        <v>60</v>
      </c>
      <c r="C2266" s="2" t="s">
        <v>22235</v>
      </c>
      <c r="D2266" s="2" t="s">
        <v>22236</v>
      </c>
      <c r="E2266" s="2" t="s">
        <v>22237</v>
      </c>
      <c r="G2266" s="3" t="s">
        <v>65</v>
      </c>
      <c r="I2266" s="3" t="s">
        <v>65</v>
      </c>
      <c r="J2266" s="3" t="s">
        <v>65</v>
      </c>
      <c r="K2266" s="3" t="s">
        <v>66</v>
      </c>
      <c r="L2266" s="2" t="s">
        <v>22238</v>
      </c>
      <c r="M2266" s="2" t="s">
        <v>22239</v>
      </c>
      <c r="N2266" s="3" t="s">
        <v>86</v>
      </c>
      <c r="O2266" s="2" t="s">
        <v>22240</v>
      </c>
      <c r="P2266" s="3" t="s">
        <v>69</v>
      </c>
      <c r="R2266" s="3" t="s">
        <v>71</v>
      </c>
      <c r="S2266" s="4">
        <v>0</v>
      </c>
      <c r="T2266" s="4">
        <v>0</v>
      </c>
      <c r="W2266" s="5" t="s">
        <v>72</v>
      </c>
      <c r="X2266" s="5" t="s">
        <v>72</v>
      </c>
      <c r="Y2266" s="4">
        <v>317</v>
      </c>
      <c r="Z2266" s="4">
        <v>10</v>
      </c>
      <c r="AA2266" s="4">
        <v>11</v>
      </c>
      <c r="AB2266" s="4">
        <v>2</v>
      </c>
      <c r="AC2266" s="4">
        <v>3</v>
      </c>
      <c r="AD2266" s="4">
        <v>52</v>
      </c>
      <c r="AE2266" s="4">
        <v>56</v>
      </c>
      <c r="AF2266" s="4">
        <v>0</v>
      </c>
      <c r="AG2266" s="4">
        <v>0</v>
      </c>
      <c r="AH2266" s="4">
        <v>50</v>
      </c>
      <c r="AI2266" s="4">
        <v>53</v>
      </c>
      <c r="AJ2266" s="4">
        <v>4</v>
      </c>
      <c r="AK2266" s="4">
        <v>4</v>
      </c>
      <c r="AL2266" s="4">
        <v>32</v>
      </c>
      <c r="AM2266" s="4">
        <v>36</v>
      </c>
      <c r="AN2266" s="4">
        <v>0</v>
      </c>
      <c r="AO2266" s="4">
        <v>0</v>
      </c>
      <c r="AP2266" s="4">
        <v>4</v>
      </c>
      <c r="AQ2266" s="4">
        <v>4</v>
      </c>
      <c r="AR2266" s="3" t="s">
        <v>65</v>
      </c>
      <c r="AS2266" s="3" t="s">
        <v>65</v>
      </c>
      <c r="AT2266" s="3" t="s">
        <v>65</v>
      </c>
      <c r="AV2266" s="6" t="str">
        <f>HYPERLINK("http://mcgill.on.worldcat.org/oclc/1027164842","Catalog Record")</f>
        <v>Catalog Record</v>
      </c>
      <c r="AW2266" s="6" t="str">
        <f>HYPERLINK("http://www.worldcat.org/oclc/1027164842","WorldCat Record")</f>
        <v>WorldCat Record</v>
      </c>
      <c r="AX2266" s="3" t="s">
        <v>22241</v>
      </c>
      <c r="AY2266" s="3" t="s">
        <v>22242</v>
      </c>
      <c r="AZ2266" s="3" t="s">
        <v>22243</v>
      </c>
      <c r="BA2266" s="3" t="s">
        <v>22243</v>
      </c>
      <c r="BB2266" s="3" t="s">
        <v>22244</v>
      </c>
      <c r="BC2266" s="3" t="s">
        <v>77</v>
      </c>
      <c r="BD2266" s="3" t="s">
        <v>78</v>
      </c>
      <c r="BE2266" s="3" t="s">
        <v>22245</v>
      </c>
      <c r="BF2266" s="3" t="s">
        <v>22244</v>
      </c>
      <c r="BG2266" s="3" t="s">
        <v>22246</v>
      </c>
    </row>
    <row r="2267" spans="1:59" ht="58" x14ac:dyDescent="0.35">
      <c r="A2267" s="2" t="s">
        <v>59</v>
      </c>
      <c r="B2267" s="2" t="s">
        <v>60</v>
      </c>
      <c r="C2267" s="2" t="s">
        <v>22247</v>
      </c>
      <c r="D2267" s="2" t="s">
        <v>22248</v>
      </c>
      <c r="E2267" s="2" t="s">
        <v>22249</v>
      </c>
      <c r="G2267" s="3" t="s">
        <v>65</v>
      </c>
      <c r="I2267" s="3" t="s">
        <v>65</v>
      </c>
      <c r="J2267" s="3" t="s">
        <v>65</v>
      </c>
      <c r="K2267" s="3" t="s">
        <v>66</v>
      </c>
      <c r="L2267" s="2" t="s">
        <v>22250</v>
      </c>
      <c r="M2267" s="2" t="s">
        <v>22251</v>
      </c>
      <c r="N2267" s="3" t="s">
        <v>99</v>
      </c>
      <c r="P2267" s="3" t="s">
        <v>616</v>
      </c>
      <c r="Q2267" s="2" t="s">
        <v>22252</v>
      </c>
      <c r="R2267" s="3" t="s">
        <v>71</v>
      </c>
      <c r="S2267" s="4">
        <v>9</v>
      </c>
      <c r="T2267" s="4">
        <v>9</v>
      </c>
      <c r="U2267" s="5" t="s">
        <v>22253</v>
      </c>
      <c r="V2267" s="5" t="s">
        <v>22253</v>
      </c>
      <c r="W2267" s="5" t="s">
        <v>72</v>
      </c>
      <c r="X2267" s="5" t="s">
        <v>72</v>
      </c>
      <c r="Y2267" s="4">
        <v>52</v>
      </c>
      <c r="Z2267" s="4">
        <v>7</v>
      </c>
      <c r="AA2267" s="4">
        <v>7</v>
      </c>
      <c r="AB2267" s="4">
        <v>6</v>
      </c>
      <c r="AC2267" s="4">
        <v>6</v>
      </c>
      <c r="AD2267" s="4">
        <v>3</v>
      </c>
      <c r="AE2267" s="4">
        <v>3</v>
      </c>
      <c r="AF2267" s="4">
        <v>3</v>
      </c>
      <c r="AG2267" s="4">
        <v>3</v>
      </c>
      <c r="AH2267" s="4">
        <v>1</v>
      </c>
      <c r="AI2267" s="4">
        <v>1</v>
      </c>
      <c r="AJ2267" s="4">
        <v>2</v>
      </c>
      <c r="AK2267" s="4">
        <v>2</v>
      </c>
      <c r="AL2267" s="4">
        <v>0</v>
      </c>
      <c r="AM2267" s="4">
        <v>0</v>
      </c>
      <c r="AN2267" s="4">
        <v>0</v>
      </c>
      <c r="AO2267" s="4">
        <v>0</v>
      </c>
      <c r="AP2267" s="4">
        <v>2</v>
      </c>
      <c r="AQ2267" s="4">
        <v>2</v>
      </c>
      <c r="AR2267" s="3" t="s">
        <v>65</v>
      </c>
      <c r="AS2267" s="3" t="s">
        <v>65</v>
      </c>
      <c r="AT2267" s="3" t="s">
        <v>65</v>
      </c>
      <c r="AV2267" s="6" t="str">
        <f>HYPERLINK("http://mcgill.on.worldcat.org/oclc/91765838","Catalog Record")</f>
        <v>Catalog Record</v>
      </c>
      <c r="AW2267" s="6" t="str">
        <f>HYPERLINK("http://www.worldcat.org/oclc/91765838","WorldCat Record")</f>
        <v>WorldCat Record</v>
      </c>
      <c r="AX2267" s="3" t="s">
        <v>22254</v>
      </c>
      <c r="AY2267" s="3" t="s">
        <v>22255</v>
      </c>
      <c r="AZ2267" s="3" t="s">
        <v>22256</v>
      </c>
      <c r="BA2267" s="3" t="s">
        <v>22256</v>
      </c>
      <c r="BB2267" s="3" t="s">
        <v>22257</v>
      </c>
      <c r="BC2267" s="3" t="s">
        <v>77</v>
      </c>
      <c r="BD2267" s="3" t="s">
        <v>78</v>
      </c>
      <c r="BE2267" s="3" t="s">
        <v>22258</v>
      </c>
      <c r="BF2267" s="3" t="s">
        <v>22257</v>
      </c>
      <c r="BG2267" s="3" t="s">
        <v>22259</v>
      </c>
    </row>
    <row r="2268" spans="1:59" ht="58" x14ac:dyDescent="0.35">
      <c r="A2268" s="2" t="s">
        <v>59</v>
      </c>
      <c r="B2268" s="2" t="s">
        <v>60</v>
      </c>
      <c r="C2268" s="2" t="s">
        <v>22260</v>
      </c>
      <c r="D2268" s="2" t="s">
        <v>22261</v>
      </c>
      <c r="E2268" s="2" t="s">
        <v>22262</v>
      </c>
      <c r="G2268" s="3" t="s">
        <v>65</v>
      </c>
      <c r="I2268" s="3" t="s">
        <v>65</v>
      </c>
      <c r="J2268" s="3" t="s">
        <v>65</v>
      </c>
      <c r="K2268" s="3" t="s">
        <v>66</v>
      </c>
      <c r="M2268" s="2" t="s">
        <v>22263</v>
      </c>
      <c r="N2268" s="3" t="s">
        <v>176</v>
      </c>
      <c r="P2268" s="3" t="s">
        <v>616</v>
      </c>
      <c r="R2268" s="3" t="s">
        <v>71</v>
      </c>
      <c r="S2268" s="4">
        <v>0</v>
      </c>
      <c r="T2268" s="4">
        <v>0</v>
      </c>
      <c r="W2268" s="5" t="s">
        <v>72</v>
      </c>
      <c r="X2268" s="5" t="s">
        <v>72</v>
      </c>
      <c r="Y2268" s="4">
        <v>22</v>
      </c>
      <c r="Z2268" s="4">
        <v>5</v>
      </c>
      <c r="AA2268" s="4">
        <v>6</v>
      </c>
      <c r="AB2268" s="4">
        <v>1</v>
      </c>
      <c r="AC2268" s="4">
        <v>1</v>
      </c>
      <c r="AD2268" s="4">
        <v>11</v>
      </c>
      <c r="AE2268" s="4">
        <v>12</v>
      </c>
      <c r="AF2268" s="4">
        <v>0</v>
      </c>
      <c r="AG2268" s="4">
        <v>0</v>
      </c>
      <c r="AH2268" s="4">
        <v>9</v>
      </c>
      <c r="AI2268" s="4">
        <v>10</v>
      </c>
      <c r="AJ2268" s="4">
        <v>3</v>
      </c>
      <c r="AK2268" s="4">
        <v>4</v>
      </c>
      <c r="AL2268" s="4">
        <v>7</v>
      </c>
      <c r="AM2268" s="4">
        <v>7</v>
      </c>
      <c r="AN2268" s="4">
        <v>0</v>
      </c>
      <c r="AO2268" s="4">
        <v>0</v>
      </c>
      <c r="AP2268" s="4">
        <v>3</v>
      </c>
      <c r="AQ2268" s="4">
        <v>4</v>
      </c>
      <c r="AR2268" s="3" t="s">
        <v>65</v>
      </c>
      <c r="AS2268" s="3" t="s">
        <v>65</v>
      </c>
      <c r="AT2268" s="3" t="s">
        <v>65</v>
      </c>
      <c r="AV2268" s="6" t="str">
        <f>HYPERLINK("http://mcgill.on.worldcat.org/oclc/929156403","Catalog Record")</f>
        <v>Catalog Record</v>
      </c>
      <c r="AW2268" s="6" t="str">
        <f>HYPERLINK("http://www.worldcat.org/oclc/929156403","WorldCat Record")</f>
        <v>WorldCat Record</v>
      </c>
      <c r="AX2268" s="3" t="s">
        <v>22264</v>
      </c>
      <c r="AY2268" s="3" t="s">
        <v>22265</v>
      </c>
      <c r="AZ2268" s="3" t="s">
        <v>22266</v>
      </c>
      <c r="BA2268" s="3" t="s">
        <v>22266</v>
      </c>
      <c r="BB2268" s="3" t="s">
        <v>22267</v>
      </c>
      <c r="BC2268" s="3" t="s">
        <v>77</v>
      </c>
      <c r="BD2268" s="3" t="s">
        <v>78</v>
      </c>
      <c r="BE2268" s="3" t="s">
        <v>22268</v>
      </c>
      <c r="BF2268" s="3" t="s">
        <v>22267</v>
      </c>
      <c r="BG2268" s="3" t="s">
        <v>22269</v>
      </c>
    </row>
    <row r="2269" spans="1:59" ht="72.5" x14ac:dyDescent="0.35">
      <c r="A2269" s="2" t="s">
        <v>59</v>
      </c>
      <c r="B2269" s="2" t="s">
        <v>60</v>
      </c>
      <c r="C2269" s="2" t="s">
        <v>22270</v>
      </c>
      <c r="D2269" s="2" t="s">
        <v>22271</v>
      </c>
      <c r="E2269" s="2" t="s">
        <v>22272</v>
      </c>
      <c r="G2269" s="3" t="s">
        <v>65</v>
      </c>
      <c r="I2269" s="3" t="s">
        <v>65</v>
      </c>
      <c r="J2269" s="3" t="s">
        <v>65</v>
      </c>
      <c r="K2269" s="3" t="s">
        <v>66</v>
      </c>
      <c r="M2269" s="2" t="s">
        <v>3305</v>
      </c>
      <c r="N2269" s="3" t="s">
        <v>139</v>
      </c>
      <c r="O2269" s="2" t="s">
        <v>365</v>
      </c>
      <c r="P2269" s="3" t="s">
        <v>140</v>
      </c>
      <c r="Q2269" s="2" t="s">
        <v>22273</v>
      </c>
      <c r="R2269" s="3" t="s">
        <v>71</v>
      </c>
      <c r="S2269" s="4">
        <v>1</v>
      </c>
      <c r="T2269" s="4">
        <v>1</v>
      </c>
      <c r="U2269" s="5" t="s">
        <v>22274</v>
      </c>
      <c r="V2269" s="5" t="s">
        <v>22274</v>
      </c>
      <c r="W2269" s="5" t="s">
        <v>72</v>
      </c>
      <c r="X2269" s="5" t="s">
        <v>72</v>
      </c>
      <c r="Y2269" s="4">
        <v>50</v>
      </c>
      <c r="Z2269" s="4">
        <v>3</v>
      </c>
      <c r="AA2269" s="4">
        <v>3</v>
      </c>
      <c r="AB2269" s="4">
        <v>1</v>
      </c>
      <c r="AC2269" s="4">
        <v>1</v>
      </c>
      <c r="AD2269" s="4">
        <v>28</v>
      </c>
      <c r="AE2269" s="4">
        <v>28</v>
      </c>
      <c r="AF2269" s="4">
        <v>0</v>
      </c>
      <c r="AG2269" s="4">
        <v>0</v>
      </c>
      <c r="AH2269" s="4">
        <v>27</v>
      </c>
      <c r="AI2269" s="4">
        <v>27</v>
      </c>
      <c r="AJ2269" s="4">
        <v>1</v>
      </c>
      <c r="AK2269" s="4">
        <v>1</v>
      </c>
      <c r="AL2269" s="4">
        <v>23</v>
      </c>
      <c r="AM2269" s="4">
        <v>23</v>
      </c>
      <c r="AN2269" s="4">
        <v>0</v>
      </c>
      <c r="AO2269" s="4">
        <v>0</v>
      </c>
      <c r="AP2269" s="4">
        <v>1</v>
      </c>
      <c r="AQ2269" s="4">
        <v>1</v>
      </c>
      <c r="AR2269" s="3" t="s">
        <v>65</v>
      </c>
      <c r="AS2269" s="3" t="s">
        <v>65</v>
      </c>
      <c r="AT2269" s="3" t="s">
        <v>65</v>
      </c>
      <c r="AV2269" s="6" t="str">
        <f>HYPERLINK("http://mcgill.on.worldcat.org/oclc/796781814","Catalog Record")</f>
        <v>Catalog Record</v>
      </c>
      <c r="AW2269" s="6" t="str">
        <f>HYPERLINK("http://www.worldcat.org/oclc/796781814","WorldCat Record")</f>
        <v>WorldCat Record</v>
      </c>
      <c r="AX2269" s="3" t="s">
        <v>22275</v>
      </c>
      <c r="AY2269" s="3" t="s">
        <v>22276</v>
      </c>
      <c r="AZ2269" s="3" t="s">
        <v>22277</v>
      </c>
      <c r="BA2269" s="3" t="s">
        <v>22277</v>
      </c>
      <c r="BB2269" s="3" t="s">
        <v>22278</v>
      </c>
      <c r="BC2269" s="3" t="s">
        <v>77</v>
      </c>
      <c r="BD2269" s="3" t="s">
        <v>78</v>
      </c>
      <c r="BE2269" s="3" t="s">
        <v>22279</v>
      </c>
      <c r="BF2269" s="3" t="s">
        <v>22278</v>
      </c>
      <c r="BG2269" s="3" t="s">
        <v>22280</v>
      </c>
    </row>
    <row r="2270" spans="1:59" ht="58" x14ac:dyDescent="0.35">
      <c r="A2270" s="2" t="s">
        <v>59</v>
      </c>
      <c r="B2270" s="2" t="s">
        <v>60</v>
      </c>
      <c r="C2270" s="2" t="s">
        <v>22281</v>
      </c>
      <c r="D2270" s="2" t="s">
        <v>22282</v>
      </c>
      <c r="E2270" s="2" t="s">
        <v>22283</v>
      </c>
      <c r="G2270" s="3" t="s">
        <v>65</v>
      </c>
      <c r="I2270" s="3" t="s">
        <v>65</v>
      </c>
      <c r="J2270" s="3" t="s">
        <v>65</v>
      </c>
      <c r="K2270" s="3" t="s">
        <v>66</v>
      </c>
      <c r="L2270" s="2" t="s">
        <v>22151</v>
      </c>
      <c r="M2270" s="2" t="s">
        <v>22284</v>
      </c>
      <c r="N2270" s="3" t="s">
        <v>126</v>
      </c>
      <c r="O2270" s="2" t="s">
        <v>365</v>
      </c>
      <c r="P2270" s="3" t="s">
        <v>140</v>
      </c>
      <c r="Q2270" s="2" t="s">
        <v>22285</v>
      </c>
      <c r="R2270" s="3" t="s">
        <v>71</v>
      </c>
      <c r="S2270" s="4">
        <v>2</v>
      </c>
      <c r="T2270" s="4">
        <v>2</v>
      </c>
      <c r="U2270" s="5" t="s">
        <v>22274</v>
      </c>
      <c r="V2270" s="5" t="s">
        <v>22274</v>
      </c>
      <c r="W2270" s="5" t="s">
        <v>72</v>
      </c>
      <c r="X2270" s="5" t="s">
        <v>72</v>
      </c>
      <c r="Y2270" s="4">
        <v>43</v>
      </c>
      <c r="Z2270" s="4">
        <v>3</v>
      </c>
      <c r="AA2270" s="4">
        <v>3</v>
      </c>
      <c r="AB2270" s="4">
        <v>1</v>
      </c>
      <c r="AC2270" s="4">
        <v>1</v>
      </c>
      <c r="AD2270" s="4">
        <v>29</v>
      </c>
      <c r="AE2270" s="4">
        <v>29</v>
      </c>
      <c r="AF2270" s="4">
        <v>0</v>
      </c>
      <c r="AG2270" s="4">
        <v>0</v>
      </c>
      <c r="AH2270" s="4">
        <v>28</v>
      </c>
      <c r="AI2270" s="4">
        <v>28</v>
      </c>
      <c r="AJ2270" s="4">
        <v>1</v>
      </c>
      <c r="AK2270" s="4">
        <v>1</v>
      </c>
      <c r="AL2270" s="4">
        <v>21</v>
      </c>
      <c r="AM2270" s="4">
        <v>21</v>
      </c>
      <c r="AN2270" s="4">
        <v>0</v>
      </c>
      <c r="AO2270" s="4">
        <v>0</v>
      </c>
      <c r="AP2270" s="4">
        <v>1</v>
      </c>
      <c r="AQ2270" s="4">
        <v>1</v>
      </c>
      <c r="AR2270" s="3" t="s">
        <v>65</v>
      </c>
      <c r="AS2270" s="3" t="s">
        <v>65</v>
      </c>
      <c r="AT2270" s="3" t="s">
        <v>65</v>
      </c>
      <c r="AV2270" s="6" t="str">
        <f>HYPERLINK("http://mcgill.on.worldcat.org/oclc/780944872","Catalog Record")</f>
        <v>Catalog Record</v>
      </c>
      <c r="AW2270" s="6" t="str">
        <f>HYPERLINK("http://www.worldcat.org/oclc/780944872","WorldCat Record")</f>
        <v>WorldCat Record</v>
      </c>
      <c r="AX2270" s="3" t="s">
        <v>22286</v>
      </c>
      <c r="AY2270" s="3" t="s">
        <v>22287</v>
      </c>
      <c r="AZ2270" s="3" t="s">
        <v>22288</v>
      </c>
      <c r="BA2270" s="3" t="s">
        <v>22288</v>
      </c>
      <c r="BB2270" s="3" t="s">
        <v>22289</v>
      </c>
      <c r="BC2270" s="3" t="s">
        <v>77</v>
      </c>
      <c r="BD2270" s="3" t="s">
        <v>78</v>
      </c>
      <c r="BE2270" s="3" t="s">
        <v>22290</v>
      </c>
      <c r="BF2270" s="3" t="s">
        <v>22289</v>
      </c>
      <c r="BG2270" s="3" t="s">
        <v>22291</v>
      </c>
    </row>
    <row r="2271" spans="1:59" ht="58" x14ac:dyDescent="0.35">
      <c r="A2271" s="2" t="s">
        <v>59</v>
      </c>
      <c r="B2271" s="2" t="s">
        <v>60</v>
      </c>
      <c r="C2271" s="2" t="s">
        <v>22292</v>
      </c>
      <c r="D2271" s="2" t="s">
        <v>22293</v>
      </c>
      <c r="E2271" s="2" t="s">
        <v>22294</v>
      </c>
      <c r="G2271" s="3" t="s">
        <v>65</v>
      </c>
      <c r="I2271" s="3" t="s">
        <v>65</v>
      </c>
      <c r="J2271" s="3" t="s">
        <v>65</v>
      </c>
      <c r="K2271" s="3" t="s">
        <v>66</v>
      </c>
      <c r="L2271" s="2" t="s">
        <v>22295</v>
      </c>
      <c r="M2271" s="2" t="s">
        <v>22296</v>
      </c>
      <c r="N2271" s="3" t="s">
        <v>188</v>
      </c>
      <c r="O2271" s="2" t="s">
        <v>379</v>
      </c>
      <c r="P2271" s="3" t="s">
        <v>140</v>
      </c>
      <c r="Q2271" s="2" t="s">
        <v>22297</v>
      </c>
      <c r="R2271" s="3" t="s">
        <v>71</v>
      </c>
      <c r="S2271" s="4">
        <v>0</v>
      </c>
      <c r="T2271" s="4">
        <v>0</v>
      </c>
      <c r="W2271" s="5" t="s">
        <v>72</v>
      </c>
      <c r="X2271" s="5" t="s">
        <v>72</v>
      </c>
      <c r="Y2271" s="4">
        <v>27</v>
      </c>
      <c r="Z2271" s="4">
        <v>1</v>
      </c>
      <c r="AA2271" s="4">
        <v>1</v>
      </c>
      <c r="AB2271" s="4">
        <v>1</v>
      </c>
      <c r="AC2271" s="4">
        <v>1</v>
      </c>
      <c r="AD2271" s="4">
        <v>19</v>
      </c>
      <c r="AE2271" s="4">
        <v>19</v>
      </c>
      <c r="AF2271" s="4">
        <v>0</v>
      </c>
      <c r="AG2271" s="4">
        <v>0</v>
      </c>
      <c r="AH2271" s="4">
        <v>18</v>
      </c>
      <c r="AI2271" s="4">
        <v>18</v>
      </c>
      <c r="AJ2271" s="4">
        <v>0</v>
      </c>
      <c r="AK2271" s="4">
        <v>0</v>
      </c>
      <c r="AL2271" s="4">
        <v>14</v>
      </c>
      <c r="AM2271" s="4">
        <v>14</v>
      </c>
      <c r="AN2271" s="4">
        <v>0</v>
      </c>
      <c r="AO2271" s="4">
        <v>0</v>
      </c>
      <c r="AP2271" s="4">
        <v>0</v>
      </c>
      <c r="AQ2271" s="4">
        <v>0</v>
      </c>
      <c r="AR2271" s="3" t="s">
        <v>65</v>
      </c>
      <c r="AS2271" s="3" t="s">
        <v>65</v>
      </c>
      <c r="AT2271" s="3" t="s">
        <v>65</v>
      </c>
      <c r="AV2271" s="6" t="str">
        <f>HYPERLINK("http://mcgill.on.worldcat.org/oclc/1023653536","Catalog Record")</f>
        <v>Catalog Record</v>
      </c>
      <c r="AW2271" s="6" t="str">
        <f>HYPERLINK("http://www.worldcat.org/oclc/1023653536","WorldCat Record")</f>
        <v>WorldCat Record</v>
      </c>
      <c r="AX2271" s="3" t="s">
        <v>22298</v>
      </c>
      <c r="AY2271" s="3" t="s">
        <v>22299</v>
      </c>
      <c r="AZ2271" s="3" t="s">
        <v>22300</v>
      </c>
      <c r="BA2271" s="3" t="s">
        <v>22300</v>
      </c>
      <c r="BB2271" s="3" t="s">
        <v>22301</v>
      </c>
      <c r="BC2271" s="3" t="s">
        <v>77</v>
      </c>
      <c r="BD2271" s="3" t="s">
        <v>78</v>
      </c>
      <c r="BE2271" s="3" t="s">
        <v>22302</v>
      </c>
      <c r="BF2271" s="3" t="s">
        <v>22301</v>
      </c>
      <c r="BG2271" s="3" t="s">
        <v>22303</v>
      </c>
    </row>
    <row r="2272" spans="1:59" ht="58" x14ac:dyDescent="0.35">
      <c r="A2272" s="2" t="s">
        <v>59</v>
      </c>
      <c r="B2272" s="2" t="s">
        <v>60</v>
      </c>
      <c r="C2272" s="2" t="s">
        <v>22304</v>
      </c>
      <c r="D2272" s="2" t="s">
        <v>22305</v>
      </c>
      <c r="E2272" s="2" t="s">
        <v>22306</v>
      </c>
      <c r="G2272" s="3" t="s">
        <v>65</v>
      </c>
      <c r="I2272" s="3" t="s">
        <v>65</v>
      </c>
      <c r="J2272" s="3" t="s">
        <v>65</v>
      </c>
      <c r="K2272" s="3" t="s">
        <v>66</v>
      </c>
      <c r="L2272" s="2" t="s">
        <v>22307</v>
      </c>
      <c r="M2272" s="2" t="s">
        <v>22308</v>
      </c>
      <c r="N2272" s="3" t="s">
        <v>164</v>
      </c>
      <c r="P2272" s="3" t="s">
        <v>69</v>
      </c>
      <c r="Q2272" s="2" t="s">
        <v>22309</v>
      </c>
      <c r="R2272" s="3" t="s">
        <v>71</v>
      </c>
      <c r="S2272" s="4">
        <v>0</v>
      </c>
      <c r="T2272" s="4">
        <v>0</v>
      </c>
      <c r="W2272" s="5" t="s">
        <v>72</v>
      </c>
      <c r="X2272" s="5" t="s">
        <v>72</v>
      </c>
      <c r="Y2272" s="4">
        <v>7</v>
      </c>
      <c r="Z2272" s="4">
        <v>1</v>
      </c>
      <c r="AA2272" s="4">
        <v>1</v>
      </c>
      <c r="AB2272" s="4">
        <v>1</v>
      </c>
      <c r="AC2272" s="4">
        <v>1</v>
      </c>
      <c r="AD2272" s="4">
        <v>3</v>
      </c>
      <c r="AE2272" s="4">
        <v>3</v>
      </c>
      <c r="AF2272" s="4">
        <v>0</v>
      </c>
      <c r="AG2272" s="4">
        <v>0</v>
      </c>
      <c r="AH2272" s="4">
        <v>3</v>
      </c>
      <c r="AI2272" s="4">
        <v>3</v>
      </c>
      <c r="AJ2272" s="4">
        <v>0</v>
      </c>
      <c r="AK2272" s="4">
        <v>0</v>
      </c>
      <c r="AL2272" s="4">
        <v>3</v>
      </c>
      <c r="AM2272" s="4">
        <v>3</v>
      </c>
      <c r="AN2272" s="4">
        <v>0</v>
      </c>
      <c r="AO2272" s="4">
        <v>0</v>
      </c>
      <c r="AP2272" s="4">
        <v>0</v>
      </c>
      <c r="AQ2272" s="4">
        <v>0</v>
      </c>
      <c r="AR2272" s="3" t="s">
        <v>65</v>
      </c>
      <c r="AS2272" s="3" t="s">
        <v>65</v>
      </c>
      <c r="AT2272" s="3" t="s">
        <v>65</v>
      </c>
      <c r="AV2272" s="6" t="str">
        <f>HYPERLINK("http://mcgill.on.worldcat.org/oclc/931807940","Catalog Record")</f>
        <v>Catalog Record</v>
      </c>
      <c r="AW2272" s="6" t="str">
        <f>HYPERLINK("http://www.worldcat.org/oclc/931807940","WorldCat Record")</f>
        <v>WorldCat Record</v>
      </c>
      <c r="AX2272" s="3" t="s">
        <v>22310</v>
      </c>
      <c r="AY2272" s="3" t="s">
        <v>22311</v>
      </c>
      <c r="AZ2272" s="3" t="s">
        <v>22312</v>
      </c>
      <c r="BA2272" s="3" t="s">
        <v>22312</v>
      </c>
      <c r="BB2272" s="3" t="s">
        <v>22313</v>
      </c>
      <c r="BC2272" s="3" t="s">
        <v>77</v>
      </c>
      <c r="BD2272" s="3" t="s">
        <v>78</v>
      </c>
      <c r="BE2272" s="3" t="s">
        <v>22314</v>
      </c>
      <c r="BF2272" s="3" t="s">
        <v>22313</v>
      </c>
      <c r="BG2272" s="3" t="s">
        <v>22315</v>
      </c>
    </row>
    <row r="2273" spans="1:59" ht="58" x14ac:dyDescent="0.35">
      <c r="A2273" s="2" t="s">
        <v>59</v>
      </c>
      <c r="B2273" s="2" t="s">
        <v>60</v>
      </c>
      <c r="C2273" s="2" t="s">
        <v>22316</v>
      </c>
      <c r="D2273" s="2" t="s">
        <v>22317</v>
      </c>
      <c r="E2273" s="2" t="s">
        <v>22318</v>
      </c>
      <c r="G2273" s="3" t="s">
        <v>65</v>
      </c>
      <c r="I2273" s="3" t="s">
        <v>65</v>
      </c>
      <c r="J2273" s="3" t="s">
        <v>65</v>
      </c>
      <c r="K2273" s="3" t="s">
        <v>66</v>
      </c>
      <c r="L2273" s="2" t="s">
        <v>22319</v>
      </c>
      <c r="M2273" s="2" t="s">
        <v>22320</v>
      </c>
      <c r="N2273" s="3" t="s">
        <v>126</v>
      </c>
      <c r="P2273" s="3" t="s">
        <v>140</v>
      </c>
      <c r="Q2273" s="2" t="s">
        <v>22321</v>
      </c>
      <c r="R2273" s="3" t="s">
        <v>71</v>
      </c>
      <c r="S2273" s="4">
        <v>5</v>
      </c>
      <c r="T2273" s="4">
        <v>5</v>
      </c>
      <c r="U2273" s="5" t="s">
        <v>22322</v>
      </c>
      <c r="V2273" s="5" t="s">
        <v>22322</v>
      </c>
      <c r="W2273" s="5" t="s">
        <v>72</v>
      </c>
      <c r="X2273" s="5" t="s">
        <v>72</v>
      </c>
      <c r="Y2273" s="4">
        <v>50</v>
      </c>
      <c r="Z2273" s="4">
        <v>3</v>
      </c>
      <c r="AA2273" s="4">
        <v>3</v>
      </c>
      <c r="AB2273" s="4">
        <v>1</v>
      </c>
      <c r="AC2273" s="4">
        <v>1</v>
      </c>
      <c r="AD2273" s="4">
        <v>28</v>
      </c>
      <c r="AE2273" s="4">
        <v>28</v>
      </c>
      <c r="AF2273" s="4">
        <v>0</v>
      </c>
      <c r="AG2273" s="4">
        <v>0</v>
      </c>
      <c r="AH2273" s="4">
        <v>27</v>
      </c>
      <c r="AI2273" s="4">
        <v>27</v>
      </c>
      <c r="AJ2273" s="4">
        <v>1</v>
      </c>
      <c r="AK2273" s="4">
        <v>1</v>
      </c>
      <c r="AL2273" s="4">
        <v>21</v>
      </c>
      <c r="AM2273" s="4">
        <v>21</v>
      </c>
      <c r="AN2273" s="4">
        <v>0</v>
      </c>
      <c r="AO2273" s="4">
        <v>0</v>
      </c>
      <c r="AP2273" s="4">
        <v>1</v>
      </c>
      <c r="AQ2273" s="4">
        <v>1</v>
      </c>
      <c r="AR2273" s="3" t="s">
        <v>65</v>
      </c>
      <c r="AS2273" s="3" t="s">
        <v>65</v>
      </c>
      <c r="AT2273" s="3" t="s">
        <v>65</v>
      </c>
      <c r="AV2273" s="6" t="str">
        <f>HYPERLINK("http://mcgill.on.worldcat.org/oclc/768810359","Catalog Record")</f>
        <v>Catalog Record</v>
      </c>
      <c r="AW2273" s="6" t="str">
        <f>HYPERLINK("http://www.worldcat.org/oclc/768810359","WorldCat Record")</f>
        <v>WorldCat Record</v>
      </c>
      <c r="AX2273" s="3" t="s">
        <v>22323</v>
      </c>
      <c r="AY2273" s="3" t="s">
        <v>22324</v>
      </c>
      <c r="AZ2273" s="3" t="s">
        <v>22325</v>
      </c>
      <c r="BA2273" s="3" t="s">
        <v>22325</v>
      </c>
      <c r="BB2273" s="3" t="s">
        <v>22326</v>
      </c>
      <c r="BC2273" s="3" t="s">
        <v>77</v>
      </c>
      <c r="BD2273" s="3" t="s">
        <v>78</v>
      </c>
      <c r="BE2273" s="3" t="s">
        <v>22327</v>
      </c>
      <c r="BF2273" s="3" t="s">
        <v>22326</v>
      </c>
      <c r="BG2273" s="3" t="s">
        <v>22328</v>
      </c>
    </row>
    <row r="2274" spans="1:59" ht="58" x14ac:dyDescent="0.35">
      <c r="A2274" s="2" t="s">
        <v>59</v>
      </c>
      <c r="B2274" s="2" t="s">
        <v>60</v>
      </c>
      <c r="C2274" s="2" t="s">
        <v>22329</v>
      </c>
      <c r="D2274" s="2" t="s">
        <v>22330</v>
      </c>
      <c r="E2274" s="2" t="s">
        <v>22331</v>
      </c>
      <c r="G2274" s="3" t="s">
        <v>65</v>
      </c>
      <c r="I2274" s="3" t="s">
        <v>65</v>
      </c>
      <c r="J2274" s="3" t="s">
        <v>65</v>
      </c>
      <c r="K2274" s="3" t="s">
        <v>66</v>
      </c>
      <c r="L2274" s="2" t="s">
        <v>22332</v>
      </c>
      <c r="M2274" s="2" t="s">
        <v>22333</v>
      </c>
      <c r="N2274" s="3" t="s">
        <v>221</v>
      </c>
      <c r="P2274" s="3" t="s">
        <v>140</v>
      </c>
      <c r="Q2274" s="2" t="s">
        <v>22334</v>
      </c>
      <c r="R2274" s="3" t="s">
        <v>71</v>
      </c>
      <c r="S2274" s="4">
        <v>8</v>
      </c>
      <c r="T2274" s="4">
        <v>8</v>
      </c>
      <c r="U2274" s="5" t="s">
        <v>13281</v>
      </c>
      <c r="V2274" s="5" t="s">
        <v>13281</v>
      </c>
      <c r="W2274" s="5" t="s">
        <v>72</v>
      </c>
      <c r="X2274" s="5" t="s">
        <v>72</v>
      </c>
      <c r="Y2274" s="4">
        <v>49</v>
      </c>
      <c r="Z2274" s="4">
        <v>3</v>
      </c>
      <c r="AA2274" s="4">
        <v>3</v>
      </c>
      <c r="AB2274" s="4">
        <v>1</v>
      </c>
      <c r="AC2274" s="4">
        <v>1</v>
      </c>
      <c r="AD2274" s="4">
        <v>34</v>
      </c>
      <c r="AE2274" s="4">
        <v>34</v>
      </c>
      <c r="AF2274" s="4">
        <v>0</v>
      </c>
      <c r="AG2274" s="4">
        <v>0</v>
      </c>
      <c r="AH2274" s="4">
        <v>33</v>
      </c>
      <c r="AI2274" s="4">
        <v>33</v>
      </c>
      <c r="AJ2274" s="4">
        <v>1</v>
      </c>
      <c r="AK2274" s="4">
        <v>1</v>
      </c>
      <c r="AL2274" s="4">
        <v>26</v>
      </c>
      <c r="AM2274" s="4">
        <v>26</v>
      </c>
      <c r="AN2274" s="4">
        <v>0</v>
      </c>
      <c r="AO2274" s="4">
        <v>0</v>
      </c>
      <c r="AP2274" s="4">
        <v>1</v>
      </c>
      <c r="AQ2274" s="4">
        <v>1</v>
      </c>
      <c r="AR2274" s="3" t="s">
        <v>65</v>
      </c>
      <c r="AS2274" s="3" t="s">
        <v>65</v>
      </c>
      <c r="AT2274" s="3" t="s">
        <v>209</v>
      </c>
      <c r="AU2274" s="6" t="str">
        <f>HYPERLINK("http://catalog.hathitrust.org/Record/005583809","HathiTrust Record")</f>
        <v>HathiTrust Record</v>
      </c>
      <c r="AV2274" s="6" t="str">
        <f>HYPERLINK("http://mcgill.on.worldcat.org/oclc/144614859","Catalog Record")</f>
        <v>Catalog Record</v>
      </c>
      <c r="AW2274" s="6" t="str">
        <f>HYPERLINK("http://www.worldcat.org/oclc/144614859","WorldCat Record")</f>
        <v>WorldCat Record</v>
      </c>
      <c r="AX2274" s="3" t="s">
        <v>22335</v>
      </c>
      <c r="AY2274" s="3" t="s">
        <v>22336</v>
      </c>
      <c r="AZ2274" s="3" t="s">
        <v>22337</v>
      </c>
      <c r="BA2274" s="3" t="s">
        <v>22337</v>
      </c>
      <c r="BB2274" s="3" t="s">
        <v>22338</v>
      </c>
      <c r="BC2274" s="3" t="s">
        <v>77</v>
      </c>
      <c r="BD2274" s="3" t="s">
        <v>78</v>
      </c>
      <c r="BE2274" s="3" t="s">
        <v>22339</v>
      </c>
      <c r="BF2274" s="3" t="s">
        <v>22338</v>
      </c>
      <c r="BG2274" s="3" t="s">
        <v>22340</v>
      </c>
    </row>
    <row r="2275" spans="1:59" ht="87" x14ac:dyDescent="0.35">
      <c r="A2275" s="2" t="s">
        <v>59</v>
      </c>
      <c r="B2275" s="2" t="s">
        <v>60</v>
      </c>
      <c r="C2275" s="2" t="s">
        <v>22341</v>
      </c>
      <c r="D2275" s="2" t="s">
        <v>22342</v>
      </c>
      <c r="E2275" s="2" t="s">
        <v>22343</v>
      </c>
      <c r="G2275" s="3" t="s">
        <v>65</v>
      </c>
      <c r="I2275" s="3" t="s">
        <v>65</v>
      </c>
      <c r="J2275" s="3" t="s">
        <v>65</v>
      </c>
      <c r="K2275" s="3" t="s">
        <v>66</v>
      </c>
      <c r="L2275" s="2" t="s">
        <v>22344</v>
      </c>
      <c r="M2275" s="2" t="s">
        <v>22345</v>
      </c>
      <c r="N2275" s="3" t="s">
        <v>68</v>
      </c>
      <c r="O2275" s="2" t="s">
        <v>235</v>
      </c>
      <c r="P2275" s="3" t="s">
        <v>140</v>
      </c>
      <c r="Q2275" s="2" t="s">
        <v>22346</v>
      </c>
      <c r="R2275" s="3" t="s">
        <v>71</v>
      </c>
      <c r="S2275" s="4">
        <v>0</v>
      </c>
      <c r="T2275" s="4">
        <v>0</v>
      </c>
      <c r="W2275" s="5" t="s">
        <v>72</v>
      </c>
      <c r="X2275" s="5" t="s">
        <v>72</v>
      </c>
      <c r="Y2275" s="4">
        <v>36</v>
      </c>
      <c r="Z2275" s="4">
        <v>3</v>
      </c>
      <c r="AA2275" s="4">
        <v>3</v>
      </c>
      <c r="AB2275" s="4">
        <v>1</v>
      </c>
      <c r="AC2275" s="4">
        <v>1</v>
      </c>
      <c r="AD2275" s="4">
        <v>24</v>
      </c>
      <c r="AE2275" s="4">
        <v>24</v>
      </c>
      <c r="AF2275" s="4">
        <v>0</v>
      </c>
      <c r="AG2275" s="4">
        <v>0</v>
      </c>
      <c r="AH2275" s="4">
        <v>23</v>
      </c>
      <c r="AI2275" s="4">
        <v>23</v>
      </c>
      <c r="AJ2275" s="4">
        <v>1</v>
      </c>
      <c r="AK2275" s="4">
        <v>1</v>
      </c>
      <c r="AL2275" s="4">
        <v>18</v>
      </c>
      <c r="AM2275" s="4">
        <v>18</v>
      </c>
      <c r="AN2275" s="4">
        <v>0</v>
      </c>
      <c r="AO2275" s="4">
        <v>0</v>
      </c>
      <c r="AP2275" s="4">
        <v>1</v>
      </c>
      <c r="AQ2275" s="4">
        <v>1</v>
      </c>
      <c r="AR2275" s="3" t="s">
        <v>65</v>
      </c>
      <c r="AS2275" s="3" t="s">
        <v>65</v>
      </c>
      <c r="AT2275" s="3" t="s">
        <v>65</v>
      </c>
      <c r="AV2275" s="6" t="str">
        <f>HYPERLINK("http://mcgill.on.worldcat.org/oclc/948984075","Catalog Record")</f>
        <v>Catalog Record</v>
      </c>
      <c r="AW2275" s="6" t="str">
        <f>HYPERLINK("http://www.worldcat.org/oclc/948984075","WorldCat Record")</f>
        <v>WorldCat Record</v>
      </c>
      <c r="AX2275" s="3" t="s">
        <v>22347</v>
      </c>
      <c r="AY2275" s="3" t="s">
        <v>22348</v>
      </c>
      <c r="AZ2275" s="3" t="s">
        <v>22349</v>
      </c>
      <c r="BA2275" s="3" t="s">
        <v>22349</v>
      </c>
      <c r="BB2275" s="3" t="s">
        <v>22350</v>
      </c>
      <c r="BC2275" s="3" t="s">
        <v>77</v>
      </c>
      <c r="BD2275" s="3" t="s">
        <v>78</v>
      </c>
      <c r="BE2275" s="3" t="s">
        <v>22351</v>
      </c>
      <c r="BF2275" s="3" t="s">
        <v>22350</v>
      </c>
      <c r="BG2275" s="3" t="s">
        <v>22352</v>
      </c>
    </row>
    <row r="2276" spans="1:59" ht="58" x14ac:dyDescent="0.35">
      <c r="A2276" s="2" t="s">
        <v>59</v>
      </c>
      <c r="B2276" s="2" t="s">
        <v>60</v>
      </c>
      <c r="C2276" s="2" t="s">
        <v>22353</v>
      </c>
      <c r="D2276" s="2" t="s">
        <v>22354</v>
      </c>
      <c r="E2276" s="2" t="s">
        <v>22355</v>
      </c>
      <c r="G2276" s="3" t="s">
        <v>65</v>
      </c>
      <c r="I2276" s="3" t="s">
        <v>65</v>
      </c>
      <c r="J2276" s="3" t="s">
        <v>65</v>
      </c>
      <c r="K2276" s="3" t="s">
        <v>66</v>
      </c>
      <c r="M2276" s="2" t="s">
        <v>22356</v>
      </c>
      <c r="N2276" s="3" t="s">
        <v>176</v>
      </c>
      <c r="P2276" s="3" t="s">
        <v>140</v>
      </c>
      <c r="Q2276" s="2" t="s">
        <v>22357</v>
      </c>
      <c r="R2276" s="3" t="s">
        <v>71</v>
      </c>
      <c r="S2276" s="4">
        <v>0</v>
      </c>
      <c r="T2276" s="4">
        <v>0</v>
      </c>
      <c r="W2276" s="5" t="s">
        <v>72</v>
      </c>
      <c r="X2276" s="5" t="s">
        <v>72</v>
      </c>
      <c r="Y2276" s="4">
        <v>10</v>
      </c>
      <c r="Z2276" s="4">
        <v>1</v>
      </c>
      <c r="AA2276" s="4">
        <v>1</v>
      </c>
      <c r="AB2276" s="4">
        <v>1</v>
      </c>
      <c r="AC2276" s="4">
        <v>1</v>
      </c>
      <c r="AD2276" s="4">
        <v>5</v>
      </c>
      <c r="AE2276" s="4">
        <v>5</v>
      </c>
      <c r="AF2276" s="4">
        <v>0</v>
      </c>
      <c r="AG2276" s="4">
        <v>0</v>
      </c>
      <c r="AH2276" s="4">
        <v>4</v>
      </c>
      <c r="AI2276" s="4">
        <v>4</v>
      </c>
      <c r="AJ2276" s="4">
        <v>0</v>
      </c>
      <c r="AK2276" s="4">
        <v>0</v>
      </c>
      <c r="AL2276" s="4">
        <v>4</v>
      </c>
      <c r="AM2276" s="4">
        <v>4</v>
      </c>
      <c r="AN2276" s="4">
        <v>0</v>
      </c>
      <c r="AO2276" s="4">
        <v>0</v>
      </c>
      <c r="AP2276" s="4">
        <v>0</v>
      </c>
      <c r="AQ2276" s="4">
        <v>0</v>
      </c>
      <c r="AR2276" s="3" t="s">
        <v>65</v>
      </c>
      <c r="AS2276" s="3" t="s">
        <v>65</v>
      </c>
      <c r="AT2276" s="3" t="s">
        <v>65</v>
      </c>
      <c r="AV2276" s="6" t="str">
        <f>HYPERLINK("http://mcgill.on.worldcat.org/oclc/936301834","Catalog Record")</f>
        <v>Catalog Record</v>
      </c>
      <c r="AW2276" s="6" t="str">
        <f>HYPERLINK("http://www.worldcat.org/oclc/936301834","WorldCat Record")</f>
        <v>WorldCat Record</v>
      </c>
      <c r="AX2276" s="3" t="s">
        <v>22358</v>
      </c>
      <c r="AY2276" s="3" t="s">
        <v>22359</v>
      </c>
      <c r="AZ2276" s="3" t="s">
        <v>22360</v>
      </c>
      <c r="BA2276" s="3" t="s">
        <v>22360</v>
      </c>
      <c r="BB2276" s="3" t="s">
        <v>22361</v>
      </c>
      <c r="BC2276" s="3" t="s">
        <v>77</v>
      </c>
      <c r="BD2276" s="3" t="s">
        <v>78</v>
      </c>
      <c r="BE2276" s="3" t="s">
        <v>22362</v>
      </c>
      <c r="BF2276" s="3" t="s">
        <v>22361</v>
      </c>
      <c r="BG2276" s="3" t="s">
        <v>22363</v>
      </c>
    </row>
    <row r="2277" spans="1:59" ht="58" x14ac:dyDescent="0.35">
      <c r="A2277" s="2" t="s">
        <v>59</v>
      </c>
      <c r="B2277" s="2" t="s">
        <v>60</v>
      </c>
      <c r="C2277" s="2" t="s">
        <v>22364</v>
      </c>
      <c r="D2277" s="2" t="s">
        <v>22365</v>
      </c>
      <c r="E2277" s="2" t="s">
        <v>22366</v>
      </c>
      <c r="G2277" s="3" t="s">
        <v>65</v>
      </c>
      <c r="I2277" s="3" t="s">
        <v>65</v>
      </c>
      <c r="J2277" s="3" t="s">
        <v>65</v>
      </c>
      <c r="K2277" s="3" t="s">
        <v>66</v>
      </c>
      <c r="L2277" s="2" t="s">
        <v>22367</v>
      </c>
      <c r="M2277" s="2" t="s">
        <v>22368</v>
      </c>
      <c r="N2277" s="3" t="s">
        <v>221</v>
      </c>
      <c r="P2277" s="3" t="s">
        <v>140</v>
      </c>
      <c r="Q2277" s="2" t="s">
        <v>22369</v>
      </c>
      <c r="R2277" s="3" t="s">
        <v>71</v>
      </c>
      <c r="S2277" s="4">
        <v>2</v>
      </c>
      <c r="T2277" s="4">
        <v>2</v>
      </c>
      <c r="U2277" s="5" t="s">
        <v>21164</v>
      </c>
      <c r="V2277" s="5" t="s">
        <v>21164</v>
      </c>
      <c r="W2277" s="5" t="s">
        <v>72</v>
      </c>
      <c r="X2277" s="5" t="s">
        <v>72</v>
      </c>
      <c r="Y2277" s="4">
        <v>10</v>
      </c>
      <c r="Z2277" s="4">
        <v>1</v>
      </c>
      <c r="AA2277" s="4">
        <v>1</v>
      </c>
      <c r="AB2277" s="4">
        <v>1</v>
      </c>
      <c r="AC2277" s="4">
        <v>1</v>
      </c>
      <c r="AD2277" s="4">
        <v>2</v>
      </c>
      <c r="AE2277" s="4">
        <v>2</v>
      </c>
      <c r="AF2277" s="4">
        <v>0</v>
      </c>
      <c r="AG2277" s="4">
        <v>0</v>
      </c>
      <c r="AH2277" s="4">
        <v>1</v>
      </c>
      <c r="AI2277" s="4">
        <v>1</v>
      </c>
      <c r="AJ2277" s="4">
        <v>0</v>
      </c>
      <c r="AK2277" s="4">
        <v>0</v>
      </c>
      <c r="AL2277" s="4">
        <v>2</v>
      </c>
      <c r="AM2277" s="4">
        <v>2</v>
      </c>
      <c r="AN2277" s="4">
        <v>0</v>
      </c>
      <c r="AO2277" s="4">
        <v>0</v>
      </c>
      <c r="AP2277" s="4">
        <v>0</v>
      </c>
      <c r="AQ2277" s="4">
        <v>0</v>
      </c>
      <c r="AR2277" s="3" t="s">
        <v>65</v>
      </c>
      <c r="AS2277" s="3" t="s">
        <v>65</v>
      </c>
      <c r="AT2277" s="3" t="s">
        <v>65</v>
      </c>
      <c r="AV2277" s="6" t="str">
        <f>HYPERLINK("http://mcgill.on.worldcat.org/oclc/191036095","Catalog Record")</f>
        <v>Catalog Record</v>
      </c>
      <c r="AW2277" s="6" t="str">
        <f>HYPERLINK("http://www.worldcat.org/oclc/191036095","WorldCat Record")</f>
        <v>WorldCat Record</v>
      </c>
      <c r="AX2277" s="3" t="s">
        <v>22370</v>
      </c>
      <c r="AY2277" s="3" t="s">
        <v>22371</v>
      </c>
      <c r="AZ2277" s="3" t="s">
        <v>22372</v>
      </c>
      <c r="BA2277" s="3" t="s">
        <v>22372</v>
      </c>
      <c r="BB2277" s="3" t="s">
        <v>22373</v>
      </c>
      <c r="BC2277" s="3" t="s">
        <v>77</v>
      </c>
      <c r="BD2277" s="3" t="s">
        <v>78</v>
      </c>
      <c r="BE2277" s="3" t="s">
        <v>22374</v>
      </c>
      <c r="BF2277" s="3" t="s">
        <v>22373</v>
      </c>
      <c r="BG2277" s="3" t="s">
        <v>22375</v>
      </c>
    </row>
    <row r="2278" spans="1:59" ht="58" x14ac:dyDescent="0.35">
      <c r="A2278" s="2" t="s">
        <v>59</v>
      </c>
      <c r="B2278" s="2" t="s">
        <v>60</v>
      </c>
      <c r="C2278" s="2" t="s">
        <v>22376</v>
      </c>
      <c r="D2278" s="2" t="s">
        <v>22377</v>
      </c>
      <c r="E2278" s="2" t="s">
        <v>22378</v>
      </c>
      <c r="G2278" s="3" t="s">
        <v>65</v>
      </c>
      <c r="I2278" s="3" t="s">
        <v>65</v>
      </c>
      <c r="J2278" s="3" t="s">
        <v>65</v>
      </c>
      <c r="K2278" s="3" t="s">
        <v>66</v>
      </c>
      <c r="L2278" s="2" t="s">
        <v>3992</v>
      </c>
      <c r="M2278" s="2" t="s">
        <v>19703</v>
      </c>
      <c r="N2278" s="3" t="s">
        <v>126</v>
      </c>
      <c r="P2278" s="3" t="s">
        <v>140</v>
      </c>
      <c r="Q2278" s="2" t="s">
        <v>22379</v>
      </c>
      <c r="R2278" s="3" t="s">
        <v>71</v>
      </c>
      <c r="S2278" s="4">
        <v>1</v>
      </c>
      <c r="T2278" s="4">
        <v>1</v>
      </c>
      <c r="U2278" s="5" t="s">
        <v>115</v>
      </c>
      <c r="V2278" s="5" t="s">
        <v>115</v>
      </c>
      <c r="W2278" s="5" t="s">
        <v>72</v>
      </c>
      <c r="X2278" s="5" t="s">
        <v>72</v>
      </c>
      <c r="Y2278" s="4">
        <v>46</v>
      </c>
      <c r="Z2278" s="4">
        <v>3</v>
      </c>
      <c r="AA2278" s="4">
        <v>3</v>
      </c>
      <c r="AB2278" s="4">
        <v>1</v>
      </c>
      <c r="AC2278" s="4">
        <v>1</v>
      </c>
      <c r="AD2278" s="4">
        <v>31</v>
      </c>
      <c r="AE2278" s="4">
        <v>31</v>
      </c>
      <c r="AF2278" s="4">
        <v>0</v>
      </c>
      <c r="AG2278" s="4">
        <v>0</v>
      </c>
      <c r="AH2278" s="4">
        <v>30</v>
      </c>
      <c r="AI2278" s="4">
        <v>30</v>
      </c>
      <c r="AJ2278" s="4">
        <v>1</v>
      </c>
      <c r="AK2278" s="4">
        <v>1</v>
      </c>
      <c r="AL2278" s="4">
        <v>24</v>
      </c>
      <c r="AM2278" s="4">
        <v>24</v>
      </c>
      <c r="AN2278" s="4">
        <v>0</v>
      </c>
      <c r="AO2278" s="4">
        <v>0</v>
      </c>
      <c r="AP2278" s="4">
        <v>1</v>
      </c>
      <c r="AQ2278" s="4">
        <v>1</v>
      </c>
      <c r="AR2278" s="3" t="s">
        <v>65</v>
      </c>
      <c r="AS2278" s="3" t="s">
        <v>65</v>
      </c>
      <c r="AT2278" s="3" t="s">
        <v>65</v>
      </c>
      <c r="AV2278" s="6" t="str">
        <f>HYPERLINK("http://mcgill.on.worldcat.org/oclc/745969924","Catalog Record")</f>
        <v>Catalog Record</v>
      </c>
      <c r="AW2278" s="6" t="str">
        <f>HYPERLINK("http://www.worldcat.org/oclc/745969924","WorldCat Record")</f>
        <v>WorldCat Record</v>
      </c>
      <c r="AX2278" s="3" t="s">
        <v>22380</v>
      </c>
      <c r="AY2278" s="3" t="s">
        <v>22381</v>
      </c>
      <c r="AZ2278" s="3" t="s">
        <v>22382</v>
      </c>
      <c r="BA2278" s="3" t="s">
        <v>22382</v>
      </c>
      <c r="BB2278" s="3" t="s">
        <v>22383</v>
      </c>
      <c r="BC2278" s="3" t="s">
        <v>77</v>
      </c>
      <c r="BD2278" s="3" t="s">
        <v>78</v>
      </c>
      <c r="BE2278" s="3" t="s">
        <v>22384</v>
      </c>
      <c r="BF2278" s="3" t="s">
        <v>22383</v>
      </c>
      <c r="BG2278" s="3" t="s">
        <v>22385</v>
      </c>
    </row>
    <row r="2279" spans="1:59" ht="58" x14ac:dyDescent="0.35">
      <c r="A2279" s="2" t="s">
        <v>59</v>
      </c>
      <c r="B2279" s="2" t="s">
        <v>60</v>
      </c>
      <c r="C2279" s="2" t="s">
        <v>22386</v>
      </c>
      <c r="D2279" s="2" t="s">
        <v>22387</v>
      </c>
      <c r="E2279" s="2" t="s">
        <v>22388</v>
      </c>
      <c r="G2279" s="3" t="s">
        <v>65</v>
      </c>
      <c r="I2279" s="3" t="s">
        <v>65</v>
      </c>
      <c r="J2279" s="3" t="s">
        <v>65</v>
      </c>
      <c r="K2279" s="3" t="s">
        <v>66</v>
      </c>
      <c r="L2279" s="2" t="s">
        <v>22389</v>
      </c>
      <c r="M2279" s="2" t="s">
        <v>22390</v>
      </c>
      <c r="N2279" s="3" t="s">
        <v>152</v>
      </c>
      <c r="P2279" s="3" t="s">
        <v>140</v>
      </c>
      <c r="Q2279" s="2" t="s">
        <v>22391</v>
      </c>
      <c r="R2279" s="3" t="s">
        <v>71</v>
      </c>
      <c r="S2279" s="4">
        <v>0</v>
      </c>
      <c r="T2279" s="4">
        <v>0</v>
      </c>
      <c r="W2279" s="5" t="s">
        <v>72</v>
      </c>
      <c r="X2279" s="5" t="s">
        <v>72</v>
      </c>
      <c r="Y2279" s="4">
        <v>50</v>
      </c>
      <c r="Z2279" s="4">
        <v>4</v>
      </c>
      <c r="AA2279" s="4">
        <v>4</v>
      </c>
      <c r="AB2279" s="4">
        <v>1</v>
      </c>
      <c r="AC2279" s="4">
        <v>1</v>
      </c>
      <c r="AD2279" s="4">
        <v>30</v>
      </c>
      <c r="AE2279" s="4">
        <v>30</v>
      </c>
      <c r="AF2279" s="4">
        <v>0</v>
      </c>
      <c r="AG2279" s="4">
        <v>0</v>
      </c>
      <c r="AH2279" s="4">
        <v>29</v>
      </c>
      <c r="AI2279" s="4">
        <v>29</v>
      </c>
      <c r="AJ2279" s="4">
        <v>2</v>
      </c>
      <c r="AK2279" s="4">
        <v>2</v>
      </c>
      <c r="AL2279" s="4">
        <v>23</v>
      </c>
      <c r="AM2279" s="4">
        <v>23</v>
      </c>
      <c r="AN2279" s="4">
        <v>0</v>
      </c>
      <c r="AO2279" s="4">
        <v>0</v>
      </c>
      <c r="AP2279" s="4">
        <v>2</v>
      </c>
      <c r="AQ2279" s="4">
        <v>2</v>
      </c>
      <c r="AR2279" s="3" t="s">
        <v>65</v>
      </c>
      <c r="AS2279" s="3" t="s">
        <v>65</v>
      </c>
      <c r="AT2279" s="3" t="s">
        <v>65</v>
      </c>
      <c r="AV2279" s="6" t="str">
        <f>HYPERLINK("http://mcgill.on.worldcat.org/oclc/864009238","Catalog Record")</f>
        <v>Catalog Record</v>
      </c>
      <c r="AW2279" s="6" t="str">
        <f>HYPERLINK("http://www.worldcat.org/oclc/864009238","WorldCat Record")</f>
        <v>WorldCat Record</v>
      </c>
      <c r="AX2279" s="3" t="s">
        <v>22392</v>
      </c>
      <c r="AY2279" s="3" t="s">
        <v>22393</v>
      </c>
      <c r="AZ2279" s="3" t="s">
        <v>22394</v>
      </c>
      <c r="BA2279" s="3" t="s">
        <v>22394</v>
      </c>
      <c r="BB2279" s="3" t="s">
        <v>22395</v>
      </c>
      <c r="BC2279" s="3" t="s">
        <v>77</v>
      </c>
      <c r="BD2279" s="3" t="s">
        <v>78</v>
      </c>
      <c r="BE2279" s="3" t="s">
        <v>22396</v>
      </c>
      <c r="BF2279" s="3" t="s">
        <v>22395</v>
      </c>
      <c r="BG2279" s="3" t="s">
        <v>22397</v>
      </c>
    </row>
    <row r="2280" spans="1:59" ht="58" x14ac:dyDescent="0.35">
      <c r="A2280" s="2" t="s">
        <v>59</v>
      </c>
      <c r="B2280" s="2" t="s">
        <v>60</v>
      </c>
      <c r="C2280" s="2" t="s">
        <v>22398</v>
      </c>
      <c r="D2280" s="2" t="s">
        <v>22399</v>
      </c>
      <c r="E2280" s="2" t="s">
        <v>22400</v>
      </c>
      <c r="G2280" s="3" t="s">
        <v>65</v>
      </c>
      <c r="I2280" s="3" t="s">
        <v>65</v>
      </c>
      <c r="J2280" s="3" t="s">
        <v>65</v>
      </c>
      <c r="K2280" s="3" t="s">
        <v>66</v>
      </c>
      <c r="L2280" s="2" t="s">
        <v>22401</v>
      </c>
      <c r="M2280" s="2" t="s">
        <v>5794</v>
      </c>
      <c r="N2280" s="3" t="s">
        <v>164</v>
      </c>
      <c r="P2280" s="3" t="s">
        <v>69</v>
      </c>
      <c r="Q2280" s="2" t="s">
        <v>1197</v>
      </c>
      <c r="R2280" s="3" t="s">
        <v>71</v>
      </c>
      <c r="S2280" s="4">
        <v>2</v>
      </c>
      <c r="T2280" s="4">
        <v>2</v>
      </c>
      <c r="U2280" s="5" t="s">
        <v>22402</v>
      </c>
      <c r="V2280" s="5" t="s">
        <v>22402</v>
      </c>
      <c r="W2280" s="5" t="s">
        <v>72</v>
      </c>
      <c r="X2280" s="5" t="s">
        <v>72</v>
      </c>
      <c r="Y2280" s="4">
        <v>121</v>
      </c>
      <c r="Z2280" s="4">
        <v>18</v>
      </c>
      <c r="AA2280" s="4">
        <v>113</v>
      </c>
      <c r="AB2280" s="4">
        <v>1</v>
      </c>
      <c r="AC2280" s="4">
        <v>19</v>
      </c>
      <c r="AD2280" s="4">
        <v>67</v>
      </c>
      <c r="AE2280" s="4">
        <v>125</v>
      </c>
      <c r="AF2280" s="4">
        <v>0</v>
      </c>
      <c r="AG2280" s="4">
        <v>8</v>
      </c>
      <c r="AH2280" s="4">
        <v>57</v>
      </c>
      <c r="AI2280" s="4">
        <v>82</v>
      </c>
      <c r="AJ2280" s="4">
        <v>13</v>
      </c>
      <c r="AK2280" s="4">
        <v>26</v>
      </c>
      <c r="AL2280" s="4">
        <v>41</v>
      </c>
      <c r="AM2280" s="4">
        <v>48</v>
      </c>
      <c r="AN2280" s="4">
        <v>0</v>
      </c>
      <c r="AO2280" s="4">
        <v>0</v>
      </c>
      <c r="AP2280" s="4">
        <v>13</v>
      </c>
      <c r="AQ2280" s="4">
        <v>51</v>
      </c>
      <c r="AR2280" s="3" t="s">
        <v>209</v>
      </c>
      <c r="AS2280" s="3" t="s">
        <v>65</v>
      </c>
      <c r="AT2280" s="3" t="s">
        <v>65</v>
      </c>
      <c r="AV2280" s="6" t="str">
        <f>HYPERLINK("http://mcgill.on.worldcat.org/oclc/861064123","Catalog Record")</f>
        <v>Catalog Record</v>
      </c>
      <c r="AW2280" s="6" t="str">
        <f>HYPERLINK("http://www.worldcat.org/oclc/861064123","WorldCat Record")</f>
        <v>WorldCat Record</v>
      </c>
      <c r="AX2280" s="3" t="s">
        <v>22403</v>
      </c>
      <c r="AY2280" s="3" t="s">
        <v>22404</v>
      </c>
      <c r="AZ2280" s="3" t="s">
        <v>22405</v>
      </c>
      <c r="BA2280" s="3" t="s">
        <v>22405</v>
      </c>
      <c r="BB2280" s="3" t="s">
        <v>22406</v>
      </c>
      <c r="BC2280" s="3" t="s">
        <v>77</v>
      </c>
      <c r="BD2280" s="3" t="s">
        <v>78</v>
      </c>
      <c r="BE2280" s="3" t="s">
        <v>22407</v>
      </c>
      <c r="BF2280" s="3" t="s">
        <v>22406</v>
      </c>
      <c r="BG2280" s="3" t="s">
        <v>22408</v>
      </c>
    </row>
    <row r="2281" spans="1:59" ht="58" x14ac:dyDescent="0.35">
      <c r="A2281" s="2" t="s">
        <v>59</v>
      </c>
      <c r="B2281" s="2" t="s">
        <v>60</v>
      </c>
      <c r="C2281" s="2" t="s">
        <v>22409</v>
      </c>
      <c r="D2281" s="2" t="s">
        <v>22410</v>
      </c>
      <c r="E2281" s="2" t="s">
        <v>22411</v>
      </c>
      <c r="G2281" s="3" t="s">
        <v>65</v>
      </c>
      <c r="I2281" s="3" t="s">
        <v>65</v>
      </c>
      <c r="J2281" s="3" t="s">
        <v>65</v>
      </c>
      <c r="K2281" s="3" t="s">
        <v>66</v>
      </c>
      <c r="L2281" s="2" t="s">
        <v>22412</v>
      </c>
      <c r="M2281" s="2" t="s">
        <v>7952</v>
      </c>
      <c r="N2281" s="3" t="s">
        <v>113</v>
      </c>
      <c r="P2281" s="3" t="s">
        <v>140</v>
      </c>
      <c r="Q2281" s="2" t="s">
        <v>22413</v>
      </c>
      <c r="R2281" s="3" t="s">
        <v>71</v>
      </c>
      <c r="S2281" s="4">
        <v>3</v>
      </c>
      <c r="T2281" s="4">
        <v>3</v>
      </c>
      <c r="U2281" s="5" t="s">
        <v>22274</v>
      </c>
      <c r="V2281" s="5" t="s">
        <v>22274</v>
      </c>
      <c r="W2281" s="5" t="s">
        <v>72</v>
      </c>
      <c r="X2281" s="5" t="s">
        <v>72</v>
      </c>
      <c r="Y2281" s="4">
        <v>42</v>
      </c>
      <c r="Z2281" s="4">
        <v>3</v>
      </c>
      <c r="AA2281" s="4">
        <v>3</v>
      </c>
      <c r="AB2281" s="4">
        <v>1</v>
      </c>
      <c r="AC2281" s="4">
        <v>1</v>
      </c>
      <c r="AD2281" s="4">
        <v>25</v>
      </c>
      <c r="AE2281" s="4">
        <v>25</v>
      </c>
      <c r="AF2281" s="4">
        <v>0</v>
      </c>
      <c r="AG2281" s="4">
        <v>0</v>
      </c>
      <c r="AH2281" s="4">
        <v>24</v>
      </c>
      <c r="AI2281" s="4">
        <v>24</v>
      </c>
      <c r="AJ2281" s="4">
        <v>1</v>
      </c>
      <c r="AK2281" s="4">
        <v>1</v>
      </c>
      <c r="AL2281" s="4">
        <v>18</v>
      </c>
      <c r="AM2281" s="4">
        <v>18</v>
      </c>
      <c r="AN2281" s="4">
        <v>0</v>
      </c>
      <c r="AO2281" s="4">
        <v>0</v>
      </c>
      <c r="AP2281" s="4">
        <v>1</v>
      </c>
      <c r="AQ2281" s="4">
        <v>1</v>
      </c>
      <c r="AR2281" s="3" t="s">
        <v>65</v>
      </c>
      <c r="AS2281" s="3" t="s">
        <v>65</v>
      </c>
      <c r="AT2281" s="3" t="s">
        <v>65</v>
      </c>
      <c r="AV2281" s="6" t="str">
        <f>HYPERLINK("http://mcgill.on.worldcat.org/oclc/698165282","Catalog Record")</f>
        <v>Catalog Record</v>
      </c>
      <c r="AW2281" s="6" t="str">
        <f>HYPERLINK("http://www.worldcat.org/oclc/698165282","WorldCat Record")</f>
        <v>WorldCat Record</v>
      </c>
      <c r="AX2281" s="3" t="s">
        <v>22414</v>
      </c>
      <c r="AY2281" s="3" t="s">
        <v>22415</v>
      </c>
      <c r="AZ2281" s="3" t="s">
        <v>22416</v>
      </c>
      <c r="BA2281" s="3" t="s">
        <v>22416</v>
      </c>
      <c r="BB2281" s="3" t="s">
        <v>22417</v>
      </c>
      <c r="BC2281" s="3" t="s">
        <v>77</v>
      </c>
      <c r="BD2281" s="3" t="s">
        <v>78</v>
      </c>
      <c r="BE2281" s="3" t="s">
        <v>22418</v>
      </c>
      <c r="BF2281" s="3" t="s">
        <v>22417</v>
      </c>
      <c r="BG2281" s="3" t="s">
        <v>22419</v>
      </c>
    </row>
    <row r="2282" spans="1:59" ht="58" x14ac:dyDescent="0.35">
      <c r="A2282" s="2" t="s">
        <v>59</v>
      </c>
      <c r="B2282" s="2" t="s">
        <v>60</v>
      </c>
      <c r="C2282" s="2" t="s">
        <v>22420</v>
      </c>
      <c r="D2282" s="2" t="s">
        <v>22421</v>
      </c>
      <c r="E2282" s="2" t="s">
        <v>22422</v>
      </c>
      <c r="G2282" s="3" t="s">
        <v>65</v>
      </c>
      <c r="I2282" s="3" t="s">
        <v>65</v>
      </c>
      <c r="J2282" s="3" t="s">
        <v>65</v>
      </c>
      <c r="K2282" s="3" t="s">
        <v>66</v>
      </c>
      <c r="L2282" s="2" t="s">
        <v>22423</v>
      </c>
      <c r="M2282" s="2" t="s">
        <v>22424</v>
      </c>
      <c r="N2282" s="3" t="s">
        <v>214</v>
      </c>
      <c r="P2282" s="3" t="s">
        <v>140</v>
      </c>
      <c r="R2282" s="3" t="s">
        <v>71</v>
      </c>
      <c r="S2282" s="4">
        <v>18</v>
      </c>
      <c r="T2282" s="4">
        <v>18</v>
      </c>
      <c r="U2282" s="5" t="s">
        <v>22425</v>
      </c>
      <c r="V2282" s="5" t="s">
        <v>22425</v>
      </c>
      <c r="W2282" s="5" t="s">
        <v>72</v>
      </c>
      <c r="X2282" s="5" t="s">
        <v>72</v>
      </c>
      <c r="Y2282" s="4">
        <v>21</v>
      </c>
      <c r="Z2282" s="4">
        <v>2</v>
      </c>
      <c r="AA2282" s="4">
        <v>2</v>
      </c>
      <c r="AB2282" s="4">
        <v>1</v>
      </c>
      <c r="AC2282" s="4">
        <v>1</v>
      </c>
      <c r="AD2282" s="4">
        <v>6</v>
      </c>
      <c r="AE2282" s="4">
        <v>6</v>
      </c>
      <c r="AF2282" s="4">
        <v>0</v>
      </c>
      <c r="AG2282" s="4">
        <v>0</v>
      </c>
      <c r="AH2282" s="4">
        <v>6</v>
      </c>
      <c r="AI2282" s="4">
        <v>6</v>
      </c>
      <c r="AJ2282" s="4">
        <v>1</v>
      </c>
      <c r="AK2282" s="4">
        <v>1</v>
      </c>
      <c r="AL2282" s="4">
        <v>5</v>
      </c>
      <c r="AM2282" s="4">
        <v>5</v>
      </c>
      <c r="AN2282" s="4">
        <v>0</v>
      </c>
      <c r="AO2282" s="4">
        <v>0</v>
      </c>
      <c r="AP2282" s="4">
        <v>1</v>
      </c>
      <c r="AQ2282" s="4">
        <v>1</v>
      </c>
      <c r="AR2282" s="3" t="s">
        <v>65</v>
      </c>
      <c r="AS2282" s="3" t="s">
        <v>65</v>
      </c>
      <c r="AT2282" s="3" t="s">
        <v>209</v>
      </c>
      <c r="AU2282" s="6" t="str">
        <f>HYPERLINK("http://catalog.hathitrust.org/Record/007965261","HathiTrust Record")</f>
        <v>HathiTrust Record</v>
      </c>
      <c r="AV2282" s="6" t="str">
        <f>HYPERLINK("http://mcgill.on.worldcat.org/oclc/12119622","Catalog Record")</f>
        <v>Catalog Record</v>
      </c>
      <c r="AW2282" s="6" t="str">
        <f>HYPERLINK("http://www.worldcat.org/oclc/12119622","WorldCat Record")</f>
        <v>WorldCat Record</v>
      </c>
      <c r="AX2282" s="3" t="s">
        <v>22426</v>
      </c>
      <c r="AY2282" s="3" t="s">
        <v>22427</v>
      </c>
      <c r="AZ2282" s="3" t="s">
        <v>22428</v>
      </c>
      <c r="BA2282" s="3" t="s">
        <v>22428</v>
      </c>
      <c r="BB2282" s="3" t="s">
        <v>22429</v>
      </c>
      <c r="BC2282" s="3" t="s">
        <v>77</v>
      </c>
      <c r="BD2282" s="3" t="s">
        <v>78</v>
      </c>
      <c r="BF2282" s="3" t="s">
        <v>22429</v>
      </c>
      <c r="BG2282" s="3" t="s">
        <v>22430</v>
      </c>
    </row>
    <row r="2283" spans="1:59" ht="58" x14ac:dyDescent="0.35">
      <c r="A2283" s="2" t="s">
        <v>59</v>
      </c>
      <c r="B2283" s="2" t="s">
        <v>60</v>
      </c>
      <c r="C2283" s="2" t="s">
        <v>22431</v>
      </c>
      <c r="D2283" s="2" t="s">
        <v>22432</v>
      </c>
      <c r="E2283" s="2" t="s">
        <v>22433</v>
      </c>
      <c r="G2283" s="3" t="s">
        <v>65</v>
      </c>
      <c r="I2283" s="3" t="s">
        <v>65</v>
      </c>
      <c r="J2283" s="3" t="s">
        <v>65</v>
      </c>
      <c r="K2283" s="3" t="s">
        <v>66</v>
      </c>
      <c r="M2283" s="2" t="s">
        <v>2099</v>
      </c>
      <c r="N2283" s="3" t="s">
        <v>139</v>
      </c>
      <c r="P2283" s="3" t="s">
        <v>140</v>
      </c>
      <c r="Q2283" s="2" t="s">
        <v>22434</v>
      </c>
      <c r="R2283" s="3" t="s">
        <v>71</v>
      </c>
      <c r="S2283" s="4">
        <v>2</v>
      </c>
      <c r="T2283" s="4">
        <v>2</v>
      </c>
      <c r="U2283" s="5" t="s">
        <v>22274</v>
      </c>
      <c r="V2283" s="5" t="s">
        <v>22274</v>
      </c>
      <c r="W2283" s="5" t="s">
        <v>72</v>
      </c>
      <c r="X2283" s="5" t="s">
        <v>72</v>
      </c>
      <c r="Y2283" s="4">
        <v>25</v>
      </c>
      <c r="Z2283" s="4">
        <v>3</v>
      </c>
      <c r="AA2283" s="4">
        <v>3</v>
      </c>
      <c r="AB2283" s="4">
        <v>1</v>
      </c>
      <c r="AC2283" s="4">
        <v>1</v>
      </c>
      <c r="AD2283" s="4">
        <v>10</v>
      </c>
      <c r="AE2283" s="4">
        <v>11</v>
      </c>
      <c r="AF2283" s="4">
        <v>0</v>
      </c>
      <c r="AG2283" s="4">
        <v>0</v>
      </c>
      <c r="AH2283" s="4">
        <v>10</v>
      </c>
      <c r="AI2283" s="4">
        <v>10</v>
      </c>
      <c r="AJ2283" s="4">
        <v>1</v>
      </c>
      <c r="AK2283" s="4">
        <v>1</v>
      </c>
      <c r="AL2283" s="4">
        <v>8</v>
      </c>
      <c r="AM2283" s="4">
        <v>9</v>
      </c>
      <c r="AN2283" s="4">
        <v>0</v>
      </c>
      <c r="AO2283" s="4">
        <v>0</v>
      </c>
      <c r="AP2283" s="4">
        <v>1</v>
      </c>
      <c r="AQ2283" s="4">
        <v>1</v>
      </c>
      <c r="AR2283" s="3" t="s">
        <v>65</v>
      </c>
      <c r="AS2283" s="3" t="s">
        <v>65</v>
      </c>
      <c r="AT2283" s="3" t="s">
        <v>65</v>
      </c>
      <c r="AV2283" s="6" t="str">
        <f>HYPERLINK("http://mcgill.on.worldcat.org/oclc/795755122","Catalog Record")</f>
        <v>Catalog Record</v>
      </c>
      <c r="AW2283" s="6" t="str">
        <f>HYPERLINK("http://www.worldcat.org/oclc/795755122","WorldCat Record")</f>
        <v>WorldCat Record</v>
      </c>
      <c r="AX2283" s="3" t="s">
        <v>22435</v>
      </c>
      <c r="AY2283" s="3" t="s">
        <v>22436</v>
      </c>
      <c r="AZ2283" s="3" t="s">
        <v>22437</v>
      </c>
      <c r="BA2283" s="3" t="s">
        <v>22437</v>
      </c>
      <c r="BB2283" s="3" t="s">
        <v>22438</v>
      </c>
      <c r="BC2283" s="3" t="s">
        <v>77</v>
      </c>
      <c r="BD2283" s="3" t="s">
        <v>78</v>
      </c>
      <c r="BE2283" s="3" t="s">
        <v>22439</v>
      </c>
      <c r="BF2283" s="3" t="s">
        <v>22438</v>
      </c>
      <c r="BG2283" s="3" t="s">
        <v>22440</v>
      </c>
    </row>
    <row r="2284" spans="1:59" ht="58" x14ac:dyDescent="0.35">
      <c r="A2284" s="2" t="s">
        <v>59</v>
      </c>
      <c r="B2284" s="2" t="s">
        <v>60</v>
      </c>
      <c r="C2284" s="2" t="s">
        <v>22441</v>
      </c>
      <c r="D2284" s="2" t="s">
        <v>22442</v>
      </c>
      <c r="E2284" s="2" t="s">
        <v>22443</v>
      </c>
      <c r="G2284" s="3" t="s">
        <v>65</v>
      </c>
      <c r="I2284" s="3" t="s">
        <v>65</v>
      </c>
      <c r="J2284" s="3" t="s">
        <v>65</v>
      </c>
      <c r="K2284" s="3" t="s">
        <v>66</v>
      </c>
      <c r="M2284" s="2" t="s">
        <v>22444</v>
      </c>
      <c r="N2284" s="3" t="s">
        <v>68</v>
      </c>
      <c r="P2284" s="3" t="s">
        <v>140</v>
      </c>
      <c r="Q2284" s="2" t="s">
        <v>22445</v>
      </c>
      <c r="R2284" s="3" t="s">
        <v>71</v>
      </c>
      <c r="S2284" s="4">
        <v>0</v>
      </c>
      <c r="T2284" s="4">
        <v>0</v>
      </c>
      <c r="W2284" s="5" t="s">
        <v>72</v>
      </c>
      <c r="X2284" s="5" t="s">
        <v>72</v>
      </c>
      <c r="Y2284" s="4">
        <v>54</v>
      </c>
      <c r="Z2284" s="4">
        <v>3</v>
      </c>
      <c r="AA2284" s="4">
        <v>3</v>
      </c>
      <c r="AB2284" s="4">
        <v>1</v>
      </c>
      <c r="AC2284" s="4">
        <v>1</v>
      </c>
      <c r="AD2284" s="4">
        <v>36</v>
      </c>
      <c r="AE2284" s="4">
        <v>36</v>
      </c>
      <c r="AF2284" s="4">
        <v>0</v>
      </c>
      <c r="AG2284" s="4">
        <v>0</v>
      </c>
      <c r="AH2284" s="4">
        <v>35</v>
      </c>
      <c r="AI2284" s="4">
        <v>35</v>
      </c>
      <c r="AJ2284" s="4">
        <v>1</v>
      </c>
      <c r="AK2284" s="4">
        <v>1</v>
      </c>
      <c r="AL2284" s="4">
        <v>28</v>
      </c>
      <c r="AM2284" s="4">
        <v>28</v>
      </c>
      <c r="AN2284" s="4">
        <v>0</v>
      </c>
      <c r="AO2284" s="4">
        <v>0</v>
      </c>
      <c r="AP2284" s="4">
        <v>1</v>
      </c>
      <c r="AQ2284" s="4">
        <v>1</v>
      </c>
      <c r="AR2284" s="3" t="s">
        <v>65</v>
      </c>
      <c r="AS2284" s="3" t="s">
        <v>65</v>
      </c>
      <c r="AT2284" s="3" t="s">
        <v>65</v>
      </c>
      <c r="AV2284" s="6" t="str">
        <f>HYPERLINK("http://mcgill.on.worldcat.org/oclc/944445468","Catalog Record")</f>
        <v>Catalog Record</v>
      </c>
      <c r="AW2284" s="6" t="str">
        <f>HYPERLINK("http://www.worldcat.org/oclc/944445468","WorldCat Record")</f>
        <v>WorldCat Record</v>
      </c>
      <c r="AX2284" s="3" t="s">
        <v>22446</v>
      </c>
      <c r="AY2284" s="3" t="s">
        <v>22447</v>
      </c>
      <c r="AZ2284" s="3" t="s">
        <v>22448</v>
      </c>
      <c r="BA2284" s="3" t="s">
        <v>22448</v>
      </c>
      <c r="BB2284" s="3" t="s">
        <v>22449</v>
      </c>
      <c r="BC2284" s="3" t="s">
        <v>77</v>
      </c>
      <c r="BD2284" s="3" t="s">
        <v>78</v>
      </c>
      <c r="BE2284" s="3" t="s">
        <v>22450</v>
      </c>
      <c r="BF2284" s="3" t="s">
        <v>22449</v>
      </c>
      <c r="BG2284" s="3" t="s">
        <v>22451</v>
      </c>
    </row>
    <row r="2285" spans="1:59" ht="58" x14ac:dyDescent="0.35">
      <c r="A2285" s="2" t="s">
        <v>59</v>
      </c>
      <c r="B2285" s="2" t="s">
        <v>60</v>
      </c>
      <c r="C2285" s="2" t="s">
        <v>22452</v>
      </c>
      <c r="D2285" s="2" t="s">
        <v>22453</v>
      </c>
      <c r="E2285" s="2" t="s">
        <v>22454</v>
      </c>
      <c r="F2285" s="3" t="s">
        <v>22455</v>
      </c>
      <c r="G2285" s="3" t="s">
        <v>65</v>
      </c>
      <c r="I2285" s="3" t="s">
        <v>65</v>
      </c>
      <c r="J2285" s="3" t="s">
        <v>65</v>
      </c>
      <c r="K2285" s="3" t="s">
        <v>66</v>
      </c>
      <c r="L2285" s="2" t="s">
        <v>22456</v>
      </c>
      <c r="M2285" s="2" t="s">
        <v>22457</v>
      </c>
      <c r="N2285" s="3" t="s">
        <v>126</v>
      </c>
      <c r="O2285" s="2" t="s">
        <v>365</v>
      </c>
      <c r="P2285" s="3" t="s">
        <v>140</v>
      </c>
      <c r="Q2285" s="2" t="s">
        <v>22458</v>
      </c>
      <c r="R2285" s="3" t="s">
        <v>71</v>
      </c>
      <c r="S2285" s="4">
        <v>0</v>
      </c>
      <c r="T2285" s="4">
        <v>0</v>
      </c>
      <c r="W2285" s="5" t="s">
        <v>72</v>
      </c>
      <c r="X2285" s="5" t="s">
        <v>72</v>
      </c>
      <c r="Y2285" s="4">
        <v>33</v>
      </c>
      <c r="Z2285" s="4">
        <v>3</v>
      </c>
      <c r="AA2285" s="4">
        <v>3</v>
      </c>
      <c r="AB2285" s="4">
        <v>1</v>
      </c>
      <c r="AC2285" s="4">
        <v>1</v>
      </c>
      <c r="AD2285" s="4">
        <v>25</v>
      </c>
      <c r="AE2285" s="4">
        <v>27</v>
      </c>
      <c r="AF2285" s="4">
        <v>0</v>
      </c>
      <c r="AG2285" s="4">
        <v>0</v>
      </c>
      <c r="AH2285" s="4">
        <v>24</v>
      </c>
      <c r="AI2285" s="4">
        <v>26</v>
      </c>
      <c r="AJ2285" s="4">
        <v>1</v>
      </c>
      <c r="AK2285" s="4">
        <v>1</v>
      </c>
      <c r="AL2285" s="4">
        <v>19</v>
      </c>
      <c r="AM2285" s="4">
        <v>19</v>
      </c>
      <c r="AN2285" s="4">
        <v>0</v>
      </c>
      <c r="AO2285" s="4">
        <v>0</v>
      </c>
      <c r="AP2285" s="4">
        <v>1</v>
      </c>
      <c r="AQ2285" s="4">
        <v>1</v>
      </c>
      <c r="AR2285" s="3" t="s">
        <v>65</v>
      </c>
      <c r="AS2285" s="3" t="s">
        <v>65</v>
      </c>
      <c r="AT2285" s="3" t="s">
        <v>65</v>
      </c>
      <c r="AV2285" s="6" t="str">
        <f>HYPERLINK("http://mcgill.on.worldcat.org/oclc/745970686","Catalog Record")</f>
        <v>Catalog Record</v>
      </c>
      <c r="AW2285" s="6" t="str">
        <f>HYPERLINK("http://www.worldcat.org/oclc/745970686","WorldCat Record")</f>
        <v>WorldCat Record</v>
      </c>
      <c r="AX2285" s="3" t="s">
        <v>22459</v>
      </c>
      <c r="AY2285" s="3" t="s">
        <v>22460</v>
      </c>
      <c r="AZ2285" s="3" t="s">
        <v>22461</v>
      </c>
      <c r="BA2285" s="3" t="s">
        <v>22461</v>
      </c>
      <c r="BB2285" s="3" t="s">
        <v>22462</v>
      </c>
      <c r="BC2285" s="3" t="s">
        <v>77</v>
      </c>
      <c r="BD2285" s="3" t="s">
        <v>78</v>
      </c>
      <c r="BE2285" s="3" t="s">
        <v>22463</v>
      </c>
      <c r="BF2285" s="3" t="s">
        <v>22462</v>
      </c>
      <c r="BG2285" s="3" t="s">
        <v>22464</v>
      </c>
    </row>
    <row r="2286" spans="1:59" ht="58" x14ac:dyDescent="0.35">
      <c r="A2286" s="2" t="s">
        <v>59</v>
      </c>
      <c r="B2286" s="2" t="s">
        <v>60</v>
      </c>
      <c r="C2286" s="2" t="s">
        <v>22465</v>
      </c>
      <c r="D2286" s="2" t="s">
        <v>22466</v>
      </c>
      <c r="E2286" s="2" t="s">
        <v>22467</v>
      </c>
      <c r="G2286" s="3" t="s">
        <v>65</v>
      </c>
      <c r="I2286" s="3" t="s">
        <v>65</v>
      </c>
      <c r="J2286" s="3" t="s">
        <v>65</v>
      </c>
      <c r="K2286" s="3" t="s">
        <v>66</v>
      </c>
      <c r="L2286" s="2" t="s">
        <v>22468</v>
      </c>
      <c r="M2286" s="2" t="s">
        <v>22469</v>
      </c>
      <c r="N2286" s="3" t="s">
        <v>139</v>
      </c>
      <c r="P2286" s="3" t="s">
        <v>140</v>
      </c>
      <c r="Q2286" s="2" t="s">
        <v>22470</v>
      </c>
      <c r="R2286" s="3" t="s">
        <v>71</v>
      </c>
      <c r="S2286" s="4">
        <v>3</v>
      </c>
      <c r="T2286" s="4">
        <v>3</v>
      </c>
      <c r="U2286" s="5" t="s">
        <v>22471</v>
      </c>
      <c r="V2286" s="5" t="s">
        <v>22471</v>
      </c>
      <c r="W2286" s="5" t="s">
        <v>72</v>
      </c>
      <c r="X2286" s="5" t="s">
        <v>72</v>
      </c>
      <c r="Y2286" s="4">
        <v>15</v>
      </c>
      <c r="Z2286" s="4">
        <v>3</v>
      </c>
      <c r="AA2286" s="4">
        <v>3</v>
      </c>
      <c r="AB2286" s="4">
        <v>1</v>
      </c>
      <c r="AC2286" s="4">
        <v>1</v>
      </c>
      <c r="AD2286" s="4">
        <v>10</v>
      </c>
      <c r="AE2286" s="4">
        <v>28</v>
      </c>
      <c r="AF2286" s="4">
        <v>0</v>
      </c>
      <c r="AG2286" s="4">
        <v>0</v>
      </c>
      <c r="AH2286" s="4">
        <v>10</v>
      </c>
      <c r="AI2286" s="4">
        <v>27</v>
      </c>
      <c r="AJ2286" s="4">
        <v>1</v>
      </c>
      <c r="AK2286" s="4">
        <v>1</v>
      </c>
      <c r="AL2286" s="4">
        <v>8</v>
      </c>
      <c r="AM2286" s="4">
        <v>22</v>
      </c>
      <c r="AN2286" s="4">
        <v>0</v>
      </c>
      <c r="AO2286" s="4">
        <v>0</v>
      </c>
      <c r="AP2286" s="4">
        <v>1</v>
      </c>
      <c r="AQ2286" s="4">
        <v>1</v>
      </c>
      <c r="AR2286" s="3" t="s">
        <v>65</v>
      </c>
      <c r="AS2286" s="3" t="s">
        <v>65</v>
      </c>
      <c r="AT2286" s="3" t="s">
        <v>65</v>
      </c>
      <c r="AV2286" s="6" t="str">
        <f>HYPERLINK("http://mcgill.on.worldcat.org/oclc/820775712","Catalog Record")</f>
        <v>Catalog Record</v>
      </c>
      <c r="AW2286" s="6" t="str">
        <f>HYPERLINK("http://www.worldcat.org/oclc/820775712","WorldCat Record")</f>
        <v>WorldCat Record</v>
      </c>
      <c r="AX2286" s="3" t="s">
        <v>22472</v>
      </c>
      <c r="AY2286" s="3" t="s">
        <v>22473</v>
      </c>
      <c r="AZ2286" s="3" t="s">
        <v>22474</v>
      </c>
      <c r="BA2286" s="3" t="s">
        <v>22474</v>
      </c>
      <c r="BB2286" s="3" t="s">
        <v>22475</v>
      </c>
      <c r="BC2286" s="3" t="s">
        <v>77</v>
      </c>
      <c r="BD2286" s="3" t="s">
        <v>78</v>
      </c>
      <c r="BE2286" s="3" t="s">
        <v>22476</v>
      </c>
      <c r="BF2286" s="3" t="s">
        <v>22475</v>
      </c>
      <c r="BG2286" s="3" t="s">
        <v>22477</v>
      </c>
    </row>
    <row r="2287" spans="1:59" ht="58" x14ac:dyDescent="0.35">
      <c r="A2287" s="2" t="s">
        <v>59</v>
      </c>
      <c r="B2287" s="2" t="s">
        <v>60</v>
      </c>
      <c r="C2287" s="2" t="s">
        <v>22478</v>
      </c>
      <c r="D2287" s="2" t="s">
        <v>22479</v>
      </c>
      <c r="E2287" s="2" t="s">
        <v>22480</v>
      </c>
      <c r="G2287" s="3" t="s">
        <v>65</v>
      </c>
      <c r="I2287" s="3" t="s">
        <v>65</v>
      </c>
      <c r="J2287" s="3" t="s">
        <v>65</v>
      </c>
      <c r="K2287" s="3" t="s">
        <v>66</v>
      </c>
      <c r="M2287" s="2" t="s">
        <v>22481</v>
      </c>
      <c r="N2287" s="3" t="s">
        <v>139</v>
      </c>
      <c r="P2287" s="3" t="s">
        <v>140</v>
      </c>
      <c r="Q2287" s="2" t="s">
        <v>22482</v>
      </c>
      <c r="R2287" s="3" t="s">
        <v>71</v>
      </c>
      <c r="S2287" s="4">
        <v>2</v>
      </c>
      <c r="T2287" s="4">
        <v>2</v>
      </c>
      <c r="U2287" s="5" t="s">
        <v>1848</v>
      </c>
      <c r="V2287" s="5" t="s">
        <v>1848</v>
      </c>
      <c r="W2287" s="5" t="s">
        <v>72</v>
      </c>
      <c r="X2287" s="5" t="s">
        <v>72</v>
      </c>
      <c r="Y2287" s="4">
        <v>52</v>
      </c>
      <c r="Z2287" s="4">
        <v>3</v>
      </c>
      <c r="AA2287" s="4">
        <v>3</v>
      </c>
      <c r="AB2287" s="4">
        <v>1</v>
      </c>
      <c r="AC2287" s="4">
        <v>1</v>
      </c>
      <c r="AD2287" s="4">
        <v>28</v>
      </c>
      <c r="AE2287" s="4">
        <v>28</v>
      </c>
      <c r="AF2287" s="4">
        <v>0</v>
      </c>
      <c r="AG2287" s="4">
        <v>0</v>
      </c>
      <c r="AH2287" s="4">
        <v>27</v>
      </c>
      <c r="AI2287" s="4">
        <v>27</v>
      </c>
      <c r="AJ2287" s="4">
        <v>1</v>
      </c>
      <c r="AK2287" s="4">
        <v>1</v>
      </c>
      <c r="AL2287" s="4">
        <v>23</v>
      </c>
      <c r="AM2287" s="4">
        <v>23</v>
      </c>
      <c r="AN2287" s="4">
        <v>0</v>
      </c>
      <c r="AO2287" s="4">
        <v>0</v>
      </c>
      <c r="AP2287" s="4">
        <v>1</v>
      </c>
      <c r="AQ2287" s="4">
        <v>1</v>
      </c>
      <c r="AR2287" s="3" t="s">
        <v>65</v>
      </c>
      <c r="AS2287" s="3" t="s">
        <v>65</v>
      </c>
      <c r="AT2287" s="3" t="s">
        <v>65</v>
      </c>
      <c r="AV2287" s="6" t="str">
        <f>HYPERLINK("http://mcgill.on.worldcat.org/oclc/795755579","Catalog Record")</f>
        <v>Catalog Record</v>
      </c>
      <c r="AW2287" s="6" t="str">
        <f>HYPERLINK("http://www.worldcat.org/oclc/795755579","WorldCat Record")</f>
        <v>WorldCat Record</v>
      </c>
      <c r="AX2287" s="3" t="s">
        <v>22483</v>
      </c>
      <c r="AY2287" s="3" t="s">
        <v>22484</v>
      </c>
      <c r="AZ2287" s="3" t="s">
        <v>22485</v>
      </c>
      <c r="BA2287" s="3" t="s">
        <v>22485</v>
      </c>
      <c r="BB2287" s="3" t="s">
        <v>22486</v>
      </c>
      <c r="BC2287" s="3" t="s">
        <v>77</v>
      </c>
      <c r="BD2287" s="3" t="s">
        <v>78</v>
      </c>
      <c r="BE2287" s="3" t="s">
        <v>22487</v>
      </c>
      <c r="BF2287" s="3" t="s">
        <v>22486</v>
      </c>
      <c r="BG2287" s="3" t="s">
        <v>22488</v>
      </c>
    </row>
    <row r="2288" spans="1:59" ht="58" x14ac:dyDescent="0.35">
      <c r="A2288" s="2" t="s">
        <v>59</v>
      </c>
      <c r="B2288" s="2" t="s">
        <v>60</v>
      </c>
      <c r="C2288" s="2" t="s">
        <v>22489</v>
      </c>
      <c r="D2288" s="2" t="s">
        <v>22490</v>
      </c>
      <c r="E2288" s="2" t="s">
        <v>22491</v>
      </c>
      <c r="G2288" s="3" t="s">
        <v>65</v>
      </c>
      <c r="I2288" s="3" t="s">
        <v>65</v>
      </c>
      <c r="J2288" s="3" t="s">
        <v>65</v>
      </c>
      <c r="K2288" s="3" t="s">
        <v>66</v>
      </c>
      <c r="L2288" s="2" t="s">
        <v>22492</v>
      </c>
      <c r="M2288" s="2" t="s">
        <v>22493</v>
      </c>
      <c r="N2288" s="3" t="s">
        <v>113</v>
      </c>
      <c r="P2288" s="3" t="s">
        <v>140</v>
      </c>
      <c r="Q2288" s="2" t="s">
        <v>22494</v>
      </c>
      <c r="R2288" s="3" t="s">
        <v>71</v>
      </c>
      <c r="S2288" s="4">
        <v>10</v>
      </c>
      <c r="T2288" s="4">
        <v>10</v>
      </c>
      <c r="U2288" s="5" t="s">
        <v>22274</v>
      </c>
      <c r="V2288" s="5" t="s">
        <v>22274</v>
      </c>
      <c r="W2288" s="5" t="s">
        <v>72</v>
      </c>
      <c r="X2288" s="5" t="s">
        <v>72</v>
      </c>
      <c r="Y2288" s="4">
        <v>51</v>
      </c>
      <c r="Z2288" s="4">
        <v>3</v>
      </c>
      <c r="AA2288" s="4">
        <v>3</v>
      </c>
      <c r="AB2288" s="4">
        <v>1</v>
      </c>
      <c r="AC2288" s="4">
        <v>1</v>
      </c>
      <c r="AD2288" s="4">
        <v>32</v>
      </c>
      <c r="AE2288" s="4">
        <v>32</v>
      </c>
      <c r="AF2288" s="4">
        <v>0</v>
      </c>
      <c r="AG2288" s="4">
        <v>0</v>
      </c>
      <c r="AH2288" s="4">
        <v>31</v>
      </c>
      <c r="AI2288" s="4">
        <v>31</v>
      </c>
      <c r="AJ2288" s="4">
        <v>1</v>
      </c>
      <c r="AK2288" s="4">
        <v>1</v>
      </c>
      <c r="AL2288" s="4">
        <v>22</v>
      </c>
      <c r="AM2288" s="4">
        <v>22</v>
      </c>
      <c r="AN2288" s="4">
        <v>0</v>
      </c>
      <c r="AO2288" s="4">
        <v>0</v>
      </c>
      <c r="AP2288" s="4">
        <v>1</v>
      </c>
      <c r="AQ2288" s="4">
        <v>1</v>
      </c>
      <c r="AR2288" s="3" t="s">
        <v>65</v>
      </c>
      <c r="AS2288" s="3" t="s">
        <v>65</v>
      </c>
      <c r="AT2288" s="3" t="s">
        <v>65</v>
      </c>
      <c r="AV2288" s="6" t="str">
        <f>HYPERLINK("http://mcgill.on.worldcat.org/oclc/609530166","Catalog Record")</f>
        <v>Catalog Record</v>
      </c>
      <c r="AW2288" s="6" t="str">
        <f>HYPERLINK("http://www.worldcat.org/oclc/609530166","WorldCat Record")</f>
        <v>WorldCat Record</v>
      </c>
      <c r="AX2288" s="3" t="s">
        <v>22495</v>
      </c>
      <c r="AY2288" s="3" t="s">
        <v>22496</v>
      </c>
      <c r="AZ2288" s="3" t="s">
        <v>22497</v>
      </c>
      <c r="BA2288" s="3" t="s">
        <v>22497</v>
      </c>
      <c r="BB2288" s="3" t="s">
        <v>22498</v>
      </c>
      <c r="BC2288" s="3" t="s">
        <v>77</v>
      </c>
      <c r="BD2288" s="3" t="s">
        <v>78</v>
      </c>
      <c r="BE2288" s="3" t="s">
        <v>22499</v>
      </c>
      <c r="BF2288" s="3" t="s">
        <v>22498</v>
      </c>
      <c r="BG2288" s="3" t="s">
        <v>22500</v>
      </c>
    </row>
    <row r="2289" spans="1:59" ht="58" x14ac:dyDescent="0.35">
      <c r="A2289" s="2" t="s">
        <v>59</v>
      </c>
      <c r="B2289" s="2" t="s">
        <v>60</v>
      </c>
      <c r="C2289" s="2" t="s">
        <v>22501</v>
      </c>
      <c r="D2289" s="2" t="s">
        <v>22502</v>
      </c>
      <c r="E2289" s="2" t="s">
        <v>22503</v>
      </c>
      <c r="G2289" s="3" t="s">
        <v>65</v>
      </c>
      <c r="I2289" s="3" t="s">
        <v>65</v>
      </c>
      <c r="J2289" s="3" t="s">
        <v>65</v>
      </c>
      <c r="K2289" s="3" t="s">
        <v>66</v>
      </c>
      <c r="L2289" s="2" t="s">
        <v>22504</v>
      </c>
      <c r="M2289" s="2" t="s">
        <v>22505</v>
      </c>
      <c r="N2289" s="3" t="s">
        <v>113</v>
      </c>
      <c r="P2289" s="3" t="s">
        <v>140</v>
      </c>
      <c r="Q2289" s="2" t="s">
        <v>22506</v>
      </c>
      <c r="R2289" s="3" t="s">
        <v>71</v>
      </c>
      <c r="S2289" s="4">
        <v>2</v>
      </c>
      <c r="T2289" s="4">
        <v>2</v>
      </c>
      <c r="U2289" s="5" t="s">
        <v>115</v>
      </c>
      <c r="V2289" s="5" t="s">
        <v>115</v>
      </c>
      <c r="W2289" s="5" t="s">
        <v>72</v>
      </c>
      <c r="X2289" s="5" t="s">
        <v>72</v>
      </c>
      <c r="Y2289" s="4">
        <v>18</v>
      </c>
      <c r="Z2289" s="4">
        <v>1</v>
      </c>
      <c r="AA2289" s="4">
        <v>1</v>
      </c>
      <c r="AB2289" s="4">
        <v>1</v>
      </c>
      <c r="AC2289" s="4">
        <v>1</v>
      </c>
      <c r="AD2289" s="4">
        <v>13</v>
      </c>
      <c r="AE2289" s="4">
        <v>13</v>
      </c>
      <c r="AF2289" s="4">
        <v>0</v>
      </c>
      <c r="AG2289" s="4">
        <v>0</v>
      </c>
      <c r="AH2289" s="4">
        <v>12</v>
      </c>
      <c r="AI2289" s="4">
        <v>12</v>
      </c>
      <c r="AJ2289" s="4">
        <v>0</v>
      </c>
      <c r="AK2289" s="4">
        <v>0</v>
      </c>
      <c r="AL2289" s="4">
        <v>11</v>
      </c>
      <c r="AM2289" s="4">
        <v>11</v>
      </c>
      <c r="AN2289" s="4">
        <v>5</v>
      </c>
      <c r="AO2289" s="4">
        <v>5</v>
      </c>
      <c r="AP2289" s="4">
        <v>0</v>
      </c>
      <c r="AQ2289" s="4">
        <v>0</v>
      </c>
      <c r="AR2289" s="3" t="s">
        <v>65</v>
      </c>
      <c r="AS2289" s="3" t="s">
        <v>65</v>
      </c>
      <c r="AT2289" s="3" t="s">
        <v>209</v>
      </c>
      <c r="AU2289" s="6" t="str">
        <f>HYPERLINK("http://catalog.hathitrust.org/Record/011228563","HathiTrust Record")</f>
        <v>HathiTrust Record</v>
      </c>
      <c r="AV2289" s="6" t="str">
        <f>HYPERLINK("http://mcgill.on.worldcat.org/oclc/681707480","Catalog Record")</f>
        <v>Catalog Record</v>
      </c>
      <c r="AW2289" s="6" t="str">
        <f>HYPERLINK("http://www.worldcat.org/oclc/681707480","WorldCat Record")</f>
        <v>WorldCat Record</v>
      </c>
      <c r="AX2289" s="3" t="s">
        <v>22507</v>
      </c>
      <c r="AY2289" s="3" t="s">
        <v>22508</v>
      </c>
      <c r="AZ2289" s="3" t="s">
        <v>22509</v>
      </c>
      <c r="BA2289" s="3" t="s">
        <v>22509</v>
      </c>
      <c r="BB2289" s="3" t="s">
        <v>22510</v>
      </c>
      <c r="BC2289" s="3" t="s">
        <v>77</v>
      </c>
      <c r="BD2289" s="3" t="s">
        <v>78</v>
      </c>
      <c r="BE2289" s="3" t="s">
        <v>22511</v>
      </c>
      <c r="BF2289" s="3" t="s">
        <v>22510</v>
      </c>
      <c r="BG2289" s="3" t="s">
        <v>22512</v>
      </c>
    </row>
    <row r="2290" spans="1:59" ht="58" x14ac:dyDescent="0.35">
      <c r="A2290" s="2" t="s">
        <v>59</v>
      </c>
      <c r="B2290" s="2" t="s">
        <v>60</v>
      </c>
      <c r="C2290" s="2" t="s">
        <v>22513</v>
      </c>
      <c r="D2290" s="2" t="s">
        <v>22514</v>
      </c>
      <c r="E2290" s="2" t="s">
        <v>22515</v>
      </c>
      <c r="G2290" s="3" t="s">
        <v>65</v>
      </c>
      <c r="I2290" s="3" t="s">
        <v>65</v>
      </c>
      <c r="J2290" s="3" t="s">
        <v>65</v>
      </c>
      <c r="K2290" s="3" t="s">
        <v>66</v>
      </c>
      <c r="L2290" s="2" t="s">
        <v>1171</v>
      </c>
      <c r="M2290" s="2" t="s">
        <v>22516</v>
      </c>
      <c r="N2290" s="3" t="s">
        <v>392</v>
      </c>
      <c r="P2290" s="3" t="s">
        <v>69</v>
      </c>
      <c r="R2290" s="3" t="s">
        <v>71</v>
      </c>
      <c r="S2290" s="4">
        <v>2</v>
      </c>
      <c r="T2290" s="4">
        <v>2</v>
      </c>
      <c r="U2290" s="5" t="s">
        <v>22517</v>
      </c>
      <c r="V2290" s="5" t="s">
        <v>22517</v>
      </c>
      <c r="W2290" s="5" t="s">
        <v>72</v>
      </c>
      <c r="X2290" s="5" t="s">
        <v>72</v>
      </c>
      <c r="Y2290" s="4">
        <v>315</v>
      </c>
      <c r="Z2290" s="4">
        <v>13</v>
      </c>
      <c r="AA2290" s="4">
        <v>14</v>
      </c>
      <c r="AB2290" s="4">
        <v>1</v>
      </c>
      <c r="AC2290" s="4">
        <v>1</v>
      </c>
      <c r="AD2290" s="4">
        <v>50</v>
      </c>
      <c r="AE2290" s="4">
        <v>50</v>
      </c>
      <c r="AF2290" s="4">
        <v>0</v>
      </c>
      <c r="AG2290" s="4">
        <v>0</v>
      </c>
      <c r="AH2290" s="4">
        <v>48</v>
      </c>
      <c r="AI2290" s="4">
        <v>48</v>
      </c>
      <c r="AJ2290" s="4">
        <v>5</v>
      </c>
      <c r="AK2290" s="4">
        <v>5</v>
      </c>
      <c r="AL2290" s="4">
        <v>32</v>
      </c>
      <c r="AM2290" s="4">
        <v>32</v>
      </c>
      <c r="AN2290" s="4">
        <v>0</v>
      </c>
      <c r="AO2290" s="4">
        <v>0</v>
      </c>
      <c r="AP2290" s="4">
        <v>5</v>
      </c>
      <c r="AQ2290" s="4">
        <v>5</v>
      </c>
      <c r="AR2290" s="3" t="s">
        <v>65</v>
      </c>
      <c r="AS2290" s="3" t="s">
        <v>65</v>
      </c>
      <c r="AT2290" s="3" t="s">
        <v>65</v>
      </c>
      <c r="AV2290" s="6" t="str">
        <f>HYPERLINK("http://mcgill.on.worldcat.org/oclc/18561345","Catalog Record")</f>
        <v>Catalog Record</v>
      </c>
      <c r="AW2290" s="6" t="str">
        <f>HYPERLINK("http://www.worldcat.org/oclc/18561345","WorldCat Record")</f>
        <v>WorldCat Record</v>
      </c>
      <c r="AX2290" s="3" t="s">
        <v>22518</v>
      </c>
      <c r="AY2290" s="3" t="s">
        <v>22519</v>
      </c>
      <c r="AZ2290" s="3" t="s">
        <v>22520</v>
      </c>
      <c r="BA2290" s="3" t="s">
        <v>22520</v>
      </c>
      <c r="BB2290" s="3" t="s">
        <v>22521</v>
      </c>
      <c r="BC2290" s="3" t="s">
        <v>77</v>
      </c>
      <c r="BD2290" s="3" t="s">
        <v>78</v>
      </c>
      <c r="BE2290" s="3" t="s">
        <v>22522</v>
      </c>
      <c r="BF2290" s="3" t="s">
        <v>22521</v>
      </c>
      <c r="BG2290" s="3" t="s">
        <v>22523</v>
      </c>
    </row>
    <row r="2291" spans="1:59" ht="58" x14ac:dyDescent="0.35">
      <c r="A2291" s="2" t="s">
        <v>59</v>
      </c>
      <c r="B2291" s="2" t="s">
        <v>60</v>
      </c>
      <c r="C2291" s="2" t="s">
        <v>22524</v>
      </c>
      <c r="D2291" s="2" t="s">
        <v>22525</v>
      </c>
      <c r="E2291" s="2" t="s">
        <v>22526</v>
      </c>
      <c r="G2291" s="3" t="s">
        <v>65</v>
      </c>
      <c r="I2291" s="3" t="s">
        <v>65</v>
      </c>
      <c r="J2291" s="3" t="s">
        <v>65</v>
      </c>
      <c r="K2291" s="3" t="s">
        <v>66</v>
      </c>
      <c r="L2291" s="2" t="s">
        <v>1171</v>
      </c>
      <c r="M2291" s="2" t="s">
        <v>22527</v>
      </c>
      <c r="N2291" s="3" t="s">
        <v>5060</v>
      </c>
      <c r="O2291" s="2" t="s">
        <v>5881</v>
      </c>
      <c r="P2291" s="3" t="s">
        <v>140</v>
      </c>
      <c r="Q2291" s="2" t="s">
        <v>22528</v>
      </c>
      <c r="R2291" s="3" t="s">
        <v>71</v>
      </c>
      <c r="S2291" s="4">
        <v>1</v>
      </c>
      <c r="T2291" s="4">
        <v>1</v>
      </c>
      <c r="U2291" s="5" t="s">
        <v>8167</v>
      </c>
      <c r="V2291" s="5" t="s">
        <v>8167</v>
      </c>
      <c r="W2291" s="5" t="s">
        <v>72</v>
      </c>
      <c r="X2291" s="5" t="s">
        <v>72</v>
      </c>
      <c r="Y2291" s="4">
        <v>51</v>
      </c>
      <c r="Z2291" s="4">
        <v>5</v>
      </c>
      <c r="AA2291" s="4">
        <v>8</v>
      </c>
      <c r="AB2291" s="4">
        <v>2</v>
      </c>
      <c r="AC2291" s="4">
        <v>3</v>
      </c>
      <c r="AD2291" s="4">
        <v>25</v>
      </c>
      <c r="AE2291" s="4">
        <v>30</v>
      </c>
      <c r="AF2291" s="4">
        <v>1</v>
      </c>
      <c r="AG2291" s="4">
        <v>2</v>
      </c>
      <c r="AH2291" s="4">
        <v>22</v>
      </c>
      <c r="AI2291" s="4">
        <v>26</v>
      </c>
      <c r="AJ2291" s="4">
        <v>4</v>
      </c>
      <c r="AK2291" s="4">
        <v>6</v>
      </c>
      <c r="AL2291" s="4">
        <v>17</v>
      </c>
      <c r="AM2291" s="4">
        <v>21</v>
      </c>
      <c r="AN2291" s="4">
        <v>0</v>
      </c>
      <c r="AO2291" s="4">
        <v>0</v>
      </c>
      <c r="AP2291" s="4">
        <v>4</v>
      </c>
      <c r="AQ2291" s="4">
        <v>5</v>
      </c>
      <c r="AR2291" s="3" t="s">
        <v>65</v>
      </c>
      <c r="AS2291" s="3" t="s">
        <v>65</v>
      </c>
      <c r="AT2291" s="3" t="s">
        <v>209</v>
      </c>
      <c r="AU2291" s="6" t="str">
        <f>HYPERLINK("http://catalog.hathitrust.org/Record/001218584","HathiTrust Record")</f>
        <v>HathiTrust Record</v>
      </c>
      <c r="AV2291" s="6" t="str">
        <f>HYPERLINK("http://mcgill.on.worldcat.org/oclc/421493","Catalog Record")</f>
        <v>Catalog Record</v>
      </c>
      <c r="AW2291" s="6" t="str">
        <f>HYPERLINK("http://www.worldcat.org/oclc/421493","WorldCat Record")</f>
        <v>WorldCat Record</v>
      </c>
      <c r="AX2291" s="3" t="s">
        <v>22529</v>
      </c>
      <c r="AY2291" s="3" t="s">
        <v>22530</v>
      </c>
      <c r="AZ2291" s="3" t="s">
        <v>22531</v>
      </c>
      <c r="BA2291" s="3" t="s">
        <v>22531</v>
      </c>
      <c r="BB2291" s="3" t="s">
        <v>22532</v>
      </c>
      <c r="BC2291" s="3" t="s">
        <v>77</v>
      </c>
      <c r="BD2291" s="3" t="s">
        <v>78</v>
      </c>
      <c r="BF2291" s="3" t="s">
        <v>22532</v>
      </c>
      <c r="BG2291" s="3" t="s">
        <v>22533</v>
      </c>
    </row>
    <row r="2292" spans="1:59" ht="58" x14ac:dyDescent="0.35">
      <c r="A2292" s="2" t="s">
        <v>59</v>
      </c>
      <c r="B2292" s="2" t="s">
        <v>60</v>
      </c>
      <c r="C2292" s="2" t="s">
        <v>22534</v>
      </c>
      <c r="D2292" s="2" t="s">
        <v>22535</v>
      </c>
      <c r="E2292" s="2" t="s">
        <v>22536</v>
      </c>
      <c r="G2292" s="3" t="s">
        <v>65</v>
      </c>
      <c r="I2292" s="3" t="s">
        <v>65</v>
      </c>
      <c r="J2292" s="3" t="s">
        <v>65</v>
      </c>
      <c r="K2292" s="3" t="s">
        <v>66</v>
      </c>
      <c r="L2292" s="2" t="s">
        <v>22537</v>
      </c>
      <c r="M2292" s="2" t="s">
        <v>22538</v>
      </c>
      <c r="N2292" s="3" t="s">
        <v>126</v>
      </c>
      <c r="P2292" s="3" t="s">
        <v>140</v>
      </c>
      <c r="R2292" s="3" t="s">
        <v>71</v>
      </c>
      <c r="S2292" s="4">
        <v>0</v>
      </c>
      <c r="T2292" s="4">
        <v>0</v>
      </c>
      <c r="U2292" s="5" t="s">
        <v>2061</v>
      </c>
      <c r="V2292" s="5" t="s">
        <v>2061</v>
      </c>
      <c r="W2292" s="5" t="s">
        <v>72</v>
      </c>
      <c r="X2292" s="5" t="s">
        <v>72</v>
      </c>
      <c r="Y2292" s="4">
        <v>10</v>
      </c>
      <c r="Z2292" s="4">
        <v>1</v>
      </c>
      <c r="AA2292" s="4">
        <v>1</v>
      </c>
      <c r="AB2292" s="4">
        <v>1</v>
      </c>
      <c r="AC2292" s="4">
        <v>1</v>
      </c>
      <c r="AD2292" s="4">
        <v>6</v>
      </c>
      <c r="AE2292" s="4">
        <v>6</v>
      </c>
      <c r="AF2292" s="4">
        <v>0</v>
      </c>
      <c r="AG2292" s="4">
        <v>0</v>
      </c>
      <c r="AH2292" s="4">
        <v>6</v>
      </c>
      <c r="AI2292" s="4">
        <v>6</v>
      </c>
      <c r="AJ2292" s="4">
        <v>0</v>
      </c>
      <c r="AK2292" s="4">
        <v>0</v>
      </c>
      <c r="AL2292" s="4">
        <v>3</v>
      </c>
      <c r="AM2292" s="4">
        <v>3</v>
      </c>
      <c r="AN2292" s="4">
        <v>0</v>
      </c>
      <c r="AO2292" s="4">
        <v>0</v>
      </c>
      <c r="AP2292" s="4">
        <v>0</v>
      </c>
      <c r="AQ2292" s="4">
        <v>0</v>
      </c>
      <c r="AR2292" s="3" t="s">
        <v>65</v>
      </c>
      <c r="AS2292" s="3" t="s">
        <v>65</v>
      </c>
      <c r="AT2292" s="3" t="s">
        <v>65</v>
      </c>
      <c r="AV2292" s="6" t="str">
        <f>HYPERLINK("http://mcgill.on.worldcat.org/oclc/842837433","Catalog Record")</f>
        <v>Catalog Record</v>
      </c>
      <c r="AW2292" s="6" t="str">
        <f>HYPERLINK("http://www.worldcat.org/oclc/842837433","WorldCat Record")</f>
        <v>WorldCat Record</v>
      </c>
      <c r="AX2292" s="3" t="s">
        <v>22539</v>
      </c>
      <c r="AY2292" s="3" t="s">
        <v>22540</v>
      </c>
      <c r="AZ2292" s="3" t="s">
        <v>22541</v>
      </c>
      <c r="BA2292" s="3" t="s">
        <v>22541</v>
      </c>
      <c r="BB2292" s="3" t="s">
        <v>22542</v>
      </c>
      <c r="BC2292" s="3" t="s">
        <v>77</v>
      </c>
      <c r="BD2292" s="3" t="s">
        <v>78</v>
      </c>
      <c r="BE2292" s="3" t="s">
        <v>22543</v>
      </c>
      <c r="BF2292" s="3" t="s">
        <v>22542</v>
      </c>
      <c r="BG2292" s="3" t="s">
        <v>22544</v>
      </c>
    </row>
    <row r="2293" spans="1:59" ht="58" x14ac:dyDescent="0.35">
      <c r="A2293" s="2" t="s">
        <v>59</v>
      </c>
      <c r="B2293" s="2" t="s">
        <v>60</v>
      </c>
      <c r="C2293" s="2" t="s">
        <v>22545</v>
      </c>
      <c r="D2293" s="2" t="s">
        <v>22546</v>
      </c>
      <c r="E2293" s="2" t="s">
        <v>22547</v>
      </c>
      <c r="G2293" s="3" t="s">
        <v>65</v>
      </c>
      <c r="I2293" s="3" t="s">
        <v>65</v>
      </c>
      <c r="J2293" s="3" t="s">
        <v>65</v>
      </c>
      <c r="K2293" s="3" t="s">
        <v>66</v>
      </c>
      <c r="L2293" s="2" t="s">
        <v>22548</v>
      </c>
      <c r="M2293" s="2" t="s">
        <v>22549</v>
      </c>
      <c r="N2293" s="3" t="s">
        <v>164</v>
      </c>
      <c r="P2293" s="3" t="s">
        <v>140</v>
      </c>
      <c r="Q2293" s="2" t="s">
        <v>22550</v>
      </c>
      <c r="R2293" s="3" t="s">
        <v>71</v>
      </c>
      <c r="S2293" s="4">
        <v>0</v>
      </c>
      <c r="T2293" s="4">
        <v>0</v>
      </c>
      <c r="W2293" s="5" t="s">
        <v>72</v>
      </c>
      <c r="X2293" s="5" t="s">
        <v>72</v>
      </c>
      <c r="Y2293" s="4">
        <v>30</v>
      </c>
      <c r="Z2293" s="4">
        <v>3</v>
      </c>
      <c r="AA2293" s="4">
        <v>3</v>
      </c>
      <c r="AB2293" s="4">
        <v>1</v>
      </c>
      <c r="AC2293" s="4">
        <v>1</v>
      </c>
      <c r="AD2293" s="4">
        <v>18</v>
      </c>
      <c r="AE2293" s="4">
        <v>18</v>
      </c>
      <c r="AF2293" s="4">
        <v>0</v>
      </c>
      <c r="AG2293" s="4">
        <v>0</v>
      </c>
      <c r="AH2293" s="4">
        <v>17</v>
      </c>
      <c r="AI2293" s="4">
        <v>17</v>
      </c>
      <c r="AJ2293" s="4">
        <v>1</v>
      </c>
      <c r="AK2293" s="4">
        <v>1</v>
      </c>
      <c r="AL2293" s="4">
        <v>11</v>
      </c>
      <c r="AM2293" s="4">
        <v>11</v>
      </c>
      <c r="AN2293" s="4">
        <v>0</v>
      </c>
      <c r="AO2293" s="4">
        <v>0</v>
      </c>
      <c r="AP2293" s="4">
        <v>1</v>
      </c>
      <c r="AQ2293" s="4">
        <v>1</v>
      </c>
      <c r="AR2293" s="3" t="s">
        <v>65</v>
      </c>
      <c r="AS2293" s="3" t="s">
        <v>65</v>
      </c>
      <c r="AT2293" s="3" t="s">
        <v>65</v>
      </c>
      <c r="AV2293" s="6" t="str">
        <f>HYPERLINK("http://mcgill.on.worldcat.org/oclc/908688126","Catalog Record")</f>
        <v>Catalog Record</v>
      </c>
      <c r="AW2293" s="6" t="str">
        <f>HYPERLINK("http://www.worldcat.org/oclc/908688126","WorldCat Record")</f>
        <v>WorldCat Record</v>
      </c>
      <c r="AX2293" s="3" t="s">
        <v>22551</v>
      </c>
      <c r="AY2293" s="3" t="s">
        <v>22552</v>
      </c>
      <c r="AZ2293" s="3" t="s">
        <v>22553</v>
      </c>
      <c r="BA2293" s="3" t="s">
        <v>22553</v>
      </c>
      <c r="BB2293" s="3" t="s">
        <v>22554</v>
      </c>
      <c r="BC2293" s="3" t="s">
        <v>77</v>
      </c>
      <c r="BD2293" s="3" t="s">
        <v>78</v>
      </c>
      <c r="BE2293" s="3" t="s">
        <v>22555</v>
      </c>
      <c r="BF2293" s="3" t="s">
        <v>22554</v>
      </c>
      <c r="BG2293" s="3" t="s">
        <v>22556</v>
      </c>
    </row>
    <row r="2294" spans="1:59" ht="58" x14ac:dyDescent="0.35">
      <c r="A2294" s="2" t="s">
        <v>59</v>
      </c>
      <c r="B2294" s="2" t="s">
        <v>60</v>
      </c>
      <c r="C2294" s="2" t="s">
        <v>22557</v>
      </c>
      <c r="D2294" s="2" t="s">
        <v>22558</v>
      </c>
      <c r="E2294" s="2" t="s">
        <v>22559</v>
      </c>
      <c r="F2294" s="3" t="s">
        <v>245</v>
      </c>
      <c r="G2294" s="3" t="s">
        <v>209</v>
      </c>
      <c r="I2294" s="3" t="s">
        <v>65</v>
      </c>
      <c r="J2294" s="3" t="s">
        <v>65</v>
      </c>
      <c r="K2294" s="3" t="s">
        <v>66</v>
      </c>
      <c r="L2294" s="2" t="s">
        <v>1171</v>
      </c>
      <c r="M2294" s="2" t="s">
        <v>22560</v>
      </c>
      <c r="N2294" s="3" t="s">
        <v>1932</v>
      </c>
      <c r="O2294" s="2" t="s">
        <v>6616</v>
      </c>
      <c r="P2294" s="3" t="s">
        <v>140</v>
      </c>
      <c r="Q2294" s="2" t="s">
        <v>6617</v>
      </c>
      <c r="R2294" s="3" t="s">
        <v>71</v>
      </c>
      <c r="S2294" s="4">
        <v>7</v>
      </c>
      <c r="T2294" s="4">
        <v>9</v>
      </c>
      <c r="U2294" s="5" t="s">
        <v>22561</v>
      </c>
      <c r="V2294" s="5" t="s">
        <v>21348</v>
      </c>
      <c r="W2294" s="5" t="s">
        <v>72</v>
      </c>
      <c r="X2294" s="5" t="s">
        <v>72</v>
      </c>
      <c r="Y2294" s="4">
        <v>106</v>
      </c>
      <c r="Z2294" s="4">
        <v>4</v>
      </c>
      <c r="AA2294" s="4">
        <v>4</v>
      </c>
      <c r="AB2294" s="4">
        <v>1</v>
      </c>
      <c r="AC2294" s="4">
        <v>1</v>
      </c>
      <c r="AD2294" s="4">
        <v>48</v>
      </c>
      <c r="AE2294" s="4">
        <v>49</v>
      </c>
      <c r="AF2294" s="4">
        <v>0</v>
      </c>
      <c r="AG2294" s="4">
        <v>0</v>
      </c>
      <c r="AH2294" s="4">
        <v>46</v>
      </c>
      <c r="AI2294" s="4">
        <v>47</v>
      </c>
      <c r="AJ2294" s="4">
        <v>2</v>
      </c>
      <c r="AK2294" s="4">
        <v>2</v>
      </c>
      <c r="AL2294" s="4">
        <v>33</v>
      </c>
      <c r="AM2294" s="4">
        <v>34</v>
      </c>
      <c r="AN2294" s="4">
        <v>0</v>
      </c>
      <c r="AO2294" s="4">
        <v>0</v>
      </c>
      <c r="AP2294" s="4">
        <v>2</v>
      </c>
      <c r="AQ2294" s="4">
        <v>2</v>
      </c>
      <c r="AR2294" s="3" t="s">
        <v>65</v>
      </c>
      <c r="AS2294" s="3" t="s">
        <v>65</v>
      </c>
      <c r="AT2294" s="3" t="s">
        <v>209</v>
      </c>
      <c r="AU2294" s="6" t="str">
        <f>HYPERLINK("http://catalog.hathitrust.org/Record/002991464","HathiTrust Record")</f>
        <v>HathiTrust Record</v>
      </c>
      <c r="AV2294" s="6" t="str">
        <f>HYPERLINK("http://mcgill.on.worldcat.org/oclc/32676395","Catalog Record")</f>
        <v>Catalog Record</v>
      </c>
      <c r="AW2294" s="6" t="str">
        <f>HYPERLINK("http://www.worldcat.org/oclc/32676395","WorldCat Record")</f>
        <v>WorldCat Record</v>
      </c>
      <c r="AX2294" s="3" t="s">
        <v>22562</v>
      </c>
      <c r="AY2294" s="3" t="s">
        <v>22563</v>
      </c>
      <c r="AZ2294" s="3" t="s">
        <v>22564</v>
      </c>
      <c r="BA2294" s="3" t="s">
        <v>22564</v>
      </c>
      <c r="BB2294" s="3" t="s">
        <v>22565</v>
      </c>
      <c r="BC2294" s="3" t="s">
        <v>77</v>
      </c>
      <c r="BD2294" s="3" t="s">
        <v>106</v>
      </c>
      <c r="BE2294" s="3" t="s">
        <v>22566</v>
      </c>
      <c r="BF2294" s="3" t="s">
        <v>22565</v>
      </c>
      <c r="BG2294" s="3" t="s">
        <v>22567</v>
      </c>
    </row>
    <row r="2295" spans="1:59" ht="58" x14ac:dyDescent="0.35">
      <c r="A2295" s="2" t="s">
        <v>59</v>
      </c>
      <c r="B2295" s="2" t="s">
        <v>60</v>
      </c>
      <c r="C2295" s="2" t="s">
        <v>22557</v>
      </c>
      <c r="D2295" s="2" t="s">
        <v>22558</v>
      </c>
      <c r="E2295" s="2" t="s">
        <v>22559</v>
      </c>
      <c r="F2295" s="3" t="s">
        <v>258</v>
      </c>
      <c r="G2295" s="3" t="s">
        <v>209</v>
      </c>
      <c r="I2295" s="3" t="s">
        <v>65</v>
      </c>
      <c r="J2295" s="3" t="s">
        <v>65</v>
      </c>
      <c r="K2295" s="3" t="s">
        <v>66</v>
      </c>
      <c r="L2295" s="2" t="s">
        <v>1171</v>
      </c>
      <c r="M2295" s="2" t="s">
        <v>22560</v>
      </c>
      <c r="N2295" s="3" t="s">
        <v>1932</v>
      </c>
      <c r="O2295" s="2" t="s">
        <v>6616</v>
      </c>
      <c r="P2295" s="3" t="s">
        <v>140</v>
      </c>
      <c r="Q2295" s="2" t="s">
        <v>6617</v>
      </c>
      <c r="R2295" s="3" t="s">
        <v>71</v>
      </c>
      <c r="S2295" s="4">
        <v>2</v>
      </c>
      <c r="T2295" s="4">
        <v>9</v>
      </c>
      <c r="U2295" s="5" t="s">
        <v>21348</v>
      </c>
      <c r="V2295" s="5" t="s">
        <v>21348</v>
      </c>
      <c r="W2295" s="5" t="s">
        <v>72</v>
      </c>
      <c r="X2295" s="5" t="s">
        <v>72</v>
      </c>
      <c r="Y2295" s="4">
        <v>106</v>
      </c>
      <c r="Z2295" s="4">
        <v>4</v>
      </c>
      <c r="AA2295" s="4">
        <v>4</v>
      </c>
      <c r="AB2295" s="4">
        <v>1</v>
      </c>
      <c r="AC2295" s="4">
        <v>1</v>
      </c>
      <c r="AD2295" s="4">
        <v>48</v>
      </c>
      <c r="AE2295" s="4">
        <v>49</v>
      </c>
      <c r="AF2295" s="4">
        <v>0</v>
      </c>
      <c r="AG2295" s="4">
        <v>0</v>
      </c>
      <c r="AH2295" s="4">
        <v>46</v>
      </c>
      <c r="AI2295" s="4">
        <v>47</v>
      </c>
      <c r="AJ2295" s="4">
        <v>2</v>
      </c>
      <c r="AK2295" s="4">
        <v>2</v>
      </c>
      <c r="AL2295" s="4">
        <v>33</v>
      </c>
      <c r="AM2295" s="4">
        <v>34</v>
      </c>
      <c r="AN2295" s="4">
        <v>0</v>
      </c>
      <c r="AO2295" s="4">
        <v>0</v>
      </c>
      <c r="AP2295" s="4">
        <v>2</v>
      </c>
      <c r="AQ2295" s="4">
        <v>2</v>
      </c>
      <c r="AR2295" s="3" t="s">
        <v>65</v>
      </c>
      <c r="AS2295" s="3" t="s">
        <v>65</v>
      </c>
      <c r="AT2295" s="3" t="s">
        <v>209</v>
      </c>
      <c r="AU2295" s="6" t="str">
        <f>HYPERLINK("http://catalog.hathitrust.org/Record/002991464","HathiTrust Record")</f>
        <v>HathiTrust Record</v>
      </c>
      <c r="AV2295" s="6" t="str">
        <f>HYPERLINK("http://mcgill.on.worldcat.org/oclc/32676395","Catalog Record")</f>
        <v>Catalog Record</v>
      </c>
      <c r="AW2295" s="6" t="str">
        <f>HYPERLINK("http://www.worldcat.org/oclc/32676395","WorldCat Record")</f>
        <v>WorldCat Record</v>
      </c>
      <c r="AX2295" s="3" t="s">
        <v>22562</v>
      </c>
      <c r="AY2295" s="3" t="s">
        <v>22563</v>
      </c>
      <c r="AZ2295" s="3" t="s">
        <v>22564</v>
      </c>
      <c r="BA2295" s="3" t="s">
        <v>22564</v>
      </c>
      <c r="BB2295" s="3" t="s">
        <v>22568</v>
      </c>
      <c r="BC2295" s="3" t="s">
        <v>77</v>
      </c>
      <c r="BD2295" s="3" t="s">
        <v>78</v>
      </c>
      <c r="BE2295" s="3" t="s">
        <v>22566</v>
      </c>
      <c r="BF2295" s="3" t="s">
        <v>22568</v>
      </c>
      <c r="BG2295" s="3" t="s">
        <v>22569</v>
      </c>
    </row>
    <row r="2296" spans="1:59" ht="58" x14ac:dyDescent="0.35">
      <c r="A2296" s="2" t="s">
        <v>59</v>
      </c>
      <c r="B2296" s="2" t="s">
        <v>60</v>
      </c>
      <c r="C2296" s="2" t="s">
        <v>22570</v>
      </c>
      <c r="D2296" s="2" t="s">
        <v>22571</v>
      </c>
      <c r="E2296" s="2" t="s">
        <v>22572</v>
      </c>
      <c r="G2296" s="3" t="s">
        <v>65</v>
      </c>
      <c r="I2296" s="3" t="s">
        <v>65</v>
      </c>
      <c r="J2296" s="3" t="s">
        <v>65</v>
      </c>
      <c r="K2296" s="3" t="s">
        <v>66</v>
      </c>
      <c r="L2296" s="2" t="s">
        <v>22573</v>
      </c>
      <c r="M2296" s="2" t="s">
        <v>22574</v>
      </c>
      <c r="N2296" s="3" t="s">
        <v>1109</v>
      </c>
      <c r="P2296" s="3" t="s">
        <v>140</v>
      </c>
      <c r="Q2296" s="2" t="s">
        <v>22575</v>
      </c>
      <c r="R2296" s="3" t="s">
        <v>71</v>
      </c>
      <c r="S2296" s="4">
        <v>1</v>
      </c>
      <c r="T2296" s="4">
        <v>1</v>
      </c>
      <c r="U2296" s="5" t="s">
        <v>10710</v>
      </c>
      <c r="V2296" s="5" t="s">
        <v>10710</v>
      </c>
      <c r="W2296" s="5" t="s">
        <v>72</v>
      </c>
      <c r="X2296" s="5" t="s">
        <v>72</v>
      </c>
      <c r="Y2296" s="4">
        <v>25</v>
      </c>
      <c r="Z2296" s="4">
        <v>4</v>
      </c>
      <c r="AA2296" s="4">
        <v>4</v>
      </c>
      <c r="AB2296" s="4">
        <v>1</v>
      </c>
      <c r="AC2296" s="4">
        <v>1</v>
      </c>
      <c r="AD2296" s="4">
        <v>21</v>
      </c>
      <c r="AE2296" s="4">
        <v>25</v>
      </c>
      <c r="AF2296" s="4">
        <v>0</v>
      </c>
      <c r="AG2296" s="4">
        <v>0</v>
      </c>
      <c r="AH2296" s="4">
        <v>19</v>
      </c>
      <c r="AI2296" s="4">
        <v>22</v>
      </c>
      <c r="AJ2296" s="4">
        <v>2</v>
      </c>
      <c r="AK2296" s="4">
        <v>2</v>
      </c>
      <c r="AL2296" s="4">
        <v>15</v>
      </c>
      <c r="AM2296" s="4">
        <v>18</v>
      </c>
      <c r="AN2296" s="4">
        <v>0</v>
      </c>
      <c r="AO2296" s="4">
        <v>0</v>
      </c>
      <c r="AP2296" s="4">
        <v>1</v>
      </c>
      <c r="AQ2296" s="4">
        <v>1</v>
      </c>
      <c r="AR2296" s="3" t="s">
        <v>65</v>
      </c>
      <c r="AS2296" s="3" t="s">
        <v>65</v>
      </c>
      <c r="AT2296" s="3" t="s">
        <v>209</v>
      </c>
      <c r="AU2296" s="6" t="str">
        <f>HYPERLINK("http://catalog.hathitrust.org/Record/000026680","HathiTrust Record")</f>
        <v>HathiTrust Record</v>
      </c>
      <c r="AV2296" s="6" t="str">
        <f>HYPERLINK("http://mcgill.on.worldcat.org/oclc/1635525","Catalog Record")</f>
        <v>Catalog Record</v>
      </c>
      <c r="AW2296" s="6" t="str">
        <f>HYPERLINK("http://www.worldcat.org/oclc/1635525","WorldCat Record")</f>
        <v>WorldCat Record</v>
      </c>
      <c r="AX2296" s="3" t="s">
        <v>22576</v>
      </c>
      <c r="AY2296" s="3" t="s">
        <v>22577</v>
      </c>
      <c r="AZ2296" s="3" t="s">
        <v>22578</v>
      </c>
      <c r="BA2296" s="3" t="s">
        <v>22578</v>
      </c>
      <c r="BB2296" s="3" t="s">
        <v>22579</v>
      </c>
      <c r="BC2296" s="3" t="s">
        <v>77</v>
      </c>
      <c r="BD2296" s="3" t="s">
        <v>78</v>
      </c>
      <c r="BF2296" s="3" t="s">
        <v>22579</v>
      </c>
      <c r="BG2296" s="3" t="s">
        <v>22580</v>
      </c>
    </row>
    <row r="2297" spans="1:59" ht="72.5" x14ac:dyDescent="0.35">
      <c r="A2297" s="2" t="s">
        <v>59</v>
      </c>
      <c r="B2297" s="2" t="s">
        <v>60</v>
      </c>
      <c r="C2297" s="2" t="s">
        <v>22581</v>
      </c>
      <c r="D2297" s="2" t="s">
        <v>22582</v>
      </c>
      <c r="E2297" s="2" t="s">
        <v>22583</v>
      </c>
      <c r="G2297" s="3" t="s">
        <v>65</v>
      </c>
      <c r="I2297" s="3" t="s">
        <v>65</v>
      </c>
      <c r="J2297" s="3" t="s">
        <v>65</v>
      </c>
      <c r="K2297" s="3" t="s">
        <v>66</v>
      </c>
      <c r="L2297" s="2" t="s">
        <v>22584</v>
      </c>
      <c r="M2297" s="2" t="s">
        <v>22585</v>
      </c>
      <c r="N2297" s="3" t="s">
        <v>164</v>
      </c>
      <c r="O2297" s="2" t="s">
        <v>235</v>
      </c>
      <c r="P2297" s="3" t="s">
        <v>140</v>
      </c>
      <c r="Q2297" s="2" t="s">
        <v>5926</v>
      </c>
      <c r="R2297" s="3" t="s">
        <v>71</v>
      </c>
      <c r="S2297" s="4">
        <v>0</v>
      </c>
      <c r="T2297" s="4">
        <v>0</v>
      </c>
      <c r="W2297" s="5" t="s">
        <v>72</v>
      </c>
      <c r="X2297" s="5" t="s">
        <v>72</v>
      </c>
      <c r="Y2297" s="4">
        <v>39</v>
      </c>
      <c r="Z2297" s="4">
        <v>3</v>
      </c>
      <c r="AA2297" s="4">
        <v>3</v>
      </c>
      <c r="AB2297" s="4">
        <v>1</v>
      </c>
      <c r="AC2297" s="4">
        <v>1</v>
      </c>
      <c r="AD2297" s="4">
        <v>31</v>
      </c>
      <c r="AE2297" s="4">
        <v>31</v>
      </c>
      <c r="AF2297" s="4">
        <v>0</v>
      </c>
      <c r="AG2297" s="4">
        <v>0</v>
      </c>
      <c r="AH2297" s="4">
        <v>30</v>
      </c>
      <c r="AI2297" s="4">
        <v>30</v>
      </c>
      <c r="AJ2297" s="4">
        <v>1</v>
      </c>
      <c r="AK2297" s="4">
        <v>1</v>
      </c>
      <c r="AL2297" s="4">
        <v>26</v>
      </c>
      <c r="AM2297" s="4">
        <v>26</v>
      </c>
      <c r="AN2297" s="4">
        <v>0</v>
      </c>
      <c r="AO2297" s="4">
        <v>0</v>
      </c>
      <c r="AP2297" s="4">
        <v>1</v>
      </c>
      <c r="AQ2297" s="4">
        <v>1</v>
      </c>
      <c r="AR2297" s="3" t="s">
        <v>65</v>
      </c>
      <c r="AS2297" s="3" t="s">
        <v>65</v>
      </c>
      <c r="AT2297" s="3" t="s">
        <v>65</v>
      </c>
      <c r="AV2297" s="6" t="str">
        <f>HYPERLINK("http://mcgill.on.worldcat.org/oclc/910085254","Catalog Record")</f>
        <v>Catalog Record</v>
      </c>
      <c r="AW2297" s="6" t="str">
        <f>HYPERLINK("http://www.worldcat.org/oclc/910085254","WorldCat Record")</f>
        <v>WorldCat Record</v>
      </c>
      <c r="AX2297" s="3" t="s">
        <v>22586</v>
      </c>
      <c r="AY2297" s="3" t="s">
        <v>22587</v>
      </c>
      <c r="AZ2297" s="3" t="s">
        <v>22588</v>
      </c>
      <c r="BA2297" s="3" t="s">
        <v>22588</v>
      </c>
      <c r="BB2297" s="3" t="s">
        <v>22589</v>
      </c>
      <c r="BC2297" s="3" t="s">
        <v>77</v>
      </c>
      <c r="BD2297" s="3" t="s">
        <v>78</v>
      </c>
      <c r="BE2297" s="3" t="s">
        <v>22590</v>
      </c>
      <c r="BF2297" s="3" t="s">
        <v>22589</v>
      </c>
      <c r="BG2297" s="3" t="s">
        <v>22591</v>
      </c>
    </row>
    <row r="2298" spans="1:59" ht="58" x14ac:dyDescent="0.35">
      <c r="A2298" s="2" t="s">
        <v>59</v>
      </c>
      <c r="B2298" s="2" t="s">
        <v>60</v>
      </c>
      <c r="C2298" s="2" t="s">
        <v>22592</v>
      </c>
      <c r="D2298" s="2" t="s">
        <v>22593</v>
      </c>
      <c r="E2298" s="2" t="s">
        <v>22594</v>
      </c>
      <c r="G2298" s="3" t="s">
        <v>65</v>
      </c>
      <c r="I2298" s="3" t="s">
        <v>65</v>
      </c>
      <c r="J2298" s="3" t="s">
        <v>65</v>
      </c>
      <c r="K2298" s="3" t="s">
        <v>66</v>
      </c>
      <c r="L2298" s="2" t="s">
        <v>22595</v>
      </c>
      <c r="M2298" s="2" t="s">
        <v>22596</v>
      </c>
      <c r="N2298" s="3" t="s">
        <v>139</v>
      </c>
      <c r="P2298" s="3" t="s">
        <v>140</v>
      </c>
      <c r="Q2298" s="2" t="s">
        <v>565</v>
      </c>
      <c r="R2298" s="3" t="s">
        <v>71</v>
      </c>
      <c r="S2298" s="4">
        <v>0</v>
      </c>
      <c r="T2298" s="4">
        <v>0</v>
      </c>
      <c r="W2298" s="5" t="s">
        <v>72</v>
      </c>
      <c r="X2298" s="5" t="s">
        <v>72</v>
      </c>
      <c r="Y2298" s="4">
        <v>8</v>
      </c>
      <c r="Z2298" s="4">
        <v>1</v>
      </c>
      <c r="AA2298" s="4">
        <v>3</v>
      </c>
      <c r="AB2298" s="4">
        <v>1</v>
      </c>
      <c r="AC2298" s="4">
        <v>1</v>
      </c>
      <c r="AD2298" s="4">
        <v>5</v>
      </c>
      <c r="AE2298" s="4">
        <v>22</v>
      </c>
      <c r="AF2298" s="4">
        <v>0</v>
      </c>
      <c r="AG2298" s="4">
        <v>0</v>
      </c>
      <c r="AH2298" s="4">
        <v>4</v>
      </c>
      <c r="AI2298" s="4">
        <v>21</v>
      </c>
      <c r="AJ2298" s="4">
        <v>0</v>
      </c>
      <c r="AK2298" s="4">
        <v>1</v>
      </c>
      <c r="AL2298" s="4">
        <v>5</v>
      </c>
      <c r="AM2298" s="4">
        <v>19</v>
      </c>
      <c r="AN2298" s="4">
        <v>0</v>
      </c>
      <c r="AO2298" s="4">
        <v>0</v>
      </c>
      <c r="AP2298" s="4">
        <v>0</v>
      </c>
      <c r="AQ2298" s="4">
        <v>1</v>
      </c>
      <c r="AR2298" s="3" t="s">
        <v>65</v>
      </c>
      <c r="AS2298" s="3" t="s">
        <v>65</v>
      </c>
      <c r="AT2298" s="3" t="s">
        <v>65</v>
      </c>
      <c r="AV2298" s="6" t="str">
        <f>HYPERLINK("http://mcgill.on.worldcat.org/oclc/779253176","Catalog Record")</f>
        <v>Catalog Record</v>
      </c>
      <c r="AW2298" s="6" t="str">
        <f>HYPERLINK("http://www.worldcat.org/oclc/779253176","WorldCat Record")</f>
        <v>WorldCat Record</v>
      </c>
      <c r="AX2298" s="3" t="s">
        <v>22597</v>
      </c>
      <c r="AY2298" s="3" t="s">
        <v>22598</v>
      </c>
      <c r="AZ2298" s="3" t="s">
        <v>22599</v>
      </c>
      <c r="BA2298" s="3" t="s">
        <v>22599</v>
      </c>
      <c r="BB2298" s="3" t="s">
        <v>22600</v>
      </c>
      <c r="BC2298" s="3" t="s">
        <v>77</v>
      </c>
      <c r="BD2298" s="3" t="s">
        <v>78</v>
      </c>
      <c r="BE2298" s="3" t="s">
        <v>22601</v>
      </c>
      <c r="BF2298" s="3" t="s">
        <v>22600</v>
      </c>
      <c r="BG2298" s="3" t="s">
        <v>22602</v>
      </c>
    </row>
    <row r="2299" spans="1:59" ht="58" x14ac:dyDescent="0.35">
      <c r="A2299" s="2" t="s">
        <v>59</v>
      </c>
      <c r="B2299" s="2" t="s">
        <v>60</v>
      </c>
      <c r="C2299" s="2" t="s">
        <v>22603</v>
      </c>
      <c r="D2299" s="2" t="s">
        <v>22604</v>
      </c>
      <c r="E2299" s="2" t="s">
        <v>22605</v>
      </c>
      <c r="G2299" s="3" t="s">
        <v>65</v>
      </c>
      <c r="I2299" s="3" t="s">
        <v>65</v>
      </c>
      <c r="J2299" s="3" t="s">
        <v>65</v>
      </c>
      <c r="K2299" s="3" t="s">
        <v>66</v>
      </c>
      <c r="L2299" s="2" t="s">
        <v>22606</v>
      </c>
      <c r="M2299" s="2" t="s">
        <v>22607</v>
      </c>
      <c r="N2299" s="3" t="s">
        <v>113</v>
      </c>
      <c r="P2299" s="3" t="s">
        <v>140</v>
      </c>
      <c r="Q2299" s="2" t="s">
        <v>2269</v>
      </c>
      <c r="R2299" s="3" t="s">
        <v>71</v>
      </c>
      <c r="S2299" s="4">
        <v>0</v>
      </c>
      <c r="T2299" s="4">
        <v>0</v>
      </c>
      <c r="W2299" s="5" t="s">
        <v>72</v>
      </c>
      <c r="X2299" s="5" t="s">
        <v>72</v>
      </c>
      <c r="Y2299" s="4">
        <v>17</v>
      </c>
      <c r="Z2299" s="4">
        <v>3</v>
      </c>
      <c r="AA2299" s="4">
        <v>3</v>
      </c>
      <c r="AB2299" s="4">
        <v>1</v>
      </c>
      <c r="AC2299" s="4">
        <v>1</v>
      </c>
      <c r="AD2299" s="4">
        <v>12</v>
      </c>
      <c r="AE2299" s="4">
        <v>12</v>
      </c>
      <c r="AF2299" s="4">
        <v>0</v>
      </c>
      <c r="AG2299" s="4">
        <v>0</v>
      </c>
      <c r="AH2299" s="4">
        <v>11</v>
      </c>
      <c r="AI2299" s="4">
        <v>11</v>
      </c>
      <c r="AJ2299" s="4">
        <v>1</v>
      </c>
      <c r="AK2299" s="4">
        <v>1</v>
      </c>
      <c r="AL2299" s="4">
        <v>8</v>
      </c>
      <c r="AM2299" s="4">
        <v>8</v>
      </c>
      <c r="AN2299" s="4">
        <v>0</v>
      </c>
      <c r="AO2299" s="4">
        <v>0</v>
      </c>
      <c r="AP2299" s="4">
        <v>1</v>
      </c>
      <c r="AQ2299" s="4">
        <v>1</v>
      </c>
      <c r="AR2299" s="3" t="s">
        <v>65</v>
      </c>
      <c r="AS2299" s="3" t="s">
        <v>65</v>
      </c>
      <c r="AT2299" s="3" t="s">
        <v>65</v>
      </c>
      <c r="AV2299" s="6" t="str">
        <f>HYPERLINK("http://mcgill.on.worldcat.org/oclc/656501590","Catalog Record")</f>
        <v>Catalog Record</v>
      </c>
      <c r="AW2299" s="6" t="str">
        <f>HYPERLINK("http://www.worldcat.org/oclc/656501590","WorldCat Record")</f>
        <v>WorldCat Record</v>
      </c>
      <c r="AX2299" s="3" t="s">
        <v>22608</v>
      </c>
      <c r="AY2299" s="3" t="s">
        <v>22609</v>
      </c>
      <c r="AZ2299" s="3" t="s">
        <v>22610</v>
      </c>
      <c r="BA2299" s="3" t="s">
        <v>22610</v>
      </c>
      <c r="BB2299" s="3" t="s">
        <v>22611</v>
      </c>
      <c r="BC2299" s="3" t="s">
        <v>77</v>
      </c>
      <c r="BD2299" s="3" t="s">
        <v>78</v>
      </c>
      <c r="BE2299" s="3" t="s">
        <v>22612</v>
      </c>
      <c r="BF2299" s="3" t="s">
        <v>22611</v>
      </c>
      <c r="BG2299" s="3" t="s">
        <v>22613</v>
      </c>
    </row>
    <row r="2300" spans="1:59" ht="58" x14ac:dyDescent="0.35">
      <c r="A2300" s="2" t="s">
        <v>59</v>
      </c>
      <c r="B2300" s="2" t="s">
        <v>60</v>
      </c>
      <c r="C2300" s="2" t="s">
        <v>22614</v>
      </c>
      <c r="D2300" s="2" t="s">
        <v>22615</v>
      </c>
      <c r="E2300" s="2" t="s">
        <v>22616</v>
      </c>
      <c r="G2300" s="3" t="s">
        <v>65</v>
      </c>
      <c r="I2300" s="3" t="s">
        <v>65</v>
      </c>
      <c r="J2300" s="3" t="s">
        <v>65</v>
      </c>
      <c r="K2300" s="3" t="s">
        <v>66</v>
      </c>
      <c r="L2300" s="2" t="s">
        <v>22617</v>
      </c>
      <c r="M2300" s="2" t="s">
        <v>18520</v>
      </c>
      <c r="N2300" s="3" t="s">
        <v>126</v>
      </c>
      <c r="O2300" s="2" t="s">
        <v>365</v>
      </c>
      <c r="P2300" s="3" t="s">
        <v>140</v>
      </c>
      <c r="Q2300" s="2" t="s">
        <v>22618</v>
      </c>
      <c r="R2300" s="3" t="s">
        <v>71</v>
      </c>
      <c r="S2300" s="4">
        <v>0</v>
      </c>
      <c r="T2300" s="4">
        <v>0</v>
      </c>
      <c r="W2300" s="5" t="s">
        <v>72</v>
      </c>
      <c r="X2300" s="5" t="s">
        <v>72</v>
      </c>
      <c r="Y2300" s="4">
        <v>19</v>
      </c>
      <c r="Z2300" s="4">
        <v>1</v>
      </c>
      <c r="AA2300" s="4">
        <v>1</v>
      </c>
      <c r="AB2300" s="4">
        <v>1</v>
      </c>
      <c r="AC2300" s="4">
        <v>1</v>
      </c>
      <c r="AD2300" s="4">
        <v>12</v>
      </c>
      <c r="AE2300" s="4">
        <v>12</v>
      </c>
      <c r="AF2300" s="4">
        <v>0</v>
      </c>
      <c r="AG2300" s="4">
        <v>0</v>
      </c>
      <c r="AH2300" s="4">
        <v>11</v>
      </c>
      <c r="AI2300" s="4">
        <v>11</v>
      </c>
      <c r="AJ2300" s="4">
        <v>0</v>
      </c>
      <c r="AK2300" s="4">
        <v>0</v>
      </c>
      <c r="AL2300" s="4">
        <v>8</v>
      </c>
      <c r="AM2300" s="4">
        <v>8</v>
      </c>
      <c r="AN2300" s="4">
        <v>0</v>
      </c>
      <c r="AO2300" s="4">
        <v>0</v>
      </c>
      <c r="AP2300" s="4">
        <v>0</v>
      </c>
      <c r="AQ2300" s="4">
        <v>0</v>
      </c>
      <c r="AR2300" s="3" t="s">
        <v>65</v>
      </c>
      <c r="AS2300" s="3" t="s">
        <v>65</v>
      </c>
      <c r="AT2300" s="3" t="s">
        <v>65</v>
      </c>
      <c r="AV2300" s="6" t="str">
        <f>HYPERLINK("http://mcgill.on.worldcat.org/oclc/760988756","Catalog Record")</f>
        <v>Catalog Record</v>
      </c>
      <c r="AW2300" s="6" t="str">
        <f>HYPERLINK("http://www.worldcat.org/oclc/760988756","WorldCat Record")</f>
        <v>WorldCat Record</v>
      </c>
      <c r="AX2300" s="3" t="s">
        <v>22619</v>
      </c>
      <c r="AY2300" s="3" t="s">
        <v>22620</v>
      </c>
      <c r="AZ2300" s="3" t="s">
        <v>22621</v>
      </c>
      <c r="BA2300" s="3" t="s">
        <v>22621</v>
      </c>
      <c r="BB2300" s="3" t="s">
        <v>22622</v>
      </c>
      <c r="BC2300" s="3" t="s">
        <v>77</v>
      </c>
      <c r="BD2300" s="3" t="s">
        <v>78</v>
      </c>
      <c r="BE2300" s="3" t="s">
        <v>22623</v>
      </c>
      <c r="BF2300" s="3" t="s">
        <v>22622</v>
      </c>
      <c r="BG2300" s="3" t="s">
        <v>22624</v>
      </c>
    </row>
    <row r="2301" spans="1:59" ht="58" x14ac:dyDescent="0.35">
      <c r="A2301" s="2" t="s">
        <v>59</v>
      </c>
      <c r="B2301" s="2" t="s">
        <v>60</v>
      </c>
      <c r="C2301" s="2" t="s">
        <v>22625</v>
      </c>
      <c r="D2301" s="2" t="s">
        <v>22626</v>
      </c>
      <c r="E2301" s="2" t="s">
        <v>22627</v>
      </c>
      <c r="G2301" s="3" t="s">
        <v>65</v>
      </c>
      <c r="I2301" s="3" t="s">
        <v>65</v>
      </c>
      <c r="J2301" s="3" t="s">
        <v>65</v>
      </c>
      <c r="K2301" s="3" t="s">
        <v>66</v>
      </c>
      <c r="L2301" s="2" t="s">
        <v>22628</v>
      </c>
      <c r="M2301" s="2" t="s">
        <v>22629</v>
      </c>
      <c r="N2301" s="3" t="s">
        <v>176</v>
      </c>
      <c r="P2301" s="3" t="s">
        <v>69</v>
      </c>
      <c r="R2301" s="3" t="s">
        <v>71</v>
      </c>
      <c r="S2301" s="4">
        <v>0</v>
      </c>
      <c r="T2301" s="4">
        <v>0</v>
      </c>
      <c r="W2301" s="5" t="s">
        <v>72</v>
      </c>
      <c r="X2301" s="5" t="s">
        <v>72</v>
      </c>
      <c r="Y2301" s="4">
        <v>27</v>
      </c>
      <c r="Z2301" s="4">
        <v>4</v>
      </c>
      <c r="AA2301" s="4">
        <v>4</v>
      </c>
      <c r="AB2301" s="4">
        <v>1</v>
      </c>
      <c r="AC2301" s="4">
        <v>1</v>
      </c>
      <c r="AD2301" s="4">
        <v>17</v>
      </c>
      <c r="AE2301" s="4">
        <v>18</v>
      </c>
      <c r="AF2301" s="4">
        <v>0</v>
      </c>
      <c r="AG2301" s="4">
        <v>0</v>
      </c>
      <c r="AH2301" s="4">
        <v>17</v>
      </c>
      <c r="AI2301" s="4">
        <v>18</v>
      </c>
      <c r="AJ2301" s="4">
        <v>3</v>
      </c>
      <c r="AK2301" s="4">
        <v>3</v>
      </c>
      <c r="AL2301" s="4">
        <v>10</v>
      </c>
      <c r="AM2301" s="4">
        <v>11</v>
      </c>
      <c r="AN2301" s="4">
        <v>0</v>
      </c>
      <c r="AO2301" s="4">
        <v>0</v>
      </c>
      <c r="AP2301" s="4">
        <v>3</v>
      </c>
      <c r="AQ2301" s="4">
        <v>3</v>
      </c>
      <c r="AR2301" s="3" t="s">
        <v>65</v>
      </c>
      <c r="AS2301" s="3" t="s">
        <v>65</v>
      </c>
      <c r="AT2301" s="3" t="s">
        <v>65</v>
      </c>
      <c r="AV2301" s="6" t="str">
        <f>HYPERLINK("http://mcgill.on.worldcat.org/oclc/916795645","Catalog Record")</f>
        <v>Catalog Record</v>
      </c>
      <c r="AW2301" s="6" t="str">
        <f>HYPERLINK("http://www.worldcat.org/oclc/916795645","WorldCat Record")</f>
        <v>WorldCat Record</v>
      </c>
      <c r="AX2301" s="3" t="s">
        <v>22630</v>
      </c>
      <c r="AY2301" s="3" t="s">
        <v>22631</v>
      </c>
      <c r="AZ2301" s="3" t="s">
        <v>22632</v>
      </c>
      <c r="BA2301" s="3" t="s">
        <v>22632</v>
      </c>
      <c r="BB2301" s="3" t="s">
        <v>22633</v>
      </c>
      <c r="BC2301" s="3" t="s">
        <v>77</v>
      </c>
      <c r="BD2301" s="3" t="s">
        <v>78</v>
      </c>
      <c r="BE2301" s="3" t="s">
        <v>22634</v>
      </c>
      <c r="BF2301" s="3" t="s">
        <v>22633</v>
      </c>
      <c r="BG2301" s="3" t="s">
        <v>22635</v>
      </c>
    </row>
    <row r="2302" spans="1:59" ht="58" x14ac:dyDescent="0.35">
      <c r="A2302" s="2" t="s">
        <v>59</v>
      </c>
      <c r="B2302" s="2" t="s">
        <v>60</v>
      </c>
      <c r="C2302" s="2" t="s">
        <v>22636</v>
      </c>
      <c r="D2302" s="2" t="s">
        <v>22637</v>
      </c>
      <c r="E2302" s="2" t="s">
        <v>22638</v>
      </c>
      <c r="G2302" s="3" t="s">
        <v>65</v>
      </c>
      <c r="I2302" s="3" t="s">
        <v>65</v>
      </c>
      <c r="J2302" s="3" t="s">
        <v>65</v>
      </c>
      <c r="K2302" s="3" t="s">
        <v>66</v>
      </c>
      <c r="L2302" s="2" t="s">
        <v>22639</v>
      </c>
      <c r="M2302" s="2" t="s">
        <v>1788</v>
      </c>
      <c r="N2302" s="3" t="s">
        <v>176</v>
      </c>
      <c r="P2302" s="3" t="s">
        <v>140</v>
      </c>
      <c r="Q2302" s="2" t="s">
        <v>22640</v>
      </c>
      <c r="R2302" s="3" t="s">
        <v>71</v>
      </c>
      <c r="S2302" s="4">
        <v>0</v>
      </c>
      <c r="T2302" s="4">
        <v>0</v>
      </c>
      <c r="W2302" s="5" t="s">
        <v>72</v>
      </c>
      <c r="X2302" s="5" t="s">
        <v>72</v>
      </c>
      <c r="Y2302" s="4">
        <v>39</v>
      </c>
      <c r="Z2302" s="4">
        <v>4</v>
      </c>
      <c r="AA2302" s="4">
        <v>4</v>
      </c>
      <c r="AB2302" s="4">
        <v>1</v>
      </c>
      <c r="AC2302" s="4">
        <v>1</v>
      </c>
      <c r="AD2302" s="4">
        <v>26</v>
      </c>
      <c r="AE2302" s="4">
        <v>26</v>
      </c>
      <c r="AF2302" s="4">
        <v>0</v>
      </c>
      <c r="AG2302" s="4">
        <v>0</v>
      </c>
      <c r="AH2302" s="4">
        <v>25</v>
      </c>
      <c r="AI2302" s="4">
        <v>25</v>
      </c>
      <c r="AJ2302" s="4">
        <v>2</v>
      </c>
      <c r="AK2302" s="4">
        <v>2</v>
      </c>
      <c r="AL2302" s="4">
        <v>21</v>
      </c>
      <c r="AM2302" s="4">
        <v>21</v>
      </c>
      <c r="AN2302" s="4">
        <v>0</v>
      </c>
      <c r="AO2302" s="4">
        <v>0</v>
      </c>
      <c r="AP2302" s="4">
        <v>2</v>
      </c>
      <c r="AQ2302" s="4">
        <v>2</v>
      </c>
      <c r="AR2302" s="3" t="s">
        <v>65</v>
      </c>
      <c r="AS2302" s="3" t="s">
        <v>65</v>
      </c>
      <c r="AT2302" s="3" t="s">
        <v>65</v>
      </c>
      <c r="AV2302" s="6" t="str">
        <f>HYPERLINK("http://mcgill.on.worldcat.org/oclc/903207875","Catalog Record")</f>
        <v>Catalog Record</v>
      </c>
      <c r="AW2302" s="6" t="str">
        <f>HYPERLINK("http://www.worldcat.org/oclc/903207875","WorldCat Record")</f>
        <v>WorldCat Record</v>
      </c>
      <c r="AX2302" s="3" t="s">
        <v>22641</v>
      </c>
      <c r="AY2302" s="3" t="s">
        <v>22642</v>
      </c>
      <c r="AZ2302" s="3" t="s">
        <v>22643</v>
      </c>
      <c r="BA2302" s="3" t="s">
        <v>22643</v>
      </c>
      <c r="BB2302" s="3" t="s">
        <v>22644</v>
      </c>
      <c r="BC2302" s="3" t="s">
        <v>77</v>
      </c>
      <c r="BD2302" s="3" t="s">
        <v>78</v>
      </c>
      <c r="BE2302" s="3" t="s">
        <v>22645</v>
      </c>
      <c r="BF2302" s="3" t="s">
        <v>22644</v>
      </c>
      <c r="BG2302" s="3" t="s">
        <v>22646</v>
      </c>
    </row>
    <row r="2303" spans="1:59" ht="72.5" x14ac:dyDescent="0.35">
      <c r="A2303" s="2" t="s">
        <v>59</v>
      </c>
      <c r="B2303" s="2" t="s">
        <v>60</v>
      </c>
      <c r="C2303" s="2" t="s">
        <v>22647</v>
      </c>
      <c r="D2303" s="2" t="s">
        <v>22648</v>
      </c>
      <c r="E2303" s="2" t="s">
        <v>22649</v>
      </c>
      <c r="G2303" s="3" t="s">
        <v>65</v>
      </c>
      <c r="I2303" s="3" t="s">
        <v>65</v>
      </c>
      <c r="J2303" s="3" t="s">
        <v>65</v>
      </c>
      <c r="K2303" s="3" t="s">
        <v>66</v>
      </c>
      <c r="M2303" s="2" t="s">
        <v>22650</v>
      </c>
      <c r="N2303" s="3" t="s">
        <v>188</v>
      </c>
      <c r="P2303" s="3" t="s">
        <v>140</v>
      </c>
      <c r="Q2303" s="2" t="s">
        <v>22651</v>
      </c>
      <c r="R2303" s="3" t="s">
        <v>71</v>
      </c>
      <c r="S2303" s="4">
        <v>0</v>
      </c>
      <c r="T2303" s="4">
        <v>0</v>
      </c>
      <c r="W2303" s="5" t="s">
        <v>72</v>
      </c>
      <c r="X2303" s="5" t="s">
        <v>72</v>
      </c>
      <c r="Y2303" s="4">
        <v>21</v>
      </c>
      <c r="Z2303" s="4">
        <v>1</v>
      </c>
      <c r="AA2303" s="4">
        <v>1</v>
      </c>
      <c r="AB2303" s="4">
        <v>1</v>
      </c>
      <c r="AC2303" s="4">
        <v>1</v>
      </c>
      <c r="AD2303" s="4">
        <v>15</v>
      </c>
      <c r="AE2303" s="4">
        <v>15</v>
      </c>
      <c r="AF2303" s="4">
        <v>0</v>
      </c>
      <c r="AG2303" s="4">
        <v>0</v>
      </c>
      <c r="AH2303" s="4">
        <v>14</v>
      </c>
      <c r="AI2303" s="4">
        <v>14</v>
      </c>
      <c r="AJ2303" s="4">
        <v>0</v>
      </c>
      <c r="AK2303" s="4">
        <v>0</v>
      </c>
      <c r="AL2303" s="4">
        <v>13</v>
      </c>
      <c r="AM2303" s="4">
        <v>13</v>
      </c>
      <c r="AN2303" s="4">
        <v>0</v>
      </c>
      <c r="AO2303" s="4">
        <v>0</v>
      </c>
      <c r="AP2303" s="4">
        <v>0</v>
      </c>
      <c r="AQ2303" s="4">
        <v>0</v>
      </c>
      <c r="AR2303" s="3" t="s">
        <v>65</v>
      </c>
      <c r="AS2303" s="3" t="s">
        <v>65</v>
      </c>
      <c r="AT2303" s="3" t="s">
        <v>65</v>
      </c>
      <c r="AV2303" s="6" t="str">
        <f>HYPERLINK("http://mcgill.on.worldcat.org/oclc/987269096","Catalog Record")</f>
        <v>Catalog Record</v>
      </c>
      <c r="AW2303" s="6" t="str">
        <f>HYPERLINK("http://www.worldcat.org/oclc/987269096","WorldCat Record")</f>
        <v>WorldCat Record</v>
      </c>
      <c r="AX2303" s="3" t="s">
        <v>22652</v>
      </c>
      <c r="AY2303" s="3" t="s">
        <v>22653</v>
      </c>
      <c r="AZ2303" s="3" t="s">
        <v>22654</v>
      </c>
      <c r="BA2303" s="3" t="s">
        <v>22654</v>
      </c>
      <c r="BB2303" s="3" t="s">
        <v>22655</v>
      </c>
      <c r="BC2303" s="3" t="s">
        <v>77</v>
      </c>
      <c r="BD2303" s="3" t="s">
        <v>78</v>
      </c>
      <c r="BE2303" s="3" t="s">
        <v>22656</v>
      </c>
      <c r="BF2303" s="3" t="s">
        <v>22655</v>
      </c>
      <c r="BG2303" s="3" t="s">
        <v>22657</v>
      </c>
    </row>
    <row r="2304" spans="1:59" ht="58" x14ac:dyDescent="0.35">
      <c r="A2304" s="2" t="s">
        <v>59</v>
      </c>
      <c r="B2304" s="2" t="s">
        <v>60</v>
      </c>
      <c r="C2304" s="2" t="s">
        <v>22658</v>
      </c>
      <c r="D2304" s="2" t="s">
        <v>22659</v>
      </c>
      <c r="E2304" s="2" t="s">
        <v>22660</v>
      </c>
      <c r="G2304" s="3" t="s">
        <v>65</v>
      </c>
      <c r="I2304" s="3" t="s">
        <v>65</v>
      </c>
      <c r="J2304" s="3" t="s">
        <v>65</v>
      </c>
      <c r="K2304" s="3" t="s">
        <v>66</v>
      </c>
      <c r="L2304" s="2" t="s">
        <v>22661</v>
      </c>
      <c r="M2304" s="2" t="s">
        <v>22662</v>
      </c>
      <c r="N2304" s="3" t="s">
        <v>126</v>
      </c>
      <c r="P2304" s="3" t="s">
        <v>140</v>
      </c>
      <c r="Q2304" s="2" t="s">
        <v>22663</v>
      </c>
      <c r="R2304" s="3" t="s">
        <v>71</v>
      </c>
      <c r="S2304" s="4">
        <v>0</v>
      </c>
      <c r="T2304" s="4">
        <v>0</v>
      </c>
      <c r="W2304" s="5" t="s">
        <v>72</v>
      </c>
      <c r="X2304" s="5" t="s">
        <v>72</v>
      </c>
      <c r="Y2304" s="4">
        <v>38</v>
      </c>
      <c r="Z2304" s="4">
        <v>4</v>
      </c>
      <c r="AA2304" s="4">
        <v>4</v>
      </c>
      <c r="AB2304" s="4">
        <v>1</v>
      </c>
      <c r="AC2304" s="4">
        <v>1</v>
      </c>
      <c r="AD2304" s="4">
        <v>22</v>
      </c>
      <c r="AE2304" s="4">
        <v>22</v>
      </c>
      <c r="AF2304" s="4">
        <v>0</v>
      </c>
      <c r="AG2304" s="4">
        <v>0</v>
      </c>
      <c r="AH2304" s="4">
        <v>21</v>
      </c>
      <c r="AI2304" s="4">
        <v>21</v>
      </c>
      <c r="AJ2304" s="4">
        <v>2</v>
      </c>
      <c r="AK2304" s="4">
        <v>2</v>
      </c>
      <c r="AL2304" s="4">
        <v>16</v>
      </c>
      <c r="AM2304" s="4">
        <v>16</v>
      </c>
      <c r="AN2304" s="4">
        <v>0</v>
      </c>
      <c r="AO2304" s="4">
        <v>0</v>
      </c>
      <c r="AP2304" s="4">
        <v>2</v>
      </c>
      <c r="AQ2304" s="4">
        <v>2</v>
      </c>
      <c r="AR2304" s="3" t="s">
        <v>65</v>
      </c>
      <c r="AS2304" s="3" t="s">
        <v>65</v>
      </c>
      <c r="AT2304" s="3" t="s">
        <v>65</v>
      </c>
      <c r="AV2304" s="6" t="str">
        <f>HYPERLINK("http://mcgill.on.worldcat.org/oclc/785862993","Catalog Record")</f>
        <v>Catalog Record</v>
      </c>
      <c r="AW2304" s="6" t="str">
        <f>HYPERLINK("http://www.worldcat.org/oclc/785862993","WorldCat Record")</f>
        <v>WorldCat Record</v>
      </c>
      <c r="AX2304" s="3" t="s">
        <v>22664</v>
      </c>
      <c r="AY2304" s="3" t="s">
        <v>22665</v>
      </c>
      <c r="AZ2304" s="3" t="s">
        <v>22666</v>
      </c>
      <c r="BA2304" s="3" t="s">
        <v>22666</v>
      </c>
      <c r="BB2304" s="3" t="s">
        <v>22667</v>
      </c>
      <c r="BC2304" s="3" t="s">
        <v>77</v>
      </c>
      <c r="BD2304" s="3" t="s">
        <v>78</v>
      </c>
      <c r="BE2304" s="3" t="s">
        <v>22668</v>
      </c>
      <c r="BF2304" s="3" t="s">
        <v>22667</v>
      </c>
      <c r="BG2304" s="3" t="s">
        <v>22669</v>
      </c>
    </row>
    <row r="2305" spans="1:59" ht="58" x14ac:dyDescent="0.35">
      <c r="A2305" s="2" t="s">
        <v>59</v>
      </c>
      <c r="B2305" s="2" t="s">
        <v>60</v>
      </c>
      <c r="C2305" s="2" t="s">
        <v>22670</v>
      </c>
      <c r="D2305" s="2" t="s">
        <v>22671</v>
      </c>
      <c r="E2305" s="2" t="s">
        <v>22672</v>
      </c>
      <c r="G2305" s="3" t="s">
        <v>65</v>
      </c>
      <c r="I2305" s="3" t="s">
        <v>65</v>
      </c>
      <c r="J2305" s="3" t="s">
        <v>65</v>
      </c>
      <c r="K2305" s="3" t="s">
        <v>66</v>
      </c>
      <c r="L2305" s="2" t="s">
        <v>22673</v>
      </c>
      <c r="M2305" s="2" t="s">
        <v>22674</v>
      </c>
      <c r="N2305" s="3" t="s">
        <v>1173</v>
      </c>
      <c r="P2305" s="3" t="s">
        <v>140</v>
      </c>
      <c r="Q2305" s="2" t="s">
        <v>22675</v>
      </c>
      <c r="R2305" s="3" t="s">
        <v>71</v>
      </c>
      <c r="S2305" s="4">
        <v>1</v>
      </c>
      <c r="T2305" s="4">
        <v>1</v>
      </c>
      <c r="U2305" s="5" t="s">
        <v>215</v>
      </c>
      <c r="V2305" s="5" t="s">
        <v>215</v>
      </c>
      <c r="W2305" s="5" t="s">
        <v>72</v>
      </c>
      <c r="X2305" s="5" t="s">
        <v>72</v>
      </c>
      <c r="Y2305" s="4">
        <v>41</v>
      </c>
      <c r="Z2305" s="4">
        <v>4</v>
      </c>
      <c r="AA2305" s="4">
        <v>4</v>
      </c>
      <c r="AB2305" s="4">
        <v>1</v>
      </c>
      <c r="AC2305" s="4">
        <v>1</v>
      </c>
      <c r="AD2305" s="4">
        <v>25</v>
      </c>
      <c r="AE2305" s="4">
        <v>25</v>
      </c>
      <c r="AF2305" s="4">
        <v>0</v>
      </c>
      <c r="AG2305" s="4">
        <v>0</v>
      </c>
      <c r="AH2305" s="4">
        <v>22</v>
      </c>
      <c r="AI2305" s="4">
        <v>22</v>
      </c>
      <c r="AJ2305" s="4">
        <v>2</v>
      </c>
      <c r="AK2305" s="4">
        <v>2</v>
      </c>
      <c r="AL2305" s="4">
        <v>18</v>
      </c>
      <c r="AM2305" s="4">
        <v>18</v>
      </c>
      <c r="AN2305" s="4">
        <v>0</v>
      </c>
      <c r="AO2305" s="4">
        <v>0</v>
      </c>
      <c r="AP2305" s="4">
        <v>2</v>
      </c>
      <c r="AQ2305" s="4">
        <v>2</v>
      </c>
      <c r="AR2305" s="3" t="s">
        <v>65</v>
      </c>
      <c r="AS2305" s="3" t="s">
        <v>65</v>
      </c>
      <c r="AT2305" s="3" t="s">
        <v>65</v>
      </c>
      <c r="AV2305" s="6" t="str">
        <f>HYPERLINK("http://mcgill.on.worldcat.org/oclc/941215","Catalog Record")</f>
        <v>Catalog Record</v>
      </c>
      <c r="AW2305" s="6" t="str">
        <f>HYPERLINK("http://www.worldcat.org/oclc/941215","WorldCat Record")</f>
        <v>WorldCat Record</v>
      </c>
      <c r="AX2305" s="3" t="s">
        <v>22676</v>
      </c>
      <c r="AY2305" s="3" t="s">
        <v>22677</v>
      </c>
      <c r="AZ2305" s="3" t="s">
        <v>22678</v>
      </c>
      <c r="BA2305" s="3" t="s">
        <v>22678</v>
      </c>
      <c r="BB2305" s="3" t="s">
        <v>22679</v>
      </c>
      <c r="BC2305" s="3" t="s">
        <v>77</v>
      </c>
      <c r="BD2305" s="3" t="s">
        <v>78</v>
      </c>
      <c r="BF2305" s="3" t="s">
        <v>22679</v>
      </c>
      <c r="BG2305" s="3" t="s">
        <v>22680</v>
      </c>
    </row>
    <row r="2306" spans="1:59" ht="58" x14ac:dyDescent="0.35">
      <c r="A2306" s="2" t="s">
        <v>59</v>
      </c>
      <c r="B2306" s="2" t="s">
        <v>60</v>
      </c>
      <c r="C2306" s="2" t="s">
        <v>22681</v>
      </c>
      <c r="D2306" s="2" t="s">
        <v>22682</v>
      </c>
      <c r="E2306" s="2" t="s">
        <v>22683</v>
      </c>
      <c r="G2306" s="3" t="s">
        <v>65</v>
      </c>
      <c r="I2306" s="3" t="s">
        <v>65</v>
      </c>
      <c r="J2306" s="3" t="s">
        <v>65</v>
      </c>
      <c r="K2306" s="3" t="s">
        <v>66</v>
      </c>
      <c r="L2306" s="2" t="s">
        <v>22684</v>
      </c>
      <c r="M2306" s="2" t="s">
        <v>22685</v>
      </c>
      <c r="N2306" s="3" t="s">
        <v>14627</v>
      </c>
      <c r="O2306" s="2" t="s">
        <v>654</v>
      </c>
      <c r="P2306" s="3" t="s">
        <v>140</v>
      </c>
      <c r="Q2306" s="2" t="s">
        <v>22686</v>
      </c>
      <c r="R2306" s="3" t="s">
        <v>71</v>
      </c>
      <c r="S2306" s="4">
        <v>3</v>
      </c>
      <c r="T2306" s="4">
        <v>3</v>
      </c>
      <c r="U2306" s="5" t="s">
        <v>22687</v>
      </c>
      <c r="V2306" s="5" t="s">
        <v>22687</v>
      </c>
      <c r="W2306" s="5" t="s">
        <v>72</v>
      </c>
      <c r="X2306" s="5" t="s">
        <v>72</v>
      </c>
      <c r="Y2306" s="4">
        <v>15</v>
      </c>
      <c r="Z2306" s="4">
        <v>2</v>
      </c>
      <c r="AA2306" s="4">
        <v>5</v>
      </c>
      <c r="AB2306" s="4">
        <v>2</v>
      </c>
      <c r="AC2306" s="4">
        <v>2</v>
      </c>
      <c r="AD2306" s="4">
        <v>11</v>
      </c>
      <c r="AE2306" s="4">
        <v>30</v>
      </c>
      <c r="AF2306" s="4">
        <v>0</v>
      </c>
      <c r="AG2306" s="4">
        <v>0</v>
      </c>
      <c r="AH2306" s="4">
        <v>10</v>
      </c>
      <c r="AI2306" s="4">
        <v>28</v>
      </c>
      <c r="AJ2306" s="4">
        <v>0</v>
      </c>
      <c r="AK2306" s="4">
        <v>2</v>
      </c>
      <c r="AL2306" s="4">
        <v>5</v>
      </c>
      <c r="AM2306" s="4">
        <v>18</v>
      </c>
      <c r="AN2306" s="4">
        <v>0</v>
      </c>
      <c r="AO2306" s="4">
        <v>0</v>
      </c>
      <c r="AP2306" s="4">
        <v>0</v>
      </c>
      <c r="AQ2306" s="4">
        <v>2</v>
      </c>
      <c r="AR2306" s="3" t="s">
        <v>65</v>
      </c>
      <c r="AS2306" s="3" t="s">
        <v>65</v>
      </c>
      <c r="AT2306" s="3" t="s">
        <v>65</v>
      </c>
      <c r="AV2306" s="6" t="str">
        <f>HYPERLINK("http://mcgill.on.worldcat.org/oclc/7628020","Catalog Record")</f>
        <v>Catalog Record</v>
      </c>
      <c r="AW2306" s="6" t="str">
        <f>HYPERLINK("http://www.worldcat.org/oclc/7628020","WorldCat Record")</f>
        <v>WorldCat Record</v>
      </c>
      <c r="AX2306" s="3" t="s">
        <v>22688</v>
      </c>
      <c r="AY2306" s="3" t="s">
        <v>22689</v>
      </c>
      <c r="AZ2306" s="3" t="s">
        <v>22690</v>
      </c>
      <c r="BA2306" s="3" t="s">
        <v>22690</v>
      </c>
      <c r="BB2306" s="3" t="s">
        <v>22691</v>
      </c>
      <c r="BC2306" s="3" t="s">
        <v>77</v>
      </c>
      <c r="BD2306" s="3" t="s">
        <v>78</v>
      </c>
      <c r="BF2306" s="3" t="s">
        <v>22691</v>
      </c>
      <c r="BG2306" s="3" t="s">
        <v>22692</v>
      </c>
    </row>
    <row r="2307" spans="1:59" ht="58" x14ac:dyDescent="0.35">
      <c r="A2307" s="2" t="s">
        <v>59</v>
      </c>
      <c r="B2307" s="2" t="s">
        <v>60</v>
      </c>
      <c r="C2307" s="2" t="s">
        <v>22693</v>
      </c>
      <c r="D2307" s="2" t="s">
        <v>22694</v>
      </c>
      <c r="E2307" s="2" t="s">
        <v>22695</v>
      </c>
      <c r="G2307" s="3" t="s">
        <v>65</v>
      </c>
      <c r="I2307" s="3" t="s">
        <v>65</v>
      </c>
      <c r="J2307" s="3" t="s">
        <v>65</v>
      </c>
      <c r="K2307" s="3" t="s">
        <v>66</v>
      </c>
      <c r="L2307" s="2" t="s">
        <v>22696</v>
      </c>
      <c r="M2307" s="2" t="s">
        <v>22697</v>
      </c>
      <c r="N2307" s="3" t="s">
        <v>5439</v>
      </c>
      <c r="O2307" s="2" t="s">
        <v>5881</v>
      </c>
      <c r="P2307" s="3" t="s">
        <v>140</v>
      </c>
      <c r="R2307" s="3" t="s">
        <v>71</v>
      </c>
      <c r="S2307" s="4">
        <v>5</v>
      </c>
      <c r="T2307" s="4">
        <v>5</v>
      </c>
      <c r="U2307" s="5" t="s">
        <v>3700</v>
      </c>
      <c r="V2307" s="5" t="s">
        <v>3700</v>
      </c>
      <c r="W2307" s="5" t="s">
        <v>72</v>
      </c>
      <c r="X2307" s="5" t="s">
        <v>72</v>
      </c>
      <c r="Y2307" s="4">
        <v>73</v>
      </c>
      <c r="Z2307" s="4">
        <v>6</v>
      </c>
      <c r="AA2307" s="4">
        <v>6</v>
      </c>
      <c r="AB2307" s="4">
        <v>1</v>
      </c>
      <c r="AC2307" s="4">
        <v>1</v>
      </c>
      <c r="AD2307" s="4">
        <v>39</v>
      </c>
      <c r="AE2307" s="4">
        <v>39</v>
      </c>
      <c r="AF2307" s="4">
        <v>0</v>
      </c>
      <c r="AG2307" s="4">
        <v>0</v>
      </c>
      <c r="AH2307" s="4">
        <v>35</v>
      </c>
      <c r="AI2307" s="4">
        <v>35</v>
      </c>
      <c r="AJ2307" s="4">
        <v>4</v>
      </c>
      <c r="AK2307" s="4">
        <v>4</v>
      </c>
      <c r="AL2307" s="4">
        <v>26</v>
      </c>
      <c r="AM2307" s="4">
        <v>26</v>
      </c>
      <c r="AN2307" s="4">
        <v>0</v>
      </c>
      <c r="AO2307" s="4">
        <v>0</v>
      </c>
      <c r="AP2307" s="4">
        <v>4</v>
      </c>
      <c r="AQ2307" s="4">
        <v>4</v>
      </c>
      <c r="AR2307" s="3" t="s">
        <v>65</v>
      </c>
      <c r="AS2307" s="3" t="s">
        <v>65</v>
      </c>
      <c r="AT2307" s="3" t="s">
        <v>209</v>
      </c>
      <c r="AU2307" s="6" t="str">
        <f>HYPERLINK("http://catalog.hathitrust.org/Record/001218688","HathiTrust Record")</f>
        <v>HathiTrust Record</v>
      </c>
      <c r="AV2307" s="6" t="str">
        <f>HYPERLINK("http://mcgill.on.worldcat.org/oclc/4578019","Catalog Record")</f>
        <v>Catalog Record</v>
      </c>
      <c r="AW2307" s="6" t="str">
        <f>HYPERLINK("http://www.worldcat.org/oclc/4578019","WorldCat Record")</f>
        <v>WorldCat Record</v>
      </c>
      <c r="AX2307" s="3" t="s">
        <v>22698</v>
      </c>
      <c r="AY2307" s="3" t="s">
        <v>22699</v>
      </c>
      <c r="AZ2307" s="3" t="s">
        <v>22700</v>
      </c>
      <c r="BA2307" s="3" t="s">
        <v>22700</v>
      </c>
      <c r="BB2307" s="3" t="s">
        <v>22701</v>
      </c>
      <c r="BC2307" s="3" t="s">
        <v>77</v>
      </c>
      <c r="BD2307" s="3" t="s">
        <v>78</v>
      </c>
      <c r="BF2307" s="3" t="s">
        <v>22701</v>
      </c>
      <c r="BG2307" s="3" t="s">
        <v>22702</v>
      </c>
    </row>
    <row r="2308" spans="1:59" ht="58" x14ac:dyDescent="0.35">
      <c r="A2308" s="2" t="s">
        <v>59</v>
      </c>
      <c r="B2308" s="2" t="s">
        <v>60</v>
      </c>
      <c r="C2308" s="2" t="s">
        <v>22703</v>
      </c>
      <c r="D2308" s="2" t="s">
        <v>22704</v>
      </c>
      <c r="E2308" s="2" t="s">
        <v>22705</v>
      </c>
      <c r="G2308" s="3" t="s">
        <v>65</v>
      </c>
      <c r="I2308" s="3" t="s">
        <v>65</v>
      </c>
      <c r="J2308" s="3" t="s">
        <v>209</v>
      </c>
      <c r="K2308" s="3" t="s">
        <v>66</v>
      </c>
      <c r="L2308" s="2" t="s">
        <v>22696</v>
      </c>
      <c r="M2308" s="2" t="s">
        <v>22706</v>
      </c>
      <c r="N2308" s="3" t="s">
        <v>1109</v>
      </c>
      <c r="O2308" s="2" t="s">
        <v>22707</v>
      </c>
      <c r="P2308" s="3" t="s">
        <v>140</v>
      </c>
      <c r="Q2308" s="2" t="s">
        <v>22708</v>
      </c>
      <c r="R2308" s="3" t="s">
        <v>71</v>
      </c>
      <c r="S2308" s="4">
        <v>30</v>
      </c>
      <c r="T2308" s="4">
        <v>30</v>
      </c>
      <c r="U2308" s="5" t="s">
        <v>995</v>
      </c>
      <c r="V2308" s="5" t="s">
        <v>995</v>
      </c>
      <c r="W2308" s="5" t="s">
        <v>72</v>
      </c>
      <c r="X2308" s="5" t="s">
        <v>72</v>
      </c>
      <c r="Y2308" s="4">
        <v>51</v>
      </c>
      <c r="Z2308" s="4">
        <v>6</v>
      </c>
      <c r="AA2308" s="4">
        <v>12</v>
      </c>
      <c r="AB2308" s="4">
        <v>1</v>
      </c>
      <c r="AC2308" s="4">
        <v>1</v>
      </c>
      <c r="AD2308" s="4">
        <v>22</v>
      </c>
      <c r="AE2308" s="4">
        <v>71</v>
      </c>
      <c r="AF2308" s="4">
        <v>0</v>
      </c>
      <c r="AG2308" s="4">
        <v>0</v>
      </c>
      <c r="AH2308" s="4">
        <v>21</v>
      </c>
      <c r="AI2308" s="4">
        <v>66</v>
      </c>
      <c r="AJ2308" s="4">
        <v>4</v>
      </c>
      <c r="AK2308" s="4">
        <v>8</v>
      </c>
      <c r="AL2308" s="4">
        <v>11</v>
      </c>
      <c r="AM2308" s="4">
        <v>38</v>
      </c>
      <c r="AN2308" s="4">
        <v>0</v>
      </c>
      <c r="AO2308" s="4">
        <v>0</v>
      </c>
      <c r="AP2308" s="4">
        <v>4</v>
      </c>
      <c r="AQ2308" s="4">
        <v>9</v>
      </c>
      <c r="AR2308" s="3" t="s">
        <v>65</v>
      </c>
      <c r="AS2308" s="3" t="s">
        <v>65</v>
      </c>
      <c r="AT2308" s="3" t="s">
        <v>65</v>
      </c>
      <c r="AV2308" s="6" t="str">
        <f>HYPERLINK("http://mcgill.on.worldcat.org/oclc/1926506","Catalog Record")</f>
        <v>Catalog Record</v>
      </c>
      <c r="AW2308" s="6" t="str">
        <f>HYPERLINK("http://www.worldcat.org/oclc/1926506","WorldCat Record")</f>
        <v>WorldCat Record</v>
      </c>
      <c r="AX2308" s="3" t="s">
        <v>22709</v>
      </c>
      <c r="AY2308" s="3" t="s">
        <v>22710</v>
      </c>
      <c r="AZ2308" s="3" t="s">
        <v>22711</v>
      </c>
      <c r="BA2308" s="3" t="s">
        <v>22711</v>
      </c>
      <c r="BB2308" s="3" t="s">
        <v>22712</v>
      </c>
      <c r="BC2308" s="3" t="s">
        <v>77</v>
      </c>
      <c r="BD2308" s="3" t="s">
        <v>78</v>
      </c>
      <c r="BF2308" s="3" t="s">
        <v>22712</v>
      </c>
      <c r="BG2308" s="3" t="s">
        <v>22713</v>
      </c>
    </row>
    <row r="2309" spans="1:59" ht="58" x14ac:dyDescent="0.35">
      <c r="A2309" s="2" t="s">
        <v>59</v>
      </c>
      <c r="B2309" s="2" t="s">
        <v>60</v>
      </c>
      <c r="C2309" s="2" t="s">
        <v>22714</v>
      </c>
      <c r="D2309" s="2" t="s">
        <v>22715</v>
      </c>
      <c r="E2309" s="2" t="s">
        <v>22716</v>
      </c>
      <c r="G2309" s="3" t="s">
        <v>65</v>
      </c>
      <c r="I2309" s="3" t="s">
        <v>65</v>
      </c>
      <c r="J2309" s="3" t="s">
        <v>65</v>
      </c>
      <c r="K2309" s="3" t="s">
        <v>66</v>
      </c>
      <c r="L2309" s="2" t="s">
        <v>22696</v>
      </c>
      <c r="M2309" s="2" t="s">
        <v>22717</v>
      </c>
      <c r="N2309" s="3" t="s">
        <v>1895</v>
      </c>
      <c r="P2309" s="3" t="s">
        <v>140</v>
      </c>
      <c r="Q2309" s="2" t="s">
        <v>22718</v>
      </c>
      <c r="R2309" s="3" t="s">
        <v>71</v>
      </c>
      <c r="S2309" s="4">
        <v>2</v>
      </c>
      <c r="T2309" s="4">
        <v>2</v>
      </c>
      <c r="U2309" s="5" t="s">
        <v>3700</v>
      </c>
      <c r="V2309" s="5" t="s">
        <v>3700</v>
      </c>
      <c r="W2309" s="5" t="s">
        <v>72</v>
      </c>
      <c r="X2309" s="5" t="s">
        <v>72</v>
      </c>
      <c r="Y2309" s="4">
        <v>31</v>
      </c>
      <c r="Z2309" s="4">
        <v>3</v>
      </c>
      <c r="AA2309" s="4">
        <v>3</v>
      </c>
      <c r="AB2309" s="4">
        <v>1</v>
      </c>
      <c r="AC2309" s="4">
        <v>1</v>
      </c>
      <c r="AD2309" s="4">
        <v>19</v>
      </c>
      <c r="AE2309" s="4">
        <v>19</v>
      </c>
      <c r="AF2309" s="4">
        <v>0</v>
      </c>
      <c r="AG2309" s="4">
        <v>0</v>
      </c>
      <c r="AH2309" s="4">
        <v>18</v>
      </c>
      <c r="AI2309" s="4">
        <v>18</v>
      </c>
      <c r="AJ2309" s="4">
        <v>1</v>
      </c>
      <c r="AK2309" s="4">
        <v>1</v>
      </c>
      <c r="AL2309" s="4">
        <v>15</v>
      </c>
      <c r="AM2309" s="4">
        <v>15</v>
      </c>
      <c r="AN2309" s="4">
        <v>0</v>
      </c>
      <c r="AO2309" s="4">
        <v>0</v>
      </c>
      <c r="AP2309" s="4">
        <v>1</v>
      </c>
      <c r="AQ2309" s="4">
        <v>1</v>
      </c>
      <c r="AR2309" s="3" t="s">
        <v>65</v>
      </c>
      <c r="AS2309" s="3" t="s">
        <v>65</v>
      </c>
      <c r="AT2309" s="3" t="s">
        <v>209</v>
      </c>
      <c r="AU2309" s="6" t="str">
        <f>HYPERLINK("http://catalog.hathitrust.org/Record/004050857","HathiTrust Record")</f>
        <v>HathiTrust Record</v>
      </c>
      <c r="AV2309" s="6" t="str">
        <f>HYPERLINK("http://mcgill.on.worldcat.org/oclc/41593456","Catalog Record")</f>
        <v>Catalog Record</v>
      </c>
      <c r="AW2309" s="6" t="str">
        <f>HYPERLINK("http://www.worldcat.org/oclc/41593456","WorldCat Record")</f>
        <v>WorldCat Record</v>
      </c>
      <c r="AX2309" s="3" t="s">
        <v>22719</v>
      </c>
      <c r="AY2309" s="3" t="s">
        <v>22720</v>
      </c>
      <c r="AZ2309" s="3" t="s">
        <v>22721</v>
      </c>
      <c r="BA2309" s="3" t="s">
        <v>22721</v>
      </c>
      <c r="BB2309" s="3" t="s">
        <v>22722</v>
      </c>
      <c r="BC2309" s="3" t="s">
        <v>77</v>
      </c>
      <c r="BD2309" s="3" t="s">
        <v>78</v>
      </c>
      <c r="BE2309" s="3" t="s">
        <v>22723</v>
      </c>
      <c r="BF2309" s="3" t="s">
        <v>22722</v>
      </c>
      <c r="BG2309" s="3" t="s">
        <v>22724</v>
      </c>
    </row>
    <row r="2310" spans="1:59" ht="58" x14ac:dyDescent="0.35">
      <c r="A2310" s="2" t="s">
        <v>59</v>
      </c>
      <c r="B2310" s="2" t="s">
        <v>60</v>
      </c>
      <c r="C2310" s="2" t="s">
        <v>22725</v>
      </c>
      <c r="D2310" s="2" t="s">
        <v>22726</v>
      </c>
      <c r="E2310" s="2" t="s">
        <v>22727</v>
      </c>
      <c r="G2310" s="3" t="s">
        <v>65</v>
      </c>
      <c r="I2310" s="3" t="s">
        <v>65</v>
      </c>
      <c r="J2310" s="3" t="s">
        <v>65</v>
      </c>
      <c r="K2310" s="3" t="s">
        <v>66</v>
      </c>
      <c r="L2310" s="2" t="s">
        <v>22728</v>
      </c>
      <c r="M2310" s="2" t="s">
        <v>22729</v>
      </c>
      <c r="N2310" s="3" t="s">
        <v>1173</v>
      </c>
      <c r="P2310" s="3" t="s">
        <v>140</v>
      </c>
      <c r="Q2310" s="2" t="s">
        <v>22730</v>
      </c>
      <c r="R2310" s="3" t="s">
        <v>71</v>
      </c>
      <c r="S2310" s="4">
        <v>13</v>
      </c>
      <c r="T2310" s="4">
        <v>13</v>
      </c>
      <c r="U2310" s="5" t="s">
        <v>22731</v>
      </c>
      <c r="V2310" s="5" t="s">
        <v>22731</v>
      </c>
      <c r="W2310" s="5" t="s">
        <v>72</v>
      </c>
      <c r="X2310" s="5" t="s">
        <v>72</v>
      </c>
      <c r="Y2310" s="4">
        <v>60</v>
      </c>
      <c r="Z2310" s="4">
        <v>7</v>
      </c>
      <c r="AA2310" s="4">
        <v>7</v>
      </c>
      <c r="AB2310" s="4">
        <v>1</v>
      </c>
      <c r="AC2310" s="4">
        <v>1</v>
      </c>
      <c r="AD2310" s="4">
        <v>28</v>
      </c>
      <c r="AE2310" s="4">
        <v>28</v>
      </c>
      <c r="AF2310" s="4">
        <v>0</v>
      </c>
      <c r="AG2310" s="4">
        <v>0</v>
      </c>
      <c r="AH2310" s="4">
        <v>24</v>
      </c>
      <c r="AI2310" s="4">
        <v>24</v>
      </c>
      <c r="AJ2310" s="4">
        <v>5</v>
      </c>
      <c r="AK2310" s="4">
        <v>5</v>
      </c>
      <c r="AL2310" s="4">
        <v>19</v>
      </c>
      <c r="AM2310" s="4">
        <v>19</v>
      </c>
      <c r="AN2310" s="4">
        <v>0</v>
      </c>
      <c r="AO2310" s="4">
        <v>0</v>
      </c>
      <c r="AP2310" s="4">
        <v>5</v>
      </c>
      <c r="AQ2310" s="4">
        <v>5</v>
      </c>
      <c r="AR2310" s="3" t="s">
        <v>65</v>
      </c>
      <c r="AS2310" s="3" t="s">
        <v>65</v>
      </c>
      <c r="AT2310" s="3" t="s">
        <v>209</v>
      </c>
      <c r="AU2310" s="6" t="str">
        <f>HYPERLINK("http://catalog.hathitrust.org/Record/006711066","HathiTrust Record")</f>
        <v>HathiTrust Record</v>
      </c>
      <c r="AV2310" s="6" t="str">
        <f>HYPERLINK("http://mcgill.on.worldcat.org/oclc/587441","Catalog Record")</f>
        <v>Catalog Record</v>
      </c>
      <c r="AW2310" s="6" t="str">
        <f>HYPERLINK("http://www.worldcat.org/oclc/587441","WorldCat Record")</f>
        <v>WorldCat Record</v>
      </c>
      <c r="AX2310" s="3" t="s">
        <v>22732</v>
      </c>
      <c r="AY2310" s="3" t="s">
        <v>22733</v>
      </c>
      <c r="AZ2310" s="3" t="s">
        <v>22734</v>
      </c>
      <c r="BA2310" s="3" t="s">
        <v>22734</v>
      </c>
      <c r="BB2310" s="3" t="s">
        <v>22735</v>
      </c>
      <c r="BC2310" s="3" t="s">
        <v>77</v>
      </c>
      <c r="BD2310" s="3" t="s">
        <v>78</v>
      </c>
      <c r="BF2310" s="3" t="s">
        <v>22735</v>
      </c>
      <c r="BG2310" s="3" t="s">
        <v>22736</v>
      </c>
    </row>
    <row r="2311" spans="1:59" ht="58" x14ac:dyDescent="0.35">
      <c r="A2311" s="2" t="s">
        <v>59</v>
      </c>
      <c r="B2311" s="2" t="s">
        <v>60</v>
      </c>
      <c r="C2311" s="2" t="s">
        <v>22737</v>
      </c>
      <c r="D2311" s="2" t="s">
        <v>22738</v>
      </c>
      <c r="E2311" s="2" t="s">
        <v>22739</v>
      </c>
      <c r="G2311" s="3" t="s">
        <v>65</v>
      </c>
      <c r="I2311" s="3" t="s">
        <v>65</v>
      </c>
      <c r="J2311" s="3" t="s">
        <v>65</v>
      </c>
      <c r="K2311" s="3" t="s">
        <v>66</v>
      </c>
      <c r="L2311" s="2" t="s">
        <v>22740</v>
      </c>
      <c r="M2311" s="2" t="s">
        <v>22741</v>
      </c>
      <c r="N2311" s="3" t="s">
        <v>831</v>
      </c>
      <c r="P2311" s="3" t="s">
        <v>140</v>
      </c>
      <c r="Q2311" s="2" t="s">
        <v>22742</v>
      </c>
      <c r="R2311" s="3" t="s">
        <v>71</v>
      </c>
      <c r="S2311" s="4">
        <v>11</v>
      </c>
      <c r="T2311" s="4">
        <v>11</v>
      </c>
      <c r="U2311" s="5" t="s">
        <v>3618</v>
      </c>
      <c r="V2311" s="5" t="s">
        <v>3618</v>
      </c>
      <c r="W2311" s="5" t="s">
        <v>72</v>
      </c>
      <c r="X2311" s="5" t="s">
        <v>72</v>
      </c>
      <c r="Y2311" s="4">
        <v>35</v>
      </c>
      <c r="Z2311" s="4">
        <v>3</v>
      </c>
      <c r="AA2311" s="4">
        <v>6</v>
      </c>
      <c r="AB2311" s="4">
        <v>1</v>
      </c>
      <c r="AC2311" s="4">
        <v>1</v>
      </c>
      <c r="AD2311" s="4">
        <v>24</v>
      </c>
      <c r="AE2311" s="4">
        <v>26</v>
      </c>
      <c r="AF2311" s="4">
        <v>0</v>
      </c>
      <c r="AG2311" s="4">
        <v>0</v>
      </c>
      <c r="AH2311" s="4">
        <v>22</v>
      </c>
      <c r="AI2311" s="4">
        <v>24</v>
      </c>
      <c r="AJ2311" s="4">
        <v>2</v>
      </c>
      <c r="AK2311" s="4">
        <v>4</v>
      </c>
      <c r="AL2311" s="4">
        <v>17</v>
      </c>
      <c r="AM2311" s="4">
        <v>18</v>
      </c>
      <c r="AN2311" s="4">
        <v>0</v>
      </c>
      <c r="AO2311" s="4">
        <v>0</v>
      </c>
      <c r="AP2311" s="4">
        <v>2</v>
      </c>
      <c r="AQ2311" s="4">
        <v>4</v>
      </c>
      <c r="AR2311" s="3" t="s">
        <v>65</v>
      </c>
      <c r="AS2311" s="3" t="s">
        <v>65</v>
      </c>
      <c r="AT2311" s="3" t="s">
        <v>65</v>
      </c>
      <c r="AV2311" s="6" t="str">
        <f>HYPERLINK("http://mcgill.on.worldcat.org/oclc/12971760","Catalog Record")</f>
        <v>Catalog Record</v>
      </c>
      <c r="AW2311" s="6" t="str">
        <f>HYPERLINK("http://www.worldcat.org/oclc/12971760","WorldCat Record")</f>
        <v>WorldCat Record</v>
      </c>
      <c r="AX2311" s="3" t="s">
        <v>22743</v>
      </c>
      <c r="AY2311" s="3" t="s">
        <v>22744</v>
      </c>
      <c r="AZ2311" s="3" t="s">
        <v>22745</v>
      </c>
      <c r="BA2311" s="3" t="s">
        <v>22745</v>
      </c>
      <c r="BB2311" s="3" t="s">
        <v>22746</v>
      </c>
      <c r="BC2311" s="3" t="s">
        <v>77</v>
      </c>
      <c r="BD2311" s="3" t="s">
        <v>78</v>
      </c>
      <c r="BF2311" s="3" t="s">
        <v>22746</v>
      </c>
      <c r="BG2311" s="3" t="s">
        <v>22747</v>
      </c>
    </row>
    <row r="2312" spans="1:59" ht="58" x14ac:dyDescent="0.35">
      <c r="A2312" s="2" t="s">
        <v>59</v>
      </c>
      <c r="B2312" s="2" t="s">
        <v>60</v>
      </c>
      <c r="C2312" s="2" t="s">
        <v>22748</v>
      </c>
      <c r="D2312" s="2" t="s">
        <v>22749</v>
      </c>
      <c r="E2312" s="2" t="s">
        <v>22750</v>
      </c>
      <c r="G2312" s="3" t="s">
        <v>65</v>
      </c>
      <c r="I2312" s="3" t="s">
        <v>65</v>
      </c>
      <c r="J2312" s="3" t="s">
        <v>65</v>
      </c>
      <c r="K2312" s="3" t="s">
        <v>66</v>
      </c>
      <c r="L2312" s="2" t="s">
        <v>22751</v>
      </c>
      <c r="M2312" s="2" t="s">
        <v>22752</v>
      </c>
      <c r="N2312" s="3" t="s">
        <v>577</v>
      </c>
      <c r="P2312" s="3" t="s">
        <v>140</v>
      </c>
      <c r="Q2312" s="2" t="s">
        <v>22753</v>
      </c>
      <c r="R2312" s="3" t="s">
        <v>71</v>
      </c>
      <c r="S2312" s="4">
        <v>7</v>
      </c>
      <c r="T2312" s="4">
        <v>7</v>
      </c>
      <c r="U2312" s="5" t="s">
        <v>4044</v>
      </c>
      <c r="V2312" s="5" t="s">
        <v>4044</v>
      </c>
      <c r="W2312" s="5" t="s">
        <v>72</v>
      </c>
      <c r="X2312" s="5" t="s">
        <v>72</v>
      </c>
      <c r="Y2312" s="4">
        <v>49</v>
      </c>
      <c r="Z2312" s="4">
        <v>6</v>
      </c>
      <c r="AA2312" s="4">
        <v>6</v>
      </c>
      <c r="AB2312" s="4">
        <v>1</v>
      </c>
      <c r="AC2312" s="4">
        <v>1</v>
      </c>
      <c r="AD2312" s="4">
        <v>25</v>
      </c>
      <c r="AE2312" s="4">
        <v>25</v>
      </c>
      <c r="AF2312" s="4">
        <v>0</v>
      </c>
      <c r="AG2312" s="4">
        <v>0</v>
      </c>
      <c r="AH2312" s="4">
        <v>21</v>
      </c>
      <c r="AI2312" s="4">
        <v>21</v>
      </c>
      <c r="AJ2312" s="4">
        <v>3</v>
      </c>
      <c r="AK2312" s="4">
        <v>3</v>
      </c>
      <c r="AL2312" s="4">
        <v>18</v>
      </c>
      <c r="AM2312" s="4">
        <v>18</v>
      </c>
      <c r="AN2312" s="4">
        <v>0</v>
      </c>
      <c r="AO2312" s="4">
        <v>0</v>
      </c>
      <c r="AP2312" s="4">
        <v>4</v>
      </c>
      <c r="AQ2312" s="4">
        <v>4</v>
      </c>
      <c r="AR2312" s="3" t="s">
        <v>65</v>
      </c>
      <c r="AS2312" s="3" t="s">
        <v>65</v>
      </c>
      <c r="AT2312" s="3" t="s">
        <v>209</v>
      </c>
      <c r="AU2312" s="6" t="str">
        <f>HYPERLINK("http://catalog.hathitrust.org/Record/000220915","HathiTrust Record")</f>
        <v>HathiTrust Record</v>
      </c>
      <c r="AV2312" s="6" t="str">
        <f>HYPERLINK("http://mcgill.on.worldcat.org/oclc/4460163","Catalog Record")</f>
        <v>Catalog Record</v>
      </c>
      <c r="AW2312" s="6" t="str">
        <f>HYPERLINK("http://www.worldcat.org/oclc/4460163","WorldCat Record")</f>
        <v>WorldCat Record</v>
      </c>
      <c r="AX2312" s="3" t="s">
        <v>22754</v>
      </c>
      <c r="AY2312" s="3" t="s">
        <v>22755</v>
      </c>
      <c r="AZ2312" s="3" t="s">
        <v>22756</v>
      </c>
      <c r="BA2312" s="3" t="s">
        <v>22756</v>
      </c>
      <c r="BB2312" s="3" t="s">
        <v>22757</v>
      </c>
      <c r="BC2312" s="3" t="s">
        <v>77</v>
      </c>
      <c r="BD2312" s="3" t="s">
        <v>78</v>
      </c>
      <c r="BF2312" s="3" t="s">
        <v>22757</v>
      </c>
      <c r="BG2312" s="3" t="s">
        <v>22758</v>
      </c>
    </row>
    <row r="2313" spans="1:59" ht="58" x14ac:dyDescent="0.35">
      <c r="A2313" s="2" t="s">
        <v>59</v>
      </c>
      <c r="B2313" s="2" t="s">
        <v>60</v>
      </c>
      <c r="C2313" s="2" t="s">
        <v>22759</v>
      </c>
      <c r="D2313" s="2" t="s">
        <v>22760</v>
      </c>
      <c r="E2313" s="2" t="s">
        <v>22761</v>
      </c>
      <c r="G2313" s="3" t="s">
        <v>65</v>
      </c>
      <c r="I2313" s="3" t="s">
        <v>65</v>
      </c>
      <c r="J2313" s="3" t="s">
        <v>65</v>
      </c>
      <c r="K2313" s="3" t="s">
        <v>66</v>
      </c>
      <c r="L2313" s="2" t="s">
        <v>22762</v>
      </c>
      <c r="M2313" s="2" t="s">
        <v>22763</v>
      </c>
      <c r="N2313" s="3" t="s">
        <v>1967</v>
      </c>
      <c r="P2313" s="3" t="s">
        <v>140</v>
      </c>
      <c r="Q2313" s="2" t="s">
        <v>6617</v>
      </c>
      <c r="R2313" s="3" t="s">
        <v>71</v>
      </c>
      <c r="S2313" s="4">
        <v>4</v>
      </c>
      <c r="T2313" s="4">
        <v>4</v>
      </c>
      <c r="U2313" s="5" t="s">
        <v>22764</v>
      </c>
      <c r="V2313" s="5" t="s">
        <v>22764</v>
      </c>
      <c r="W2313" s="5" t="s">
        <v>72</v>
      </c>
      <c r="X2313" s="5" t="s">
        <v>72</v>
      </c>
      <c r="Y2313" s="4">
        <v>83</v>
      </c>
      <c r="Z2313" s="4">
        <v>8</v>
      </c>
      <c r="AA2313" s="4">
        <v>9</v>
      </c>
      <c r="AB2313" s="4">
        <v>2</v>
      </c>
      <c r="AC2313" s="4">
        <v>2</v>
      </c>
      <c r="AD2313" s="4">
        <v>44</v>
      </c>
      <c r="AE2313" s="4">
        <v>45</v>
      </c>
      <c r="AF2313" s="4">
        <v>1</v>
      </c>
      <c r="AG2313" s="4">
        <v>1</v>
      </c>
      <c r="AH2313" s="4">
        <v>41</v>
      </c>
      <c r="AI2313" s="4">
        <v>42</v>
      </c>
      <c r="AJ2313" s="4">
        <v>6</v>
      </c>
      <c r="AK2313" s="4">
        <v>7</v>
      </c>
      <c r="AL2313" s="4">
        <v>29</v>
      </c>
      <c r="AM2313" s="4">
        <v>29</v>
      </c>
      <c r="AN2313" s="4">
        <v>0</v>
      </c>
      <c r="AO2313" s="4">
        <v>0</v>
      </c>
      <c r="AP2313" s="4">
        <v>6</v>
      </c>
      <c r="AQ2313" s="4">
        <v>7</v>
      </c>
      <c r="AR2313" s="3" t="s">
        <v>65</v>
      </c>
      <c r="AS2313" s="3" t="s">
        <v>65</v>
      </c>
      <c r="AT2313" s="3" t="s">
        <v>209</v>
      </c>
      <c r="AU2313" s="6" t="str">
        <f>HYPERLINK("http://catalog.hathitrust.org/Record/004334455","HathiTrust Record")</f>
        <v>HathiTrust Record</v>
      </c>
      <c r="AV2313" s="6" t="str">
        <f>HYPERLINK("http://mcgill.on.worldcat.org/oclc/52564597","Catalog Record")</f>
        <v>Catalog Record</v>
      </c>
      <c r="AW2313" s="6" t="str">
        <f>HYPERLINK("http://www.worldcat.org/oclc/52564597","WorldCat Record")</f>
        <v>WorldCat Record</v>
      </c>
      <c r="AX2313" s="3" t="s">
        <v>22765</v>
      </c>
      <c r="AY2313" s="3" t="s">
        <v>22766</v>
      </c>
      <c r="AZ2313" s="3" t="s">
        <v>22767</v>
      </c>
      <c r="BA2313" s="3" t="s">
        <v>22767</v>
      </c>
      <c r="BB2313" s="3" t="s">
        <v>22768</v>
      </c>
      <c r="BC2313" s="3" t="s">
        <v>77</v>
      </c>
      <c r="BD2313" s="3" t="s">
        <v>78</v>
      </c>
      <c r="BE2313" s="3" t="s">
        <v>22769</v>
      </c>
      <c r="BF2313" s="3" t="s">
        <v>22768</v>
      </c>
      <c r="BG2313" s="3" t="s">
        <v>22770</v>
      </c>
    </row>
    <row r="2314" spans="1:59" ht="58" x14ac:dyDescent="0.35">
      <c r="A2314" s="2" t="s">
        <v>59</v>
      </c>
      <c r="B2314" s="2" t="s">
        <v>60</v>
      </c>
      <c r="C2314" s="2" t="s">
        <v>22771</v>
      </c>
      <c r="D2314" s="2" t="s">
        <v>22772</v>
      </c>
      <c r="E2314" s="2" t="s">
        <v>22773</v>
      </c>
      <c r="G2314" s="3" t="s">
        <v>65</v>
      </c>
      <c r="I2314" s="3" t="s">
        <v>65</v>
      </c>
      <c r="J2314" s="3" t="s">
        <v>65</v>
      </c>
      <c r="K2314" s="3" t="s">
        <v>66</v>
      </c>
      <c r="L2314" s="2" t="s">
        <v>22762</v>
      </c>
      <c r="M2314" s="2" t="s">
        <v>22774</v>
      </c>
      <c r="N2314" s="3" t="s">
        <v>5130</v>
      </c>
      <c r="P2314" s="3" t="s">
        <v>140</v>
      </c>
      <c r="R2314" s="3" t="s">
        <v>71</v>
      </c>
      <c r="S2314" s="4">
        <v>2</v>
      </c>
      <c r="T2314" s="4">
        <v>2</v>
      </c>
      <c r="U2314" s="5" t="s">
        <v>22775</v>
      </c>
      <c r="V2314" s="5" t="s">
        <v>22775</v>
      </c>
      <c r="W2314" s="5" t="s">
        <v>72</v>
      </c>
      <c r="X2314" s="5" t="s">
        <v>72</v>
      </c>
      <c r="Y2314" s="4">
        <v>94</v>
      </c>
      <c r="Z2314" s="4">
        <v>8</v>
      </c>
      <c r="AA2314" s="4">
        <v>9</v>
      </c>
      <c r="AB2314" s="4">
        <v>1</v>
      </c>
      <c r="AC2314" s="4">
        <v>1</v>
      </c>
      <c r="AD2314" s="4">
        <v>46</v>
      </c>
      <c r="AE2314" s="4">
        <v>47</v>
      </c>
      <c r="AF2314" s="4">
        <v>0</v>
      </c>
      <c r="AG2314" s="4">
        <v>0</v>
      </c>
      <c r="AH2314" s="4">
        <v>43</v>
      </c>
      <c r="AI2314" s="4">
        <v>43</v>
      </c>
      <c r="AJ2314" s="4">
        <v>6</v>
      </c>
      <c r="AK2314" s="4">
        <v>7</v>
      </c>
      <c r="AL2314" s="4">
        <v>30</v>
      </c>
      <c r="AM2314" s="4">
        <v>30</v>
      </c>
      <c r="AN2314" s="4">
        <v>0</v>
      </c>
      <c r="AO2314" s="4">
        <v>0</v>
      </c>
      <c r="AP2314" s="4">
        <v>6</v>
      </c>
      <c r="AQ2314" s="4">
        <v>7</v>
      </c>
      <c r="AR2314" s="3" t="s">
        <v>65</v>
      </c>
      <c r="AS2314" s="3" t="s">
        <v>65</v>
      </c>
      <c r="AT2314" s="3" t="s">
        <v>209</v>
      </c>
      <c r="AU2314" s="6" t="str">
        <f>HYPERLINK("http://catalog.hathitrust.org/Record/001218693","HathiTrust Record")</f>
        <v>HathiTrust Record</v>
      </c>
      <c r="AV2314" s="6" t="str">
        <f>HYPERLINK("http://mcgill.on.worldcat.org/oclc/947196","Catalog Record")</f>
        <v>Catalog Record</v>
      </c>
      <c r="AW2314" s="6" t="str">
        <f>HYPERLINK("http://www.worldcat.org/oclc/947196","WorldCat Record")</f>
        <v>WorldCat Record</v>
      </c>
      <c r="AX2314" s="3" t="s">
        <v>22776</v>
      </c>
      <c r="AY2314" s="3" t="s">
        <v>22777</v>
      </c>
      <c r="AZ2314" s="3" t="s">
        <v>22778</v>
      </c>
      <c r="BA2314" s="3" t="s">
        <v>22778</v>
      </c>
      <c r="BB2314" s="3" t="s">
        <v>22779</v>
      </c>
      <c r="BC2314" s="3" t="s">
        <v>77</v>
      </c>
      <c r="BD2314" s="3" t="s">
        <v>78</v>
      </c>
      <c r="BF2314" s="3" t="s">
        <v>22779</v>
      </c>
      <c r="BG2314" s="3" t="s">
        <v>22780</v>
      </c>
    </row>
    <row r="2315" spans="1:59" ht="58" x14ac:dyDescent="0.35">
      <c r="A2315" s="2" t="s">
        <v>59</v>
      </c>
      <c r="B2315" s="2" t="s">
        <v>60</v>
      </c>
      <c r="C2315" s="2" t="s">
        <v>22781</v>
      </c>
      <c r="D2315" s="2" t="s">
        <v>22782</v>
      </c>
      <c r="E2315" s="2" t="s">
        <v>22783</v>
      </c>
      <c r="G2315" s="3" t="s">
        <v>65</v>
      </c>
      <c r="I2315" s="3" t="s">
        <v>65</v>
      </c>
      <c r="J2315" s="3" t="s">
        <v>209</v>
      </c>
      <c r="K2315" s="3" t="s">
        <v>66</v>
      </c>
      <c r="L2315" s="2" t="s">
        <v>22762</v>
      </c>
      <c r="M2315" s="2" t="s">
        <v>22784</v>
      </c>
      <c r="N2315" s="3" t="s">
        <v>3994</v>
      </c>
      <c r="O2315" s="2" t="s">
        <v>22785</v>
      </c>
      <c r="P2315" s="3" t="s">
        <v>140</v>
      </c>
      <c r="Q2315" s="2" t="s">
        <v>22786</v>
      </c>
      <c r="R2315" s="3" t="s">
        <v>71</v>
      </c>
      <c r="S2315" s="4">
        <v>13</v>
      </c>
      <c r="T2315" s="4">
        <v>13</v>
      </c>
      <c r="U2315" s="5" t="s">
        <v>22787</v>
      </c>
      <c r="V2315" s="5" t="s">
        <v>22787</v>
      </c>
      <c r="W2315" s="5" t="s">
        <v>72</v>
      </c>
      <c r="X2315" s="5" t="s">
        <v>72</v>
      </c>
      <c r="Y2315" s="4">
        <v>2</v>
      </c>
      <c r="Z2315" s="4">
        <v>1</v>
      </c>
      <c r="AA2315" s="4">
        <v>22</v>
      </c>
      <c r="AB2315" s="4">
        <v>1</v>
      </c>
      <c r="AC2315" s="4">
        <v>4</v>
      </c>
      <c r="AD2315" s="4">
        <v>0</v>
      </c>
      <c r="AE2315" s="4">
        <v>88</v>
      </c>
      <c r="AF2315" s="4">
        <v>0</v>
      </c>
      <c r="AG2315" s="4">
        <v>2</v>
      </c>
      <c r="AH2315" s="4">
        <v>0</v>
      </c>
      <c r="AI2315" s="4">
        <v>78</v>
      </c>
      <c r="AJ2315" s="4">
        <v>0</v>
      </c>
      <c r="AK2315" s="4">
        <v>14</v>
      </c>
      <c r="AL2315" s="4">
        <v>0</v>
      </c>
      <c r="AM2315" s="4">
        <v>48</v>
      </c>
      <c r="AN2315" s="4">
        <v>0</v>
      </c>
      <c r="AO2315" s="4">
        <v>7</v>
      </c>
      <c r="AP2315" s="4">
        <v>0</v>
      </c>
      <c r="AQ2315" s="4">
        <v>15</v>
      </c>
      <c r="AR2315" s="3" t="s">
        <v>65</v>
      </c>
      <c r="AS2315" s="3" t="s">
        <v>65</v>
      </c>
      <c r="AT2315" s="3" t="s">
        <v>65</v>
      </c>
      <c r="AV2315" s="6" t="str">
        <f>HYPERLINK("http://mcgill.on.worldcat.org/oclc/427509566","Catalog Record")</f>
        <v>Catalog Record</v>
      </c>
      <c r="AW2315" s="6" t="str">
        <f>HYPERLINK("http://www.worldcat.org/oclc/427509566","WorldCat Record")</f>
        <v>WorldCat Record</v>
      </c>
      <c r="AX2315" s="3" t="s">
        <v>22788</v>
      </c>
      <c r="AY2315" s="3" t="s">
        <v>22789</v>
      </c>
      <c r="AZ2315" s="3" t="s">
        <v>22790</v>
      </c>
      <c r="BA2315" s="3" t="s">
        <v>22790</v>
      </c>
      <c r="BB2315" s="3" t="s">
        <v>22791</v>
      </c>
      <c r="BC2315" s="3" t="s">
        <v>77</v>
      </c>
      <c r="BD2315" s="3" t="s">
        <v>78</v>
      </c>
      <c r="BF2315" s="3" t="s">
        <v>22791</v>
      </c>
      <c r="BG2315" s="3" t="s">
        <v>22792</v>
      </c>
    </row>
    <row r="2316" spans="1:59" ht="58" x14ac:dyDescent="0.35">
      <c r="A2316" s="2" t="s">
        <v>59</v>
      </c>
      <c r="B2316" s="2" t="s">
        <v>60</v>
      </c>
      <c r="C2316" s="2" t="s">
        <v>22793</v>
      </c>
      <c r="D2316" s="2" t="s">
        <v>22794</v>
      </c>
      <c r="E2316" s="2" t="s">
        <v>22795</v>
      </c>
      <c r="G2316" s="3" t="s">
        <v>65</v>
      </c>
      <c r="I2316" s="3" t="s">
        <v>65</v>
      </c>
      <c r="J2316" s="3" t="s">
        <v>65</v>
      </c>
      <c r="K2316" s="3" t="s">
        <v>66</v>
      </c>
      <c r="L2316" s="2" t="s">
        <v>22796</v>
      </c>
      <c r="M2316" s="2" t="s">
        <v>22797</v>
      </c>
      <c r="N2316" s="3" t="s">
        <v>126</v>
      </c>
      <c r="P2316" s="3" t="s">
        <v>140</v>
      </c>
      <c r="Q2316" s="2" t="s">
        <v>22798</v>
      </c>
      <c r="R2316" s="3" t="s">
        <v>71</v>
      </c>
      <c r="S2316" s="4">
        <v>0</v>
      </c>
      <c r="T2316" s="4">
        <v>0</v>
      </c>
      <c r="W2316" s="5" t="s">
        <v>72</v>
      </c>
      <c r="X2316" s="5" t="s">
        <v>72</v>
      </c>
      <c r="Y2316" s="4">
        <v>38</v>
      </c>
      <c r="Z2316" s="4">
        <v>5</v>
      </c>
      <c r="AA2316" s="4">
        <v>5</v>
      </c>
      <c r="AB2316" s="4">
        <v>1</v>
      </c>
      <c r="AC2316" s="4">
        <v>1</v>
      </c>
      <c r="AD2316" s="4">
        <v>25</v>
      </c>
      <c r="AE2316" s="4">
        <v>25</v>
      </c>
      <c r="AF2316" s="4">
        <v>0</v>
      </c>
      <c r="AG2316" s="4">
        <v>0</v>
      </c>
      <c r="AH2316" s="4">
        <v>24</v>
      </c>
      <c r="AI2316" s="4">
        <v>24</v>
      </c>
      <c r="AJ2316" s="4">
        <v>2</v>
      </c>
      <c r="AK2316" s="4">
        <v>2</v>
      </c>
      <c r="AL2316" s="4">
        <v>19</v>
      </c>
      <c r="AM2316" s="4">
        <v>19</v>
      </c>
      <c r="AN2316" s="4">
        <v>0</v>
      </c>
      <c r="AO2316" s="4">
        <v>0</v>
      </c>
      <c r="AP2316" s="4">
        <v>2</v>
      </c>
      <c r="AQ2316" s="4">
        <v>2</v>
      </c>
      <c r="AR2316" s="3" t="s">
        <v>65</v>
      </c>
      <c r="AS2316" s="3" t="s">
        <v>65</v>
      </c>
      <c r="AT2316" s="3" t="s">
        <v>65</v>
      </c>
      <c r="AV2316" s="6" t="str">
        <f>HYPERLINK("http://mcgill.on.worldcat.org/oclc/732280181","Catalog Record")</f>
        <v>Catalog Record</v>
      </c>
      <c r="AW2316" s="6" t="str">
        <f>HYPERLINK("http://www.worldcat.org/oclc/732280181","WorldCat Record")</f>
        <v>WorldCat Record</v>
      </c>
      <c r="AX2316" s="3" t="s">
        <v>22799</v>
      </c>
      <c r="AY2316" s="3" t="s">
        <v>22800</v>
      </c>
      <c r="AZ2316" s="3" t="s">
        <v>22801</v>
      </c>
      <c r="BA2316" s="3" t="s">
        <v>22801</v>
      </c>
      <c r="BB2316" s="3" t="s">
        <v>22802</v>
      </c>
      <c r="BC2316" s="3" t="s">
        <v>77</v>
      </c>
      <c r="BD2316" s="3" t="s">
        <v>78</v>
      </c>
      <c r="BE2316" s="3" t="s">
        <v>22803</v>
      </c>
      <c r="BF2316" s="3" t="s">
        <v>22802</v>
      </c>
      <c r="BG2316" s="3" t="s">
        <v>22804</v>
      </c>
    </row>
    <row r="2317" spans="1:59" ht="58" x14ac:dyDescent="0.35">
      <c r="A2317" s="2" t="s">
        <v>59</v>
      </c>
      <c r="B2317" s="2" t="s">
        <v>60</v>
      </c>
      <c r="C2317" s="2" t="s">
        <v>22805</v>
      </c>
      <c r="D2317" s="2" t="s">
        <v>22806</v>
      </c>
      <c r="E2317" s="2" t="s">
        <v>22807</v>
      </c>
      <c r="G2317" s="3" t="s">
        <v>65</v>
      </c>
      <c r="I2317" s="3" t="s">
        <v>65</v>
      </c>
      <c r="J2317" s="3" t="s">
        <v>65</v>
      </c>
      <c r="K2317" s="3" t="s">
        <v>66</v>
      </c>
      <c r="L2317" s="2" t="s">
        <v>22808</v>
      </c>
      <c r="M2317" s="2" t="s">
        <v>22809</v>
      </c>
      <c r="N2317" s="3" t="s">
        <v>955</v>
      </c>
      <c r="O2317" s="2" t="s">
        <v>654</v>
      </c>
      <c r="P2317" s="3" t="s">
        <v>140</v>
      </c>
      <c r="R2317" s="3" t="s">
        <v>71</v>
      </c>
      <c r="S2317" s="4">
        <v>4</v>
      </c>
      <c r="T2317" s="4">
        <v>4</v>
      </c>
      <c r="U2317" s="5" t="s">
        <v>16866</v>
      </c>
      <c r="V2317" s="5" t="s">
        <v>16866</v>
      </c>
      <c r="W2317" s="5" t="s">
        <v>72</v>
      </c>
      <c r="X2317" s="5" t="s">
        <v>72</v>
      </c>
      <c r="Y2317" s="4">
        <v>116</v>
      </c>
      <c r="Z2317" s="4">
        <v>9</v>
      </c>
      <c r="AA2317" s="4">
        <v>13</v>
      </c>
      <c r="AB2317" s="4">
        <v>1</v>
      </c>
      <c r="AC2317" s="4">
        <v>2</v>
      </c>
      <c r="AD2317" s="4">
        <v>57</v>
      </c>
      <c r="AE2317" s="4">
        <v>61</v>
      </c>
      <c r="AF2317" s="4">
        <v>0</v>
      </c>
      <c r="AG2317" s="4">
        <v>1</v>
      </c>
      <c r="AH2317" s="4">
        <v>53</v>
      </c>
      <c r="AI2317" s="4">
        <v>55</v>
      </c>
      <c r="AJ2317" s="4">
        <v>7</v>
      </c>
      <c r="AK2317" s="4">
        <v>10</v>
      </c>
      <c r="AL2317" s="4">
        <v>36</v>
      </c>
      <c r="AM2317" s="4">
        <v>37</v>
      </c>
      <c r="AN2317" s="4">
        <v>0</v>
      </c>
      <c r="AO2317" s="4">
        <v>0</v>
      </c>
      <c r="AP2317" s="4">
        <v>7</v>
      </c>
      <c r="AQ2317" s="4">
        <v>9</v>
      </c>
      <c r="AR2317" s="3" t="s">
        <v>65</v>
      </c>
      <c r="AS2317" s="3" t="s">
        <v>65</v>
      </c>
      <c r="AT2317" s="3" t="s">
        <v>65</v>
      </c>
      <c r="AV2317" s="6" t="str">
        <f>HYPERLINK("http://mcgill.on.worldcat.org/oclc/7638796","Catalog Record")</f>
        <v>Catalog Record</v>
      </c>
      <c r="AW2317" s="6" t="str">
        <f>HYPERLINK("http://www.worldcat.org/oclc/7638796","WorldCat Record")</f>
        <v>WorldCat Record</v>
      </c>
      <c r="AX2317" s="3" t="s">
        <v>22810</v>
      </c>
      <c r="AY2317" s="3" t="s">
        <v>22811</v>
      </c>
      <c r="AZ2317" s="3" t="s">
        <v>22812</v>
      </c>
      <c r="BA2317" s="3" t="s">
        <v>22812</v>
      </c>
      <c r="BB2317" s="3" t="s">
        <v>22813</v>
      </c>
      <c r="BC2317" s="3" t="s">
        <v>77</v>
      </c>
      <c r="BD2317" s="3" t="s">
        <v>78</v>
      </c>
      <c r="BF2317" s="3" t="s">
        <v>22813</v>
      </c>
      <c r="BG2317" s="3" t="s">
        <v>22814</v>
      </c>
    </row>
    <row r="2318" spans="1:59" ht="58" x14ac:dyDescent="0.35">
      <c r="A2318" s="2" t="s">
        <v>59</v>
      </c>
      <c r="B2318" s="2" t="s">
        <v>60</v>
      </c>
      <c r="C2318" s="2" t="s">
        <v>22815</v>
      </c>
      <c r="D2318" s="2" t="s">
        <v>22816</v>
      </c>
      <c r="E2318" s="2" t="s">
        <v>22817</v>
      </c>
      <c r="G2318" s="3" t="s">
        <v>65</v>
      </c>
      <c r="H2318" s="3" t="s">
        <v>213</v>
      </c>
      <c r="I2318" s="3" t="s">
        <v>65</v>
      </c>
      <c r="J2318" s="3" t="s">
        <v>65</v>
      </c>
      <c r="K2318" s="3" t="s">
        <v>66</v>
      </c>
      <c r="L2318" s="2" t="s">
        <v>22818</v>
      </c>
      <c r="M2318" s="2" t="s">
        <v>22819</v>
      </c>
      <c r="N2318" s="3" t="s">
        <v>86</v>
      </c>
      <c r="O2318" s="2" t="s">
        <v>22820</v>
      </c>
      <c r="P2318" s="3" t="s">
        <v>69</v>
      </c>
      <c r="Q2318" s="2" t="s">
        <v>22821</v>
      </c>
      <c r="R2318" s="3" t="s">
        <v>71</v>
      </c>
      <c r="S2318" s="4">
        <v>0</v>
      </c>
      <c r="T2318" s="4">
        <v>0</v>
      </c>
      <c r="W2318" s="5" t="s">
        <v>1707</v>
      </c>
      <c r="X2318" s="5" t="s">
        <v>1707</v>
      </c>
      <c r="Y2318" s="4">
        <v>120</v>
      </c>
      <c r="Z2318" s="4">
        <v>3</v>
      </c>
      <c r="AA2318" s="4">
        <v>5</v>
      </c>
      <c r="AB2318" s="4">
        <v>1</v>
      </c>
      <c r="AC2318" s="4">
        <v>2</v>
      </c>
      <c r="AD2318" s="4">
        <v>25</v>
      </c>
      <c r="AE2318" s="4">
        <v>25</v>
      </c>
      <c r="AF2318" s="4">
        <v>0</v>
      </c>
      <c r="AG2318" s="4">
        <v>0</v>
      </c>
      <c r="AH2318" s="4">
        <v>25</v>
      </c>
      <c r="AI2318" s="4">
        <v>25</v>
      </c>
      <c r="AJ2318" s="4">
        <v>1</v>
      </c>
      <c r="AK2318" s="4">
        <v>1</v>
      </c>
      <c r="AL2318" s="4">
        <v>18</v>
      </c>
      <c r="AM2318" s="4">
        <v>18</v>
      </c>
      <c r="AN2318" s="4">
        <v>0</v>
      </c>
      <c r="AO2318" s="4">
        <v>0</v>
      </c>
      <c r="AP2318" s="4">
        <v>1</v>
      </c>
      <c r="AQ2318" s="4">
        <v>1</v>
      </c>
      <c r="AR2318" s="3" t="s">
        <v>65</v>
      </c>
      <c r="AS2318" s="3" t="s">
        <v>65</v>
      </c>
      <c r="AT2318" s="3" t="s">
        <v>65</v>
      </c>
      <c r="AV2318" s="6" t="str">
        <f>HYPERLINK("http://mcgill.on.worldcat.org/oclc/1110657726","Catalog Record")</f>
        <v>Catalog Record</v>
      </c>
      <c r="AW2318" s="6" t="str">
        <f>HYPERLINK("http://www.worldcat.org/oclc/1110657726","WorldCat Record")</f>
        <v>WorldCat Record</v>
      </c>
      <c r="AX2318" s="3" t="s">
        <v>22822</v>
      </c>
      <c r="AY2318" s="3" t="s">
        <v>22823</v>
      </c>
      <c r="AZ2318" s="3" t="s">
        <v>22824</v>
      </c>
      <c r="BA2318" s="3" t="s">
        <v>22824</v>
      </c>
      <c r="BB2318" s="3" t="s">
        <v>22825</v>
      </c>
      <c r="BC2318" s="3" t="s">
        <v>77</v>
      </c>
      <c r="BD2318" s="3" t="s">
        <v>78</v>
      </c>
      <c r="BE2318" s="3" t="s">
        <v>22826</v>
      </c>
      <c r="BF2318" s="3" t="s">
        <v>22825</v>
      </c>
      <c r="BG2318" s="3" t="s">
        <v>22827</v>
      </c>
    </row>
    <row r="2319" spans="1:59" ht="58" x14ac:dyDescent="0.35">
      <c r="A2319" s="2" t="s">
        <v>59</v>
      </c>
      <c r="B2319" s="2" t="s">
        <v>60</v>
      </c>
      <c r="C2319" s="2" t="s">
        <v>22828</v>
      </c>
      <c r="D2319" s="2" t="s">
        <v>22829</v>
      </c>
      <c r="E2319" s="2" t="s">
        <v>22830</v>
      </c>
      <c r="G2319" s="3" t="s">
        <v>65</v>
      </c>
      <c r="I2319" s="3" t="s">
        <v>65</v>
      </c>
      <c r="J2319" s="3" t="s">
        <v>65</v>
      </c>
      <c r="K2319" s="3" t="s">
        <v>66</v>
      </c>
      <c r="L2319" s="2" t="s">
        <v>22808</v>
      </c>
      <c r="M2319" s="2" t="s">
        <v>22831</v>
      </c>
      <c r="N2319" s="3" t="s">
        <v>2750</v>
      </c>
      <c r="O2319" s="2" t="s">
        <v>365</v>
      </c>
      <c r="P2319" s="3" t="s">
        <v>140</v>
      </c>
      <c r="Q2319" s="2" t="s">
        <v>7116</v>
      </c>
      <c r="R2319" s="3" t="s">
        <v>71</v>
      </c>
      <c r="S2319" s="4">
        <v>5</v>
      </c>
      <c r="T2319" s="4">
        <v>5</v>
      </c>
      <c r="U2319" s="5" t="s">
        <v>6113</v>
      </c>
      <c r="V2319" s="5" t="s">
        <v>6113</v>
      </c>
      <c r="W2319" s="5" t="s">
        <v>72</v>
      </c>
      <c r="X2319" s="5" t="s">
        <v>72</v>
      </c>
      <c r="Y2319" s="4">
        <v>112</v>
      </c>
      <c r="Z2319" s="4">
        <v>8</v>
      </c>
      <c r="AA2319" s="4">
        <v>12</v>
      </c>
      <c r="AB2319" s="4">
        <v>1</v>
      </c>
      <c r="AC2319" s="4">
        <v>2</v>
      </c>
      <c r="AD2319" s="4">
        <v>53</v>
      </c>
      <c r="AE2319" s="4">
        <v>59</v>
      </c>
      <c r="AF2319" s="4">
        <v>0</v>
      </c>
      <c r="AG2319" s="4">
        <v>1</v>
      </c>
      <c r="AH2319" s="4">
        <v>48</v>
      </c>
      <c r="AI2319" s="4">
        <v>52</v>
      </c>
      <c r="AJ2319" s="4">
        <v>6</v>
      </c>
      <c r="AK2319" s="4">
        <v>9</v>
      </c>
      <c r="AL2319" s="4">
        <v>33</v>
      </c>
      <c r="AM2319" s="4">
        <v>34</v>
      </c>
      <c r="AN2319" s="4">
        <v>0</v>
      </c>
      <c r="AO2319" s="4">
        <v>0</v>
      </c>
      <c r="AP2319" s="4">
        <v>5</v>
      </c>
      <c r="AQ2319" s="4">
        <v>7</v>
      </c>
      <c r="AR2319" s="3" t="s">
        <v>65</v>
      </c>
      <c r="AS2319" s="3" t="s">
        <v>65</v>
      </c>
      <c r="AT2319" s="3" t="s">
        <v>209</v>
      </c>
      <c r="AU2319" s="6" t="str">
        <f>HYPERLINK("http://catalog.hathitrust.org/Record/000744127","HathiTrust Record")</f>
        <v>HathiTrust Record</v>
      </c>
      <c r="AV2319" s="6" t="str">
        <f>HYPERLINK("http://mcgill.on.worldcat.org/oclc/2418075","Catalog Record")</f>
        <v>Catalog Record</v>
      </c>
      <c r="AW2319" s="6" t="str">
        <f>HYPERLINK("http://www.worldcat.org/oclc/2418075","WorldCat Record")</f>
        <v>WorldCat Record</v>
      </c>
      <c r="AX2319" s="3" t="s">
        <v>22832</v>
      </c>
      <c r="AY2319" s="3" t="s">
        <v>22833</v>
      </c>
      <c r="AZ2319" s="3" t="s">
        <v>22834</v>
      </c>
      <c r="BA2319" s="3" t="s">
        <v>22834</v>
      </c>
      <c r="BB2319" s="3" t="s">
        <v>22835</v>
      </c>
      <c r="BC2319" s="3" t="s">
        <v>77</v>
      </c>
      <c r="BD2319" s="3" t="s">
        <v>78</v>
      </c>
      <c r="BF2319" s="3" t="s">
        <v>22835</v>
      </c>
      <c r="BG2319" s="3" t="s">
        <v>22836</v>
      </c>
    </row>
    <row r="2320" spans="1:59" ht="58" x14ac:dyDescent="0.35">
      <c r="A2320" s="2" t="s">
        <v>59</v>
      </c>
      <c r="B2320" s="2" t="s">
        <v>60</v>
      </c>
      <c r="C2320" s="2" t="s">
        <v>22837</v>
      </c>
      <c r="D2320" s="2" t="s">
        <v>22838</v>
      </c>
      <c r="E2320" s="2" t="s">
        <v>22839</v>
      </c>
      <c r="G2320" s="3" t="s">
        <v>65</v>
      </c>
      <c r="I2320" s="3" t="s">
        <v>65</v>
      </c>
      <c r="J2320" s="3" t="s">
        <v>65</v>
      </c>
      <c r="K2320" s="3" t="s">
        <v>66</v>
      </c>
      <c r="L2320" s="2" t="s">
        <v>22808</v>
      </c>
      <c r="M2320" s="2" t="s">
        <v>22840</v>
      </c>
      <c r="N2320" s="3" t="s">
        <v>1895</v>
      </c>
      <c r="O2320" s="2" t="s">
        <v>8201</v>
      </c>
      <c r="P2320" s="3" t="s">
        <v>140</v>
      </c>
      <c r="Q2320" s="2" t="s">
        <v>7116</v>
      </c>
      <c r="R2320" s="3" t="s">
        <v>71</v>
      </c>
      <c r="S2320" s="4">
        <v>5</v>
      </c>
      <c r="T2320" s="4">
        <v>5</v>
      </c>
      <c r="U2320" s="5" t="s">
        <v>22841</v>
      </c>
      <c r="V2320" s="5" t="s">
        <v>22841</v>
      </c>
      <c r="W2320" s="5" t="s">
        <v>72</v>
      </c>
      <c r="X2320" s="5" t="s">
        <v>72</v>
      </c>
      <c r="Y2320" s="4">
        <v>89</v>
      </c>
      <c r="Z2320" s="4">
        <v>3</v>
      </c>
      <c r="AA2320" s="4">
        <v>3</v>
      </c>
      <c r="AB2320" s="4">
        <v>1</v>
      </c>
      <c r="AC2320" s="4">
        <v>1</v>
      </c>
      <c r="AD2320" s="4">
        <v>47</v>
      </c>
      <c r="AE2320" s="4">
        <v>51</v>
      </c>
      <c r="AF2320" s="4">
        <v>0</v>
      </c>
      <c r="AG2320" s="4">
        <v>0</v>
      </c>
      <c r="AH2320" s="4">
        <v>45</v>
      </c>
      <c r="AI2320" s="4">
        <v>49</v>
      </c>
      <c r="AJ2320" s="4">
        <v>1</v>
      </c>
      <c r="AK2320" s="4">
        <v>1</v>
      </c>
      <c r="AL2320" s="4">
        <v>35</v>
      </c>
      <c r="AM2320" s="4">
        <v>38</v>
      </c>
      <c r="AN2320" s="4">
        <v>0</v>
      </c>
      <c r="AO2320" s="4">
        <v>0</v>
      </c>
      <c r="AP2320" s="4">
        <v>1</v>
      </c>
      <c r="AQ2320" s="4">
        <v>1</v>
      </c>
      <c r="AR2320" s="3" t="s">
        <v>65</v>
      </c>
      <c r="AS2320" s="3" t="s">
        <v>65</v>
      </c>
      <c r="AT2320" s="3" t="s">
        <v>209</v>
      </c>
      <c r="AU2320" s="6" t="str">
        <f>HYPERLINK("http://catalog.hathitrust.org/Record/003312893","HathiTrust Record")</f>
        <v>HathiTrust Record</v>
      </c>
      <c r="AV2320" s="6" t="str">
        <f>HYPERLINK("http://mcgill.on.worldcat.org/oclc/39008874","Catalog Record")</f>
        <v>Catalog Record</v>
      </c>
      <c r="AW2320" s="6" t="str">
        <f>HYPERLINK("http://www.worldcat.org/oclc/39008874","WorldCat Record")</f>
        <v>WorldCat Record</v>
      </c>
      <c r="AX2320" s="3" t="s">
        <v>22842</v>
      </c>
      <c r="AY2320" s="3" t="s">
        <v>22843</v>
      </c>
      <c r="AZ2320" s="3" t="s">
        <v>22844</v>
      </c>
      <c r="BA2320" s="3" t="s">
        <v>22844</v>
      </c>
      <c r="BB2320" s="3" t="s">
        <v>22845</v>
      </c>
      <c r="BC2320" s="3" t="s">
        <v>77</v>
      </c>
      <c r="BD2320" s="3" t="s">
        <v>78</v>
      </c>
      <c r="BE2320" s="3" t="s">
        <v>22846</v>
      </c>
      <c r="BF2320" s="3" t="s">
        <v>22845</v>
      </c>
      <c r="BG2320" s="3" t="s">
        <v>22847</v>
      </c>
    </row>
    <row r="2321" spans="1:59" ht="72.5" x14ac:dyDescent="0.35">
      <c r="A2321" s="2" t="s">
        <v>59</v>
      </c>
      <c r="B2321" s="2" t="s">
        <v>60</v>
      </c>
      <c r="C2321" s="2" t="s">
        <v>22848</v>
      </c>
      <c r="D2321" s="2" t="s">
        <v>22849</v>
      </c>
      <c r="E2321" s="2" t="s">
        <v>22850</v>
      </c>
      <c r="G2321" s="3" t="s">
        <v>65</v>
      </c>
      <c r="I2321" s="3" t="s">
        <v>65</v>
      </c>
      <c r="J2321" s="3" t="s">
        <v>65</v>
      </c>
      <c r="K2321" s="3" t="s">
        <v>66</v>
      </c>
      <c r="L2321" s="2" t="s">
        <v>22851</v>
      </c>
      <c r="M2321" s="2" t="s">
        <v>22852</v>
      </c>
      <c r="N2321" s="3" t="s">
        <v>1122</v>
      </c>
      <c r="P2321" s="3" t="s">
        <v>140</v>
      </c>
      <c r="R2321" s="3" t="s">
        <v>71</v>
      </c>
      <c r="S2321" s="4">
        <v>1</v>
      </c>
      <c r="T2321" s="4">
        <v>1</v>
      </c>
      <c r="U2321" s="5" t="s">
        <v>22853</v>
      </c>
      <c r="V2321" s="5" t="s">
        <v>22853</v>
      </c>
      <c r="W2321" s="5" t="s">
        <v>72</v>
      </c>
      <c r="X2321" s="5" t="s">
        <v>72</v>
      </c>
      <c r="Y2321" s="4">
        <v>46</v>
      </c>
      <c r="Z2321" s="4">
        <v>4</v>
      </c>
      <c r="AA2321" s="4">
        <v>4</v>
      </c>
      <c r="AB2321" s="4">
        <v>1</v>
      </c>
      <c r="AC2321" s="4">
        <v>1</v>
      </c>
      <c r="AD2321" s="4">
        <v>35</v>
      </c>
      <c r="AE2321" s="4">
        <v>35</v>
      </c>
      <c r="AF2321" s="4">
        <v>0</v>
      </c>
      <c r="AG2321" s="4">
        <v>0</v>
      </c>
      <c r="AH2321" s="4">
        <v>34</v>
      </c>
      <c r="AI2321" s="4">
        <v>34</v>
      </c>
      <c r="AJ2321" s="4">
        <v>2</v>
      </c>
      <c r="AK2321" s="4">
        <v>2</v>
      </c>
      <c r="AL2321" s="4">
        <v>27</v>
      </c>
      <c r="AM2321" s="4">
        <v>27</v>
      </c>
      <c r="AN2321" s="4">
        <v>0</v>
      </c>
      <c r="AO2321" s="4">
        <v>0</v>
      </c>
      <c r="AP2321" s="4">
        <v>2</v>
      </c>
      <c r="AQ2321" s="4">
        <v>2</v>
      </c>
      <c r="AR2321" s="3" t="s">
        <v>65</v>
      </c>
      <c r="AS2321" s="3" t="s">
        <v>65</v>
      </c>
      <c r="AT2321" s="3" t="s">
        <v>65</v>
      </c>
      <c r="AV2321" s="6" t="str">
        <f>HYPERLINK("http://mcgill.on.worldcat.org/oclc/609529811","Catalog Record")</f>
        <v>Catalog Record</v>
      </c>
      <c r="AW2321" s="6" t="str">
        <f>HYPERLINK("http://www.worldcat.org/oclc/609529811","WorldCat Record")</f>
        <v>WorldCat Record</v>
      </c>
      <c r="AX2321" s="3" t="s">
        <v>22854</v>
      </c>
      <c r="AY2321" s="3" t="s">
        <v>22855</v>
      </c>
      <c r="AZ2321" s="3" t="s">
        <v>22856</v>
      </c>
      <c r="BA2321" s="3" t="s">
        <v>22856</v>
      </c>
      <c r="BB2321" s="3" t="s">
        <v>22857</v>
      </c>
      <c r="BC2321" s="3" t="s">
        <v>77</v>
      </c>
      <c r="BD2321" s="3" t="s">
        <v>78</v>
      </c>
      <c r="BE2321" s="3" t="s">
        <v>22858</v>
      </c>
      <c r="BF2321" s="3" t="s">
        <v>22857</v>
      </c>
      <c r="BG2321" s="3" t="s">
        <v>22859</v>
      </c>
    </row>
    <row r="2322" spans="1:59" ht="58" x14ac:dyDescent="0.35">
      <c r="A2322" s="2" t="s">
        <v>59</v>
      </c>
      <c r="B2322" s="2" t="s">
        <v>60</v>
      </c>
      <c r="C2322" s="2" t="s">
        <v>22860</v>
      </c>
      <c r="D2322" s="2" t="s">
        <v>22861</v>
      </c>
      <c r="E2322" s="2" t="s">
        <v>22862</v>
      </c>
      <c r="G2322" s="3" t="s">
        <v>65</v>
      </c>
      <c r="I2322" s="3" t="s">
        <v>65</v>
      </c>
      <c r="J2322" s="3" t="s">
        <v>209</v>
      </c>
      <c r="K2322" s="3" t="s">
        <v>66</v>
      </c>
      <c r="L2322" s="2" t="s">
        <v>22818</v>
      </c>
      <c r="M2322" s="2" t="s">
        <v>22863</v>
      </c>
      <c r="N2322" s="3" t="s">
        <v>352</v>
      </c>
      <c r="P2322" s="3" t="s">
        <v>140</v>
      </c>
      <c r="Q2322" s="2" t="s">
        <v>22864</v>
      </c>
      <c r="R2322" s="3" t="s">
        <v>71</v>
      </c>
      <c r="S2322" s="4">
        <v>7</v>
      </c>
      <c r="T2322" s="4">
        <v>7</v>
      </c>
      <c r="U2322" s="5" t="s">
        <v>22865</v>
      </c>
      <c r="V2322" s="5" t="s">
        <v>22865</v>
      </c>
      <c r="W2322" s="5" t="s">
        <v>72</v>
      </c>
      <c r="X2322" s="5" t="s">
        <v>72</v>
      </c>
      <c r="Y2322" s="4">
        <v>14</v>
      </c>
      <c r="Z2322" s="4">
        <v>2</v>
      </c>
      <c r="AA2322" s="4">
        <v>31</v>
      </c>
      <c r="AB2322" s="4">
        <v>1</v>
      </c>
      <c r="AC2322" s="4">
        <v>4</v>
      </c>
      <c r="AD2322" s="4">
        <v>9</v>
      </c>
      <c r="AE2322" s="4">
        <v>107</v>
      </c>
      <c r="AF2322" s="4">
        <v>0</v>
      </c>
      <c r="AG2322" s="4">
        <v>2</v>
      </c>
      <c r="AH2322" s="4">
        <v>9</v>
      </c>
      <c r="AI2322" s="4">
        <v>94</v>
      </c>
      <c r="AJ2322" s="4">
        <v>1</v>
      </c>
      <c r="AK2322" s="4">
        <v>17</v>
      </c>
      <c r="AL2322" s="4">
        <v>6</v>
      </c>
      <c r="AM2322" s="4">
        <v>55</v>
      </c>
      <c r="AN2322" s="4">
        <v>0</v>
      </c>
      <c r="AO2322" s="4">
        <v>5</v>
      </c>
      <c r="AP2322" s="4">
        <v>1</v>
      </c>
      <c r="AQ2322" s="4">
        <v>20</v>
      </c>
      <c r="AR2322" s="3" t="s">
        <v>65</v>
      </c>
      <c r="AS2322" s="3" t="s">
        <v>65</v>
      </c>
      <c r="AT2322" s="3" t="s">
        <v>209</v>
      </c>
      <c r="AU2322" s="6" t="str">
        <f>HYPERLINK("http://catalog.hathitrust.org/Record/001804972","HathiTrust Record")</f>
        <v>HathiTrust Record</v>
      </c>
      <c r="AV2322" s="6" t="str">
        <f>HYPERLINK("http://mcgill.on.worldcat.org/oclc/18302971","Catalog Record")</f>
        <v>Catalog Record</v>
      </c>
      <c r="AW2322" s="6" t="str">
        <f>HYPERLINK("http://www.worldcat.org/oclc/18302971","WorldCat Record")</f>
        <v>WorldCat Record</v>
      </c>
      <c r="AX2322" s="3" t="s">
        <v>22866</v>
      </c>
      <c r="AY2322" s="3" t="s">
        <v>22867</v>
      </c>
      <c r="AZ2322" s="3" t="s">
        <v>22868</v>
      </c>
      <c r="BA2322" s="3" t="s">
        <v>22868</v>
      </c>
      <c r="BB2322" s="3" t="s">
        <v>22869</v>
      </c>
      <c r="BC2322" s="3" t="s">
        <v>77</v>
      </c>
      <c r="BD2322" s="3" t="s">
        <v>78</v>
      </c>
      <c r="BF2322" s="3" t="s">
        <v>22869</v>
      </c>
      <c r="BG2322" s="3" t="s">
        <v>22870</v>
      </c>
    </row>
    <row r="2323" spans="1:59" ht="58" x14ac:dyDescent="0.35">
      <c r="A2323" s="2" t="s">
        <v>59</v>
      </c>
      <c r="B2323" s="2" t="s">
        <v>60</v>
      </c>
      <c r="C2323" s="2" t="s">
        <v>22871</v>
      </c>
      <c r="D2323" s="2" t="s">
        <v>22872</v>
      </c>
      <c r="E2323" s="2" t="s">
        <v>22873</v>
      </c>
      <c r="G2323" s="3" t="s">
        <v>65</v>
      </c>
      <c r="I2323" s="3" t="s">
        <v>65</v>
      </c>
      <c r="J2323" s="3" t="s">
        <v>209</v>
      </c>
      <c r="K2323" s="3" t="s">
        <v>66</v>
      </c>
      <c r="L2323" s="2" t="s">
        <v>22808</v>
      </c>
      <c r="N2323" s="3" t="s">
        <v>4042</v>
      </c>
      <c r="P2323" s="3" t="s">
        <v>140</v>
      </c>
      <c r="R2323" s="3" t="s">
        <v>71</v>
      </c>
      <c r="S2323" s="4">
        <v>6</v>
      </c>
      <c r="T2323" s="4">
        <v>6</v>
      </c>
      <c r="U2323" s="5" t="s">
        <v>22874</v>
      </c>
      <c r="V2323" s="5" t="s">
        <v>22874</v>
      </c>
      <c r="W2323" s="5" t="s">
        <v>72</v>
      </c>
      <c r="X2323" s="5" t="s">
        <v>72</v>
      </c>
      <c r="Y2323" s="4">
        <v>1</v>
      </c>
      <c r="Z2323" s="4">
        <v>1</v>
      </c>
      <c r="AA2323" s="4">
        <v>31</v>
      </c>
      <c r="AB2323" s="4">
        <v>1</v>
      </c>
      <c r="AC2323" s="4">
        <v>4</v>
      </c>
      <c r="AD2323" s="4">
        <v>0</v>
      </c>
      <c r="AE2323" s="4">
        <v>107</v>
      </c>
      <c r="AF2323" s="4">
        <v>0</v>
      </c>
      <c r="AG2323" s="4">
        <v>2</v>
      </c>
      <c r="AH2323" s="4">
        <v>0</v>
      </c>
      <c r="AI2323" s="4">
        <v>94</v>
      </c>
      <c r="AJ2323" s="4">
        <v>0</v>
      </c>
      <c r="AK2323" s="4">
        <v>17</v>
      </c>
      <c r="AL2323" s="4">
        <v>0</v>
      </c>
      <c r="AM2323" s="4">
        <v>55</v>
      </c>
      <c r="AN2323" s="4">
        <v>0</v>
      </c>
      <c r="AO2323" s="4">
        <v>5</v>
      </c>
      <c r="AP2323" s="4">
        <v>0</v>
      </c>
      <c r="AQ2323" s="4">
        <v>20</v>
      </c>
      <c r="AR2323" s="3" t="s">
        <v>65</v>
      </c>
      <c r="AS2323" s="3" t="s">
        <v>65</v>
      </c>
      <c r="AT2323" s="3" t="s">
        <v>65</v>
      </c>
      <c r="AV2323" s="6" t="str">
        <f>HYPERLINK("http://mcgill.on.worldcat.org/oclc/59803460","Catalog Record")</f>
        <v>Catalog Record</v>
      </c>
      <c r="AW2323" s="6" t="str">
        <f>HYPERLINK("http://www.worldcat.org/oclc/59803460","WorldCat Record")</f>
        <v>WorldCat Record</v>
      </c>
      <c r="AX2323" s="3" t="s">
        <v>22866</v>
      </c>
      <c r="AY2323" s="3" t="s">
        <v>22875</v>
      </c>
      <c r="AZ2323" s="3" t="s">
        <v>22876</v>
      </c>
      <c r="BA2323" s="3" t="s">
        <v>22876</v>
      </c>
      <c r="BB2323" s="3" t="s">
        <v>22877</v>
      </c>
      <c r="BC2323" s="3" t="s">
        <v>77</v>
      </c>
      <c r="BD2323" s="3" t="s">
        <v>78</v>
      </c>
      <c r="BF2323" s="3" t="s">
        <v>22877</v>
      </c>
      <c r="BG2323" s="3" t="s">
        <v>22878</v>
      </c>
    </row>
    <row r="2324" spans="1:59" ht="58" x14ac:dyDescent="0.35">
      <c r="A2324" s="2" t="s">
        <v>59</v>
      </c>
      <c r="B2324" s="2" t="s">
        <v>60</v>
      </c>
      <c r="C2324" s="2" t="s">
        <v>22879</v>
      </c>
      <c r="D2324" s="2" t="s">
        <v>22880</v>
      </c>
      <c r="E2324" s="2" t="s">
        <v>22881</v>
      </c>
      <c r="G2324" s="3" t="s">
        <v>65</v>
      </c>
      <c r="I2324" s="3" t="s">
        <v>65</v>
      </c>
      <c r="J2324" s="3" t="s">
        <v>65</v>
      </c>
      <c r="K2324" s="3" t="s">
        <v>66</v>
      </c>
      <c r="L2324" s="2" t="s">
        <v>22808</v>
      </c>
      <c r="M2324" s="2" t="s">
        <v>22882</v>
      </c>
      <c r="N2324" s="3" t="s">
        <v>221</v>
      </c>
      <c r="P2324" s="3" t="s">
        <v>69</v>
      </c>
      <c r="R2324" s="3" t="s">
        <v>71</v>
      </c>
      <c r="S2324" s="4">
        <v>1</v>
      </c>
      <c r="T2324" s="4">
        <v>1</v>
      </c>
      <c r="U2324" s="5" t="s">
        <v>22865</v>
      </c>
      <c r="V2324" s="5" t="s">
        <v>22865</v>
      </c>
      <c r="W2324" s="5" t="s">
        <v>72</v>
      </c>
      <c r="X2324" s="5" t="s">
        <v>72</v>
      </c>
      <c r="Y2324" s="4">
        <v>44</v>
      </c>
      <c r="Z2324" s="4">
        <v>1</v>
      </c>
      <c r="AA2324" s="4">
        <v>27</v>
      </c>
      <c r="AB2324" s="4">
        <v>1</v>
      </c>
      <c r="AC2324" s="4">
        <v>4</v>
      </c>
      <c r="AD2324" s="4">
        <v>1</v>
      </c>
      <c r="AE2324" s="4">
        <v>101</v>
      </c>
      <c r="AF2324" s="4">
        <v>0</v>
      </c>
      <c r="AG2324" s="4">
        <v>0</v>
      </c>
      <c r="AH2324" s="4">
        <v>1</v>
      </c>
      <c r="AI2324" s="4">
        <v>91</v>
      </c>
      <c r="AJ2324" s="4">
        <v>0</v>
      </c>
      <c r="AK2324" s="4">
        <v>13</v>
      </c>
      <c r="AL2324" s="4">
        <v>0</v>
      </c>
      <c r="AM2324" s="4">
        <v>54</v>
      </c>
      <c r="AN2324" s="4">
        <v>0</v>
      </c>
      <c r="AO2324" s="4">
        <v>5</v>
      </c>
      <c r="AP2324" s="4">
        <v>0</v>
      </c>
      <c r="AQ2324" s="4">
        <v>14</v>
      </c>
      <c r="AR2324" s="3" t="s">
        <v>65</v>
      </c>
      <c r="AS2324" s="3" t="s">
        <v>65</v>
      </c>
      <c r="AT2324" s="3" t="s">
        <v>65</v>
      </c>
      <c r="AV2324" s="6" t="str">
        <f>HYPERLINK("http://mcgill.on.worldcat.org/oclc/76852635","Catalog Record")</f>
        <v>Catalog Record</v>
      </c>
      <c r="AW2324" s="6" t="str">
        <f>HYPERLINK("http://www.worldcat.org/oclc/76852635","WorldCat Record")</f>
        <v>WorldCat Record</v>
      </c>
      <c r="AX2324" s="3" t="s">
        <v>22883</v>
      </c>
      <c r="AY2324" s="3" t="s">
        <v>22884</v>
      </c>
      <c r="AZ2324" s="3" t="s">
        <v>22885</v>
      </c>
      <c r="BA2324" s="3" t="s">
        <v>22885</v>
      </c>
      <c r="BB2324" s="3" t="s">
        <v>22886</v>
      </c>
      <c r="BC2324" s="3" t="s">
        <v>77</v>
      </c>
      <c r="BD2324" s="3" t="s">
        <v>78</v>
      </c>
      <c r="BE2324" s="3" t="s">
        <v>22887</v>
      </c>
      <c r="BF2324" s="3" t="s">
        <v>22886</v>
      </c>
      <c r="BG2324" s="3" t="s">
        <v>22888</v>
      </c>
    </row>
    <row r="2325" spans="1:59" ht="58" x14ac:dyDescent="0.35">
      <c r="A2325" s="2" t="s">
        <v>59</v>
      </c>
      <c r="B2325" s="2" t="s">
        <v>60</v>
      </c>
      <c r="C2325" s="2" t="s">
        <v>22889</v>
      </c>
      <c r="D2325" s="2" t="s">
        <v>22890</v>
      </c>
      <c r="E2325" s="2" t="s">
        <v>22891</v>
      </c>
      <c r="G2325" s="3" t="s">
        <v>65</v>
      </c>
      <c r="I2325" s="3" t="s">
        <v>209</v>
      </c>
      <c r="J2325" s="3" t="s">
        <v>65</v>
      </c>
      <c r="K2325" s="3" t="s">
        <v>66</v>
      </c>
      <c r="L2325" s="2" t="s">
        <v>22892</v>
      </c>
      <c r="M2325" s="2" t="s">
        <v>22893</v>
      </c>
      <c r="N2325" s="3" t="s">
        <v>5130</v>
      </c>
      <c r="P2325" s="3" t="s">
        <v>616</v>
      </c>
      <c r="Q2325" s="2" t="s">
        <v>22894</v>
      </c>
      <c r="R2325" s="3" t="s">
        <v>71</v>
      </c>
      <c r="S2325" s="4">
        <v>3</v>
      </c>
      <c r="T2325" s="4">
        <v>5</v>
      </c>
      <c r="U2325" s="5" t="s">
        <v>6113</v>
      </c>
      <c r="V2325" s="5" t="s">
        <v>6113</v>
      </c>
      <c r="W2325" s="5" t="s">
        <v>72</v>
      </c>
      <c r="X2325" s="5" t="s">
        <v>72</v>
      </c>
      <c r="Y2325" s="4">
        <v>42</v>
      </c>
      <c r="Z2325" s="4">
        <v>6</v>
      </c>
      <c r="AA2325" s="4">
        <v>14</v>
      </c>
      <c r="AB2325" s="4">
        <v>1</v>
      </c>
      <c r="AC2325" s="4">
        <v>6</v>
      </c>
      <c r="AD2325" s="4">
        <v>18</v>
      </c>
      <c r="AE2325" s="4">
        <v>22</v>
      </c>
      <c r="AF2325" s="4">
        <v>0</v>
      </c>
      <c r="AG2325" s="4">
        <v>3</v>
      </c>
      <c r="AH2325" s="4">
        <v>18</v>
      </c>
      <c r="AI2325" s="4">
        <v>20</v>
      </c>
      <c r="AJ2325" s="4">
        <v>4</v>
      </c>
      <c r="AK2325" s="4">
        <v>8</v>
      </c>
      <c r="AL2325" s="4">
        <v>10</v>
      </c>
      <c r="AM2325" s="4">
        <v>11</v>
      </c>
      <c r="AN2325" s="4">
        <v>0</v>
      </c>
      <c r="AO2325" s="4">
        <v>0</v>
      </c>
      <c r="AP2325" s="4">
        <v>4</v>
      </c>
      <c r="AQ2325" s="4">
        <v>7</v>
      </c>
      <c r="AR2325" s="3" t="s">
        <v>65</v>
      </c>
      <c r="AS2325" s="3" t="s">
        <v>65</v>
      </c>
      <c r="AT2325" s="3" t="s">
        <v>209</v>
      </c>
      <c r="AU2325" s="6" t="str">
        <f>HYPERLINK("http://catalog.hathitrust.org/Record/001218713","HathiTrust Record")</f>
        <v>HathiTrust Record</v>
      </c>
      <c r="AV2325" s="6" t="str">
        <f>HYPERLINK("http://mcgill.on.worldcat.org/oclc/1900118","Catalog Record")</f>
        <v>Catalog Record</v>
      </c>
      <c r="AW2325" s="6" t="str">
        <f>HYPERLINK("http://www.worldcat.org/oclc/1900118","WorldCat Record")</f>
        <v>WorldCat Record</v>
      </c>
      <c r="AX2325" s="3" t="s">
        <v>22895</v>
      </c>
      <c r="AY2325" s="3" t="s">
        <v>22896</v>
      </c>
      <c r="AZ2325" s="3" t="s">
        <v>22897</v>
      </c>
      <c r="BA2325" s="3" t="s">
        <v>22897</v>
      </c>
      <c r="BB2325" s="3" t="s">
        <v>22898</v>
      </c>
      <c r="BC2325" s="3" t="s">
        <v>77</v>
      </c>
      <c r="BD2325" s="3" t="s">
        <v>78</v>
      </c>
      <c r="BE2325" s="3" t="s">
        <v>22899</v>
      </c>
      <c r="BF2325" s="3" t="s">
        <v>22898</v>
      </c>
      <c r="BG2325" s="3" t="s">
        <v>22900</v>
      </c>
    </row>
    <row r="2326" spans="1:59" ht="58" x14ac:dyDescent="0.35">
      <c r="A2326" s="2" t="s">
        <v>59</v>
      </c>
      <c r="B2326" s="2" t="s">
        <v>60</v>
      </c>
      <c r="C2326" s="2" t="s">
        <v>22889</v>
      </c>
      <c r="D2326" s="2" t="s">
        <v>22890</v>
      </c>
      <c r="E2326" s="2" t="s">
        <v>22891</v>
      </c>
      <c r="G2326" s="3" t="s">
        <v>65</v>
      </c>
      <c r="I2326" s="3" t="s">
        <v>209</v>
      </c>
      <c r="J2326" s="3" t="s">
        <v>65</v>
      </c>
      <c r="K2326" s="3" t="s">
        <v>66</v>
      </c>
      <c r="L2326" s="2" t="s">
        <v>22892</v>
      </c>
      <c r="M2326" s="2" t="s">
        <v>22893</v>
      </c>
      <c r="N2326" s="3" t="s">
        <v>5130</v>
      </c>
      <c r="P2326" s="3" t="s">
        <v>616</v>
      </c>
      <c r="Q2326" s="2" t="s">
        <v>22894</v>
      </c>
      <c r="R2326" s="3" t="s">
        <v>71</v>
      </c>
      <c r="S2326" s="4">
        <v>2</v>
      </c>
      <c r="T2326" s="4">
        <v>5</v>
      </c>
      <c r="U2326" s="5" t="s">
        <v>22901</v>
      </c>
      <c r="V2326" s="5" t="s">
        <v>6113</v>
      </c>
      <c r="W2326" s="5" t="s">
        <v>72</v>
      </c>
      <c r="X2326" s="5" t="s">
        <v>72</v>
      </c>
      <c r="Y2326" s="4">
        <v>42</v>
      </c>
      <c r="Z2326" s="4">
        <v>6</v>
      </c>
      <c r="AA2326" s="4">
        <v>14</v>
      </c>
      <c r="AB2326" s="4">
        <v>1</v>
      </c>
      <c r="AC2326" s="4">
        <v>6</v>
      </c>
      <c r="AD2326" s="4">
        <v>18</v>
      </c>
      <c r="AE2326" s="4">
        <v>22</v>
      </c>
      <c r="AF2326" s="4">
        <v>0</v>
      </c>
      <c r="AG2326" s="4">
        <v>3</v>
      </c>
      <c r="AH2326" s="4">
        <v>18</v>
      </c>
      <c r="AI2326" s="4">
        <v>20</v>
      </c>
      <c r="AJ2326" s="4">
        <v>4</v>
      </c>
      <c r="AK2326" s="4">
        <v>8</v>
      </c>
      <c r="AL2326" s="4">
        <v>10</v>
      </c>
      <c r="AM2326" s="4">
        <v>11</v>
      </c>
      <c r="AN2326" s="4">
        <v>0</v>
      </c>
      <c r="AO2326" s="4">
        <v>0</v>
      </c>
      <c r="AP2326" s="4">
        <v>4</v>
      </c>
      <c r="AQ2326" s="4">
        <v>7</v>
      </c>
      <c r="AR2326" s="3" t="s">
        <v>65</v>
      </c>
      <c r="AS2326" s="3" t="s">
        <v>65</v>
      </c>
      <c r="AT2326" s="3" t="s">
        <v>209</v>
      </c>
      <c r="AU2326" s="6" t="str">
        <f>HYPERLINK("http://catalog.hathitrust.org/Record/001218713","HathiTrust Record")</f>
        <v>HathiTrust Record</v>
      </c>
      <c r="AV2326" s="6" t="str">
        <f>HYPERLINK("http://mcgill.on.worldcat.org/oclc/1900118","Catalog Record")</f>
        <v>Catalog Record</v>
      </c>
      <c r="AW2326" s="6" t="str">
        <f>HYPERLINK("http://www.worldcat.org/oclc/1900118","WorldCat Record")</f>
        <v>WorldCat Record</v>
      </c>
      <c r="AX2326" s="3" t="s">
        <v>22895</v>
      </c>
      <c r="AY2326" s="3" t="s">
        <v>22896</v>
      </c>
      <c r="AZ2326" s="3" t="s">
        <v>22897</v>
      </c>
      <c r="BA2326" s="3" t="s">
        <v>22897</v>
      </c>
      <c r="BB2326" s="3" t="s">
        <v>22902</v>
      </c>
      <c r="BC2326" s="3" t="s">
        <v>77</v>
      </c>
      <c r="BD2326" s="3" t="s">
        <v>78</v>
      </c>
      <c r="BE2326" s="3" t="s">
        <v>22899</v>
      </c>
      <c r="BF2326" s="3" t="s">
        <v>22902</v>
      </c>
      <c r="BG2326" s="3" t="s">
        <v>22903</v>
      </c>
    </row>
    <row r="2327" spans="1:59" ht="58" x14ac:dyDescent="0.35">
      <c r="A2327" s="2" t="s">
        <v>59</v>
      </c>
      <c r="B2327" s="2" t="s">
        <v>60</v>
      </c>
      <c r="C2327" s="2" t="s">
        <v>22904</v>
      </c>
      <c r="D2327" s="2" t="s">
        <v>22905</v>
      </c>
      <c r="E2327" s="2" t="s">
        <v>22906</v>
      </c>
      <c r="G2327" s="3" t="s">
        <v>65</v>
      </c>
      <c r="I2327" s="3" t="s">
        <v>65</v>
      </c>
      <c r="J2327" s="3" t="s">
        <v>65</v>
      </c>
      <c r="K2327" s="3" t="s">
        <v>66</v>
      </c>
      <c r="L2327" s="2" t="s">
        <v>22818</v>
      </c>
      <c r="M2327" s="2" t="s">
        <v>22907</v>
      </c>
      <c r="N2327" s="3" t="s">
        <v>214</v>
      </c>
      <c r="P2327" s="3" t="s">
        <v>69</v>
      </c>
      <c r="R2327" s="3" t="s">
        <v>71</v>
      </c>
      <c r="S2327" s="4">
        <v>12</v>
      </c>
      <c r="T2327" s="4">
        <v>12</v>
      </c>
      <c r="U2327" s="5" t="s">
        <v>22908</v>
      </c>
      <c r="V2327" s="5" t="s">
        <v>22908</v>
      </c>
      <c r="W2327" s="5" t="s">
        <v>72</v>
      </c>
      <c r="X2327" s="5" t="s">
        <v>72</v>
      </c>
      <c r="Y2327" s="4">
        <v>358</v>
      </c>
      <c r="Z2327" s="4">
        <v>18</v>
      </c>
      <c r="AA2327" s="4">
        <v>21</v>
      </c>
      <c r="AB2327" s="4">
        <v>2</v>
      </c>
      <c r="AC2327" s="4">
        <v>2</v>
      </c>
      <c r="AD2327" s="4">
        <v>89</v>
      </c>
      <c r="AE2327" s="4">
        <v>94</v>
      </c>
      <c r="AF2327" s="4">
        <v>1</v>
      </c>
      <c r="AG2327" s="4">
        <v>1</v>
      </c>
      <c r="AH2327" s="4">
        <v>79</v>
      </c>
      <c r="AI2327" s="4">
        <v>83</v>
      </c>
      <c r="AJ2327" s="4">
        <v>12</v>
      </c>
      <c r="AK2327" s="4">
        <v>13</v>
      </c>
      <c r="AL2327" s="4">
        <v>48</v>
      </c>
      <c r="AM2327" s="4">
        <v>52</v>
      </c>
      <c r="AN2327" s="4">
        <v>0</v>
      </c>
      <c r="AO2327" s="4">
        <v>4</v>
      </c>
      <c r="AP2327" s="4">
        <v>12</v>
      </c>
      <c r="AQ2327" s="4">
        <v>13</v>
      </c>
      <c r="AR2327" s="3" t="s">
        <v>65</v>
      </c>
      <c r="AS2327" s="3" t="s">
        <v>65</v>
      </c>
      <c r="AT2327" s="3" t="s">
        <v>65</v>
      </c>
      <c r="AV2327" s="6" t="str">
        <f>HYPERLINK("http://mcgill.on.worldcat.org/oclc/9813062","Catalog Record")</f>
        <v>Catalog Record</v>
      </c>
      <c r="AW2327" s="6" t="str">
        <f>HYPERLINK("http://www.worldcat.org/oclc/9813062","WorldCat Record")</f>
        <v>WorldCat Record</v>
      </c>
      <c r="AX2327" s="3" t="s">
        <v>22909</v>
      </c>
      <c r="AY2327" s="3" t="s">
        <v>22910</v>
      </c>
      <c r="AZ2327" s="3" t="s">
        <v>22911</v>
      </c>
      <c r="BA2327" s="3" t="s">
        <v>22911</v>
      </c>
      <c r="BB2327" s="3" t="s">
        <v>22912</v>
      </c>
      <c r="BC2327" s="3" t="s">
        <v>77</v>
      </c>
      <c r="BD2327" s="3" t="s">
        <v>78</v>
      </c>
      <c r="BE2327" s="3" t="s">
        <v>22913</v>
      </c>
      <c r="BF2327" s="3" t="s">
        <v>22912</v>
      </c>
      <c r="BG2327" s="3" t="s">
        <v>22914</v>
      </c>
    </row>
    <row r="2328" spans="1:59" ht="58" x14ac:dyDescent="0.35">
      <c r="A2328" s="2" t="s">
        <v>59</v>
      </c>
      <c r="B2328" s="2" t="s">
        <v>60</v>
      </c>
      <c r="C2328" s="2" t="s">
        <v>22915</v>
      </c>
      <c r="D2328" s="2" t="s">
        <v>22916</v>
      </c>
      <c r="E2328" s="2" t="s">
        <v>22917</v>
      </c>
      <c r="G2328" s="3" t="s">
        <v>65</v>
      </c>
      <c r="I2328" s="3" t="s">
        <v>65</v>
      </c>
      <c r="J2328" s="3" t="s">
        <v>65</v>
      </c>
      <c r="K2328" s="3" t="s">
        <v>66</v>
      </c>
      <c r="L2328" s="2" t="s">
        <v>22808</v>
      </c>
      <c r="M2328" s="2" t="s">
        <v>22918</v>
      </c>
      <c r="N2328" s="3" t="s">
        <v>756</v>
      </c>
      <c r="O2328" s="2" t="s">
        <v>5881</v>
      </c>
      <c r="P2328" s="3" t="s">
        <v>140</v>
      </c>
      <c r="R2328" s="3" t="s">
        <v>71</v>
      </c>
      <c r="S2328" s="4">
        <v>4</v>
      </c>
      <c r="T2328" s="4">
        <v>4</v>
      </c>
      <c r="U2328" s="5" t="s">
        <v>22919</v>
      </c>
      <c r="V2328" s="5" t="s">
        <v>22919</v>
      </c>
      <c r="W2328" s="5" t="s">
        <v>72</v>
      </c>
      <c r="X2328" s="5" t="s">
        <v>72</v>
      </c>
      <c r="Y2328" s="4">
        <v>102</v>
      </c>
      <c r="Z2328" s="4">
        <v>8</v>
      </c>
      <c r="AA2328" s="4">
        <v>15</v>
      </c>
      <c r="AB2328" s="4">
        <v>1</v>
      </c>
      <c r="AC2328" s="4">
        <v>4</v>
      </c>
      <c r="AD2328" s="4">
        <v>43</v>
      </c>
      <c r="AE2328" s="4">
        <v>55</v>
      </c>
      <c r="AF2328" s="4">
        <v>0</v>
      </c>
      <c r="AG2328" s="4">
        <v>2</v>
      </c>
      <c r="AH2328" s="4">
        <v>42</v>
      </c>
      <c r="AI2328" s="4">
        <v>50</v>
      </c>
      <c r="AJ2328" s="4">
        <v>5</v>
      </c>
      <c r="AK2328" s="4">
        <v>11</v>
      </c>
      <c r="AL2328" s="4">
        <v>28</v>
      </c>
      <c r="AM2328" s="4">
        <v>33</v>
      </c>
      <c r="AN2328" s="4">
        <v>0</v>
      </c>
      <c r="AO2328" s="4">
        <v>0</v>
      </c>
      <c r="AP2328" s="4">
        <v>5</v>
      </c>
      <c r="AQ2328" s="4">
        <v>10</v>
      </c>
      <c r="AR2328" s="3" t="s">
        <v>65</v>
      </c>
      <c r="AS2328" s="3" t="s">
        <v>65</v>
      </c>
      <c r="AT2328" s="3" t="s">
        <v>209</v>
      </c>
      <c r="AU2328" s="6" t="str">
        <f>HYPERLINK("http://catalog.hathitrust.org/Record/001218718","HathiTrust Record")</f>
        <v>HathiTrust Record</v>
      </c>
      <c r="AV2328" s="6" t="str">
        <f>HYPERLINK("http://mcgill.on.worldcat.org/oclc/351960","Catalog Record")</f>
        <v>Catalog Record</v>
      </c>
      <c r="AW2328" s="6" t="str">
        <f>HYPERLINK("http://www.worldcat.org/oclc/351960","WorldCat Record")</f>
        <v>WorldCat Record</v>
      </c>
      <c r="AX2328" s="3" t="s">
        <v>22920</v>
      </c>
      <c r="AY2328" s="3" t="s">
        <v>22921</v>
      </c>
      <c r="AZ2328" s="3" t="s">
        <v>22922</v>
      </c>
      <c r="BA2328" s="3" t="s">
        <v>22922</v>
      </c>
      <c r="BB2328" s="3" t="s">
        <v>22923</v>
      </c>
      <c r="BC2328" s="3" t="s">
        <v>77</v>
      </c>
      <c r="BD2328" s="3" t="s">
        <v>78</v>
      </c>
      <c r="BF2328" s="3" t="s">
        <v>22923</v>
      </c>
      <c r="BG2328" s="3" t="s">
        <v>22924</v>
      </c>
    </row>
    <row r="2329" spans="1:59" ht="87" x14ac:dyDescent="0.35">
      <c r="A2329" s="2" t="s">
        <v>59</v>
      </c>
      <c r="B2329" s="2" t="s">
        <v>60</v>
      </c>
      <c r="C2329" s="2" t="s">
        <v>22925</v>
      </c>
      <c r="D2329" s="2" t="s">
        <v>22926</v>
      </c>
      <c r="E2329" s="2" t="s">
        <v>22927</v>
      </c>
      <c r="G2329" s="3" t="s">
        <v>65</v>
      </c>
      <c r="I2329" s="3" t="s">
        <v>65</v>
      </c>
      <c r="J2329" s="3" t="s">
        <v>65</v>
      </c>
      <c r="K2329" s="3" t="s">
        <v>66</v>
      </c>
      <c r="M2329" s="2" t="s">
        <v>22928</v>
      </c>
      <c r="N2329" s="3" t="s">
        <v>1196</v>
      </c>
      <c r="O2329" s="2" t="s">
        <v>365</v>
      </c>
      <c r="P2329" s="3" t="s">
        <v>140</v>
      </c>
      <c r="R2329" s="3" t="s">
        <v>71</v>
      </c>
      <c r="S2329" s="4">
        <v>2</v>
      </c>
      <c r="T2329" s="4">
        <v>2</v>
      </c>
      <c r="U2329" s="5" t="s">
        <v>22929</v>
      </c>
      <c r="V2329" s="5" t="s">
        <v>22929</v>
      </c>
      <c r="W2329" s="5" t="s">
        <v>72</v>
      </c>
      <c r="X2329" s="5" t="s">
        <v>72</v>
      </c>
      <c r="Y2329" s="4">
        <v>40</v>
      </c>
      <c r="Z2329" s="4">
        <v>4</v>
      </c>
      <c r="AA2329" s="4">
        <v>4</v>
      </c>
      <c r="AB2329" s="4">
        <v>1</v>
      </c>
      <c r="AC2329" s="4">
        <v>1</v>
      </c>
      <c r="AD2329" s="4">
        <v>30</v>
      </c>
      <c r="AE2329" s="4">
        <v>30</v>
      </c>
      <c r="AF2329" s="4">
        <v>0</v>
      </c>
      <c r="AG2329" s="4">
        <v>0</v>
      </c>
      <c r="AH2329" s="4">
        <v>29</v>
      </c>
      <c r="AI2329" s="4">
        <v>29</v>
      </c>
      <c r="AJ2329" s="4">
        <v>2</v>
      </c>
      <c r="AK2329" s="4">
        <v>2</v>
      </c>
      <c r="AL2329" s="4">
        <v>23</v>
      </c>
      <c r="AM2329" s="4">
        <v>23</v>
      </c>
      <c r="AN2329" s="4">
        <v>0</v>
      </c>
      <c r="AO2329" s="4">
        <v>0</v>
      </c>
      <c r="AP2329" s="4">
        <v>2</v>
      </c>
      <c r="AQ2329" s="4">
        <v>2</v>
      </c>
      <c r="AR2329" s="3" t="s">
        <v>65</v>
      </c>
      <c r="AS2329" s="3" t="s">
        <v>65</v>
      </c>
      <c r="AT2329" s="3" t="s">
        <v>65</v>
      </c>
      <c r="AV2329" s="6" t="str">
        <f>HYPERLINK("http://mcgill.on.worldcat.org/oclc/63888400","Catalog Record")</f>
        <v>Catalog Record</v>
      </c>
      <c r="AW2329" s="6" t="str">
        <f>HYPERLINK("http://www.worldcat.org/oclc/63888400","WorldCat Record")</f>
        <v>WorldCat Record</v>
      </c>
      <c r="AX2329" s="3" t="s">
        <v>22930</v>
      </c>
      <c r="AY2329" s="3" t="s">
        <v>22931</v>
      </c>
      <c r="AZ2329" s="3" t="s">
        <v>22932</v>
      </c>
      <c r="BA2329" s="3" t="s">
        <v>22932</v>
      </c>
      <c r="BB2329" s="3" t="s">
        <v>22933</v>
      </c>
      <c r="BC2329" s="3" t="s">
        <v>77</v>
      </c>
      <c r="BD2329" s="3" t="s">
        <v>78</v>
      </c>
      <c r="BE2329" s="3" t="s">
        <v>22934</v>
      </c>
      <c r="BF2329" s="3" t="s">
        <v>22933</v>
      </c>
      <c r="BG2329" s="3" t="s">
        <v>22935</v>
      </c>
    </row>
    <row r="2330" spans="1:59" ht="58" x14ac:dyDescent="0.35">
      <c r="A2330" s="2" t="s">
        <v>59</v>
      </c>
      <c r="B2330" s="2" t="s">
        <v>60</v>
      </c>
      <c r="C2330" s="2" t="s">
        <v>22936</v>
      </c>
      <c r="D2330" s="2" t="s">
        <v>22937</v>
      </c>
      <c r="E2330" s="2" t="s">
        <v>22938</v>
      </c>
      <c r="G2330" s="3" t="s">
        <v>65</v>
      </c>
      <c r="I2330" s="3" t="s">
        <v>65</v>
      </c>
      <c r="J2330" s="3" t="s">
        <v>65</v>
      </c>
      <c r="K2330" s="3" t="s">
        <v>66</v>
      </c>
      <c r="L2330" s="2" t="s">
        <v>22818</v>
      </c>
      <c r="M2330" s="2" t="s">
        <v>22939</v>
      </c>
      <c r="N2330" s="3" t="s">
        <v>615</v>
      </c>
      <c r="P2330" s="3" t="s">
        <v>69</v>
      </c>
      <c r="R2330" s="3" t="s">
        <v>71</v>
      </c>
      <c r="S2330" s="4">
        <v>12</v>
      </c>
      <c r="T2330" s="4">
        <v>12</v>
      </c>
      <c r="U2330" s="5" t="s">
        <v>840</v>
      </c>
      <c r="V2330" s="5" t="s">
        <v>840</v>
      </c>
      <c r="W2330" s="5" t="s">
        <v>72</v>
      </c>
      <c r="X2330" s="5" t="s">
        <v>72</v>
      </c>
      <c r="Y2330" s="4">
        <v>330</v>
      </c>
      <c r="Z2330" s="4">
        <v>16</v>
      </c>
      <c r="AA2330" s="4">
        <v>16</v>
      </c>
      <c r="AB2330" s="4">
        <v>1</v>
      </c>
      <c r="AC2330" s="4">
        <v>1</v>
      </c>
      <c r="AD2330" s="4">
        <v>91</v>
      </c>
      <c r="AE2330" s="4">
        <v>91</v>
      </c>
      <c r="AF2330" s="4">
        <v>0</v>
      </c>
      <c r="AG2330" s="4">
        <v>0</v>
      </c>
      <c r="AH2330" s="4">
        <v>83</v>
      </c>
      <c r="AI2330" s="4">
        <v>83</v>
      </c>
      <c r="AJ2330" s="4">
        <v>12</v>
      </c>
      <c r="AK2330" s="4">
        <v>12</v>
      </c>
      <c r="AL2330" s="4">
        <v>51</v>
      </c>
      <c r="AM2330" s="4">
        <v>51</v>
      </c>
      <c r="AN2330" s="4">
        <v>0</v>
      </c>
      <c r="AO2330" s="4">
        <v>0</v>
      </c>
      <c r="AP2330" s="4">
        <v>11</v>
      </c>
      <c r="AQ2330" s="4">
        <v>11</v>
      </c>
      <c r="AR2330" s="3" t="s">
        <v>65</v>
      </c>
      <c r="AS2330" s="3" t="s">
        <v>65</v>
      </c>
      <c r="AT2330" s="3" t="s">
        <v>65</v>
      </c>
      <c r="AV2330" s="6" t="str">
        <f>HYPERLINK("http://mcgill.on.worldcat.org/oclc/11182958","Catalog Record")</f>
        <v>Catalog Record</v>
      </c>
      <c r="AW2330" s="6" t="str">
        <f>HYPERLINK("http://www.worldcat.org/oclc/11182958","WorldCat Record")</f>
        <v>WorldCat Record</v>
      </c>
      <c r="AX2330" s="3" t="s">
        <v>22940</v>
      </c>
      <c r="AY2330" s="3" t="s">
        <v>22941</v>
      </c>
      <c r="AZ2330" s="3" t="s">
        <v>22942</v>
      </c>
      <c r="BA2330" s="3" t="s">
        <v>22942</v>
      </c>
      <c r="BB2330" s="3" t="s">
        <v>22943</v>
      </c>
      <c r="BC2330" s="3" t="s">
        <v>77</v>
      </c>
      <c r="BD2330" s="3" t="s">
        <v>78</v>
      </c>
      <c r="BE2330" s="3" t="s">
        <v>22944</v>
      </c>
      <c r="BF2330" s="3" t="s">
        <v>22943</v>
      </c>
      <c r="BG2330" s="3" t="s">
        <v>22945</v>
      </c>
    </row>
    <row r="2331" spans="1:59" ht="58" x14ac:dyDescent="0.35">
      <c r="A2331" s="2" t="s">
        <v>59</v>
      </c>
      <c r="B2331" s="2" t="s">
        <v>60</v>
      </c>
      <c r="C2331" s="2" t="s">
        <v>22946</v>
      </c>
      <c r="D2331" s="2" t="s">
        <v>22947</v>
      </c>
      <c r="E2331" s="2" t="s">
        <v>22948</v>
      </c>
      <c r="G2331" s="3" t="s">
        <v>65</v>
      </c>
      <c r="I2331" s="3" t="s">
        <v>65</v>
      </c>
      <c r="J2331" s="3" t="s">
        <v>65</v>
      </c>
      <c r="K2331" s="3" t="s">
        <v>66</v>
      </c>
      <c r="L2331" s="2" t="s">
        <v>22949</v>
      </c>
      <c r="M2331" s="2" t="s">
        <v>22950</v>
      </c>
      <c r="N2331" s="3" t="s">
        <v>139</v>
      </c>
      <c r="P2331" s="3" t="s">
        <v>140</v>
      </c>
      <c r="Q2331" s="2" t="s">
        <v>22951</v>
      </c>
      <c r="R2331" s="3" t="s">
        <v>71</v>
      </c>
      <c r="S2331" s="4">
        <v>0</v>
      </c>
      <c r="T2331" s="4">
        <v>0</v>
      </c>
      <c r="W2331" s="5" t="s">
        <v>72</v>
      </c>
      <c r="X2331" s="5" t="s">
        <v>72</v>
      </c>
      <c r="Y2331" s="4">
        <v>41</v>
      </c>
      <c r="Z2331" s="4">
        <v>4</v>
      </c>
      <c r="AA2331" s="4">
        <v>4</v>
      </c>
      <c r="AB2331" s="4">
        <v>1</v>
      </c>
      <c r="AC2331" s="4">
        <v>1</v>
      </c>
      <c r="AD2331" s="4">
        <v>25</v>
      </c>
      <c r="AE2331" s="4">
        <v>29</v>
      </c>
      <c r="AF2331" s="4">
        <v>0</v>
      </c>
      <c r="AG2331" s="4">
        <v>0</v>
      </c>
      <c r="AH2331" s="4">
        <v>24</v>
      </c>
      <c r="AI2331" s="4">
        <v>28</v>
      </c>
      <c r="AJ2331" s="4">
        <v>2</v>
      </c>
      <c r="AK2331" s="4">
        <v>2</v>
      </c>
      <c r="AL2331" s="4">
        <v>18</v>
      </c>
      <c r="AM2331" s="4">
        <v>22</v>
      </c>
      <c r="AN2331" s="4">
        <v>0</v>
      </c>
      <c r="AO2331" s="4">
        <v>0</v>
      </c>
      <c r="AP2331" s="4">
        <v>2</v>
      </c>
      <c r="AQ2331" s="4">
        <v>2</v>
      </c>
      <c r="AR2331" s="3" t="s">
        <v>65</v>
      </c>
      <c r="AS2331" s="3" t="s">
        <v>65</v>
      </c>
      <c r="AT2331" s="3" t="s">
        <v>65</v>
      </c>
      <c r="AV2331" s="6" t="str">
        <f>HYPERLINK("http://mcgill.on.worldcat.org/oclc/820786287","Catalog Record")</f>
        <v>Catalog Record</v>
      </c>
      <c r="AW2331" s="6" t="str">
        <f>HYPERLINK("http://www.worldcat.org/oclc/820786287","WorldCat Record")</f>
        <v>WorldCat Record</v>
      </c>
      <c r="AX2331" s="3" t="s">
        <v>22952</v>
      </c>
      <c r="AY2331" s="3" t="s">
        <v>22953</v>
      </c>
      <c r="AZ2331" s="3" t="s">
        <v>22954</v>
      </c>
      <c r="BA2331" s="3" t="s">
        <v>22954</v>
      </c>
      <c r="BB2331" s="3" t="s">
        <v>22955</v>
      </c>
      <c r="BC2331" s="3" t="s">
        <v>77</v>
      </c>
      <c r="BD2331" s="3" t="s">
        <v>78</v>
      </c>
      <c r="BE2331" s="3" t="s">
        <v>22956</v>
      </c>
      <c r="BF2331" s="3" t="s">
        <v>22955</v>
      </c>
      <c r="BG2331" s="3" t="s">
        <v>22957</v>
      </c>
    </row>
    <row r="2332" spans="1:59" ht="72.5" x14ac:dyDescent="0.35">
      <c r="A2332" s="2" t="s">
        <v>59</v>
      </c>
      <c r="B2332" s="2" t="s">
        <v>60</v>
      </c>
      <c r="C2332" s="2" t="s">
        <v>22958</v>
      </c>
      <c r="D2332" s="2" t="s">
        <v>22959</v>
      </c>
      <c r="E2332" s="2" t="s">
        <v>22960</v>
      </c>
      <c r="G2332" s="3" t="s">
        <v>65</v>
      </c>
      <c r="I2332" s="3" t="s">
        <v>65</v>
      </c>
      <c r="J2332" s="3" t="s">
        <v>65</v>
      </c>
      <c r="K2332" s="3" t="s">
        <v>66</v>
      </c>
      <c r="L2332" s="2" t="s">
        <v>22961</v>
      </c>
      <c r="M2332" s="2" t="s">
        <v>22962</v>
      </c>
      <c r="N2332" s="3" t="s">
        <v>113</v>
      </c>
      <c r="P2332" s="3" t="s">
        <v>140</v>
      </c>
      <c r="Q2332" s="2" t="s">
        <v>22963</v>
      </c>
      <c r="R2332" s="3" t="s">
        <v>71</v>
      </c>
      <c r="S2332" s="4">
        <v>0</v>
      </c>
      <c r="T2332" s="4">
        <v>0</v>
      </c>
      <c r="W2332" s="5" t="s">
        <v>72</v>
      </c>
      <c r="X2332" s="5" t="s">
        <v>72</v>
      </c>
      <c r="Y2332" s="4">
        <v>33</v>
      </c>
      <c r="Z2332" s="4">
        <v>2</v>
      </c>
      <c r="AA2332" s="4">
        <v>2</v>
      </c>
      <c r="AB2332" s="4">
        <v>1</v>
      </c>
      <c r="AC2332" s="4">
        <v>1</v>
      </c>
      <c r="AD2332" s="4">
        <v>27</v>
      </c>
      <c r="AE2332" s="4">
        <v>27</v>
      </c>
      <c r="AF2332" s="4">
        <v>0</v>
      </c>
      <c r="AG2332" s="4">
        <v>0</v>
      </c>
      <c r="AH2332" s="4">
        <v>26</v>
      </c>
      <c r="AI2332" s="4">
        <v>26</v>
      </c>
      <c r="AJ2332" s="4">
        <v>1</v>
      </c>
      <c r="AK2332" s="4">
        <v>1</v>
      </c>
      <c r="AL2332" s="4">
        <v>20</v>
      </c>
      <c r="AM2332" s="4">
        <v>20</v>
      </c>
      <c r="AN2332" s="4">
        <v>0</v>
      </c>
      <c r="AO2332" s="4">
        <v>0</v>
      </c>
      <c r="AP2332" s="4">
        <v>1</v>
      </c>
      <c r="AQ2332" s="4">
        <v>1</v>
      </c>
      <c r="AR2332" s="3" t="s">
        <v>65</v>
      </c>
      <c r="AS2332" s="3" t="s">
        <v>65</v>
      </c>
      <c r="AT2332" s="3" t="s">
        <v>65</v>
      </c>
      <c r="AV2332" s="6" t="str">
        <f>HYPERLINK("http://mcgill.on.worldcat.org/oclc/694827622","Catalog Record")</f>
        <v>Catalog Record</v>
      </c>
      <c r="AW2332" s="6" t="str">
        <f>HYPERLINK("http://www.worldcat.org/oclc/694827622","WorldCat Record")</f>
        <v>WorldCat Record</v>
      </c>
      <c r="AX2332" s="3" t="s">
        <v>22964</v>
      </c>
      <c r="AY2332" s="3" t="s">
        <v>22965</v>
      </c>
      <c r="AZ2332" s="3" t="s">
        <v>22966</v>
      </c>
      <c r="BA2332" s="3" t="s">
        <v>22966</v>
      </c>
      <c r="BB2332" s="3" t="s">
        <v>22967</v>
      </c>
      <c r="BC2332" s="3" t="s">
        <v>77</v>
      </c>
      <c r="BD2332" s="3" t="s">
        <v>78</v>
      </c>
      <c r="BE2332" s="3" t="s">
        <v>22968</v>
      </c>
      <c r="BF2332" s="3" t="s">
        <v>22967</v>
      </c>
      <c r="BG2332" s="3" t="s">
        <v>22969</v>
      </c>
    </row>
    <row r="2333" spans="1:59" ht="58" x14ac:dyDescent="0.35">
      <c r="A2333" s="2" t="s">
        <v>59</v>
      </c>
      <c r="B2333" s="2" t="s">
        <v>60</v>
      </c>
      <c r="C2333" s="2" t="s">
        <v>22970</v>
      </c>
      <c r="D2333" s="2" t="s">
        <v>22971</v>
      </c>
      <c r="E2333" s="2" t="s">
        <v>22972</v>
      </c>
      <c r="G2333" s="3" t="s">
        <v>65</v>
      </c>
      <c r="I2333" s="3" t="s">
        <v>65</v>
      </c>
      <c r="J2333" s="3" t="s">
        <v>65</v>
      </c>
      <c r="K2333" s="3" t="s">
        <v>66</v>
      </c>
      <c r="M2333" s="2" t="s">
        <v>22973</v>
      </c>
      <c r="N2333" s="3" t="s">
        <v>139</v>
      </c>
      <c r="P2333" s="3" t="s">
        <v>140</v>
      </c>
      <c r="R2333" s="3" t="s">
        <v>71</v>
      </c>
      <c r="S2333" s="4">
        <v>0</v>
      </c>
      <c r="T2333" s="4">
        <v>0</v>
      </c>
      <c r="W2333" s="5" t="s">
        <v>72</v>
      </c>
      <c r="X2333" s="5" t="s">
        <v>72</v>
      </c>
      <c r="Y2333" s="4">
        <v>19</v>
      </c>
      <c r="Z2333" s="4">
        <v>3</v>
      </c>
      <c r="AA2333" s="4">
        <v>3</v>
      </c>
      <c r="AB2333" s="4">
        <v>1</v>
      </c>
      <c r="AC2333" s="4">
        <v>1</v>
      </c>
      <c r="AD2333" s="4">
        <v>12</v>
      </c>
      <c r="AE2333" s="4">
        <v>12</v>
      </c>
      <c r="AF2333" s="4">
        <v>0</v>
      </c>
      <c r="AG2333" s="4">
        <v>0</v>
      </c>
      <c r="AH2333" s="4">
        <v>11</v>
      </c>
      <c r="AI2333" s="4">
        <v>11</v>
      </c>
      <c r="AJ2333" s="4">
        <v>1</v>
      </c>
      <c r="AK2333" s="4">
        <v>1</v>
      </c>
      <c r="AL2333" s="4">
        <v>8</v>
      </c>
      <c r="AM2333" s="4">
        <v>8</v>
      </c>
      <c r="AN2333" s="4">
        <v>0</v>
      </c>
      <c r="AO2333" s="4">
        <v>0</v>
      </c>
      <c r="AP2333" s="4">
        <v>1</v>
      </c>
      <c r="AQ2333" s="4">
        <v>1</v>
      </c>
      <c r="AR2333" s="3" t="s">
        <v>65</v>
      </c>
      <c r="AS2333" s="3" t="s">
        <v>65</v>
      </c>
      <c r="AT2333" s="3" t="s">
        <v>65</v>
      </c>
      <c r="AV2333" s="6" t="str">
        <f>HYPERLINK("http://mcgill.on.worldcat.org/oclc/812250227","Catalog Record")</f>
        <v>Catalog Record</v>
      </c>
      <c r="AW2333" s="6" t="str">
        <f>HYPERLINK("http://www.worldcat.org/oclc/812250227","WorldCat Record")</f>
        <v>WorldCat Record</v>
      </c>
      <c r="AX2333" s="3" t="s">
        <v>22974</v>
      </c>
      <c r="AY2333" s="3" t="s">
        <v>22975</v>
      </c>
      <c r="AZ2333" s="3" t="s">
        <v>22976</v>
      </c>
      <c r="BA2333" s="3" t="s">
        <v>22976</v>
      </c>
      <c r="BB2333" s="3" t="s">
        <v>22977</v>
      </c>
      <c r="BC2333" s="3" t="s">
        <v>77</v>
      </c>
      <c r="BD2333" s="3" t="s">
        <v>78</v>
      </c>
      <c r="BE2333" s="3" t="s">
        <v>22978</v>
      </c>
      <c r="BF2333" s="3" t="s">
        <v>22977</v>
      </c>
      <c r="BG2333" s="3" t="s">
        <v>22979</v>
      </c>
    </row>
    <row r="2334" spans="1:59" ht="58" x14ac:dyDescent="0.35">
      <c r="A2334" s="2" t="s">
        <v>59</v>
      </c>
      <c r="B2334" s="2" t="s">
        <v>60</v>
      </c>
      <c r="C2334" s="2" t="s">
        <v>22980</v>
      </c>
      <c r="D2334" s="2" t="s">
        <v>22981</v>
      </c>
      <c r="E2334" s="2" t="s">
        <v>22982</v>
      </c>
      <c r="G2334" s="3" t="s">
        <v>65</v>
      </c>
      <c r="I2334" s="3" t="s">
        <v>65</v>
      </c>
      <c r="J2334" s="3" t="s">
        <v>65</v>
      </c>
      <c r="K2334" s="3" t="s">
        <v>66</v>
      </c>
      <c r="M2334" s="2" t="s">
        <v>22983</v>
      </c>
      <c r="N2334" s="3" t="s">
        <v>113</v>
      </c>
      <c r="P2334" s="3" t="s">
        <v>140</v>
      </c>
      <c r="Q2334" s="2" t="s">
        <v>22984</v>
      </c>
      <c r="R2334" s="3" t="s">
        <v>71</v>
      </c>
      <c r="S2334" s="4">
        <v>0</v>
      </c>
      <c r="T2334" s="4">
        <v>0</v>
      </c>
      <c r="W2334" s="5" t="s">
        <v>72</v>
      </c>
      <c r="X2334" s="5" t="s">
        <v>72</v>
      </c>
      <c r="Y2334" s="4">
        <v>34</v>
      </c>
      <c r="Z2334" s="4">
        <v>3</v>
      </c>
      <c r="AA2334" s="4">
        <v>3</v>
      </c>
      <c r="AB2334" s="4">
        <v>1</v>
      </c>
      <c r="AC2334" s="4">
        <v>1</v>
      </c>
      <c r="AD2334" s="4">
        <v>25</v>
      </c>
      <c r="AE2334" s="4">
        <v>25</v>
      </c>
      <c r="AF2334" s="4">
        <v>0</v>
      </c>
      <c r="AG2334" s="4">
        <v>0</v>
      </c>
      <c r="AH2334" s="4">
        <v>24</v>
      </c>
      <c r="AI2334" s="4">
        <v>24</v>
      </c>
      <c r="AJ2334" s="4">
        <v>1</v>
      </c>
      <c r="AK2334" s="4">
        <v>1</v>
      </c>
      <c r="AL2334" s="4">
        <v>21</v>
      </c>
      <c r="AM2334" s="4">
        <v>21</v>
      </c>
      <c r="AN2334" s="4">
        <v>0</v>
      </c>
      <c r="AO2334" s="4">
        <v>0</v>
      </c>
      <c r="AP2334" s="4">
        <v>1</v>
      </c>
      <c r="AQ2334" s="4">
        <v>1</v>
      </c>
      <c r="AR2334" s="3" t="s">
        <v>65</v>
      </c>
      <c r="AS2334" s="3" t="s">
        <v>65</v>
      </c>
      <c r="AT2334" s="3" t="s">
        <v>65</v>
      </c>
      <c r="AV2334" s="6" t="str">
        <f>HYPERLINK("http://mcgill.on.worldcat.org/oclc/721863249","Catalog Record")</f>
        <v>Catalog Record</v>
      </c>
      <c r="AW2334" s="6" t="str">
        <f>HYPERLINK("http://www.worldcat.org/oclc/721863249","WorldCat Record")</f>
        <v>WorldCat Record</v>
      </c>
      <c r="AX2334" s="3" t="s">
        <v>22985</v>
      </c>
      <c r="AY2334" s="3" t="s">
        <v>22986</v>
      </c>
      <c r="AZ2334" s="3" t="s">
        <v>22987</v>
      </c>
      <c r="BA2334" s="3" t="s">
        <v>22987</v>
      </c>
      <c r="BB2334" s="3" t="s">
        <v>22988</v>
      </c>
      <c r="BC2334" s="3" t="s">
        <v>77</v>
      </c>
      <c r="BD2334" s="3" t="s">
        <v>78</v>
      </c>
      <c r="BE2334" s="3" t="s">
        <v>22989</v>
      </c>
      <c r="BF2334" s="3" t="s">
        <v>22988</v>
      </c>
      <c r="BG2334" s="3" t="s">
        <v>22990</v>
      </c>
    </row>
    <row r="2335" spans="1:59" ht="58" x14ac:dyDescent="0.35">
      <c r="A2335" s="2" t="s">
        <v>59</v>
      </c>
      <c r="B2335" s="2" t="s">
        <v>60</v>
      </c>
      <c r="C2335" s="2" t="s">
        <v>22991</v>
      </c>
      <c r="D2335" s="2" t="s">
        <v>22992</v>
      </c>
      <c r="E2335" s="2" t="s">
        <v>22993</v>
      </c>
      <c r="G2335" s="3" t="s">
        <v>65</v>
      </c>
      <c r="I2335" s="3" t="s">
        <v>65</v>
      </c>
      <c r="J2335" s="3" t="s">
        <v>65</v>
      </c>
      <c r="K2335" s="3" t="s">
        <v>66</v>
      </c>
      <c r="L2335" s="2" t="s">
        <v>22994</v>
      </c>
      <c r="M2335" s="2" t="s">
        <v>22995</v>
      </c>
      <c r="N2335" s="3" t="s">
        <v>164</v>
      </c>
      <c r="O2335" s="2" t="s">
        <v>379</v>
      </c>
      <c r="P2335" s="3" t="s">
        <v>140</v>
      </c>
      <c r="Q2335" s="2" t="s">
        <v>22996</v>
      </c>
      <c r="R2335" s="3" t="s">
        <v>71</v>
      </c>
      <c r="S2335" s="4">
        <v>0</v>
      </c>
      <c r="T2335" s="4">
        <v>0</v>
      </c>
      <c r="W2335" s="5" t="s">
        <v>72</v>
      </c>
      <c r="X2335" s="5" t="s">
        <v>72</v>
      </c>
      <c r="Y2335" s="4">
        <v>43</v>
      </c>
      <c r="Z2335" s="4">
        <v>5</v>
      </c>
      <c r="AA2335" s="4">
        <v>5</v>
      </c>
      <c r="AB2335" s="4">
        <v>1</v>
      </c>
      <c r="AC2335" s="4">
        <v>1</v>
      </c>
      <c r="AD2335" s="4">
        <v>31</v>
      </c>
      <c r="AE2335" s="4">
        <v>31</v>
      </c>
      <c r="AF2335" s="4">
        <v>0</v>
      </c>
      <c r="AG2335" s="4">
        <v>0</v>
      </c>
      <c r="AH2335" s="4">
        <v>30</v>
      </c>
      <c r="AI2335" s="4">
        <v>30</v>
      </c>
      <c r="AJ2335" s="4">
        <v>3</v>
      </c>
      <c r="AK2335" s="4">
        <v>3</v>
      </c>
      <c r="AL2335" s="4">
        <v>24</v>
      </c>
      <c r="AM2335" s="4">
        <v>24</v>
      </c>
      <c r="AN2335" s="4">
        <v>0</v>
      </c>
      <c r="AO2335" s="4">
        <v>0</v>
      </c>
      <c r="AP2335" s="4">
        <v>3</v>
      </c>
      <c r="AQ2335" s="4">
        <v>3</v>
      </c>
      <c r="AR2335" s="3" t="s">
        <v>65</v>
      </c>
      <c r="AS2335" s="3" t="s">
        <v>65</v>
      </c>
      <c r="AT2335" s="3" t="s">
        <v>65</v>
      </c>
      <c r="AV2335" s="6" t="str">
        <f>HYPERLINK("http://mcgill.on.worldcat.org/oclc/877112279","Catalog Record")</f>
        <v>Catalog Record</v>
      </c>
      <c r="AW2335" s="6" t="str">
        <f>HYPERLINK("http://www.worldcat.org/oclc/877112279","WorldCat Record")</f>
        <v>WorldCat Record</v>
      </c>
      <c r="AX2335" s="3" t="s">
        <v>22997</v>
      </c>
      <c r="AY2335" s="3" t="s">
        <v>22998</v>
      </c>
      <c r="AZ2335" s="3" t="s">
        <v>22999</v>
      </c>
      <c r="BA2335" s="3" t="s">
        <v>22999</v>
      </c>
      <c r="BB2335" s="3" t="s">
        <v>23000</v>
      </c>
      <c r="BC2335" s="3" t="s">
        <v>77</v>
      </c>
      <c r="BD2335" s="3" t="s">
        <v>78</v>
      </c>
      <c r="BE2335" s="3" t="s">
        <v>23001</v>
      </c>
      <c r="BF2335" s="3" t="s">
        <v>23000</v>
      </c>
      <c r="BG2335" s="3" t="s">
        <v>23002</v>
      </c>
    </row>
    <row r="2336" spans="1:59" ht="58" x14ac:dyDescent="0.35">
      <c r="A2336" s="2" t="s">
        <v>59</v>
      </c>
      <c r="B2336" s="2" t="s">
        <v>60</v>
      </c>
      <c r="C2336" s="2" t="s">
        <v>23003</v>
      </c>
      <c r="D2336" s="2" t="s">
        <v>23004</v>
      </c>
      <c r="E2336" s="2" t="s">
        <v>23005</v>
      </c>
      <c r="G2336" s="3" t="s">
        <v>65</v>
      </c>
      <c r="I2336" s="3" t="s">
        <v>65</v>
      </c>
      <c r="J2336" s="3" t="s">
        <v>65</v>
      </c>
      <c r="K2336" s="3" t="s">
        <v>66</v>
      </c>
      <c r="L2336" s="2" t="s">
        <v>21992</v>
      </c>
      <c r="M2336" s="2" t="s">
        <v>23006</v>
      </c>
      <c r="N2336" s="3" t="s">
        <v>525</v>
      </c>
      <c r="P2336" s="3" t="s">
        <v>140</v>
      </c>
      <c r="Q2336" s="2" t="s">
        <v>23007</v>
      </c>
      <c r="R2336" s="3" t="s">
        <v>71</v>
      </c>
      <c r="S2336" s="4">
        <v>2</v>
      </c>
      <c r="T2336" s="4">
        <v>2</v>
      </c>
      <c r="U2336" s="5" t="s">
        <v>6113</v>
      </c>
      <c r="V2336" s="5" t="s">
        <v>6113</v>
      </c>
      <c r="W2336" s="5" t="s">
        <v>72</v>
      </c>
      <c r="X2336" s="5" t="s">
        <v>72</v>
      </c>
      <c r="Y2336" s="4">
        <v>57</v>
      </c>
      <c r="Z2336" s="4">
        <v>2</v>
      </c>
      <c r="AA2336" s="4">
        <v>5</v>
      </c>
      <c r="AB2336" s="4">
        <v>1</v>
      </c>
      <c r="AC2336" s="4">
        <v>1</v>
      </c>
      <c r="AD2336" s="4">
        <v>36</v>
      </c>
      <c r="AE2336" s="4">
        <v>37</v>
      </c>
      <c r="AF2336" s="4">
        <v>0</v>
      </c>
      <c r="AG2336" s="4">
        <v>0</v>
      </c>
      <c r="AH2336" s="4">
        <v>35</v>
      </c>
      <c r="AI2336" s="4">
        <v>36</v>
      </c>
      <c r="AJ2336" s="4">
        <v>1</v>
      </c>
      <c r="AK2336" s="4">
        <v>2</v>
      </c>
      <c r="AL2336" s="4">
        <v>25</v>
      </c>
      <c r="AM2336" s="4">
        <v>26</v>
      </c>
      <c r="AN2336" s="4">
        <v>0</v>
      </c>
      <c r="AO2336" s="4">
        <v>0</v>
      </c>
      <c r="AP2336" s="4">
        <v>1</v>
      </c>
      <c r="AQ2336" s="4">
        <v>2</v>
      </c>
      <c r="AR2336" s="3" t="s">
        <v>65</v>
      </c>
      <c r="AS2336" s="3" t="s">
        <v>65</v>
      </c>
      <c r="AT2336" s="3" t="s">
        <v>209</v>
      </c>
      <c r="AU2336" s="6" t="str">
        <f>HYPERLINK("http://catalog.hathitrust.org/Record/004933776","HathiTrust Record")</f>
        <v>HathiTrust Record</v>
      </c>
      <c r="AV2336" s="6" t="str">
        <f>HYPERLINK("http://mcgill.on.worldcat.org/oclc/56820147","Catalog Record")</f>
        <v>Catalog Record</v>
      </c>
      <c r="AW2336" s="6" t="str">
        <f>HYPERLINK("http://www.worldcat.org/oclc/56820147","WorldCat Record")</f>
        <v>WorldCat Record</v>
      </c>
      <c r="AX2336" s="3" t="s">
        <v>23008</v>
      </c>
      <c r="AY2336" s="3" t="s">
        <v>23009</v>
      </c>
      <c r="AZ2336" s="3" t="s">
        <v>23010</v>
      </c>
      <c r="BA2336" s="3" t="s">
        <v>23010</v>
      </c>
      <c r="BB2336" s="3" t="s">
        <v>23011</v>
      </c>
      <c r="BC2336" s="3" t="s">
        <v>77</v>
      </c>
      <c r="BD2336" s="3" t="s">
        <v>78</v>
      </c>
      <c r="BE2336" s="3" t="s">
        <v>23012</v>
      </c>
      <c r="BF2336" s="3" t="s">
        <v>23011</v>
      </c>
      <c r="BG2336" s="3" t="s">
        <v>23013</v>
      </c>
    </row>
    <row r="2337" spans="1:59" ht="58" x14ac:dyDescent="0.35">
      <c r="A2337" s="2" t="s">
        <v>59</v>
      </c>
      <c r="B2337" s="2" t="s">
        <v>60</v>
      </c>
      <c r="C2337" s="2" t="s">
        <v>23014</v>
      </c>
      <c r="D2337" s="2" t="s">
        <v>23015</v>
      </c>
      <c r="E2337" s="2" t="s">
        <v>23016</v>
      </c>
      <c r="G2337" s="3" t="s">
        <v>65</v>
      </c>
      <c r="I2337" s="3" t="s">
        <v>65</v>
      </c>
      <c r="J2337" s="3" t="s">
        <v>65</v>
      </c>
      <c r="K2337" s="3" t="s">
        <v>66</v>
      </c>
      <c r="L2337" s="2" t="s">
        <v>23017</v>
      </c>
      <c r="M2337" s="2" t="s">
        <v>23018</v>
      </c>
      <c r="N2337" s="3" t="s">
        <v>139</v>
      </c>
      <c r="P2337" s="3" t="s">
        <v>140</v>
      </c>
      <c r="Q2337" s="2" t="s">
        <v>23019</v>
      </c>
      <c r="R2337" s="3" t="s">
        <v>71</v>
      </c>
      <c r="S2337" s="4">
        <v>0</v>
      </c>
      <c r="T2337" s="4">
        <v>0</v>
      </c>
      <c r="W2337" s="5" t="s">
        <v>72</v>
      </c>
      <c r="X2337" s="5" t="s">
        <v>72</v>
      </c>
      <c r="Y2337" s="4">
        <v>44</v>
      </c>
      <c r="Z2337" s="4">
        <v>4</v>
      </c>
      <c r="AA2337" s="4">
        <v>4</v>
      </c>
      <c r="AB2337" s="4">
        <v>1</v>
      </c>
      <c r="AC2337" s="4">
        <v>1</v>
      </c>
      <c r="AD2337" s="4">
        <v>33</v>
      </c>
      <c r="AE2337" s="4">
        <v>34</v>
      </c>
      <c r="AF2337" s="4">
        <v>0</v>
      </c>
      <c r="AG2337" s="4">
        <v>0</v>
      </c>
      <c r="AH2337" s="4">
        <v>32</v>
      </c>
      <c r="AI2337" s="4">
        <v>33</v>
      </c>
      <c r="AJ2337" s="4">
        <v>2</v>
      </c>
      <c r="AK2337" s="4">
        <v>2</v>
      </c>
      <c r="AL2337" s="4">
        <v>25</v>
      </c>
      <c r="AM2337" s="4">
        <v>26</v>
      </c>
      <c r="AN2337" s="4">
        <v>0</v>
      </c>
      <c r="AO2337" s="4">
        <v>0</v>
      </c>
      <c r="AP2337" s="4">
        <v>2</v>
      </c>
      <c r="AQ2337" s="4">
        <v>2</v>
      </c>
      <c r="AR2337" s="3" t="s">
        <v>65</v>
      </c>
      <c r="AS2337" s="3" t="s">
        <v>65</v>
      </c>
      <c r="AT2337" s="3" t="s">
        <v>65</v>
      </c>
      <c r="AV2337" s="6" t="str">
        <f>HYPERLINK("http://mcgill.on.worldcat.org/oclc/812250267","Catalog Record")</f>
        <v>Catalog Record</v>
      </c>
      <c r="AW2337" s="6" t="str">
        <f>HYPERLINK("http://www.worldcat.org/oclc/812250267","WorldCat Record")</f>
        <v>WorldCat Record</v>
      </c>
      <c r="AX2337" s="3" t="s">
        <v>23020</v>
      </c>
      <c r="AY2337" s="3" t="s">
        <v>23021</v>
      </c>
      <c r="AZ2337" s="3" t="s">
        <v>23022</v>
      </c>
      <c r="BA2337" s="3" t="s">
        <v>23022</v>
      </c>
      <c r="BB2337" s="3" t="s">
        <v>23023</v>
      </c>
      <c r="BC2337" s="3" t="s">
        <v>77</v>
      </c>
      <c r="BD2337" s="3" t="s">
        <v>78</v>
      </c>
      <c r="BE2337" s="3" t="s">
        <v>23024</v>
      </c>
      <c r="BF2337" s="3" t="s">
        <v>23023</v>
      </c>
      <c r="BG2337" s="3" t="s">
        <v>23025</v>
      </c>
    </row>
    <row r="2338" spans="1:59" ht="58" x14ac:dyDescent="0.35">
      <c r="A2338" s="2" t="s">
        <v>59</v>
      </c>
      <c r="B2338" s="2" t="s">
        <v>60</v>
      </c>
      <c r="C2338" s="2" t="s">
        <v>23026</v>
      </c>
      <c r="D2338" s="2" t="s">
        <v>23027</v>
      </c>
      <c r="E2338" s="2" t="s">
        <v>23028</v>
      </c>
      <c r="G2338" s="3" t="s">
        <v>65</v>
      </c>
      <c r="I2338" s="3" t="s">
        <v>65</v>
      </c>
      <c r="J2338" s="3" t="s">
        <v>209</v>
      </c>
      <c r="K2338" s="3" t="s">
        <v>66</v>
      </c>
      <c r="L2338" s="2" t="s">
        <v>23029</v>
      </c>
      <c r="M2338" s="2" t="s">
        <v>23030</v>
      </c>
      <c r="N2338" s="3" t="s">
        <v>364</v>
      </c>
      <c r="P2338" s="3" t="s">
        <v>140</v>
      </c>
      <c r="Q2338" s="2" t="s">
        <v>23031</v>
      </c>
      <c r="R2338" s="3" t="s">
        <v>71</v>
      </c>
      <c r="S2338" s="4">
        <v>10</v>
      </c>
      <c r="T2338" s="4">
        <v>10</v>
      </c>
      <c r="U2338" s="5" t="s">
        <v>23032</v>
      </c>
      <c r="V2338" s="5" t="s">
        <v>23032</v>
      </c>
      <c r="W2338" s="5" t="s">
        <v>72</v>
      </c>
      <c r="X2338" s="5" t="s">
        <v>72</v>
      </c>
      <c r="Y2338" s="4">
        <v>25</v>
      </c>
      <c r="Z2338" s="4">
        <v>1</v>
      </c>
      <c r="AA2338" s="4">
        <v>26</v>
      </c>
      <c r="AB2338" s="4">
        <v>1</v>
      </c>
      <c r="AC2338" s="4">
        <v>5</v>
      </c>
      <c r="AD2338" s="4">
        <v>11</v>
      </c>
      <c r="AE2338" s="4">
        <v>95</v>
      </c>
      <c r="AF2338" s="4">
        <v>0</v>
      </c>
      <c r="AG2338" s="4">
        <v>2</v>
      </c>
      <c r="AH2338" s="4">
        <v>11</v>
      </c>
      <c r="AI2338" s="4">
        <v>87</v>
      </c>
      <c r="AJ2338" s="4">
        <v>0</v>
      </c>
      <c r="AK2338" s="4">
        <v>14</v>
      </c>
      <c r="AL2338" s="4">
        <v>10</v>
      </c>
      <c r="AM2338" s="4">
        <v>49</v>
      </c>
      <c r="AN2338" s="4">
        <v>0</v>
      </c>
      <c r="AO2338" s="4">
        <v>10</v>
      </c>
      <c r="AP2338" s="4">
        <v>0</v>
      </c>
      <c r="AQ2338" s="4">
        <v>14</v>
      </c>
      <c r="AR2338" s="3" t="s">
        <v>65</v>
      </c>
      <c r="AS2338" s="3" t="s">
        <v>65</v>
      </c>
      <c r="AT2338" s="3" t="s">
        <v>65</v>
      </c>
      <c r="AV2338" s="6" t="str">
        <f>HYPERLINK("http://mcgill.on.worldcat.org/oclc/48485327","Catalog Record")</f>
        <v>Catalog Record</v>
      </c>
      <c r="AW2338" s="6" t="str">
        <f>HYPERLINK("http://www.worldcat.org/oclc/48485327","WorldCat Record")</f>
        <v>WorldCat Record</v>
      </c>
      <c r="AX2338" s="3" t="s">
        <v>23033</v>
      </c>
      <c r="AY2338" s="3" t="s">
        <v>23034</v>
      </c>
      <c r="AZ2338" s="3" t="s">
        <v>23035</v>
      </c>
      <c r="BA2338" s="3" t="s">
        <v>23035</v>
      </c>
      <c r="BB2338" s="3" t="s">
        <v>23036</v>
      </c>
      <c r="BC2338" s="3" t="s">
        <v>77</v>
      </c>
      <c r="BD2338" s="3" t="s">
        <v>78</v>
      </c>
      <c r="BE2338" s="3" t="s">
        <v>23037</v>
      </c>
      <c r="BF2338" s="3" t="s">
        <v>23036</v>
      </c>
      <c r="BG2338" s="3" t="s">
        <v>23038</v>
      </c>
    </row>
    <row r="2339" spans="1:59" ht="58" x14ac:dyDescent="0.35">
      <c r="A2339" s="2" t="s">
        <v>59</v>
      </c>
      <c r="B2339" s="2" t="s">
        <v>60</v>
      </c>
      <c r="C2339" s="2" t="s">
        <v>23039</v>
      </c>
      <c r="D2339" s="2" t="s">
        <v>23040</v>
      </c>
      <c r="E2339" s="2" t="s">
        <v>23041</v>
      </c>
      <c r="F2339" s="3" t="s">
        <v>10601</v>
      </c>
      <c r="G2339" s="3" t="s">
        <v>209</v>
      </c>
      <c r="I2339" s="3" t="s">
        <v>65</v>
      </c>
      <c r="J2339" s="3" t="s">
        <v>65</v>
      </c>
      <c r="K2339" s="3" t="s">
        <v>66</v>
      </c>
      <c r="L2339" s="2" t="s">
        <v>23029</v>
      </c>
      <c r="M2339" s="2" t="s">
        <v>23042</v>
      </c>
      <c r="N2339" s="3" t="s">
        <v>1032</v>
      </c>
      <c r="O2339" s="2" t="s">
        <v>6616</v>
      </c>
      <c r="P2339" s="3" t="s">
        <v>140</v>
      </c>
      <c r="Q2339" s="2" t="s">
        <v>23043</v>
      </c>
      <c r="R2339" s="3" t="s">
        <v>71</v>
      </c>
      <c r="S2339" s="4">
        <v>17</v>
      </c>
      <c r="T2339" s="4">
        <v>30</v>
      </c>
      <c r="U2339" s="5" t="s">
        <v>5949</v>
      </c>
      <c r="V2339" s="5" t="s">
        <v>5949</v>
      </c>
      <c r="W2339" s="5" t="s">
        <v>72</v>
      </c>
      <c r="X2339" s="5" t="s">
        <v>72</v>
      </c>
      <c r="Y2339" s="4">
        <v>137</v>
      </c>
      <c r="Z2339" s="4">
        <v>10</v>
      </c>
      <c r="AA2339" s="4">
        <v>10</v>
      </c>
      <c r="AB2339" s="4">
        <v>1</v>
      </c>
      <c r="AC2339" s="4">
        <v>1</v>
      </c>
      <c r="AD2339" s="4">
        <v>60</v>
      </c>
      <c r="AE2339" s="4">
        <v>62</v>
      </c>
      <c r="AF2339" s="4">
        <v>0</v>
      </c>
      <c r="AG2339" s="4">
        <v>0</v>
      </c>
      <c r="AH2339" s="4">
        <v>57</v>
      </c>
      <c r="AI2339" s="4">
        <v>59</v>
      </c>
      <c r="AJ2339" s="4">
        <v>6</v>
      </c>
      <c r="AK2339" s="4">
        <v>6</v>
      </c>
      <c r="AL2339" s="4">
        <v>41</v>
      </c>
      <c r="AM2339" s="4">
        <v>43</v>
      </c>
      <c r="AN2339" s="4">
        <v>0</v>
      </c>
      <c r="AO2339" s="4">
        <v>0</v>
      </c>
      <c r="AP2339" s="4">
        <v>6</v>
      </c>
      <c r="AQ2339" s="4">
        <v>6</v>
      </c>
      <c r="AR2339" s="3" t="s">
        <v>65</v>
      </c>
      <c r="AS2339" s="3" t="s">
        <v>65</v>
      </c>
      <c r="AT2339" s="3" t="s">
        <v>209</v>
      </c>
      <c r="AU2339" s="6" t="str">
        <f>HYPERLINK("http://catalog.hathitrust.org/Record/101972223","HathiTrust Record")</f>
        <v>HathiTrust Record</v>
      </c>
      <c r="AV2339" s="6" t="str">
        <f>HYPERLINK("http://mcgill.on.worldcat.org/oclc/34967359","Catalog Record")</f>
        <v>Catalog Record</v>
      </c>
      <c r="AW2339" s="6" t="str">
        <f>HYPERLINK("http://www.worldcat.org/oclc/34967359","WorldCat Record")</f>
        <v>WorldCat Record</v>
      </c>
      <c r="AX2339" s="3" t="s">
        <v>23044</v>
      </c>
      <c r="AY2339" s="3" t="s">
        <v>23045</v>
      </c>
      <c r="AZ2339" s="3" t="s">
        <v>23046</v>
      </c>
      <c r="BA2339" s="3" t="s">
        <v>23046</v>
      </c>
      <c r="BB2339" s="3" t="s">
        <v>23047</v>
      </c>
      <c r="BC2339" s="3" t="s">
        <v>77</v>
      </c>
      <c r="BD2339" s="3" t="s">
        <v>78</v>
      </c>
      <c r="BE2339" s="3" t="s">
        <v>23048</v>
      </c>
      <c r="BF2339" s="3" t="s">
        <v>23047</v>
      </c>
      <c r="BG2339" s="3" t="s">
        <v>23049</v>
      </c>
    </row>
    <row r="2340" spans="1:59" ht="58" x14ac:dyDescent="0.35">
      <c r="A2340" s="2" t="s">
        <v>59</v>
      </c>
      <c r="B2340" s="2" t="s">
        <v>60</v>
      </c>
      <c r="C2340" s="2" t="s">
        <v>23039</v>
      </c>
      <c r="D2340" s="2" t="s">
        <v>23040</v>
      </c>
      <c r="E2340" s="2" t="s">
        <v>23041</v>
      </c>
      <c r="F2340" s="3" t="s">
        <v>10617</v>
      </c>
      <c r="G2340" s="3" t="s">
        <v>209</v>
      </c>
      <c r="I2340" s="3" t="s">
        <v>65</v>
      </c>
      <c r="J2340" s="3" t="s">
        <v>65</v>
      </c>
      <c r="K2340" s="3" t="s">
        <v>66</v>
      </c>
      <c r="L2340" s="2" t="s">
        <v>23029</v>
      </c>
      <c r="M2340" s="2" t="s">
        <v>23042</v>
      </c>
      <c r="N2340" s="3" t="s">
        <v>1032</v>
      </c>
      <c r="O2340" s="2" t="s">
        <v>6616</v>
      </c>
      <c r="P2340" s="3" t="s">
        <v>140</v>
      </c>
      <c r="Q2340" s="2" t="s">
        <v>23043</v>
      </c>
      <c r="R2340" s="3" t="s">
        <v>71</v>
      </c>
      <c r="S2340" s="4">
        <v>13</v>
      </c>
      <c r="T2340" s="4">
        <v>30</v>
      </c>
      <c r="U2340" s="5" t="s">
        <v>5949</v>
      </c>
      <c r="V2340" s="5" t="s">
        <v>5949</v>
      </c>
      <c r="W2340" s="5" t="s">
        <v>72</v>
      </c>
      <c r="X2340" s="5" t="s">
        <v>72</v>
      </c>
      <c r="Y2340" s="4">
        <v>137</v>
      </c>
      <c r="Z2340" s="4">
        <v>10</v>
      </c>
      <c r="AA2340" s="4">
        <v>10</v>
      </c>
      <c r="AB2340" s="4">
        <v>1</v>
      </c>
      <c r="AC2340" s="4">
        <v>1</v>
      </c>
      <c r="AD2340" s="4">
        <v>60</v>
      </c>
      <c r="AE2340" s="4">
        <v>62</v>
      </c>
      <c r="AF2340" s="4">
        <v>0</v>
      </c>
      <c r="AG2340" s="4">
        <v>0</v>
      </c>
      <c r="AH2340" s="4">
        <v>57</v>
      </c>
      <c r="AI2340" s="4">
        <v>59</v>
      </c>
      <c r="AJ2340" s="4">
        <v>6</v>
      </c>
      <c r="AK2340" s="4">
        <v>6</v>
      </c>
      <c r="AL2340" s="4">
        <v>41</v>
      </c>
      <c r="AM2340" s="4">
        <v>43</v>
      </c>
      <c r="AN2340" s="4">
        <v>0</v>
      </c>
      <c r="AO2340" s="4">
        <v>0</v>
      </c>
      <c r="AP2340" s="4">
        <v>6</v>
      </c>
      <c r="AQ2340" s="4">
        <v>6</v>
      </c>
      <c r="AR2340" s="3" t="s">
        <v>65</v>
      </c>
      <c r="AS2340" s="3" t="s">
        <v>65</v>
      </c>
      <c r="AT2340" s="3" t="s">
        <v>209</v>
      </c>
      <c r="AU2340" s="6" t="str">
        <f>HYPERLINK("http://catalog.hathitrust.org/Record/101972223","HathiTrust Record")</f>
        <v>HathiTrust Record</v>
      </c>
      <c r="AV2340" s="6" t="str">
        <f>HYPERLINK("http://mcgill.on.worldcat.org/oclc/34967359","Catalog Record")</f>
        <v>Catalog Record</v>
      </c>
      <c r="AW2340" s="6" t="str">
        <f>HYPERLINK("http://www.worldcat.org/oclc/34967359","WorldCat Record")</f>
        <v>WorldCat Record</v>
      </c>
      <c r="AX2340" s="3" t="s">
        <v>23044</v>
      </c>
      <c r="AY2340" s="3" t="s">
        <v>23045</v>
      </c>
      <c r="AZ2340" s="3" t="s">
        <v>23046</v>
      </c>
      <c r="BA2340" s="3" t="s">
        <v>23046</v>
      </c>
      <c r="BB2340" s="3" t="s">
        <v>23050</v>
      </c>
      <c r="BC2340" s="3" t="s">
        <v>77</v>
      </c>
      <c r="BD2340" s="3" t="s">
        <v>78</v>
      </c>
      <c r="BE2340" s="3" t="s">
        <v>23048</v>
      </c>
      <c r="BF2340" s="3" t="s">
        <v>23050</v>
      </c>
      <c r="BG2340" s="3" t="s">
        <v>23051</v>
      </c>
    </row>
    <row r="2341" spans="1:59" ht="58" x14ac:dyDescent="0.35">
      <c r="A2341" s="2" t="s">
        <v>59</v>
      </c>
      <c r="B2341" s="2" t="s">
        <v>60</v>
      </c>
      <c r="C2341" s="2" t="s">
        <v>23052</v>
      </c>
      <c r="D2341" s="2" t="s">
        <v>23053</v>
      </c>
      <c r="E2341" s="2" t="s">
        <v>23054</v>
      </c>
      <c r="G2341" s="3" t="s">
        <v>65</v>
      </c>
      <c r="I2341" s="3" t="s">
        <v>65</v>
      </c>
      <c r="J2341" s="3" t="s">
        <v>65</v>
      </c>
      <c r="K2341" s="3" t="s">
        <v>66</v>
      </c>
      <c r="L2341" s="2" t="s">
        <v>23029</v>
      </c>
      <c r="M2341" s="2" t="s">
        <v>23055</v>
      </c>
      <c r="N2341" s="3" t="s">
        <v>863</v>
      </c>
      <c r="P2341" s="3" t="s">
        <v>69</v>
      </c>
      <c r="R2341" s="3" t="s">
        <v>71</v>
      </c>
      <c r="S2341" s="4">
        <v>50</v>
      </c>
      <c r="T2341" s="4">
        <v>50</v>
      </c>
      <c r="U2341" s="5" t="s">
        <v>23056</v>
      </c>
      <c r="V2341" s="5" t="s">
        <v>23056</v>
      </c>
      <c r="W2341" s="5" t="s">
        <v>72</v>
      </c>
      <c r="X2341" s="5" t="s">
        <v>72</v>
      </c>
      <c r="Y2341" s="4">
        <v>10</v>
      </c>
      <c r="Z2341" s="4">
        <v>2</v>
      </c>
      <c r="AA2341" s="4">
        <v>2</v>
      </c>
      <c r="AB2341" s="4">
        <v>1</v>
      </c>
      <c r="AC2341" s="4">
        <v>1</v>
      </c>
      <c r="AD2341" s="4">
        <v>1</v>
      </c>
      <c r="AE2341" s="4">
        <v>9</v>
      </c>
      <c r="AF2341" s="4">
        <v>0</v>
      </c>
      <c r="AG2341" s="4">
        <v>0</v>
      </c>
      <c r="AH2341" s="4">
        <v>1</v>
      </c>
      <c r="AI2341" s="4">
        <v>9</v>
      </c>
      <c r="AJ2341" s="4">
        <v>1</v>
      </c>
      <c r="AK2341" s="4">
        <v>1</v>
      </c>
      <c r="AL2341" s="4">
        <v>0</v>
      </c>
      <c r="AM2341" s="4">
        <v>6</v>
      </c>
      <c r="AN2341" s="4">
        <v>0</v>
      </c>
      <c r="AO2341" s="4">
        <v>0</v>
      </c>
      <c r="AP2341" s="4">
        <v>1</v>
      </c>
      <c r="AQ2341" s="4">
        <v>1</v>
      </c>
      <c r="AR2341" s="3" t="s">
        <v>65</v>
      </c>
      <c r="AS2341" s="3" t="s">
        <v>65</v>
      </c>
      <c r="AT2341" s="3" t="s">
        <v>209</v>
      </c>
      <c r="AU2341" s="6" t="str">
        <f>HYPERLINK("http://catalog.hathitrust.org/Record/007963309","HathiTrust Record")</f>
        <v>HathiTrust Record</v>
      </c>
      <c r="AV2341" s="6" t="str">
        <f>HYPERLINK("http://mcgill.on.worldcat.org/oclc/427955999","Catalog Record")</f>
        <v>Catalog Record</v>
      </c>
      <c r="AW2341" s="6" t="str">
        <f>HYPERLINK("http://www.worldcat.org/oclc/427955999","WorldCat Record")</f>
        <v>WorldCat Record</v>
      </c>
      <c r="AX2341" s="3" t="s">
        <v>23057</v>
      </c>
      <c r="AY2341" s="3" t="s">
        <v>23058</v>
      </c>
      <c r="AZ2341" s="3" t="s">
        <v>23059</v>
      </c>
      <c r="BA2341" s="3" t="s">
        <v>23059</v>
      </c>
      <c r="BB2341" s="3" t="s">
        <v>23060</v>
      </c>
      <c r="BC2341" s="3" t="s">
        <v>77</v>
      </c>
      <c r="BD2341" s="3" t="s">
        <v>78</v>
      </c>
      <c r="BE2341" s="3" t="s">
        <v>23061</v>
      </c>
      <c r="BF2341" s="3" t="s">
        <v>23060</v>
      </c>
      <c r="BG2341" s="3" t="s">
        <v>23062</v>
      </c>
    </row>
    <row r="2342" spans="1:59" ht="58" x14ac:dyDescent="0.35">
      <c r="A2342" s="2" t="s">
        <v>59</v>
      </c>
      <c r="B2342" s="2" t="s">
        <v>60</v>
      </c>
      <c r="C2342" s="2" t="s">
        <v>23063</v>
      </c>
      <c r="D2342" s="2" t="s">
        <v>23064</v>
      </c>
      <c r="E2342" s="2" t="s">
        <v>23065</v>
      </c>
      <c r="F2342" s="3" t="s">
        <v>258</v>
      </c>
      <c r="G2342" s="3" t="s">
        <v>209</v>
      </c>
      <c r="I2342" s="3" t="s">
        <v>209</v>
      </c>
      <c r="J2342" s="3" t="s">
        <v>65</v>
      </c>
      <c r="K2342" s="3" t="s">
        <v>66</v>
      </c>
      <c r="L2342" s="2" t="s">
        <v>23029</v>
      </c>
      <c r="M2342" s="2" t="s">
        <v>23066</v>
      </c>
      <c r="N2342" s="3" t="s">
        <v>770</v>
      </c>
      <c r="O2342" s="2" t="s">
        <v>6616</v>
      </c>
      <c r="P2342" s="3" t="s">
        <v>140</v>
      </c>
      <c r="Q2342" s="2" t="s">
        <v>6617</v>
      </c>
      <c r="R2342" s="3" t="s">
        <v>71</v>
      </c>
      <c r="S2342" s="4">
        <v>28</v>
      </c>
      <c r="T2342" s="4">
        <v>70</v>
      </c>
      <c r="U2342" s="5" t="s">
        <v>23067</v>
      </c>
      <c r="V2342" s="5" t="s">
        <v>7003</v>
      </c>
      <c r="W2342" s="5" t="s">
        <v>72</v>
      </c>
      <c r="X2342" s="5" t="s">
        <v>72</v>
      </c>
      <c r="Y2342" s="4">
        <v>139</v>
      </c>
      <c r="Z2342" s="4">
        <v>8</v>
      </c>
      <c r="AA2342" s="4">
        <v>9</v>
      </c>
      <c r="AB2342" s="4">
        <v>1</v>
      </c>
      <c r="AC2342" s="4">
        <v>1</v>
      </c>
      <c r="AD2342" s="4">
        <v>70</v>
      </c>
      <c r="AE2342" s="4">
        <v>72</v>
      </c>
      <c r="AF2342" s="4">
        <v>0</v>
      </c>
      <c r="AG2342" s="4">
        <v>0</v>
      </c>
      <c r="AH2342" s="4">
        <v>67</v>
      </c>
      <c r="AI2342" s="4">
        <v>68</v>
      </c>
      <c r="AJ2342" s="4">
        <v>5</v>
      </c>
      <c r="AK2342" s="4">
        <v>5</v>
      </c>
      <c r="AL2342" s="4">
        <v>50</v>
      </c>
      <c r="AM2342" s="4">
        <v>51</v>
      </c>
      <c r="AN2342" s="4">
        <v>0</v>
      </c>
      <c r="AO2342" s="4">
        <v>0</v>
      </c>
      <c r="AP2342" s="4">
        <v>5</v>
      </c>
      <c r="AQ2342" s="4">
        <v>6</v>
      </c>
      <c r="AR2342" s="3" t="s">
        <v>65</v>
      </c>
      <c r="AS2342" s="3" t="s">
        <v>65</v>
      </c>
      <c r="AT2342" s="3" t="s">
        <v>209</v>
      </c>
      <c r="AU2342" s="6" t="str">
        <f t="shared" ref="AU2342:AU2347" si="36">HYPERLINK("http://catalog.hathitrust.org/Record/002559630","HathiTrust Record")</f>
        <v>HathiTrust Record</v>
      </c>
      <c r="AV2342" s="6" t="str">
        <f t="shared" ref="AV2342:AV2347" si="37">HYPERLINK("http://mcgill.on.worldcat.org/oclc/25583755","Catalog Record")</f>
        <v>Catalog Record</v>
      </c>
      <c r="AW2342" s="6" t="str">
        <f t="shared" ref="AW2342:AW2347" si="38">HYPERLINK("http://www.worldcat.org/oclc/25583755","WorldCat Record")</f>
        <v>WorldCat Record</v>
      </c>
      <c r="AX2342" s="3" t="s">
        <v>23068</v>
      </c>
      <c r="AY2342" s="3" t="s">
        <v>23069</v>
      </c>
      <c r="AZ2342" s="3" t="s">
        <v>23070</v>
      </c>
      <c r="BA2342" s="3" t="s">
        <v>23070</v>
      </c>
      <c r="BB2342" s="3" t="s">
        <v>23071</v>
      </c>
      <c r="BC2342" s="3" t="s">
        <v>77</v>
      </c>
      <c r="BD2342" s="3" t="s">
        <v>78</v>
      </c>
      <c r="BE2342" s="3" t="s">
        <v>23072</v>
      </c>
      <c r="BF2342" s="3" t="s">
        <v>23071</v>
      </c>
      <c r="BG2342" s="3" t="s">
        <v>23073</v>
      </c>
    </row>
    <row r="2343" spans="1:59" ht="58" x14ac:dyDescent="0.35">
      <c r="A2343" s="2" t="s">
        <v>59</v>
      </c>
      <c r="B2343" s="2" t="s">
        <v>60</v>
      </c>
      <c r="C2343" s="2" t="s">
        <v>23063</v>
      </c>
      <c r="D2343" s="2" t="s">
        <v>23064</v>
      </c>
      <c r="E2343" s="2" t="s">
        <v>23065</v>
      </c>
      <c r="F2343" s="3" t="s">
        <v>245</v>
      </c>
      <c r="G2343" s="3" t="s">
        <v>209</v>
      </c>
      <c r="I2343" s="3" t="s">
        <v>209</v>
      </c>
      <c r="J2343" s="3" t="s">
        <v>65</v>
      </c>
      <c r="K2343" s="3" t="s">
        <v>66</v>
      </c>
      <c r="L2343" s="2" t="s">
        <v>23029</v>
      </c>
      <c r="M2343" s="2" t="s">
        <v>23066</v>
      </c>
      <c r="N2343" s="3" t="s">
        <v>770</v>
      </c>
      <c r="O2343" s="2" t="s">
        <v>6616</v>
      </c>
      <c r="P2343" s="3" t="s">
        <v>140</v>
      </c>
      <c r="Q2343" s="2" t="s">
        <v>6617</v>
      </c>
      <c r="R2343" s="3" t="s">
        <v>71</v>
      </c>
      <c r="S2343" s="4">
        <v>5</v>
      </c>
      <c r="T2343" s="4">
        <v>70</v>
      </c>
      <c r="U2343" s="5" t="s">
        <v>23074</v>
      </c>
      <c r="V2343" s="5" t="s">
        <v>7003</v>
      </c>
      <c r="W2343" s="5" t="s">
        <v>72</v>
      </c>
      <c r="X2343" s="5" t="s">
        <v>72</v>
      </c>
      <c r="Y2343" s="4">
        <v>139</v>
      </c>
      <c r="Z2343" s="4">
        <v>8</v>
      </c>
      <c r="AA2343" s="4">
        <v>9</v>
      </c>
      <c r="AB2343" s="4">
        <v>1</v>
      </c>
      <c r="AC2343" s="4">
        <v>1</v>
      </c>
      <c r="AD2343" s="4">
        <v>70</v>
      </c>
      <c r="AE2343" s="4">
        <v>72</v>
      </c>
      <c r="AF2343" s="4">
        <v>0</v>
      </c>
      <c r="AG2343" s="4">
        <v>0</v>
      </c>
      <c r="AH2343" s="4">
        <v>67</v>
      </c>
      <c r="AI2343" s="4">
        <v>68</v>
      </c>
      <c r="AJ2343" s="4">
        <v>5</v>
      </c>
      <c r="AK2343" s="4">
        <v>5</v>
      </c>
      <c r="AL2343" s="4">
        <v>50</v>
      </c>
      <c r="AM2343" s="4">
        <v>51</v>
      </c>
      <c r="AN2343" s="4">
        <v>0</v>
      </c>
      <c r="AO2343" s="4">
        <v>0</v>
      </c>
      <c r="AP2343" s="4">
        <v>5</v>
      </c>
      <c r="AQ2343" s="4">
        <v>6</v>
      </c>
      <c r="AR2343" s="3" t="s">
        <v>65</v>
      </c>
      <c r="AS2343" s="3" t="s">
        <v>65</v>
      </c>
      <c r="AT2343" s="3" t="s">
        <v>209</v>
      </c>
      <c r="AU2343" s="6" t="str">
        <f t="shared" si="36"/>
        <v>HathiTrust Record</v>
      </c>
      <c r="AV2343" s="6" t="str">
        <f t="shared" si="37"/>
        <v>Catalog Record</v>
      </c>
      <c r="AW2343" s="6" t="str">
        <f t="shared" si="38"/>
        <v>WorldCat Record</v>
      </c>
      <c r="AX2343" s="3" t="s">
        <v>23068</v>
      </c>
      <c r="AY2343" s="3" t="s">
        <v>23069</v>
      </c>
      <c r="AZ2343" s="3" t="s">
        <v>23070</v>
      </c>
      <c r="BA2343" s="3" t="s">
        <v>23070</v>
      </c>
      <c r="BB2343" s="3" t="s">
        <v>23075</v>
      </c>
      <c r="BC2343" s="3" t="s">
        <v>77</v>
      </c>
      <c r="BD2343" s="3" t="s">
        <v>78</v>
      </c>
      <c r="BE2343" s="3" t="s">
        <v>23072</v>
      </c>
      <c r="BF2343" s="3" t="s">
        <v>23075</v>
      </c>
      <c r="BG2343" s="3" t="s">
        <v>23076</v>
      </c>
    </row>
    <row r="2344" spans="1:59" ht="58" x14ac:dyDescent="0.35">
      <c r="A2344" s="2" t="s">
        <v>59</v>
      </c>
      <c r="B2344" s="2" t="s">
        <v>60</v>
      </c>
      <c r="C2344" s="2" t="s">
        <v>23063</v>
      </c>
      <c r="D2344" s="2" t="s">
        <v>23064</v>
      </c>
      <c r="E2344" s="2" t="s">
        <v>23065</v>
      </c>
      <c r="F2344" s="3" t="s">
        <v>245</v>
      </c>
      <c r="G2344" s="3" t="s">
        <v>209</v>
      </c>
      <c r="I2344" s="3" t="s">
        <v>209</v>
      </c>
      <c r="J2344" s="3" t="s">
        <v>65</v>
      </c>
      <c r="K2344" s="3" t="s">
        <v>66</v>
      </c>
      <c r="L2344" s="2" t="s">
        <v>23029</v>
      </c>
      <c r="M2344" s="2" t="s">
        <v>23066</v>
      </c>
      <c r="N2344" s="3" t="s">
        <v>770</v>
      </c>
      <c r="O2344" s="2" t="s">
        <v>6616</v>
      </c>
      <c r="P2344" s="3" t="s">
        <v>140</v>
      </c>
      <c r="Q2344" s="2" t="s">
        <v>6617</v>
      </c>
      <c r="R2344" s="3" t="s">
        <v>71</v>
      </c>
      <c r="S2344" s="4">
        <v>24</v>
      </c>
      <c r="T2344" s="4">
        <v>70</v>
      </c>
      <c r="U2344" s="5" t="s">
        <v>7003</v>
      </c>
      <c r="V2344" s="5" t="s">
        <v>7003</v>
      </c>
      <c r="W2344" s="5" t="s">
        <v>72</v>
      </c>
      <c r="X2344" s="5" t="s">
        <v>72</v>
      </c>
      <c r="Y2344" s="4">
        <v>139</v>
      </c>
      <c r="Z2344" s="4">
        <v>8</v>
      </c>
      <c r="AA2344" s="4">
        <v>9</v>
      </c>
      <c r="AB2344" s="4">
        <v>1</v>
      </c>
      <c r="AC2344" s="4">
        <v>1</v>
      </c>
      <c r="AD2344" s="4">
        <v>70</v>
      </c>
      <c r="AE2344" s="4">
        <v>72</v>
      </c>
      <c r="AF2344" s="4">
        <v>0</v>
      </c>
      <c r="AG2344" s="4">
        <v>0</v>
      </c>
      <c r="AH2344" s="4">
        <v>67</v>
      </c>
      <c r="AI2344" s="4">
        <v>68</v>
      </c>
      <c r="AJ2344" s="4">
        <v>5</v>
      </c>
      <c r="AK2344" s="4">
        <v>5</v>
      </c>
      <c r="AL2344" s="4">
        <v>50</v>
      </c>
      <c r="AM2344" s="4">
        <v>51</v>
      </c>
      <c r="AN2344" s="4">
        <v>0</v>
      </c>
      <c r="AO2344" s="4">
        <v>0</v>
      </c>
      <c r="AP2344" s="4">
        <v>5</v>
      </c>
      <c r="AQ2344" s="4">
        <v>6</v>
      </c>
      <c r="AR2344" s="3" t="s">
        <v>65</v>
      </c>
      <c r="AS2344" s="3" t="s">
        <v>65</v>
      </c>
      <c r="AT2344" s="3" t="s">
        <v>209</v>
      </c>
      <c r="AU2344" s="6" t="str">
        <f t="shared" si="36"/>
        <v>HathiTrust Record</v>
      </c>
      <c r="AV2344" s="6" t="str">
        <f t="shared" si="37"/>
        <v>Catalog Record</v>
      </c>
      <c r="AW2344" s="6" t="str">
        <f t="shared" si="38"/>
        <v>WorldCat Record</v>
      </c>
      <c r="AX2344" s="3" t="s">
        <v>23068</v>
      </c>
      <c r="AY2344" s="3" t="s">
        <v>23069</v>
      </c>
      <c r="AZ2344" s="3" t="s">
        <v>23070</v>
      </c>
      <c r="BA2344" s="3" t="s">
        <v>23070</v>
      </c>
      <c r="BB2344" s="3" t="s">
        <v>23077</v>
      </c>
      <c r="BC2344" s="3" t="s">
        <v>77</v>
      </c>
      <c r="BD2344" s="3" t="s">
        <v>78</v>
      </c>
      <c r="BE2344" s="3" t="s">
        <v>23072</v>
      </c>
      <c r="BF2344" s="3" t="s">
        <v>23077</v>
      </c>
      <c r="BG2344" s="3" t="s">
        <v>23078</v>
      </c>
    </row>
    <row r="2345" spans="1:59" ht="58" x14ac:dyDescent="0.35">
      <c r="A2345" s="2" t="s">
        <v>59</v>
      </c>
      <c r="B2345" s="2" t="s">
        <v>60</v>
      </c>
      <c r="C2345" s="2" t="s">
        <v>23063</v>
      </c>
      <c r="D2345" s="2" t="s">
        <v>23064</v>
      </c>
      <c r="E2345" s="2" t="s">
        <v>23065</v>
      </c>
      <c r="F2345" s="3" t="s">
        <v>255</v>
      </c>
      <c r="G2345" s="3" t="s">
        <v>209</v>
      </c>
      <c r="I2345" s="3" t="s">
        <v>209</v>
      </c>
      <c r="J2345" s="3" t="s">
        <v>65</v>
      </c>
      <c r="K2345" s="3" t="s">
        <v>66</v>
      </c>
      <c r="L2345" s="2" t="s">
        <v>23029</v>
      </c>
      <c r="M2345" s="2" t="s">
        <v>23066</v>
      </c>
      <c r="N2345" s="3" t="s">
        <v>770</v>
      </c>
      <c r="O2345" s="2" t="s">
        <v>6616</v>
      </c>
      <c r="P2345" s="3" t="s">
        <v>140</v>
      </c>
      <c r="Q2345" s="2" t="s">
        <v>6617</v>
      </c>
      <c r="R2345" s="3" t="s">
        <v>71</v>
      </c>
      <c r="S2345" s="4">
        <v>1</v>
      </c>
      <c r="T2345" s="4">
        <v>70</v>
      </c>
      <c r="U2345" s="5" t="s">
        <v>23079</v>
      </c>
      <c r="V2345" s="5" t="s">
        <v>7003</v>
      </c>
      <c r="W2345" s="5" t="s">
        <v>72</v>
      </c>
      <c r="X2345" s="5" t="s">
        <v>72</v>
      </c>
      <c r="Y2345" s="4">
        <v>139</v>
      </c>
      <c r="Z2345" s="4">
        <v>8</v>
      </c>
      <c r="AA2345" s="4">
        <v>9</v>
      </c>
      <c r="AB2345" s="4">
        <v>1</v>
      </c>
      <c r="AC2345" s="4">
        <v>1</v>
      </c>
      <c r="AD2345" s="4">
        <v>70</v>
      </c>
      <c r="AE2345" s="4">
        <v>72</v>
      </c>
      <c r="AF2345" s="4">
        <v>0</v>
      </c>
      <c r="AG2345" s="4">
        <v>0</v>
      </c>
      <c r="AH2345" s="4">
        <v>67</v>
      </c>
      <c r="AI2345" s="4">
        <v>68</v>
      </c>
      <c r="AJ2345" s="4">
        <v>5</v>
      </c>
      <c r="AK2345" s="4">
        <v>5</v>
      </c>
      <c r="AL2345" s="4">
        <v>50</v>
      </c>
      <c r="AM2345" s="4">
        <v>51</v>
      </c>
      <c r="AN2345" s="4">
        <v>0</v>
      </c>
      <c r="AO2345" s="4">
        <v>0</v>
      </c>
      <c r="AP2345" s="4">
        <v>5</v>
      </c>
      <c r="AQ2345" s="4">
        <v>6</v>
      </c>
      <c r="AR2345" s="3" t="s">
        <v>65</v>
      </c>
      <c r="AS2345" s="3" t="s">
        <v>65</v>
      </c>
      <c r="AT2345" s="3" t="s">
        <v>209</v>
      </c>
      <c r="AU2345" s="6" t="str">
        <f t="shared" si="36"/>
        <v>HathiTrust Record</v>
      </c>
      <c r="AV2345" s="6" t="str">
        <f t="shared" si="37"/>
        <v>Catalog Record</v>
      </c>
      <c r="AW2345" s="6" t="str">
        <f t="shared" si="38"/>
        <v>WorldCat Record</v>
      </c>
      <c r="AX2345" s="3" t="s">
        <v>23068</v>
      </c>
      <c r="AY2345" s="3" t="s">
        <v>23069</v>
      </c>
      <c r="AZ2345" s="3" t="s">
        <v>23070</v>
      </c>
      <c r="BA2345" s="3" t="s">
        <v>23070</v>
      </c>
      <c r="BB2345" s="3" t="s">
        <v>23080</v>
      </c>
      <c r="BC2345" s="3" t="s">
        <v>77</v>
      </c>
      <c r="BD2345" s="3" t="s">
        <v>78</v>
      </c>
      <c r="BE2345" s="3" t="s">
        <v>23072</v>
      </c>
      <c r="BF2345" s="3" t="s">
        <v>23080</v>
      </c>
      <c r="BG2345" s="3" t="s">
        <v>23081</v>
      </c>
    </row>
    <row r="2346" spans="1:59" ht="58" x14ac:dyDescent="0.35">
      <c r="A2346" s="2" t="s">
        <v>59</v>
      </c>
      <c r="B2346" s="2" t="s">
        <v>60</v>
      </c>
      <c r="C2346" s="2" t="s">
        <v>23063</v>
      </c>
      <c r="D2346" s="2" t="s">
        <v>23064</v>
      </c>
      <c r="E2346" s="2" t="s">
        <v>23065</v>
      </c>
      <c r="F2346" s="3" t="s">
        <v>258</v>
      </c>
      <c r="G2346" s="3" t="s">
        <v>209</v>
      </c>
      <c r="I2346" s="3" t="s">
        <v>209</v>
      </c>
      <c r="J2346" s="3" t="s">
        <v>65</v>
      </c>
      <c r="K2346" s="3" t="s">
        <v>66</v>
      </c>
      <c r="L2346" s="2" t="s">
        <v>23029</v>
      </c>
      <c r="M2346" s="2" t="s">
        <v>23066</v>
      </c>
      <c r="N2346" s="3" t="s">
        <v>770</v>
      </c>
      <c r="O2346" s="2" t="s">
        <v>6616</v>
      </c>
      <c r="P2346" s="3" t="s">
        <v>140</v>
      </c>
      <c r="Q2346" s="2" t="s">
        <v>6617</v>
      </c>
      <c r="R2346" s="3" t="s">
        <v>71</v>
      </c>
      <c r="S2346" s="4">
        <v>6</v>
      </c>
      <c r="T2346" s="4">
        <v>70</v>
      </c>
      <c r="U2346" s="5" t="s">
        <v>13773</v>
      </c>
      <c r="V2346" s="5" t="s">
        <v>7003</v>
      </c>
      <c r="W2346" s="5" t="s">
        <v>72</v>
      </c>
      <c r="X2346" s="5" t="s">
        <v>72</v>
      </c>
      <c r="Y2346" s="4">
        <v>139</v>
      </c>
      <c r="Z2346" s="4">
        <v>8</v>
      </c>
      <c r="AA2346" s="4">
        <v>9</v>
      </c>
      <c r="AB2346" s="4">
        <v>1</v>
      </c>
      <c r="AC2346" s="4">
        <v>1</v>
      </c>
      <c r="AD2346" s="4">
        <v>70</v>
      </c>
      <c r="AE2346" s="4">
        <v>72</v>
      </c>
      <c r="AF2346" s="4">
        <v>0</v>
      </c>
      <c r="AG2346" s="4">
        <v>0</v>
      </c>
      <c r="AH2346" s="4">
        <v>67</v>
      </c>
      <c r="AI2346" s="4">
        <v>68</v>
      </c>
      <c r="AJ2346" s="4">
        <v>5</v>
      </c>
      <c r="AK2346" s="4">
        <v>5</v>
      </c>
      <c r="AL2346" s="4">
        <v>50</v>
      </c>
      <c r="AM2346" s="4">
        <v>51</v>
      </c>
      <c r="AN2346" s="4">
        <v>0</v>
      </c>
      <c r="AO2346" s="4">
        <v>0</v>
      </c>
      <c r="AP2346" s="4">
        <v>5</v>
      </c>
      <c r="AQ2346" s="4">
        <v>6</v>
      </c>
      <c r="AR2346" s="3" t="s">
        <v>65</v>
      </c>
      <c r="AS2346" s="3" t="s">
        <v>65</v>
      </c>
      <c r="AT2346" s="3" t="s">
        <v>209</v>
      </c>
      <c r="AU2346" s="6" t="str">
        <f t="shared" si="36"/>
        <v>HathiTrust Record</v>
      </c>
      <c r="AV2346" s="6" t="str">
        <f t="shared" si="37"/>
        <v>Catalog Record</v>
      </c>
      <c r="AW2346" s="6" t="str">
        <f t="shared" si="38"/>
        <v>WorldCat Record</v>
      </c>
      <c r="AX2346" s="3" t="s">
        <v>23068</v>
      </c>
      <c r="AY2346" s="3" t="s">
        <v>23069</v>
      </c>
      <c r="AZ2346" s="3" t="s">
        <v>23070</v>
      </c>
      <c r="BA2346" s="3" t="s">
        <v>23070</v>
      </c>
      <c r="BB2346" s="3" t="s">
        <v>23082</v>
      </c>
      <c r="BC2346" s="3" t="s">
        <v>77</v>
      </c>
      <c r="BD2346" s="3" t="s">
        <v>78</v>
      </c>
      <c r="BE2346" s="3" t="s">
        <v>23072</v>
      </c>
      <c r="BF2346" s="3" t="s">
        <v>23082</v>
      </c>
      <c r="BG2346" s="3" t="s">
        <v>23083</v>
      </c>
    </row>
    <row r="2347" spans="1:59" ht="58" x14ac:dyDescent="0.35">
      <c r="A2347" s="2" t="s">
        <v>59</v>
      </c>
      <c r="B2347" s="2" t="s">
        <v>60</v>
      </c>
      <c r="C2347" s="2" t="s">
        <v>23063</v>
      </c>
      <c r="D2347" s="2" t="s">
        <v>23064</v>
      </c>
      <c r="E2347" s="2" t="s">
        <v>23065</v>
      </c>
      <c r="F2347" s="3" t="s">
        <v>255</v>
      </c>
      <c r="G2347" s="3" t="s">
        <v>209</v>
      </c>
      <c r="I2347" s="3" t="s">
        <v>209</v>
      </c>
      <c r="J2347" s="3" t="s">
        <v>65</v>
      </c>
      <c r="K2347" s="3" t="s">
        <v>66</v>
      </c>
      <c r="L2347" s="2" t="s">
        <v>23029</v>
      </c>
      <c r="M2347" s="2" t="s">
        <v>23066</v>
      </c>
      <c r="N2347" s="3" t="s">
        <v>770</v>
      </c>
      <c r="O2347" s="2" t="s">
        <v>6616</v>
      </c>
      <c r="P2347" s="3" t="s">
        <v>140</v>
      </c>
      <c r="Q2347" s="2" t="s">
        <v>6617</v>
      </c>
      <c r="R2347" s="3" t="s">
        <v>71</v>
      </c>
      <c r="S2347" s="4">
        <v>6</v>
      </c>
      <c r="T2347" s="4">
        <v>70</v>
      </c>
      <c r="U2347" s="5" t="s">
        <v>23084</v>
      </c>
      <c r="V2347" s="5" t="s">
        <v>7003</v>
      </c>
      <c r="W2347" s="5" t="s">
        <v>72</v>
      </c>
      <c r="X2347" s="5" t="s">
        <v>72</v>
      </c>
      <c r="Y2347" s="4">
        <v>139</v>
      </c>
      <c r="Z2347" s="4">
        <v>8</v>
      </c>
      <c r="AA2347" s="4">
        <v>9</v>
      </c>
      <c r="AB2347" s="4">
        <v>1</v>
      </c>
      <c r="AC2347" s="4">
        <v>1</v>
      </c>
      <c r="AD2347" s="4">
        <v>70</v>
      </c>
      <c r="AE2347" s="4">
        <v>72</v>
      </c>
      <c r="AF2347" s="4">
        <v>0</v>
      </c>
      <c r="AG2347" s="4">
        <v>0</v>
      </c>
      <c r="AH2347" s="4">
        <v>67</v>
      </c>
      <c r="AI2347" s="4">
        <v>68</v>
      </c>
      <c r="AJ2347" s="4">
        <v>5</v>
      </c>
      <c r="AK2347" s="4">
        <v>5</v>
      </c>
      <c r="AL2347" s="4">
        <v>50</v>
      </c>
      <c r="AM2347" s="4">
        <v>51</v>
      </c>
      <c r="AN2347" s="4">
        <v>0</v>
      </c>
      <c r="AO2347" s="4">
        <v>0</v>
      </c>
      <c r="AP2347" s="4">
        <v>5</v>
      </c>
      <c r="AQ2347" s="4">
        <v>6</v>
      </c>
      <c r="AR2347" s="3" t="s">
        <v>65</v>
      </c>
      <c r="AS2347" s="3" t="s">
        <v>65</v>
      </c>
      <c r="AT2347" s="3" t="s">
        <v>209</v>
      </c>
      <c r="AU2347" s="6" t="str">
        <f t="shared" si="36"/>
        <v>HathiTrust Record</v>
      </c>
      <c r="AV2347" s="6" t="str">
        <f t="shared" si="37"/>
        <v>Catalog Record</v>
      </c>
      <c r="AW2347" s="6" t="str">
        <f t="shared" si="38"/>
        <v>WorldCat Record</v>
      </c>
      <c r="AX2347" s="3" t="s">
        <v>23068</v>
      </c>
      <c r="AY2347" s="3" t="s">
        <v>23069</v>
      </c>
      <c r="AZ2347" s="3" t="s">
        <v>23070</v>
      </c>
      <c r="BA2347" s="3" t="s">
        <v>23070</v>
      </c>
      <c r="BB2347" s="3" t="s">
        <v>23085</v>
      </c>
      <c r="BC2347" s="3" t="s">
        <v>77</v>
      </c>
      <c r="BD2347" s="3" t="s">
        <v>78</v>
      </c>
      <c r="BE2347" s="3" t="s">
        <v>23072</v>
      </c>
      <c r="BF2347" s="3" t="s">
        <v>23085</v>
      </c>
      <c r="BG2347" s="3" t="s">
        <v>23086</v>
      </c>
    </row>
    <row r="2348" spans="1:59" ht="58" x14ac:dyDescent="0.35">
      <c r="A2348" s="2" t="s">
        <v>59</v>
      </c>
      <c r="B2348" s="2" t="s">
        <v>60</v>
      </c>
      <c r="C2348" s="2" t="s">
        <v>23087</v>
      </c>
      <c r="D2348" s="2" t="s">
        <v>23088</v>
      </c>
      <c r="E2348" s="2" t="s">
        <v>23089</v>
      </c>
      <c r="G2348" s="3" t="s">
        <v>65</v>
      </c>
      <c r="I2348" s="3" t="s">
        <v>65</v>
      </c>
      <c r="J2348" s="3" t="s">
        <v>65</v>
      </c>
      <c r="K2348" s="3" t="s">
        <v>66</v>
      </c>
      <c r="L2348" s="2" t="s">
        <v>23029</v>
      </c>
      <c r="M2348" s="2" t="s">
        <v>23090</v>
      </c>
      <c r="N2348" s="3" t="s">
        <v>1122</v>
      </c>
      <c r="P2348" s="3" t="s">
        <v>69</v>
      </c>
      <c r="Q2348" s="2" t="s">
        <v>22024</v>
      </c>
      <c r="R2348" s="3" t="s">
        <v>71</v>
      </c>
      <c r="S2348" s="4">
        <v>21</v>
      </c>
      <c r="T2348" s="4">
        <v>21</v>
      </c>
      <c r="U2348" s="5" t="s">
        <v>451</v>
      </c>
      <c r="V2348" s="5" t="s">
        <v>451</v>
      </c>
      <c r="W2348" s="5" t="s">
        <v>72</v>
      </c>
      <c r="X2348" s="5" t="s">
        <v>72</v>
      </c>
      <c r="Y2348" s="4">
        <v>131</v>
      </c>
      <c r="Z2348" s="4">
        <v>12</v>
      </c>
      <c r="AA2348" s="4">
        <v>29</v>
      </c>
      <c r="AB2348" s="4">
        <v>2</v>
      </c>
      <c r="AC2348" s="4">
        <v>6</v>
      </c>
      <c r="AD2348" s="4">
        <v>37</v>
      </c>
      <c r="AE2348" s="4">
        <v>60</v>
      </c>
      <c r="AF2348" s="4">
        <v>0</v>
      </c>
      <c r="AG2348" s="4">
        <v>0</v>
      </c>
      <c r="AH2348" s="4">
        <v>33</v>
      </c>
      <c r="AI2348" s="4">
        <v>54</v>
      </c>
      <c r="AJ2348" s="4">
        <v>9</v>
      </c>
      <c r="AK2348" s="4">
        <v>11</v>
      </c>
      <c r="AL2348" s="4">
        <v>24</v>
      </c>
      <c r="AM2348" s="4">
        <v>35</v>
      </c>
      <c r="AN2348" s="4">
        <v>0</v>
      </c>
      <c r="AO2348" s="4">
        <v>0</v>
      </c>
      <c r="AP2348" s="4">
        <v>9</v>
      </c>
      <c r="AQ2348" s="4">
        <v>12</v>
      </c>
      <c r="AR2348" s="3" t="s">
        <v>65</v>
      </c>
      <c r="AS2348" s="3" t="s">
        <v>65</v>
      </c>
      <c r="AT2348" s="3" t="s">
        <v>65</v>
      </c>
      <c r="AV2348" s="6" t="str">
        <f>HYPERLINK("http://mcgill.on.worldcat.org/oclc/312626676","Catalog Record")</f>
        <v>Catalog Record</v>
      </c>
      <c r="AW2348" s="6" t="str">
        <f>HYPERLINK("http://www.worldcat.org/oclc/312626676","WorldCat Record")</f>
        <v>WorldCat Record</v>
      </c>
      <c r="AX2348" s="3" t="s">
        <v>23091</v>
      </c>
      <c r="AY2348" s="3" t="s">
        <v>23092</v>
      </c>
      <c r="AZ2348" s="3" t="s">
        <v>23093</v>
      </c>
      <c r="BA2348" s="3" t="s">
        <v>23093</v>
      </c>
      <c r="BB2348" s="3" t="s">
        <v>23094</v>
      </c>
      <c r="BC2348" s="3" t="s">
        <v>77</v>
      </c>
      <c r="BD2348" s="3" t="s">
        <v>106</v>
      </c>
      <c r="BE2348" s="3" t="s">
        <v>23095</v>
      </c>
      <c r="BF2348" s="3" t="s">
        <v>23094</v>
      </c>
      <c r="BG2348" s="3" t="s">
        <v>23096</v>
      </c>
    </row>
    <row r="2349" spans="1:59" ht="58" x14ac:dyDescent="0.35">
      <c r="A2349" s="2" t="s">
        <v>59</v>
      </c>
      <c r="B2349" s="2" t="s">
        <v>60</v>
      </c>
      <c r="C2349" s="2" t="s">
        <v>23097</v>
      </c>
      <c r="D2349" s="2" t="s">
        <v>23098</v>
      </c>
      <c r="E2349" s="2" t="s">
        <v>23099</v>
      </c>
      <c r="G2349" s="3" t="s">
        <v>65</v>
      </c>
      <c r="I2349" s="3" t="s">
        <v>65</v>
      </c>
      <c r="J2349" s="3" t="s">
        <v>209</v>
      </c>
      <c r="K2349" s="3" t="s">
        <v>66</v>
      </c>
      <c r="L2349" s="2" t="s">
        <v>23029</v>
      </c>
      <c r="M2349" s="2" t="s">
        <v>23100</v>
      </c>
      <c r="N2349" s="3" t="s">
        <v>214</v>
      </c>
      <c r="P2349" s="3" t="s">
        <v>69</v>
      </c>
      <c r="R2349" s="3" t="s">
        <v>71</v>
      </c>
      <c r="S2349" s="4">
        <v>41</v>
      </c>
      <c r="T2349" s="4">
        <v>41</v>
      </c>
      <c r="U2349" s="5" t="s">
        <v>23101</v>
      </c>
      <c r="V2349" s="5" t="s">
        <v>23101</v>
      </c>
      <c r="W2349" s="5" t="s">
        <v>72</v>
      </c>
      <c r="X2349" s="5" t="s">
        <v>72</v>
      </c>
      <c r="Y2349" s="4">
        <v>127</v>
      </c>
      <c r="Z2349" s="4">
        <v>9</v>
      </c>
      <c r="AA2349" s="4">
        <v>44</v>
      </c>
      <c r="AB2349" s="4">
        <v>1</v>
      </c>
      <c r="AC2349" s="4">
        <v>5</v>
      </c>
      <c r="AD2349" s="4">
        <v>46</v>
      </c>
      <c r="AE2349" s="4">
        <v>130</v>
      </c>
      <c r="AF2349" s="4">
        <v>0</v>
      </c>
      <c r="AG2349" s="4">
        <v>2</v>
      </c>
      <c r="AH2349" s="4">
        <v>44</v>
      </c>
      <c r="AI2349" s="4">
        <v>107</v>
      </c>
      <c r="AJ2349" s="4">
        <v>6</v>
      </c>
      <c r="AK2349" s="4">
        <v>15</v>
      </c>
      <c r="AL2349" s="4">
        <v>27</v>
      </c>
      <c r="AM2349" s="4">
        <v>61</v>
      </c>
      <c r="AN2349" s="4">
        <v>0</v>
      </c>
      <c r="AO2349" s="4">
        <v>0</v>
      </c>
      <c r="AP2349" s="4">
        <v>6</v>
      </c>
      <c r="AQ2349" s="4">
        <v>25</v>
      </c>
      <c r="AR2349" s="3" t="s">
        <v>65</v>
      </c>
      <c r="AS2349" s="3" t="s">
        <v>65</v>
      </c>
      <c r="AT2349" s="3" t="s">
        <v>65</v>
      </c>
      <c r="AV2349" s="6" t="str">
        <f>HYPERLINK("http://mcgill.on.worldcat.org/oclc/12022819","Catalog Record")</f>
        <v>Catalog Record</v>
      </c>
      <c r="AW2349" s="6" t="str">
        <f>HYPERLINK("http://www.worldcat.org/oclc/12022819","WorldCat Record")</f>
        <v>WorldCat Record</v>
      </c>
      <c r="AX2349" s="3" t="s">
        <v>23102</v>
      </c>
      <c r="AY2349" s="3" t="s">
        <v>23103</v>
      </c>
      <c r="AZ2349" s="3" t="s">
        <v>23104</v>
      </c>
      <c r="BA2349" s="3" t="s">
        <v>23104</v>
      </c>
      <c r="BB2349" s="3" t="s">
        <v>23105</v>
      </c>
      <c r="BC2349" s="3" t="s">
        <v>77</v>
      </c>
      <c r="BD2349" s="3" t="s">
        <v>78</v>
      </c>
      <c r="BE2349" s="3" t="s">
        <v>23106</v>
      </c>
      <c r="BF2349" s="3" t="s">
        <v>23105</v>
      </c>
      <c r="BG2349" s="3" t="s">
        <v>23107</v>
      </c>
    </row>
    <row r="2350" spans="1:59" ht="58" x14ac:dyDescent="0.35">
      <c r="A2350" s="2" t="s">
        <v>59</v>
      </c>
      <c r="B2350" s="2" t="s">
        <v>60</v>
      </c>
      <c r="C2350" s="2" t="s">
        <v>23108</v>
      </c>
      <c r="D2350" s="2" t="s">
        <v>23109</v>
      </c>
      <c r="E2350" s="2" t="s">
        <v>23110</v>
      </c>
      <c r="G2350" s="3" t="s">
        <v>65</v>
      </c>
      <c r="I2350" s="3" t="s">
        <v>65</v>
      </c>
      <c r="J2350" s="3" t="s">
        <v>209</v>
      </c>
      <c r="K2350" s="3" t="s">
        <v>66</v>
      </c>
      <c r="L2350" s="2" t="s">
        <v>23029</v>
      </c>
      <c r="M2350" s="2" t="s">
        <v>23111</v>
      </c>
      <c r="N2350" s="3" t="s">
        <v>615</v>
      </c>
      <c r="O2350" s="2" t="s">
        <v>526</v>
      </c>
      <c r="P2350" s="3" t="s">
        <v>69</v>
      </c>
      <c r="R2350" s="3" t="s">
        <v>71</v>
      </c>
      <c r="S2350" s="4">
        <v>33</v>
      </c>
      <c r="T2350" s="4">
        <v>33</v>
      </c>
      <c r="U2350" s="5" t="s">
        <v>19203</v>
      </c>
      <c r="V2350" s="5" t="s">
        <v>19203</v>
      </c>
      <c r="W2350" s="5" t="s">
        <v>72</v>
      </c>
      <c r="X2350" s="5" t="s">
        <v>72</v>
      </c>
      <c r="Y2350" s="4">
        <v>894</v>
      </c>
      <c r="Z2350" s="4">
        <v>31</v>
      </c>
      <c r="AA2350" s="4">
        <v>44</v>
      </c>
      <c r="AB2350" s="4">
        <v>3</v>
      </c>
      <c r="AC2350" s="4">
        <v>5</v>
      </c>
      <c r="AD2350" s="4">
        <v>115</v>
      </c>
      <c r="AE2350" s="4">
        <v>130</v>
      </c>
      <c r="AF2350" s="4">
        <v>2</v>
      </c>
      <c r="AG2350" s="4">
        <v>2</v>
      </c>
      <c r="AH2350" s="4">
        <v>96</v>
      </c>
      <c r="AI2350" s="4">
        <v>107</v>
      </c>
      <c r="AJ2350" s="4">
        <v>14</v>
      </c>
      <c r="AK2350" s="4">
        <v>15</v>
      </c>
      <c r="AL2350" s="4">
        <v>56</v>
      </c>
      <c r="AM2350" s="4">
        <v>61</v>
      </c>
      <c r="AN2350" s="4">
        <v>0</v>
      </c>
      <c r="AO2350" s="4">
        <v>0</v>
      </c>
      <c r="AP2350" s="4">
        <v>22</v>
      </c>
      <c r="AQ2350" s="4">
        <v>25</v>
      </c>
      <c r="AR2350" s="3" t="s">
        <v>65</v>
      </c>
      <c r="AS2350" s="3" t="s">
        <v>65</v>
      </c>
      <c r="AT2350" s="3" t="s">
        <v>209</v>
      </c>
      <c r="AU2350" s="6" t="str">
        <f>HYPERLINK("http://catalog.hathitrust.org/Record/000331625","HathiTrust Record")</f>
        <v>HathiTrust Record</v>
      </c>
      <c r="AV2350" s="6" t="str">
        <f>HYPERLINK("http://mcgill.on.worldcat.org/oclc/10429703","Catalog Record")</f>
        <v>Catalog Record</v>
      </c>
      <c r="AW2350" s="6" t="str">
        <f>HYPERLINK("http://www.worldcat.org/oclc/10429703","WorldCat Record")</f>
        <v>WorldCat Record</v>
      </c>
      <c r="AX2350" s="3" t="s">
        <v>23102</v>
      </c>
      <c r="AY2350" s="3" t="s">
        <v>23112</v>
      </c>
      <c r="AZ2350" s="3" t="s">
        <v>23113</v>
      </c>
      <c r="BA2350" s="3" t="s">
        <v>23113</v>
      </c>
      <c r="BB2350" s="3" t="s">
        <v>23114</v>
      </c>
      <c r="BC2350" s="3" t="s">
        <v>77</v>
      </c>
      <c r="BD2350" s="3" t="s">
        <v>78</v>
      </c>
      <c r="BE2350" s="3" t="s">
        <v>23115</v>
      </c>
      <c r="BF2350" s="3" t="s">
        <v>23114</v>
      </c>
      <c r="BG2350" s="3" t="s">
        <v>23116</v>
      </c>
    </row>
    <row r="2351" spans="1:59" ht="58" x14ac:dyDescent="0.35">
      <c r="A2351" s="2" t="s">
        <v>59</v>
      </c>
      <c r="B2351" s="2" t="s">
        <v>60</v>
      </c>
      <c r="C2351" s="2" t="s">
        <v>23117</v>
      </c>
      <c r="D2351" s="2" t="s">
        <v>23118</v>
      </c>
      <c r="E2351" s="2" t="s">
        <v>23119</v>
      </c>
      <c r="G2351" s="3" t="s">
        <v>65</v>
      </c>
      <c r="I2351" s="3" t="s">
        <v>65</v>
      </c>
      <c r="J2351" s="3" t="s">
        <v>209</v>
      </c>
      <c r="K2351" s="3" t="s">
        <v>66</v>
      </c>
      <c r="L2351" s="2" t="s">
        <v>23029</v>
      </c>
      <c r="M2351" s="2" t="s">
        <v>23120</v>
      </c>
      <c r="N2351" s="3" t="s">
        <v>352</v>
      </c>
      <c r="P2351" s="3" t="s">
        <v>140</v>
      </c>
      <c r="Q2351" s="2" t="s">
        <v>23121</v>
      </c>
      <c r="R2351" s="3" t="s">
        <v>71</v>
      </c>
      <c r="S2351" s="4">
        <v>20</v>
      </c>
      <c r="T2351" s="4">
        <v>20</v>
      </c>
      <c r="U2351" s="5" t="s">
        <v>23122</v>
      </c>
      <c r="V2351" s="5" t="s">
        <v>23122</v>
      </c>
      <c r="W2351" s="5" t="s">
        <v>72</v>
      </c>
      <c r="X2351" s="5" t="s">
        <v>72</v>
      </c>
      <c r="Y2351" s="4">
        <v>2</v>
      </c>
      <c r="Z2351" s="4">
        <v>1</v>
      </c>
      <c r="AA2351" s="4">
        <v>26</v>
      </c>
      <c r="AB2351" s="4">
        <v>1</v>
      </c>
      <c r="AC2351" s="4">
        <v>5</v>
      </c>
      <c r="AD2351" s="4">
        <v>0</v>
      </c>
      <c r="AE2351" s="4">
        <v>95</v>
      </c>
      <c r="AF2351" s="4">
        <v>0</v>
      </c>
      <c r="AG2351" s="4">
        <v>2</v>
      </c>
      <c r="AH2351" s="4">
        <v>0</v>
      </c>
      <c r="AI2351" s="4">
        <v>87</v>
      </c>
      <c r="AJ2351" s="4">
        <v>0</v>
      </c>
      <c r="AK2351" s="4">
        <v>14</v>
      </c>
      <c r="AL2351" s="4">
        <v>0</v>
      </c>
      <c r="AM2351" s="4">
        <v>49</v>
      </c>
      <c r="AN2351" s="4">
        <v>0</v>
      </c>
      <c r="AO2351" s="4">
        <v>10</v>
      </c>
      <c r="AP2351" s="4">
        <v>0</v>
      </c>
      <c r="AQ2351" s="4">
        <v>14</v>
      </c>
      <c r="AR2351" s="3" t="s">
        <v>65</v>
      </c>
      <c r="AS2351" s="3" t="s">
        <v>65</v>
      </c>
      <c r="AT2351" s="3" t="s">
        <v>65</v>
      </c>
      <c r="AV2351" s="6" t="str">
        <f>HYPERLINK("http://mcgill.on.worldcat.org/oclc/61609570","Catalog Record")</f>
        <v>Catalog Record</v>
      </c>
      <c r="AW2351" s="6" t="str">
        <f>HYPERLINK("http://www.worldcat.org/oclc/61609570","WorldCat Record")</f>
        <v>WorldCat Record</v>
      </c>
      <c r="AX2351" s="3" t="s">
        <v>23033</v>
      </c>
      <c r="AY2351" s="3" t="s">
        <v>23123</v>
      </c>
      <c r="AZ2351" s="3" t="s">
        <v>23124</v>
      </c>
      <c r="BA2351" s="3" t="s">
        <v>23124</v>
      </c>
      <c r="BB2351" s="3" t="s">
        <v>23125</v>
      </c>
      <c r="BC2351" s="3" t="s">
        <v>77</v>
      </c>
      <c r="BD2351" s="3" t="s">
        <v>78</v>
      </c>
      <c r="BF2351" s="3" t="s">
        <v>23125</v>
      </c>
      <c r="BG2351" s="3" t="s">
        <v>23126</v>
      </c>
    </row>
    <row r="2352" spans="1:59" ht="58" x14ac:dyDescent="0.35">
      <c r="A2352" s="2" t="s">
        <v>59</v>
      </c>
      <c r="B2352" s="2" t="s">
        <v>60</v>
      </c>
      <c r="C2352" s="2" t="s">
        <v>23127</v>
      </c>
      <c r="D2352" s="2" t="s">
        <v>23128</v>
      </c>
      <c r="E2352" s="2" t="s">
        <v>23129</v>
      </c>
      <c r="G2352" s="3" t="s">
        <v>65</v>
      </c>
      <c r="I2352" s="3" t="s">
        <v>65</v>
      </c>
      <c r="J2352" s="3" t="s">
        <v>209</v>
      </c>
      <c r="K2352" s="3" t="s">
        <v>66</v>
      </c>
      <c r="L2352" s="2" t="s">
        <v>23029</v>
      </c>
      <c r="M2352" s="2" t="s">
        <v>23130</v>
      </c>
      <c r="N2352" s="3" t="s">
        <v>615</v>
      </c>
      <c r="O2352" s="2" t="s">
        <v>23131</v>
      </c>
      <c r="P2352" s="3" t="s">
        <v>140</v>
      </c>
      <c r="Q2352" s="2" t="s">
        <v>13719</v>
      </c>
      <c r="R2352" s="3" t="s">
        <v>71</v>
      </c>
      <c r="S2352" s="4">
        <v>38</v>
      </c>
      <c r="T2352" s="4">
        <v>38</v>
      </c>
      <c r="U2352" s="5" t="s">
        <v>22787</v>
      </c>
      <c r="V2352" s="5" t="s">
        <v>22787</v>
      </c>
      <c r="W2352" s="5" t="s">
        <v>72</v>
      </c>
      <c r="X2352" s="5" t="s">
        <v>72</v>
      </c>
      <c r="Y2352" s="4">
        <v>29</v>
      </c>
      <c r="Z2352" s="4">
        <v>2</v>
      </c>
      <c r="AA2352" s="4">
        <v>26</v>
      </c>
      <c r="AB2352" s="4">
        <v>1</v>
      </c>
      <c r="AC2352" s="4">
        <v>5</v>
      </c>
      <c r="AD2352" s="4">
        <v>10</v>
      </c>
      <c r="AE2352" s="4">
        <v>95</v>
      </c>
      <c r="AF2352" s="4">
        <v>0</v>
      </c>
      <c r="AG2352" s="4">
        <v>2</v>
      </c>
      <c r="AH2352" s="4">
        <v>9</v>
      </c>
      <c r="AI2352" s="4">
        <v>87</v>
      </c>
      <c r="AJ2352" s="4">
        <v>0</v>
      </c>
      <c r="AK2352" s="4">
        <v>14</v>
      </c>
      <c r="AL2352" s="4">
        <v>5</v>
      </c>
      <c r="AM2352" s="4">
        <v>49</v>
      </c>
      <c r="AN2352" s="4">
        <v>0</v>
      </c>
      <c r="AO2352" s="4">
        <v>10</v>
      </c>
      <c r="AP2352" s="4">
        <v>1</v>
      </c>
      <c r="AQ2352" s="4">
        <v>14</v>
      </c>
      <c r="AR2352" s="3" t="s">
        <v>65</v>
      </c>
      <c r="AS2352" s="3" t="s">
        <v>65</v>
      </c>
      <c r="AT2352" s="3" t="s">
        <v>65</v>
      </c>
      <c r="AV2352" s="6" t="str">
        <f>HYPERLINK("http://mcgill.on.worldcat.org/oclc/13347917","Catalog Record")</f>
        <v>Catalog Record</v>
      </c>
      <c r="AW2352" s="6" t="str">
        <f>HYPERLINK("http://www.worldcat.org/oclc/13347917","WorldCat Record")</f>
        <v>WorldCat Record</v>
      </c>
      <c r="AX2352" s="3" t="s">
        <v>23033</v>
      </c>
      <c r="AY2352" s="3" t="s">
        <v>23132</v>
      </c>
      <c r="AZ2352" s="3" t="s">
        <v>23133</v>
      </c>
      <c r="BA2352" s="3" t="s">
        <v>23133</v>
      </c>
      <c r="BB2352" s="3" t="s">
        <v>23134</v>
      </c>
      <c r="BC2352" s="3" t="s">
        <v>77</v>
      </c>
      <c r="BD2352" s="3" t="s">
        <v>78</v>
      </c>
      <c r="BE2352" s="3" t="s">
        <v>23135</v>
      </c>
      <c r="BF2352" s="3" t="s">
        <v>23134</v>
      </c>
      <c r="BG2352" s="3" t="s">
        <v>23136</v>
      </c>
    </row>
    <row r="2353" spans="1:59" ht="58" x14ac:dyDescent="0.35">
      <c r="A2353" s="2" t="s">
        <v>59</v>
      </c>
      <c r="B2353" s="2" t="s">
        <v>60</v>
      </c>
      <c r="C2353" s="2" t="s">
        <v>23137</v>
      </c>
      <c r="D2353" s="2" t="s">
        <v>23138</v>
      </c>
      <c r="E2353" s="2" t="s">
        <v>23139</v>
      </c>
      <c r="G2353" s="3" t="s">
        <v>65</v>
      </c>
      <c r="I2353" s="3" t="s">
        <v>65</v>
      </c>
      <c r="J2353" s="3" t="s">
        <v>209</v>
      </c>
      <c r="K2353" s="3" t="s">
        <v>66</v>
      </c>
      <c r="L2353" s="2" t="s">
        <v>23029</v>
      </c>
      <c r="M2353" s="2" t="s">
        <v>23140</v>
      </c>
      <c r="N2353" s="3" t="s">
        <v>2210</v>
      </c>
      <c r="O2353" s="2" t="s">
        <v>23141</v>
      </c>
      <c r="P2353" s="3" t="s">
        <v>140</v>
      </c>
      <c r="Q2353" s="2" t="s">
        <v>23142</v>
      </c>
      <c r="R2353" s="3" t="s">
        <v>71</v>
      </c>
      <c r="S2353" s="4">
        <v>12</v>
      </c>
      <c r="T2353" s="4">
        <v>12</v>
      </c>
      <c r="U2353" s="5" t="s">
        <v>22187</v>
      </c>
      <c r="V2353" s="5" t="s">
        <v>22187</v>
      </c>
      <c r="W2353" s="5" t="s">
        <v>72</v>
      </c>
      <c r="X2353" s="5" t="s">
        <v>72</v>
      </c>
      <c r="Y2353" s="4">
        <v>24</v>
      </c>
      <c r="Z2353" s="4">
        <v>1</v>
      </c>
      <c r="AA2353" s="4">
        <v>26</v>
      </c>
      <c r="AB2353" s="4">
        <v>1</v>
      </c>
      <c r="AC2353" s="4">
        <v>5</v>
      </c>
      <c r="AD2353" s="4">
        <v>0</v>
      </c>
      <c r="AE2353" s="4">
        <v>95</v>
      </c>
      <c r="AF2353" s="4">
        <v>0</v>
      </c>
      <c r="AG2353" s="4">
        <v>2</v>
      </c>
      <c r="AH2353" s="4">
        <v>0</v>
      </c>
      <c r="AI2353" s="4">
        <v>87</v>
      </c>
      <c r="AJ2353" s="4">
        <v>0</v>
      </c>
      <c r="AK2353" s="4">
        <v>14</v>
      </c>
      <c r="AL2353" s="4">
        <v>0</v>
      </c>
      <c r="AM2353" s="4">
        <v>49</v>
      </c>
      <c r="AN2353" s="4">
        <v>0</v>
      </c>
      <c r="AO2353" s="4">
        <v>10</v>
      </c>
      <c r="AP2353" s="4">
        <v>0</v>
      </c>
      <c r="AQ2353" s="4">
        <v>14</v>
      </c>
      <c r="AR2353" s="3" t="s">
        <v>65</v>
      </c>
      <c r="AS2353" s="3" t="s">
        <v>65</v>
      </c>
      <c r="AT2353" s="3" t="s">
        <v>209</v>
      </c>
      <c r="AU2353" s="6" t="str">
        <f>HYPERLINK("http://catalog.hathitrust.org/Record/011228583","HathiTrust Record")</f>
        <v>HathiTrust Record</v>
      </c>
      <c r="AV2353" s="6" t="str">
        <f>HYPERLINK("http://mcgill.on.worldcat.org/oclc/60819822","Catalog Record")</f>
        <v>Catalog Record</v>
      </c>
      <c r="AW2353" s="6" t="str">
        <f>HYPERLINK("http://www.worldcat.org/oclc/60819822","WorldCat Record")</f>
        <v>WorldCat Record</v>
      </c>
      <c r="AX2353" s="3" t="s">
        <v>23033</v>
      </c>
      <c r="AY2353" s="3" t="s">
        <v>23143</v>
      </c>
      <c r="AZ2353" s="3" t="s">
        <v>23144</v>
      </c>
      <c r="BA2353" s="3" t="s">
        <v>23144</v>
      </c>
      <c r="BB2353" s="3" t="s">
        <v>23145</v>
      </c>
      <c r="BC2353" s="3" t="s">
        <v>77</v>
      </c>
      <c r="BD2353" s="3" t="s">
        <v>106</v>
      </c>
      <c r="BE2353" s="3" t="s">
        <v>23146</v>
      </c>
      <c r="BF2353" s="3" t="s">
        <v>23145</v>
      </c>
      <c r="BG2353" s="3" t="s">
        <v>23147</v>
      </c>
    </row>
    <row r="2354" spans="1:59" ht="72.5" x14ac:dyDescent="0.35">
      <c r="A2354" s="2" t="s">
        <v>59</v>
      </c>
      <c r="B2354" s="2" t="s">
        <v>60</v>
      </c>
      <c r="C2354" s="2" t="s">
        <v>23148</v>
      </c>
      <c r="D2354" s="2" t="s">
        <v>23149</v>
      </c>
      <c r="E2354" s="2" t="s">
        <v>23150</v>
      </c>
      <c r="G2354" s="3" t="s">
        <v>65</v>
      </c>
      <c r="I2354" s="3" t="s">
        <v>65</v>
      </c>
      <c r="J2354" s="3" t="s">
        <v>65</v>
      </c>
      <c r="K2354" s="3" t="s">
        <v>66</v>
      </c>
      <c r="L2354" s="2" t="s">
        <v>23151</v>
      </c>
      <c r="M2354" s="2" t="s">
        <v>23152</v>
      </c>
      <c r="N2354" s="3" t="s">
        <v>7187</v>
      </c>
      <c r="O2354" s="2" t="s">
        <v>23153</v>
      </c>
      <c r="P2354" s="3" t="s">
        <v>69</v>
      </c>
      <c r="Q2354" s="2" t="s">
        <v>23154</v>
      </c>
      <c r="R2354" s="3" t="s">
        <v>71</v>
      </c>
      <c r="S2354" s="4">
        <v>90</v>
      </c>
      <c r="T2354" s="4">
        <v>90</v>
      </c>
      <c r="U2354" s="5" t="s">
        <v>23155</v>
      </c>
      <c r="V2354" s="5" t="s">
        <v>23155</v>
      </c>
      <c r="W2354" s="5" t="s">
        <v>72</v>
      </c>
      <c r="X2354" s="5" t="s">
        <v>72</v>
      </c>
      <c r="Y2354" s="4">
        <v>508</v>
      </c>
      <c r="Z2354" s="4">
        <v>20</v>
      </c>
      <c r="AA2354" s="4">
        <v>43</v>
      </c>
      <c r="AB2354" s="4">
        <v>1</v>
      </c>
      <c r="AC2354" s="4">
        <v>3</v>
      </c>
      <c r="AD2354" s="4">
        <v>50</v>
      </c>
      <c r="AE2354" s="4">
        <v>118</v>
      </c>
      <c r="AF2354" s="4">
        <v>0</v>
      </c>
      <c r="AG2354" s="4">
        <v>0</v>
      </c>
      <c r="AH2354" s="4">
        <v>44</v>
      </c>
      <c r="AI2354" s="4">
        <v>102</v>
      </c>
      <c r="AJ2354" s="4">
        <v>6</v>
      </c>
      <c r="AK2354" s="4">
        <v>15</v>
      </c>
      <c r="AL2354" s="4">
        <v>26</v>
      </c>
      <c r="AM2354" s="4">
        <v>57</v>
      </c>
      <c r="AN2354" s="4">
        <v>0</v>
      </c>
      <c r="AO2354" s="4">
        <v>5</v>
      </c>
      <c r="AP2354" s="4">
        <v>9</v>
      </c>
      <c r="AQ2354" s="4">
        <v>20</v>
      </c>
      <c r="AR2354" s="3" t="s">
        <v>65</v>
      </c>
      <c r="AS2354" s="3" t="s">
        <v>65</v>
      </c>
      <c r="AT2354" s="3" t="s">
        <v>65</v>
      </c>
      <c r="AV2354" s="6" t="str">
        <f>HYPERLINK("http://mcgill.on.worldcat.org/oclc/2597095","Catalog Record")</f>
        <v>Catalog Record</v>
      </c>
      <c r="AW2354" s="6" t="str">
        <f>HYPERLINK("http://www.worldcat.org/oclc/2597095","WorldCat Record")</f>
        <v>WorldCat Record</v>
      </c>
      <c r="AX2354" s="3" t="s">
        <v>23156</v>
      </c>
      <c r="AY2354" s="3" t="s">
        <v>23157</v>
      </c>
      <c r="AZ2354" s="3" t="s">
        <v>23158</v>
      </c>
      <c r="BA2354" s="3" t="s">
        <v>23158</v>
      </c>
      <c r="BB2354" s="3" t="s">
        <v>23159</v>
      </c>
      <c r="BC2354" s="3" t="s">
        <v>77</v>
      </c>
      <c r="BD2354" s="3" t="s">
        <v>78</v>
      </c>
      <c r="BE2354" s="3" t="s">
        <v>23160</v>
      </c>
      <c r="BF2354" s="3" t="s">
        <v>23159</v>
      </c>
      <c r="BG2354" s="3" t="s">
        <v>23161</v>
      </c>
    </row>
    <row r="2355" spans="1:59" ht="58" x14ac:dyDescent="0.35">
      <c r="A2355" s="2" t="s">
        <v>59</v>
      </c>
      <c r="B2355" s="2" t="s">
        <v>60</v>
      </c>
      <c r="C2355" s="2" t="s">
        <v>23162</v>
      </c>
      <c r="D2355" s="2" t="s">
        <v>23163</v>
      </c>
      <c r="E2355" s="2" t="s">
        <v>23164</v>
      </c>
      <c r="G2355" s="3" t="s">
        <v>65</v>
      </c>
      <c r="I2355" s="3" t="s">
        <v>209</v>
      </c>
      <c r="J2355" s="3" t="s">
        <v>209</v>
      </c>
      <c r="K2355" s="3" t="s">
        <v>66</v>
      </c>
      <c r="L2355" s="2" t="s">
        <v>23029</v>
      </c>
      <c r="M2355" s="2" t="s">
        <v>23165</v>
      </c>
      <c r="N2355" s="3" t="s">
        <v>7187</v>
      </c>
      <c r="O2355" s="2" t="s">
        <v>526</v>
      </c>
      <c r="P2355" s="3" t="s">
        <v>69</v>
      </c>
      <c r="R2355" s="3" t="s">
        <v>71</v>
      </c>
      <c r="S2355" s="4">
        <v>53</v>
      </c>
      <c r="T2355" s="4">
        <v>53</v>
      </c>
      <c r="U2355" s="5" t="s">
        <v>23166</v>
      </c>
      <c r="V2355" s="5" t="s">
        <v>23166</v>
      </c>
      <c r="W2355" s="5" t="s">
        <v>72</v>
      </c>
      <c r="X2355" s="5" t="s">
        <v>72</v>
      </c>
      <c r="Y2355" s="4">
        <v>632</v>
      </c>
      <c r="Z2355" s="4">
        <v>34</v>
      </c>
      <c r="AA2355" s="4">
        <v>43</v>
      </c>
      <c r="AB2355" s="4">
        <v>3</v>
      </c>
      <c r="AC2355" s="4">
        <v>4</v>
      </c>
      <c r="AD2355" s="4">
        <v>116</v>
      </c>
      <c r="AE2355" s="4">
        <v>125</v>
      </c>
      <c r="AF2355" s="4">
        <v>2</v>
      </c>
      <c r="AG2355" s="4">
        <v>3</v>
      </c>
      <c r="AH2355" s="4">
        <v>100</v>
      </c>
      <c r="AI2355" s="4">
        <v>103</v>
      </c>
      <c r="AJ2355" s="4">
        <v>16</v>
      </c>
      <c r="AK2355" s="4">
        <v>18</v>
      </c>
      <c r="AL2355" s="4">
        <v>58</v>
      </c>
      <c r="AM2355" s="4">
        <v>60</v>
      </c>
      <c r="AN2355" s="4">
        <v>0</v>
      </c>
      <c r="AO2355" s="4">
        <v>0</v>
      </c>
      <c r="AP2355" s="4">
        <v>21</v>
      </c>
      <c r="AQ2355" s="4">
        <v>26</v>
      </c>
      <c r="AR2355" s="3" t="s">
        <v>65</v>
      </c>
      <c r="AS2355" s="3" t="s">
        <v>65</v>
      </c>
      <c r="AT2355" s="3" t="s">
        <v>209</v>
      </c>
      <c r="AU2355" s="6" t="str">
        <f>HYPERLINK("http://catalog.hathitrust.org/Record/000266857","HathiTrust Record")</f>
        <v>HathiTrust Record</v>
      </c>
      <c r="AV2355" s="6" t="str">
        <f>HYPERLINK("http://mcgill.on.worldcat.org/oclc/2439427","Catalog Record")</f>
        <v>Catalog Record</v>
      </c>
      <c r="AW2355" s="6" t="str">
        <f>HYPERLINK("http://www.worldcat.org/oclc/2439427","WorldCat Record")</f>
        <v>WorldCat Record</v>
      </c>
      <c r="AX2355" s="3" t="s">
        <v>23167</v>
      </c>
      <c r="AY2355" s="3" t="s">
        <v>23168</v>
      </c>
      <c r="AZ2355" s="3" t="s">
        <v>23169</v>
      </c>
      <c r="BA2355" s="3" t="s">
        <v>23169</v>
      </c>
      <c r="BB2355" s="3" t="s">
        <v>23170</v>
      </c>
      <c r="BC2355" s="3" t="s">
        <v>77</v>
      </c>
      <c r="BD2355" s="3" t="s">
        <v>106</v>
      </c>
      <c r="BE2355" s="3" t="s">
        <v>23171</v>
      </c>
      <c r="BF2355" s="3" t="s">
        <v>23170</v>
      </c>
      <c r="BG2355" s="3" t="s">
        <v>23172</v>
      </c>
    </row>
    <row r="2356" spans="1:59" ht="58" x14ac:dyDescent="0.35">
      <c r="A2356" s="2" t="s">
        <v>59</v>
      </c>
      <c r="B2356" s="2" t="s">
        <v>60</v>
      </c>
      <c r="C2356" s="2" t="s">
        <v>23173</v>
      </c>
      <c r="D2356" s="2" t="s">
        <v>23174</v>
      </c>
      <c r="E2356" s="2" t="s">
        <v>23175</v>
      </c>
      <c r="G2356" s="3" t="s">
        <v>65</v>
      </c>
      <c r="I2356" s="3" t="s">
        <v>65</v>
      </c>
      <c r="J2356" s="3" t="s">
        <v>65</v>
      </c>
      <c r="K2356" s="3" t="s">
        <v>66</v>
      </c>
      <c r="L2356" s="2" t="s">
        <v>23176</v>
      </c>
      <c r="M2356" s="2" t="s">
        <v>10397</v>
      </c>
      <c r="N2356" s="3" t="s">
        <v>176</v>
      </c>
      <c r="P2356" s="3" t="s">
        <v>140</v>
      </c>
      <c r="Q2356" s="2" t="s">
        <v>23177</v>
      </c>
      <c r="R2356" s="3" t="s">
        <v>71</v>
      </c>
      <c r="S2356" s="4">
        <v>0</v>
      </c>
      <c r="T2356" s="4">
        <v>0</v>
      </c>
      <c r="W2356" s="5" t="s">
        <v>72</v>
      </c>
      <c r="X2356" s="5" t="s">
        <v>72</v>
      </c>
      <c r="Y2356" s="4">
        <v>54</v>
      </c>
      <c r="Z2356" s="4">
        <v>6</v>
      </c>
      <c r="AA2356" s="4">
        <v>6</v>
      </c>
      <c r="AB2356" s="4">
        <v>1</v>
      </c>
      <c r="AC2356" s="4">
        <v>1</v>
      </c>
      <c r="AD2356" s="4">
        <v>39</v>
      </c>
      <c r="AE2356" s="4">
        <v>39</v>
      </c>
      <c r="AF2356" s="4">
        <v>0</v>
      </c>
      <c r="AG2356" s="4">
        <v>0</v>
      </c>
      <c r="AH2356" s="4">
        <v>38</v>
      </c>
      <c r="AI2356" s="4">
        <v>38</v>
      </c>
      <c r="AJ2356" s="4">
        <v>3</v>
      </c>
      <c r="AK2356" s="4">
        <v>3</v>
      </c>
      <c r="AL2356" s="4">
        <v>28</v>
      </c>
      <c r="AM2356" s="4">
        <v>28</v>
      </c>
      <c r="AN2356" s="4">
        <v>0</v>
      </c>
      <c r="AO2356" s="4">
        <v>0</v>
      </c>
      <c r="AP2356" s="4">
        <v>3</v>
      </c>
      <c r="AQ2356" s="4">
        <v>3</v>
      </c>
      <c r="AR2356" s="3" t="s">
        <v>65</v>
      </c>
      <c r="AS2356" s="3" t="s">
        <v>65</v>
      </c>
      <c r="AT2356" s="3" t="s">
        <v>65</v>
      </c>
      <c r="AV2356" s="6" t="str">
        <f>HYPERLINK("http://mcgill.on.worldcat.org/oclc/910084788","Catalog Record")</f>
        <v>Catalog Record</v>
      </c>
      <c r="AW2356" s="6" t="str">
        <f>HYPERLINK("http://www.worldcat.org/oclc/910084788","WorldCat Record")</f>
        <v>WorldCat Record</v>
      </c>
      <c r="AX2356" s="3" t="s">
        <v>23178</v>
      </c>
      <c r="AY2356" s="3" t="s">
        <v>23179</v>
      </c>
      <c r="AZ2356" s="3" t="s">
        <v>23180</v>
      </c>
      <c r="BA2356" s="3" t="s">
        <v>23180</v>
      </c>
      <c r="BB2356" s="3" t="s">
        <v>23181</v>
      </c>
      <c r="BC2356" s="3" t="s">
        <v>77</v>
      </c>
      <c r="BD2356" s="3" t="s">
        <v>78</v>
      </c>
      <c r="BE2356" s="3" t="s">
        <v>23182</v>
      </c>
      <c r="BF2356" s="3" t="s">
        <v>23181</v>
      </c>
      <c r="BG2356" s="3" t="s">
        <v>23183</v>
      </c>
    </row>
    <row r="2357" spans="1:59" ht="58" x14ac:dyDescent="0.35">
      <c r="A2357" s="2" t="s">
        <v>59</v>
      </c>
      <c r="B2357" s="2" t="s">
        <v>60</v>
      </c>
      <c r="C2357" s="2" t="s">
        <v>23184</v>
      </c>
      <c r="D2357" s="2" t="s">
        <v>23185</v>
      </c>
      <c r="E2357" s="2" t="s">
        <v>23186</v>
      </c>
      <c r="G2357" s="3" t="s">
        <v>65</v>
      </c>
      <c r="I2357" s="3" t="s">
        <v>65</v>
      </c>
      <c r="J2357" s="3" t="s">
        <v>209</v>
      </c>
      <c r="K2357" s="3" t="s">
        <v>66</v>
      </c>
      <c r="L2357" s="2" t="s">
        <v>23029</v>
      </c>
      <c r="M2357" s="2" t="s">
        <v>23187</v>
      </c>
      <c r="N2357" s="3" t="s">
        <v>2377</v>
      </c>
      <c r="P2357" s="3" t="s">
        <v>140</v>
      </c>
      <c r="Q2357" s="2" t="s">
        <v>23188</v>
      </c>
      <c r="R2357" s="3" t="s">
        <v>71</v>
      </c>
      <c r="S2357" s="4">
        <v>23</v>
      </c>
      <c r="T2357" s="4">
        <v>23</v>
      </c>
      <c r="U2357" s="5" t="s">
        <v>14385</v>
      </c>
      <c r="V2357" s="5" t="s">
        <v>14385</v>
      </c>
      <c r="W2357" s="5" t="s">
        <v>72</v>
      </c>
      <c r="X2357" s="5" t="s">
        <v>72</v>
      </c>
      <c r="Y2357" s="4">
        <v>9</v>
      </c>
      <c r="Z2357" s="4">
        <v>1</v>
      </c>
      <c r="AA2357" s="4">
        <v>24</v>
      </c>
      <c r="AB2357" s="4">
        <v>1</v>
      </c>
      <c r="AC2357" s="4">
        <v>5</v>
      </c>
      <c r="AD2357" s="4">
        <v>2</v>
      </c>
      <c r="AE2357" s="4">
        <v>90</v>
      </c>
      <c r="AF2357" s="4">
        <v>0</v>
      </c>
      <c r="AG2357" s="4">
        <v>3</v>
      </c>
      <c r="AH2357" s="4">
        <v>2</v>
      </c>
      <c r="AI2357" s="4">
        <v>80</v>
      </c>
      <c r="AJ2357" s="4">
        <v>0</v>
      </c>
      <c r="AK2357" s="4">
        <v>16</v>
      </c>
      <c r="AL2357" s="4">
        <v>0</v>
      </c>
      <c r="AM2357" s="4">
        <v>48</v>
      </c>
      <c r="AN2357" s="4">
        <v>0</v>
      </c>
      <c r="AO2357" s="4">
        <v>2</v>
      </c>
      <c r="AP2357" s="4">
        <v>0</v>
      </c>
      <c r="AQ2357" s="4">
        <v>14</v>
      </c>
      <c r="AR2357" s="3" t="s">
        <v>65</v>
      </c>
      <c r="AS2357" s="3" t="s">
        <v>65</v>
      </c>
      <c r="AT2357" s="3" t="s">
        <v>209</v>
      </c>
      <c r="AU2357" s="6" t="str">
        <f>HYPERLINK("http://catalog.hathitrust.org/Record/102276976","HathiTrust Record")</f>
        <v>HathiTrust Record</v>
      </c>
      <c r="AV2357" s="6" t="str">
        <f>HYPERLINK("http://mcgill.on.worldcat.org/oclc/31714390","Catalog Record")</f>
        <v>Catalog Record</v>
      </c>
      <c r="AW2357" s="6" t="str">
        <f>HYPERLINK("http://www.worldcat.org/oclc/31714390","WorldCat Record")</f>
        <v>WorldCat Record</v>
      </c>
      <c r="AX2357" s="3" t="s">
        <v>23189</v>
      </c>
      <c r="AY2357" s="3" t="s">
        <v>23190</v>
      </c>
      <c r="AZ2357" s="3" t="s">
        <v>23191</v>
      </c>
      <c r="BA2357" s="3" t="s">
        <v>23191</v>
      </c>
      <c r="BB2357" s="3" t="s">
        <v>23192</v>
      </c>
      <c r="BC2357" s="3" t="s">
        <v>77</v>
      </c>
      <c r="BD2357" s="3" t="s">
        <v>78</v>
      </c>
      <c r="BE2357" s="3" t="s">
        <v>23193</v>
      </c>
      <c r="BF2357" s="3" t="s">
        <v>23192</v>
      </c>
      <c r="BG2357" s="3" t="s">
        <v>23194</v>
      </c>
    </row>
    <row r="2358" spans="1:59" ht="58" x14ac:dyDescent="0.35">
      <c r="A2358" s="2" t="s">
        <v>59</v>
      </c>
      <c r="B2358" s="2" t="s">
        <v>60</v>
      </c>
      <c r="C2358" s="2" t="s">
        <v>23195</v>
      </c>
      <c r="D2358" s="2" t="s">
        <v>23196</v>
      </c>
      <c r="E2358" s="2" t="s">
        <v>23197</v>
      </c>
      <c r="G2358" s="3" t="s">
        <v>65</v>
      </c>
      <c r="I2358" s="3" t="s">
        <v>65</v>
      </c>
      <c r="J2358" s="3" t="s">
        <v>65</v>
      </c>
      <c r="K2358" s="3" t="s">
        <v>66</v>
      </c>
      <c r="L2358" s="2" t="s">
        <v>23029</v>
      </c>
      <c r="M2358" s="2" t="s">
        <v>23198</v>
      </c>
      <c r="N2358" s="3" t="s">
        <v>3448</v>
      </c>
      <c r="P2358" s="3" t="s">
        <v>140</v>
      </c>
      <c r="R2358" s="3" t="s">
        <v>71</v>
      </c>
      <c r="S2358" s="4">
        <v>44</v>
      </c>
      <c r="T2358" s="4">
        <v>44</v>
      </c>
      <c r="U2358" s="5" t="s">
        <v>5225</v>
      </c>
      <c r="V2358" s="5" t="s">
        <v>5225</v>
      </c>
      <c r="W2358" s="5" t="s">
        <v>72</v>
      </c>
      <c r="X2358" s="5" t="s">
        <v>72</v>
      </c>
      <c r="Y2358" s="4">
        <v>187</v>
      </c>
      <c r="Z2358" s="4">
        <v>11</v>
      </c>
      <c r="AA2358" s="4">
        <v>24</v>
      </c>
      <c r="AB2358" s="4">
        <v>2</v>
      </c>
      <c r="AC2358" s="4">
        <v>3</v>
      </c>
      <c r="AD2358" s="4">
        <v>71</v>
      </c>
      <c r="AE2358" s="4">
        <v>98</v>
      </c>
      <c r="AF2358" s="4">
        <v>1</v>
      </c>
      <c r="AG2358" s="4">
        <v>1</v>
      </c>
      <c r="AH2358" s="4">
        <v>67</v>
      </c>
      <c r="AI2358" s="4">
        <v>91</v>
      </c>
      <c r="AJ2358" s="4">
        <v>7</v>
      </c>
      <c r="AK2358" s="4">
        <v>17</v>
      </c>
      <c r="AL2358" s="4">
        <v>45</v>
      </c>
      <c r="AM2358" s="4">
        <v>54</v>
      </c>
      <c r="AN2358" s="4">
        <v>0</v>
      </c>
      <c r="AO2358" s="4">
        <v>0</v>
      </c>
      <c r="AP2358" s="4">
        <v>7</v>
      </c>
      <c r="AQ2358" s="4">
        <v>17</v>
      </c>
      <c r="AR2358" s="3" t="s">
        <v>65</v>
      </c>
      <c r="AS2358" s="3" t="s">
        <v>65</v>
      </c>
      <c r="AT2358" s="3" t="s">
        <v>209</v>
      </c>
      <c r="AU2358" s="6" t="str">
        <f>HYPERLINK("http://catalog.hathitrust.org/Record/007114996","HathiTrust Record")</f>
        <v>HathiTrust Record</v>
      </c>
      <c r="AV2358" s="6" t="str">
        <f>HYPERLINK("http://mcgill.on.worldcat.org/oclc/788597","Catalog Record")</f>
        <v>Catalog Record</v>
      </c>
      <c r="AW2358" s="6" t="str">
        <f>HYPERLINK("http://www.worldcat.org/oclc/788597","WorldCat Record")</f>
        <v>WorldCat Record</v>
      </c>
      <c r="AX2358" s="3" t="s">
        <v>23199</v>
      </c>
      <c r="AY2358" s="3" t="s">
        <v>23200</v>
      </c>
      <c r="AZ2358" s="3" t="s">
        <v>23201</v>
      </c>
      <c r="BA2358" s="3" t="s">
        <v>23201</v>
      </c>
      <c r="BB2358" s="3" t="s">
        <v>23202</v>
      </c>
      <c r="BC2358" s="3" t="s">
        <v>77</v>
      </c>
      <c r="BD2358" s="3" t="s">
        <v>106</v>
      </c>
      <c r="BE2358" s="3" t="s">
        <v>23203</v>
      </c>
      <c r="BF2358" s="3" t="s">
        <v>23202</v>
      </c>
      <c r="BG2358" s="3" t="s">
        <v>23204</v>
      </c>
    </row>
    <row r="2359" spans="1:59" ht="58" x14ac:dyDescent="0.35">
      <c r="A2359" s="2" t="s">
        <v>59</v>
      </c>
      <c r="B2359" s="2" t="s">
        <v>60</v>
      </c>
      <c r="C2359" s="2" t="s">
        <v>23205</v>
      </c>
      <c r="D2359" s="2" t="s">
        <v>23206</v>
      </c>
      <c r="E2359" s="2" t="s">
        <v>23207</v>
      </c>
      <c r="G2359" s="3" t="s">
        <v>65</v>
      </c>
      <c r="I2359" s="3" t="s">
        <v>209</v>
      </c>
      <c r="J2359" s="3" t="s">
        <v>65</v>
      </c>
      <c r="K2359" s="3" t="s">
        <v>66</v>
      </c>
      <c r="L2359" s="2" t="s">
        <v>23029</v>
      </c>
      <c r="M2359" s="2" t="s">
        <v>23208</v>
      </c>
      <c r="N2359" s="3" t="s">
        <v>577</v>
      </c>
      <c r="O2359" s="2" t="s">
        <v>23209</v>
      </c>
      <c r="P2359" s="3" t="s">
        <v>69</v>
      </c>
      <c r="Q2359" s="2" t="s">
        <v>23210</v>
      </c>
      <c r="R2359" s="3" t="s">
        <v>71</v>
      </c>
      <c r="S2359" s="4">
        <v>65</v>
      </c>
      <c r="T2359" s="4">
        <v>185</v>
      </c>
      <c r="U2359" s="5" t="s">
        <v>23211</v>
      </c>
      <c r="V2359" s="5" t="s">
        <v>15748</v>
      </c>
      <c r="W2359" s="5" t="s">
        <v>72</v>
      </c>
      <c r="X2359" s="5" t="s">
        <v>72</v>
      </c>
      <c r="Y2359" s="4">
        <v>653</v>
      </c>
      <c r="Z2359" s="4">
        <v>22</v>
      </c>
      <c r="AA2359" s="4">
        <v>70</v>
      </c>
      <c r="AB2359" s="4">
        <v>1</v>
      </c>
      <c r="AC2359" s="4">
        <v>6</v>
      </c>
      <c r="AD2359" s="4">
        <v>65</v>
      </c>
      <c r="AE2359" s="4">
        <v>135</v>
      </c>
      <c r="AF2359" s="4">
        <v>0</v>
      </c>
      <c r="AG2359" s="4">
        <v>2</v>
      </c>
      <c r="AH2359" s="4">
        <v>56</v>
      </c>
      <c r="AI2359" s="4">
        <v>108</v>
      </c>
      <c r="AJ2359" s="4">
        <v>7</v>
      </c>
      <c r="AK2359" s="4">
        <v>21</v>
      </c>
      <c r="AL2359" s="4">
        <v>31</v>
      </c>
      <c r="AM2359" s="4">
        <v>60</v>
      </c>
      <c r="AN2359" s="4">
        <v>0</v>
      </c>
      <c r="AO2359" s="4">
        <v>0</v>
      </c>
      <c r="AP2359" s="4">
        <v>13</v>
      </c>
      <c r="AQ2359" s="4">
        <v>35</v>
      </c>
      <c r="AR2359" s="3" t="s">
        <v>65</v>
      </c>
      <c r="AS2359" s="3" t="s">
        <v>65</v>
      </c>
      <c r="AT2359" s="3" t="s">
        <v>209</v>
      </c>
      <c r="AU2359" s="6" t="str">
        <f>HYPERLINK("http://catalog.hathitrust.org/Record/102324620","HathiTrust Record")</f>
        <v>HathiTrust Record</v>
      </c>
      <c r="AV2359" s="6" t="str">
        <f>HYPERLINK("http://mcgill.on.worldcat.org/oclc/3380425","Catalog Record")</f>
        <v>Catalog Record</v>
      </c>
      <c r="AW2359" s="6" t="str">
        <f>HYPERLINK("http://www.worldcat.org/oclc/3380425","WorldCat Record")</f>
        <v>WorldCat Record</v>
      </c>
      <c r="AX2359" s="3" t="s">
        <v>23212</v>
      </c>
      <c r="AY2359" s="3" t="s">
        <v>23213</v>
      </c>
      <c r="AZ2359" s="3" t="s">
        <v>23214</v>
      </c>
      <c r="BA2359" s="3" t="s">
        <v>23214</v>
      </c>
      <c r="BB2359" s="3" t="s">
        <v>23215</v>
      </c>
      <c r="BC2359" s="3" t="s">
        <v>77</v>
      </c>
      <c r="BD2359" s="3" t="s">
        <v>78</v>
      </c>
      <c r="BE2359" s="3" t="s">
        <v>23216</v>
      </c>
      <c r="BF2359" s="3" t="s">
        <v>23215</v>
      </c>
      <c r="BG2359" s="3" t="s">
        <v>23217</v>
      </c>
    </row>
    <row r="2360" spans="1:59" ht="58" x14ac:dyDescent="0.35">
      <c r="A2360" s="2" t="s">
        <v>59</v>
      </c>
      <c r="B2360" s="2" t="s">
        <v>60</v>
      </c>
      <c r="C2360" s="2" t="s">
        <v>23205</v>
      </c>
      <c r="D2360" s="2" t="s">
        <v>23206</v>
      </c>
      <c r="E2360" s="2" t="s">
        <v>23207</v>
      </c>
      <c r="G2360" s="3" t="s">
        <v>65</v>
      </c>
      <c r="I2360" s="3" t="s">
        <v>209</v>
      </c>
      <c r="J2360" s="3" t="s">
        <v>65</v>
      </c>
      <c r="K2360" s="3" t="s">
        <v>66</v>
      </c>
      <c r="L2360" s="2" t="s">
        <v>23029</v>
      </c>
      <c r="M2360" s="2" t="s">
        <v>23208</v>
      </c>
      <c r="N2360" s="3" t="s">
        <v>577</v>
      </c>
      <c r="O2360" s="2" t="s">
        <v>23209</v>
      </c>
      <c r="P2360" s="3" t="s">
        <v>69</v>
      </c>
      <c r="Q2360" s="2" t="s">
        <v>23210</v>
      </c>
      <c r="R2360" s="3" t="s">
        <v>71</v>
      </c>
      <c r="S2360" s="4">
        <v>53</v>
      </c>
      <c r="T2360" s="4">
        <v>185</v>
      </c>
      <c r="U2360" s="5" t="s">
        <v>216</v>
      </c>
      <c r="V2360" s="5" t="s">
        <v>15748</v>
      </c>
      <c r="W2360" s="5" t="s">
        <v>72</v>
      </c>
      <c r="X2360" s="5" t="s">
        <v>72</v>
      </c>
      <c r="Y2360" s="4">
        <v>653</v>
      </c>
      <c r="Z2360" s="4">
        <v>22</v>
      </c>
      <c r="AA2360" s="4">
        <v>70</v>
      </c>
      <c r="AB2360" s="4">
        <v>1</v>
      </c>
      <c r="AC2360" s="4">
        <v>6</v>
      </c>
      <c r="AD2360" s="4">
        <v>65</v>
      </c>
      <c r="AE2360" s="4">
        <v>135</v>
      </c>
      <c r="AF2360" s="4">
        <v>0</v>
      </c>
      <c r="AG2360" s="4">
        <v>2</v>
      </c>
      <c r="AH2360" s="4">
        <v>56</v>
      </c>
      <c r="AI2360" s="4">
        <v>108</v>
      </c>
      <c r="AJ2360" s="4">
        <v>7</v>
      </c>
      <c r="AK2360" s="4">
        <v>21</v>
      </c>
      <c r="AL2360" s="4">
        <v>31</v>
      </c>
      <c r="AM2360" s="4">
        <v>60</v>
      </c>
      <c r="AN2360" s="4">
        <v>0</v>
      </c>
      <c r="AO2360" s="4">
        <v>0</v>
      </c>
      <c r="AP2360" s="4">
        <v>13</v>
      </c>
      <c r="AQ2360" s="4">
        <v>35</v>
      </c>
      <c r="AR2360" s="3" t="s">
        <v>65</v>
      </c>
      <c r="AS2360" s="3" t="s">
        <v>65</v>
      </c>
      <c r="AT2360" s="3" t="s">
        <v>209</v>
      </c>
      <c r="AU2360" s="6" t="str">
        <f>HYPERLINK("http://catalog.hathitrust.org/Record/102324620","HathiTrust Record")</f>
        <v>HathiTrust Record</v>
      </c>
      <c r="AV2360" s="6" t="str">
        <f>HYPERLINK("http://mcgill.on.worldcat.org/oclc/3380425","Catalog Record")</f>
        <v>Catalog Record</v>
      </c>
      <c r="AW2360" s="6" t="str">
        <f>HYPERLINK("http://www.worldcat.org/oclc/3380425","WorldCat Record")</f>
        <v>WorldCat Record</v>
      </c>
      <c r="AX2360" s="3" t="s">
        <v>23212</v>
      </c>
      <c r="AY2360" s="3" t="s">
        <v>23213</v>
      </c>
      <c r="AZ2360" s="3" t="s">
        <v>23214</v>
      </c>
      <c r="BA2360" s="3" t="s">
        <v>23214</v>
      </c>
      <c r="BB2360" s="3" t="s">
        <v>23218</v>
      </c>
      <c r="BC2360" s="3" t="s">
        <v>77</v>
      </c>
      <c r="BD2360" s="3" t="s">
        <v>78</v>
      </c>
      <c r="BE2360" s="3" t="s">
        <v>23216</v>
      </c>
      <c r="BF2360" s="3" t="s">
        <v>23218</v>
      </c>
      <c r="BG2360" s="3" t="s">
        <v>23219</v>
      </c>
    </row>
    <row r="2361" spans="1:59" ht="58" x14ac:dyDescent="0.35">
      <c r="A2361" s="2" t="s">
        <v>59</v>
      </c>
      <c r="B2361" s="2" t="s">
        <v>60</v>
      </c>
      <c r="C2361" s="2" t="s">
        <v>23205</v>
      </c>
      <c r="D2361" s="2" t="s">
        <v>23206</v>
      </c>
      <c r="E2361" s="2" t="s">
        <v>23207</v>
      </c>
      <c r="G2361" s="3" t="s">
        <v>65</v>
      </c>
      <c r="I2361" s="3" t="s">
        <v>209</v>
      </c>
      <c r="J2361" s="3" t="s">
        <v>65</v>
      </c>
      <c r="K2361" s="3" t="s">
        <v>66</v>
      </c>
      <c r="L2361" s="2" t="s">
        <v>23029</v>
      </c>
      <c r="M2361" s="2" t="s">
        <v>23208</v>
      </c>
      <c r="N2361" s="3" t="s">
        <v>577</v>
      </c>
      <c r="O2361" s="2" t="s">
        <v>23209</v>
      </c>
      <c r="P2361" s="3" t="s">
        <v>69</v>
      </c>
      <c r="Q2361" s="2" t="s">
        <v>23210</v>
      </c>
      <c r="R2361" s="3" t="s">
        <v>71</v>
      </c>
      <c r="S2361" s="4">
        <v>48</v>
      </c>
      <c r="T2361" s="4">
        <v>185</v>
      </c>
      <c r="U2361" s="5" t="s">
        <v>15748</v>
      </c>
      <c r="V2361" s="5" t="s">
        <v>15748</v>
      </c>
      <c r="W2361" s="5" t="s">
        <v>72</v>
      </c>
      <c r="X2361" s="5" t="s">
        <v>72</v>
      </c>
      <c r="Y2361" s="4">
        <v>653</v>
      </c>
      <c r="Z2361" s="4">
        <v>22</v>
      </c>
      <c r="AA2361" s="4">
        <v>70</v>
      </c>
      <c r="AB2361" s="4">
        <v>1</v>
      </c>
      <c r="AC2361" s="4">
        <v>6</v>
      </c>
      <c r="AD2361" s="4">
        <v>65</v>
      </c>
      <c r="AE2361" s="4">
        <v>135</v>
      </c>
      <c r="AF2361" s="4">
        <v>0</v>
      </c>
      <c r="AG2361" s="4">
        <v>2</v>
      </c>
      <c r="AH2361" s="4">
        <v>56</v>
      </c>
      <c r="AI2361" s="4">
        <v>108</v>
      </c>
      <c r="AJ2361" s="4">
        <v>7</v>
      </c>
      <c r="AK2361" s="4">
        <v>21</v>
      </c>
      <c r="AL2361" s="4">
        <v>31</v>
      </c>
      <c r="AM2361" s="4">
        <v>60</v>
      </c>
      <c r="AN2361" s="4">
        <v>0</v>
      </c>
      <c r="AO2361" s="4">
        <v>0</v>
      </c>
      <c r="AP2361" s="4">
        <v>13</v>
      </c>
      <c r="AQ2361" s="4">
        <v>35</v>
      </c>
      <c r="AR2361" s="3" t="s">
        <v>65</v>
      </c>
      <c r="AS2361" s="3" t="s">
        <v>65</v>
      </c>
      <c r="AT2361" s="3" t="s">
        <v>209</v>
      </c>
      <c r="AU2361" s="6" t="str">
        <f>HYPERLINK("http://catalog.hathitrust.org/Record/102324620","HathiTrust Record")</f>
        <v>HathiTrust Record</v>
      </c>
      <c r="AV2361" s="6" t="str">
        <f>HYPERLINK("http://mcgill.on.worldcat.org/oclc/3380425","Catalog Record")</f>
        <v>Catalog Record</v>
      </c>
      <c r="AW2361" s="6" t="str">
        <f>HYPERLINK("http://www.worldcat.org/oclc/3380425","WorldCat Record")</f>
        <v>WorldCat Record</v>
      </c>
      <c r="AX2361" s="3" t="s">
        <v>23212</v>
      </c>
      <c r="AY2361" s="3" t="s">
        <v>23213</v>
      </c>
      <c r="AZ2361" s="3" t="s">
        <v>23214</v>
      </c>
      <c r="BA2361" s="3" t="s">
        <v>23214</v>
      </c>
      <c r="BB2361" s="3" t="s">
        <v>23220</v>
      </c>
      <c r="BC2361" s="3" t="s">
        <v>77</v>
      </c>
      <c r="BD2361" s="3" t="s">
        <v>78</v>
      </c>
      <c r="BE2361" s="3" t="s">
        <v>23216</v>
      </c>
      <c r="BF2361" s="3" t="s">
        <v>23220</v>
      </c>
      <c r="BG2361" s="3" t="s">
        <v>23221</v>
      </c>
    </row>
    <row r="2362" spans="1:59" ht="58" x14ac:dyDescent="0.35">
      <c r="A2362" s="2" t="s">
        <v>59</v>
      </c>
      <c r="B2362" s="2" t="s">
        <v>60</v>
      </c>
      <c r="C2362" s="2" t="s">
        <v>23205</v>
      </c>
      <c r="D2362" s="2" t="s">
        <v>23206</v>
      </c>
      <c r="E2362" s="2" t="s">
        <v>23207</v>
      </c>
      <c r="G2362" s="3" t="s">
        <v>65</v>
      </c>
      <c r="I2362" s="3" t="s">
        <v>209</v>
      </c>
      <c r="J2362" s="3" t="s">
        <v>65</v>
      </c>
      <c r="K2362" s="3" t="s">
        <v>66</v>
      </c>
      <c r="L2362" s="2" t="s">
        <v>23029</v>
      </c>
      <c r="M2362" s="2" t="s">
        <v>23208</v>
      </c>
      <c r="N2362" s="3" t="s">
        <v>577</v>
      </c>
      <c r="O2362" s="2" t="s">
        <v>23209</v>
      </c>
      <c r="P2362" s="3" t="s">
        <v>69</v>
      </c>
      <c r="Q2362" s="2" t="s">
        <v>23210</v>
      </c>
      <c r="R2362" s="3" t="s">
        <v>71</v>
      </c>
      <c r="S2362" s="4">
        <v>19</v>
      </c>
      <c r="T2362" s="4">
        <v>185</v>
      </c>
      <c r="U2362" s="5" t="s">
        <v>14491</v>
      </c>
      <c r="V2362" s="5" t="s">
        <v>15748</v>
      </c>
      <c r="W2362" s="5" t="s">
        <v>72</v>
      </c>
      <c r="X2362" s="5" t="s">
        <v>72</v>
      </c>
      <c r="Y2362" s="4">
        <v>653</v>
      </c>
      <c r="Z2362" s="4">
        <v>22</v>
      </c>
      <c r="AA2362" s="4">
        <v>70</v>
      </c>
      <c r="AB2362" s="4">
        <v>1</v>
      </c>
      <c r="AC2362" s="4">
        <v>6</v>
      </c>
      <c r="AD2362" s="4">
        <v>65</v>
      </c>
      <c r="AE2362" s="4">
        <v>135</v>
      </c>
      <c r="AF2362" s="4">
        <v>0</v>
      </c>
      <c r="AG2362" s="4">
        <v>2</v>
      </c>
      <c r="AH2362" s="4">
        <v>56</v>
      </c>
      <c r="AI2362" s="4">
        <v>108</v>
      </c>
      <c r="AJ2362" s="4">
        <v>7</v>
      </c>
      <c r="AK2362" s="4">
        <v>21</v>
      </c>
      <c r="AL2362" s="4">
        <v>31</v>
      </c>
      <c r="AM2362" s="4">
        <v>60</v>
      </c>
      <c r="AN2362" s="4">
        <v>0</v>
      </c>
      <c r="AO2362" s="4">
        <v>0</v>
      </c>
      <c r="AP2362" s="4">
        <v>13</v>
      </c>
      <c r="AQ2362" s="4">
        <v>35</v>
      </c>
      <c r="AR2362" s="3" t="s">
        <v>65</v>
      </c>
      <c r="AS2362" s="3" t="s">
        <v>65</v>
      </c>
      <c r="AT2362" s="3" t="s">
        <v>209</v>
      </c>
      <c r="AU2362" s="6" t="str">
        <f>HYPERLINK("http://catalog.hathitrust.org/Record/102324620","HathiTrust Record")</f>
        <v>HathiTrust Record</v>
      </c>
      <c r="AV2362" s="6" t="str">
        <f>HYPERLINK("http://mcgill.on.worldcat.org/oclc/3380425","Catalog Record")</f>
        <v>Catalog Record</v>
      </c>
      <c r="AW2362" s="6" t="str">
        <f>HYPERLINK("http://www.worldcat.org/oclc/3380425","WorldCat Record")</f>
        <v>WorldCat Record</v>
      </c>
      <c r="AX2362" s="3" t="s">
        <v>23212</v>
      </c>
      <c r="AY2362" s="3" t="s">
        <v>23213</v>
      </c>
      <c r="AZ2362" s="3" t="s">
        <v>23214</v>
      </c>
      <c r="BA2362" s="3" t="s">
        <v>23214</v>
      </c>
      <c r="BB2362" s="3" t="s">
        <v>23222</v>
      </c>
      <c r="BC2362" s="3" t="s">
        <v>77</v>
      </c>
      <c r="BD2362" s="3" t="s">
        <v>78</v>
      </c>
      <c r="BE2362" s="3" t="s">
        <v>23216</v>
      </c>
      <c r="BF2362" s="3" t="s">
        <v>23222</v>
      </c>
      <c r="BG2362" s="3" t="s">
        <v>23223</v>
      </c>
    </row>
    <row r="2363" spans="1:59" ht="58" x14ac:dyDescent="0.35">
      <c r="A2363" s="2" t="s">
        <v>59</v>
      </c>
      <c r="B2363" s="2" t="s">
        <v>60</v>
      </c>
      <c r="C2363" s="2" t="s">
        <v>23224</v>
      </c>
      <c r="D2363" s="2" t="s">
        <v>23225</v>
      </c>
      <c r="E2363" s="2" t="s">
        <v>23226</v>
      </c>
      <c r="G2363" s="3" t="s">
        <v>65</v>
      </c>
      <c r="I2363" s="3" t="s">
        <v>65</v>
      </c>
      <c r="J2363" s="3" t="s">
        <v>65</v>
      </c>
      <c r="K2363" s="3" t="s">
        <v>66</v>
      </c>
      <c r="M2363" s="2" t="s">
        <v>23227</v>
      </c>
      <c r="N2363" s="3" t="s">
        <v>99</v>
      </c>
      <c r="O2363" s="2" t="s">
        <v>365</v>
      </c>
      <c r="P2363" s="3" t="s">
        <v>140</v>
      </c>
      <c r="Q2363" s="2" t="s">
        <v>23228</v>
      </c>
      <c r="R2363" s="3" t="s">
        <v>71</v>
      </c>
      <c r="S2363" s="4">
        <v>1</v>
      </c>
      <c r="T2363" s="4">
        <v>1</v>
      </c>
      <c r="U2363" s="5" t="s">
        <v>6480</v>
      </c>
      <c r="V2363" s="5" t="s">
        <v>6480</v>
      </c>
      <c r="W2363" s="5" t="s">
        <v>72</v>
      </c>
      <c r="X2363" s="5" t="s">
        <v>72</v>
      </c>
      <c r="Y2363" s="4">
        <v>35</v>
      </c>
      <c r="Z2363" s="4">
        <v>1</v>
      </c>
      <c r="AA2363" s="4">
        <v>1</v>
      </c>
      <c r="AB2363" s="4">
        <v>1</v>
      </c>
      <c r="AC2363" s="4">
        <v>1</v>
      </c>
      <c r="AD2363" s="4">
        <v>27</v>
      </c>
      <c r="AE2363" s="4">
        <v>27</v>
      </c>
      <c r="AF2363" s="4">
        <v>0</v>
      </c>
      <c r="AG2363" s="4">
        <v>0</v>
      </c>
      <c r="AH2363" s="4">
        <v>26</v>
      </c>
      <c r="AI2363" s="4">
        <v>26</v>
      </c>
      <c r="AJ2363" s="4">
        <v>0</v>
      </c>
      <c r="AK2363" s="4">
        <v>0</v>
      </c>
      <c r="AL2363" s="4">
        <v>21</v>
      </c>
      <c r="AM2363" s="4">
        <v>21</v>
      </c>
      <c r="AN2363" s="4">
        <v>0</v>
      </c>
      <c r="AO2363" s="4">
        <v>0</v>
      </c>
      <c r="AP2363" s="4">
        <v>0</v>
      </c>
      <c r="AQ2363" s="4">
        <v>0</v>
      </c>
      <c r="AR2363" s="3" t="s">
        <v>65</v>
      </c>
      <c r="AS2363" s="3" t="s">
        <v>65</v>
      </c>
      <c r="AT2363" s="3" t="s">
        <v>65</v>
      </c>
      <c r="AV2363" s="6" t="str">
        <f>HYPERLINK("http://mcgill.on.worldcat.org/oclc/468976190","Catalog Record")</f>
        <v>Catalog Record</v>
      </c>
      <c r="AW2363" s="6" t="str">
        <f>HYPERLINK("http://www.worldcat.org/oclc/468976190","WorldCat Record")</f>
        <v>WorldCat Record</v>
      </c>
      <c r="AX2363" s="3" t="s">
        <v>23229</v>
      </c>
      <c r="AY2363" s="3" t="s">
        <v>23230</v>
      </c>
      <c r="AZ2363" s="3" t="s">
        <v>23231</v>
      </c>
      <c r="BA2363" s="3" t="s">
        <v>23231</v>
      </c>
      <c r="BB2363" s="3" t="s">
        <v>23232</v>
      </c>
      <c r="BC2363" s="3" t="s">
        <v>77</v>
      </c>
      <c r="BD2363" s="3" t="s">
        <v>78</v>
      </c>
      <c r="BE2363" s="3" t="s">
        <v>23233</v>
      </c>
      <c r="BF2363" s="3" t="s">
        <v>23232</v>
      </c>
      <c r="BG2363" s="3" t="s">
        <v>23234</v>
      </c>
    </row>
    <row r="2364" spans="1:59" ht="58" x14ac:dyDescent="0.35">
      <c r="A2364" s="2" t="s">
        <v>59</v>
      </c>
      <c r="B2364" s="2" t="s">
        <v>60</v>
      </c>
      <c r="C2364" s="2" t="s">
        <v>23235</v>
      </c>
      <c r="D2364" s="2" t="s">
        <v>23236</v>
      </c>
      <c r="E2364" s="2" t="s">
        <v>23237</v>
      </c>
      <c r="G2364" s="3" t="s">
        <v>65</v>
      </c>
      <c r="I2364" s="3" t="s">
        <v>65</v>
      </c>
      <c r="J2364" s="3" t="s">
        <v>65</v>
      </c>
      <c r="K2364" s="3" t="s">
        <v>66</v>
      </c>
      <c r="L2364" s="2" t="s">
        <v>23238</v>
      </c>
      <c r="M2364" s="2" t="s">
        <v>23239</v>
      </c>
      <c r="N2364" s="3" t="s">
        <v>113</v>
      </c>
      <c r="P2364" s="3" t="s">
        <v>140</v>
      </c>
      <c r="Q2364" s="2" t="s">
        <v>23240</v>
      </c>
      <c r="R2364" s="3" t="s">
        <v>71</v>
      </c>
      <c r="S2364" s="4">
        <v>2</v>
      </c>
      <c r="T2364" s="4">
        <v>2</v>
      </c>
      <c r="U2364" s="5" t="s">
        <v>23241</v>
      </c>
      <c r="V2364" s="5" t="s">
        <v>23241</v>
      </c>
      <c r="W2364" s="5" t="s">
        <v>72</v>
      </c>
      <c r="X2364" s="5" t="s">
        <v>72</v>
      </c>
      <c r="Y2364" s="4">
        <v>46</v>
      </c>
      <c r="Z2364" s="4">
        <v>3</v>
      </c>
      <c r="AA2364" s="4">
        <v>3</v>
      </c>
      <c r="AB2364" s="4">
        <v>1</v>
      </c>
      <c r="AC2364" s="4">
        <v>1</v>
      </c>
      <c r="AD2364" s="4">
        <v>34</v>
      </c>
      <c r="AE2364" s="4">
        <v>34</v>
      </c>
      <c r="AF2364" s="4">
        <v>0</v>
      </c>
      <c r="AG2364" s="4">
        <v>0</v>
      </c>
      <c r="AH2364" s="4">
        <v>33</v>
      </c>
      <c r="AI2364" s="4">
        <v>33</v>
      </c>
      <c r="AJ2364" s="4">
        <v>1</v>
      </c>
      <c r="AK2364" s="4">
        <v>1</v>
      </c>
      <c r="AL2364" s="4">
        <v>24</v>
      </c>
      <c r="AM2364" s="4">
        <v>24</v>
      </c>
      <c r="AN2364" s="4">
        <v>0</v>
      </c>
      <c r="AO2364" s="4">
        <v>0</v>
      </c>
      <c r="AP2364" s="4">
        <v>1</v>
      </c>
      <c r="AQ2364" s="4">
        <v>1</v>
      </c>
      <c r="AR2364" s="3" t="s">
        <v>65</v>
      </c>
      <c r="AS2364" s="3" t="s">
        <v>65</v>
      </c>
      <c r="AT2364" s="3" t="s">
        <v>65</v>
      </c>
      <c r="AV2364" s="6" t="str">
        <f>HYPERLINK("http://mcgill.on.worldcat.org/oclc/639152073","Catalog Record")</f>
        <v>Catalog Record</v>
      </c>
      <c r="AW2364" s="6" t="str">
        <f>HYPERLINK("http://www.worldcat.org/oclc/639152073","WorldCat Record")</f>
        <v>WorldCat Record</v>
      </c>
      <c r="AX2364" s="3" t="s">
        <v>23242</v>
      </c>
      <c r="AY2364" s="3" t="s">
        <v>23243</v>
      </c>
      <c r="AZ2364" s="3" t="s">
        <v>23244</v>
      </c>
      <c r="BA2364" s="3" t="s">
        <v>23244</v>
      </c>
      <c r="BB2364" s="3" t="s">
        <v>23245</v>
      </c>
      <c r="BC2364" s="3" t="s">
        <v>77</v>
      </c>
      <c r="BD2364" s="3" t="s">
        <v>78</v>
      </c>
      <c r="BE2364" s="3" t="s">
        <v>23246</v>
      </c>
      <c r="BF2364" s="3" t="s">
        <v>23245</v>
      </c>
      <c r="BG2364" s="3" t="s">
        <v>23247</v>
      </c>
    </row>
    <row r="2365" spans="1:59" ht="58" x14ac:dyDescent="0.35">
      <c r="A2365" s="2" t="s">
        <v>59</v>
      </c>
      <c r="B2365" s="2" t="s">
        <v>60</v>
      </c>
      <c r="C2365" s="2" t="s">
        <v>23248</v>
      </c>
      <c r="D2365" s="2" t="s">
        <v>23249</v>
      </c>
      <c r="E2365" s="2" t="s">
        <v>23250</v>
      </c>
      <c r="G2365" s="3" t="s">
        <v>65</v>
      </c>
      <c r="I2365" s="3" t="s">
        <v>65</v>
      </c>
      <c r="J2365" s="3" t="s">
        <v>65</v>
      </c>
      <c r="K2365" s="3" t="s">
        <v>66</v>
      </c>
      <c r="L2365" s="2" t="s">
        <v>23251</v>
      </c>
      <c r="M2365" s="2" t="s">
        <v>23252</v>
      </c>
      <c r="N2365" s="3" t="s">
        <v>188</v>
      </c>
      <c r="P2365" s="3" t="s">
        <v>140</v>
      </c>
      <c r="Q2365" s="2" t="s">
        <v>23253</v>
      </c>
      <c r="R2365" s="3" t="s">
        <v>71</v>
      </c>
      <c r="S2365" s="4">
        <v>0</v>
      </c>
      <c r="T2365" s="4">
        <v>0</v>
      </c>
      <c r="W2365" s="5" t="s">
        <v>72</v>
      </c>
      <c r="X2365" s="5" t="s">
        <v>72</v>
      </c>
      <c r="Y2365" s="4">
        <v>37</v>
      </c>
      <c r="Z2365" s="4">
        <v>2</v>
      </c>
      <c r="AA2365" s="4">
        <v>2</v>
      </c>
      <c r="AB2365" s="4">
        <v>1</v>
      </c>
      <c r="AC2365" s="4">
        <v>1</v>
      </c>
      <c r="AD2365" s="4">
        <v>30</v>
      </c>
      <c r="AE2365" s="4">
        <v>30</v>
      </c>
      <c r="AF2365" s="4">
        <v>0</v>
      </c>
      <c r="AG2365" s="4">
        <v>0</v>
      </c>
      <c r="AH2365" s="4">
        <v>29</v>
      </c>
      <c r="AI2365" s="4">
        <v>29</v>
      </c>
      <c r="AJ2365" s="4">
        <v>1</v>
      </c>
      <c r="AK2365" s="4">
        <v>1</v>
      </c>
      <c r="AL2365" s="4">
        <v>22</v>
      </c>
      <c r="AM2365" s="4">
        <v>22</v>
      </c>
      <c r="AN2365" s="4">
        <v>0</v>
      </c>
      <c r="AO2365" s="4">
        <v>0</v>
      </c>
      <c r="AP2365" s="4">
        <v>1</v>
      </c>
      <c r="AQ2365" s="4">
        <v>1</v>
      </c>
      <c r="AR2365" s="3" t="s">
        <v>65</v>
      </c>
      <c r="AS2365" s="3" t="s">
        <v>65</v>
      </c>
      <c r="AT2365" s="3" t="s">
        <v>65</v>
      </c>
      <c r="AV2365" s="6" t="str">
        <f>HYPERLINK("http://mcgill.on.worldcat.org/oclc/1022990419","Catalog Record")</f>
        <v>Catalog Record</v>
      </c>
      <c r="AW2365" s="6" t="str">
        <f>HYPERLINK("http://www.worldcat.org/oclc/1022990419","WorldCat Record")</f>
        <v>WorldCat Record</v>
      </c>
      <c r="AX2365" s="3" t="s">
        <v>23254</v>
      </c>
      <c r="AY2365" s="3" t="s">
        <v>23255</v>
      </c>
      <c r="AZ2365" s="3" t="s">
        <v>23256</v>
      </c>
      <c r="BA2365" s="3" t="s">
        <v>23256</v>
      </c>
      <c r="BB2365" s="3" t="s">
        <v>23257</v>
      </c>
      <c r="BC2365" s="3" t="s">
        <v>77</v>
      </c>
      <c r="BD2365" s="3" t="s">
        <v>78</v>
      </c>
      <c r="BE2365" s="3" t="s">
        <v>23258</v>
      </c>
      <c r="BF2365" s="3" t="s">
        <v>23257</v>
      </c>
      <c r="BG2365" s="3" t="s">
        <v>23259</v>
      </c>
    </row>
    <row r="2366" spans="1:59" ht="58" x14ac:dyDescent="0.35">
      <c r="A2366" s="2" t="s">
        <v>59</v>
      </c>
      <c r="B2366" s="2" t="s">
        <v>60</v>
      </c>
      <c r="C2366" s="2" t="s">
        <v>23260</v>
      </c>
      <c r="D2366" s="2" t="s">
        <v>23261</v>
      </c>
      <c r="E2366" s="2" t="s">
        <v>23262</v>
      </c>
      <c r="G2366" s="3" t="s">
        <v>65</v>
      </c>
      <c r="I2366" s="3" t="s">
        <v>65</v>
      </c>
      <c r="J2366" s="3" t="s">
        <v>65</v>
      </c>
      <c r="K2366" s="3" t="s">
        <v>66</v>
      </c>
      <c r="M2366" s="2" t="s">
        <v>23263</v>
      </c>
      <c r="N2366" s="3" t="s">
        <v>2210</v>
      </c>
      <c r="O2366" s="2" t="s">
        <v>365</v>
      </c>
      <c r="P2366" s="3" t="s">
        <v>140</v>
      </c>
      <c r="R2366" s="3" t="s">
        <v>71</v>
      </c>
      <c r="S2366" s="4">
        <v>6</v>
      </c>
      <c r="T2366" s="4">
        <v>6</v>
      </c>
      <c r="U2366" s="5" t="s">
        <v>6113</v>
      </c>
      <c r="V2366" s="5" t="s">
        <v>6113</v>
      </c>
      <c r="W2366" s="5" t="s">
        <v>72</v>
      </c>
      <c r="X2366" s="5" t="s">
        <v>72</v>
      </c>
      <c r="Y2366" s="4">
        <v>17</v>
      </c>
      <c r="Z2366" s="4">
        <v>3</v>
      </c>
      <c r="AA2366" s="4">
        <v>5</v>
      </c>
      <c r="AB2366" s="4">
        <v>1</v>
      </c>
      <c r="AC2366" s="4">
        <v>1</v>
      </c>
      <c r="AD2366" s="4">
        <v>2</v>
      </c>
      <c r="AE2366" s="4">
        <v>45</v>
      </c>
      <c r="AF2366" s="4">
        <v>0</v>
      </c>
      <c r="AG2366" s="4">
        <v>0</v>
      </c>
      <c r="AH2366" s="4">
        <v>2</v>
      </c>
      <c r="AI2366" s="4">
        <v>44</v>
      </c>
      <c r="AJ2366" s="4">
        <v>1</v>
      </c>
      <c r="AK2366" s="4">
        <v>3</v>
      </c>
      <c r="AL2366" s="4">
        <v>2</v>
      </c>
      <c r="AM2366" s="4">
        <v>31</v>
      </c>
      <c r="AN2366" s="4">
        <v>0</v>
      </c>
      <c r="AO2366" s="4">
        <v>0</v>
      </c>
      <c r="AP2366" s="4">
        <v>1</v>
      </c>
      <c r="AQ2366" s="4">
        <v>3</v>
      </c>
      <c r="AR2366" s="3" t="s">
        <v>65</v>
      </c>
      <c r="AS2366" s="3" t="s">
        <v>65</v>
      </c>
      <c r="AT2366" s="3" t="s">
        <v>209</v>
      </c>
      <c r="AU2366" s="6" t="str">
        <f>HYPERLINK("http://catalog.hathitrust.org/Record/004303279","HathiTrust Record")</f>
        <v>HathiTrust Record</v>
      </c>
      <c r="AV2366" s="6" t="str">
        <f>HYPERLINK("http://mcgill.on.worldcat.org/oclc/427515590","Catalog Record")</f>
        <v>Catalog Record</v>
      </c>
      <c r="AW2366" s="6" t="str">
        <f>HYPERLINK("http://www.worldcat.org/oclc/427515590","WorldCat Record")</f>
        <v>WorldCat Record</v>
      </c>
      <c r="AX2366" s="3" t="s">
        <v>23264</v>
      </c>
      <c r="AY2366" s="3" t="s">
        <v>23265</v>
      </c>
      <c r="AZ2366" s="3" t="s">
        <v>23266</v>
      </c>
      <c r="BA2366" s="3" t="s">
        <v>23266</v>
      </c>
      <c r="BB2366" s="3" t="s">
        <v>23267</v>
      </c>
      <c r="BC2366" s="3" t="s">
        <v>77</v>
      </c>
      <c r="BD2366" s="3" t="s">
        <v>78</v>
      </c>
      <c r="BE2366" s="3" t="s">
        <v>23268</v>
      </c>
      <c r="BF2366" s="3" t="s">
        <v>23267</v>
      </c>
      <c r="BG2366" s="3" t="s">
        <v>23269</v>
      </c>
    </row>
    <row r="2367" spans="1:59" ht="58" x14ac:dyDescent="0.35">
      <c r="A2367" s="2" t="s">
        <v>59</v>
      </c>
      <c r="B2367" s="2" t="s">
        <v>60</v>
      </c>
      <c r="C2367" s="2" t="s">
        <v>23270</v>
      </c>
      <c r="D2367" s="2" t="s">
        <v>23271</v>
      </c>
      <c r="E2367" s="2" t="s">
        <v>23272</v>
      </c>
      <c r="G2367" s="3" t="s">
        <v>65</v>
      </c>
      <c r="I2367" s="3" t="s">
        <v>65</v>
      </c>
      <c r="J2367" s="3" t="s">
        <v>65</v>
      </c>
      <c r="K2367" s="3" t="s">
        <v>66</v>
      </c>
      <c r="L2367" s="2" t="s">
        <v>23151</v>
      </c>
      <c r="M2367" s="2" t="s">
        <v>23273</v>
      </c>
      <c r="N2367" s="3" t="s">
        <v>152</v>
      </c>
      <c r="P2367" s="3" t="s">
        <v>69</v>
      </c>
      <c r="Q2367" s="2" t="s">
        <v>22024</v>
      </c>
      <c r="R2367" s="3" t="s">
        <v>71</v>
      </c>
      <c r="S2367" s="4">
        <v>15</v>
      </c>
      <c r="T2367" s="4">
        <v>15</v>
      </c>
      <c r="U2367" s="5" t="s">
        <v>23274</v>
      </c>
      <c r="V2367" s="5" t="s">
        <v>23274</v>
      </c>
      <c r="W2367" s="5" t="s">
        <v>72</v>
      </c>
      <c r="X2367" s="5" t="s">
        <v>72</v>
      </c>
      <c r="Y2367" s="4">
        <v>72</v>
      </c>
      <c r="Z2367" s="4">
        <v>11</v>
      </c>
      <c r="AA2367" s="4">
        <v>22</v>
      </c>
      <c r="AB2367" s="4">
        <v>1</v>
      </c>
      <c r="AC2367" s="4">
        <v>3</v>
      </c>
      <c r="AD2367" s="4">
        <v>31</v>
      </c>
      <c r="AE2367" s="4">
        <v>64</v>
      </c>
      <c r="AF2367" s="4">
        <v>0</v>
      </c>
      <c r="AG2367" s="4">
        <v>0</v>
      </c>
      <c r="AH2367" s="4">
        <v>29</v>
      </c>
      <c r="AI2367" s="4">
        <v>61</v>
      </c>
      <c r="AJ2367" s="4">
        <v>8</v>
      </c>
      <c r="AK2367" s="4">
        <v>9</v>
      </c>
      <c r="AL2367" s="4">
        <v>20</v>
      </c>
      <c r="AM2367" s="4">
        <v>40</v>
      </c>
      <c r="AN2367" s="4">
        <v>0</v>
      </c>
      <c r="AO2367" s="4">
        <v>0</v>
      </c>
      <c r="AP2367" s="4">
        <v>8</v>
      </c>
      <c r="AQ2367" s="4">
        <v>9</v>
      </c>
      <c r="AR2367" s="3" t="s">
        <v>65</v>
      </c>
      <c r="AS2367" s="3" t="s">
        <v>65</v>
      </c>
      <c r="AT2367" s="3" t="s">
        <v>65</v>
      </c>
      <c r="AV2367" s="6" t="str">
        <f>HYPERLINK("http://mcgill.on.worldcat.org/oclc/855703106","Catalog Record")</f>
        <v>Catalog Record</v>
      </c>
      <c r="AW2367" s="6" t="str">
        <f>HYPERLINK("http://www.worldcat.org/oclc/855703106","WorldCat Record")</f>
        <v>WorldCat Record</v>
      </c>
      <c r="AX2367" s="3" t="s">
        <v>23275</v>
      </c>
      <c r="AY2367" s="3" t="s">
        <v>23276</v>
      </c>
      <c r="AZ2367" s="3" t="s">
        <v>23277</v>
      </c>
      <c r="BA2367" s="3" t="s">
        <v>23277</v>
      </c>
      <c r="BB2367" s="3" t="s">
        <v>23278</v>
      </c>
      <c r="BC2367" s="3" t="s">
        <v>77</v>
      </c>
      <c r="BD2367" s="3" t="s">
        <v>78</v>
      </c>
      <c r="BE2367" s="3" t="s">
        <v>23279</v>
      </c>
      <c r="BF2367" s="3" t="s">
        <v>23278</v>
      </c>
      <c r="BG2367" s="3" t="s">
        <v>23280</v>
      </c>
    </row>
    <row r="2368" spans="1:59" ht="58" x14ac:dyDescent="0.35">
      <c r="A2368" s="2" t="s">
        <v>59</v>
      </c>
      <c r="B2368" s="2" t="s">
        <v>60</v>
      </c>
      <c r="C2368" s="2" t="s">
        <v>23281</v>
      </c>
      <c r="D2368" s="2" t="s">
        <v>23282</v>
      </c>
      <c r="E2368" s="2" t="s">
        <v>23283</v>
      </c>
      <c r="G2368" s="3" t="s">
        <v>65</v>
      </c>
      <c r="I2368" s="3" t="s">
        <v>65</v>
      </c>
      <c r="J2368" s="3" t="s">
        <v>65</v>
      </c>
      <c r="K2368" s="3" t="s">
        <v>66</v>
      </c>
      <c r="L2368" s="2" t="s">
        <v>23029</v>
      </c>
      <c r="M2368" s="2" t="s">
        <v>23284</v>
      </c>
      <c r="N2368" s="3" t="s">
        <v>615</v>
      </c>
      <c r="O2368" s="2" t="s">
        <v>654</v>
      </c>
      <c r="P2368" s="3" t="s">
        <v>140</v>
      </c>
      <c r="Q2368" s="2" t="s">
        <v>23285</v>
      </c>
      <c r="R2368" s="3" t="s">
        <v>71</v>
      </c>
      <c r="S2368" s="4">
        <v>11</v>
      </c>
      <c r="T2368" s="4">
        <v>11</v>
      </c>
      <c r="U2368" s="5" t="s">
        <v>23286</v>
      </c>
      <c r="V2368" s="5" t="s">
        <v>23286</v>
      </c>
      <c r="W2368" s="5" t="s">
        <v>72</v>
      </c>
      <c r="X2368" s="5" t="s">
        <v>72</v>
      </c>
      <c r="Y2368" s="4">
        <v>157</v>
      </c>
      <c r="Z2368" s="4">
        <v>13</v>
      </c>
      <c r="AA2368" s="4">
        <v>16</v>
      </c>
      <c r="AB2368" s="4">
        <v>2</v>
      </c>
      <c r="AC2368" s="4">
        <v>3</v>
      </c>
      <c r="AD2368" s="4">
        <v>66</v>
      </c>
      <c r="AE2368" s="4">
        <v>81</v>
      </c>
      <c r="AF2368" s="4">
        <v>1</v>
      </c>
      <c r="AG2368" s="4">
        <v>2</v>
      </c>
      <c r="AH2368" s="4">
        <v>60</v>
      </c>
      <c r="AI2368" s="4">
        <v>74</v>
      </c>
      <c r="AJ2368" s="4">
        <v>9</v>
      </c>
      <c r="AK2368" s="4">
        <v>12</v>
      </c>
      <c r="AL2368" s="4">
        <v>41</v>
      </c>
      <c r="AM2368" s="4">
        <v>50</v>
      </c>
      <c r="AN2368" s="4">
        <v>0</v>
      </c>
      <c r="AO2368" s="4">
        <v>0</v>
      </c>
      <c r="AP2368" s="4">
        <v>9</v>
      </c>
      <c r="AQ2368" s="4">
        <v>11</v>
      </c>
      <c r="AR2368" s="3" t="s">
        <v>65</v>
      </c>
      <c r="AS2368" s="3" t="s">
        <v>65</v>
      </c>
      <c r="AT2368" s="3" t="s">
        <v>209</v>
      </c>
      <c r="AU2368" s="6" t="str">
        <f>HYPERLINK("http://catalog.hathitrust.org/Record/000806177","HathiTrust Record")</f>
        <v>HathiTrust Record</v>
      </c>
      <c r="AV2368" s="6" t="str">
        <f>HYPERLINK("http://mcgill.on.worldcat.org/oclc/12362325","Catalog Record")</f>
        <v>Catalog Record</v>
      </c>
      <c r="AW2368" s="6" t="str">
        <f>HYPERLINK("http://www.worldcat.org/oclc/12362325","WorldCat Record")</f>
        <v>WorldCat Record</v>
      </c>
      <c r="AX2368" s="3" t="s">
        <v>23287</v>
      </c>
      <c r="AY2368" s="3" t="s">
        <v>23288</v>
      </c>
      <c r="AZ2368" s="3" t="s">
        <v>23289</v>
      </c>
      <c r="BA2368" s="3" t="s">
        <v>23289</v>
      </c>
      <c r="BB2368" s="3" t="s">
        <v>23290</v>
      </c>
      <c r="BC2368" s="3" t="s">
        <v>77</v>
      </c>
      <c r="BD2368" s="3" t="s">
        <v>78</v>
      </c>
      <c r="BF2368" s="3" t="s">
        <v>23290</v>
      </c>
      <c r="BG2368" s="3" t="s">
        <v>23291</v>
      </c>
    </row>
    <row r="2369" spans="1:59" ht="58" x14ac:dyDescent="0.35">
      <c r="A2369" s="2" t="s">
        <v>59</v>
      </c>
      <c r="B2369" s="2" t="s">
        <v>60</v>
      </c>
      <c r="C2369" s="2" t="s">
        <v>23292</v>
      </c>
      <c r="D2369" s="2" t="s">
        <v>23293</v>
      </c>
      <c r="E2369" s="2" t="s">
        <v>23294</v>
      </c>
      <c r="G2369" s="3" t="s">
        <v>65</v>
      </c>
      <c r="I2369" s="3" t="s">
        <v>65</v>
      </c>
      <c r="J2369" s="3" t="s">
        <v>209</v>
      </c>
      <c r="K2369" s="3" t="s">
        <v>66</v>
      </c>
      <c r="L2369" s="2" t="s">
        <v>23029</v>
      </c>
      <c r="M2369" s="2" t="s">
        <v>23295</v>
      </c>
      <c r="N2369" s="3" t="s">
        <v>5338</v>
      </c>
      <c r="O2369" s="2" t="s">
        <v>21333</v>
      </c>
      <c r="P2369" s="3" t="s">
        <v>140</v>
      </c>
      <c r="R2369" s="3" t="s">
        <v>71</v>
      </c>
      <c r="S2369" s="4">
        <v>15</v>
      </c>
      <c r="T2369" s="4">
        <v>15</v>
      </c>
      <c r="U2369" s="5" t="s">
        <v>23296</v>
      </c>
      <c r="V2369" s="5" t="s">
        <v>23296</v>
      </c>
      <c r="W2369" s="5" t="s">
        <v>72</v>
      </c>
      <c r="X2369" s="5" t="s">
        <v>72</v>
      </c>
      <c r="Y2369" s="4">
        <v>76</v>
      </c>
      <c r="Z2369" s="4">
        <v>10</v>
      </c>
      <c r="AA2369" s="4">
        <v>24</v>
      </c>
      <c r="AB2369" s="4">
        <v>1</v>
      </c>
      <c r="AC2369" s="4">
        <v>4</v>
      </c>
      <c r="AD2369" s="4">
        <v>39</v>
      </c>
      <c r="AE2369" s="4">
        <v>102</v>
      </c>
      <c r="AF2369" s="4">
        <v>0</v>
      </c>
      <c r="AG2369" s="4">
        <v>2</v>
      </c>
      <c r="AH2369" s="4">
        <v>36</v>
      </c>
      <c r="AI2369" s="4">
        <v>93</v>
      </c>
      <c r="AJ2369" s="4">
        <v>6</v>
      </c>
      <c r="AK2369" s="4">
        <v>15</v>
      </c>
      <c r="AL2369" s="4">
        <v>24</v>
      </c>
      <c r="AM2369" s="4">
        <v>54</v>
      </c>
      <c r="AN2369" s="4">
        <v>0</v>
      </c>
      <c r="AO2369" s="4">
        <v>7</v>
      </c>
      <c r="AP2369" s="4">
        <v>7</v>
      </c>
      <c r="AQ2369" s="4">
        <v>15</v>
      </c>
      <c r="AR2369" s="3" t="s">
        <v>65</v>
      </c>
      <c r="AS2369" s="3" t="s">
        <v>65</v>
      </c>
      <c r="AT2369" s="3" t="s">
        <v>209</v>
      </c>
      <c r="AU2369" s="6" t="str">
        <f>HYPERLINK("http://catalog.hathitrust.org/Record/102499014","HathiTrust Record")</f>
        <v>HathiTrust Record</v>
      </c>
      <c r="AV2369" s="6" t="str">
        <f>HYPERLINK("http://mcgill.on.worldcat.org/oclc/1220661","Catalog Record")</f>
        <v>Catalog Record</v>
      </c>
      <c r="AW2369" s="6" t="str">
        <f>HYPERLINK("http://www.worldcat.org/oclc/1220661","WorldCat Record")</f>
        <v>WorldCat Record</v>
      </c>
      <c r="AX2369" s="3" t="s">
        <v>23297</v>
      </c>
      <c r="AY2369" s="3" t="s">
        <v>23298</v>
      </c>
      <c r="AZ2369" s="3" t="s">
        <v>23299</v>
      </c>
      <c r="BA2369" s="3" t="s">
        <v>23299</v>
      </c>
      <c r="BB2369" s="3" t="s">
        <v>23300</v>
      </c>
      <c r="BC2369" s="3" t="s">
        <v>77</v>
      </c>
      <c r="BD2369" s="3" t="s">
        <v>78</v>
      </c>
      <c r="BF2369" s="3" t="s">
        <v>23300</v>
      </c>
      <c r="BG2369" s="3" t="s">
        <v>23301</v>
      </c>
    </row>
    <row r="2370" spans="1:59" ht="58" x14ac:dyDescent="0.35">
      <c r="A2370" s="2" t="s">
        <v>59</v>
      </c>
      <c r="B2370" s="2" t="s">
        <v>60</v>
      </c>
      <c r="C2370" s="2" t="s">
        <v>23302</v>
      </c>
      <c r="D2370" s="2" t="s">
        <v>23303</v>
      </c>
      <c r="E2370" s="2" t="s">
        <v>23304</v>
      </c>
      <c r="G2370" s="3" t="s">
        <v>65</v>
      </c>
      <c r="I2370" s="3" t="s">
        <v>209</v>
      </c>
      <c r="J2370" s="3" t="s">
        <v>65</v>
      </c>
      <c r="K2370" s="3" t="s">
        <v>66</v>
      </c>
      <c r="L2370" s="2" t="s">
        <v>23029</v>
      </c>
      <c r="M2370" s="2" t="s">
        <v>23305</v>
      </c>
      <c r="N2370" s="3" t="s">
        <v>3994</v>
      </c>
      <c r="O2370" s="2" t="s">
        <v>2438</v>
      </c>
      <c r="P2370" s="3" t="s">
        <v>69</v>
      </c>
      <c r="R2370" s="3" t="s">
        <v>71</v>
      </c>
      <c r="S2370" s="4">
        <v>47</v>
      </c>
      <c r="T2370" s="4">
        <v>95</v>
      </c>
      <c r="U2370" s="5" t="s">
        <v>23306</v>
      </c>
      <c r="V2370" s="5" t="s">
        <v>23306</v>
      </c>
      <c r="W2370" s="5" t="s">
        <v>72</v>
      </c>
      <c r="X2370" s="5" t="s">
        <v>72</v>
      </c>
      <c r="Y2370" s="4">
        <v>693</v>
      </c>
      <c r="Z2370" s="4">
        <v>21</v>
      </c>
      <c r="AA2370" s="4">
        <v>45</v>
      </c>
      <c r="AB2370" s="4">
        <v>2</v>
      </c>
      <c r="AC2370" s="4">
        <v>2</v>
      </c>
      <c r="AD2370" s="4">
        <v>91</v>
      </c>
      <c r="AE2370" s="4">
        <v>122</v>
      </c>
      <c r="AF2370" s="4">
        <v>0</v>
      </c>
      <c r="AG2370" s="4">
        <v>0</v>
      </c>
      <c r="AH2370" s="4">
        <v>79</v>
      </c>
      <c r="AI2370" s="4">
        <v>103</v>
      </c>
      <c r="AJ2370" s="4">
        <v>8</v>
      </c>
      <c r="AK2370" s="4">
        <v>17</v>
      </c>
      <c r="AL2370" s="4">
        <v>51</v>
      </c>
      <c r="AM2370" s="4">
        <v>58</v>
      </c>
      <c r="AN2370" s="4">
        <v>0</v>
      </c>
      <c r="AO2370" s="4">
        <v>5</v>
      </c>
      <c r="AP2370" s="4">
        <v>13</v>
      </c>
      <c r="AQ2370" s="4">
        <v>25</v>
      </c>
      <c r="AR2370" s="3" t="s">
        <v>65</v>
      </c>
      <c r="AS2370" s="3" t="s">
        <v>65</v>
      </c>
      <c r="AT2370" s="3" t="s">
        <v>209</v>
      </c>
      <c r="AU2370" s="6" t="str">
        <f>HYPERLINK("http://catalog.hathitrust.org/Record/001218727","HathiTrust Record")</f>
        <v>HathiTrust Record</v>
      </c>
      <c r="AV2370" s="6" t="str">
        <f>HYPERLINK("http://mcgill.on.worldcat.org/oclc/443414","Catalog Record")</f>
        <v>Catalog Record</v>
      </c>
      <c r="AW2370" s="6" t="str">
        <f>HYPERLINK("http://www.worldcat.org/oclc/443414","WorldCat Record")</f>
        <v>WorldCat Record</v>
      </c>
      <c r="AX2370" s="3" t="s">
        <v>23307</v>
      </c>
      <c r="AY2370" s="3" t="s">
        <v>23308</v>
      </c>
      <c r="AZ2370" s="3" t="s">
        <v>23309</v>
      </c>
      <c r="BA2370" s="3" t="s">
        <v>23309</v>
      </c>
      <c r="BB2370" s="3" t="s">
        <v>23310</v>
      </c>
      <c r="BC2370" s="3" t="s">
        <v>77</v>
      </c>
      <c r="BD2370" s="3" t="s">
        <v>78</v>
      </c>
      <c r="BE2370" s="3" t="s">
        <v>23311</v>
      </c>
      <c r="BF2370" s="3" t="s">
        <v>23310</v>
      </c>
      <c r="BG2370" s="3" t="s">
        <v>23312</v>
      </c>
    </row>
    <row r="2371" spans="1:59" ht="58" x14ac:dyDescent="0.35">
      <c r="A2371" s="2" t="s">
        <v>59</v>
      </c>
      <c r="B2371" s="2" t="s">
        <v>60</v>
      </c>
      <c r="C2371" s="2" t="s">
        <v>23302</v>
      </c>
      <c r="D2371" s="2" t="s">
        <v>23303</v>
      </c>
      <c r="E2371" s="2" t="s">
        <v>23304</v>
      </c>
      <c r="G2371" s="3" t="s">
        <v>65</v>
      </c>
      <c r="I2371" s="3" t="s">
        <v>209</v>
      </c>
      <c r="J2371" s="3" t="s">
        <v>65</v>
      </c>
      <c r="K2371" s="3" t="s">
        <v>66</v>
      </c>
      <c r="L2371" s="2" t="s">
        <v>23029</v>
      </c>
      <c r="M2371" s="2" t="s">
        <v>23305</v>
      </c>
      <c r="N2371" s="3" t="s">
        <v>3994</v>
      </c>
      <c r="O2371" s="2" t="s">
        <v>2438</v>
      </c>
      <c r="P2371" s="3" t="s">
        <v>69</v>
      </c>
      <c r="R2371" s="3" t="s">
        <v>71</v>
      </c>
      <c r="S2371" s="4">
        <v>20</v>
      </c>
      <c r="T2371" s="4">
        <v>95</v>
      </c>
      <c r="U2371" s="5" t="s">
        <v>23313</v>
      </c>
      <c r="V2371" s="5" t="s">
        <v>23306</v>
      </c>
      <c r="W2371" s="5" t="s">
        <v>72</v>
      </c>
      <c r="X2371" s="5" t="s">
        <v>72</v>
      </c>
      <c r="Y2371" s="4">
        <v>693</v>
      </c>
      <c r="Z2371" s="4">
        <v>21</v>
      </c>
      <c r="AA2371" s="4">
        <v>45</v>
      </c>
      <c r="AB2371" s="4">
        <v>2</v>
      </c>
      <c r="AC2371" s="4">
        <v>2</v>
      </c>
      <c r="AD2371" s="4">
        <v>91</v>
      </c>
      <c r="AE2371" s="4">
        <v>122</v>
      </c>
      <c r="AF2371" s="4">
        <v>0</v>
      </c>
      <c r="AG2371" s="4">
        <v>0</v>
      </c>
      <c r="AH2371" s="4">
        <v>79</v>
      </c>
      <c r="AI2371" s="4">
        <v>103</v>
      </c>
      <c r="AJ2371" s="4">
        <v>8</v>
      </c>
      <c r="AK2371" s="4">
        <v>17</v>
      </c>
      <c r="AL2371" s="4">
        <v>51</v>
      </c>
      <c r="AM2371" s="4">
        <v>58</v>
      </c>
      <c r="AN2371" s="4">
        <v>0</v>
      </c>
      <c r="AO2371" s="4">
        <v>5</v>
      </c>
      <c r="AP2371" s="4">
        <v>13</v>
      </c>
      <c r="AQ2371" s="4">
        <v>25</v>
      </c>
      <c r="AR2371" s="3" t="s">
        <v>65</v>
      </c>
      <c r="AS2371" s="3" t="s">
        <v>65</v>
      </c>
      <c r="AT2371" s="3" t="s">
        <v>209</v>
      </c>
      <c r="AU2371" s="6" t="str">
        <f>HYPERLINK("http://catalog.hathitrust.org/Record/001218727","HathiTrust Record")</f>
        <v>HathiTrust Record</v>
      </c>
      <c r="AV2371" s="6" t="str">
        <f>HYPERLINK("http://mcgill.on.worldcat.org/oclc/443414","Catalog Record")</f>
        <v>Catalog Record</v>
      </c>
      <c r="AW2371" s="6" t="str">
        <f>HYPERLINK("http://www.worldcat.org/oclc/443414","WorldCat Record")</f>
        <v>WorldCat Record</v>
      </c>
      <c r="AX2371" s="3" t="s">
        <v>23307</v>
      </c>
      <c r="AY2371" s="3" t="s">
        <v>23308</v>
      </c>
      <c r="AZ2371" s="3" t="s">
        <v>23309</v>
      </c>
      <c r="BA2371" s="3" t="s">
        <v>23309</v>
      </c>
      <c r="BB2371" s="3" t="s">
        <v>23314</v>
      </c>
      <c r="BC2371" s="3" t="s">
        <v>77</v>
      </c>
      <c r="BD2371" s="3" t="s">
        <v>106</v>
      </c>
      <c r="BE2371" s="3" t="s">
        <v>23311</v>
      </c>
      <c r="BF2371" s="3" t="s">
        <v>23314</v>
      </c>
      <c r="BG2371" s="3" t="s">
        <v>23315</v>
      </c>
    </row>
    <row r="2372" spans="1:59" ht="58" x14ac:dyDescent="0.35">
      <c r="A2372" s="2" t="s">
        <v>59</v>
      </c>
      <c r="B2372" s="2" t="s">
        <v>60</v>
      </c>
      <c r="C2372" s="2" t="s">
        <v>23302</v>
      </c>
      <c r="D2372" s="2" t="s">
        <v>23303</v>
      </c>
      <c r="E2372" s="2" t="s">
        <v>23304</v>
      </c>
      <c r="G2372" s="3" t="s">
        <v>65</v>
      </c>
      <c r="I2372" s="3" t="s">
        <v>209</v>
      </c>
      <c r="J2372" s="3" t="s">
        <v>65</v>
      </c>
      <c r="K2372" s="3" t="s">
        <v>66</v>
      </c>
      <c r="L2372" s="2" t="s">
        <v>23029</v>
      </c>
      <c r="M2372" s="2" t="s">
        <v>23305</v>
      </c>
      <c r="N2372" s="3" t="s">
        <v>3994</v>
      </c>
      <c r="O2372" s="2" t="s">
        <v>2438</v>
      </c>
      <c r="P2372" s="3" t="s">
        <v>69</v>
      </c>
      <c r="R2372" s="3" t="s">
        <v>71</v>
      </c>
      <c r="S2372" s="4">
        <v>28</v>
      </c>
      <c r="T2372" s="4">
        <v>95</v>
      </c>
      <c r="U2372" s="5" t="s">
        <v>13846</v>
      </c>
      <c r="V2372" s="5" t="s">
        <v>23306</v>
      </c>
      <c r="W2372" s="5" t="s">
        <v>72</v>
      </c>
      <c r="X2372" s="5" t="s">
        <v>72</v>
      </c>
      <c r="Y2372" s="4">
        <v>693</v>
      </c>
      <c r="Z2372" s="4">
        <v>21</v>
      </c>
      <c r="AA2372" s="4">
        <v>45</v>
      </c>
      <c r="AB2372" s="4">
        <v>2</v>
      </c>
      <c r="AC2372" s="4">
        <v>2</v>
      </c>
      <c r="AD2372" s="4">
        <v>91</v>
      </c>
      <c r="AE2372" s="4">
        <v>122</v>
      </c>
      <c r="AF2372" s="4">
        <v>0</v>
      </c>
      <c r="AG2372" s="4">
        <v>0</v>
      </c>
      <c r="AH2372" s="4">
        <v>79</v>
      </c>
      <c r="AI2372" s="4">
        <v>103</v>
      </c>
      <c r="AJ2372" s="4">
        <v>8</v>
      </c>
      <c r="AK2372" s="4">
        <v>17</v>
      </c>
      <c r="AL2372" s="4">
        <v>51</v>
      </c>
      <c r="AM2372" s="4">
        <v>58</v>
      </c>
      <c r="AN2372" s="4">
        <v>0</v>
      </c>
      <c r="AO2372" s="4">
        <v>5</v>
      </c>
      <c r="AP2372" s="4">
        <v>13</v>
      </c>
      <c r="AQ2372" s="4">
        <v>25</v>
      </c>
      <c r="AR2372" s="3" t="s">
        <v>65</v>
      </c>
      <c r="AS2372" s="3" t="s">
        <v>65</v>
      </c>
      <c r="AT2372" s="3" t="s">
        <v>209</v>
      </c>
      <c r="AU2372" s="6" t="str">
        <f>HYPERLINK("http://catalog.hathitrust.org/Record/001218727","HathiTrust Record")</f>
        <v>HathiTrust Record</v>
      </c>
      <c r="AV2372" s="6" t="str">
        <f>HYPERLINK("http://mcgill.on.worldcat.org/oclc/443414","Catalog Record")</f>
        <v>Catalog Record</v>
      </c>
      <c r="AW2372" s="6" t="str">
        <f>HYPERLINK("http://www.worldcat.org/oclc/443414","WorldCat Record")</f>
        <v>WorldCat Record</v>
      </c>
      <c r="AX2372" s="3" t="s">
        <v>23307</v>
      </c>
      <c r="AY2372" s="3" t="s">
        <v>23308</v>
      </c>
      <c r="AZ2372" s="3" t="s">
        <v>23309</v>
      </c>
      <c r="BA2372" s="3" t="s">
        <v>23309</v>
      </c>
      <c r="BB2372" s="3" t="s">
        <v>23316</v>
      </c>
      <c r="BC2372" s="3" t="s">
        <v>77</v>
      </c>
      <c r="BD2372" s="3" t="s">
        <v>106</v>
      </c>
      <c r="BE2372" s="3" t="s">
        <v>23311</v>
      </c>
      <c r="BF2372" s="3" t="s">
        <v>23316</v>
      </c>
      <c r="BG2372" s="3" t="s">
        <v>23317</v>
      </c>
    </row>
    <row r="2373" spans="1:59" ht="58" x14ac:dyDescent="0.35">
      <c r="A2373" s="2" t="s">
        <v>59</v>
      </c>
      <c r="B2373" s="2" t="s">
        <v>60</v>
      </c>
      <c r="C2373" s="2" t="s">
        <v>23318</v>
      </c>
      <c r="D2373" s="2" t="s">
        <v>23319</v>
      </c>
      <c r="E2373" s="2" t="s">
        <v>23320</v>
      </c>
      <c r="G2373" s="3" t="s">
        <v>65</v>
      </c>
      <c r="I2373" s="3" t="s">
        <v>65</v>
      </c>
      <c r="J2373" s="3" t="s">
        <v>65</v>
      </c>
      <c r="K2373" s="3" t="s">
        <v>66</v>
      </c>
      <c r="L2373" s="2" t="s">
        <v>23029</v>
      </c>
      <c r="M2373" s="2" t="s">
        <v>23321</v>
      </c>
      <c r="N2373" s="3" t="s">
        <v>126</v>
      </c>
      <c r="P2373" s="3" t="s">
        <v>69</v>
      </c>
      <c r="Q2373" s="2" t="s">
        <v>22024</v>
      </c>
      <c r="R2373" s="3" t="s">
        <v>71</v>
      </c>
      <c r="S2373" s="4">
        <v>4</v>
      </c>
      <c r="T2373" s="4">
        <v>4</v>
      </c>
      <c r="U2373" s="5" t="s">
        <v>2510</v>
      </c>
      <c r="V2373" s="5" t="s">
        <v>2510</v>
      </c>
      <c r="W2373" s="5" t="s">
        <v>72</v>
      </c>
      <c r="X2373" s="5" t="s">
        <v>72</v>
      </c>
      <c r="Y2373" s="4">
        <v>82</v>
      </c>
      <c r="Z2373" s="4">
        <v>7</v>
      </c>
      <c r="AA2373" s="4">
        <v>15</v>
      </c>
      <c r="AB2373" s="4">
        <v>1</v>
      </c>
      <c r="AC2373" s="4">
        <v>2</v>
      </c>
      <c r="AD2373" s="4">
        <v>25</v>
      </c>
      <c r="AE2373" s="4">
        <v>42</v>
      </c>
      <c r="AF2373" s="4">
        <v>0</v>
      </c>
      <c r="AG2373" s="4">
        <v>0</v>
      </c>
      <c r="AH2373" s="4">
        <v>23</v>
      </c>
      <c r="AI2373" s="4">
        <v>39</v>
      </c>
      <c r="AJ2373" s="4">
        <v>4</v>
      </c>
      <c r="AK2373" s="4">
        <v>6</v>
      </c>
      <c r="AL2373" s="4">
        <v>18</v>
      </c>
      <c r="AM2373" s="4">
        <v>27</v>
      </c>
      <c r="AN2373" s="4">
        <v>0</v>
      </c>
      <c r="AO2373" s="4">
        <v>0</v>
      </c>
      <c r="AP2373" s="4">
        <v>4</v>
      </c>
      <c r="AQ2373" s="4">
        <v>6</v>
      </c>
      <c r="AR2373" s="3" t="s">
        <v>65</v>
      </c>
      <c r="AS2373" s="3" t="s">
        <v>65</v>
      </c>
      <c r="AT2373" s="3" t="s">
        <v>65</v>
      </c>
      <c r="AV2373" s="6" t="str">
        <f>HYPERLINK("http://mcgill.on.worldcat.org/oclc/751797071","Catalog Record")</f>
        <v>Catalog Record</v>
      </c>
      <c r="AW2373" s="6" t="str">
        <f>HYPERLINK("http://www.worldcat.org/oclc/751797071","WorldCat Record")</f>
        <v>WorldCat Record</v>
      </c>
      <c r="AX2373" s="3" t="s">
        <v>23322</v>
      </c>
      <c r="AY2373" s="3" t="s">
        <v>23323</v>
      </c>
      <c r="AZ2373" s="3" t="s">
        <v>23324</v>
      </c>
      <c r="BA2373" s="3" t="s">
        <v>23324</v>
      </c>
      <c r="BB2373" s="3" t="s">
        <v>23325</v>
      </c>
      <c r="BC2373" s="3" t="s">
        <v>77</v>
      </c>
      <c r="BD2373" s="3" t="s">
        <v>106</v>
      </c>
      <c r="BE2373" s="3" t="s">
        <v>23326</v>
      </c>
      <c r="BF2373" s="3" t="s">
        <v>23325</v>
      </c>
      <c r="BG2373" s="3" t="s">
        <v>23327</v>
      </c>
    </row>
    <row r="2374" spans="1:59" ht="58" x14ac:dyDescent="0.35">
      <c r="A2374" s="2" t="s">
        <v>59</v>
      </c>
      <c r="B2374" s="2" t="s">
        <v>60</v>
      </c>
      <c r="C2374" s="2" t="s">
        <v>23328</v>
      </c>
      <c r="D2374" s="2" t="s">
        <v>23329</v>
      </c>
      <c r="E2374" s="2" t="s">
        <v>23330</v>
      </c>
      <c r="G2374" s="3" t="s">
        <v>65</v>
      </c>
      <c r="I2374" s="3" t="s">
        <v>65</v>
      </c>
      <c r="J2374" s="3" t="s">
        <v>209</v>
      </c>
      <c r="K2374" s="3" t="s">
        <v>66</v>
      </c>
      <c r="L2374" s="2" t="s">
        <v>23029</v>
      </c>
      <c r="M2374" s="2" t="s">
        <v>23331</v>
      </c>
      <c r="N2374" s="3" t="s">
        <v>1109</v>
      </c>
      <c r="O2374" s="2" t="s">
        <v>365</v>
      </c>
      <c r="P2374" s="3" t="s">
        <v>140</v>
      </c>
      <c r="Q2374" s="2" t="s">
        <v>23332</v>
      </c>
      <c r="R2374" s="3" t="s">
        <v>71</v>
      </c>
      <c r="S2374" s="4">
        <v>7</v>
      </c>
      <c r="T2374" s="4">
        <v>7</v>
      </c>
      <c r="U2374" s="5" t="s">
        <v>12937</v>
      </c>
      <c r="V2374" s="5" t="s">
        <v>12937</v>
      </c>
      <c r="W2374" s="5" t="s">
        <v>72</v>
      </c>
      <c r="X2374" s="5" t="s">
        <v>72</v>
      </c>
      <c r="Y2374" s="4">
        <v>85</v>
      </c>
      <c r="Z2374" s="4">
        <v>10</v>
      </c>
      <c r="AA2374" s="4">
        <v>17</v>
      </c>
      <c r="AB2374" s="4">
        <v>2</v>
      </c>
      <c r="AC2374" s="4">
        <v>5</v>
      </c>
      <c r="AD2374" s="4">
        <v>44</v>
      </c>
      <c r="AE2374" s="4">
        <v>80</v>
      </c>
      <c r="AF2374" s="4">
        <v>1</v>
      </c>
      <c r="AG2374" s="4">
        <v>3</v>
      </c>
      <c r="AH2374" s="4">
        <v>38</v>
      </c>
      <c r="AI2374" s="4">
        <v>73</v>
      </c>
      <c r="AJ2374" s="4">
        <v>7</v>
      </c>
      <c r="AK2374" s="4">
        <v>12</v>
      </c>
      <c r="AL2374" s="4">
        <v>22</v>
      </c>
      <c r="AM2374" s="4">
        <v>48</v>
      </c>
      <c r="AN2374" s="4">
        <v>0</v>
      </c>
      <c r="AO2374" s="4">
        <v>5</v>
      </c>
      <c r="AP2374" s="4">
        <v>7</v>
      </c>
      <c r="AQ2374" s="4">
        <v>11</v>
      </c>
      <c r="AR2374" s="3" t="s">
        <v>65</v>
      </c>
      <c r="AS2374" s="3" t="s">
        <v>65</v>
      </c>
      <c r="AT2374" s="3" t="s">
        <v>209</v>
      </c>
      <c r="AU2374" s="6" t="str">
        <f>HYPERLINK("http://catalog.hathitrust.org/Record/007875295","HathiTrust Record")</f>
        <v>HathiTrust Record</v>
      </c>
      <c r="AV2374" s="6" t="str">
        <f>HYPERLINK("http://mcgill.on.worldcat.org/oclc/1840756","Catalog Record")</f>
        <v>Catalog Record</v>
      </c>
      <c r="AW2374" s="6" t="str">
        <f>HYPERLINK("http://www.worldcat.org/oclc/1840756","WorldCat Record")</f>
        <v>WorldCat Record</v>
      </c>
      <c r="AX2374" s="3" t="s">
        <v>23333</v>
      </c>
      <c r="AY2374" s="3" t="s">
        <v>23334</v>
      </c>
      <c r="AZ2374" s="3" t="s">
        <v>23335</v>
      </c>
      <c r="BA2374" s="3" t="s">
        <v>23335</v>
      </c>
      <c r="BB2374" s="3" t="s">
        <v>23336</v>
      </c>
      <c r="BC2374" s="3" t="s">
        <v>77</v>
      </c>
      <c r="BD2374" s="3" t="s">
        <v>78</v>
      </c>
      <c r="BF2374" s="3" t="s">
        <v>23336</v>
      </c>
      <c r="BG2374" s="3" t="s">
        <v>23337</v>
      </c>
    </row>
    <row r="2375" spans="1:59" ht="58" x14ac:dyDescent="0.35">
      <c r="A2375" s="2" t="s">
        <v>59</v>
      </c>
      <c r="B2375" s="2" t="s">
        <v>60</v>
      </c>
      <c r="C2375" s="2" t="s">
        <v>23338</v>
      </c>
      <c r="D2375" s="2" t="s">
        <v>23339</v>
      </c>
      <c r="E2375" s="2" t="s">
        <v>23340</v>
      </c>
      <c r="G2375" s="3" t="s">
        <v>65</v>
      </c>
      <c r="I2375" s="3" t="s">
        <v>65</v>
      </c>
      <c r="J2375" s="3" t="s">
        <v>209</v>
      </c>
      <c r="K2375" s="3" t="s">
        <v>66</v>
      </c>
      <c r="L2375" s="2" t="s">
        <v>23029</v>
      </c>
      <c r="M2375" s="2" t="s">
        <v>23341</v>
      </c>
      <c r="N2375" s="3" t="s">
        <v>2377</v>
      </c>
      <c r="O2375" s="2" t="s">
        <v>365</v>
      </c>
      <c r="P2375" s="3" t="s">
        <v>140</v>
      </c>
      <c r="R2375" s="3" t="s">
        <v>71</v>
      </c>
      <c r="S2375" s="4">
        <v>16</v>
      </c>
      <c r="T2375" s="4">
        <v>16</v>
      </c>
      <c r="U2375" s="5" t="s">
        <v>23342</v>
      </c>
      <c r="V2375" s="5" t="s">
        <v>23342</v>
      </c>
      <c r="W2375" s="5" t="s">
        <v>72</v>
      </c>
      <c r="X2375" s="5" t="s">
        <v>72</v>
      </c>
      <c r="Y2375" s="4">
        <v>23</v>
      </c>
      <c r="Z2375" s="4">
        <v>3</v>
      </c>
      <c r="AA2375" s="4">
        <v>20</v>
      </c>
      <c r="AB2375" s="4">
        <v>2</v>
      </c>
      <c r="AC2375" s="4">
        <v>4</v>
      </c>
      <c r="AD2375" s="4">
        <v>7</v>
      </c>
      <c r="AE2375" s="4">
        <v>86</v>
      </c>
      <c r="AF2375" s="4">
        <v>0</v>
      </c>
      <c r="AG2375" s="4">
        <v>2</v>
      </c>
      <c r="AH2375" s="4">
        <v>7</v>
      </c>
      <c r="AI2375" s="4">
        <v>79</v>
      </c>
      <c r="AJ2375" s="4">
        <v>0</v>
      </c>
      <c r="AK2375" s="4">
        <v>12</v>
      </c>
      <c r="AL2375" s="4">
        <v>5</v>
      </c>
      <c r="AM2375" s="4">
        <v>47</v>
      </c>
      <c r="AN2375" s="4">
        <v>0</v>
      </c>
      <c r="AO2375" s="4">
        <v>0</v>
      </c>
      <c r="AP2375" s="4">
        <v>0</v>
      </c>
      <c r="AQ2375" s="4">
        <v>13</v>
      </c>
      <c r="AR2375" s="3" t="s">
        <v>65</v>
      </c>
      <c r="AS2375" s="3" t="s">
        <v>65</v>
      </c>
      <c r="AT2375" s="3" t="s">
        <v>65</v>
      </c>
      <c r="AV2375" s="6" t="str">
        <f>HYPERLINK("http://mcgill.on.worldcat.org/oclc/23992195","Catalog Record")</f>
        <v>Catalog Record</v>
      </c>
      <c r="AW2375" s="6" t="str">
        <f>HYPERLINK("http://www.worldcat.org/oclc/23992195","WorldCat Record")</f>
        <v>WorldCat Record</v>
      </c>
      <c r="AX2375" s="3" t="s">
        <v>23343</v>
      </c>
      <c r="AY2375" s="3" t="s">
        <v>23344</v>
      </c>
      <c r="AZ2375" s="3" t="s">
        <v>23345</v>
      </c>
      <c r="BA2375" s="3" t="s">
        <v>23345</v>
      </c>
      <c r="BB2375" s="3" t="s">
        <v>23346</v>
      </c>
      <c r="BC2375" s="3" t="s">
        <v>77</v>
      </c>
      <c r="BD2375" s="3" t="s">
        <v>78</v>
      </c>
      <c r="BE2375" s="3" t="s">
        <v>23347</v>
      </c>
      <c r="BF2375" s="3" t="s">
        <v>23346</v>
      </c>
      <c r="BG2375" s="3" t="s">
        <v>23348</v>
      </c>
    </row>
    <row r="2376" spans="1:59" ht="58" x14ac:dyDescent="0.35">
      <c r="A2376" s="2" t="s">
        <v>59</v>
      </c>
      <c r="B2376" s="2" t="s">
        <v>60</v>
      </c>
      <c r="C2376" s="2" t="s">
        <v>23349</v>
      </c>
      <c r="D2376" s="2" t="s">
        <v>23350</v>
      </c>
      <c r="E2376" s="2" t="s">
        <v>23351</v>
      </c>
      <c r="G2376" s="3" t="s">
        <v>65</v>
      </c>
      <c r="I2376" s="3" t="s">
        <v>65</v>
      </c>
      <c r="J2376" s="3" t="s">
        <v>65</v>
      </c>
      <c r="K2376" s="3" t="s">
        <v>66</v>
      </c>
      <c r="L2376" s="2" t="s">
        <v>23029</v>
      </c>
      <c r="M2376" s="2" t="s">
        <v>23352</v>
      </c>
      <c r="N2376" s="3" t="s">
        <v>3052</v>
      </c>
      <c r="P2376" s="3" t="s">
        <v>140</v>
      </c>
      <c r="R2376" s="3" t="s">
        <v>71</v>
      </c>
      <c r="S2376" s="4">
        <v>27</v>
      </c>
      <c r="T2376" s="4">
        <v>27</v>
      </c>
      <c r="U2376" s="5" t="s">
        <v>23353</v>
      </c>
      <c r="V2376" s="5" t="s">
        <v>23353</v>
      </c>
      <c r="W2376" s="5" t="s">
        <v>72</v>
      </c>
      <c r="X2376" s="5" t="s">
        <v>72</v>
      </c>
      <c r="Y2376" s="4">
        <v>1</v>
      </c>
      <c r="Z2376" s="4">
        <v>1</v>
      </c>
      <c r="AA2376" s="4">
        <v>21</v>
      </c>
      <c r="AB2376" s="4">
        <v>1</v>
      </c>
      <c r="AC2376" s="4">
        <v>3</v>
      </c>
      <c r="AD2376" s="4">
        <v>0</v>
      </c>
      <c r="AE2376" s="4">
        <v>87</v>
      </c>
      <c r="AF2376" s="4">
        <v>0</v>
      </c>
      <c r="AG2376" s="4">
        <v>2</v>
      </c>
      <c r="AH2376" s="4">
        <v>0</v>
      </c>
      <c r="AI2376" s="4">
        <v>78</v>
      </c>
      <c r="AJ2376" s="4">
        <v>0</v>
      </c>
      <c r="AK2376" s="4">
        <v>13</v>
      </c>
      <c r="AL2376" s="4">
        <v>0</v>
      </c>
      <c r="AM2376" s="4">
        <v>48</v>
      </c>
      <c r="AN2376" s="4">
        <v>0</v>
      </c>
      <c r="AO2376" s="4">
        <v>0</v>
      </c>
      <c r="AP2376" s="4">
        <v>0</v>
      </c>
      <c r="AQ2376" s="4">
        <v>13</v>
      </c>
      <c r="AR2376" s="3" t="s">
        <v>65</v>
      </c>
      <c r="AS2376" s="3" t="s">
        <v>65</v>
      </c>
      <c r="AT2376" s="3" t="s">
        <v>209</v>
      </c>
      <c r="AU2376" s="6" t="str">
        <f>HYPERLINK("http://catalog.hathitrust.org/Record/001511436","HathiTrust Record")</f>
        <v>HathiTrust Record</v>
      </c>
      <c r="AV2376" s="6" t="str">
        <f>HYPERLINK("http://mcgill.on.worldcat.org/oclc/427521256","Catalog Record")</f>
        <v>Catalog Record</v>
      </c>
      <c r="AW2376" s="6" t="str">
        <f>HYPERLINK("http://www.worldcat.org/oclc/427521256","WorldCat Record")</f>
        <v>WorldCat Record</v>
      </c>
      <c r="AX2376" s="3" t="s">
        <v>23354</v>
      </c>
      <c r="AY2376" s="3" t="s">
        <v>23355</v>
      </c>
      <c r="AZ2376" s="3" t="s">
        <v>23356</v>
      </c>
      <c r="BA2376" s="3" t="s">
        <v>23356</v>
      </c>
      <c r="BB2376" s="3" t="s">
        <v>23357</v>
      </c>
      <c r="BC2376" s="3" t="s">
        <v>77</v>
      </c>
      <c r="BD2376" s="3" t="s">
        <v>78</v>
      </c>
      <c r="BF2376" s="3" t="s">
        <v>23357</v>
      </c>
      <c r="BG2376" s="3" t="s">
        <v>23358</v>
      </c>
    </row>
    <row r="2377" spans="1:59" ht="58" x14ac:dyDescent="0.35">
      <c r="A2377" s="2" t="s">
        <v>59</v>
      </c>
      <c r="B2377" s="2" t="s">
        <v>60</v>
      </c>
      <c r="C2377" s="2" t="s">
        <v>23359</v>
      </c>
      <c r="D2377" s="2" t="s">
        <v>23360</v>
      </c>
      <c r="E2377" s="2" t="s">
        <v>23361</v>
      </c>
      <c r="G2377" s="3" t="s">
        <v>65</v>
      </c>
      <c r="I2377" s="3" t="s">
        <v>65</v>
      </c>
      <c r="J2377" s="3" t="s">
        <v>65</v>
      </c>
      <c r="K2377" s="3" t="s">
        <v>66</v>
      </c>
      <c r="L2377" s="2" t="s">
        <v>23151</v>
      </c>
      <c r="M2377" s="2" t="s">
        <v>23362</v>
      </c>
      <c r="N2377" s="3" t="s">
        <v>214</v>
      </c>
      <c r="O2377" s="2" t="s">
        <v>2086</v>
      </c>
      <c r="P2377" s="3" t="s">
        <v>69</v>
      </c>
      <c r="Q2377" s="2" t="s">
        <v>23363</v>
      </c>
      <c r="R2377" s="3" t="s">
        <v>71</v>
      </c>
      <c r="S2377" s="4">
        <v>28</v>
      </c>
      <c r="T2377" s="4">
        <v>28</v>
      </c>
      <c r="U2377" s="5" t="s">
        <v>23353</v>
      </c>
      <c r="V2377" s="5" t="s">
        <v>23353</v>
      </c>
      <c r="W2377" s="5" t="s">
        <v>72</v>
      </c>
      <c r="X2377" s="5" t="s">
        <v>72</v>
      </c>
      <c r="Y2377" s="4">
        <v>597</v>
      </c>
      <c r="Z2377" s="4">
        <v>18</v>
      </c>
      <c r="AA2377" s="4">
        <v>43</v>
      </c>
      <c r="AB2377" s="4">
        <v>1</v>
      </c>
      <c r="AC2377" s="4">
        <v>3</v>
      </c>
      <c r="AD2377" s="4">
        <v>74</v>
      </c>
      <c r="AE2377" s="4">
        <v>113</v>
      </c>
      <c r="AF2377" s="4">
        <v>0</v>
      </c>
      <c r="AG2377" s="4">
        <v>1</v>
      </c>
      <c r="AH2377" s="4">
        <v>66</v>
      </c>
      <c r="AI2377" s="4">
        <v>95</v>
      </c>
      <c r="AJ2377" s="4">
        <v>6</v>
      </c>
      <c r="AK2377" s="4">
        <v>18</v>
      </c>
      <c r="AL2377" s="4">
        <v>37</v>
      </c>
      <c r="AM2377" s="4">
        <v>54</v>
      </c>
      <c r="AN2377" s="4">
        <v>0</v>
      </c>
      <c r="AO2377" s="4">
        <v>1</v>
      </c>
      <c r="AP2377" s="4">
        <v>9</v>
      </c>
      <c r="AQ2377" s="4">
        <v>24</v>
      </c>
      <c r="AR2377" s="3" t="s">
        <v>65</v>
      </c>
      <c r="AS2377" s="3" t="s">
        <v>65</v>
      </c>
      <c r="AT2377" s="3" t="s">
        <v>65</v>
      </c>
      <c r="AV2377" s="6" t="str">
        <f>HYPERLINK("http://mcgill.on.worldcat.org/oclc/9393818","Catalog Record")</f>
        <v>Catalog Record</v>
      </c>
      <c r="AW2377" s="6" t="str">
        <f>HYPERLINK("http://www.worldcat.org/oclc/9393818","WorldCat Record")</f>
        <v>WorldCat Record</v>
      </c>
      <c r="AX2377" s="3" t="s">
        <v>23364</v>
      </c>
      <c r="AY2377" s="3" t="s">
        <v>23365</v>
      </c>
      <c r="AZ2377" s="3" t="s">
        <v>23366</v>
      </c>
      <c r="BA2377" s="3" t="s">
        <v>23366</v>
      </c>
      <c r="BB2377" s="3" t="s">
        <v>23367</v>
      </c>
      <c r="BC2377" s="3" t="s">
        <v>77</v>
      </c>
      <c r="BD2377" s="3" t="s">
        <v>78</v>
      </c>
      <c r="BE2377" s="3" t="s">
        <v>23368</v>
      </c>
      <c r="BF2377" s="3" t="s">
        <v>23367</v>
      </c>
      <c r="BG2377" s="3" t="s">
        <v>23369</v>
      </c>
    </row>
    <row r="2378" spans="1:59" ht="58" x14ac:dyDescent="0.35">
      <c r="A2378" s="2" t="s">
        <v>59</v>
      </c>
      <c r="B2378" s="2" t="s">
        <v>60</v>
      </c>
      <c r="C2378" s="2" t="s">
        <v>23370</v>
      </c>
      <c r="D2378" s="2" t="s">
        <v>23371</v>
      </c>
      <c r="E2378" s="2" t="s">
        <v>23372</v>
      </c>
      <c r="G2378" s="3" t="s">
        <v>65</v>
      </c>
      <c r="I2378" s="3" t="s">
        <v>65</v>
      </c>
      <c r="J2378" s="3" t="s">
        <v>65</v>
      </c>
      <c r="K2378" s="3" t="s">
        <v>66</v>
      </c>
      <c r="L2378" s="2" t="s">
        <v>23029</v>
      </c>
      <c r="M2378" s="2" t="s">
        <v>23373</v>
      </c>
      <c r="N2378" s="3" t="s">
        <v>11262</v>
      </c>
      <c r="P2378" s="3" t="s">
        <v>140</v>
      </c>
      <c r="R2378" s="3" t="s">
        <v>71</v>
      </c>
      <c r="S2378" s="4">
        <v>10</v>
      </c>
      <c r="T2378" s="4">
        <v>10</v>
      </c>
      <c r="U2378" s="5" t="s">
        <v>23374</v>
      </c>
      <c r="V2378" s="5" t="s">
        <v>23374</v>
      </c>
      <c r="W2378" s="5" t="s">
        <v>72</v>
      </c>
      <c r="X2378" s="5" t="s">
        <v>72</v>
      </c>
      <c r="Y2378" s="4">
        <v>37</v>
      </c>
      <c r="Z2378" s="4">
        <v>3</v>
      </c>
      <c r="AA2378" s="4">
        <v>8</v>
      </c>
      <c r="AB2378" s="4">
        <v>1</v>
      </c>
      <c r="AC2378" s="4">
        <v>3</v>
      </c>
      <c r="AD2378" s="4">
        <v>11</v>
      </c>
      <c r="AE2378" s="4">
        <v>33</v>
      </c>
      <c r="AF2378" s="4">
        <v>0</v>
      </c>
      <c r="AG2378" s="4">
        <v>2</v>
      </c>
      <c r="AH2378" s="4">
        <v>10</v>
      </c>
      <c r="AI2378" s="4">
        <v>30</v>
      </c>
      <c r="AJ2378" s="4">
        <v>1</v>
      </c>
      <c r="AK2378" s="4">
        <v>5</v>
      </c>
      <c r="AL2378" s="4">
        <v>9</v>
      </c>
      <c r="AM2378" s="4">
        <v>21</v>
      </c>
      <c r="AN2378" s="4">
        <v>0</v>
      </c>
      <c r="AO2378" s="4">
        <v>0</v>
      </c>
      <c r="AP2378" s="4">
        <v>1</v>
      </c>
      <c r="AQ2378" s="4">
        <v>4</v>
      </c>
      <c r="AR2378" s="3" t="s">
        <v>65</v>
      </c>
      <c r="AS2378" s="3" t="s">
        <v>65</v>
      </c>
      <c r="AT2378" s="3" t="s">
        <v>65</v>
      </c>
      <c r="AV2378" s="6" t="str">
        <f>HYPERLINK("http://mcgill.on.worldcat.org/oclc/21561497","Catalog Record")</f>
        <v>Catalog Record</v>
      </c>
      <c r="AW2378" s="6" t="str">
        <f>HYPERLINK("http://www.worldcat.org/oclc/21561497","WorldCat Record")</f>
        <v>WorldCat Record</v>
      </c>
      <c r="AX2378" s="3" t="s">
        <v>23375</v>
      </c>
      <c r="AY2378" s="3" t="s">
        <v>23376</v>
      </c>
      <c r="AZ2378" s="3" t="s">
        <v>23377</v>
      </c>
      <c r="BA2378" s="3" t="s">
        <v>23377</v>
      </c>
      <c r="BB2378" s="3" t="s">
        <v>23378</v>
      </c>
      <c r="BC2378" s="3" t="s">
        <v>77</v>
      </c>
      <c r="BD2378" s="3" t="s">
        <v>78</v>
      </c>
      <c r="BF2378" s="3" t="s">
        <v>23378</v>
      </c>
      <c r="BG2378" s="3" t="s">
        <v>23379</v>
      </c>
    </row>
    <row r="2379" spans="1:59" ht="58" x14ac:dyDescent="0.35">
      <c r="A2379" s="2" t="s">
        <v>59</v>
      </c>
      <c r="B2379" s="2" t="s">
        <v>60</v>
      </c>
      <c r="C2379" s="2" t="s">
        <v>23380</v>
      </c>
      <c r="D2379" s="2" t="s">
        <v>23381</v>
      </c>
      <c r="E2379" s="2" t="s">
        <v>23382</v>
      </c>
      <c r="G2379" s="3" t="s">
        <v>65</v>
      </c>
      <c r="I2379" s="3" t="s">
        <v>65</v>
      </c>
      <c r="J2379" s="3" t="s">
        <v>65</v>
      </c>
      <c r="K2379" s="3" t="s">
        <v>66</v>
      </c>
      <c r="L2379" s="2" t="s">
        <v>23383</v>
      </c>
      <c r="M2379" s="2" t="s">
        <v>23384</v>
      </c>
      <c r="N2379" s="3" t="s">
        <v>577</v>
      </c>
      <c r="P2379" s="3" t="s">
        <v>140</v>
      </c>
      <c r="Q2379" s="2" t="s">
        <v>23385</v>
      </c>
      <c r="R2379" s="3" t="s">
        <v>71</v>
      </c>
      <c r="S2379" s="4">
        <v>17</v>
      </c>
      <c r="T2379" s="4">
        <v>17</v>
      </c>
      <c r="U2379" s="5" t="s">
        <v>10454</v>
      </c>
      <c r="V2379" s="5" t="s">
        <v>10454</v>
      </c>
      <c r="W2379" s="5" t="s">
        <v>72</v>
      </c>
      <c r="X2379" s="5" t="s">
        <v>72</v>
      </c>
      <c r="Y2379" s="4">
        <v>98</v>
      </c>
      <c r="Z2379" s="4">
        <v>9</v>
      </c>
      <c r="AA2379" s="4">
        <v>10</v>
      </c>
      <c r="AB2379" s="4">
        <v>1</v>
      </c>
      <c r="AC2379" s="4">
        <v>2</v>
      </c>
      <c r="AD2379" s="4">
        <v>41</v>
      </c>
      <c r="AE2379" s="4">
        <v>42</v>
      </c>
      <c r="AF2379" s="4">
        <v>0</v>
      </c>
      <c r="AG2379" s="4">
        <v>1</v>
      </c>
      <c r="AH2379" s="4">
        <v>39</v>
      </c>
      <c r="AI2379" s="4">
        <v>39</v>
      </c>
      <c r="AJ2379" s="4">
        <v>6</v>
      </c>
      <c r="AK2379" s="4">
        <v>7</v>
      </c>
      <c r="AL2379" s="4">
        <v>25</v>
      </c>
      <c r="AM2379" s="4">
        <v>25</v>
      </c>
      <c r="AN2379" s="4">
        <v>0</v>
      </c>
      <c r="AO2379" s="4">
        <v>0</v>
      </c>
      <c r="AP2379" s="4">
        <v>6</v>
      </c>
      <c r="AQ2379" s="4">
        <v>6</v>
      </c>
      <c r="AR2379" s="3" t="s">
        <v>65</v>
      </c>
      <c r="AS2379" s="3" t="s">
        <v>65</v>
      </c>
      <c r="AT2379" s="3" t="s">
        <v>65</v>
      </c>
      <c r="AV2379" s="6" t="str">
        <f>HYPERLINK("http://mcgill.on.worldcat.org/oclc/4000635","Catalog Record")</f>
        <v>Catalog Record</v>
      </c>
      <c r="AW2379" s="6" t="str">
        <f>HYPERLINK("http://www.worldcat.org/oclc/4000635","WorldCat Record")</f>
        <v>WorldCat Record</v>
      </c>
      <c r="AX2379" s="3" t="s">
        <v>23386</v>
      </c>
      <c r="AY2379" s="3" t="s">
        <v>23387</v>
      </c>
      <c r="AZ2379" s="3" t="s">
        <v>23388</v>
      </c>
      <c r="BA2379" s="3" t="s">
        <v>23388</v>
      </c>
      <c r="BB2379" s="3" t="s">
        <v>23389</v>
      </c>
      <c r="BC2379" s="3" t="s">
        <v>77</v>
      </c>
      <c r="BD2379" s="3" t="s">
        <v>78</v>
      </c>
      <c r="BF2379" s="3" t="s">
        <v>23389</v>
      </c>
      <c r="BG2379" s="3" t="s">
        <v>23390</v>
      </c>
    </row>
    <row r="2380" spans="1:59" ht="58" x14ac:dyDescent="0.35">
      <c r="A2380" s="2" t="s">
        <v>59</v>
      </c>
      <c r="B2380" s="2" t="s">
        <v>60</v>
      </c>
      <c r="C2380" s="2" t="s">
        <v>23391</v>
      </c>
      <c r="D2380" s="2" t="s">
        <v>23392</v>
      </c>
      <c r="E2380" s="2" t="s">
        <v>23393</v>
      </c>
      <c r="G2380" s="3" t="s">
        <v>65</v>
      </c>
      <c r="I2380" s="3" t="s">
        <v>209</v>
      </c>
      <c r="J2380" s="3" t="s">
        <v>65</v>
      </c>
      <c r="K2380" s="3" t="s">
        <v>66</v>
      </c>
      <c r="L2380" s="2" t="s">
        <v>23029</v>
      </c>
      <c r="M2380" s="2" t="s">
        <v>23394</v>
      </c>
      <c r="N2380" s="3" t="s">
        <v>4688</v>
      </c>
      <c r="O2380" s="2" t="s">
        <v>2086</v>
      </c>
      <c r="P2380" s="3" t="s">
        <v>69</v>
      </c>
      <c r="R2380" s="3" t="s">
        <v>71</v>
      </c>
      <c r="S2380" s="4">
        <v>1</v>
      </c>
      <c r="T2380" s="4">
        <v>10</v>
      </c>
      <c r="V2380" s="5" t="s">
        <v>23395</v>
      </c>
      <c r="W2380" s="5" t="s">
        <v>72</v>
      </c>
      <c r="X2380" s="5" t="s">
        <v>72</v>
      </c>
      <c r="Y2380" s="4">
        <v>1034</v>
      </c>
      <c r="Z2380" s="4">
        <v>24</v>
      </c>
      <c r="AA2380" s="4">
        <v>53</v>
      </c>
      <c r="AB2380" s="4">
        <v>3</v>
      </c>
      <c r="AC2380" s="4">
        <v>5</v>
      </c>
      <c r="AD2380" s="4">
        <v>109</v>
      </c>
      <c r="AE2380" s="4">
        <v>130</v>
      </c>
      <c r="AF2380" s="4">
        <v>1</v>
      </c>
      <c r="AG2380" s="4">
        <v>1</v>
      </c>
      <c r="AH2380" s="4">
        <v>94</v>
      </c>
      <c r="AI2380" s="4">
        <v>104</v>
      </c>
      <c r="AJ2380" s="4">
        <v>10</v>
      </c>
      <c r="AK2380" s="4">
        <v>20</v>
      </c>
      <c r="AL2380" s="4">
        <v>51</v>
      </c>
      <c r="AM2380" s="4">
        <v>56</v>
      </c>
      <c r="AN2380" s="4">
        <v>0</v>
      </c>
      <c r="AO2380" s="4">
        <v>0</v>
      </c>
      <c r="AP2380" s="4">
        <v>17</v>
      </c>
      <c r="AQ2380" s="4">
        <v>33</v>
      </c>
      <c r="AR2380" s="3" t="s">
        <v>65</v>
      </c>
      <c r="AS2380" s="3" t="s">
        <v>65</v>
      </c>
      <c r="AT2380" s="3" t="s">
        <v>209</v>
      </c>
      <c r="AU2380" s="6" t="str">
        <f>HYPERLINK("http://catalog.hathitrust.org/Record/000616238","HathiTrust Record")</f>
        <v>HathiTrust Record</v>
      </c>
      <c r="AV2380" s="6" t="str">
        <f>HYPERLINK("http://mcgill.on.worldcat.org/oclc/11812504","Catalog Record")</f>
        <v>Catalog Record</v>
      </c>
      <c r="AW2380" s="6" t="str">
        <f>HYPERLINK("http://www.worldcat.org/oclc/11812504","WorldCat Record")</f>
        <v>WorldCat Record</v>
      </c>
      <c r="AX2380" s="3" t="s">
        <v>23396</v>
      </c>
      <c r="AY2380" s="3" t="s">
        <v>23397</v>
      </c>
      <c r="AZ2380" s="3" t="s">
        <v>23398</v>
      </c>
      <c r="BA2380" s="3" t="s">
        <v>23398</v>
      </c>
      <c r="BB2380" s="3" t="s">
        <v>23399</v>
      </c>
      <c r="BC2380" s="3" t="s">
        <v>77</v>
      </c>
      <c r="BD2380" s="3" t="s">
        <v>106</v>
      </c>
      <c r="BE2380" s="3" t="s">
        <v>23400</v>
      </c>
      <c r="BF2380" s="3" t="s">
        <v>23399</v>
      </c>
      <c r="BG2380" s="3" t="s">
        <v>23401</v>
      </c>
    </row>
    <row r="2381" spans="1:59" ht="58" x14ac:dyDescent="0.35">
      <c r="A2381" s="2" t="s">
        <v>59</v>
      </c>
      <c r="B2381" s="2" t="s">
        <v>60</v>
      </c>
      <c r="C2381" s="2" t="s">
        <v>23391</v>
      </c>
      <c r="D2381" s="2" t="s">
        <v>23392</v>
      </c>
      <c r="E2381" s="2" t="s">
        <v>23393</v>
      </c>
      <c r="G2381" s="3" t="s">
        <v>65</v>
      </c>
      <c r="I2381" s="3" t="s">
        <v>209</v>
      </c>
      <c r="J2381" s="3" t="s">
        <v>65</v>
      </c>
      <c r="K2381" s="3" t="s">
        <v>66</v>
      </c>
      <c r="L2381" s="2" t="s">
        <v>23029</v>
      </c>
      <c r="M2381" s="2" t="s">
        <v>23394</v>
      </c>
      <c r="N2381" s="3" t="s">
        <v>4688</v>
      </c>
      <c r="O2381" s="2" t="s">
        <v>2086</v>
      </c>
      <c r="P2381" s="3" t="s">
        <v>69</v>
      </c>
      <c r="R2381" s="3" t="s">
        <v>71</v>
      </c>
      <c r="S2381" s="4">
        <v>9</v>
      </c>
      <c r="T2381" s="4">
        <v>10</v>
      </c>
      <c r="U2381" s="5" t="s">
        <v>23395</v>
      </c>
      <c r="V2381" s="5" t="s">
        <v>23395</v>
      </c>
      <c r="W2381" s="5" t="s">
        <v>72</v>
      </c>
      <c r="X2381" s="5" t="s">
        <v>72</v>
      </c>
      <c r="Y2381" s="4">
        <v>1034</v>
      </c>
      <c r="Z2381" s="4">
        <v>24</v>
      </c>
      <c r="AA2381" s="4">
        <v>53</v>
      </c>
      <c r="AB2381" s="4">
        <v>3</v>
      </c>
      <c r="AC2381" s="4">
        <v>5</v>
      </c>
      <c r="AD2381" s="4">
        <v>109</v>
      </c>
      <c r="AE2381" s="4">
        <v>130</v>
      </c>
      <c r="AF2381" s="4">
        <v>1</v>
      </c>
      <c r="AG2381" s="4">
        <v>1</v>
      </c>
      <c r="AH2381" s="4">
        <v>94</v>
      </c>
      <c r="AI2381" s="4">
        <v>104</v>
      </c>
      <c r="AJ2381" s="4">
        <v>10</v>
      </c>
      <c r="AK2381" s="4">
        <v>20</v>
      </c>
      <c r="AL2381" s="4">
        <v>51</v>
      </c>
      <c r="AM2381" s="4">
        <v>56</v>
      </c>
      <c r="AN2381" s="4">
        <v>0</v>
      </c>
      <c r="AO2381" s="4">
        <v>0</v>
      </c>
      <c r="AP2381" s="4">
        <v>17</v>
      </c>
      <c r="AQ2381" s="4">
        <v>33</v>
      </c>
      <c r="AR2381" s="3" t="s">
        <v>65</v>
      </c>
      <c r="AS2381" s="3" t="s">
        <v>65</v>
      </c>
      <c r="AT2381" s="3" t="s">
        <v>209</v>
      </c>
      <c r="AU2381" s="6" t="str">
        <f>HYPERLINK("http://catalog.hathitrust.org/Record/000616238","HathiTrust Record")</f>
        <v>HathiTrust Record</v>
      </c>
      <c r="AV2381" s="6" t="str">
        <f>HYPERLINK("http://mcgill.on.worldcat.org/oclc/11812504","Catalog Record")</f>
        <v>Catalog Record</v>
      </c>
      <c r="AW2381" s="6" t="str">
        <f>HYPERLINK("http://www.worldcat.org/oclc/11812504","WorldCat Record")</f>
        <v>WorldCat Record</v>
      </c>
      <c r="AX2381" s="3" t="s">
        <v>23396</v>
      </c>
      <c r="AY2381" s="3" t="s">
        <v>23397</v>
      </c>
      <c r="AZ2381" s="3" t="s">
        <v>23398</v>
      </c>
      <c r="BA2381" s="3" t="s">
        <v>23398</v>
      </c>
      <c r="BB2381" s="3" t="s">
        <v>23402</v>
      </c>
      <c r="BC2381" s="3" t="s">
        <v>77</v>
      </c>
      <c r="BD2381" s="3" t="s">
        <v>78</v>
      </c>
      <c r="BE2381" s="3" t="s">
        <v>23400</v>
      </c>
      <c r="BF2381" s="3" t="s">
        <v>23402</v>
      </c>
      <c r="BG2381" s="3" t="s">
        <v>23403</v>
      </c>
    </row>
    <row r="2382" spans="1:59" ht="58" x14ac:dyDescent="0.35">
      <c r="A2382" s="2" t="s">
        <v>59</v>
      </c>
      <c r="B2382" s="2" t="s">
        <v>60</v>
      </c>
      <c r="C2382" s="2" t="s">
        <v>23404</v>
      </c>
      <c r="D2382" s="2" t="s">
        <v>23405</v>
      </c>
      <c r="E2382" s="2" t="s">
        <v>23406</v>
      </c>
      <c r="G2382" s="3" t="s">
        <v>65</v>
      </c>
      <c r="I2382" s="3" t="s">
        <v>65</v>
      </c>
      <c r="J2382" s="3" t="s">
        <v>65</v>
      </c>
      <c r="K2382" s="3" t="s">
        <v>66</v>
      </c>
      <c r="L2382" s="2" t="s">
        <v>23029</v>
      </c>
      <c r="M2382" s="2" t="s">
        <v>7106</v>
      </c>
      <c r="N2382" s="3" t="s">
        <v>955</v>
      </c>
      <c r="O2382" s="2" t="s">
        <v>23407</v>
      </c>
      <c r="P2382" s="3" t="s">
        <v>140</v>
      </c>
      <c r="Q2382" s="2" t="s">
        <v>23408</v>
      </c>
      <c r="R2382" s="3" t="s">
        <v>71</v>
      </c>
      <c r="S2382" s="4">
        <v>21</v>
      </c>
      <c r="T2382" s="4">
        <v>21</v>
      </c>
      <c r="U2382" s="5" t="s">
        <v>16593</v>
      </c>
      <c r="V2382" s="5" t="s">
        <v>16593</v>
      </c>
      <c r="W2382" s="5" t="s">
        <v>72</v>
      </c>
      <c r="X2382" s="5" t="s">
        <v>72</v>
      </c>
      <c r="Y2382" s="4">
        <v>172</v>
      </c>
      <c r="Z2382" s="4">
        <v>16</v>
      </c>
      <c r="AA2382" s="4">
        <v>19</v>
      </c>
      <c r="AB2382" s="4">
        <v>2</v>
      </c>
      <c r="AC2382" s="4">
        <v>3</v>
      </c>
      <c r="AD2382" s="4">
        <v>78</v>
      </c>
      <c r="AE2382" s="4">
        <v>88</v>
      </c>
      <c r="AF2382" s="4">
        <v>1</v>
      </c>
      <c r="AG2382" s="4">
        <v>1</v>
      </c>
      <c r="AH2382" s="4">
        <v>72</v>
      </c>
      <c r="AI2382" s="4">
        <v>81</v>
      </c>
      <c r="AJ2382" s="4">
        <v>11</v>
      </c>
      <c r="AK2382" s="4">
        <v>13</v>
      </c>
      <c r="AL2382" s="4">
        <v>46</v>
      </c>
      <c r="AM2382" s="4">
        <v>51</v>
      </c>
      <c r="AN2382" s="4">
        <v>0</v>
      </c>
      <c r="AO2382" s="4">
        <v>0</v>
      </c>
      <c r="AP2382" s="4">
        <v>11</v>
      </c>
      <c r="AQ2382" s="4">
        <v>13</v>
      </c>
      <c r="AR2382" s="3" t="s">
        <v>65</v>
      </c>
      <c r="AS2382" s="3" t="s">
        <v>65</v>
      </c>
      <c r="AT2382" s="3" t="s">
        <v>209</v>
      </c>
      <c r="AU2382" s="6" t="str">
        <f>HYPERLINK("http://catalog.hathitrust.org/Record/000537449","HathiTrust Record")</f>
        <v>HathiTrust Record</v>
      </c>
      <c r="AV2382" s="6" t="str">
        <f>HYPERLINK("http://mcgill.on.worldcat.org/oclc/7174080","Catalog Record")</f>
        <v>Catalog Record</v>
      </c>
      <c r="AW2382" s="6" t="str">
        <f>HYPERLINK("http://www.worldcat.org/oclc/7174080","WorldCat Record")</f>
        <v>WorldCat Record</v>
      </c>
      <c r="AX2382" s="3" t="s">
        <v>23409</v>
      </c>
      <c r="AY2382" s="3" t="s">
        <v>23410</v>
      </c>
      <c r="AZ2382" s="3" t="s">
        <v>23411</v>
      </c>
      <c r="BA2382" s="3" t="s">
        <v>23411</v>
      </c>
      <c r="BB2382" s="3" t="s">
        <v>23412</v>
      </c>
      <c r="BC2382" s="3" t="s">
        <v>77</v>
      </c>
      <c r="BD2382" s="3" t="s">
        <v>78</v>
      </c>
      <c r="BF2382" s="3" t="s">
        <v>23412</v>
      </c>
      <c r="BG2382" s="3" t="s">
        <v>23413</v>
      </c>
    </row>
    <row r="2383" spans="1:59" ht="58" x14ac:dyDescent="0.35">
      <c r="A2383" s="2" t="s">
        <v>59</v>
      </c>
      <c r="B2383" s="2" t="s">
        <v>60</v>
      </c>
      <c r="C2383" s="2" t="s">
        <v>23414</v>
      </c>
      <c r="D2383" s="2" t="s">
        <v>23415</v>
      </c>
      <c r="E2383" s="2" t="s">
        <v>23416</v>
      </c>
      <c r="G2383" s="3" t="s">
        <v>65</v>
      </c>
      <c r="I2383" s="3" t="s">
        <v>65</v>
      </c>
      <c r="J2383" s="3" t="s">
        <v>209</v>
      </c>
      <c r="K2383" s="3" t="s">
        <v>66</v>
      </c>
      <c r="L2383" s="2" t="s">
        <v>23151</v>
      </c>
      <c r="M2383" s="2" t="s">
        <v>23417</v>
      </c>
      <c r="N2383" s="3" t="s">
        <v>164</v>
      </c>
      <c r="O2383" s="2" t="s">
        <v>23418</v>
      </c>
      <c r="P2383" s="3" t="s">
        <v>69</v>
      </c>
      <c r="R2383" s="3" t="s">
        <v>71</v>
      </c>
      <c r="S2383" s="4">
        <v>5</v>
      </c>
      <c r="T2383" s="4">
        <v>5</v>
      </c>
      <c r="U2383" s="5" t="s">
        <v>12787</v>
      </c>
      <c r="V2383" s="5" t="s">
        <v>12787</v>
      </c>
      <c r="W2383" s="5" t="s">
        <v>72</v>
      </c>
      <c r="X2383" s="5" t="s">
        <v>72</v>
      </c>
      <c r="Y2383" s="4">
        <v>40</v>
      </c>
      <c r="Z2383" s="4">
        <v>3</v>
      </c>
      <c r="AA2383" s="4">
        <v>36</v>
      </c>
      <c r="AB2383" s="4">
        <v>1</v>
      </c>
      <c r="AC2383" s="4">
        <v>3</v>
      </c>
      <c r="AD2383" s="4">
        <v>8</v>
      </c>
      <c r="AE2383" s="4">
        <v>114</v>
      </c>
      <c r="AF2383" s="4">
        <v>0</v>
      </c>
      <c r="AG2383" s="4">
        <v>0</v>
      </c>
      <c r="AH2383" s="4">
        <v>8</v>
      </c>
      <c r="AI2383" s="4">
        <v>102</v>
      </c>
      <c r="AJ2383" s="4">
        <v>1</v>
      </c>
      <c r="AK2383" s="4">
        <v>14</v>
      </c>
      <c r="AL2383" s="4">
        <v>3</v>
      </c>
      <c r="AM2383" s="4">
        <v>58</v>
      </c>
      <c r="AN2383" s="4">
        <v>0</v>
      </c>
      <c r="AO2383" s="4">
        <v>0</v>
      </c>
      <c r="AP2383" s="4">
        <v>1</v>
      </c>
      <c r="AQ2383" s="4">
        <v>16</v>
      </c>
      <c r="AR2383" s="3" t="s">
        <v>65</v>
      </c>
      <c r="AS2383" s="3" t="s">
        <v>65</v>
      </c>
      <c r="AT2383" s="3" t="s">
        <v>65</v>
      </c>
      <c r="AV2383" s="6" t="str">
        <f>HYPERLINK("http://mcgill.on.worldcat.org/oclc/854944319","Catalog Record")</f>
        <v>Catalog Record</v>
      </c>
      <c r="AW2383" s="6" t="str">
        <f>HYPERLINK("http://www.worldcat.org/oclc/854944319","WorldCat Record")</f>
        <v>WorldCat Record</v>
      </c>
      <c r="AX2383" s="3" t="s">
        <v>23419</v>
      </c>
      <c r="AY2383" s="3" t="s">
        <v>23420</v>
      </c>
      <c r="AZ2383" s="3" t="s">
        <v>23421</v>
      </c>
      <c r="BA2383" s="3" t="s">
        <v>23421</v>
      </c>
      <c r="BB2383" s="3" t="s">
        <v>23422</v>
      </c>
      <c r="BC2383" s="3" t="s">
        <v>77</v>
      </c>
      <c r="BD2383" s="3" t="s">
        <v>78</v>
      </c>
      <c r="BE2383" s="3" t="s">
        <v>23423</v>
      </c>
      <c r="BF2383" s="3" t="s">
        <v>23422</v>
      </c>
      <c r="BG2383" s="3" t="s">
        <v>23424</v>
      </c>
    </row>
    <row r="2384" spans="1:59" ht="58" x14ac:dyDescent="0.35">
      <c r="A2384" s="2" t="s">
        <v>59</v>
      </c>
      <c r="B2384" s="2" t="s">
        <v>60</v>
      </c>
      <c r="C2384" s="2" t="s">
        <v>23425</v>
      </c>
      <c r="D2384" s="2" t="s">
        <v>23426</v>
      </c>
      <c r="E2384" s="2" t="s">
        <v>23427</v>
      </c>
      <c r="G2384" s="3" t="s">
        <v>65</v>
      </c>
      <c r="I2384" s="3" t="s">
        <v>65</v>
      </c>
      <c r="J2384" s="3" t="s">
        <v>65</v>
      </c>
      <c r="K2384" s="3" t="s">
        <v>66</v>
      </c>
      <c r="L2384" s="2" t="s">
        <v>23029</v>
      </c>
      <c r="M2384" s="2" t="s">
        <v>23055</v>
      </c>
      <c r="N2384" s="3" t="s">
        <v>863</v>
      </c>
      <c r="P2384" s="3" t="s">
        <v>69</v>
      </c>
      <c r="R2384" s="3" t="s">
        <v>71</v>
      </c>
      <c r="S2384" s="4">
        <v>117</v>
      </c>
      <c r="T2384" s="4">
        <v>117</v>
      </c>
      <c r="U2384" s="5" t="s">
        <v>23428</v>
      </c>
      <c r="V2384" s="5" t="s">
        <v>23428</v>
      </c>
      <c r="W2384" s="5" t="s">
        <v>72</v>
      </c>
      <c r="X2384" s="5" t="s">
        <v>72</v>
      </c>
      <c r="Y2384" s="4">
        <v>68</v>
      </c>
      <c r="Z2384" s="4">
        <v>1</v>
      </c>
      <c r="AA2384" s="4">
        <v>39</v>
      </c>
      <c r="AB2384" s="4">
        <v>1</v>
      </c>
      <c r="AC2384" s="4">
        <v>3</v>
      </c>
      <c r="AD2384" s="4">
        <v>1</v>
      </c>
      <c r="AE2384" s="4">
        <v>32</v>
      </c>
      <c r="AF2384" s="4">
        <v>0</v>
      </c>
      <c r="AG2384" s="4">
        <v>0</v>
      </c>
      <c r="AH2384" s="4">
        <v>1</v>
      </c>
      <c r="AI2384" s="4">
        <v>18</v>
      </c>
      <c r="AJ2384" s="4">
        <v>0</v>
      </c>
      <c r="AK2384" s="4">
        <v>12</v>
      </c>
      <c r="AL2384" s="4">
        <v>0</v>
      </c>
      <c r="AM2384" s="4">
        <v>9</v>
      </c>
      <c r="AN2384" s="4">
        <v>0</v>
      </c>
      <c r="AO2384" s="4">
        <v>0</v>
      </c>
      <c r="AP2384" s="4">
        <v>0</v>
      </c>
      <c r="AQ2384" s="4">
        <v>20</v>
      </c>
      <c r="AR2384" s="3" t="s">
        <v>65</v>
      </c>
      <c r="AS2384" s="3" t="s">
        <v>65</v>
      </c>
      <c r="AT2384" s="3" t="s">
        <v>65</v>
      </c>
      <c r="AV2384" s="6" t="str">
        <f>HYPERLINK("http://mcgill.on.worldcat.org/oclc/877612579","Catalog Record")</f>
        <v>Catalog Record</v>
      </c>
      <c r="AW2384" s="6" t="str">
        <f>HYPERLINK("http://www.worldcat.org/oclc/877612579","WorldCat Record")</f>
        <v>WorldCat Record</v>
      </c>
      <c r="AX2384" s="3" t="s">
        <v>23429</v>
      </c>
      <c r="AY2384" s="3" t="s">
        <v>23430</v>
      </c>
      <c r="AZ2384" s="3" t="s">
        <v>23431</v>
      </c>
      <c r="BA2384" s="3" t="s">
        <v>23431</v>
      </c>
      <c r="BB2384" s="3" t="s">
        <v>23432</v>
      </c>
      <c r="BC2384" s="3" t="s">
        <v>77</v>
      </c>
      <c r="BD2384" s="3" t="s">
        <v>78</v>
      </c>
      <c r="BE2384" s="3" t="s">
        <v>23433</v>
      </c>
      <c r="BF2384" s="3" t="s">
        <v>23432</v>
      </c>
      <c r="BG2384" s="3" t="s">
        <v>23434</v>
      </c>
    </row>
    <row r="2385" spans="1:59" ht="58" x14ac:dyDescent="0.35">
      <c r="A2385" s="2" t="s">
        <v>59</v>
      </c>
      <c r="B2385" s="2" t="s">
        <v>60</v>
      </c>
      <c r="C2385" s="2" t="s">
        <v>23435</v>
      </c>
      <c r="D2385" s="2" t="s">
        <v>23436</v>
      </c>
      <c r="E2385" s="2" t="s">
        <v>23437</v>
      </c>
      <c r="G2385" s="3" t="s">
        <v>65</v>
      </c>
      <c r="I2385" s="3" t="s">
        <v>209</v>
      </c>
      <c r="J2385" s="3" t="s">
        <v>65</v>
      </c>
      <c r="K2385" s="3" t="s">
        <v>66</v>
      </c>
      <c r="L2385" s="2" t="s">
        <v>23029</v>
      </c>
      <c r="M2385" s="2" t="s">
        <v>23438</v>
      </c>
      <c r="N2385" s="3" t="s">
        <v>247</v>
      </c>
      <c r="P2385" s="3" t="s">
        <v>69</v>
      </c>
      <c r="Q2385" s="2" t="s">
        <v>23439</v>
      </c>
      <c r="R2385" s="3" t="s">
        <v>71</v>
      </c>
      <c r="S2385" s="4">
        <v>2</v>
      </c>
      <c r="T2385" s="4">
        <v>19</v>
      </c>
      <c r="U2385" s="5" t="s">
        <v>8190</v>
      </c>
      <c r="V2385" s="5" t="s">
        <v>23440</v>
      </c>
      <c r="W2385" s="5" t="s">
        <v>72</v>
      </c>
      <c r="X2385" s="5" t="s">
        <v>72</v>
      </c>
      <c r="Y2385" s="4">
        <v>530</v>
      </c>
      <c r="Z2385" s="4">
        <v>23</v>
      </c>
      <c r="AA2385" s="4">
        <v>26</v>
      </c>
      <c r="AB2385" s="4">
        <v>3</v>
      </c>
      <c r="AC2385" s="4">
        <v>3</v>
      </c>
      <c r="AD2385" s="4">
        <v>39</v>
      </c>
      <c r="AE2385" s="4">
        <v>40</v>
      </c>
      <c r="AF2385" s="4">
        <v>0</v>
      </c>
      <c r="AG2385" s="4">
        <v>0</v>
      </c>
      <c r="AH2385" s="4">
        <v>32</v>
      </c>
      <c r="AI2385" s="4">
        <v>33</v>
      </c>
      <c r="AJ2385" s="4">
        <v>3</v>
      </c>
      <c r="AK2385" s="4">
        <v>4</v>
      </c>
      <c r="AL2385" s="4">
        <v>21</v>
      </c>
      <c r="AM2385" s="4">
        <v>21</v>
      </c>
      <c r="AN2385" s="4">
        <v>0</v>
      </c>
      <c r="AO2385" s="4">
        <v>0</v>
      </c>
      <c r="AP2385" s="4">
        <v>6</v>
      </c>
      <c r="AQ2385" s="4">
        <v>7</v>
      </c>
      <c r="AR2385" s="3" t="s">
        <v>65</v>
      </c>
      <c r="AS2385" s="3" t="s">
        <v>65</v>
      </c>
      <c r="AT2385" s="3" t="s">
        <v>65</v>
      </c>
      <c r="AV2385" s="6" t="str">
        <f>HYPERLINK("http://mcgill.on.worldcat.org/oclc/27265571","Catalog Record")</f>
        <v>Catalog Record</v>
      </c>
      <c r="AW2385" s="6" t="str">
        <f>HYPERLINK("http://www.worldcat.org/oclc/27265571","WorldCat Record")</f>
        <v>WorldCat Record</v>
      </c>
      <c r="AX2385" s="3" t="s">
        <v>23441</v>
      </c>
      <c r="AY2385" s="3" t="s">
        <v>23442</v>
      </c>
      <c r="AZ2385" s="3" t="s">
        <v>23443</v>
      </c>
      <c r="BA2385" s="3" t="s">
        <v>23443</v>
      </c>
      <c r="BB2385" s="3" t="s">
        <v>23444</v>
      </c>
      <c r="BC2385" s="3" t="s">
        <v>77</v>
      </c>
      <c r="BD2385" s="3" t="s">
        <v>78</v>
      </c>
      <c r="BE2385" s="3" t="s">
        <v>23445</v>
      </c>
      <c r="BF2385" s="3" t="s">
        <v>23444</v>
      </c>
      <c r="BG2385" s="3" t="s">
        <v>23446</v>
      </c>
    </row>
    <row r="2386" spans="1:59" ht="58" x14ac:dyDescent="0.35">
      <c r="A2386" s="2" t="s">
        <v>59</v>
      </c>
      <c r="B2386" s="2" t="s">
        <v>60</v>
      </c>
      <c r="C2386" s="2" t="s">
        <v>23435</v>
      </c>
      <c r="D2386" s="2" t="s">
        <v>23436</v>
      </c>
      <c r="E2386" s="2" t="s">
        <v>23437</v>
      </c>
      <c r="G2386" s="3" t="s">
        <v>65</v>
      </c>
      <c r="I2386" s="3" t="s">
        <v>209</v>
      </c>
      <c r="J2386" s="3" t="s">
        <v>65</v>
      </c>
      <c r="K2386" s="3" t="s">
        <v>66</v>
      </c>
      <c r="L2386" s="2" t="s">
        <v>23029</v>
      </c>
      <c r="M2386" s="2" t="s">
        <v>23438</v>
      </c>
      <c r="N2386" s="3" t="s">
        <v>247</v>
      </c>
      <c r="P2386" s="3" t="s">
        <v>69</v>
      </c>
      <c r="Q2386" s="2" t="s">
        <v>23439</v>
      </c>
      <c r="R2386" s="3" t="s">
        <v>71</v>
      </c>
      <c r="S2386" s="4">
        <v>4</v>
      </c>
      <c r="T2386" s="4">
        <v>19</v>
      </c>
      <c r="U2386" s="5" t="s">
        <v>23440</v>
      </c>
      <c r="V2386" s="5" t="s">
        <v>23440</v>
      </c>
      <c r="W2386" s="5" t="s">
        <v>72</v>
      </c>
      <c r="X2386" s="5" t="s">
        <v>72</v>
      </c>
      <c r="Y2386" s="4">
        <v>530</v>
      </c>
      <c r="Z2386" s="4">
        <v>23</v>
      </c>
      <c r="AA2386" s="4">
        <v>26</v>
      </c>
      <c r="AB2386" s="4">
        <v>3</v>
      </c>
      <c r="AC2386" s="4">
        <v>3</v>
      </c>
      <c r="AD2386" s="4">
        <v>39</v>
      </c>
      <c r="AE2386" s="4">
        <v>40</v>
      </c>
      <c r="AF2386" s="4">
        <v>0</v>
      </c>
      <c r="AG2386" s="4">
        <v>0</v>
      </c>
      <c r="AH2386" s="4">
        <v>32</v>
      </c>
      <c r="AI2386" s="4">
        <v>33</v>
      </c>
      <c r="AJ2386" s="4">
        <v>3</v>
      </c>
      <c r="AK2386" s="4">
        <v>4</v>
      </c>
      <c r="AL2386" s="4">
        <v>21</v>
      </c>
      <c r="AM2386" s="4">
        <v>21</v>
      </c>
      <c r="AN2386" s="4">
        <v>0</v>
      </c>
      <c r="AO2386" s="4">
        <v>0</v>
      </c>
      <c r="AP2386" s="4">
        <v>6</v>
      </c>
      <c r="AQ2386" s="4">
        <v>7</v>
      </c>
      <c r="AR2386" s="3" t="s">
        <v>65</v>
      </c>
      <c r="AS2386" s="3" t="s">
        <v>65</v>
      </c>
      <c r="AT2386" s="3" t="s">
        <v>65</v>
      </c>
      <c r="AV2386" s="6" t="str">
        <f>HYPERLINK("http://mcgill.on.worldcat.org/oclc/27265571","Catalog Record")</f>
        <v>Catalog Record</v>
      </c>
      <c r="AW2386" s="6" t="str">
        <f>HYPERLINK("http://www.worldcat.org/oclc/27265571","WorldCat Record")</f>
        <v>WorldCat Record</v>
      </c>
      <c r="AX2386" s="3" t="s">
        <v>23441</v>
      </c>
      <c r="AY2386" s="3" t="s">
        <v>23442</v>
      </c>
      <c r="AZ2386" s="3" t="s">
        <v>23443</v>
      </c>
      <c r="BA2386" s="3" t="s">
        <v>23443</v>
      </c>
      <c r="BB2386" s="3" t="s">
        <v>23447</v>
      </c>
      <c r="BC2386" s="3" t="s">
        <v>77</v>
      </c>
      <c r="BD2386" s="3" t="s">
        <v>78</v>
      </c>
      <c r="BE2386" s="3" t="s">
        <v>23445</v>
      </c>
      <c r="BF2386" s="3" t="s">
        <v>23447</v>
      </c>
      <c r="BG2386" s="3" t="s">
        <v>23448</v>
      </c>
    </row>
    <row r="2387" spans="1:59" ht="58" x14ac:dyDescent="0.35">
      <c r="A2387" s="2" t="s">
        <v>59</v>
      </c>
      <c r="B2387" s="2" t="s">
        <v>60</v>
      </c>
      <c r="C2387" s="2" t="s">
        <v>23435</v>
      </c>
      <c r="D2387" s="2" t="s">
        <v>23436</v>
      </c>
      <c r="E2387" s="2" t="s">
        <v>23437</v>
      </c>
      <c r="G2387" s="3" t="s">
        <v>65</v>
      </c>
      <c r="I2387" s="3" t="s">
        <v>209</v>
      </c>
      <c r="J2387" s="3" t="s">
        <v>65</v>
      </c>
      <c r="K2387" s="3" t="s">
        <v>66</v>
      </c>
      <c r="L2387" s="2" t="s">
        <v>23029</v>
      </c>
      <c r="M2387" s="2" t="s">
        <v>23438</v>
      </c>
      <c r="N2387" s="3" t="s">
        <v>247</v>
      </c>
      <c r="P2387" s="3" t="s">
        <v>69</v>
      </c>
      <c r="Q2387" s="2" t="s">
        <v>23439</v>
      </c>
      <c r="R2387" s="3" t="s">
        <v>71</v>
      </c>
      <c r="S2387" s="4">
        <v>13</v>
      </c>
      <c r="T2387" s="4">
        <v>19</v>
      </c>
      <c r="U2387" s="5" t="s">
        <v>23449</v>
      </c>
      <c r="V2387" s="5" t="s">
        <v>23440</v>
      </c>
      <c r="W2387" s="5" t="s">
        <v>72</v>
      </c>
      <c r="X2387" s="5" t="s">
        <v>72</v>
      </c>
      <c r="Y2387" s="4">
        <v>530</v>
      </c>
      <c r="Z2387" s="4">
        <v>23</v>
      </c>
      <c r="AA2387" s="4">
        <v>26</v>
      </c>
      <c r="AB2387" s="4">
        <v>3</v>
      </c>
      <c r="AC2387" s="4">
        <v>3</v>
      </c>
      <c r="AD2387" s="4">
        <v>39</v>
      </c>
      <c r="AE2387" s="4">
        <v>40</v>
      </c>
      <c r="AF2387" s="4">
        <v>0</v>
      </c>
      <c r="AG2387" s="4">
        <v>0</v>
      </c>
      <c r="AH2387" s="4">
        <v>32</v>
      </c>
      <c r="AI2387" s="4">
        <v>33</v>
      </c>
      <c r="AJ2387" s="4">
        <v>3</v>
      </c>
      <c r="AK2387" s="4">
        <v>4</v>
      </c>
      <c r="AL2387" s="4">
        <v>21</v>
      </c>
      <c r="AM2387" s="4">
        <v>21</v>
      </c>
      <c r="AN2387" s="4">
        <v>0</v>
      </c>
      <c r="AO2387" s="4">
        <v>0</v>
      </c>
      <c r="AP2387" s="4">
        <v>6</v>
      </c>
      <c r="AQ2387" s="4">
        <v>7</v>
      </c>
      <c r="AR2387" s="3" t="s">
        <v>65</v>
      </c>
      <c r="AS2387" s="3" t="s">
        <v>65</v>
      </c>
      <c r="AT2387" s="3" t="s">
        <v>65</v>
      </c>
      <c r="AV2387" s="6" t="str">
        <f>HYPERLINK("http://mcgill.on.worldcat.org/oclc/27265571","Catalog Record")</f>
        <v>Catalog Record</v>
      </c>
      <c r="AW2387" s="6" t="str">
        <f>HYPERLINK("http://www.worldcat.org/oclc/27265571","WorldCat Record")</f>
        <v>WorldCat Record</v>
      </c>
      <c r="AX2387" s="3" t="s">
        <v>23441</v>
      </c>
      <c r="AY2387" s="3" t="s">
        <v>23442</v>
      </c>
      <c r="AZ2387" s="3" t="s">
        <v>23443</v>
      </c>
      <c r="BA2387" s="3" t="s">
        <v>23443</v>
      </c>
      <c r="BB2387" s="3" t="s">
        <v>23450</v>
      </c>
      <c r="BC2387" s="3" t="s">
        <v>77</v>
      </c>
      <c r="BD2387" s="3" t="s">
        <v>78</v>
      </c>
      <c r="BE2387" s="3" t="s">
        <v>23445</v>
      </c>
      <c r="BF2387" s="3" t="s">
        <v>23450</v>
      </c>
      <c r="BG2387" s="3" t="s">
        <v>23451</v>
      </c>
    </row>
    <row r="2388" spans="1:59" ht="58" x14ac:dyDescent="0.35">
      <c r="A2388" s="2" t="s">
        <v>59</v>
      </c>
      <c r="B2388" s="2" t="s">
        <v>60</v>
      </c>
      <c r="C2388" s="2" t="s">
        <v>23452</v>
      </c>
      <c r="D2388" s="2" t="s">
        <v>23453</v>
      </c>
      <c r="E2388" s="2" t="s">
        <v>23454</v>
      </c>
      <c r="G2388" s="3" t="s">
        <v>65</v>
      </c>
      <c r="I2388" s="3" t="s">
        <v>65</v>
      </c>
      <c r="J2388" s="3" t="s">
        <v>65</v>
      </c>
      <c r="K2388" s="3" t="s">
        <v>66</v>
      </c>
      <c r="L2388" s="2" t="s">
        <v>23029</v>
      </c>
      <c r="M2388" s="2" t="s">
        <v>23455</v>
      </c>
      <c r="N2388" s="3" t="s">
        <v>615</v>
      </c>
      <c r="P2388" s="3" t="s">
        <v>616</v>
      </c>
      <c r="Q2388" s="2" t="s">
        <v>23456</v>
      </c>
      <c r="R2388" s="3" t="s">
        <v>71</v>
      </c>
      <c r="S2388" s="4">
        <v>22</v>
      </c>
      <c r="T2388" s="4">
        <v>22</v>
      </c>
      <c r="U2388" s="5" t="s">
        <v>785</v>
      </c>
      <c r="V2388" s="5" t="s">
        <v>785</v>
      </c>
      <c r="W2388" s="5" t="s">
        <v>72</v>
      </c>
      <c r="X2388" s="5" t="s">
        <v>72</v>
      </c>
      <c r="Y2388" s="4">
        <v>9</v>
      </c>
      <c r="Z2388" s="4">
        <v>1</v>
      </c>
      <c r="AA2388" s="4">
        <v>1</v>
      </c>
      <c r="AB2388" s="4">
        <v>1</v>
      </c>
      <c r="AC2388" s="4">
        <v>1</v>
      </c>
      <c r="AD2388" s="4">
        <v>5</v>
      </c>
      <c r="AE2388" s="4">
        <v>5</v>
      </c>
      <c r="AF2388" s="4">
        <v>0</v>
      </c>
      <c r="AG2388" s="4">
        <v>0</v>
      </c>
      <c r="AH2388" s="4">
        <v>4</v>
      </c>
      <c r="AI2388" s="4">
        <v>4</v>
      </c>
      <c r="AJ2388" s="4">
        <v>0</v>
      </c>
      <c r="AK2388" s="4">
        <v>0</v>
      </c>
      <c r="AL2388" s="4">
        <v>5</v>
      </c>
      <c r="AM2388" s="4">
        <v>5</v>
      </c>
      <c r="AN2388" s="4">
        <v>0</v>
      </c>
      <c r="AO2388" s="4">
        <v>0</v>
      </c>
      <c r="AP2388" s="4">
        <v>0</v>
      </c>
      <c r="AQ2388" s="4">
        <v>0</v>
      </c>
      <c r="AR2388" s="3" t="s">
        <v>65</v>
      </c>
      <c r="AS2388" s="3" t="s">
        <v>65</v>
      </c>
      <c r="AT2388" s="3" t="s">
        <v>65</v>
      </c>
      <c r="AV2388" s="6" t="str">
        <f>HYPERLINK("http://mcgill.on.worldcat.org/oclc/38673777","Catalog Record")</f>
        <v>Catalog Record</v>
      </c>
      <c r="AW2388" s="6" t="str">
        <f>HYPERLINK("http://www.worldcat.org/oclc/38673777","WorldCat Record")</f>
        <v>WorldCat Record</v>
      </c>
      <c r="AX2388" s="3" t="s">
        <v>23457</v>
      </c>
      <c r="AY2388" s="3" t="s">
        <v>23458</v>
      </c>
      <c r="AZ2388" s="3" t="s">
        <v>23459</v>
      </c>
      <c r="BA2388" s="3" t="s">
        <v>23459</v>
      </c>
      <c r="BB2388" s="3" t="s">
        <v>23460</v>
      </c>
      <c r="BC2388" s="3" t="s">
        <v>77</v>
      </c>
      <c r="BD2388" s="3" t="s">
        <v>106</v>
      </c>
      <c r="BF2388" s="3" t="s">
        <v>23460</v>
      </c>
      <c r="BG2388" s="3" t="s">
        <v>23461</v>
      </c>
    </row>
    <row r="2389" spans="1:59" ht="58" x14ac:dyDescent="0.35">
      <c r="A2389" s="2" t="s">
        <v>59</v>
      </c>
      <c r="B2389" s="2" t="s">
        <v>60</v>
      </c>
      <c r="C2389" s="2" t="s">
        <v>23462</v>
      </c>
      <c r="D2389" s="2" t="s">
        <v>23463</v>
      </c>
      <c r="E2389" s="2" t="s">
        <v>23464</v>
      </c>
      <c r="G2389" s="3" t="s">
        <v>65</v>
      </c>
      <c r="I2389" s="3" t="s">
        <v>65</v>
      </c>
      <c r="J2389" s="3" t="s">
        <v>65</v>
      </c>
      <c r="K2389" s="3" t="s">
        <v>66</v>
      </c>
      <c r="L2389" s="2" t="s">
        <v>23465</v>
      </c>
      <c r="M2389" s="2" t="s">
        <v>23466</v>
      </c>
      <c r="N2389" s="3" t="s">
        <v>139</v>
      </c>
      <c r="P2389" s="3" t="s">
        <v>140</v>
      </c>
      <c r="Q2389" s="2" t="s">
        <v>23467</v>
      </c>
      <c r="R2389" s="3" t="s">
        <v>71</v>
      </c>
      <c r="S2389" s="4">
        <v>0</v>
      </c>
      <c r="T2389" s="4">
        <v>0</v>
      </c>
      <c r="W2389" s="5" t="s">
        <v>72</v>
      </c>
      <c r="X2389" s="5" t="s">
        <v>72</v>
      </c>
      <c r="Y2389" s="4">
        <v>55</v>
      </c>
      <c r="Z2389" s="4">
        <v>4</v>
      </c>
      <c r="AA2389" s="4">
        <v>4</v>
      </c>
      <c r="AB2389" s="4">
        <v>1</v>
      </c>
      <c r="AC2389" s="4">
        <v>1</v>
      </c>
      <c r="AD2389" s="4">
        <v>40</v>
      </c>
      <c r="AE2389" s="4">
        <v>40</v>
      </c>
      <c r="AF2389" s="4">
        <v>0</v>
      </c>
      <c r="AG2389" s="4">
        <v>0</v>
      </c>
      <c r="AH2389" s="4">
        <v>39</v>
      </c>
      <c r="AI2389" s="4">
        <v>39</v>
      </c>
      <c r="AJ2389" s="4">
        <v>2</v>
      </c>
      <c r="AK2389" s="4">
        <v>2</v>
      </c>
      <c r="AL2389" s="4">
        <v>29</v>
      </c>
      <c r="AM2389" s="4">
        <v>29</v>
      </c>
      <c r="AN2389" s="4">
        <v>0</v>
      </c>
      <c r="AO2389" s="4">
        <v>0</v>
      </c>
      <c r="AP2389" s="4">
        <v>2</v>
      </c>
      <c r="AQ2389" s="4">
        <v>2</v>
      </c>
      <c r="AR2389" s="3" t="s">
        <v>65</v>
      </c>
      <c r="AS2389" s="3" t="s">
        <v>65</v>
      </c>
      <c r="AT2389" s="3" t="s">
        <v>65</v>
      </c>
      <c r="AV2389" s="6" t="str">
        <f>HYPERLINK("http://mcgill.on.worldcat.org/oclc/805053859","Catalog Record")</f>
        <v>Catalog Record</v>
      </c>
      <c r="AW2389" s="6" t="str">
        <f>HYPERLINK("http://www.worldcat.org/oclc/805053859","WorldCat Record")</f>
        <v>WorldCat Record</v>
      </c>
      <c r="AX2389" s="3" t="s">
        <v>23468</v>
      </c>
      <c r="AY2389" s="3" t="s">
        <v>23469</v>
      </c>
      <c r="AZ2389" s="3" t="s">
        <v>23470</v>
      </c>
      <c r="BA2389" s="3" t="s">
        <v>23470</v>
      </c>
      <c r="BB2389" s="3" t="s">
        <v>23471</v>
      </c>
      <c r="BC2389" s="3" t="s">
        <v>77</v>
      </c>
      <c r="BD2389" s="3" t="s">
        <v>78</v>
      </c>
      <c r="BE2389" s="3" t="s">
        <v>23472</v>
      </c>
      <c r="BF2389" s="3" t="s">
        <v>23471</v>
      </c>
      <c r="BG2389" s="3" t="s">
        <v>23473</v>
      </c>
    </row>
    <row r="2390" spans="1:59" ht="58" x14ac:dyDescent="0.35">
      <c r="A2390" s="2" t="s">
        <v>59</v>
      </c>
      <c r="B2390" s="2" t="s">
        <v>60</v>
      </c>
      <c r="C2390" s="2" t="s">
        <v>23474</v>
      </c>
      <c r="D2390" s="2" t="s">
        <v>23475</v>
      </c>
      <c r="E2390" s="2" t="s">
        <v>23476</v>
      </c>
      <c r="G2390" s="3" t="s">
        <v>65</v>
      </c>
      <c r="I2390" s="3" t="s">
        <v>65</v>
      </c>
      <c r="J2390" s="3" t="s">
        <v>209</v>
      </c>
      <c r="K2390" s="3" t="s">
        <v>66</v>
      </c>
      <c r="L2390" s="2" t="s">
        <v>23029</v>
      </c>
      <c r="M2390" s="2" t="s">
        <v>23477</v>
      </c>
      <c r="N2390" s="3" t="s">
        <v>1895</v>
      </c>
      <c r="O2390" s="2" t="s">
        <v>7328</v>
      </c>
      <c r="P2390" s="3" t="s">
        <v>69</v>
      </c>
      <c r="R2390" s="3" t="s">
        <v>71</v>
      </c>
      <c r="S2390" s="4">
        <v>19</v>
      </c>
      <c r="T2390" s="4">
        <v>19</v>
      </c>
      <c r="U2390" s="5" t="s">
        <v>14271</v>
      </c>
      <c r="V2390" s="5" t="s">
        <v>14271</v>
      </c>
      <c r="W2390" s="5" t="s">
        <v>72</v>
      </c>
      <c r="X2390" s="5" t="s">
        <v>72</v>
      </c>
      <c r="Y2390" s="4">
        <v>176</v>
      </c>
      <c r="Z2390" s="4">
        <v>13</v>
      </c>
      <c r="AA2390" s="4">
        <v>34</v>
      </c>
      <c r="AB2390" s="4">
        <v>1</v>
      </c>
      <c r="AC2390" s="4">
        <v>3</v>
      </c>
      <c r="AD2390" s="4">
        <v>66</v>
      </c>
      <c r="AE2390" s="4">
        <v>116</v>
      </c>
      <c r="AF2390" s="4">
        <v>0</v>
      </c>
      <c r="AG2390" s="4">
        <v>0</v>
      </c>
      <c r="AH2390" s="4">
        <v>60</v>
      </c>
      <c r="AI2390" s="4">
        <v>102</v>
      </c>
      <c r="AJ2390" s="4">
        <v>9</v>
      </c>
      <c r="AK2390" s="4">
        <v>16</v>
      </c>
      <c r="AL2390" s="4">
        <v>36</v>
      </c>
      <c r="AM2390" s="4">
        <v>57</v>
      </c>
      <c r="AN2390" s="4">
        <v>0</v>
      </c>
      <c r="AO2390" s="4">
        <v>0</v>
      </c>
      <c r="AP2390" s="4">
        <v>9</v>
      </c>
      <c r="AQ2390" s="4">
        <v>21</v>
      </c>
      <c r="AR2390" s="3" t="s">
        <v>65</v>
      </c>
      <c r="AS2390" s="3" t="s">
        <v>65</v>
      </c>
      <c r="AT2390" s="3" t="s">
        <v>65</v>
      </c>
      <c r="AV2390" s="6" t="str">
        <f>HYPERLINK("http://mcgill.on.worldcat.org/oclc/38925133","Catalog Record")</f>
        <v>Catalog Record</v>
      </c>
      <c r="AW2390" s="6" t="str">
        <f>HYPERLINK("http://www.worldcat.org/oclc/38925133","WorldCat Record")</f>
        <v>WorldCat Record</v>
      </c>
      <c r="AX2390" s="3" t="s">
        <v>23478</v>
      </c>
      <c r="AY2390" s="3" t="s">
        <v>23479</v>
      </c>
      <c r="AZ2390" s="3" t="s">
        <v>23480</v>
      </c>
      <c r="BA2390" s="3" t="s">
        <v>23480</v>
      </c>
      <c r="BB2390" s="3" t="s">
        <v>23481</v>
      </c>
      <c r="BC2390" s="3" t="s">
        <v>77</v>
      </c>
      <c r="BD2390" s="3" t="s">
        <v>78</v>
      </c>
      <c r="BE2390" s="3" t="s">
        <v>23482</v>
      </c>
      <c r="BF2390" s="3" t="s">
        <v>23481</v>
      </c>
      <c r="BG2390" s="3" t="s">
        <v>23483</v>
      </c>
    </row>
    <row r="2391" spans="1:59" ht="58" x14ac:dyDescent="0.35">
      <c r="A2391" s="2" t="s">
        <v>59</v>
      </c>
      <c r="B2391" s="2" t="s">
        <v>60</v>
      </c>
      <c r="C2391" s="2" t="s">
        <v>23484</v>
      </c>
      <c r="D2391" s="2" t="s">
        <v>23485</v>
      </c>
      <c r="E2391" s="2" t="s">
        <v>23476</v>
      </c>
      <c r="G2391" s="3" t="s">
        <v>65</v>
      </c>
      <c r="I2391" s="3" t="s">
        <v>65</v>
      </c>
      <c r="J2391" s="3" t="s">
        <v>209</v>
      </c>
      <c r="K2391" s="3" t="s">
        <v>66</v>
      </c>
      <c r="L2391" s="2" t="s">
        <v>23029</v>
      </c>
      <c r="M2391" s="2" t="s">
        <v>23486</v>
      </c>
      <c r="N2391" s="3" t="s">
        <v>1944</v>
      </c>
      <c r="O2391" s="2" t="s">
        <v>7328</v>
      </c>
      <c r="P2391" s="3" t="s">
        <v>69</v>
      </c>
      <c r="R2391" s="3" t="s">
        <v>71</v>
      </c>
      <c r="S2391" s="4">
        <v>4</v>
      </c>
      <c r="T2391" s="4">
        <v>4</v>
      </c>
      <c r="U2391" s="5" t="s">
        <v>5537</v>
      </c>
      <c r="V2391" s="5" t="s">
        <v>5537</v>
      </c>
      <c r="W2391" s="5" t="s">
        <v>72</v>
      </c>
      <c r="X2391" s="5" t="s">
        <v>72</v>
      </c>
      <c r="Y2391" s="4">
        <v>163</v>
      </c>
      <c r="Z2391" s="4">
        <v>6</v>
      </c>
      <c r="AA2391" s="4">
        <v>34</v>
      </c>
      <c r="AB2391" s="4">
        <v>3</v>
      </c>
      <c r="AC2391" s="4">
        <v>3</v>
      </c>
      <c r="AD2391" s="4">
        <v>36</v>
      </c>
      <c r="AE2391" s="4">
        <v>116</v>
      </c>
      <c r="AF2391" s="4">
        <v>0</v>
      </c>
      <c r="AG2391" s="4">
        <v>0</v>
      </c>
      <c r="AH2391" s="4">
        <v>35</v>
      </c>
      <c r="AI2391" s="4">
        <v>102</v>
      </c>
      <c r="AJ2391" s="4">
        <v>1</v>
      </c>
      <c r="AK2391" s="4">
        <v>16</v>
      </c>
      <c r="AL2391" s="4">
        <v>18</v>
      </c>
      <c r="AM2391" s="4">
        <v>57</v>
      </c>
      <c r="AN2391" s="4">
        <v>0</v>
      </c>
      <c r="AO2391" s="4">
        <v>0</v>
      </c>
      <c r="AP2391" s="4">
        <v>1</v>
      </c>
      <c r="AQ2391" s="4">
        <v>21</v>
      </c>
      <c r="AR2391" s="3" t="s">
        <v>65</v>
      </c>
      <c r="AS2391" s="3" t="s">
        <v>65</v>
      </c>
      <c r="AT2391" s="3" t="s">
        <v>65</v>
      </c>
      <c r="AV2391" s="6" t="str">
        <f>HYPERLINK("http://mcgill.on.worldcat.org/oclc/43569501","Catalog Record")</f>
        <v>Catalog Record</v>
      </c>
      <c r="AW2391" s="6" t="str">
        <f>HYPERLINK("http://www.worldcat.org/oclc/43569501","WorldCat Record")</f>
        <v>WorldCat Record</v>
      </c>
      <c r="AX2391" s="3" t="s">
        <v>23478</v>
      </c>
      <c r="AY2391" s="3" t="s">
        <v>23487</v>
      </c>
      <c r="AZ2391" s="3" t="s">
        <v>23488</v>
      </c>
      <c r="BA2391" s="3" t="s">
        <v>23488</v>
      </c>
      <c r="BB2391" s="3" t="s">
        <v>23489</v>
      </c>
      <c r="BC2391" s="3" t="s">
        <v>77</v>
      </c>
      <c r="BD2391" s="3" t="s">
        <v>78</v>
      </c>
      <c r="BE2391" s="3" t="s">
        <v>23490</v>
      </c>
      <c r="BF2391" s="3" t="s">
        <v>23489</v>
      </c>
      <c r="BG2391" s="3" t="s">
        <v>23491</v>
      </c>
    </row>
    <row r="2392" spans="1:59" ht="72.5" x14ac:dyDescent="0.35">
      <c r="A2392" s="2" t="s">
        <v>59</v>
      </c>
      <c r="B2392" s="2" t="s">
        <v>60</v>
      </c>
      <c r="C2392" s="2" t="s">
        <v>23492</v>
      </c>
      <c r="D2392" s="2" t="s">
        <v>23493</v>
      </c>
      <c r="E2392" s="2" t="s">
        <v>23494</v>
      </c>
      <c r="G2392" s="3" t="s">
        <v>65</v>
      </c>
      <c r="I2392" s="3" t="s">
        <v>65</v>
      </c>
      <c r="J2392" s="3" t="s">
        <v>209</v>
      </c>
      <c r="K2392" s="3" t="s">
        <v>66</v>
      </c>
      <c r="L2392" s="2" t="s">
        <v>23029</v>
      </c>
      <c r="M2392" s="2" t="s">
        <v>23495</v>
      </c>
      <c r="N2392" s="3" t="s">
        <v>1122</v>
      </c>
      <c r="O2392" s="2" t="s">
        <v>23496</v>
      </c>
      <c r="P2392" s="3" t="s">
        <v>69</v>
      </c>
      <c r="Q2392" s="2" t="s">
        <v>22024</v>
      </c>
      <c r="R2392" s="3" t="s">
        <v>71</v>
      </c>
      <c r="S2392" s="4">
        <v>5</v>
      </c>
      <c r="T2392" s="4">
        <v>5</v>
      </c>
      <c r="U2392" s="5" t="s">
        <v>11039</v>
      </c>
      <c r="V2392" s="5" t="s">
        <v>11039</v>
      </c>
      <c r="W2392" s="5" t="s">
        <v>72</v>
      </c>
      <c r="X2392" s="5" t="s">
        <v>72</v>
      </c>
      <c r="Y2392" s="4">
        <v>56</v>
      </c>
      <c r="Z2392" s="4">
        <v>1</v>
      </c>
      <c r="AA2392" s="4">
        <v>34</v>
      </c>
      <c r="AB2392" s="4">
        <v>1</v>
      </c>
      <c r="AC2392" s="4">
        <v>3</v>
      </c>
      <c r="AD2392" s="4">
        <v>1</v>
      </c>
      <c r="AE2392" s="4">
        <v>116</v>
      </c>
      <c r="AF2392" s="4">
        <v>0</v>
      </c>
      <c r="AG2392" s="4">
        <v>0</v>
      </c>
      <c r="AH2392" s="4">
        <v>1</v>
      </c>
      <c r="AI2392" s="4">
        <v>102</v>
      </c>
      <c r="AJ2392" s="4">
        <v>0</v>
      </c>
      <c r="AK2392" s="4">
        <v>16</v>
      </c>
      <c r="AL2392" s="4">
        <v>1</v>
      </c>
      <c r="AM2392" s="4">
        <v>57</v>
      </c>
      <c r="AN2392" s="4">
        <v>0</v>
      </c>
      <c r="AO2392" s="4">
        <v>0</v>
      </c>
      <c r="AP2392" s="4">
        <v>0</v>
      </c>
      <c r="AQ2392" s="4">
        <v>21</v>
      </c>
      <c r="AR2392" s="3" t="s">
        <v>65</v>
      </c>
      <c r="AS2392" s="3" t="s">
        <v>65</v>
      </c>
      <c r="AT2392" s="3" t="s">
        <v>65</v>
      </c>
      <c r="AV2392" s="6" t="str">
        <f>HYPERLINK("http://mcgill.on.worldcat.org/oclc/312625980","Catalog Record")</f>
        <v>Catalog Record</v>
      </c>
      <c r="AW2392" s="6" t="str">
        <f>HYPERLINK("http://www.worldcat.org/oclc/312625980","WorldCat Record")</f>
        <v>WorldCat Record</v>
      </c>
      <c r="AX2392" s="3" t="s">
        <v>23478</v>
      </c>
      <c r="AY2392" s="3" t="s">
        <v>23497</v>
      </c>
      <c r="AZ2392" s="3" t="s">
        <v>23498</v>
      </c>
      <c r="BA2392" s="3" t="s">
        <v>23498</v>
      </c>
      <c r="BB2392" s="3" t="s">
        <v>23499</v>
      </c>
      <c r="BC2392" s="3" t="s">
        <v>77</v>
      </c>
      <c r="BD2392" s="3" t="s">
        <v>78</v>
      </c>
      <c r="BE2392" s="3" t="s">
        <v>23500</v>
      </c>
      <c r="BF2392" s="3" t="s">
        <v>23499</v>
      </c>
      <c r="BG2392" s="3" t="s">
        <v>23501</v>
      </c>
    </row>
    <row r="2393" spans="1:59" ht="58" x14ac:dyDescent="0.35">
      <c r="A2393" s="2" t="s">
        <v>59</v>
      </c>
      <c r="B2393" s="2" t="s">
        <v>60</v>
      </c>
      <c r="C2393" s="2" t="s">
        <v>23502</v>
      </c>
      <c r="D2393" s="2" t="s">
        <v>23503</v>
      </c>
      <c r="E2393" s="2" t="s">
        <v>23504</v>
      </c>
      <c r="G2393" s="3" t="s">
        <v>65</v>
      </c>
      <c r="I2393" s="3" t="s">
        <v>65</v>
      </c>
      <c r="J2393" s="3" t="s">
        <v>65</v>
      </c>
      <c r="K2393" s="3" t="s">
        <v>66</v>
      </c>
      <c r="L2393" s="2" t="s">
        <v>23029</v>
      </c>
      <c r="M2393" s="2" t="s">
        <v>23505</v>
      </c>
      <c r="N2393" s="3" t="s">
        <v>5961</v>
      </c>
      <c r="O2393" s="2" t="s">
        <v>654</v>
      </c>
      <c r="P2393" s="3" t="s">
        <v>140</v>
      </c>
      <c r="R2393" s="3" t="s">
        <v>71</v>
      </c>
      <c r="S2393" s="4">
        <v>11</v>
      </c>
      <c r="T2393" s="4">
        <v>11</v>
      </c>
      <c r="U2393" s="5" t="s">
        <v>23506</v>
      </c>
      <c r="V2393" s="5" t="s">
        <v>23506</v>
      </c>
      <c r="W2393" s="5" t="s">
        <v>72</v>
      </c>
      <c r="X2393" s="5" t="s">
        <v>72</v>
      </c>
      <c r="Y2393" s="4">
        <v>174</v>
      </c>
      <c r="Z2393" s="4">
        <v>15</v>
      </c>
      <c r="AA2393" s="4">
        <v>19</v>
      </c>
      <c r="AB2393" s="4">
        <v>2</v>
      </c>
      <c r="AC2393" s="4">
        <v>5</v>
      </c>
      <c r="AD2393" s="4">
        <v>69</v>
      </c>
      <c r="AE2393" s="4">
        <v>79</v>
      </c>
      <c r="AF2393" s="4">
        <v>0</v>
      </c>
      <c r="AG2393" s="4">
        <v>2</v>
      </c>
      <c r="AH2393" s="4">
        <v>62</v>
      </c>
      <c r="AI2393" s="4">
        <v>70</v>
      </c>
      <c r="AJ2393" s="4">
        <v>11</v>
      </c>
      <c r="AK2393" s="4">
        <v>14</v>
      </c>
      <c r="AL2393" s="4">
        <v>44</v>
      </c>
      <c r="AM2393" s="4">
        <v>46</v>
      </c>
      <c r="AN2393" s="4">
        <v>0</v>
      </c>
      <c r="AO2393" s="4">
        <v>0</v>
      </c>
      <c r="AP2393" s="4">
        <v>10</v>
      </c>
      <c r="AQ2393" s="4">
        <v>12</v>
      </c>
      <c r="AR2393" s="3" t="s">
        <v>65</v>
      </c>
      <c r="AS2393" s="3" t="s">
        <v>65</v>
      </c>
      <c r="AT2393" s="3" t="s">
        <v>209</v>
      </c>
      <c r="AU2393" s="6" t="str">
        <f>HYPERLINK("http://catalog.hathitrust.org/Record/000399419","HathiTrust Record")</f>
        <v>HathiTrust Record</v>
      </c>
      <c r="AV2393" s="6" t="str">
        <f>HYPERLINK("http://mcgill.on.worldcat.org/oclc/15136109","Catalog Record")</f>
        <v>Catalog Record</v>
      </c>
      <c r="AW2393" s="6" t="str">
        <f>HYPERLINK("http://www.worldcat.org/oclc/15136109","WorldCat Record")</f>
        <v>WorldCat Record</v>
      </c>
      <c r="AX2393" s="3" t="s">
        <v>23507</v>
      </c>
      <c r="AY2393" s="3" t="s">
        <v>23508</v>
      </c>
      <c r="AZ2393" s="3" t="s">
        <v>23509</v>
      </c>
      <c r="BA2393" s="3" t="s">
        <v>23509</v>
      </c>
      <c r="BB2393" s="3" t="s">
        <v>23510</v>
      </c>
      <c r="BC2393" s="3" t="s">
        <v>77</v>
      </c>
      <c r="BD2393" s="3" t="s">
        <v>78</v>
      </c>
      <c r="BF2393" s="3" t="s">
        <v>23510</v>
      </c>
      <c r="BG2393" s="3" t="s">
        <v>23511</v>
      </c>
    </row>
    <row r="2394" spans="1:59" ht="58" x14ac:dyDescent="0.35">
      <c r="A2394" s="2" t="s">
        <v>59</v>
      </c>
      <c r="B2394" s="2" t="s">
        <v>60</v>
      </c>
      <c r="C2394" s="2" t="s">
        <v>23512</v>
      </c>
      <c r="D2394" s="2" t="s">
        <v>23513</v>
      </c>
      <c r="E2394" s="2" t="s">
        <v>23514</v>
      </c>
      <c r="G2394" s="3" t="s">
        <v>65</v>
      </c>
      <c r="I2394" s="3" t="s">
        <v>65</v>
      </c>
      <c r="J2394" s="3" t="s">
        <v>65</v>
      </c>
      <c r="K2394" s="3" t="s">
        <v>66</v>
      </c>
      <c r="L2394" s="2" t="s">
        <v>23029</v>
      </c>
      <c r="M2394" s="2" t="s">
        <v>23515</v>
      </c>
      <c r="N2394" s="3" t="s">
        <v>2377</v>
      </c>
      <c r="O2394" s="2" t="s">
        <v>23209</v>
      </c>
      <c r="P2394" s="3" t="s">
        <v>69</v>
      </c>
      <c r="R2394" s="3" t="s">
        <v>71</v>
      </c>
      <c r="S2394" s="4">
        <v>45</v>
      </c>
      <c r="T2394" s="4">
        <v>45</v>
      </c>
      <c r="U2394" s="5" t="s">
        <v>13846</v>
      </c>
      <c r="V2394" s="5" t="s">
        <v>13846</v>
      </c>
      <c r="W2394" s="5" t="s">
        <v>72</v>
      </c>
      <c r="X2394" s="5" t="s">
        <v>72</v>
      </c>
      <c r="Y2394" s="4">
        <v>13</v>
      </c>
      <c r="Z2394" s="4">
        <v>2</v>
      </c>
      <c r="AA2394" s="4">
        <v>29</v>
      </c>
      <c r="AB2394" s="4">
        <v>1</v>
      </c>
      <c r="AC2394" s="4">
        <v>4</v>
      </c>
      <c r="AD2394" s="4">
        <v>1</v>
      </c>
      <c r="AE2394" s="4">
        <v>106</v>
      </c>
      <c r="AF2394" s="4">
        <v>0</v>
      </c>
      <c r="AG2394" s="4">
        <v>1</v>
      </c>
      <c r="AH2394" s="4">
        <v>1</v>
      </c>
      <c r="AI2394" s="4">
        <v>94</v>
      </c>
      <c r="AJ2394" s="4">
        <v>0</v>
      </c>
      <c r="AK2394" s="4">
        <v>13</v>
      </c>
      <c r="AL2394" s="4">
        <v>1</v>
      </c>
      <c r="AM2394" s="4">
        <v>53</v>
      </c>
      <c r="AN2394" s="4">
        <v>0</v>
      </c>
      <c r="AO2394" s="4">
        <v>0</v>
      </c>
      <c r="AP2394" s="4">
        <v>0</v>
      </c>
      <c r="AQ2394" s="4">
        <v>15</v>
      </c>
      <c r="AR2394" s="3" t="s">
        <v>65</v>
      </c>
      <c r="AS2394" s="3" t="s">
        <v>65</v>
      </c>
      <c r="AT2394" s="3" t="s">
        <v>65</v>
      </c>
      <c r="AV2394" s="6" t="str">
        <f>HYPERLINK("http://mcgill.on.worldcat.org/oclc/27064650","Catalog Record")</f>
        <v>Catalog Record</v>
      </c>
      <c r="AW2394" s="6" t="str">
        <f>HYPERLINK("http://www.worldcat.org/oclc/27064650","WorldCat Record")</f>
        <v>WorldCat Record</v>
      </c>
      <c r="AX2394" s="3" t="s">
        <v>23516</v>
      </c>
      <c r="AY2394" s="3" t="s">
        <v>23517</v>
      </c>
      <c r="AZ2394" s="3" t="s">
        <v>23518</v>
      </c>
      <c r="BA2394" s="3" t="s">
        <v>23518</v>
      </c>
      <c r="BB2394" s="3" t="s">
        <v>23519</v>
      </c>
      <c r="BC2394" s="3" t="s">
        <v>77</v>
      </c>
      <c r="BD2394" s="3" t="s">
        <v>106</v>
      </c>
      <c r="BF2394" s="3" t="s">
        <v>23519</v>
      </c>
      <c r="BG2394" s="3" t="s">
        <v>23520</v>
      </c>
    </row>
    <row r="2395" spans="1:59" ht="58" x14ac:dyDescent="0.35">
      <c r="A2395" s="2" t="s">
        <v>59</v>
      </c>
      <c r="B2395" s="2" t="s">
        <v>60</v>
      </c>
      <c r="C2395" s="2" t="s">
        <v>23521</v>
      </c>
      <c r="D2395" s="2" t="s">
        <v>23522</v>
      </c>
      <c r="E2395" s="2" t="s">
        <v>23523</v>
      </c>
      <c r="G2395" s="3" t="s">
        <v>65</v>
      </c>
      <c r="I2395" s="3" t="s">
        <v>65</v>
      </c>
      <c r="J2395" s="3" t="s">
        <v>65</v>
      </c>
      <c r="K2395" s="3" t="s">
        <v>66</v>
      </c>
      <c r="L2395" s="2" t="s">
        <v>23029</v>
      </c>
      <c r="M2395" s="2" t="s">
        <v>23524</v>
      </c>
      <c r="N2395" s="3" t="s">
        <v>247</v>
      </c>
      <c r="P2395" s="3" t="s">
        <v>69</v>
      </c>
      <c r="R2395" s="3" t="s">
        <v>71</v>
      </c>
      <c r="S2395" s="4">
        <v>13</v>
      </c>
      <c r="T2395" s="4">
        <v>13</v>
      </c>
      <c r="U2395" s="5" t="s">
        <v>23525</v>
      </c>
      <c r="V2395" s="5" t="s">
        <v>23525</v>
      </c>
      <c r="W2395" s="5" t="s">
        <v>72</v>
      </c>
      <c r="X2395" s="5" t="s">
        <v>72</v>
      </c>
      <c r="Y2395" s="4">
        <v>480</v>
      </c>
      <c r="Z2395" s="4">
        <v>21</v>
      </c>
      <c r="AA2395" s="4">
        <v>32</v>
      </c>
      <c r="AB2395" s="4">
        <v>1</v>
      </c>
      <c r="AC2395" s="4">
        <v>4</v>
      </c>
      <c r="AD2395" s="4">
        <v>96</v>
      </c>
      <c r="AE2395" s="4">
        <v>104</v>
      </c>
      <c r="AF2395" s="4">
        <v>0</v>
      </c>
      <c r="AG2395" s="4">
        <v>0</v>
      </c>
      <c r="AH2395" s="4">
        <v>88</v>
      </c>
      <c r="AI2395" s="4">
        <v>94</v>
      </c>
      <c r="AJ2395" s="4">
        <v>9</v>
      </c>
      <c r="AK2395" s="4">
        <v>13</v>
      </c>
      <c r="AL2395" s="4">
        <v>53</v>
      </c>
      <c r="AM2395" s="4">
        <v>54</v>
      </c>
      <c r="AN2395" s="4">
        <v>0</v>
      </c>
      <c r="AO2395" s="4">
        <v>1</v>
      </c>
      <c r="AP2395" s="4">
        <v>11</v>
      </c>
      <c r="AQ2395" s="4">
        <v>14</v>
      </c>
      <c r="AR2395" s="3" t="s">
        <v>65</v>
      </c>
      <c r="AS2395" s="3" t="s">
        <v>65</v>
      </c>
      <c r="AT2395" s="3" t="s">
        <v>209</v>
      </c>
      <c r="AU2395" s="6" t="str">
        <f>HYPERLINK("http://catalog.hathitrust.org/Record/002732237","HathiTrust Record")</f>
        <v>HathiTrust Record</v>
      </c>
      <c r="AV2395" s="6" t="str">
        <f>HYPERLINK("http://mcgill.on.worldcat.org/oclc/27726785","Catalog Record")</f>
        <v>Catalog Record</v>
      </c>
      <c r="AW2395" s="6" t="str">
        <f>HYPERLINK("http://www.worldcat.org/oclc/27726785","WorldCat Record")</f>
        <v>WorldCat Record</v>
      </c>
      <c r="AX2395" s="3" t="s">
        <v>23526</v>
      </c>
      <c r="AY2395" s="3" t="s">
        <v>23527</v>
      </c>
      <c r="AZ2395" s="3" t="s">
        <v>23528</v>
      </c>
      <c r="BA2395" s="3" t="s">
        <v>23528</v>
      </c>
      <c r="BB2395" s="3" t="s">
        <v>23529</v>
      </c>
      <c r="BC2395" s="3" t="s">
        <v>77</v>
      </c>
      <c r="BD2395" s="3" t="s">
        <v>78</v>
      </c>
      <c r="BE2395" s="3" t="s">
        <v>23530</v>
      </c>
      <c r="BF2395" s="3" t="s">
        <v>23529</v>
      </c>
      <c r="BG2395" s="3" t="s">
        <v>23531</v>
      </c>
    </row>
    <row r="2396" spans="1:59" ht="58" x14ac:dyDescent="0.35">
      <c r="A2396" s="2" t="s">
        <v>59</v>
      </c>
      <c r="B2396" s="2" t="s">
        <v>60</v>
      </c>
      <c r="C2396" s="2" t="s">
        <v>23532</v>
      </c>
      <c r="D2396" s="2" t="s">
        <v>23533</v>
      </c>
      <c r="E2396" s="2" t="s">
        <v>23534</v>
      </c>
      <c r="G2396" s="3" t="s">
        <v>65</v>
      </c>
      <c r="I2396" s="3" t="s">
        <v>65</v>
      </c>
      <c r="J2396" s="3" t="s">
        <v>65</v>
      </c>
      <c r="K2396" s="3" t="s">
        <v>66</v>
      </c>
      <c r="L2396" s="2" t="s">
        <v>23535</v>
      </c>
      <c r="M2396" s="2" t="s">
        <v>641</v>
      </c>
      <c r="N2396" s="3" t="s">
        <v>188</v>
      </c>
      <c r="P2396" s="3" t="s">
        <v>140</v>
      </c>
      <c r="Q2396" s="2" t="s">
        <v>23536</v>
      </c>
      <c r="R2396" s="3" t="s">
        <v>71</v>
      </c>
      <c r="S2396" s="4">
        <v>0</v>
      </c>
      <c r="T2396" s="4">
        <v>0</v>
      </c>
      <c r="W2396" s="5" t="s">
        <v>72</v>
      </c>
      <c r="X2396" s="5" t="s">
        <v>72</v>
      </c>
      <c r="Y2396" s="4">
        <v>46</v>
      </c>
      <c r="Z2396" s="4">
        <v>2</v>
      </c>
      <c r="AA2396" s="4">
        <v>2</v>
      </c>
      <c r="AB2396" s="4">
        <v>1</v>
      </c>
      <c r="AC2396" s="4">
        <v>1</v>
      </c>
      <c r="AD2396" s="4">
        <v>32</v>
      </c>
      <c r="AE2396" s="4">
        <v>32</v>
      </c>
      <c r="AF2396" s="4">
        <v>0</v>
      </c>
      <c r="AG2396" s="4">
        <v>0</v>
      </c>
      <c r="AH2396" s="4">
        <v>31</v>
      </c>
      <c r="AI2396" s="4">
        <v>31</v>
      </c>
      <c r="AJ2396" s="4">
        <v>1</v>
      </c>
      <c r="AK2396" s="4">
        <v>1</v>
      </c>
      <c r="AL2396" s="4">
        <v>22</v>
      </c>
      <c r="AM2396" s="4">
        <v>22</v>
      </c>
      <c r="AN2396" s="4">
        <v>0</v>
      </c>
      <c r="AO2396" s="4">
        <v>0</v>
      </c>
      <c r="AP2396" s="4">
        <v>1</v>
      </c>
      <c r="AQ2396" s="4">
        <v>1</v>
      </c>
      <c r="AR2396" s="3" t="s">
        <v>65</v>
      </c>
      <c r="AS2396" s="3" t="s">
        <v>65</v>
      </c>
      <c r="AT2396" s="3" t="s">
        <v>65</v>
      </c>
      <c r="AV2396" s="6" t="str">
        <f>HYPERLINK("http://mcgill.on.worldcat.org/oclc/992800959","Catalog Record")</f>
        <v>Catalog Record</v>
      </c>
      <c r="AW2396" s="6" t="str">
        <f>HYPERLINK("http://www.worldcat.org/oclc/992800959","WorldCat Record")</f>
        <v>WorldCat Record</v>
      </c>
      <c r="AX2396" s="3" t="s">
        <v>23537</v>
      </c>
      <c r="AY2396" s="3" t="s">
        <v>23538</v>
      </c>
      <c r="AZ2396" s="3" t="s">
        <v>23539</v>
      </c>
      <c r="BA2396" s="3" t="s">
        <v>23539</v>
      </c>
      <c r="BB2396" s="3" t="s">
        <v>23540</v>
      </c>
      <c r="BC2396" s="3" t="s">
        <v>77</v>
      </c>
      <c r="BD2396" s="3" t="s">
        <v>78</v>
      </c>
      <c r="BE2396" s="3" t="s">
        <v>23541</v>
      </c>
      <c r="BF2396" s="3" t="s">
        <v>23540</v>
      </c>
      <c r="BG2396" s="3" t="s">
        <v>23542</v>
      </c>
    </row>
    <row r="2397" spans="1:59" ht="58" x14ac:dyDescent="0.35">
      <c r="A2397" s="2" t="s">
        <v>59</v>
      </c>
      <c r="B2397" s="2" t="s">
        <v>60</v>
      </c>
      <c r="C2397" s="2" t="s">
        <v>23543</v>
      </c>
      <c r="D2397" s="2" t="s">
        <v>23544</v>
      </c>
      <c r="E2397" s="2" t="s">
        <v>23545</v>
      </c>
      <c r="G2397" s="3" t="s">
        <v>65</v>
      </c>
      <c r="I2397" s="3" t="s">
        <v>65</v>
      </c>
      <c r="J2397" s="3" t="s">
        <v>65</v>
      </c>
      <c r="K2397" s="3" t="s">
        <v>66</v>
      </c>
      <c r="L2397" s="2" t="s">
        <v>23029</v>
      </c>
      <c r="M2397" s="2" t="s">
        <v>23546</v>
      </c>
      <c r="N2397" s="3" t="s">
        <v>311</v>
      </c>
      <c r="P2397" s="3" t="s">
        <v>140</v>
      </c>
      <c r="R2397" s="3" t="s">
        <v>71</v>
      </c>
      <c r="S2397" s="4">
        <v>6</v>
      </c>
      <c r="T2397" s="4">
        <v>6</v>
      </c>
      <c r="U2397" s="5" t="s">
        <v>10886</v>
      </c>
      <c r="V2397" s="5" t="s">
        <v>10886</v>
      </c>
      <c r="W2397" s="5" t="s">
        <v>72</v>
      </c>
      <c r="X2397" s="5" t="s">
        <v>72</v>
      </c>
      <c r="Y2397" s="4">
        <v>184</v>
      </c>
      <c r="Z2397" s="4">
        <v>15</v>
      </c>
      <c r="AA2397" s="4">
        <v>22</v>
      </c>
      <c r="AB2397" s="4">
        <v>2</v>
      </c>
      <c r="AC2397" s="4">
        <v>3</v>
      </c>
      <c r="AD2397" s="4">
        <v>65</v>
      </c>
      <c r="AE2397" s="4">
        <v>95</v>
      </c>
      <c r="AF2397" s="4">
        <v>1</v>
      </c>
      <c r="AG2397" s="4">
        <v>2</v>
      </c>
      <c r="AH2397" s="4">
        <v>57</v>
      </c>
      <c r="AI2397" s="4">
        <v>86</v>
      </c>
      <c r="AJ2397" s="4">
        <v>11</v>
      </c>
      <c r="AK2397" s="4">
        <v>16</v>
      </c>
      <c r="AL2397" s="4">
        <v>39</v>
      </c>
      <c r="AM2397" s="4">
        <v>49</v>
      </c>
      <c r="AN2397" s="4">
        <v>0</v>
      </c>
      <c r="AO2397" s="4">
        <v>0</v>
      </c>
      <c r="AP2397" s="4">
        <v>12</v>
      </c>
      <c r="AQ2397" s="4">
        <v>16</v>
      </c>
      <c r="AR2397" s="3" t="s">
        <v>65</v>
      </c>
      <c r="AS2397" s="3" t="s">
        <v>65</v>
      </c>
      <c r="AT2397" s="3" t="s">
        <v>209</v>
      </c>
      <c r="AU2397" s="6" t="str">
        <f>HYPERLINK("http://catalog.hathitrust.org/Record/001218729","HathiTrust Record")</f>
        <v>HathiTrust Record</v>
      </c>
      <c r="AV2397" s="6" t="str">
        <f>HYPERLINK("http://mcgill.on.worldcat.org/oclc/1188212","Catalog Record")</f>
        <v>Catalog Record</v>
      </c>
      <c r="AW2397" s="6" t="str">
        <f>HYPERLINK("http://www.worldcat.org/oclc/1188212","WorldCat Record")</f>
        <v>WorldCat Record</v>
      </c>
      <c r="AX2397" s="3" t="s">
        <v>23547</v>
      </c>
      <c r="AY2397" s="3" t="s">
        <v>23548</v>
      </c>
      <c r="AZ2397" s="3" t="s">
        <v>23549</v>
      </c>
      <c r="BA2397" s="3" t="s">
        <v>23549</v>
      </c>
      <c r="BB2397" s="3" t="s">
        <v>23550</v>
      </c>
      <c r="BC2397" s="3" t="s">
        <v>77</v>
      </c>
      <c r="BD2397" s="3" t="s">
        <v>78</v>
      </c>
      <c r="BF2397" s="3" t="s">
        <v>23550</v>
      </c>
      <c r="BG2397" s="3" t="s">
        <v>23551</v>
      </c>
    </row>
    <row r="2398" spans="1:59" ht="58" x14ac:dyDescent="0.35">
      <c r="A2398" s="2" t="s">
        <v>59</v>
      </c>
      <c r="B2398" s="2" t="s">
        <v>60</v>
      </c>
      <c r="C2398" s="2" t="s">
        <v>23552</v>
      </c>
      <c r="D2398" s="2" t="s">
        <v>23553</v>
      </c>
      <c r="E2398" s="2" t="s">
        <v>23554</v>
      </c>
      <c r="G2398" s="3" t="s">
        <v>65</v>
      </c>
      <c r="I2398" s="3" t="s">
        <v>65</v>
      </c>
      <c r="J2398" s="3" t="s">
        <v>65</v>
      </c>
      <c r="K2398" s="3" t="s">
        <v>66</v>
      </c>
      <c r="L2398" s="2" t="s">
        <v>23029</v>
      </c>
      <c r="M2398" s="2" t="s">
        <v>20987</v>
      </c>
      <c r="N2398" s="3" t="s">
        <v>1151</v>
      </c>
      <c r="P2398" s="3" t="s">
        <v>140</v>
      </c>
      <c r="Q2398" s="2" t="s">
        <v>23555</v>
      </c>
      <c r="R2398" s="3" t="s">
        <v>71</v>
      </c>
      <c r="S2398" s="4">
        <v>10</v>
      </c>
      <c r="T2398" s="4">
        <v>10</v>
      </c>
      <c r="U2398" s="5" t="s">
        <v>13198</v>
      </c>
      <c r="V2398" s="5" t="s">
        <v>13198</v>
      </c>
      <c r="W2398" s="5" t="s">
        <v>72</v>
      </c>
      <c r="X2398" s="5" t="s">
        <v>72</v>
      </c>
      <c r="Y2398" s="4">
        <v>74</v>
      </c>
      <c r="Z2398" s="4">
        <v>1</v>
      </c>
      <c r="AA2398" s="4">
        <v>19</v>
      </c>
      <c r="AB2398" s="4">
        <v>1</v>
      </c>
      <c r="AC2398" s="4">
        <v>4</v>
      </c>
      <c r="AD2398" s="4">
        <v>30</v>
      </c>
      <c r="AE2398" s="4">
        <v>87</v>
      </c>
      <c r="AF2398" s="4">
        <v>0</v>
      </c>
      <c r="AG2398" s="4">
        <v>2</v>
      </c>
      <c r="AH2398" s="4">
        <v>28</v>
      </c>
      <c r="AI2398" s="4">
        <v>79</v>
      </c>
      <c r="AJ2398" s="4">
        <v>0</v>
      </c>
      <c r="AK2398" s="4">
        <v>13</v>
      </c>
      <c r="AL2398" s="4">
        <v>18</v>
      </c>
      <c r="AM2398" s="4">
        <v>48</v>
      </c>
      <c r="AN2398" s="4">
        <v>0</v>
      </c>
      <c r="AO2398" s="4">
        <v>3</v>
      </c>
      <c r="AP2398" s="4">
        <v>0</v>
      </c>
      <c r="AQ2398" s="4">
        <v>13</v>
      </c>
      <c r="AR2398" s="3" t="s">
        <v>65</v>
      </c>
      <c r="AS2398" s="3" t="s">
        <v>65</v>
      </c>
      <c r="AT2398" s="3" t="s">
        <v>65</v>
      </c>
      <c r="AV2398" s="6" t="str">
        <f>HYPERLINK("http://mcgill.on.worldcat.org/oclc/3263735","Catalog Record")</f>
        <v>Catalog Record</v>
      </c>
      <c r="AW2398" s="6" t="str">
        <f>HYPERLINK("http://www.worldcat.org/oclc/3263735","WorldCat Record")</f>
        <v>WorldCat Record</v>
      </c>
      <c r="AX2398" s="3" t="s">
        <v>23556</v>
      </c>
      <c r="AY2398" s="3" t="s">
        <v>23557</v>
      </c>
      <c r="AZ2398" s="3" t="s">
        <v>23558</v>
      </c>
      <c r="BA2398" s="3" t="s">
        <v>23558</v>
      </c>
      <c r="BB2398" s="3" t="s">
        <v>23559</v>
      </c>
      <c r="BC2398" s="3" t="s">
        <v>77</v>
      </c>
      <c r="BD2398" s="3" t="s">
        <v>78</v>
      </c>
      <c r="BE2398" s="3" t="s">
        <v>23560</v>
      </c>
      <c r="BF2398" s="3" t="s">
        <v>23559</v>
      </c>
      <c r="BG2398" s="3" t="s">
        <v>23561</v>
      </c>
    </row>
    <row r="2399" spans="1:59" ht="58" x14ac:dyDescent="0.35">
      <c r="A2399" s="2" t="s">
        <v>59</v>
      </c>
      <c r="B2399" s="2" t="s">
        <v>60</v>
      </c>
      <c r="C2399" s="2" t="s">
        <v>23562</v>
      </c>
      <c r="D2399" s="2" t="s">
        <v>23563</v>
      </c>
      <c r="E2399" s="2" t="s">
        <v>23564</v>
      </c>
      <c r="G2399" s="3" t="s">
        <v>65</v>
      </c>
      <c r="I2399" s="3" t="s">
        <v>65</v>
      </c>
      <c r="J2399" s="3" t="s">
        <v>65</v>
      </c>
      <c r="K2399" s="3" t="s">
        <v>66</v>
      </c>
      <c r="L2399" s="2" t="s">
        <v>23029</v>
      </c>
      <c r="M2399" s="2" t="s">
        <v>23565</v>
      </c>
      <c r="N2399" s="3" t="s">
        <v>139</v>
      </c>
      <c r="O2399" s="2" t="s">
        <v>379</v>
      </c>
      <c r="P2399" s="3" t="s">
        <v>140</v>
      </c>
      <c r="Q2399" s="2" t="s">
        <v>23566</v>
      </c>
      <c r="R2399" s="3" t="s">
        <v>71</v>
      </c>
      <c r="S2399" s="4">
        <v>2</v>
      </c>
      <c r="T2399" s="4">
        <v>2</v>
      </c>
      <c r="U2399" s="5" t="s">
        <v>23567</v>
      </c>
      <c r="V2399" s="5" t="s">
        <v>23567</v>
      </c>
      <c r="W2399" s="5" t="s">
        <v>72</v>
      </c>
      <c r="X2399" s="5" t="s">
        <v>72</v>
      </c>
      <c r="Y2399" s="4">
        <v>24</v>
      </c>
      <c r="Z2399" s="4">
        <v>1</v>
      </c>
      <c r="AA2399" s="4">
        <v>7</v>
      </c>
      <c r="AB2399" s="4">
        <v>1</v>
      </c>
      <c r="AC2399" s="4">
        <v>1</v>
      </c>
      <c r="AD2399" s="4">
        <v>14</v>
      </c>
      <c r="AE2399" s="4">
        <v>50</v>
      </c>
      <c r="AF2399" s="4">
        <v>0</v>
      </c>
      <c r="AG2399" s="4">
        <v>0</v>
      </c>
      <c r="AH2399" s="4">
        <v>14</v>
      </c>
      <c r="AI2399" s="4">
        <v>49</v>
      </c>
      <c r="AJ2399" s="4">
        <v>0</v>
      </c>
      <c r="AK2399" s="4">
        <v>5</v>
      </c>
      <c r="AL2399" s="4">
        <v>11</v>
      </c>
      <c r="AM2399" s="4">
        <v>36</v>
      </c>
      <c r="AN2399" s="4">
        <v>0</v>
      </c>
      <c r="AO2399" s="4">
        <v>0</v>
      </c>
      <c r="AP2399" s="4">
        <v>0</v>
      </c>
      <c r="AQ2399" s="4">
        <v>5</v>
      </c>
      <c r="AR2399" s="3" t="s">
        <v>65</v>
      </c>
      <c r="AS2399" s="3" t="s">
        <v>65</v>
      </c>
      <c r="AT2399" s="3" t="s">
        <v>65</v>
      </c>
      <c r="AV2399" s="6" t="str">
        <f>HYPERLINK("http://mcgill.on.worldcat.org/oclc/802322752","Catalog Record")</f>
        <v>Catalog Record</v>
      </c>
      <c r="AW2399" s="6" t="str">
        <f>HYPERLINK("http://www.worldcat.org/oclc/802322752","WorldCat Record")</f>
        <v>WorldCat Record</v>
      </c>
      <c r="AX2399" s="3" t="s">
        <v>23568</v>
      </c>
      <c r="AY2399" s="3" t="s">
        <v>23569</v>
      </c>
      <c r="AZ2399" s="3" t="s">
        <v>23570</v>
      </c>
      <c r="BA2399" s="3" t="s">
        <v>23570</v>
      </c>
      <c r="BB2399" s="3" t="s">
        <v>23571</v>
      </c>
      <c r="BC2399" s="3" t="s">
        <v>77</v>
      </c>
      <c r="BD2399" s="3" t="s">
        <v>78</v>
      </c>
      <c r="BE2399" s="3" t="s">
        <v>23572</v>
      </c>
      <c r="BF2399" s="3" t="s">
        <v>23571</v>
      </c>
      <c r="BG2399" s="3" t="s">
        <v>23573</v>
      </c>
    </row>
    <row r="2400" spans="1:59" ht="58" x14ac:dyDescent="0.35">
      <c r="A2400" s="2" t="s">
        <v>59</v>
      </c>
      <c r="B2400" s="2" t="s">
        <v>60</v>
      </c>
      <c r="C2400" s="2" t="s">
        <v>23574</v>
      </c>
      <c r="D2400" s="2" t="s">
        <v>23575</v>
      </c>
      <c r="E2400" s="2" t="s">
        <v>23576</v>
      </c>
      <c r="G2400" s="3" t="s">
        <v>65</v>
      </c>
      <c r="I2400" s="3" t="s">
        <v>65</v>
      </c>
      <c r="J2400" s="3" t="s">
        <v>65</v>
      </c>
      <c r="K2400" s="3" t="s">
        <v>66</v>
      </c>
      <c r="M2400" s="2" t="s">
        <v>21451</v>
      </c>
      <c r="N2400" s="3" t="s">
        <v>1032</v>
      </c>
      <c r="O2400" s="2" t="s">
        <v>6616</v>
      </c>
      <c r="P2400" s="3" t="s">
        <v>140</v>
      </c>
      <c r="Q2400" s="2" t="s">
        <v>6617</v>
      </c>
      <c r="R2400" s="3" t="s">
        <v>71</v>
      </c>
      <c r="S2400" s="4">
        <v>11</v>
      </c>
      <c r="T2400" s="4">
        <v>11</v>
      </c>
      <c r="U2400" s="5" t="s">
        <v>16593</v>
      </c>
      <c r="V2400" s="5" t="s">
        <v>16593</v>
      </c>
      <c r="W2400" s="5" t="s">
        <v>72</v>
      </c>
      <c r="X2400" s="5" t="s">
        <v>72</v>
      </c>
      <c r="Y2400" s="4">
        <v>93</v>
      </c>
      <c r="Z2400" s="4">
        <v>6</v>
      </c>
      <c r="AA2400" s="4">
        <v>7</v>
      </c>
      <c r="AB2400" s="4">
        <v>1</v>
      </c>
      <c r="AC2400" s="4">
        <v>1</v>
      </c>
      <c r="AD2400" s="4">
        <v>49</v>
      </c>
      <c r="AE2400" s="4">
        <v>52</v>
      </c>
      <c r="AF2400" s="4">
        <v>0</v>
      </c>
      <c r="AG2400" s="4">
        <v>0</v>
      </c>
      <c r="AH2400" s="4">
        <v>48</v>
      </c>
      <c r="AI2400" s="4">
        <v>51</v>
      </c>
      <c r="AJ2400" s="4">
        <v>4</v>
      </c>
      <c r="AK2400" s="4">
        <v>4</v>
      </c>
      <c r="AL2400" s="4">
        <v>38</v>
      </c>
      <c r="AM2400" s="4">
        <v>40</v>
      </c>
      <c r="AN2400" s="4">
        <v>0</v>
      </c>
      <c r="AO2400" s="4">
        <v>2</v>
      </c>
      <c r="AP2400" s="4">
        <v>4</v>
      </c>
      <c r="AQ2400" s="4">
        <v>4</v>
      </c>
      <c r="AR2400" s="3" t="s">
        <v>65</v>
      </c>
      <c r="AS2400" s="3" t="s">
        <v>65</v>
      </c>
      <c r="AT2400" s="3" t="s">
        <v>65</v>
      </c>
      <c r="AV2400" s="6" t="str">
        <f>HYPERLINK("http://mcgill.on.worldcat.org/oclc/35397944","Catalog Record")</f>
        <v>Catalog Record</v>
      </c>
      <c r="AW2400" s="6" t="str">
        <f>HYPERLINK("http://www.worldcat.org/oclc/35397944","WorldCat Record")</f>
        <v>WorldCat Record</v>
      </c>
      <c r="AX2400" s="3" t="s">
        <v>23577</v>
      </c>
      <c r="AY2400" s="3" t="s">
        <v>23578</v>
      </c>
      <c r="AZ2400" s="3" t="s">
        <v>23579</v>
      </c>
      <c r="BA2400" s="3" t="s">
        <v>23579</v>
      </c>
      <c r="BB2400" s="3" t="s">
        <v>23580</v>
      </c>
      <c r="BC2400" s="3" t="s">
        <v>77</v>
      </c>
      <c r="BD2400" s="3" t="s">
        <v>78</v>
      </c>
      <c r="BE2400" s="3" t="s">
        <v>23581</v>
      </c>
      <c r="BF2400" s="3" t="s">
        <v>23580</v>
      </c>
      <c r="BG2400" s="3" t="s">
        <v>23582</v>
      </c>
    </row>
    <row r="2401" spans="1:59" ht="58" x14ac:dyDescent="0.35">
      <c r="A2401" s="2" t="s">
        <v>59</v>
      </c>
      <c r="B2401" s="2" t="s">
        <v>60</v>
      </c>
      <c r="C2401" s="2" t="s">
        <v>23583</v>
      </c>
      <c r="D2401" s="2" t="s">
        <v>23584</v>
      </c>
      <c r="E2401" s="2" t="s">
        <v>23585</v>
      </c>
      <c r="G2401" s="3" t="s">
        <v>65</v>
      </c>
      <c r="I2401" s="3" t="s">
        <v>65</v>
      </c>
      <c r="J2401" s="3" t="s">
        <v>65</v>
      </c>
      <c r="K2401" s="3" t="s">
        <v>66</v>
      </c>
      <c r="L2401" s="2" t="s">
        <v>23029</v>
      </c>
      <c r="M2401" s="2" t="s">
        <v>23586</v>
      </c>
      <c r="N2401" s="3" t="s">
        <v>1932</v>
      </c>
      <c r="O2401" s="2" t="s">
        <v>365</v>
      </c>
      <c r="P2401" s="3" t="s">
        <v>140</v>
      </c>
      <c r="Q2401" s="2" t="s">
        <v>23188</v>
      </c>
      <c r="R2401" s="3" t="s">
        <v>71</v>
      </c>
      <c r="S2401" s="4">
        <v>4</v>
      </c>
      <c r="T2401" s="4">
        <v>4</v>
      </c>
      <c r="U2401" s="5" t="s">
        <v>10454</v>
      </c>
      <c r="V2401" s="5" t="s">
        <v>10454</v>
      </c>
      <c r="W2401" s="5" t="s">
        <v>72</v>
      </c>
      <c r="X2401" s="5" t="s">
        <v>72</v>
      </c>
      <c r="Y2401" s="4">
        <v>138</v>
      </c>
      <c r="Z2401" s="4">
        <v>8</v>
      </c>
      <c r="AA2401" s="4">
        <v>9</v>
      </c>
      <c r="AB2401" s="4">
        <v>1</v>
      </c>
      <c r="AC2401" s="4">
        <v>1</v>
      </c>
      <c r="AD2401" s="4">
        <v>57</v>
      </c>
      <c r="AE2401" s="4">
        <v>60</v>
      </c>
      <c r="AF2401" s="4">
        <v>0</v>
      </c>
      <c r="AG2401" s="4">
        <v>0</v>
      </c>
      <c r="AH2401" s="4">
        <v>55</v>
      </c>
      <c r="AI2401" s="4">
        <v>57</v>
      </c>
      <c r="AJ2401" s="4">
        <v>6</v>
      </c>
      <c r="AK2401" s="4">
        <v>7</v>
      </c>
      <c r="AL2401" s="4">
        <v>40</v>
      </c>
      <c r="AM2401" s="4">
        <v>40</v>
      </c>
      <c r="AN2401" s="4">
        <v>0</v>
      </c>
      <c r="AO2401" s="4">
        <v>0</v>
      </c>
      <c r="AP2401" s="4">
        <v>6</v>
      </c>
      <c r="AQ2401" s="4">
        <v>7</v>
      </c>
      <c r="AR2401" s="3" t="s">
        <v>65</v>
      </c>
      <c r="AS2401" s="3" t="s">
        <v>65</v>
      </c>
      <c r="AT2401" s="3" t="s">
        <v>209</v>
      </c>
      <c r="AU2401" s="6" t="str">
        <f>HYPERLINK("http://catalog.hathitrust.org/Record/002973478","HathiTrust Record")</f>
        <v>HathiTrust Record</v>
      </c>
      <c r="AV2401" s="6" t="str">
        <f>HYPERLINK("http://mcgill.on.worldcat.org/oclc/32182468","Catalog Record")</f>
        <v>Catalog Record</v>
      </c>
      <c r="AW2401" s="6" t="str">
        <f>HYPERLINK("http://www.worldcat.org/oclc/32182468","WorldCat Record")</f>
        <v>WorldCat Record</v>
      </c>
      <c r="AX2401" s="3" t="s">
        <v>23587</v>
      </c>
      <c r="AY2401" s="3" t="s">
        <v>23588</v>
      </c>
      <c r="AZ2401" s="3" t="s">
        <v>23589</v>
      </c>
      <c r="BA2401" s="3" t="s">
        <v>23589</v>
      </c>
      <c r="BB2401" s="3" t="s">
        <v>23590</v>
      </c>
      <c r="BC2401" s="3" t="s">
        <v>77</v>
      </c>
      <c r="BD2401" s="3" t="s">
        <v>78</v>
      </c>
      <c r="BE2401" s="3" t="s">
        <v>23591</v>
      </c>
      <c r="BF2401" s="3" t="s">
        <v>23590</v>
      </c>
      <c r="BG2401" s="3" t="s">
        <v>23592</v>
      </c>
    </row>
    <row r="2402" spans="1:59" ht="72.5" x14ac:dyDescent="0.35">
      <c r="A2402" s="2" t="s">
        <v>59</v>
      </c>
      <c r="B2402" s="2" t="s">
        <v>60</v>
      </c>
      <c r="C2402" s="2" t="s">
        <v>23593</v>
      </c>
      <c r="D2402" s="2" t="s">
        <v>23594</v>
      </c>
      <c r="E2402" s="2" t="s">
        <v>23595</v>
      </c>
      <c r="G2402" s="3" t="s">
        <v>65</v>
      </c>
      <c r="I2402" s="3" t="s">
        <v>65</v>
      </c>
      <c r="J2402" s="3" t="s">
        <v>65</v>
      </c>
      <c r="K2402" s="3" t="s">
        <v>66</v>
      </c>
      <c r="L2402" s="2" t="s">
        <v>23029</v>
      </c>
      <c r="M2402" s="2" t="s">
        <v>23596</v>
      </c>
      <c r="N2402" s="3" t="s">
        <v>1967</v>
      </c>
      <c r="P2402" s="3" t="s">
        <v>69</v>
      </c>
      <c r="R2402" s="3" t="s">
        <v>71</v>
      </c>
      <c r="S2402" s="4">
        <v>12</v>
      </c>
      <c r="T2402" s="4">
        <v>12</v>
      </c>
      <c r="U2402" s="5" t="s">
        <v>982</v>
      </c>
      <c r="V2402" s="5" t="s">
        <v>982</v>
      </c>
      <c r="W2402" s="5" t="s">
        <v>72</v>
      </c>
      <c r="X2402" s="5" t="s">
        <v>72</v>
      </c>
      <c r="Y2402" s="4">
        <v>91</v>
      </c>
      <c r="Z2402" s="4">
        <v>8</v>
      </c>
      <c r="AA2402" s="4">
        <v>28</v>
      </c>
      <c r="AB2402" s="4">
        <v>1</v>
      </c>
      <c r="AC2402" s="4">
        <v>4</v>
      </c>
      <c r="AD2402" s="4">
        <v>22</v>
      </c>
      <c r="AE2402" s="4">
        <v>105</v>
      </c>
      <c r="AF2402" s="4">
        <v>0</v>
      </c>
      <c r="AG2402" s="4">
        <v>0</v>
      </c>
      <c r="AH2402" s="4">
        <v>20</v>
      </c>
      <c r="AI2402" s="4">
        <v>98</v>
      </c>
      <c r="AJ2402" s="4">
        <v>5</v>
      </c>
      <c r="AK2402" s="4">
        <v>11</v>
      </c>
      <c r="AL2402" s="4">
        <v>18</v>
      </c>
      <c r="AM2402" s="4">
        <v>56</v>
      </c>
      <c r="AN2402" s="4">
        <v>0</v>
      </c>
      <c r="AO2402" s="4">
        <v>0</v>
      </c>
      <c r="AP2402" s="4">
        <v>5</v>
      </c>
      <c r="AQ2402" s="4">
        <v>11</v>
      </c>
      <c r="AR2402" s="3" t="s">
        <v>65</v>
      </c>
      <c r="AS2402" s="3" t="s">
        <v>65</v>
      </c>
      <c r="AT2402" s="3" t="s">
        <v>209</v>
      </c>
      <c r="AU2402" s="6" t="str">
        <f>HYPERLINK("http://catalog.hathitrust.org/Record/004307270","HathiTrust Record")</f>
        <v>HathiTrust Record</v>
      </c>
      <c r="AV2402" s="6" t="str">
        <f>HYPERLINK("http://mcgill.on.worldcat.org/oclc/50494371","Catalog Record")</f>
        <v>Catalog Record</v>
      </c>
      <c r="AW2402" s="6" t="str">
        <f>HYPERLINK("http://www.worldcat.org/oclc/50494371","WorldCat Record")</f>
        <v>WorldCat Record</v>
      </c>
      <c r="AX2402" s="3" t="s">
        <v>23597</v>
      </c>
      <c r="AY2402" s="3" t="s">
        <v>23598</v>
      </c>
      <c r="AZ2402" s="3" t="s">
        <v>23599</v>
      </c>
      <c r="BA2402" s="3" t="s">
        <v>23599</v>
      </c>
      <c r="BB2402" s="3" t="s">
        <v>23600</v>
      </c>
      <c r="BC2402" s="3" t="s">
        <v>77</v>
      </c>
      <c r="BD2402" s="3" t="s">
        <v>78</v>
      </c>
      <c r="BE2402" s="3" t="s">
        <v>23601</v>
      </c>
      <c r="BF2402" s="3" t="s">
        <v>23600</v>
      </c>
      <c r="BG2402" s="3" t="s">
        <v>23602</v>
      </c>
    </row>
    <row r="2403" spans="1:59" ht="58" x14ac:dyDescent="0.35">
      <c r="A2403" s="2" t="s">
        <v>59</v>
      </c>
      <c r="B2403" s="2" t="s">
        <v>60</v>
      </c>
      <c r="C2403" s="2" t="s">
        <v>23603</v>
      </c>
      <c r="D2403" s="2" t="s">
        <v>23604</v>
      </c>
      <c r="E2403" s="2" t="s">
        <v>23605</v>
      </c>
      <c r="G2403" s="3" t="s">
        <v>65</v>
      </c>
      <c r="I2403" s="3" t="s">
        <v>65</v>
      </c>
      <c r="J2403" s="3" t="s">
        <v>65</v>
      </c>
      <c r="K2403" s="3" t="s">
        <v>66</v>
      </c>
      <c r="L2403" s="2" t="s">
        <v>23029</v>
      </c>
      <c r="M2403" s="2" t="s">
        <v>23606</v>
      </c>
      <c r="N2403" s="3" t="s">
        <v>770</v>
      </c>
      <c r="O2403" s="2" t="s">
        <v>23607</v>
      </c>
      <c r="P2403" s="3" t="s">
        <v>140</v>
      </c>
      <c r="R2403" s="3" t="s">
        <v>71</v>
      </c>
      <c r="S2403" s="4">
        <v>5</v>
      </c>
      <c r="T2403" s="4">
        <v>5</v>
      </c>
      <c r="U2403" s="5" t="s">
        <v>23608</v>
      </c>
      <c r="V2403" s="5" t="s">
        <v>23608</v>
      </c>
      <c r="W2403" s="5" t="s">
        <v>72</v>
      </c>
      <c r="X2403" s="5" t="s">
        <v>72</v>
      </c>
      <c r="Y2403" s="4">
        <v>133</v>
      </c>
      <c r="Z2403" s="4">
        <v>8</v>
      </c>
      <c r="AA2403" s="4">
        <v>9</v>
      </c>
      <c r="AB2403" s="4">
        <v>1</v>
      </c>
      <c r="AC2403" s="4">
        <v>2</v>
      </c>
      <c r="AD2403" s="4">
        <v>57</v>
      </c>
      <c r="AE2403" s="4">
        <v>58</v>
      </c>
      <c r="AF2403" s="4">
        <v>0</v>
      </c>
      <c r="AG2403" s="4">
        <v>1</v>
      </c>
      <c r="AH2403" s="4">
        <v>55</v>
      </c>
      <c r="AI2403" s="4">
        <v>55</v>
      </c>
      <c r="AJ2403" s="4">
        <v>6</v>
      </c>
      <c r="AK2403" s="4">
        <v>7</v>
      </c>
      <c r="AL2403" s="4">
        <v>38</v>
      </c>
      <c r="AM2403" s="4">
        <v>38</v>
      </c>
      <c r="AN2403" s="4">
        <v>0</v>
      </c>
      <c r="AO2403" s="4">
        <v>0</v>
      </c>
      <c r="AP2403" s="4">
        <v>6</v>
      </c>
      <c r="AQ2403" s="4">
        <v>6</v>
      </c>
      <c r="AR2403" s="3" t="s">
        <v>65</v>
      </c>
      <c r="AS2403" s="3" t="s">
        <v>65</v>
      </c>
      <c r="AT2403" s="3" t="s">
        <v>209</v>
      </c>
      <c r="AU2403" s="6" t="str">
        <f>HYPERLINK("http://catalog.hathitrust.org/Record/002497795","HathiTrust Record")</f>
        <v>HathiTrust Record</v>
      </c>
      <c r="AV2403" s="6" t="str">
        <f>HYPERLINK("http://mcgill.on.worldcat.org/oclc/24254527","Catalog Record")</f>
        <v>Catalog Record</v>
      </c>
      <c r="AW2403" s="6" t="str">
        <f>HYPERLINK("http://www.worldcat.org/oclc/24254527","WorldCat Record")</f>
        <v>WorldCat Record</v>
      </c>
      <c r="AX2403" s="3" t="s">
        <v>23609</v>
      </c>
      <c r="AY2403" s="3" t="s">
        <v>23610</v>
      </c>
      <c r="AZ2403" s="3" t="s">
        <v>23611</v>
      </c>
      <c r="BA2403" s="3" t="s">
        <v>23611</v>
      </c>
      <c r="BB2403" s="3" t="s">
        <v>23612</v>
      </c>
      <c r="BC2403" s="3" t="s">
        <v>77</v>
      </c>
      <c r="BD2403" s="3" t="s">
        <v>78</v>
      </c>
      <c r="BE2403" s="3" t="s">
        <v>23613</v>
      </c>
      <c r="BF2403" s="3" t="s">
        <v>23612</v>
      </c>
      <c r="BG2403" s="3" t="s">
        <v>23614</v>
      </c>
    </row>
    <row r="2404" spans="1:59" ht="58" x14ac:dyDescent="0.35">
      <c r="A2404" s="2" t="s">
        <v>59</v>
      </c>
      <c r="B2404" s="2" t="s">
        <v>60</v>
      </c>
      <c r="C2404" s="2" t="s">
        <v>23615</v>
      </c>
      <c r="D2404" s="2" t="s">
        <v>23616</v>
      </c>
      <c r="E2404" s="2" t="s">
        <v>23617</v>
      </c>
      <c r="G2404" s="3" t="s">
        <v>65</v>
      </c>
      <c r="I2404" s="3" t="s">
        <v>65</v>
      </c>
      <c r="J2404" s="3" t="s">
        <v>65</v>
      </c>
      <c r="K2404" s="3" t="s">
        <v>66</v>
      </c>
      <c r="L2404" s="2" t="s">
        <v>23029</v>
      </c>
      <c r="M2404" s="2" t="s">
        <v>23618</v>
      </c>
      <c r="N2404" s="3" t="s">
        <v>1944</v>
      </c>
      <c r="O2404" s="2" t="s">
        <v>365</v>
      </c>
      <c r="P2404" s="3" t="s">
        <v>140</v>
      </c>
      <c r="Q2404" s="2" t="s">
        <v>6617</v>
      </c>
      <c r="R2404" s="3" t="s">
        <v>71</v>
      </c>
      <c r="S2404" s="4">
        <v>3</v>
      </c>
      <c r="T2404" s="4">
        <v>3</v>
      </c>
      <c r="U2404" s="5" t="s">
        <v>16593</v>
      </c>
      <c r="V2404" s="5" t="s">
        <v>16593</v>
      </c>
      <c r="W2404" s="5" t="s">
        <v>72</v>
      </c>
      <c r="X2404" s="5" t="s">
        <v>72</v>
      </c>
      <c r="Y2404" s="4">
        <v>106</v>
      </c>
      <c r="Z2404" s="4">
        <v>6</v>
      </c>
      <c r="AA2404" s="4">
        <v>6</v>
      </c>
      <c r="AB2404" s="4">
        <v>2</v>
      </c>
      <c r="AC2404" s="4">
        <v>2</v>
      </c>
      <c r="AD2404" s="4">
        <v>53</v>
      </c>
      <c r="AE2404" s="4">
        <v>64</v>
      </c>
      <c r="AF2404" s="4">
        <v>1</v>
      </c>
      <c r="AG2404" s="4">
        <v>1</v>
      </c>
      <c r="AH2404" s="4">
        <v>48</v>
      </c>
      <c r="AI2404" s="4">
        <v>59</v>
      </c>
      <c r="AJ2404" s="4">
        <v>4</v>
      </c>
      <c r="AK2404" s="4">
        <v>4</v>
      </c>
      <c r="AL2404" s="4">
        <v>41</v>
      </c>
      <c r="AM2404" s="4">
        <v>49</v>
      </c>
      <c r="AN2404" s="4">
        <v>0</v>
      </c>
      <c r="AO2404" s="4">
        <v>0</v>
      </c>
      <c r="AP2404" s="4">
        <v>4</v>
      </c>
      <c r="AQ2404" s="4">
        <v>4</v>
      </c>
      <c r="AR2404" s="3" t="s">
        <v>65</v>
      </c>
      <c r="AS2404" s="3" t="s">
        <v>65</v>
      </c>
      <c r="AT2404" s="3" t="s">
        <v>209</v>
      </c>
      <c r="AU2404" s="6" t="str">
        <f>HYPERLINK("http://catalog.hathitrust.org/Record/004136852","HathiTrust Record")</f>
        <v>HathiTrust Record</v>
      </c>
      <c r="AV2404" s="6" t="str">
        <f>HYPERLINK("http://mcgill.on.worldcat.org/oclc/46364894","Catalog Record")</f>
        <v>Catalog Record</v>
      </c>
      <c r="AW2404" s="6" t="str">
        <f>HYPERLINK("http://www.worldcat.org/oclc/46364894","WorldCat Record")</f>
        <v>WorldCat Record</v>
      </c>
      <c r="AX2404" s="3" t="s">
        <v>23619</v>
      </c>
      <c r="AY2404" s="3" t="s">
        <v>23620</v>
      </c>
      <c r="AZ2404" s="3" t="s">
        <v>23621</v>
      </c>
      <c r="BA2404" s="3" t="s">
        <v>23621</v>
      </c>
      <c r="BB2404" s="3" t="s">
        <v>23622</v>
      </c>
      <c r="BC2404" s="3" t="s">
        <v>77</v>
      </c>
      <c r="BD2404" s="3" t="s">
        <v>78</v>
      </c>
      <c r="BE2404" s="3" t="s">
        <v>23623</v>
      </c>
      <c r="BF2404" s="3" t="s">
        <v>23622</v>
      </c>
      <c r="BG2404" s="3" t="s">
        <v>23624</v>
      </c>
    </row>
    <row r="2405" spans="1:59" ht="58" x14ac:dyDescent="0.35">
      <c r="A2405" s="2" t="s">
        <v>59</v>
      </c>
      <c r="B2405" s="2" t="s">
        <v>60</v>
      </c>
      <c r="C2405" s="2" t="s">
        <v>23625</v>
      </c>
      <c r="D2405" s="2" t="s">
        <v>23626</v>
      </c>
      <c r="E2405" s="2" t="s">
        <v>23627</v>
      </c>
      <c r="G2405" s="3" t="s">
        <v>65</v>
      </c>
      <c r="I2405" s="3" t="s">
        <v>65</v>
      </c>
      <c r="J2405" s="3" t="s">
        <v>65</v>
      </c>
      <c r="K2405" s="3" t="s">
        <v>66</v>
      </c>
      <c r="L2405" s="2" t="s">
        <v>23029</v>
      </c>
      <c r="M2405" s="2" t="s">
        <v>23628</v>
      </c>
      <c r="N2405" s="3" t="s">
        <v>152</v>
      </c>
      <c r="P2405" s="3" t="s">
        <v>69</v>
      </c>
      <c r="R2405" s="3" t="s">
        <v>71</v>
      </c>
      <c r="S2405" s="4">
        <v>0</v>
      </c>
      <c r="T2405" s="4">
        <v>0</v>
      </c>
      <c r="W2405" s="5" t="s">
        <v>72</v>
      </c>
      <c r="X2405" s="5" t="s">
        <v>72</v>
      </c>
      <c r="Y2405" s="4">
        <v>329</v>
      </c>
      <c r="Z2405" s="4">
        <v>19</v>
      </c>
      <c r="AA2405" s="4">
        <v>45</v>
      </c>
      <c r="AB2405" s="4">
        <v>1</v>
      </c>
      <c r="AC2405" s="4">
        <v>6</v>
      </c>
      <c r="AD2405" s="4">
        <v>72</v>
      </c>
      <c r="AE2405" s="4">
        <v>99</v>
      </c>
      <c r="AF2405" s="4">
        <v>0</v>
      </c>
      <c r="AG2405" s="4">
        <v>1</v>
      </c>
      <c r="AH2405" s="4">
        <v>65</v>
      </c>
      <c r="AI2405" s="4">
        <v>84</v>
      </c>
      <c r="AJ2405" s="4">
        <v>8</v>
      </c>
      <c r="AK2405" s="4">
        <v>14</v>
      </c>
      <c r="AL2405" s="4">
        <v>43</v>
      </c>
      <c r="AM2405" s="4">
        <v>50</v>
      </c>
      <c r="AN2405" s="4">
        <v>0</v>
      </c>
      <c r="AO2405" s="4">
        <v>0</v>
      </c>
      <c r="AP2405" s="4">
        <v>11</v>
      </c>
      <c r="AQ2405" s="4">
        <v>22</v>
      </c>
      <c r="AR2405" s="3" t="s">
        <v>65</v>
      </c>
      <c r="AS2405" s="3" t="s">
        <v>65</v>
      </c>
      <c r="AT2405" s="3" t="s">
        <v>65</v>
      </c>
      <c r="AV2405" s="6" t="str">
        <f>HYPERLINK("http://mcgill.on.worldcat.org/oclc/814389686","Catalog Record")</f>
        <v>Catalog Record</v>
      </c>
      <c r="AW2405" s="6" t="str">
        <f>HYPERLINK("http://www.worldcat.org/oclc/814389686","WorldCat Record")</f>
        <v>WorldCat Record</v>
      </c>
      <c r="AX2405" s="3" t="s">
        <v>23629</v>
      </c>
      <c r="AY2405" s="3" t="s">
        <v>23630</v>
      </c>
      <c r="AZ2405" s="3" t="s">
        <v>23631</v>
      </c>
      <c r="BA2405" s="3" t="s">
        <v>23631</v>
      </c>
      <c r="BB2405" s="3" t="s">
        <v>23632</v>
      </c>
      <c r="BC2405" s="3" t="s">
        <v>77</v>
      </c>
      <c r="BD2405" s="3" t="s">
        <v>78</v>
      </c>
      <c r="BE2405" s="3" t="s">
        <v>23633</v>
      </c>
      <c r="BF2405" s="3" t="s">
        <v>23632</v>
      </c>
      <c r="BG2405" s="3" t="s">
        <v>23634</v>
      </c>
    </row>
    <row r="2406" spans="1:59" ht="58" x14ac:dyDescent="0.35">
      <c r="A2406" s="2" t="s">
        <v>59</v>
      </c>
      <c r="B2406" s="2" t="s">
        <v>60</v>
      </c>
      <c r="C2406" s="2" t="s">
        <v>23635</v>
      </c>
      <c r="D2406" s="2" t="s">
        <v>23636</v>
      </c>
      <c r="E2406" s="2" t="s">
        <v>23637</v>
      </c>
      <c r="G2406" s="3" t="s">
        <v>65</v>
      </c>
      <c r="I2406" s="3" t="s">
        <v>65</v>
      </c>
      <c r="J2406" s="3" t="s">
        <v>65</v>
      </c>
      <c r="K2406" s="3" t="s">
        <v>66</v>
      </c>
      <c r="L2406" s="2" t="s">
        <v>23638</v>
      </c>
      <c r="M2406" s="2" t="s">
        <v>23639</v>
      </c>
      <c r="N2406" s="3" t="s">
        <v>68</v>
      </c>
      <c r="P2406" s="3" t="s">
        <v>616</v>
      </c>
      <c r="Q2406" s="2" t="s">
        <v>23640</v>
      </c>
      <c r="R2406" s="3" t="s">
        <v>71</v>
      </c>
      <c r="S2406" s="4">
        <v>0</v>
      </c>
      <c r="T2406" s="4">
        <v>0</v>
      </c>
      <c r="W2406" s="5" t="s">
        <v>72</v>
      </c>
      <c r="X2406" s="5" t="s">
        <v>72</v>
      </c>
      <c r="Y2406" s="4">
        <v>13</v>
      </c>
      <c r="Z2406" s="4">
        <v>3</v>
      </c>
      <c r="AA2406" s="4">
        <v>4</v>
      </c>
      <c r="AB2406" s="4">
        <v>1</v>
      </c>
      <c r="AC2406" s="4">
        <v>1</v>
      </c>
      <c r="AD2406" s="4">
        <v>8</v>
      </c>
      <c r="AE2406" s="4">
        <v>10</v>
      </c>
      <c r="AF2406" s="4">
        <v>0</v>
      </c>
      <c r="AG2406" s="4">
        <v>0</v>
      </c>
      <c r="AH2406" s="4">
        <v>7</v>
      </c>
      <c r="AI2406" s="4">
        <v>9</v>
      </c>
      <c r="AJ2406" s="4">
        <v>1</v>
      </c>
      <c r="AK2406" s="4">
        <v>2</v>
      </c>
      <c r="AL2406" s="4">
        <v>6</v>
      </c>
      <c r="AM2406" s="4">
        <v>7</v>
      </c>
      <c r="AN2406" s="4">
        <v>0</v>
      </c>
      <c r="AO2406" s="4">
        <v>0</v>
      </c>
      <c r="AP2406" s="4">
        <v>1</v>
      </c>
      <c r="AQ2406" s="4">
        <v>2</v>
      </c>
      <c r="AR2406" s="3" t="s">
        <v>65</v>
      </c>
      <c r="AS2406" s="3" t="s">
        <v>65</v>
      </c>
      <c r="AT2406" s="3" t="s">
        <v>65</v>
      </c>
      <c r="AV2406" s="6" t="str">
        <f>HYPERLINK("http://mcgill.on.worldcat.org/oclc/950987104","Catalog Record")</f>
        <v>Catalog Record</v>
      </c>
      <c r="AW2406" s="6" t="str">
        <f>HYPERLINK("http://www.worldcat.org/oclc/950987104","WorldCat Record")</f>
        <v>WorldCat Record</v>
      </c>
      <c r="AX2406" s="3" t="s">
        <v>23641</v>
      </c>
      <c r="AY2406" s="3" t="s">
        <v>23642</v>
      </c>
      <c r="AZ2406" s="3" t="s">
        <v>23643</v>
      </c>
      <c r="BA2406" s="3" t="s">
        <v>23643</v>
      </c>
      <c r="BB2406" s="3" t="s">
        <v>23644</v>
      </c>
      <c r="BC2406" s="3" t="s">
        <v>77</v>
      </c>
      <c r="BD2406" s="3" t="s">
        <v>78</v>
      </c>
      <c r="BE2406" s="3" t="s">
        <v>23645</v>
      </c>
      <c r="BF2406" s="3" t="s">
        <v>23644</v>
      </c>
      <c r="BG2406" s="3" t="s">
        <v>23646</v>
      </c>
    </row>
    <row r="2407" spans="1:59" ht="58" x14ac:dyDescent="0.35">
      <c r="A2407" s="2" t="s">
        <v>59</v>
      </c>
      <c r="B2407" s="2" t="s">
        <v>60</v>
      </c>
      <c r="C2407" s="2" t="s">
        <v>23647</v>
      </c>
      <c r="D2407" s="2" t="s">
        <v>23648</v>
      </c>
      <c r="E2407" s="2" t="s">
        <v>23649</v>
      </c>
      <c r="G2407" s="3" t="s">
        <v>65</v>
      </c>
      <c r="I2407" s="3" t="s">
        <v>65</v>
      </c>
      <c r="J2407" s="3" t="s">
        <v>65</v>
      </c>
      <c r="K2407" s="3" t="s">
        <v>66</v>
      </c>
      <c r="L2407" s="2" t="s">
        <v>1120</v>
      </c>
      <c r="M2407" s="2" t="s">
        <v>23650</v>
      </c>
      <c r="N2407" s="3" t="s">
        <v>364</v>
      </c>
      <c r="P2407" s="3" t="s">
        <v>140</v>
      </c>
      <c r="Q2407" s="2" t="s">
        <v>23651</v>
      </c>
      <c r="R2407" s="3" t="s">
        <v>71</v>
      </c>
      <c r="S2407" s="4">
        <v>5</v>
      </c>
      <c r="T2407" s="4">
        <v>5</v>
      </c>
      <c r="U2407" s="5" t="s">
        <v>5949</v>
      </c>
      <c r="V2407" s="5" t="s">
        <v>5949</v>
      </c>
      <c r="W2407" s="5" t="s">
        <v>72</v>
      </c>
      <c r="X2407" s="5" t="s">
        <v>72</v>
      </c>
      <c r="Y2407" s="4">
        <v>95</v>
      </c>
      <c r="Z2407" s="4">
        <v>7</v>
      </c>
      <c r="AA2407" s="4">
        <v>8</v>
      </c>
      <c r="AB2407" s="4">
        <v>2</v>
      </c>
      <c r="AC2407" s="4">
        <v>3</v>
      </c>
      <c r="AD2407" s="4">
        <v>49</v>
      </c>
      <c r="AE2407" s="4">
        <v>50</v>
      </c>
      <c r="AF2407" s="4">
        <v>0</v>
      </c>
      <c r="AG2407" s="4">
        <v>1</v>
      </c>
      <c r="AH2407" s="4">
        <v>48</v>
      </c>
      <c r="AI2407" s="4">
        <v>48</v>
      </c>
      <c r="AJ2407" s="4">
        <v>4</v>
      </c>
      <c r="AK2407" s="4">
        <v>5</v>
      </c>
      <c r="AL2407" s="4">
        <v>34</v>
      </c>
      <c r="AM2407" s="4">
        <v>34</v>
      </c>
      <c r="AN2407" s="4">
        <v>0</v>
      </c>
      <c r="AO2407" s="4">
        <v>0</v>
      </c>
      <c r="AP2407" s="4">
        <v>4</v>
      </c>
      <c r="AQ2407" s="4">
        <v>4</v>
      </c>
      <c r="AR2407" s="3" t="s">
        <v>65</v>
      </c>
      <c r="AS2407" s="3" t="s">
        <v>65</v>
      </c>
      <c r="AT2407" s="3" t="s">
        <v>209</v>
      </c>
      <c r="AU2407" s="6" t="str">
        <f>HYPERLINK("http://catalog.hathitrust.org/Record/003598685","HathiTrust Record")</f>
        <v>HathiTrust Record</v>
      </c>
      <c r="AV2407" s="6" t="str">
        <f>HYPERLINK("http://mcgill.on.worldcat.org/oclc/48569256","Catalog Record")</f>
        <v>Catalog Record</v>
      </c>
      <c r="AW2407" s="6" t="str">
        <f>HYPERLINK("http://www.worldcat.org/oclc/48569256","WorldCat Record")</f>
        <v>WorldCat Record</v>
      </c>
      <c r="AX2407" s="3" t="s">
        <v>23652</v>
      </c>
      <c r="AY2407" s="3" t="s">
        <v>23653</v>
      </c>
      <c r="AZ2407" s="3" t="s">
        <v>23654</v>
      </c>
      <c r="BA2407" s="3" t="s">
        <v>23654</v>
      </c>
      <c r="BB2407" s="3" t="s">
        <v>23655</v>
      </c>
      <c r="BC2407" s="3" t="s">
        <v>77</v>
      </c>
      <c r="BD2407" s="3" t="s">
        <v>78</v>
      </c>
      <c r="BE2407" s="3" t="s">
        <v>23656</v>
      </c>
      <c r="BF2407" s="3" t="s">
        <v>23655</v>
      </c>
      <c r="BG2407" s="3" t="s">
        <v>23657</v>
      </c>
    </row>
    <row r="2408" spans="1:59" ht="58" x14ac:dyDescent="0.35">
      <c r="A2408" s="2" t="s">
        <v>59</v>
      </c>
      <c r="B2408" s="2" t="s">
        <v>60</v>
      </c>
      <c r="C2408" s="2" t="s">
        <v>23658</v>
      </c>
      <c r="D2408" s="2" t="s">
        <v>23659</v>
      </c>
      <c r="E2408" s="2" t="s">
        <v>23660</v>
      </c>
      <c r="G2408" s="3" t="s">
        <v>65</v>
      </c>
      <c r="I2408" s="3" t="s">
        <v>65</v>
      </c>
      <c r="J2408" s="3" t="s">
        <v>65</v>
      </c>
      <c r="K2408" s="3" t="s">
        <v>66</v>
      </c>
      <c r="M2408" s="2" t="s">
        <v>23661</v>
      </c>
      <c r="N2408" s="3" t="s">
        <v>113</v>
      </c>
      <c r="P2408" s="3" t="s">
        <v>140</v>
      </c>
      <c r="Q2408" s="2" t="s">
        <v>23662</v>
      </c>
      <c r="R2408" s="3" t="s">
        <v>71</v>
      </c>
      <c r="S2408" s="4">
        <v>0</v>
      </c>
      <c r="T2408" s="4">
        <v>0</v>
      </c>
      <c r="W2408" s="5" t="s">
        <v>72</v>
      </c>
      <c r="X2408" s="5" t="s">
        <v>72</v>
      </c>
      <c r="Y2408" s="4">
        <v>40</v>
      </c>
      <c r="Z2408" s="4">
        <v>4</v>
      </c>
      <c r="AA2408" s="4">
        <v>4</v>
      </c>
      <c r="AB2408" s="4">
        <v>1</v>
      </c>
      <c r="AC2408" s="4">
        <v>1</v>
      </c>
      <c r="AD2408" s="4">
        <v>26</v>
      </c>
      <c r="AE2408" s="4">
        <v>26</v>
      </c>
      <c r="AF2408" s="4">
        <v>0</v>
      </c>
      <c r="AG2408" s="4">
        <v>0</v>
      </c>
      <c r="AH2408" s="4">
        <v>25</v>
      </c>
      <c r="AI2408" s="4">
        <v>25</v>
      </c>
      <c r="AJ2408" s="4">
        <v>2</v>
      </c>
      <c r="AK2408" s="4">
        <v>2</v>
      </c>
      <c r="AL2408" s="4">
        <v>18</v>
      </c>
      <c r="AM2408" s="4">
        <v>18</v>
      </c>
      <c r="AN2408" s="4">
        <v>0</v>
      </c>
      <c r="AO2408" s="4">
        <v>0</v>
      </c>
      <c r="AP2408" s="4">
        <v>2</v>
      </c>
      <c r="AQ2408" s="4">
        <v>2</v>
      </c>
      <c r="AR2408" s="3" t="s">
        <v>65</v>
      </c>
      <c r="AS2408" s="3" t="s">
        <v>65</v>
      </c>
      <c r="AT2408" s="3" t="s">
        <v>65</v>
      </c>
      <c r="AV2408" s="6" t="str">
        <f>HYPERLINK("http://mcgill.on.worldcat.org/oclc/650438841","Catalog Record")</f>
        <v>Catalog Record</v>
      </c>
      <c r="AW2408" s="6" t="str">
        <f>HYPERLINK("http://www.worldcat.org/oclc/650438841","WorldCat Record")</f>
        <v>WorldCat Record</v>
      </c>
      <c r="AX2408" s="3" t="s">
        <v>23663</v>
      </c>
      <c r="AY2408" s="3" t="s">
        <v>23664</v>
      </c>
      <c r="AZ2408" s="3" t="s">
        <v>23665</v>
      </c>
      <c r="BA2408" s="3" t="s">
        <v>23665</v>
      </c>
      <c r="BB2408" s="3" t="s">
        <v>23666</v>
      </c>
      <c r="BC2408" s="3" t="s">
        <v>77</v>
      </c>
      <c r="BD2408" s="3" t="s">
        <v>78</v>
      </c>
      <c r="BE2408" s="3" t="s">
        <v>23667</v>
      </c>
      <c r="BF2408" s="3" t="s">
        <v>23666</v>
      </c>
      <c r="BG2408" s="3" t="s">
        <v>23668</v>
      </c>
    </row>
    <row r="2409" spans="1:59" ht="58" x14ac:dyDescent="0.35">
      <c r="A2409" s="2" t="s">
        <v>59</v>
      </c>
      <c r="B2409" s="2" t="s">
        <v>60</v>
      </c>
      <c r="C2409" s="2" t="s">
        <v>23669</v>
      </c>
      <c r="D2409" s="2" t="s">
        <v>23670</v>
      </c>
      <c r="E2409" s="2" t="s">
        <v>23671</v>
      </c>
      <c r="G2409" s="3" t="s">
        <v>65</v>
      </c>
      <c r="I2409" s="3" t="s">
        <v>65</v>
      </c>
      <c r="J2409" s="3" t="s">
        <v>65</v>
      </c>
      <c r="K2409" s="3" t="s">
        <v>66</v>
      </c>
      <c r="M2409" s="2" t="s">
        <v>23672</v>
      </c>
      <c r="N2409" s="3" t="s">
        <v>152</v>
      </c>
      <c r="P2409" s="3" t="s">
        <v>69</v>
      </c>
      <c r="Q2409" s="2" t="s">
        <v>23673</v>
      </c>
      <c r="R2409" s="3" t="s">
        <v>71</v>
      </c>
      <c r="S2409" s="4">
        <v>5</v>
      </c>
      <c r="T2409" s="4">
        <v>5</v>
      </c>
      <c r="U2409" s="5" t="s">
        <v>23674</v>
      </c>
      <c r="V2409" s="5" t="s">
        <v>23674</v>
      </c>
      <c r="W2409" s="5" t="s">
        <v>72</v>
      </c>
      <c r="X2409" s="5" t="s">
        <v>72</v>
      </c>
      <c r="Y2409" s="4">
        <v>148</v>
      </c>
      <c r="Z2409" s="4">
        <v>11</v>
      </c>
      <c r="AA2409" s="4">
        <v>11</v>
      </c>
      <c r="AB2409" s="4">
        <v>1</v>
      </c>
      <c r="AC2409" s="4">
        <v>1</v>
      </c>
      <c r="AD2409" s="4">
        <v>60</v>
      </c>
      <c r="AE2409" s="4">
        <v>60</v>
      </c>
      <c r="AF2409" s="4">
        <v>0</v>
      </c>
      <c r="AG2409" s="4">
        <v>0</v>
      </c>
      <c r="AH2409" s="4">
        <v>58</v>
      </c>
      <c r="AI2409" s="4">
        <v>58</v>
      </c>
      <c r="AJ2409" s="4">
        <v>8</v>
      </c>
      <c r="AK2409" s="4">
        <v>8</v>
      </c>
      <c r="AL2409" s="4">
        <v>38</v>
      </c>
      <c r="AM2409" s="4">
        <v>38</v>
      </c>
      <c r="AN2409" s="4">
        <v>0</v>
      </c>
      <c r="AO2409" s="4">
        <v>0</v>
      </c>
      <c r="AP2409" s="4">
        <v>8</v>
      </c>
      <c r="AQ2409" s="4">
        <v>8</v>
      </c>
      <c r="AR2409" s="3" t="s">
        <v>65</v>
      </c>
      <c r="AS2409" s="3" t="s">
        <v>65</v>
      </c>
      <c r="AT2409" s="3" t="s">
        <v>65</v>
      </c>
      <c r="AV2409" s="6" t="str">
        <f>HYPERLINK("http://mcgill.on.worldcat.org/oclc/840937181","Catalog Record")</f>
        <v>Catalog Record</v>
      </c>
      <c r="AW2409" s="6" t="str">
        <f>HYPERLINK("http://www.worldcat.org/oclc/840937181","WorldCat Record")</f>
        <v>WorldCat Record</v>
      </c>
      <c r="AX2409" s="3" t="s">
        <v>23675</v>
      </c>
      <c r="AY2409" s="3" t="s">
        <v>23676</v>
      </c>
      <c r="AZ2409" s="3" t="s">
        <v>23677</v>
      </c>
      <c r="BA2409" s="3" t="s">
        <v>23677</v>
      </c>
      <c r="BB2409" s="3" t="s">
        <v>23678</v>
      </c>
      <c r="BC2409" s="3" t="s">
        <v>77</v>
      </c>
      <c r="BD2409" s="3" t="s">
        <v>78</v>
      </c>
      <c r="BE2409" s="3" t="s">
        <v>23679</v>
      </c>
      <c r="BF2409" s="3" t="s">
        <v>23678</v>
      </c>
      <c r="BG2409" s="3" t="s">
        <v>23680</v>
      </c>
    </row>
    <row r="2410" spans="1:59" ht="58" x14ac:dyDescent="0.35">
      <c r="A2410" s="2" t="s">
        <v>59</v>
      </c>
      <c r="B2410" s="2" t="s">
        <v>60</v>
      </c>
      <c r="C2410" s="2" t="s">
        <v>23681</v>
      </c>
      <c r="D2410" s="2" t="s">
        <v>23682</v>
      </c>
      <c r="E2410" s="2" t="s">
        <v>23683</v>
      </c>
      <c r="G2410" s="3" t="s">
        <v>65</v>
      </c>
      <c r="I2410" s="3" t="s">
        <v>209</v>
      </c>
      <c r="J2410" s="3" t="s">
        <v>65</v>
      </c>
      <c r="K2410" s="3" t="s">
        <v>66</v>
      </c>
      <c r="M2410" s="2" t="s">
        <v>5547</v>
      </c>
      <c r="N2410" s="3" t="s">
        <v>392</v>
      </c>
      <c r="P2410" s="3" t="s">
        <v>69</v>
      </c>
      <c r="Q2410" s="2" t="s">
        <v>23684</v>
      </c>
      <c r="R2410" s="3" t="s">
        <v>71</v>
      </c>
      <c r="S2410" s="4">
        <v>39</v>
      </c>
      <c r="T2410" s="4">
        <v>55</v>
      </c>
      <c r="U2410" s="5" t="s">
        <v>9595</v>
      </c>
      <c r="V2410" s="5" t="s">
        <v>3437</v>
      </c>
      <c r="W2410" s="5" t="s">
        <v>72</v>
      </c>
      <c r="X2410" s="5" t="s">
        <v>72</v>
      </c>
      <c r="Y2410" s="4">
        <v>164</v>
      </c>
      <c r="Z2410" s="4">
        <v>19</v>
      </c>
      <c r="AA2410" s="4">
        <v>19</v>
      </c>
      <c r="AB2410" s="4">
        <v>1</v>
      </c>
      <c r="AC2410" s="4">
        <v>1</v>
      </c>
      <c r="AD2410" s="4">
        <v>66</v>
      </c>
      <c r="AE2410" s="4">
        <v>66</v>
      </c>
      <c r="AF2410" s="4">
        <v>0</v>
      </c>
      <c r="AG2410" s="4">
        <v>0</v>
      </c>
      <c r="AH2410" s="4">
        <v>58</v>
      </c>
      <c r="AI2410" s="4">
        <v>58</v>
      </c>
      <c r="AJ2410" s="4">
        <v>13</v>
      </c>
      <c r="AK2410" s="4">
        <v>13</v>
      </c>
      <c r="AL2410" s="4">
        <v>36</v>
      </c>
      <c r="AM2410" s="4">
        <v>36</v>
      </c>
      <c r="AN2410" s="4">
        <v>0</v>
      </c>
      <c r="AO2410" s="4">
        <v>0</v>
      </c>
      <c r="AP2410" s="4">
        <v>14</v>
      </c>
      <c r="AQ2410" s="4">
        <v>14</v>
      </c>
      <c r="AR2410" s="3" t="s">
        <v>209</v>
      </c>
      <c r="AS2410" s="3" t="s">
        <v>65</v>
      </c>
      <c r="AT2410" s="3" t="s">
        <v>209</v>
      </c>
      <c r="AU2410" s="6" t="str">
        <f>HYPERLINK("http://catalog.hathitrust.org/Record/001292221","HathiTrust Record")</f>
        <v>HathiTrust Record</v>
      </c>
      <c r="AV2410" s="6" t="str">
        <f>HYPERLINK("http://mcgill.on.worldcat.org/oclc/17585873","Catalog Record")</f>
        <v>Catalog Record</v>
      </c>
      <c r="AW2410" s="6" t="str">
        <f>HYPERLINK("http://www.worldcat.org/oclc/17585873","WorldCat Record")</f>
        <v>WorldCat Record</v>
      </c>
      <c r="AX2410" s="3" t="s">
        <v>23685</v>
      </c>
      <c r="AY2410" s="3" t="s">
        <v>23686</v>
      </c>
      <c r="AZ2410" s="3" t="s">
        <v>23687</v>
      </c>
      <c r="BA2410" s="3" t="s">
        <v>23687</v>
      </c>
      <c r="BB2410" s="3" t="s">
        <v>23688</v>
      </c>
      <c r="BC2410" s="3" t="s">
        <v>77</v>
      </c>
      <c r="BD2410" s="3" t="s">
        <v>78</v>
      </c>
      <c r="BE2410" s="3" t="s">
        <v>23689</v>
      </c>
      <c r="BF2410" s="3" t="s">
        <v>23688</v>
      </c>
      <c r="BG2410" s="3" t="s">
        <v>23690</v>
      </c>
    </row>
    <row r="2411" spans="1:59" ht="58" x14ac:dyDescent="0.35">
      <c r="A2411" s="2" t="s">
        <v>59</v>
      </c>
      <c r="B2411" s="2" t="s">
        <v>60</v>
      </c>
      <c r="C2411" s="2" t="s">
        <v>23681</v>
      </c>
      <c r="D2411" s="2" t="s">
        <v>23682</v>
      </c>
      <c r="E2411" s="2" t="s">
        <v>23683</v>
      </c>
      <c r="G2411" s="3" t="s">
        <v>65</v>
      </c>
      <c r="I2411" s="3" t="s">
        <v>209</v>
      </c>
      <c r="J2411" s="3" t="s">
        <v>65</v>
      </c>
      <c r="K2411" s="3" t="s">
        <v>66</v>
      </c>
      <c r="M2411" s="2" t="s">
        <v>5547</v>
      </c>
      <c r="N2411" s="3" t="s">
        <v>392</v>
      </c>
      <c r="P2411" s="3" t="s">
        <v>69</v>
      </c>
      <c r="Q2411" s="2" t="s">
        <v>23684</v>
      </c>
      <c r="R2411" s="3" t="s">
        <v>71</v>
      </c>
      <c r="S2411" s="4">
        <v>16</v>
      </c>
      <c r="T2411" s="4">
        <v>55</v>
      </c>
      <c r="U2411" s="5" t="s">
        <v>3437</v>
      </c>
      <c r="V2411" s="5" t="s">
        <v>3437</v>
      </c>
      <c r="W2411" s="5" t="s">
        <v>72</v>
      </c>
      <c r="X2411" s="5" t="s">
        <v>72</v>
      </c>
      <c r="Y2411" s="4">
        <v>164</v>
      </c>
      <c r="Z2411" s="4">
        <v>19</v>
      </c>
      <c r="AA2411" s="4">
        <v>19</v>
      </c>
      <c r="AB2411" s="4">
        <v>1</v>
      </c>
      <c r="AC2411" s="4">
        <v>1</v>
      </c>
      <c r="AD2411" s="4">
        <v>66</v>
      </c>
      <c r="AE2411" s="4">
        <v>66</v>
      </c>
      <c r="AF2411" s="4">
        <v>0</v>
      </c>
      <c r="AG2411" s="4">
        <v>0</v>
      </c>
      <c r="AH2411" s="4">
        <v>58</v>
      </c>
      <c r="AI2411" s="4">
        <v>58</v>
      </c>
      <c r="AJ2411" s="4">
        <v>13</v>
      </c>
      <c r="AK2411" s="4">
        <v>13</v>
      </c>
      <c r="AL2411" s="4">
        <v>36</v>
      </c>
      <c r="AM2411" s="4">
        <v>36</v>
      </c>
      <c r="AN2411" s="4">
        <v>0</v>
      </c>
      <c r="AO2411" s="4">
        <v>0</v>
      </c>
      <c r="AP2411" s="4">
        <v>14</v>
      </c>
      <c r="AQ2411" s="4">
        <v>14</v>
      </c>
      <c r="AR2411" s="3" t="s">
        <v>209</v>
      </c>
      <c r="AS2411" s="3" t="s">
        <v>65</v>
      </c>
      <c r="AT2411" s="3" t="s">
        <v>209</v>
      </c>
      <c r="AU2411" s="6" t="str">
        <f>HYPERLINK("http://catalog.hathitrust.org/Record/001292221","HathiTrust Record")</f>
        <v>HathiTrust Record</v>
      </c>
      <c r="AV2411" s="6" t="str">
        <f>HYPERLINK("http://mcgill.on.worldcat.org/oclc/17585873","Catalog Record")</f>
        <v>Catalog Record</v>
      </c>
      <c r="AW2411" s="6" t="str">
        <f>HYPERLINK("http://www.worldcat.org/oclc/17585873","WorldCat Record")</f>
        <v>WorldCat Record</v>
      </c>
      <c r="AX2411" s="3" t="s">
        <v>23685</v>
      </c>
      <c r="AY2411" s="3" t="s">
        <v>23686</v>
      </c>
      <c r="AZ2411" s="3" t="s">
        <v>23687</v>
      </c>
      <c r="BA2411" s="3" t="s">
        <v>23687</v>
      </c>
      <c r="BB2411" s="3" t="s">
        <v>23691</v>
      </c>
      <c r="BC2411" s="3" t="s">
        <v>77</v>
      </c>
      <c r="BD2411" s="3" t="s">
        <v>78</v>
      </c>
      <c r="BE2411" s="3" t="s">
        <v>23689</v>
      </c>
      <c r="BF2411" s="3" t="s">
        <v>23691</v>
      </c>
      <c r="BG2411" s="3" t="s">
        <v>23692</v>
      </c>
    </row>
    <row r="2412" spans="1:59" ht="58" x14ac:dyDescent="0.35">
      <c r="A2412" s="2" t="s">
        <v>59</v>
      </c>
      <c r="B2412" s="2" t="s">
        <v>60</v>
      </c>
      <c r="C2412" s="2" t="s">
        <v>23693</v>
      </c>
      <c r="D2412" s="2" t="s">
        <v>23694</v>
      </c>
      <c r="E2412" s="2" t="s">
        <v>23695</v>
      </c>
      <c r="G2412" s="3" t="s">
        <v>65</v>
      </c>
      <c r="I2412" s="3" t="s">
        <v>65</v>
      </c>
      <c r="J2412" s="3" t="s">
        <v>65</v>
      </c>
      <c r="K2412" s="3" t="s">
        <v>66</v>
      </c>
      <c r="L2412" s="2" t="s">
        <v>23696</v>
      </c>
      <c r="M2412" s="2" t="s">
        <v>23697</v>
      </c>
      <c r="N2412" s="3" t="s">
        <v>1122</v>
      </c>
      <c r="P2412" s="3" t="s">
        <v>140</v>
      </c>
      <c r="Q2412" s="2" t="s">
        <v>17887</v>
      </c>
      <c r="R2412" s="3" t="s">
        <v>71</v>
      </c>
      <c r="S2412" s="4">
        <v>2</v>
      </c>
      <c r="T2412" s="4">
        <v>2</v>
      </c>
      <c r="U2412" s="5" t="s">
        <v>23698</v>
      </c>
      <c r="V2412" s="5" t="s">
        <v>23698</v>
      </c>
      <c r="W2412" s="5" t="s">
        <v>72</v>
      </c>
      <c r="X2412" s="5" t="s">
        <v>72</v>
      </c>
      <c r="Y2412" s="4">
        <v>34</v>
      </c>
      <c r="Z2412" s="4">
        <v>4</v>
      </c>
      <c r="AA2412" s="4">
        <v>4</v>
      </c>
      <c r="AB2412" s="4">
        <v>2</v>
      </c>
      <c r="AC2412" s="4">
        <v>2</v>
      </c>
      <c r="AD2412" s="4">
        <v>15</v>
      </c>
      <c r="AE2412" s="4">
        <v>15</v>
      </c>
      <c r="AF2412" s="4">
        <v>0</v>
      </c>
      <c r="AG2412" s="4">
        <v>0</v>
      </c>
      <c r="AH2412" s="4">
        <v>13</v>
      </c>
      <c r="AI2412" s="4">
        <v>13</v>
      </c>
      <c r="AJ2412" s="4">
        <v>1</v>
      </c>
      <c r="AK2412" s="4">
        <v>1</v>
      </c>
      <c r="AL2412" s="4">
        <v>12</v>
      </c>
      <c r="AM2412" s="4">
        <v>12</v>
      </c>
      <c r="AN2412" s="4">
        <v>0</v>
      </c>
      <c r="AO2412" s="4">
        <v>0</v>
      </c>
      <c r="AP2412" s="4">
        <v>1</v>
      </c>
      <c r="AQ2412" s="4">
        <v>1</v>
      </c>
      <c r="AR2412" s="3" t="s">
        <v>65</v>
      </c>
      <c r="AS2412" s="3" t="s">
        <v>65</v>
      </c>
      <c r="AT2412" s="3" t="s">
        <v>65</v>
      </c>
      <c r="AV2412" s="6" t="str">
        <f>HYPERLINK("http://mcgill.on.worldcat.org/oclc/310393102","Catalog Record")</f>
        <v>Catalog Record</v>
      </c>
      <c r="AW2412" s="6" t="str">
        <f>HYPERLINK("http://www.worldcat.org/oclc/310393102","WorldCat Record")</f>
        <v>WorldCat Record</v>
      </c>
      <c r="AX2412" s="3" t="s">
        <v>23699</v>
      </c>
      <c r="AY2412" s="3" t="s">
        <v>23700</v>
      </c>
      <c r="AZ2412" s="3" t="s">
        <v>23701</v>
      </c>
      <c r="BA2412" s="3" t="s">
        <v>23701</v>
      </c>
      <c r="BB2412" s="3" t="s">
        <v>23702</v>
      </c>
      <c r="BC2412" s="3" t="s">
        <v>77</v>
      </c>
      <c r="BD2412" s="3" t="s">
        <v>78</v>
      </c>
      <c r="BE2412" s="3" t="s">
        <v>23703</v>
      </c>
      <c r="BF2412" s="3" t="s">
        <v>23702</v>
      </c>
      <c r="BG2412" s="3" t="s">
        <v>23704</v>
      </c>
    </row>
    <row r="2413" spans="1:59" ht="58" x14ac:dyDescent="0.35">
      <c r="A2413" s="2" t="s">
        <v>59</v>
      </c>
      <c r="B2413" s="2" t="s">
        <v>60</v>
      </c>
      <c r="C2413" s="2" t="s">
        <v>23705</v>
      </c>
      <c r="D2413" s="2" t="s">
        <v>23706</v>
      </c>
      <c r="E2413" s="2" t="s">
        <v>23707</v>
      </c>
      <c r="G2413" s="3" t="s">
        <v>65</v>
      </c>
      <c r="I2413" s="3" t="s">
        <v>65</v>
      </c>
      <c r="J2413" s="3" t="s">
        <v>65</v>
      </c>
      <c r="K2413" s="3" t="s">
        <v>66</v>
      </c>
      <c r="L2413" s="2" t="s">
        <v>23708</v>
      </c>
      <c r="M2413" s="2" t="s">
        <v>23709</v>
      </c>
      <c r="N2413" s="3" t="s">
        <v>68</v>
      </c>
      <c r="P2413" s="3" t="s">
        <v>616</v>
      </c>
      <c r="Q2413" s="2" t="s">
        <v>23710</v>
      </c>
      <c r="R2413" s="3" t="s">
        <v>71</v>
      </c>
      <c r="S2413" s="4">
        <v>0</v>
      </c>
      <c r="T2413" s="4">
        <v>0</v>
      </c>
      <c r="W2413" s="5" t="s">
        <v>72</v>
      </c>
      <c r="X2413" s="5" t="s">
        <v>72</v>
      </c>
      <c r="Y2413" s="4">
        <v>16</v>
      </c>
      <c r="Z2413" s="4">
        <v>3</v>
      </c>
      <c r="AA2413" s="4">
        <v>5</v>
      </c>
      <c r="AB2413" s="4">
        <v>1</v>
      </c>
      <c r="AC2413" s="4">
        <v>2</v>
      </c>
      <c r="AD2413" s="4">
        <v>11</v>
      </c>
      <c r="AE2413" s="4">
        <v>12</v>
      </c>
      <c r="AF2413" s="4">
        <v>0</v>
      </c>
      <c r="AG2413" s="4">
        <v>0</v>
      </c>
      <c r="AH2413" s="4">
        <v>10</v>
      </c>
      <c r="AI2413" s="4">
        <v>11</v>
      </c>
      <c r="AJ2413" s="4">
        <v>1</v>
      </c>
      <c r="AK2413" s="4">
        <v>2</v>
      </c>
      <c r="AL2413" s="4">
        <v>9</v>
      </c>
      <c r="AM2413" s="4">
        <v>9</v>
      </c>
      <c r="AN2413" s="4">
        <v>0</v>
      </c>
      <c r="AO2413" s="4">
        <v>0</v>
      </c>
      <c r="AP2413" s="4">
        <v>1</v>
      </c>
      <c r="AQ2413" s="4">
        <v>2</v>
      </c>
      <c r="AR2413" s="3" t="s">
        <v>65</v>
      </c>
      <c r="AS2413" s="3" t="s">
        <v>65</v>
      </c>
      <c r="AT2413" s="3" t="s">
        <v>65</v>
      </c>
      <c r="AV2413" s="6" t="str">
        <f>HYPERLINK("http://mcgill.on.worldcat.org/oclc/957389992","Catalog Record")</f>
        <v>Catalog Record</v>
      </c>
      <c r="AW2413" s="6" t="str">
        <f>HYPERLINK("http://www.worldcat.org/oclc/957389992","WorldCat Record")</f>
        <v>WorldCat Record</v>
      </c>
      <c r="AX2413" s="3" t="s">
        <v>23711</v>
      </c>
      <c r="AY2413" s="3" t="s">
        <v>23712</v>
      </c>
      <c r="AZ2413" s="3" t="s">
        <v>23713</v>
      </c>
      <c r="BA2413" s="3" t="s">
        <v>23713</v>
      </c>
      <c r="BB2413" s="3" t="s">
        <v>23714</v>
      </c>
      <c r="BC2413" s="3" t="s">
        <v>77</v>
      </c>
      <c r="BD2413" s="3" t="s">
        <v>78</v>
      </c>
      <c r="BE2413" s="3" t="s">
        <v>23715</v>
      </c>
      <c r="BF2413" s="3" t="s">
        <v>23714</v>
      </c>
      <c r="BG2413" s="3" t="s">
        <v>23716</v>
      </c>
    </row>
    <row r="2414" spans="1:59" ht="58" x14ac:dyDescent="0.35">
      <c r="A2414" s="2" t="s">
        <v>59</v>
      </c>
      <c r="B2414" s="2" t="s">
        <v>60</v>
      </c>
      <c r="C2414" s="2" t="s">
        <v>23717</v>
      </c>
      <c r="D2414" s="2" t="s">
        <v>23718</v>
      </c>
      <c r="E2414" s="2" t="s">
        <v>23719</v>
      </c>
      <c r="G2414" s="3" t="s">
        <v>65</v>
      </c>
      <c r="I2414" s="3" t="s">
        <v>65</v>
      </c>
      <c r="J2414" s="3" t="s">
        <v>65</v>
      </c>
      <c r="K2414" s="3" t="s">
        <v>66</v>
      </c>
      <c r="L2414" s="2" t="s">
        <v>23720</v>
      </c>
      <c r="M2414" s="2" t="s">
        <v>23721</v>
      </c>
      <c r="N2414" s="3" t="s">
        <v>1085</v>
      </c>
      <c r="O2414" s="2" t="s">
        <v>23722</v>
      </c>
      <c r="P2414" s="3" t="s">
        <v>140</v>
      </c>
      <c r="Q2414" s="2" t="s">
        <v>23723</v>
      </c>
      <c r="R2414" s="3" t="s">
        <v>71</v>
      </c>
      <c r="S2414" s="4">
        <v>13</v>
      </c>
      <c r="T2414" s="4">
        <v>13</v>
      </c>
      <c r="U2414" s="5" t="s">
        <v>10454</v>
      </c>
      <c r="V2414" s="5" t="s">
        <v>10454</v>
      </c>
      <c r="W2414" s="5" t="s">
        <v>72</v>
      </c>
      <c r="X2414" s="5" t="s">
        <v>72</v>
      </c>
      <c r="Y2414" s="4">
        <v>93</v>
      </c>
      <c r="Z2414" s="4">
        <v>7</v>
      </c>
      <c r="AA2414" s="4">
        <v>8</v>
      </c>
      <c r="AB2414" s="4">
        <v>1</v>
      </c>
      <c r="AC2414" s="4">
        <v>1</v>
      </c>
      <c r="AD2414" s="4">
        <v>51</v>
      </c>
      <c r="AE2414" s="4">
        <v>52</v>
      </c>
      <c r="AF2414" s="4">
        <v>0</v>
      </c>
      <c r="AG2414" s="4">
        <v>0</v>
      </c>
      <c r="AH2414" s="4">
        <v>48</v>
      </c>
      <c r="AI2414" s="4">
        <v>48</v>
      </c>
      <c r="AJ2414" s="4">
        <v>5</v>
      </c>
      <c r="AK2414" s="4">
        <v>5</v>
      </c>
      <c r="AL2414" s="4">
        <v>35</v>
      </c>
      <c r="AM2414" s="4">
        <v>36</v>
      </c>
      <c r="AN2414" s="4">
        <v>0</v>
      </c>
      <c r="AO2414" s="4">
        <v>0</v>
      </c>
      <c r="AP2414" s="4">
        <v>5</v>
      </c>
      <c r="AQ2414" s="4">
        <v>5</v>
      </c>
      <c r="AR2414" s="3" t="s">
        <v>65</v>
      </c>
      <c r="AS2414" s="3" t="s">
        <v>65</v>
      </c>
      <c r="AT2414" s="3" t="s">
        <v>209</v>
      </c>
      <c r="AU2414" s="6" t="str">
        <f>HYPERLINK("http://catalog.hathitrust.org/Record/003159077","HathiTrust Record")</f>
        <v>HathiTrust Record</v>
      </c>
      <c r="AV2414" s="6" t="str">
        <f>HYPERLINK("http://mcgill.on.worldcat.org/oclc/35698080","Catalog Record")</f>
        <v>Catalog Record</v>
      </c>
      <c r="AW2414" s="6" t="str">
        <f>HYPERLINK("http://www.worldcat.org/oclc/35698080","WorldCat Record")</f>
        <v>WorldCat Record</v>
      </c>
      <c r="AX2414" s="3" t="s">
        <v>23724</v>
      </c>
      <c r="AY2414" s="3" t="s">
        <v>23725</v>
      </c>
      <c r="AZ2414" s="3" t="s">
        <v>23726</v>
      </c>
      <c r="BA2414" s="3" t="s">
        <v>23726</v>
      </c>
      <c r="BB2414" s="3" t="s">
        <v>23727</v>
      </c>
      <c r="BC2414" s="3" t="s">
        <v>77</v>
      </c>
      <c r="BD2414" s="3" t="s">
        <v>78</v>
      </c>
      <c r="BE2414" s="3" t="s">
        <v>23728</v>
      </c>
      <c r="BF2414" s="3" t="s">
        <v>23727</v>
      </c>
      <c r="BG2414" s="3" t="s">
        <v>23729</v>
      </c>
    </row>
    <row r="2415" spans="1:59" ht="58" x14ac:dyDescent="0.35">
      <c r="A2415" s="2" t="s">
        <v>59</v>
      </c>
      <c r="B2415" s="2" t="s">
        <v>60</v>
      </c>
      <c r="C2415" s="2" t="s">
        <v>23730</v>
      </c>
      <c r="D2415" s="2" t="s">
        <v>23731</v>
      </c>
      <c r="E2415" s="2" t="s">
        <v>23732</v>
      </c>
      <c r="G2415" s="3" t="s">
        <v>65</v>
      </c>
      <c r="I2415" s="3" t="s">
        <v>65</v>
      </c>
      <c r="J2415" s="3" t="s">
        <v>65</v>
      </c>
      <c r="K2415" s="3" t="s">
        <v>66</v>
      </c>
      <c r="L2415" s="2" t="s">
        <v>23733</v>
      </c>
      <c r="M2415" s="2" t="s">
        <v>23734</v>
      </c>
      <c r="N2415" s="3" t="s">
        <v>265</v>
      </c>
      <c r="P2415" s="3" t="s">
        <v>140</v>
      </c>
      <c r="Q2415" s="2" t="s">
        <v>23735</v>
      </c>
      <c r="R2415" s="3" t="s">
        <v>71</v>
      </c>
      <c r="S2415" s="4">
        <v>0</v>
      </c>
      <c r="T2415" s="4">
        <v>0</v>
      </c>
      <c r="W2415" s="5" t="s">
        <v>266</v>
      </c>
      <c r="X2415" s="5" t="s">
        <v>266</v>
      </c>
      <c r="Y2415" s="4">
        <v>28</v>
      </c>
      <c r="Z2415" s="4">
        <v>1</v>
      </c>
      <c r="AA2415" s="4">
        <v>1</v>
      </c>
      <c r="AB2415" s="4">
        <v>1</v>
      </c>
      <c r="AC2415" s="4">
        <v>1</v>
      </c>
      <c r="AD2415" s="4">
        <v>25</v>
      </c>
      <c r="AE2415" s="4">
        <v>25</v>
      </c>
      <c r="AF2415" s="4">
        <v>0</v>
      </c>
      <c r="AG2415" s="4">
        <v>0</v>
      </c>
      <c r="AH2415" s="4">
        <v>24</v>
      </c>
      <c r="AI2415" s="4">
        <v>24</v>
      </c>
      <c r="AJ2415" s="4">
        <v>0</v>
      </c>
      <c r="AK2415" s="4">
        <v>0</v>
      </c>
      <c r="AL2415" s="4">
        <v>18</v>
      </c>
      <c r="AM2415" s="4">
        <v>18</v>
      </c>
      <c r="AN2415" s="4">
        <v>0</v>
      </c>
      <c r="AO2415" s="4">
        <v>0</v>
      </c>
      <c r="AP2415" s="4">
        <v>0</v>
      </c>
      <c r="AQ2415" s="4">
        <v>0</v>
      </c>
      <c r="AR2415" s="3" t="s">
        <v>65</v>
      </c>
      <c r="AS2415" s="3" t="s">
        <v>65</v>
      </c>
      <c r="AT2415" s="3" t="s">
        <v>65</v>
      </c>
      <c r="AV2415" s="6" t="str">
        <f>HYPERLINK("http://mcgill.on.worldcat.org/oclc/1114248751","Catalog Record")</f>
        <v>Catalog Record</v>
      </c>
      <c r="AW2415" s="6" t="str">
        <f>HYPERLINK("http://www.worldcat.org/oclc/1114248751","WorldCat Record")</f>
        <v>WorldCat Record</v>
      </c>
      <c r="AX2415" s="3" t="s">
        <v>23736</v>
      </c>
      <c r="AY2415" s="3" t="s">
        <v>23737</v>
      </c>
      <c r="AZ2415" s="3" t="s">
        <v>23738</v>
      </c>
      <c r="BA2415" s="3" t="s">
        <v>23738</v>
      </c>
      <c r="BB2415" s="3" t="s">
        <v>23739</v>
      </c>
      <c r="BC2415" s="3" t="s">
        <v>77</v>
      </c>
      <c r="BD2415" s="3" t="s">
        <v>78</v>
      </c>
      <c r="BE2415" s="3" t="s">
        <v>23740</v>
      </c>
      <c r="BF2415" s="3" t="s">
        <v>23739</v>
      </c>
      <c r="BG2415" s="3" t="s">
        <v>23741</v>
      </c>
    </row>
    <row r="2416" spans="1:59" ht="58" x14ac:dyDescent="0.35">
      <c r="A2416" s="2" t="s">
        <v>59</v>
      </c>
      <c r="B2416" s="2" t="s">
        <v>60</v>
      </c>
      <c r="C2416" s="2" t="s">
        <v>23742</v>
      </c>
      <c r="D2416" s="2" t="s">
        <v>23743</v>
      </c>
      <c r="E2416" s="2" t="s">
        <v>23744</v>
      </c>
      <c r="G2416" s="3" t="s">
        <v>65</v>
      </c>
      <c r="I2416" s="3" t="s">
        <v>65</v>
      </c>
      <c r="J2416" s="3" t="s">
        <v>65</v>
      </c>
      <c r="K2416" s="3" t="s">
        <v>66</v>
      </c>
      <c r="L2416" s="2" t="s">
        <v>23745</v>
      </c>
      <c r="M2416" s="2" t="s">
        <v>23746</v>
      </c>
      <c r="N2416" s="3" t="s">
        <v>1967</v>
      </c>
      <c r="P2416" s="3" t="s">
        <v>69</v>
      </c>
      <c r="Q2416" s="2" t="s">
        <v>1197</v>
      </c>
      <c r="R2416" s="3" t="s">
        <v>71</v>
      </c>
      <c r="S2416" s="4">
        <v>21</v>
      </c>
      <c r="T2416" s="4">
        <v>21</v>
      </c>
      <c r="U2416" s="5" t="s">
        <v>5949</v>
      </c>
      <c r="V2416" s="5" t="s">
        <v>5949</v>
      </c>
      <c r="W2416" s="5" t="s">
        <v>72</v>
      </c>
      <c r="X2416" s="5" t="s">
        <v>72</v>
      </c>
      <c r="Y2416" s="4">
        <v>255</v>
      </c>
      <c r="Z2416" s="4">
        <v>29</v>
      </c>
      <c r="AA2416" s="4">
        <v>122</v>
      </c>
      <c r="AB2416" s="4">
        <v>2</v>
      </c>
      <c r="AC2416" s="4">
        <v>22</v>
      </c>
      <c r="AD2416" s="4">
        <v>105</v>
      </c>
      <c r="AE2416" s="4">
        <v>152</v>
      </c>
      <c r="AF2416" s="4">
        <v>1</v>
      </c>
      <c r="AG2416" s="4">
        <v>8</v>
      </c>
      <c r="AH2416" s="4">
        <v>91</v>
      </c>
      <c r="AI2416" s="4">
        <v>104</v>
      </c>
      <c r="AJ2416" s="4">
        <v>17</v>
      </c>
      <c r="AK2416" s="4">
        <v>28</v>
      </c>
      <c r="AL2416" s="4">
        <v>53</v>
      </c>
      <c r="AM2416" s="4">
        <v>55</v>
      </c>
      <c r="AN2416" s="4">
        <v>0</v>
      </c>
      <c r="AO2416" s="4">
        <v>0</v>
      </c>
      <c r="AP2416" s="4">
        <v>19</v>
      </c>
      <c r="AQ2416" s="4">
        <v>55</v>
      </c>
      <c r="AR2416" s="3" t="s">
        <v>209</v>
      </c>
      <c r="AS2416" s="3" t="s">
        <v>65</v>
      </c>
      <c r="AT2416" s="3" t="s">
        <v>65</v>
      </c>
      <c r="AV2416" s="6" t="str">
        <f>HYPERLINK("http://mcgill.on.worldcat.org/oclc/51629764","Catalog Record")</f>
        <v>Catalog Record</v>
      </c>
      <c r="AW2416" s="6" t="str">
        <f>HYPERLINK("http://www.worldcat.org/oclc/51629764","WorldCat Record")</f>
        <v>WorldCat Record</v>
      </c>
      <c r="AX2416" s="3" t="s">
        <v>23747</v>
      </c>
      <c r="AY2416" s="3" t="s">
        <v>23748</v>
      </c>
      <c r="AZ2416" s="3" t="s">
        <v>23749</v>
      </c>
      <c r="BA2416" s="3" t="s">
        <v>23749</v>
      </c>
      <c r="BB2416" s="3" t="s">
        <v>23750</v>
      </c>
      <c r="BC2416" s="3" t="s">
        <v>77</v>
      </c>
      <c r="BD2416" s="3" t="s">
        <v>78</v>
      </c>
      <c r="BE2416" s="3" t="s">
        <v>23751</v>
      </c>
      <c r="BF2416" s="3" t="s">
        <v>23750</v>
      </c>
      <c r="BG2416" s="3" t="s">
        <v>23752</v>
      </c>
    </row>
    <row r="2417" spans="1:59" ht="72.5" x14ac:dyDescent="0.35">
      <c r="A2417" s="2" t="s">
        <v>59</v>
      </c>
      <c r="B2417" s="2" t="s">
        <v>60</v>
      </c>
      <c r="C2417" s="2" t="s">
        <v>23753</v>
      </c>
      <c r="D2417" s="2" t="s">
        <v>23754</v>
      </c>
      <c r="E2417" s="2" t="s">
        <v>23755</v>
      </c>
      <c r="G2417" s="3" t="s">
        <v>65</v>
      </c>
      <c r="I2417" s="3" t="s">
        <v>65</v>
      </c>
      <c r="J2417" s="3" t="s">
        <v>65</v>
      </c>
      <c r="K2417" s="3" t="s">
        <v>66</v>
      </c>
      <c r="L2417" s="2" t="s">
        <v>23756</v>
      </c>
      <c r="M2417" s="2" t="s">
        <v>23757</v>
      </c>
      <c r="N2417" s="3" t="s">
        <v>1944</v>
      </c>
      <c r="P2417" s="3" t="s">
        <v>140</v>
      </c>
      <c r="R2417" s="3" t="s">
        <v>71</v>
      </c>
      <c r="S2417" s="4">
        <v>5</v>
      </c>
      <c r="T2417" s="4">
        <v>5</v>
      </c>
      <c r="U2417" s="5" t="s">
        <v>6113</v>
      </c>
      <c r="V2417" s="5" t="s">
        <v>6113</v>
      </c>
      <c r="W2417" s="5" t="s">
        <v>72</v>
      </c>
      <c r="X2417" s="5" t="s">
        <v>72</v>
      </c>
      <c r="Y2417" s="4">
        <v>66</v>
      </c>
      <c r="Z2417" s="4">
        <v>4</v>
      </c>
      <c r="AA2417" s="4">
        <v>4</v>
      </c>
      <c r="AB2417" s="4">
        <v>1</v>
      </c>
      <c r="AC2417" s="4">
        <v>1</v>
      </c>
      <c r="AD2417" s="4">
        <v>40</v>
      </c>
      <c r="AE2417" s="4">
        <v>40</v>
      </c>
      <c r="AF2417" s="4">
        <v>0</v>
      </c>
      <c r="AG2417" s="4">
        <v>0</v>
      </c>
      <c r="AH2417" s="4">
        <v>38</v>
      </c>
      <c r="AI2417" s="4">
        <v>38</v>
      </c>
      <c r="AJ2417" s="4">
        <v>2</v>
      </c>
      <c r="AK2417" s="4">
        <v>2</v>
      </c>
      <c r="AL2417" s="4">
        <v>32</v>
      </c>
      <c r="AM2417" s="4">
        <v>32</v>
      </c>
      <c r="AN2417" s="4">
        <v>0</v>
      </c>
      <c r="AO2417" s="4">
        <v>0</v>
      </c>
      <c r="AP2417" s="4">
        <v>2</v>
      </c>
      <c r="AQ2417" s="4">
        <v>2</v>
      </c>
      <c r="AR2417" s="3" t="s">
        <v>65</v>
      </c>
      <c r="AS2417" s="3" t="s">
        <v>65</v>
      </c>
      <c r="AT2417" s="3" t="s">
        <v>209</v>
      </c>
      <c r="AU2417" s="6" t="str">
        <f>HYPERLINK("http://catalog.hathitrust.org/Record/004159034","HathiTrust Record")</f>
        <v>HathiTrust Record</v>
      </c>
      <c r="AV2417" s="6" t="str">
        <f>HYPERLINK("http://mcgill.on.worldcat.org/oclc/49549930","Catalog Record")</f>
        <v>Catalog Record</v>
      </c>
      <c r="AW2417" s="6" t="str">
        <f>HYPERLINK("http://www.worldcat.org/oclc/49549930","WorldCat Record")</f>
        <v>WorldCat Record</v>
      </c>
      <c r="AX2417" s="3" t="s">
        <v>23758</v>
      </c>
      <c r="AY2417" s="3" t="s">
        <v>23759</v>
      </c>
      <c r="AZ2417" s="3" t="s">
        <v>23760</v>
      </c>
      <c r="BA2417" s="3" t="s">
        <v>23760</v>
      </c>
      <c r="BB2417" s="3" t="s">
        <v>23761</v>
      </c>
      <c r="BC2417" s="3" t="s">
        <v>77</v>
      </c>
      <c r="BD2417" s="3" t="s">
        <v>78</v>
      </c>
      <c r="BF2417" s="3" t="s">
        <v>23761</v>
      </c>
      <c r="BG2417" s="3" t="s">
        <v>23762</v>
      </c>
    </row>
    <row r="2418" spans="1:59" ht="58" x14ac:dyDescent="0.35">
      <c r="A2418" s="2" t="s">
        <v>59</v>
      </c>
      <c r="B2418" s="2" t="s">
        <v>60</v>
      </c>
      <c r="C2418" s="2" t="s">
        <v>23763</v>
      </c>
      <c r="D2418" s="2" t="s">
        <v>23764</v>
      </c>
      <c r="E2418" s="2" t="s">
        <v>23765</v>
      </c>
      <c r="G2418" s="3" t="s">
        <v>65</v>
      </c>
      <c r="I2418" s="3" t="s">
        <v>65</v>
      </c>
      <c r="J2418" s="3" t="s">
        <v>65</v>
      </c>
      <c r="K2418" s="3" t="s">
        <v>66</v>
      </c>
      <c r="L2418" s="2" t="s">
        <v>23766</v>
      </c>
      <c r="M2418" s="2" t="s">
        <v>23767</v>
      </c>
      <c r="N2418" s="3" t="s">
        <v>479</v>
      </c>
      <c r="O2418" s="2" t="s">
        <v>23768</v>
      </c>
      <c r="P2418" s="3" t="s">
        <v>616</v>
      </c>
      <c r="Q2418" s="2" t="s">
        <v>23769</v>
      </c>
      <c r="R2418" s="3" t="s">
        <v>71</v>
      </c>
      <c r="S2418" s="4">
        <v>1</v>
      </c>
      <c r="T2418" s="4">
        <v>1</v>
      </c>
      <c r="U2418" s="5" t="s">
        <v>23770</v>
      </c>
      <c r="V2418" s="5" t="s">
        <v>23770</v>
      </c>
      <c r="W2418" s="5" t="s">
        <v>72</v>
      </c>
      <c r="X2418" s="5" t="s">
        <v>72</v>
      </c>
      <c r="Y2418" s="4">
        <v>24</v>
      </c>
      <c r="Z2418" s="4">
        <v>2</v>
      </c>
      <c r="AA2418" s="4">
        <v>7</v>
      </c>
      <c r="AB2418" s="4">
        <v>1</v>
      </c>
      <c r="AC2418" s="4">
        <v>5</v>
      </c>
      <c r="AD2418" s="4">
        <v>16</v>
      </c>
      <c r="AE2418" s="4">
        <v>20</v>
      </c>
      <c r="AF2418" s="4">
        <v>0</v>
      </c>
      <c r="AG2418" s="4">
        <v>3</v>
      </c>
      <c r="AH2418" s="4">
        <v>15</v>
      </c>
      <c r="AI2418" s="4">
        <v>17</v>
      </c>
      <c r="AJ2418" s="4">
        <v>1</v>
      </c>
      <c r="AK2418" s="4">
        <v>5</v>
      </c>
      <c r="AL2418" s="4">
        <v>12</v>
      </c>
      <c r="AM2418" s="4">
        <v>12</v>
      </c>
      <c r="AN2418" s="4">
        <v>0</v>
      </c>
      <c r="AO2418" s="4">
        <v>0</v>
      </c>
      <c r="AP2418" s="4">
        <v>1</v>
      </c>
      <c r="AQ2418" s="4">
        <v>4</v>
      </c>
      <c r="AR2418" s="3" t="s">
        <v>65</v>
      </c>
      <c r="AS2418" s="3" t="s">
        <v>65</v>
      </c>
      <c r="AT2418" s="3" t="s">
        <v>65</v>
      </c>
      <c r="AV2418" s="6" t="str">
        <f>HYPERLINK("http://mcgill.on.worldcat.org/oclc/224897040","Catalog Record")</f>
        <v>Catalog Record</v>
      </c>
      <c r="AW2418" s="6" t="str">
        <f>HYPERLINK("http://www.worldcat.org/oclc/224897040","WorldCat Record")</f>
        <v>WorldCat Record</v>
      </c>
      <c r="AX2418" s="3" t="s">
        <v>23771</v>
      </c>
      <c r="AY2418" s="3" t="s">
        <v>23772</v>
      </c>
      <c r="AZ2418" s="3" t="s">
        <v>23773</v>
      </c>
      <c r="BA2418" s="3" t="s">
        <v>23773</v>
      </c>
      <c r="BB2418" s="3" t="s">
        <v>23774</v>
      </c>
      <c r="BC2418" s="3" t="s">
        <v>77</v>
      </c>
      <c r="BD2418" s="3" t="s">
        <v>78</v>
      </c>
      <c r="BE2418" s="3" t="s">
        <v>23775</v>
      </c>
      <c r="BF2418" s="3" t="s">
        <v>23774</v>
      </c>
      <c r="BG2418" s="3" t="s">
        <v>23776</v>
      </c>
    </row>
    <row r="2419" spans="1:59" ht="58" x14ac:dyDescent="0.35">
      <c r="A2419" s="2" t="s">
        <v>59</v>
      </c>
      <c r="B2419" s="2" t="s">
        <v>60</v>
      </c>
      <c r="C2419" s="2" t="s">
        <v>23777</v>
      </c>
      <c r="D2419" s="2" t="s">
        <v>23778</v>
      </c>
      <c r="E2419" s="2" t="s">
        <v>23779</v>
      </c>
      <c r="G2419" s="3" t="s">
        <v>65</v>
      </c>
      <c r="I2419" s="3" t="s">
        <v>65</v>
      </c>
      <c r="J2419" s="3" t="s">
        <v>65</v>
      </c>
      <c r="K2419" s="3" t="s">
        <v>66</v>
      </c>
      <c r="L2419" s="2" t="s">
        <v>23780</v>
      </c>
      <c r="M2419" s="2" t="s">
        <v>11713</v>
      </c>
      <c r="N2419" s="3" t="s">
        <v>164</v>
      </c>
      <c r="P2419" s="3" t="s">
        <v>140</v>
      </c>
      <c r="Q2419" s="2" t="s">
        <v>23781</v>
      </c>
      <c r="R2419" s="3" t="s">
        <v>71</v>
      </c>
      <c r="S2419" s="4">
        <v>0</v>
      </c>
      <c r="T2419" s="4">
        <v>0</v>
      </c>
      <c r="W2419" s="5" t="s">
        <v>72</v>
      </c>
      <c r="X2419" s="5" t="s">
        <v>72</v>
      </c>
      <c r="Y2419" s="4">
        <v>56</v>
      </c>
      <c r="Z2419" s="4">
        <v>6</v>
      </c>
      <c r="AA2419" s="4">
        <v>6</v>
      </c>
      <c r="AB2419" s="4">
        <v>1</v>
      </c>
      <c r="AC2419" s="4">
        <v>1</v>
      </c>
      <c r="AD2419" s="4">
        <v>38</v>
      </c>
      <c r="AE2419" s="4">
        <v>39</v>
      </c>
      <c r="AF2419" s="4">
        <v>0</v>
      </c>
      <c r="AG2419" s="4">
        <v>0</v>
      </c>
      <c r="AH2419" s="4">
        <v>37</v>
      </c>
      <c r="AI2419" s="4">
        <v>38</v>
      </c>
      <c r="AJ2419" s="4">
        <v>4</v>
      </c>
      <c r="AK2419" s="4">
        <v>4</v>
      </c>
      <c r="AL2419" s="4">
        <v>27</v>
      </c>
      <c r="AM2419" s="4">
        <v>28</v>
      </c>
      <c r="AN2419" s="4">
        <v>0</v>
      </c>
      <c r="AO2419" s="4">
        <v>0</v>
      </c>
      <c r="AP2419" s="4">
        <v>4</v>
      </c>
      <c r="AQ2419" s="4">
        <v>4</v>
      </c>
      <c r="AR2419" s="3" t="s">
        <v>65</v>
      </c>
      <c r="AS2419" s="3" t="s">
        <v>65</v>
      </c>
      <c r="AT2419" s="3" t="s">
        <v>65</v>
      </c>
      <c r="AV2419" s="6" t="str">
        <f>HYPERLINK("http://mcgill.on.worldcat.org/oclc/880397434","Catalog Record")</f>
        <v>Catalog Record</v>
      </c>
      <c r="AW2419" s="6" t="str">
        <f>HYPERLINK("http://www.worldcat.org/oclc/880397434","WorldCat Record")</f>
        <v>WorldCat Record</v>
      </c>
      <c r="AX2419" s="3" t="s">
        <v>23782</v>
      </c>
      <c r="AY2419" s="3" t="s">
        <v>23783</v>
      </c>
      <c r="AZ2419" s="3" t="s">
        <v>23784</v>
      </c>
      <c r="BA2419" s="3" t="s">
        <v>23784</v>
      </c>
      <c r="BB2419" s="3" t="s">
        <v>23785</v>
      </c>
      <c r="BC2419" s="3" t="s">
        <v>77</v>
      </c>
      <c r="BD2419" s="3" t="s">
        <v>78</v>
      </c>
      <c r="BE2419" s="3" t="s">
        <v>23786</v>
      </c>
      <c r="BF2419" s="3" t="s">
        <v>23785</v>
      </c>
      <c r="BG2419" s="3" t="s">
        <v>23787</v>
      </c>
    </row>
    <row r="2420" spans="1:59" ht="116" x14ac:dyDescent="0.35">
      <c r="A2420" s="2" t="s">
        <v>59</v>
      </c>
      <c r="B2420" s="2" t="s">
        <v>60</v>
      </c>
      <c r="C2420" s="2" t="s">
        <v>23788</v>
      </c>
      <c r="D2420" s="2" t="s">
        <v>23789</v>
      </c>
      <c r="E2420" s="2" t="s">
        <v>23790</v>
      </c>
      <c r="G2420" s="3" t="s">
        <v>65</v>
      </c>
      <c r="I2420" s="3" t="s">
        <v>65</v>
      </c>
      <c r="J2420" s="3" t="s">
        <v>65</v>
      </c>
      <c r="K2420" s="3" t="s">
        <v>66</v>
      </c>
      <c r="M2420" s="2" t="s">
        <v>23791</v>
      </c>
      <c r="N2420" s="3" t="s">
        <v>176</v>
      </c>
      <c r="P2420" s="3" t="s">
        <v>140</v>
      </c>
      <c r="Q2420" s="2" t="s">
        <v>23792</v>
      </c>
      <c r="R2420" s="3" t="s">
        <v>71</v>
      </c>
      <c r="S2420" s="4">
        <v>0</v>
      </c>
      <c r="T2420" s="4">
        <v>0</v>
      </c>
      <c r="W2420" s="5" t="s">
        <v>72</v>
      </c>
      <c r="X2420" s="5" t="s">
        <v>72</v>
      </c>
      <c r="Y2420" s="4">
        <v>18</v>
      </c>
      <c r="Z2420" s="4">
        <v>3</v>
      </c>
      <c r="AA2420" s="4">
        <v>3</v>
      </c>
      <c r="AB2420" s="4">
        <v>1</v>
      </c>
      <c r="AC2420" s="4">
        <v>1</v>
      </c>
      <c r="AD2420" s="4">
        <v>9</v>
      </c>
      <c r="AE2420" s="4">
        <v>9</v>
      </c>
      <c r="AF2420" s="4">
        <v>0</v>
      </c>
      <c r="AG2420" s="4">
        <v>0</v>
      </c>
      <c r="AH2420" s="4">
        <v>8</v>
      </c>
      <c r="AI2420" s="4">
        <v>8</v>
      </c>
      <c r="AJ2420" s="4">
        <v>1</v>
      </c>
      <c r="AK2420" s="4">
        <v>1</v>
      </c>
      <c r="AL2420" s="4">
        <v>6</v>
      </c>
      <c r="AM2420" s="4">
        <v>6</v>
      </c>
      <c r="AN2420" s="4">
        <v>0</v>
      </c>
      <c r="AO2420" s="4">
        <v>0</v>
      </c>
      <c r="AP2420" s="4">
        <v>1</v>
      </c>
      <c r="AQ2420" s="4">
        <v>1</v>
      </c>
      <c r="AR2420" s="3" t="s">
        <v>65</v>
      </c>
      <c r="AS2420" s="3" t="s">
        <v>65</v>
      </c>
      <c r="AT2420" s="3" t="s">
        <v>65</v>
      </c>
      <c r="AV2420" s="6" t="str">
        <f>HYPERLINK("http://mcgill.on.worldcat.org/oclc/911035470","Catalog Record")</f>
        <v>Catalog Record</v>
      </c>
      <c r="AW2420" s="6" t="str">
        <f>HYPERLINK("http://www.worldcat.org/oclc/911035470","WorldCat Record")</f>
        <v>WorldCat Record</v>
      </c>
      <c r="AX2420" s="3" t="s">
        <v>23793</v>
      </c>
      <c r="AY2420" s="3" t="s">
        <v>23794</v>
      </c>
      <c r="AZ2420" s="3" t="s">
        <v>23795</v>
      </c>
      <c r="BA2420" s="3" t="s">
        <v>23795</v>
      </c>
      <c r="BB2420" s="3" t="s">
        <v>23796</v>
      </c>
      <c r="BC2420" s="3" t="s">
        <v>77</v>
      </c>
      <c r="BD2420" s="3" t="s">
        <v>78</v>
      </c>
      <c r="BE2420" s="3" t="s">
        <v>23797</v>
      </c>
      <c r="BF2420" s="3" t="s">
        <v>23796</v>
      </c>
      <c r="BG2420" s="3" t="s">
        <v>23798</v>
      </c>
    </row>
    <row r="2421" spans="1:59" ht="58" x14ac:dyDescent="0.35">
      <c r="A2421" s="2" t="s">
        <v>59</v>
      </c>
      <c r="B2421" s="2" t="s">
        <v>60</v>
      </c>
      <c r="C2421" s="2" t="s">
        <v>23799</v>
      </c>
      <c r="D2421" s="2" t="s">
        <v>23800</v>
      </c>
      <c r="E2421" s="2" t="s">
        <v>23801</v>
      </c>
      <c r="G2421" s="3" t="s">
        <v>65</v>
      </c>
      <c r="I2421" s="3" t="s">
        <v>65</v>
      </c>
      <c r="J2421" s="3" t="s">
        <v>65</v>
      </c>
      <c r="K2421" s="3" t="s">
        <v>66</v>
      </c>
      <c r="L2421" s="2" t="s">
        <v>23802</v>
      </c>
      <c r="M2421" s="2" t="s">
        <v>23803</v>
      </c>
      <c r="N2421" s="3" t="s">
        <v>8188</v>
      </c>
      <c r="P2421" s="3" t="s">
        <v>69</v>
      </c>
      <c r="Q2421" s="2" t="s">
        <v>23804</v>
      </c>
      <c r="R2421" s="3" t="s">
        <v>71</v>
      </c>
      <c r="S2421" s="4">
        <v>56</v>
      </c>
      <c r="T2421" s="4">
        <v>56</v>
      </c>
      <c r="U2421" s="5" t="s">
        <v>6113</v>
      </c>
      <c r="V2421" s="5" t="s">
        <v>6113</v>
      </c>
      <c r="W2421" s="5" t="s">
        <v>72</v>
      </c>
      <c r="X2421" s="5" t="s">
        <v>72</v>
      </c>
      <c r="Y2421" s="4">
        <v>305</v>
      </c>
      <c r="Z2421" s="4">
        <v>25</v>
      </c>
      <c r="AA2421" s="4">
        <v>26</v>
      </c>
      <c r="AB2421" s="4">
        <v>3</v>
      </c>
      <c r="AC2421" s="4">
        <v>4</v>
      </c>
      <c r="AD2421" s="4">
        <v>96</v>
      </c>
      <c r="AE2421" s="4">
        <v>98</v>
      </c>
      <c r="AF2421" s="4">
        <v>1</v>
      </c>
      <c r="AG2421" s="4">
        <v>2</v>
      </c>
      <c r="AH2421" s="4">
        <v>82</v>
      </c>
      <c r="AI2421" s="4">
        <v>83</v>
      </c>
      <c r="AJ2421" s="4">
        <v>15</v>
      </c>
      <c r="AK2421" s="4">
        <v>16</v>
      </c>
      <c r="AL2421" s="4">
        <v>49</v>
      </c>
      <c r="AM2421" s="4">
        <v>49</v>
      </c>
      <c r="AN2421" s="4">
        <v>0</v>
      </c>
      <c r="AO2421" s="4">
        <v>0</v>
      </c>
      <c r="AP2421" s="4">
        <v>18</v>
      </c>
      <c r="AQ2421" s="4">
        <v>18</v>
      </c>
      <c r="AR2421" s="3" t="s">
        <v>65</v>
      </c>
      <c r="AS2421" s="3" t="s">
        <v>65</v>
      </c>
      <c r="AT2421" s="3" t="s">
        <v>209</v>
      </c>
      <c r="AU2421" s="6" t="str">
        <f>HYPERLINK("http://catalog.hathitrust.org/Record/000838850","HathiTrust Record")</f>
        <v>HathiTrust Record</v>
      </c>
      <c r="AV2421" s="6" t="str">
        <f>HYPERLINK("http://mcgill.on.worldcat.org/oclc/14359127","Catalog Record")</f>
        <v>Catalog Record</v>
      </c>
      <c r="AW2421" s="6" t="str">
        <f>HYPERLINK("http://www.worldcat.org/oclc/14359127","WorldCat Record")</f>
        <v>WorldCat Record</v>
      </c>
      <c r="AX2421" s="3" t="s">
        <v>23805</v>
      </c>
      <c r="AY2421" s="3" t="s">
        <v>23806</v>
      </c>
      <c r="AZ2421" s="3" t="s">
        <v>23807</v>
      </c>
      <c r="BA2421" s="3" t="s">
        <v>23807</v>
      </c>
      <c r="BB2421" s="3" t="s">
        <v>23808</v>
      </c>
      <c r="BC2421" s="3" t="s">
        <v>77</v>
      </c>
      <c r="BD2421" s="3" t="s">
        <v>78</v>
      </c>
      <c r="BE2421" s="3" t="s">
        <v>23809</v>
      </c>
      <c r="BF2421" s="3" t="s">
        <v>23808</v>
      </c>
      <c r="BG2421" s="3" t="s">
        <v>23810</v>
      </c>
    </row>
    <row r="2422" spans="1:59" ht="58" x14ac:dyDescent="0.35">
      <c r="A2422" s="2" t="s">
        <v>59</v>
      </c>
      <c r="B2422" s="2" t="s">
        <v>60</v>
      </c>
      <c r="C2422" s="2" t="s">
        <v>23811</v>
      </c>
      <c r="D2422" s="2" t="s">
        <v>23812</v>
      </c>
      <c r="E2422" s="2" t="s">
        <v>23813</v>
      </c>
      <c r="G2422" s="3" t="s">
        <v>65</v>
      </c>
      <c r="I2422" s="3" t="s">
        <v>65</v>
      </c>
      <c r="J2422" s="3" t="s">
        <v>65</v>
      </c>
      <c r="K2422" s="3" t="s">
        <v>66</v>
      </c>
      <c r="L2422" s="2" t="s">
        <v>23814</v>
      </c>
      <c r="M2422" s="2" t="s">
        <v>23815</v>
      </c>
      <c r="N2422" s="3" t="s">
        <v>113</v>
      </c>
      <c r="P2422" s="3" t="s">
        <v>69</v>
      </c>
      <c r="R2422" s="3" t="s">
        <v>71</v>
      </c>
      <c r="S2422" s="4">
        <v>6</v>
      </c>
      <c r="T2422" s="4">
        <v>6</v>
      </c>
      <c r="U2422" s="5" t="s">
        <v>23816</v>
      </c>
      <c r="V2422" s="5" t="s">
        <v>23816</v>
      </c>
      <c r="W2422" s="5" t="s">
        <v>72</v>
      </c>
      <c r="X2422" s="5" t="s">
        <v>72</v>
      </c>
      <c r="Y2422" s="4">
        <v>136</v>
      </c>
      <c r="Z2422" s="4">
        <v>14</v>
      </c>
      <c r="AA2422" s="4">
        <v>42</v>
      </c>
      <c r="AB2422" s="4">
        <v>2</v>
      </c>
      <c r="AC2422" s="4">
        <v>7</v>
      </c>
      <c r="AD2422" s="4">
        <v>63</v>
      </c>
      <c r="AE2422" s="4">
        <v>70</v>
      </c>
      <c r="AF2422" s="4">
        <v>1</v>
      </c>
      <c r="AG2422" s="4">
        <v>1</v>
      </c>
      <c r="AH2422" s="4">
        <v>56</v>
      </c>
      <c r="AI2422" s="4">
        <v>61</v>
      </c>
      <c r="AJ2422" s="4">
        <v>9</v>
      </c>
      <c r="AK2422" s="4">
        <v>10</v>
      </c>
      <c r="AL2422" s="4">
        <v>34</v>
      </c>
      <c r="AM2422" s="4">
        <v>36</v>
      </c>
      <c r="AN2422" s="4">
        <v>0</v>
      </c>
      <c r="AO2422" s="4">
        <v>0</v>
      </c>
      <c r="AP2422" s="4">
        <v>10</v>
      </c>
      <c r="AQ2422" s="4">
        <v>13</v>
      </c>
      <c r="AR2422" s="3" t="s">
        <v>65</v>
      </c>
      <c r="AS2422" s="3" t="s">
        <v>65</v>
      </c>
      <c r="AT2422" s="3" t="s">
        <v>65</v>
      </c>
      <c r="AV2422" s="6" t="str">
        <f>HYPERLINK("http://mcgill.on.worldcat.org/oclc/492091401","Catalog Record")</f>
        <v>Catalog Record</v>
      </c>
      <c r="AW2422" s="6" t="str">
        <f>HYPERLINK("http://www.worldcat.org/oclc/492091401","WorldCat Record")</f>
        <v>WorldCat Record</v>
      </c>
      <c r="AX2422" s="3" t="s">
        <v>23817</v>
      </c>
      <c r="AY2422" s="3" t="s">
        <v>23818</v>
      </c>
      <c r="AZ2422" s="3" t="s">
        <v>23819</v>
      </c>
      <c r="BA2422" s="3" t="s">
        <v>23819</v>
      </c>
      <c r="BB2422" s="3" t="s">
        <v>23820</v>
      </c>
      <c r="BC2422" s="3" t="s">
        <v>77</v>
      </c>
      <c r="BD2422" s="3" t="s">
        <v>78</v>
      </c>
      <c r="BE2422" s="3" t="s">
        <v>23821</v>
      </c>
      <c r="BF2422" s="3" t="s">
        <v>23820</v>
      </c>
      <c r="BG2422" s="3" t="s">
        <v>23822</v>
      </c>
    </row>
    <row r="2423" spans="1:59" ht="58" x14ac:dyDescent="0.35">
      <c r="A2423" s="2" t="s">
        <v>59</v>
      </c>
      <c r="B2423" s="2" t="s">
        <v>60</v>
      </c>
      <c r="C2423" s="2" t="s">
        <v>23823</v>
      </c>
      <c r="D2423" s="2" t="s">
        <v>23824</v>
      </c>
      <c r="E2423" s="2" t="s">
        <v>23825</v>
      </c>
      <c r="G2423" s="3" t="s">
        <v>65</v>
      </c>
      <c r="I2423" s="3" t="s">
        <v>65</v>
      </c>
      <c r="J2423" s="3" t="s">
        <v>65</v>
      </c>
      <c r="K2423" s="3" t="s">
        <v>66</v>
      </c>
      <c r="L2423" s="2" t="s">
        <v>23826</v>
      </c>
      <c r="M2423" s="2" t="s">
        <v>23827</v>
      </c>
      <c r="N2423" s="3" t="s">
        <v>126</v>
      </c>
      <c r="P2423" s="3" t="s">
        <v>140</v>
      </c>
      <c r="Q2423" s="2" t="s">
        <v>23828</v>
      </c>
      <c r="R2423" s="3" t="s">
        <v>71</v>
      </c>
      <c r="S2423" s="4">
        <v>0</v>
      </c>
      <c r="T2423" s="4">
        <v>0</v>
      </c>
      <c r="W2423" s="5" t="s">
        <v>72</v>
      </c>
      <c r="X2423" s="5" t="s">
        <v>72</v>
      </c>
      <c r="Y2423" s="4">
        <v>7</v>
      </c>
      <c r="Z2423" s="4">
        <v>1</v>
      </c>
      <c r="AA2423" s="4">
        <v>1</v>
      </c>
      <c r="AB2423" s="4">
        <v>1</v>
      </c>
      <c r="AC2423" s="4">
        <v>1</v>
      </c>
      <c r="AD2423" s="4">
        <v>1</v>
      </c>
      <c r="AE2423" s="4">
        <v>1</v>
      </c>
      <c r="AF2423" s="4">
        <v>0</v>
      </c>
      <c r="AG2423" s="4">
        <v>0</v>
      </c>
      <c r="AH2423" s="4">
        <v>1</v>
      </c>
      <c r="AI2423" s="4">
        <v>1</v>
      </c>
      <c r="AJ2423" s="4">
        <v>0</v>
      </c>
      <c r="AK2423" s="4">
        <v>0</v>
      </c>
      <c r="AL2423" s="4">
        <v>1</v>
      </c>
      <c r="AM2423" s="4">
        <v>1</v>
      </c>
      <c r="AN2423" s="4">
        <v>0</v>
      </c>
      <c r="AO2423" s="4">
        <v>0</v>
      </c>
      <c r="AP2423" s="4">
        <v>0</v>
      </c>
      <c r="AQ2423" s="4">
        <v>0</v>
      </c>
      <c r="AR2423" s="3" t="s">
        <v>65</v>
      </c>
      <c r="AS2423" s="3" t="s">
        <v>65</v>
      </c>
      <c r="AT2423" s="3" t="s">
        <v>65</v>
      </c>
      <c r="AV2423" s="6" t="str">
        <f>HYPERLINK("http://mcgill.on.worldcat.org/oclc/774035399","Catalog Record")</f>
        <v>Catalog Record</v>
      </c>
      <c r="AW2423" s="6" t="str">
        <f>HYPERLINK("http://www.worldcat.org/oclc/774035399","WorldCat Record")</f>
        <v>WorldCat Record</v>
      </c>
      <c r="AX2423" s="3" t="s">
        <v>23829</v>
      </c>
      <c r="AY2423" s="3" t="s">
        <v>23830</v>
      </c>
      <c r="AZ2423" s="3" t="s">
        <v>23831</v>
      </c>
      <c r="BA2423" s="3" t="s">
        <v>23831</v>
      </c>
      <c r="BB2423" s="3" t="s">
        <v>23832</v>
      </c>
      <c r="BC2423" s="3" t="s">
        <v>77</v>
      </c>
      <c r="BD2423" s="3" t="s">
        <v>78</v>
      </c>
      <c r="BE2423" s="3" t="s">
        <v>23833</v>
      </c>
      <c r="BF2423" s="3" t="s">
        <v>23832</v>
      </c>
      <c r="BG2423" s="3" t="s">
        <v>23834</v>
      </c>
    </row>
    <row r="2424" spans="1:59" ht="72.5" x14ac:dyDescent="0.35">
      <c r="A2424" s="2" t="s">
        <v>59</v>
      </c>
      <c r="B2424" s="2" t="s">
        <v>60</v>
      </c>
      <c r="C2424" s="2" t="s">
        <v>23835</v>
      </c>
      <c r="D2424" s="2" t="s">
        <v>23836</v>
      </c>
      <c r="E2424" s="2" t="s">
        <v>23837</v>
      </c>
      <c r="G2424" s="3" t="s">
        <v>65</v>
      </c>
      <c r="I2424" s="3" t="s">
        <v>65</v>
      </c>
      <c r="J2424" s="3" t="s">
        <v>65</v>
      </c>
      <c r="K2424" s="3" t="s">
        <v>66</v>
      </c>
      <c r="L2424" s="2" t="s">
        <v>23838</v>
      </c>
      <c r="M2424" s="2" t="s">
        <v>23839</v>
      </c>
      <c r="N2424" s="3" t="s">
        <v>152</v>
      </c>
      <c r="P2424" s="3" t="s">
        <v>140</v>
      </c>
      <c r="R2424" s="3" t="s">
        <v>71</v>
      </c>
      <c r="S2424" s="4">
        <v>1</v>
      </c>
      <c r="T2424" s="4">
        <v>1</v>
      </c>
      <c r="U2424" s="5" t="s">
        <v>2341</v>
      </c>
      <c r="V2424" s="5" t="s">
        <v>2341</v>
      </c>
      <c r="W2424" s="5" t="s">
        <v>72</v>
      </c>
      <c r="X2424" s="5" t="s">
        <v>72</v>
      </c>
      <c r="Y2424" s="4">
        <v>47</v>
      </c>
      <c r="Z2424" s="4">
        <v>8</v>
      </c>
      <c r="AA2424" s="4">
        <v>8</v>
      </c>
      <c r="AB2424" s="4">
        <v>1</v>
      </c>
      <c r="AC2424" s="4">
        <v>1</v>
      </c>
      <c r="AD2424" s="4">
        <v>28</v>
      </c>
      <c r="AE2424" s="4">
        <v>28</v>
      </c>
      <c r="AF2424" s="4">
        <v>0</v>
      </c>
      <c r="AG2424" s="4">
        <v>0</v>
      </c>
      <c r="AH2424" s="4">
        <v>27</v>
      </c>
      <c r="AI2424" s="4">
        <v>27</v>
      </c>
      <c r="AJ2424" s="4">
        <v>4</v>
      </c>
      <c r="AK2424" s="4">
        <v>4</v>
      </c>
      <c r="AL2424" s="4">
        <v>19</v>
      </c>
      <c r="AM2424" s="4">
        <v>19</v>
      </c>
      <c r="AN2424" s="4">
        <v>0</v>
      </c>
      <c r="AO2424" s="4">
        <v>0</v>
      </c>
      <c r="AP2424" s="4">
        <v>4</v>
      </c>
      <c r="AQ2424" s="4">
        <v>4</v>
      </c>
      <c r="AR2424" s="3" t="s">
        <v>65</v>
      </c>
      <c r="AS2424" s="3" t="s">
        <v>65</v>
      </c>
      <c r="AT2424" s="3" t="s">
        <v>65</v>
      </c>
      <c r="AV2424" s="6" t="str">
        <f>HYPERLINK("http://mcgill.on.worldcat.org/oclc/846459948","Catalog Record")</f>
        <v>Catalog Record</v>
      </c>
      <c r="AW2424" s="6" t="str">
        <f>HYPERLINK("http://www.worldcat.org/oclc/846459948","WorldCat Record")</f>
        <v>WorldCat Record</v>
      </c>
      <c r="AX2424" s="3" t="s">
        <v>23840</v>
      </c>
      <c r="AY2424" s="3" t="s">
        <v>23841</v>
      </c>
      <c r="AZ2424" s="3" t="s">
        <v>23842</v>
      </c>
      <c r="BA2424" s="3" t="s">
        <v>23842</v>
      </c>
      <c r="BB2424" s="3" t="s">
        <v>23843</v>
      </c>
      <c r="BC2424" s="3" t="s">
        <v>77</v>
      </c>
      <c r="BD2424" s="3" t="s">
        <v>78</v>
      </c>
      <c r="BE2424" s="3" t="s">
        <v>23844</v>
      </c>
      <c r="BF2424" s="3" t="s">
        <v>23843</v>
      </c>
      <c r="BG2424" s="3" t="s">
        <v>23845</v>
      </c>
    </row>
    <row r="2425" spans="1:59" ht="58" x14ac:dyDescent="0.35">
      <c r="A2425" s="2" t="s">
        <v>59</v>
      </c>
      <c r="B2425" s="2" t="s">
        <v>60</v>
      </c>
      <c r="C2425" s="2" t="s">
        <v>23846</v>
      </c>
      <c r="D2425" s="2" t="s">
        <v>23847</v>
      </c>
      <c r="E2425" s="2" t="s">
        <v>23848</v>
      </c>
      <c r="G2425" s="3" t="s">
        <v>65</v>
      </c>
      <c r="I2425" s="3" t="s">
        <v>65</v>
      </c>
      <c r="J2425" s="3" t="s">
        <v>65</v>
      </c>
      <c r="K2425" s="3" t="s">
        <v>66</v>
      </c>
      <c r="L2425" s="2" t="s">
        <v>23849</v>
      </c>
      <c r="M2425" s="2" t="s">
        <v>23850</v>
      </c>
      <c r="N2425" s="3" t="s">
        <v>164</v>
      </c>
      <c r="P2425" s="3" t="s">
        <v>140</v>
      </c>
      <c r="Q2425" s="2" t="s">
        <v>23851</v>
      </c>
      <c r="R2425" s="3" t="s">
        <v>71</v>
      </c>
      <c r="S2425" s="4">
        <v>0</v>
      </c>
      <c r="T2425" s="4">
        <v>0</v>
      </c>
      <c r="W2425" s="5" t="s">
        <v>72</v>
      </c>
      <c r="X2425" s="5" t="s">
        <v>72</v>
      </c>
      <c r="Y2425" s="4">
        <v>11</v>
      </c>
      <c r="Z2425" s="4">
        <v>2</v>
      </c>
      <c r="AA2425" s="4">
        <v>4</v>
      </c>
      <c r="AB2425" s="4">
        <v>1</v>
      </c>
      <c r="AC2425" s="4">
        <v>3</v>
      </c>
      <c r="AD2425" s="4">
        <v>4</v>
      </c>
      <c r="AE2425" s="4">
        <v>5</v>
      </c>
      <c r="AF2425" s="4">
        <v>0</v>
      </c>
      <c r="AG2425" s="4">
        <v>1</v>
      </c>
      <c r="AH2425" s="4">
        <v>4</v>
      </c>
      <c r="AI2425" s="4">
        <v>4</v>
      </c>
      <c r="AJ2425" s="4">
        <v>1</v>
      </c>
      <c r="AK2425" s="4">
        <v>2</v>
      </c>
      <c r="AL2425" s="4">
        <v>3</v>
      </c>
      <c r="AM2425" s="4">
        <v>3</v>
      </c>
      <c r="AN2425" s="4">
        <v>0</v>
      </c>
      <c r="AO2425" s="4">
        <v>0</v>
      </c>
      <c r="AP2425" s="4">
        <v>1</v>
      </c>
      <c r="AQ2425" s="4">
        <v>1</v>
      </c>
      <c r="AR2425" s="3" t="s">
        <v>65</v>
      </c>
      <c r="AS2425" s="3" t="s">
        <v>65</v>
      </c>
      <c r="AT2425" s="3" t="s">
        <v>65</v>
      </c>
      <c r="AV2425" s="6" t="str">
        <f>HYPERLINK("http://mcgill.on.worldcat.org/oclc/871298535","Catalog Record")</f>
        <v>Catalog Record</v>
      </c>
      <c r="AW2425" s="6" t="str">
        <f>HYPERLINK("http://www.worldcat.org/oclc/871298535","WorldCat Record")</f>
        <v>WorldCat Record</v>
      </c>
      <c r="AX2425" s="3" t="s">
        <v>23852</v>
      </c>
      <c r="AY2425" s="3" t="s">
        <v>23853</v>
      </c>
      <c r="AZ2425" s="3" t="s">
        <v>23854</v>
      </c>
      <c r="BA2425" s="3" t="s">
        <v>23854</v>
      </c>
      <c r="BB2425" s="3" t="s">
        <v>23855</v>
      </c>
      <c r="BC2425" s="3" t="s">
        <v>77</v>
      </c>
      <c r="BD2425" s="3" t="s">
        <v>78</v>
      </c>
      <c r="BE2425" s="3" t="s">
        <v>23856</v>
      </c>
      <c r="BF2425" s="3" t="s">
        <v>23855</v>
      </c>
      <c r="BG2425" s="3" t="s">
        <v>23857</v>
      </c>
    </row>
    <row r="2426" spans="1:59" ht="58" x14ac:dyDescent="0.35">
      <c r="A2426" s="2" t="s">
        <v>59</v>
      </c>
      <c r="B2426" s="2" t="s">
        <v>60</v>
      </c>
      <c r="C2426" s="2" t="s">
        <v>23858</v>
      </c>
      <c r="D2426" s="2" t="s">
        <v>23859</v>
      </c>
      <c r="E2426" s="2" t="s">
        <v>23860</v>
      </c>
      <c r="G2426" s="3" t="s">
        <v>65</v>
      </c>
      <c r="I2426" s="3" t="s">
        <v>65</v>
      </c>
      <c r="J2426" s="3" t="s">
        <v>65</v>
      </c>
      <c r="K2426" s="3" t="s">
        <v>66</v>
      </c>
      <c r="L2426" s="2" t="s">
        <v>23861</v>
      </c>
      <c r="M2426" s="2" t="s">
        <v>2833</v>
      </c>
      <c r="N2426" s="3" t="s">
        <v>113</v>
      </c>
      <c r="P2426" s="3" t="s">
        <v>140</v>
      </c>
      <c r="Q2426" s="2" t="s">
        <v>23862</v>
      </c>
      <c r="R2426" s="3" t="s">
        <v>71</v>
      </c>
      <c r="S2426" s="4">
        <v>0</v>
      </c>
      <c r="T2426" s="4">
        <v>0</v>
      </c>
      <c r="W2426" s="5" t="s">
        <v>72</v>
      </c>
      <c r="X2426" s="5" t="s">
        <v>72</v>
      </c>
      <c r="Y2426" s="4">
        <v>41</v>
      </c>
      <c r="Z2426" s="4">
        <v>4</v>
      </c>
      <c r="AA2426" s="4">
        <v>4</v>
      </c>
      <c r="AB2426" s="4">
        <v>1</v>
      </c>
      <c r="AC2426" s="4">
        <v>1</v>
      </c>
      <c r="AD2426" s="4">
        <v>32</v>
      </c>
      <c r="AE2426" s="4">
        <v>32</v>
      </c>
      <c r="AF2426" s="4">
        <v>0</v>
      </c>
      <c r="AG2426" s="4">
        <v>0</v>
      </c>
      <c r="AH2426" s="4">
        <v>31</v>
      </c>
      <c r="AI2426" s="4">
        <v>31</v>
      </c>
      <c r="AJ2426" s="4">
        <v>2</v>
      </c>
      <c r="AK2426" s="4">
        <v>2</v>
      </c>
      <c r="AL2426" s="4">
        <v>24</v>
      </c>
      <c r="AM2426" s="4">
        <v>24</v>
      </c>
      <c r="AN2426" s="4">
        <v>0</v>
      </c>
      <c r="AO2426" s="4">
        <v>0</v>
      </c>
      <c r="AP2426" s="4">
        <v>2</v>
      </c>
      <c r="AQ2426" s="4">
        <v>2</v>
      </c>
      <c r="AR2426" s="3" t="s">
        <v>65</v>
      </c>
      <c r="AS2426" s="3" t="s">
        <v>65</v>
      </c>
      <c r="AT2426" s="3" t="s">
        <v>65</v>
      </c>
      <c r="AV2426" s="6" t="str">
        <f>HYPERLINK("http://mcgill.on.worldcat.org/oclc/652361794","Catalog Record")</f>
        <v>Catalog Record</v>
      </c>
      <c r="AW2426" s="6" t="str">
        <f>HYPERLINK("http://www.worldcat.org/oclc/652361794","WorldCat Record")</f>
        <v>WorldCat Record</v>
      </c>
      <c r="AX2426" s="3" t="s">
        <v>23863</v>
      </c>
      <c r="AY2426" s="3" t="s">
        <v>23864</v>
      </c>
      <c r="AZ2426" s="3" t="s">
        <v>23865</v>
      </c>
      <c r="BA2426" s="3" t="s">
        <v>23865</v>
      </c>
      <c r="BB2426" s="3" t="s">
        <v>23866</v>
      </c>
      <c r="BC2426" s="3" t="s">
        <v>77</v>
      </c>
      <c r="BD2426" s="3" t="s">
        <v>78</v>
      </c>
      <c r="BE2426" s="3" t="s">
        <v>23867</v>
      </c>
      <c r="BF2426" s="3" t="s">
        <v>23866</v>
      </c>
      <c r="BG2426" s="3" t="s">
        <v>23868</v>
      </c>
    </row>
    <row r="2427" spans="1:59" ht="58" x14ac:dyDescent="0.35">
      <c r="A2427" s="2" t="s">
        <v>59</v>
      </c>
      <c r="B2427" s="2" t="s">
        <v>60</v>
      </c>
      <c r="C2427" s="2" t="s">
        <v>23869</v>
      </c>
      <c r="D2427" s="2" t="s">
        <v>23870</v>
      </c>
      <c r="E2427" s="2" t="s">
        <v>23871</v>
      </c>
      <c r="G2427" s="3" t="s">
        <v>65</v>
      </c>
      <c r="I2427" s="3" t="s">
        <v>65</v>
      </c>
      <c r="J2427" s="3" t="s">
        <v>65</v>
      </c>
      <c r="K2427" s="3" t="s">
        <v>66</v>
      </c>
      <c r="L2427" s="2" t="s">
        <v>23872</v>
      </c>
      <c r="M2427" s="2" t="s">
        <v>23873</v>
      </c>
      <c r="N2427" s="3" t="s">
        <v>126</v>
      </c>
      <c r="P2427" s="3" t="s">
        <v>140</v>
      </c>
      <c r="Q2427" s="2" t="s">
        <v>23874</v>
      </c>
      <c r="R2427" s="3" t="s">
        <v>71</v>
      </c>
      <c r="S2427" s="4">
        <v>0</v>
      </c>
      <c r="T2427" s="4">
        <v>0</v>
      </c>
      <c r="W2427" s="5" t="s">
        <v>72</v>
      </c>
      <c r="X2427" s="5" t="s">
        <v>72</v>
      </c>
      <c r="Y2427" s="4">
        <v>33</v>
      </c>
      <c r="Z2427" s="4">
        <v>3</v>
      </c>
      <c r="AA2427" s="4">
        <v>27</v>
      </c>
      <c r="AB2427" s="4">
        <v>1</v>
      </c>
      <c r="AC2427" s="4">
        <v>6</v>
      </c>
      <c r="AD2427" s="4">
        <v>14</v>
      </c>
      <c r="AE2427" s="4">
        <v>23</v>
      </c>
      <c r="AF2427" s="4">
        <v>0</v>
      </c>
      <c r="AG2427" s="4">
        <v>0</v>
      </c>
      <c r="AH2427" s="4">
        <v>12</v>
      </c>
      <c r="AI2427" s="4">
        <v>16</v>
      </c>
      <c r="AJ2427" s="4">
        <v>1</v>
      </c>
      <c r="AK2427" s="4">
        <v>1</v>
      </c>
      <c r="AL2427" s="4">
        <v>7</v>
      </c>
      <c r="AM2427" s="4">
        <v>10</v>
      </c>
      <c r="AN2427" s="4">
        <v>0</v>
      </c>
      <c r="AO2427" s="4">
        <v>0</v>
      </c>
      <c r="AP2427" s="4">
        <v>2</v>
      </c>
      <c r="AQ2427" s="4">
        <v>7</v>
      </c>
      <c r="AR2427" s="3" t="s">
        <v>65</v>
      </c>
      <c r="AS2427" s="3" t="s">
        <v>65</v>
      </c>
      <c r="AT2427" s="3" t="s">
        <v>65</v>
      </c>
      <c r="AV2427" s="6" t="str">
        <f>HYPERLINK("http://mcgill.on.worldcat.org/oclc/748704532","Catalog Record")</f>
        <v>Catalog Record</v>
      </c>
      <c r="AW2427" s="6" t="str">
        <f>HYPERLINK("http://www.worldcat.org/oclc/748704532","WorldCat Record")</f>
        <v>WorldCat Record</v>
      </c>
      <c r="AX2427" s="3" t="s">
        <v>23875</v>
      </c>
      <c r="AY2427" s="3" t="s">
        <v>23876</v>
      </c>
      <c r="AZ2427" s="3" t="s">
        <v>23877</v>
      </c>
      <c r="BA2427" s="3" t="s">
        <v>23877</v>
      </c>
      <c r="BB2427" s="3" t="s">
        <v>23878</v>
      </c>
      <c r="BC2427" s="3" t="s">
        <v>77</v>
      </c>
      <c r="BD2427" s="3" t="s">
        <v>78</v>
      </c>
      <c r="BE2427" s="3" t="s">
        <v>23879</v>
      </c>
      <c r="BF2427" s="3" t="s">
        <v>23878</v>
      </c>
      <c r="BG2427" s="3" t="s">
        <v>23880</v>
      </c>
    </row>
    <row r="2428" spans="1:59" ht="58" x14ac:dyDescent="0.35">
      <c r="A2428" s="2" t="s">
        <v>59</v>
      </c>
      <c r="B2428" s="2" t="s">
        <v>60</v>
      </c>
      <c r="C2428" s="2" t="s">
        <v>23881</v>
      </c>
      <c r="D2428" s="2" t="s">
        <v>23882</v>
      </c>
      <c r="E2428" s="2" t="s">
        <v>23883</v>
      </c>
      <c r="G2428" s="3" t="s">
        <v>65</v>
      </c>
      <c r="I2428" s="3" t="s">
        <v>65</v>
      </c>
      <c r="J2428" s="3" t="s">
        <v>65</v>
      </c>
      <c r="K2428" s="3" t="s">
        <v>66</v>
      </c>
      <c r="L2428" s="2" t="s">
        <v>23884</v>
      </c>
      <c r="M2428" s="2" t="s">
        <v>23885</v>
      </c>
      <c r="N2428" s="3" t="s">
        <v>1122</v>
      </c>
      <c r="P2428" s="3" t="s">
        <v>69</v>
      </c>
      <c r="Q2428" s="2" t="s">
        <v>23886</v>
      </c>
      <c r="R2428" s="3" t="s">
        <v>71</v>
      </c>
      <c r="S2428" s="4">
        <v>1</v>
      </c>
      <c r="T2428" s="4">
        <v>1</v>
      </c>
      <c r="U2428" s="5" t="s">
        <v>4821</v>
      </c>
      <c r="V2428" s="5" t="s">
        <v>4821</v>
      </c>
      <c r="W2428" s="5" t="s">
        <v>72</v>
      </c>
      <c r="X2428" s="5" t="s">
        <v>72</v>
      </c>
      <c r="Y2428" s="4">
        <v>90</v>
      </c>
      <c r="Z2428" s="4">
        <v>11</v>
      </c>
      <c r="AA2428" s="4">
        <v>14</v>
      </c>
      <c r="AB2428" s="4">
        <v>2</v>
      </c>
      <c r="AC2428" s="4">
        <v>5</v>
      </c>
      <c r="AD2428" s="4">
        <v>41</v>
      </c>
      <c r="AE2428" s="4">
        <v>42</v>
      </c>
      <c r="AF2428" s="4">
        <v>0</v>
      </c>
      <c r="AG2428" s="4">
        <v>1</v>
      </c>
      <c r="AH2428" s="4">
        <v>40</v>
      </c>
      <c r="AI2428" s="4">
        <v>40</v>
      </c>
      <c r="AJ2428" s="4">
        <v>8</v>
      </c>
      <c r="AK2428" s="4">
        <v>9</v>
      </c>
      <c r="AL2428" s="4">
        <v>26</v>
      </c>
      <c r="AM2428" s="4">
        <v>26</v>
      </c>
      <c r="AN2428" s="4">
        <v>0</v>
      </c>
      <c r="AO2428" s="4">
        <v>0</v>
      </c>
      <c r="AP2428" s="4">
        <v>8</v>
      </c>
      <c r="AQ2428" s="4">
        <v>8</v>
      </c>
      <c r="AR2428" s="3" t="s">
        <v>65</v>
      </c>
      <c r="AS2428" s="3" t="s">
        <v>65</v>
      </c>
      <c r="AT2428" s="3" t="s">
        <v>65</v>
      </c>
      <c r="AV2428" s="6" t="str">
        <f>HYPERLINK("http://mcgill.on.worldcat.org/oclc/319205038","Catalog Record")</f>
        <v>Catalog Record</v>
      </c>
      <c r="AW2428" s="6" t="str">
        <f>HYPERLINK("http://www.worldcat.org/oclc/319205038","WorldCat Record")</f>
        <v>WorldCat Record</v>
      </c>
      <c r="AX2428" s="3" t="s">
        <v>23887</v>
      </c>
      <c r="AY2428" s="3" t="s">
        <v>23888</v>
      </c>
      <c r="AZ2428" s="3" t="s">
        <v>23889</v>
      </c>
      <c r="BA2428" s="3" t="s">
        <v>23889</v>
      </c>
      <c r="BB2428" s="3" t="s">
        <v>23890</v>
      </c>
      <c r="BC2428" s="3" t="s">
        <v>77</v>
      </c>
      <c r="BD2428" s="3" t="s">
        <v>78</v>
      </c>
      <c r="BE2428" s="3" t="s">
        <v>23891</v>
      </c>
      <c r="BF2428" s="3" t="s">
        <v>23890</v>
      </c>
      <c r="BG2428" s="3" t="s">
        <v>23892</v>
      </c>
    </row>
    <row r="2429" spans="1:59" ht="72.5" x14ac:dyDescent="0.35">
      <c r="A2429" s="2" t="s">
        <v>59</v>
      </c>
      <c r="B2429" s="2" t="s">
        <v>60</v>
      </c>
      <c r="C2429" s="2" t="s">
        <v>23893</v>
      </c>
      <c r="D2429" s="2" t="s">
        <v>23894</v>
      </c>
      <c r="E2429" s="2" t="s">
        <v>23895</v>
      </c>
      <c r="G2429" s="3" t="s">
        <v>65</v>
      </c>
      <c r="I2429" s="3" t="s">
        <v>65</v>
      </c>
      <c r="J2429" s="3" t="s">
        <v>65</v>
      </c>
      <c r="K2429" s="3" t="s">
        <v>66</v>
      </c>
      <c r="L2429" s="2" t="s">
        <v>23896</v>
      </c>
      <c r="M2429" s="2" t="s">
        <v>23897</v>
      </c>
      <c r="N2429" s="3" t="s">
        <v>139</v>
      </c>
      <c r="P2429" s="3" t="s">
        <v>140</v>
      </c>
      <c r="R2429" s="3" t="s">
        <v>71</v>
      </c>
      <c r="S2429" s="4">
        <v>0</v>
      </c>
      <c r="T2429" s="4">
        <v>0</v>
      </c>
      <c r="W2429" s="5" t="s">
        <v>72</v>
      </c>
      <c r="X2429" s="5" t="s">
        <v>72</v>
      </c>
      <c r="Y2429" s="4">
        <v>4</v>
      </c>
      <c r="Z2429" s="4">
        <v>1</v>
      </c>
      <c r="AA2429" s="4">
        <v>1</v>
      </c>
      <c r="AB2429" s="4">
        <v>1</v>
      </c>
      <c r="AC2429" s="4">
        <v>1</v>
      </c>
      <c r="AD2429" s="4">
        <v>2</v>
      </c>
      <c r="AE2429" s="4">
        <v>2</v>
      </c>
      <c r="AF2429" s="4">
        <v>0</v>
      </c>
      <c r="AG2429" s="4">
        <v>0</v>
      </c>
      <c r="AH2429" s="4">
        <v>2</v>
      </c>
      <c r="AI2429" s="4">
        <v>2</v>
      </c>
      <c r="AJ2429" s="4">
        <v>0</v>
      </c>
      <c r="AK2429" s="4">
        <v>0</v>
      </c>
      <c r="AL2429" s="4">
        <v>1</v>
      </c>
      <c r="AM2429" s="4">
        <v>1</v>
      </c>
      <c r="AN2429" s="4">
        <v>0</v>
      </c>
      <c r="AO2429" s="4">
        <v>0</v>
      </c>
      <c r="AP2429" s="4">
        <v>0</v>
      </c>
      <c r="AQ2429" s="4">
        <v>0</v>
      </c>
      <c r="AR2429" s="3" t="s">
        <v>65</v>
      </c>
      <c r="AS2429" s="3" t="s">
        <v>65</v>
      </c>
      <c r="AT2429" s="3" t="s">
        <v>65</v>
      </c>
      <c r="AV2429" s="6" t="str">
        <f>HYPERLINK("http://mcgill.on.worldcat.org/oclc/843752846","Catalog Record")</f>
        <v>Catalog Record</v>
      </c>
      <c r="AW2429" s="6" t="str">
        <f>HYPERLINK("http://www.worldcat.org/oclc/843752846","WorldCat Record")</f>
        <v>WorldCat Record</v>
      </c>
      <c r="AX2429" s="3" t="s">
        <v>23898</v>
      </c>
      <c r="AY2429" s="3" t="s">
        <v>23899</v>
      </c>
      <c r="AZ2429" s="3" t="s">
        <v>23900</v>
      </c>
      <c r="BA2429" s="3" t="s">
        <v>23900</v>
      </c>
      <c r="BB2429" s="3" t="s">
        <v>23901</v>
      </c>
      <c r="BC2429" s="3" t="s">
        <v>77</v>
      </c>
      <c r="BD2429" s="3" t="s">
        <v>78</v>
      </c>
      <c r="BE2429" s="3" t="s">
        <v>23902</v>
      </c>
      <c r="BF2429" s="3" t="s">
        <v>23901</v>
      </c>
      <c r="BG2429" s="3" t="s">
        <v>23903</v>
      </c>
    </row>
    <row r="2430" spans="1:59" ht="72.5" x14ac:dyDescent="0.35">
      <c r="A2430" s="2" t="s">
        <v>59</v>
      </c>
      <c r="B2430" s="2" t="s">
        <v>60</v>
      </c>
      <c r="C2430" s="2" t="s">
        <v>23904</v>
      </c>
      <c r="D2430" s="2" t="s">
        <v>23905</v>
      </c>
      <c r="E2430" s="2" t="s">
        <v>23906</v>
      </c>
      <c r="G2430" s="3" t="s">
        <v>65</v>
      </c>
      <c r="I2430" s="3" t="s">
        <v>65</v>
      </c>
      <c r="J2430" s="3" t="s">
        <v>65</v>
      </c>
      <c r="K2430" s="3" t="s">
        <v>66</v>
      </c>
      <c r="L2430" s="2" t="s">
        <v>23907</v>
      </c>
      <c r="M2430" s="2" t="s">
        <v>8557</v>
      </c>
      <c r="N2430" s="3" t="s">
        <v>126</v>
      </c>
      <c r="P2430" s="3" t="s">
        <v>140</v>
      </c>
      <c r="Q2430" s="2" t="s">
        <v>23908</v>
      </c>
      <c r="R2430" s="3" t="s">
        <v>71</v>
      </c>
      <c r="S2430" s="4">
        <v>1</v>
      </c>
      <c r="T2430" s="4">
        <v>1</v>
      </c>
      <c r="U2430" s="5" t="s">
        <v>23909</v>
      </c>
      <c r="V2430" s="5" t="s">
        <v>23909</v>
      </c>
      <c r="W2430" s="5" t="s">
        <v>72</v>
      </c>
      <c r="X2430" s="5" t="s">
        <v>72</v>
      </c>
      <c r="Y2430" s="4">
        <v>46</v>
      </c>
      <c r="Z2430" s="4">
        <v>5</v>
      </c>
      <c r="AA2430" s="4">
        <v>5</v>
      </c>
      <c r="AB2430" s="4">
        <v>1</v>
      </c>
      <c r="AC2430" s="4">
        <v>1</v>
      </c>
      <c r="AD2430" s="4">
        <v>34</v>
      </c>
      <c r="AE2430" s="4">
        <v>34</v>
      </c>
      <c r="AF2430" s="4">
        <v>0</v>
      </c>
      <c r="AG2430" s="4">
        <v>0</v>
      </c>
      <c r="AH2430" s="4">
        <v>33</v>
      </c>
      <c r="AI2430" s="4">
        <v>33</v>
      </c>
      <c r="AJ2430" s="4">
        <v>3</v>
      </c>
      <c r="AK2430" s="4">
        <v>3</v>
      </c>
      <c r="AL2430" s="4">
        <v>24</v>
      </c>
      <c r="AM2430" s="4">
        <v>24</v>
      </c>
      <c r="AN2430" s="4">
        <v>0</v>
      </c>
      <c r="AO2430" s="4">
        <v>0</v>
      </c>
      <c r="AP2430" s="4">
        <v>3</v>
      </c>
      <c r="AQ2430" s="4">
        <v>3</v>
      </c>
      <c r="AR2430" s="3" t="s">
        <v>65</v>
      </c>
      <c r="AS2430" s="3" t="s">
        <v>65</v>
      </c>
      <c r="AT2430" s="3" t="s">
        <v>65</v>
      </c>
      <c r="AV2430" s="6" t="str">
        <f>HYPERLINK("http://mcgill.on.worldcat.org/oclc/719414078","Catalog Record")</f>
        <v>Catalog Record</v>
      </c>
      <c r="AW2430" s="6" t="str">
        <f>HYPERLINK("http://www.worldcat.org/oclc/719414078","WorldCat Record")</f>
        <v>WorldCat Record</v>
      </c>
      <c r="AX2430" s="3" t="s">
        <v>23910</v>
      </c>
      <c r="AY2430" s="3" t="s">
        <v>23911</v>
      </c>
      <c r="AZ2430" s="3" t="s">
        <v>23912</v>
      </c>
      <c r="BA2430" s="3" t="s">
        <v>23912</v>
      </c>
      <c r="BB2430" s="3" t="s">
        <v>23913</v>
      </c>
      <c r="BC2430" s="3" t="s">
        <v>77</v>
      </c>
      <c r="BD2430" s="3" t="s">
        <v>78</v>
      </c>
      <c r="BE2430" s="3" t="s">
        <v>23914</v>
      </c>
      <c r="BF2430" s="3" t="s">
        <v>23913</v>
      </c>
      <c r="BG2430" s="3" t="s">
        <v>23915</v>
      </c>
    </row>
    <row r="2431" spans="1:59" ht="58" x14ac:dyDescent="0.35">
      <c r="A2431" s="2" t="s">
        <v>59</v>
      </c>
      <c r="B2431" s="2" t="s">
        <v>60</v>
      </c>
      <c r="C2431" s="2" t="s">
        <v>23916</v>
      </c>
      <c r="D2431" s="2" t="s">
        <v>23917</v>
      </c>
      <c r="E2431" s="2" t="s">
        <v>23918</v>
      </c>
      <c r="G2431" s="3" t="s">
        <v>65</v>
      </c>
      <c r="I2431" s="3" t="s">
        <v>65</v>
      </c>
      <c r="J2431" s="3" t="s">
        <v>65</v>
      </c>
      <c r="K2431" s="3" t="s">
        <v>66</v>
      </c>
      <c r="L2431" s="2" t="s">
        <v>23919</v>
      </c>
      <c r="M2431" s="2" t="s">
        <v>1788</v>
      </c>
      <c r="N2431" s="3" t="s">
        <v>176</v>
      </c>
      <c r="P2431" s="3" t="s">
        <v>140</v>
      </c>
      <c r="Q2431" s="2" t="s">
        <v>23920</v>
      </c>
      <c r="R2431" s="3" t="s">
        <v>71</v>
      </c>
      <c r="S2431" s="4">
        <v>0</v>
      </c>
      <c r="T2431" s="4">
        <v>0</v>
      </c>
      <c r="W2431" s="5" t="s">
        <v>72</v>
      </c>
      <c r="X2431" s="5" t="s">
        <v>72</v>
      </c>
      <c r="Y2431" s="4">
        <v>28</v>
      </c>
      <c r="Z2431" s="4">
        <v>4</v>
      </c>
      <c r="AA2431" s="4">
        <v>4</v>
      </c>
      <c r="AB2431" s="4">
        <v>1</v>
      </c>
      <c r="AC2431" s="4">
        <v>1</v>
      </c>
      <c r="AD2431" s="4">
        <v>20</v>
      </c>
      <c r="AE2431" s="4">
        <v>20</v>
      </c>
      <c r="AF2431" s="4">
        <v>0</v>
      </c>
      <c r="AG2431" s="4">
        <v>0</v>
      </c>
      <c r="AH2431" s="4">
        <v>19</v>
      </c>
      <c r="AI2431" s="4">
        <v>19</v>
      </c>
      <c r="AJ2431" s="4">
        <v>2</v>
      </c>
      <c r="AK2431" s="4">
        <v>2</v>
      </c>
      <c r="AL2431" s="4">
        <v>15</v>
      </c>
      <c r="AM2431" s="4">
        <v>15</v>
      </c>
      <c r="AN2431" s="4">
        <v>0</v>
      </c>
      <c r="AO2431" s="4">
        <v>0</v>
      </c>
      <c r="AP2431" s="4">
        <v>2</v>
      </c>
      <c r="AQ2431" s="4">
        <v>2</v>
      </c>
      <c r="AR2431" s="3" t="s">
        <v>65</v>
      </c>
      <c r="AS2431" s="3" t="s">
        <v>65</v>
      </c>
      <c r="AT2431" s="3" t="s">
        <v>65</v>
      </c>
      <c r="AV2431" s="6" t="str">
        <f>HYPERLINK("http://mcgill.on.worldcat.org/oclc/922332132","Catalog Record")</f>
        <v>Catalog Record</v>
      </c>
      <c r="AW2431" s="6" t="str">
        <f>HYPERLINK("http://www.worldcat.org/oclc/922332132","WorldCat Record")</f>
        <v>WorldCat Record</v>
      </c>
      <c r="AX2431" s="3" t="s">
        <v>23921</v>
      </c>
      <c r="AY2431" s="3" t="s">
        <v>23922</v>
      </c>
      <c r="AZ2431" s="3" t="s">
        <v>23923</v>
      </c>
      <c r="BA2431" s="3" t="s">
        <v>23923</v>
      </c>
      <c r="BB2431" s="3" t="s">
        <v>23924</v>
      </c>
      <c r="BC2431" s="3" t="s">
        <v>77</v>
      </c>
      <c r="BD2431" s="3" t="s">
        <v>78</v>
      </c>
      <c r="BE2431" s="3" t="s">
        <v>23925</v>
      </c>
      <c r="BF2431" s="3" t="s">
        <v>23924</v>
      </c>
      <c r="BG2431" s="3" t="s">
        <v>23926</v>
      </c>
    </row>
    <row r="2432" spans="1:59" ht="58" x14ac:dyDescent="0.35">
      <c r="A2432" s="2" t="s">
        <v>59</v>
      </c>
      <c r="B2432" s="2" t="s">
        <v>60</v>
      </c>
      <c r="C2432" s="2" t="s">
        <v>23927</v>
      </c>
      <c r="D2432" s="2" t="s">
        <v>23928</v>
      </c>
      <c r="E2432" s="2" t="s">
        <v>23929</v>
      </c>
      <c r="G2432" s="3" t="s">
        <v>65</v>
      </c>
      <c r="I2432" s="3" t="s">
        <v>65</v>
      </c>
      <c r="J2432" s="3" t="s">
        <v>65</v>
      </c>
      <c r="K2432" s="3" t="s">
        <v>66</v>
      </c>
      <c r="M2432" s="2" t="s">
        <v>23930</v>
      </c>
      <c r="N2432" s="3" t="s">
        <v>364</v>
      </c>
      <c r="P2432" s="3" t="s">
        <v>69</v>
      </c>
      <c r="Q2432" s="2" t="s">
        <v>23931</v>
      </c>
      <c r="R2432" s="3" t="s">
        <v>71</v>
      </c>
      <c r="S2432" s="4">
        <v>31</v>
      </c>
      <c r="T2432" s="4">
        <v>31</v>
      </c>
      <c r="U2432" s="5" t="s">
        <v>12787</v>
      </c>
      <c r="V2432" s="5" t="s">
        <v>12787</v>
      </c>
      <c r="W2432" s="5" t="s">
        <v>72</v>
      </c>
      <c r="X2432" s="5" t="s">
        <v>72</v>
      </c>
      <c r="Y2432" s="4">
        <v>264</v>
      </c>
      <c r="Z2432" s="4">
        <v>21</v>
      </c>
      <c r="AA2432" s="4">
        <v>27</v>
      </c>
      <c r="AB2432" s="4">
        <v>2</v>
      </c>
      <c r="AC2432" s="4">
        <v>2</v>
      </c>
      <c r="AD2432" s="4">
        <v>51</v>
      </c>
      <c r="AE2432" s="4">
        <v>60</v>
      </c>
      <c r="AF2432" s="4">
        <v>0</v>
      </c>
      <c r="AG2432" s="4">
        <v>0</v>
      </c>
      <c r="AH2432" s="4">
        <v>45</v>
      </c>
      <c r="AI2432" s="4">
        <v>53</v>
      </c>
      <c r="AJ2432" s="4">
        <v>9</v>
      </c>
      <c r="AK2432" s="4">
        <v>11</v>
      </c>
      <c r="AL2432" s="4">
        <v>20</v>
      </c>
      <c r="AM2432" s="4">
        <v>26</v>
      </c>
      <c r="AN2432" s="4">
        <v>0</v>
      </c>
      <c r="AO2432" s="4">
        <v>0</v>
      </c>
      <c r="AP2432" s="4">
        <v>13</v>
      </c>
      <c r="AQ2432" s="4">
        <v>15</v>
      </c>
      <c r="AR2432" s="3" t="s">
        <v>65</v>
      </c>
      <c r="AS2432" s="3" t="s">
        <v>65</v>
      </c>
      <c r="AT2432" s="3" t="s">
        <v>65</v>
      </c>
      <c r="AV2432" s="6" t="str">
        <f>HYPERLINK("http://mcgill.on.worldcat.org/oclc/43903616","Catalog Record")</f>
        <v>Catalog Record</v>
      </c>
      <c r="AW2432" s="6" t="str">
        <f>HYPERLINK("http://www.worldcat.org/oclc/43903616","WorldCat Record")</f>
        <v>WorldCat Record</v>
      </c>
      <c r="AX2432" s="3" t="s">
        <v>23932</v>
      </c>
      <c r="AY2432" s="3" t="s">
        <v>23933</v>
      </c>
      <c r="AZ2432" s="3" t="s">
        <v>23934</v>
      </c>
      <c r="BA2432" s="3" t="s">
        <v>23934</v>
      </c>
      <c r="BB2432" s="3" t="s">
        <v>23935</v>
      </c>
      <c r="BC2432" s="3" t="s">
        <v>77</v>
      </c>
      <c r="BD2432" s="3" t="s">
        <v>78</v>
      </c>
      <c r="BE2432" s="3" t="s">
        <v>23936</v>
      </c>
      <c r="BF2432" s="3" t="s">
        <v>23935</v>
      </c>
      <c r="BG2432" s="3" t="s">
        <v>23937</v>
      </c>
    </row>
    <row r="2433" spans="1:59" ht="58" x14ac:dyDescent="0.35">
      <c r="A2433" s="2" t="s">
        <v>59</v>
      </c>
      <c r="B2433" s="2" t="s">
        <v>60</v>
      </c>
      <c r="C2433" s="2" t="s">
        <v>23938</v>
      </c>
      <c r="D2433" s="2" t="s">
        <v>23939</v>
      </c>
      <c r="E2433" s="2" t="s">
        <v>23940</v>
      </c>
      <c r="G2433" s="3" t="s">
        <v>65</v>
      </c>
      <c r="I2433" s="3" t="s">
        <v>65</v>
      </c>
      <c r="J2433" s="3" t="s">
        <v>65</v>
      </c>
      <c r="K2433" s="3" t="s">
        <v>66</v>
      </c>
      <c r="M2433" s="2" t="s">
        <v>23941</v>
      </c>
      <c r="N2433" s="3" t="s">
        <v>2460</v>
      </c>
      <c r="O2433" s="2" t="s">
        <v>654</v>
      </c>
      <c r="P2433" s="3" t="s">
        <v>140</v>
      </c>
      <c r="R2433" s="3" t="s">
        <v>71</v>
      </c>
      <c r="S2433" s="4">
        <v>1</v>
      </c>
      <c r="T2433" s="4">
        <v>1</v>
      </c>
      <c r="U2433" s="5" t="s">
        <v>23942</v>
      </c>
      <c r="V2433" s="5" t="s">
        <v>23942</v>
      </c>
      <c r="W2433" s="5" t="s">
        <v>72</v>
      </c>
      <c r="X2433" s="5" t="s">
        <v>72</v>
      </c>
      <c r="Y2433" s="4">
        <v>104</v>
      </c>
      <c r="Z2433" s="4">
        <v>10</v>
      </c>
      <c r="AA2433" s="4">
        <v>11</v>
      </c>
      <c r="AB2433" s="4">
        <v>1</v>
      </c>
      <c r="AC2433" s="4">
        <v>2</v>
      </c>
      <c r="AD2433" s="4">
        <v>50</v>
      </c>
      <c r="AE2433" s="4">
        <v>51</v>
      </c>
      <c r="AF2433" s="4">
        <v>0</v>
      </c>
      <c r="AG2433" s="4">
        <v>1</v>
      </c>
      <c r="AH2433" s="4">
        <v>46</v>
      </c>
      <c r="AI2433" s="4">
        <v>46</v>
      </c>
      <c r="AJ2433" s="4">
        <v>7</v>
      </c>
      <c r="AK2433" s="4">
        <v>8</v>
      </c>
      <c r="AL2433" s="4">
        <v>34</v>
      </c>
      <c r="AM2433" s="4">
        <v>34</v>
      </c>
      <c r="AN2433" s="4">
        <v>0</v>
      </c>
      <c r="AO2433" s="4">
        <v>0</v>
      </c>
      <c r="AP2433" s="4">
        <v>7</v>
      </c>
      <c r="AQ2433" s="4">
        <v>7</v>
      </c>
      <c r="AR2433" s="3" t="s">
        <v>65</v>
      </c>
      <c r="AS2433" s="3" t="s">
        <v>65</v>
      </c>
      <c r="AT2433" s="3" t="s">
        <v>209</v>
      </c>
      <c r="AU2433" s="6" t="str">
        <f>HYPERLINK("http://catalog.hathitrust.org/Record/001104837","HathiTrust Record")</f>
        <v>HathiTrust Record</v>
      </c>
      <c r="AV2433" s="6" t="str">
        <f>HYPERLINK("http://mcgill.on.worldcat.org/oclc/20797570","Catalog Record")</f>
        <v>Catalog Record</v>
      </c>
      <c r="AW2433" s="6" t="str">
        <f>HYPERLINK("http://www.worldcat.org/oclc/20797570","WorldCat Record")</f>
        <v>WorldCat Record</v>
      </c>
      <c r="AX2433" s="3" t="s">
        <v>23943</v>
      </c>
      <c r="AY2433" s="3" t="s">
        <v>23944</v>
      </c>
      <c r="AZ2433" s="3" t="s">
        <v>23945</v>
      </c>
      <c r="BA2433" s="3" t="s">
        <v>23945</v>
      </c>
      <c r="BB2433" s="3" t="s">
        <v>23946</v>
      </c>
      <c r="BC2433" s="3" t="s">
        <v>77</v>
      </c>
      <c r="BD2433" s="3" t="s">
        <v>78</v>
      </c>
      <c r="BE2433" s="3" t="s">
        <v>23947</v>
      </c>
      <c r="BF2433" s="3" t="s">
        <v>23946</v>
      </c>
      <c r="BG2433" s="3" t="s">
        <v>23948</v>
      </c>
    </row>
    <row r="2434" spans="1:59" ht="58" x14ac:dyDescent="0.35">
      <c r="A2434" s="2" t="s">
        <v>59</v>
      </c>
      <c r="B2434" s="2" t="s">
        <v>60</v>
      </c>
      <c r="C2434" s="2" t="s">
        <v>23949</v>
      </c>
      <c r="D2434" s="2" t="s">
        <v>23950</v>
      </c>
      <c r="E2434" s="2" t="s">
        <v>23951</v>
      </c>
      <c r="G2434" s="3" t="s">
        <v>65</v>
      </c>
      <c r="I2434" s="3" t="s">
        <v>65</v>
      </c>
      <c r="J2434" s="3" t="s">
        <v>65</v>
      </c>
      <c r="K2434" s="3" t="s">
        <v>66</v>
      </c>
      <c r="M2434" s="2" t="s">
        <v>23952</v>
      </c>
      <c r="N2434" s="3" t="s">
        <v>1032</v>
      </c>
      <c r="P2434" s="3" t="s">
        <v>140</v>
      </c>
      <c r="Q2434" s="2" t="s">
        <v>23953</v>
      </c>
      <c r="R2434" s="3" t="s">
        <v>71</v>
      </c>
      <c r="S2434" s="4">
        <v>12</v>
      </c>
      <c r="T2434" s="4">
        <v>12</v>
      </c>
      <c r="U2434" s="5" t="s">
        <v>23608</v>
      </c>
      <c r="V2434" s="5" t="s">
        <v>23608</v>
      </c>
      <c r="W2434" s="5" t="s">
        <v>72</v>
      </c>
      <c r="X2434" s="5" t="s">
        <v>72</v>
      </c>
      <c r="Y2434" s="4">
        <v>85</v>
      </c>
      <c r="Z2434" s="4">
        <v>6</v>
      </c>
      <c r="AA2434" s="4">
        <v>6</v>
      </c>
      <c r="AB2434" s="4">
        <v>1</v>
      </c>
      <c r="AC2434" s="4">
        <v>1</v>
      </c>
      <c r="AD2434" s="4">
        <v>42</v>
      </c>
      <c r="AE2434" s="4">
        <v>42</v>
      </c>
      <c r="AF2434" s="4">
        <v>0</v>
      </c>
      <c r="AG2434" s="4">
        <v>0</v>
      </c>
      <c r="AH2434" s="4">
        <v>39</v>
      </c>
      <c r="AI2434" s="4">
        <v>39</v>
      </c>
      <c r="AJ2434" s="4">
        <v>4</v>
      </c>
      <c r="AK2434" s="4">
        <v>4</v>
      </c>
      <c r="AL2434" s="4">
        <v>31</v>
      </c>
      <c r="AM2434" s="4">
        <v>31</v>
      </c>
      <c r="AN2434" s="4">
        <v>0</v>
      </c>
      <c r="AO2434" s="4">
        <v>0</v>
      </c>
      <c r="AP2434" s="4">
        <v>4</v>
      </c>
      <c r="AQ2434" s="4">
        <v>4</v>
      </c>
      <c r="AR2434" s="3" t="s">
        <v>65</v>
      </c>
      <c r="AS2434" s="3" t="s">
        <v>65</v>
      </c>
      <c r="AT2434" s="3" t="s">
        <v>65</v>
      </c>
      <c r="AV2434" s="6" t="str">
        <f>HYPERLINK("http://mcgill.on.worldcat.org/oclc/34604494","Catalog Record")</f>
        <v>Catalog Record</v>
      </c>
      <c r="AW2434" s="6" t="str">
        <f>HYPERLINK("http://www.worldcat.org/oclc/34604494","WorldCat Record")</f>
        <v>WorldCat Record</v>
      </c>
      <c r="AX2434" s="3" t="s">
        <v>23954</v>
      </c>
      <c r="AY2434" s="3" t="s">
        <v>23955</v>
      </c>
      <c r="AZ2434" s="3" t="s">
        <v>23956</v>
      </c>
      <c r="BA2434" s="3" t="s">
        <v>23956</v>
      </c>
      <c r="BB2434" s="3" t="s">
        <v>23957</v>
      </c>
      <c r="BC2434" s="3" t="s">
        <v>77</v>
      </c>
      <c r="BD2434" s="3" t="s">
        <v>78</v>
      </c>
      <c r="BE2434" s="3" t="s">
        <v>23958</v>
      </c>
      <c r="BF2434" s="3" t="s">
        <v>23957</v>
      </c>
      <c r="BG2434" s="3" t="s">
        <v>23959</v>
      </c>
    </row>
    <row r="2435" spans="1:59" ht="58" x14ac:dyDescent="0.35">
      <c r="A2435" s="2" t="s">
        <v>59</v>
      </c>
      <c r="B2435" s="2" t="s">
        <v>60</v>
      </c>
      <c r="C2435" s="2" t="s">
        <v>23960</v>
      </c>
      <c r="D2435" s="2" t="s">
        <v>23961</v>
      </c>
      <c r="E2435" s="2" t="s">
        <v>23962</v>
      </c>
      <c r="G2435" s="3" t="s">
        <v>65</v>
      </c>
      <c r="I2435" s="3" t="s">
        <v>65</v>
      </c>
      <c r="J2435" s="3" t="s">
        <v>65</v>
      </c>
      <c r="K2435" s="3" t="s">
        <v>66</v>
      </c>
      <c r="L2435" s="2" t="s">
        <v>2471</v>
      </c>
      <c r="M2435" s="2" t="s">
        <v>23963</v>
      </c>
      <c r="N2435" s="3" t="s">
        <v>552</v>
      </c>
      <c r="P2435" s="3" t="s">
        <v>69</v>
      </c>
      <c r="Q2435" s="2" t="s">
        <v>5996</v>
      </c>
      <c r="R2435" s="3" t="s">
        <v>71</v>
      </c>
      <c r="S2435" s="4">
        <v>32</v>
      </c>
      <c r="T2435" s="4">
        <v>32</v>
      </c>
      <c r="U2435" s="5" t="s">
        <v>3437</v>
      </c>
      <c r="V2435" s="5" t="s">
        <v>3437</v>
      </c>
      <c r="W2435" s="5" t="s">
        <v>72</v>
      </c>
      <c r="X2435" s="5" t="s">
        <v>72</v>
      </c>
      <c r="Y2435" s="4">
        <v>256</v>
      </c>
      <c r="Z2435" s="4">
        <v>15</v>
      </c>
      <c r="AA2435" s="4">
        <v>31</v>
      </c>
      <c r="AB2435" s="4">
        <v>2</v>
      </c>
      <c r="AC2435" s="4">
        <v>8</v>
      </c>
      <c r="AD2435" s="4">
        <v>88</v>
      </c>
      <c r="AE2435" s="4">
        <v>108</v>
      </c>
      <c r="AF2435" s="4">
        <v>1</v>
      </c>
      <c r="AG2435" s="4">
        <v>4</v>
      </c>
      <c r="AH2435" s="4">
        <v>79</v>
      </c>
      <c r="AI2435" s="4">
        <v>94</v>
      </c>
      <c r="AJ2435" s="4">
        <v>12</v>
      </c>
      <c r="AK2435" s="4">
        <v>20</v>
      </c>
      <c r="AL2435" s="4">
        <v>48</v>
      </c>
      <c r="AM2435" s="4">
        <v>54</v>
      </c>
      <c r="AN2435" s="4">
        <v>0</v>
      </c>
      <c r="AO2435" s="4">
        <v>0</v>
      </c>
      <c r="AP2435" s="4">
        <v>13</v>
      </c>
      <c r="AQ2435" s="4">
        <v>22</v>
      </c>
      <c r="AR2435" s="3" t="s">
        <v>65</v>
      </c>
      <c r="AS2435" s="3" t="s">
        <v>65</v>
      </c>
      <c r="AT2435" s="3" t="s">
        <v>209</v>
      </c>
      <c r="AU2435" s="6" t="str">
        <f>HYPERLINK("http://catalog.hathitrust.org/Record/003998611","HathiTrust Record")</f>
        <v>HathiTrust Record</v>
      </c>
      <c r="AV2435" s="6" t="str">
        <f>HYPERLINK("http://mcgill.on.worldcat.org/oclc/43837373","Catalog Record")</f>
        <v>Catalog Record</v>
      </c>
      <c r="AW2435" s="6" t="str">
        <f>HYPERLINK("http://www.worldcat.org/oclc/43837373","WorldCat Record")</f>
        <v>WorldCat Record</v>
      </c>
      <c r="AX2435" s="3" t="s">
        <v>23964</v>
      </c>
      <c r="AY2435" s="3" t="s">
        <v>23965</v>
      </c>
      <c r="AZ2435" s="3" t="s">
        <v>23966</v>
      </c>
      <c r="BA2435" s="3" t="s">
        <v>23966</v>
      </c>
      <c r="BB2435" s="3" t="s">
        <v>23967</v>
      </c>
      <c r="BC2435" s="3" t="s">
        <v>77</v>
      </c>
      <c r="BD2435" s="3" t="s">
        <v>78</v>
      </c>
      <c r="BE2435" s="3" t="s">
        <v>23968</v>
      </c>
      <c r="BF2435" s="3" t="s">
        <v>23967</v>
      </c>
      <c r="BG2435" s="3" t="s">
        <v>23969</v>
      </c>
    </row>
    <row r="2436" spans="1:59" ht="58" x14ac:dyDescent="0.35">
      <c r="A2436" s="2" t="s">
        <v>59</v>
      </c>
      <c r="B2436" s="2" t="s">
        <v>60</v>
      </c>
      <c r="C2436" s="2" t="s">
        <v>23970</v>
      </c>
      <c r="D2436" s="2" t="s">
        <v>23971</v>
      </c>
      <c r="E2436" s="2" t="s">
        <v>23972</v>
      </c>
      <c r="G2436" s="3" t="s">
        <v>65</v>
      </c>
      <c r="I2436" s="3" t="s">
        <v>65</v>
      </c>
      <c r="J2436" s="3" t="s">
        <v>65</v>
      </c>
      <c r="K2436" s="3" t="s">
        <v>66</v>
      </c>
      <c r="M2436" s="2" t="s">
        <v>23973</v>
      </c>
      <c r="N2436" s="3" t="s">
        <v>479</v>
      </c>
      <c r="P2436" s="3" t="s">
        <v>140</v>
      </c>
      <c r="Q2436" s="2" t="s">
        <v>23974</v>
      </c>
      <c r="R2436" s="3" t="s">
        <v>71</v>
      </c>
      <c r="S2436" s="4">
        <v>1</v>
      </c>
      <c r="T2436" s="4">
        <v>1</v>
      </c>
      <c r="U2436" s="5" t="s">
        <v>10454</v>
      </c>
      <c r="V2436" s="5" t="s">
        <v>10454</v>
      </c>
      <c r="W2436" s="5" t="s">
        <v>72</v>
      </c>
      <c r="X2436" s="5" t="s">
        <v>72</v>
      </c>
      <c r="Y2436" s="4">
        <v>55</v>
      </c>
      <c r="Z2436" s="4">
        <v>4</v>
      </c>
      <c r="AA2436" s="4">
        <v>4</v>
      </c>
      <c r="AB2436" s="4">
        <v>1</v>
      </c>
      <c r="AC2436" s="4">
        <v>1</v>
      </c>
      <c r="AD2436" s="4">
        <v>38</v>
      </c>
      <c r="AE2436" s="4">
        <v>38</v>
      </c>
      <c r="AF2436" s="4">
        <v>0</v>
      </c>
      <c r="AG2436" s="4">
        <v>0</v>
      </c>
      <c r="AH2436" s="4">
        <v>36</v>
      </c>
      <c r="AI2436" s="4">
        <v>36</v>
      </c>
      <c r="AJ2436" s="4">
        <v>1</v>
      </c>
      <c r="AK2436" s="4">
        <v>1</v>
      </c>
      <c r="AL2436" s="4">
        <v>30</v>
      </c>
      <c r="AM2436" s="4">
        <v>30</v>
      </c>
      <c r="AN2436" s="4">
        <v>0</v>
      </c>
      <c r="AO2436" s="4">
        <v>0</v>
      </c>
      <c r="AP2436" s="4">
        <v>2</v>
      </c>
      <c r="AQ2436" s="4">
        <v>2</v>
      </c>
      <c r="AR2436" s="3" t="s">
        <v>65</v>
      </c>
      <c r="AS2436" s="3" t="s">
        <v>65</v>
      </c>
      <c r="AT2436" s="3" t="s">
        <v>65</v>
      </c>
      <c r="AV2436" s="6" t="str">
        <f>HYPERLINK("http://mcgill.on.worldcat.org/oclc/272562306","Catalog Record")</f>
        <v>Catalog Record</v>
      </c>
      <c r="AW2436" s="6" t="str">
        <f>HYPERLINK("http://www.worldcat.org/oclc/272562306","WorldCat Record")</f>
        <v>WorldCat Record</v>
      </c>
      <c r="AX2436" s="3" t="s">
        <v>23975</v>
      </c>
      <c r="AY2436" s="3" t="s">
        <v>23976</v>
      </c>
      <c r="AZ2436" s="3" t="s">
        <v>23977</v>
      </c>
      <c r="BA2436" s="3" t="s">
        <v>23977</v>
      </c>
      <c r="BB2436" s="3" t="s">
        <v>23978</v>
      </c>
      <c r="BC2436" s="3" t="s">
        <v>77</v>
      </c>
      <c r="BD2436" s="3" t="s">
        <v>78</v>
      </c>
      <c r="BE2436" s="3" t="s">
        <v>23979</v>
      </c>
      <c r="BF2436" s="3" t="s">
        <v>23978</v>
      </c>
      <c r="BG2436" s="3" t="s">
        <v>23980</v>
      </c>
    </row>
    <row r="2437" spans="1:59" ht="58" x14ac:dyDescent="0.35">
      <c r="A2437" s="2" t="s">
        <v>59</v>
      </c>
      <c r="B2437" s="2" t="s">
        <v>60</v>
      </c>
      <c r="C2437" s="2" t="s">
        <v>23981</v>
      </c>
      <c r="D2437" s="2" t="s">
        <v>23982</v>
      </c>
      <c r="E2437" s="2" t="s">
        <v>23983</v>
      </c>
      <c r="G2437" s="3" t="s">
        <v>65</v>
      </c>
      <c r="I2437" s="3" t="s">
        <v>65</v>
      </c>
      <c r="J2437" s="3" t="s">
        <v>65</v>
      </c>
      <c r="K2437" s="3" t="s">
        <v>66</v>
      </c>
      <c r="L2437" s="2" t="s">
        <v>5971</v>
      </c>
      <c r="M2437" s="2" t="s">
        <v>23984</v>
      </c>
      <c r="N2437" s="3" t="s">
        <v>2377</v>
      </c>
      <c r="O2437" s="2" t="s">
        <v>654</v>
      </c>
      <c r="P2437" s="3" t="s">
        <v>140</v>
      </c>
      <c r="Q2437" s="2" t="s">
        <v>23985</v>
      </c>
      <c r="R2437" s="3" t="s">
        <v>71</v>
      </c>
      <c r="S2437" s="4">
        <v>11</v>
      </c>
      <c r="T2437" s="4">
        <v>11</v>
      </c>
      <c r="U2437" s="5" t="s">
        <v>10454</v>
      </c>
      <c r="V2437" s="5" t="s">
        <v>10454</v>
      </c>
      <c r="W2437" s="5" t="s">
        <v>72</v>
      </c>
      <c r="X2437" s="5" t="s">
        <v>72</v>
      </c>
      <c r="Y2437" s="4">
        <v>12</v>
      </c>
      <c r="Z2437" s="4">
        <v>2</v>
      </c>
      <c r="AA2437" s="4">
        <v>7</v>
      </c>
      <c r="AB2437" s="4">
        <v>1</v>
      </c>
      <c r="AC2437" s="4">
        <v>2</v>
      </c>
      <c r="AD2437" s="4">
        <v>6</v>
      </c>
      <c r="AE2437" s="4">
        <v>41</v>
      </c>
      <c r="AF2437" s="4">
        <v>0</v>
      </c>
      <c r="AG2437" s="4">
        <v>1</v>
      </c>
      <c r="AH2437" s="4">
        <v>6</v>
      </c>
      <c r="AI2437" s="4">
        <v>39</v>
      </c>
      <c r="AJ2437" s="4">
        <v>1</v>
      </c>
      <c r="AK2437" s="4">
        <v>5</v>
      </c>
      <c r="AL2437" s="4">
        <v>3</v>
      </c>
      <c r="AM2437" s="4">
        <v>29</v>
      </c>
      <c r="AN2437" s="4">
        <v>0</v>
      </c>
      <c r="AO2437" s="4">
        <v>0</v>
      </c>
      <c r="AP2437" s="4">
        <v>1</v>
      </c>
      <c r="AQ2437" s="4">
        <v>4</v>
      </c>
      <c r="AR2437" s="3" t="s">
        <v>65</v>
      </c>
      <c r="AS2437" s="3" t="s">
        <v>65</v>
      </c>
      <c r="AT2437" s="3" t="s">
        <v>209</v>
      </c>
      <c r="AU2437" s="6" t="str">
        <f>HYPERLINK("http://catalog.hathitrust.org/Record/002452286","HathiTrust Record")</f>
        <v>HathiTrust Record</v>
      </c>
      <c r="AV2437" s="6" t="str">
        <f>HYPERLINK("http://mcgill.on.worldcat.org/oclc/237159065","Catalog Record")</f>
        <v>Catalog Record</v>
      </c>
      <c r="AW2437" s="6" t="str">
        <f>HYPERLINK("http://www.worldcat.org/oclc/237159065","WorldCat Record")</f>
        <v>WorldCat Record</v>
      </c>
      <c r="AX2437" s="3" t="s">
        <v>23986</v>
      </c>
      <c r="AY2437" s="3" t="s">
        <v>23987</v>
      </c>
      <c r="AZ2437" s="3" t="s">
        <v>23988</v>
      </c>
      <c r="BA2437" s="3" t="s">
        <v>23988</v>
      </c>
      <c r="BB2437" s="3" t="s">
        <v>23989</v>
      </c>
      <c r="BC2437" s="3" t="s">
        <v>77</v>
      </c>
      <c r="BD2437" s="3" t="s">
        <v>78</v>
      </c>
      <c r="BE2437" s="3" t="s">
        <v>23990</v>
      </c>
      <c r="BF2437" s="3" t="s">
        <v>23989</v>
      </c>
      <c r="BG2437" s="3" t="s">
        <v>23991</v>
      </c>
    </row>
    <row r="2438" spans="1:59" ht="58" x14ac:dyDescent="0.35">
      <c r="A2438" s="2" t="s">
        <v>59</v>
      </c>
      <c r="B2438" s="2" t="s">
        <v>60</v>
      </c>
      <c r="C2438" s="2" t="s">
        <v>23992</v>
      </c>
      <c r="D2438" s="2" t="s">
        <v>23993</v>
      </c>
      <c r="E2438" s="2" t="s">
        <v>23994</v>
      </c>
      <c r="G2438" s="3" t="s">
        <v>65</v>
      </c>
      <c r="I2438" s="3" t="s">
        <v>65</v>
      </c>
      <c r="J2438" s="3" t="s">
        <v>65</v>
      </c>
      <c r="K2438" s="3" t="s">
        <v>66</v>
      </c>
      <c r="L2438" s="2" t="s">
        <v>23995</v>
      </c>
      <c r="M2438" s="2" t="s">
        <v>23996</v>
      </c>
      <c r="N2438" s="3" t="s">
        <v>113</v>
      </c>
      <c r="P2438" s="3" t="s">
        <v>140</v>
      </c>
      <c r="Q2438" s="2" t="s">
        <v>23997</v>
      </c>
      <c r="R2438" s="3" t="s">
        <v>71</v>
      </c>
      <c r="S2438" s="4">
        <v>0</v>
      </c>
      <c r="T2438" s="4">
        <v>0</v>
      </c>
      <c r="W2438" s="5" t="s">
        <v>72</v>
      </c>
      <c r="X2438" s="5" t="s">
        <v>72</v>
      </c>
      <c r="Y2438" s="4">
        <v>46</v>
      </c>
      <c r="Z2438" s="4">
        <v>4</v>
      </c>
      <c r="AA2438" s="4">
        <v>4</v>
      </c>
      <c r="AB2438" s="4">
        <v>1</v>
      </c>
      <c r="AC2438" s="4">
        <v>1</v>
      </c>
      <c r="AD2438" s="4">
        <v>35</v>
      </c>
      <c r="AE2438" s="4">
        <v>35</v>
      </c>
      <c r="AF2438" s="4">
        <v>0</v>
      </c>
      <c r="AG2438" s="4">
        <v>0</v>
      </c>
      <c r="AH2438" s="4">
        <v>34</v>
      </c>
      <c r="AI2438" s="4">
        <v>34</v>
      </c>
      <c r="AJ2438" s="4">
        <v>2</v>
      </c>
      <c r="AK2438" s="4">
        <v>2</v>
      </c>
      <c r="AL2438" s="4">
        <v>25</v>
      </c>
      <c r="AM2438" s="4">
        <v>25</v>
      </c>
      <c r="AN2438" s="4">
        <v>0</v>
      </c>
      <c r="AO2438" s="4">
        <v>0</v>
      </c>
      <c r="AP2438" s="4">
        <v>2</v>
      </c>
      <c r="AQ2438" s="4">
        <v>2</v>
      </c>
      <c r="AR2438" s="3" t="s">
        <v>65</v>
      </c>
      <c r="AS2438" s="3" t="s">
        <v>65</v>
      </c>
      <c r="AT2438" s="3" t="s">
        <v>65</v>
      </c>
      <c r="AV2438" s="6" t="str">
        <f>HYPERLINK("http://mcgill.on.worldcat.org/oclc/668178231","Catalog Record")</f>
        <v>Catalog Record</v>
      </c>
      <c r="AW2438" s="6" t="str">
        <f>HYPERLINK("http://www.worldcat.org/oclc/668178231","WorldCat Record")</f>
        <v>WorldCat Record</v>
      </c>
      <c r="AX2438" s="3" t="s">
        <v>23998</v>
      </c>
      <c r="AY2438" s="3" t="s">
        <v>23999</v>
      </c>
      <c r="AZ2438" s="3" t="s">
        <v>24000</v>
      </c>
      <c r="BA2438" s="3" t="s">
        <v>24000</v>
      </c>
      <c r="BB2438" s="3" t="s">
        <v>24001</v>
      </c>
      <c r="BC2438" s="3" t="s">
        <v>77</v>
      </c>
      <c r="BD2438" s="3" t="s">
        <v>78</v>
      </c>
      <c r="BE2438" s="3" t="s">
        <v>24002</v>
      </c>
      <c r="BF2438" s="3" t="s">
        <v>24001</v>
      </c>
      <c r="BG2438" s="3" t="s">
        <v>24003</v>
      </c>
    </row>
    <row r="2439" spans="1:59" ht="58" x14ac:dyDescent="0.35">
      <c r="A2439" s="2" t="s">
        <v>59</v>
      </c>
      <c r="B2439" s="2" t="s">
        <v>60</v>
      </c>
      <c r="C2439" s="2" t="s">
        <v>24004</v>
      </c>
      <c r="D2439" s="2" t="s">
        <v>24005</v>
      </c>
      <c r="E2439" s="2" t="s">
        <v>24006</v>
      </c>
      <c r="G2439" s="3" t="s">
        <v>65</v>
      </c>
      <c r="I2439" s="3" t="s">
        <v>65</v>
      </c>
      <c r="J2439" s="3" t="s">
        <v>65</v>
      </c>
      <c r="K2439" s="3" t="s">
        <v>66</v>
      </c>
      <c r="L2439" s="2" t="s">
        <v>24007</v>
      </c>
      <c r="M2439" s="2" t="s">
        <v>24008</v>
      </c>
      <c r="N2439" s="3" t="s">
        <v>139</v>
      </c>
      <c r="P2439" s="3" t="s">
        <v>616</v>
      </c>
      <c r="Q2439" s="2" t="s">
        <v>24009</v>
      </c>
      <c r="R2439" s="3" t="s">
        <v>71</v>
      </c>
      <c r="S2439" s="4">
        <v>0</v>
      </c>
      <c r="T2439" s="4">
        <v>0</v>
      </c>
      <c r="W2439" s="5" t="s">
        <v>72</v>
      </c>
      <c r="X2439" s="5" t="s">
        <v>72</v>
      </c>
      <c r="Y2439" s="4">
        <v>21</v>
      </c>
      <c r="Z2439" s="4">
        <v>3</v>
      </c>
      <c r="AA2439" s="4">
        <v>7</v>
      </c>
      <c r="AB2439" s="4">
        <v>1</v>
      </c>
      <c r="AC2439" s="4">
        <v>4</v>
      </c>
      <c r="AD2439" s="4">
        <v>12</v>
      </c>
      <c r="AE2439" s="4">
        <v>15</v>
      </c>
      <c r="AF2439" s="4">
        <v>0</v>
      </c>
      <c r="AG2439" s="4">
        <v>2</v>
      </c>
      <c r="AH2439" s="4">
        <v>11</v>
      </c>
      <c r="AI2439" s="4">
        <v>13</v>
      </c>
      <c r="AJ2439" s="4">
        <v>1</v>
      </c>
      <c r="AK2439" s="4">
        <v>4</v>
      </c>
      <c r="AL2439" s="4">
        <v>11</v>
      </c>
      <c r="AM2439" s="4">
        <v>11</v>
      </c>
      <c r="AN2439" s="4">
        <v>0</v>
      </c>
      <c r="AO2439" s="4">
        <v>0</v>
      </c>
      <c r="AP2439" s="4">
        <v>1</v>
      </c>
      <c r="AQ2439" s="4">
        <v>4</v>
      </c>
      <c r="AR2439" s="3" t="s">
        <v>65</v>
      </c>
      <c r="AS2439" s="3" t="s">
        <v>65</v>
      </c>
      <c r="AT2439" s="3" t="s">
        <v>65</v>
      </c>
      <c r="AV2439" s="6" t="str">
        <f>HYPERLINK("http://mcgill.on.worldcat.org/oclc/808422813","Catalog Record")</f>
        <v>Catalog Record</v>
      </c>
      <c r="AW2439" s="6" t="str">
        <f>HYPERLINK("http://www.worldcat.org/oclc/808422813","WorldCat Record")</f>
        <v>WorldCat Record</v>
      </c>
      <c r="AX2439" s="3" t="s">
        <v>24010</v>
      </c>
      <c r="AY2439" s="3" t="s">
        <v>24011</v>
      </c>
      <c r="AZ2439" s="3" t="s">
        <v>24012</v>
      </c>
      <c r="BA2439" s="3" t="s">
        <v>24012</v>
      </c>
      <c r="BB2439" s="3" t="s">
        <v>24013</v>
      </c>
      <c r="BC2439" s="3" t="s">
        <v>77</v>
      </c>
      <c r="BD2439" s="3" t="s">
        <v>78</v>
      </c>
      <c r="BE2439" s="3" t="s">
        <v>24014</v>
      </c>
      <c r="BF2439" s="3" t="s">
        <v>24013</v>
      </c>
      <c r="BG2439" s="3" t="s">
        <v>24015</v>
      </c>
    </row>
    <row r="2440" spans="1:59" ht="72.5" x14ac:dyDescent="0.35">
      <c r="A2440" s="2" t="s">
        <v>59</v>
      </c>
      <c r="B2440" s="2" t="s">
        <v>60</v>
      </c>
      <c r="C2440" s="2" t="s">
        <v>24016</v>
      </c>
      <c r="D2440" s="2" t="s">
        <v>24017</v>
      </c>
      <c r="E2440" s="2" t="s">
        <v>24018</v>
      </c>
      <c r="G2440" s="3" t="s">
        <v>65</v>
      </c>
      <c r="I2440" s="3" t="s">
        <v>65</v>
      </c>
      <c r="J2440" s="3" t="s">
        <v>65</v>
      </c>
      <c r="K2440" s="3" t="s">
        <v>66</v>
      </c>
      <c r="L2440" s="2" t="s">
        <v>24019</v>
      </c>
      <c r="M2440" s="2" t="s">
        <v>1719</v>
      </c>
      <c r="N2440" s="3" t="s">
        <v>126</v>
      </c>
      <c r="O2440" s="2" t="s">
        <v>365</v>
      </c>
      <c r="P2440" s="3" t="s">
        <v>140</v>
      </c>
      <c r="Q2440" s="2" t="s">
        <v>24020</v>
      </c>
      <c r="R2440" s="3" t="s">
        <v>71</v>
      </c>
      <c r="S2440" s="4">
        <v>1</v>
      </c>
      <c r="T2440" s="4">
        <v>1</v>
      </c>
      <c r="U2440" s="5" t="s">
        <v>24021</v>
      </c>
      <c r="V2440" s="5" t="s">
        <v>24021</v>
      </c>
      <c r="W2440" s="5" t="s">
        <v>72</v>
      </c>
      <c r="X2440" s="5" t="s">
        <v>72</v>
      </c>
      <c r="Y2440" s="4">
        <v>7</v>
      </c>
      <c r="Z2440" s="4">
        <v>1</v>
      </c>
      <c r="AA2440" s="4">
        <v>1</v>
      </c>
      <c r="AB2440" s="4">
        <v>1</v>
      </c>
      <c r="AC2440" s="4">
        <v>1</v>
      </c>
      <c r="AD2440" s="4">
        <v>5</v>
      </c>
      <c r="AE2440" s="4">
        <v>5</v>
      </c>
      <c r="AF2440" s="4">
        <v>0</v>
      </c>
      <c r="AG2440" s="4">
        <v>0</v>
      </c>
      <c r="AH2440" s="4">
        <v>5</v>
      </c>
      <c r="AI2440" s="4">
        <v>5</v>
      </c>
      <c r="AJ2440" s="4">
        <v>0</v>
      </c>
      <c r="AK2440" s="4">
        <v>0</v>
      </c>
      <c r="AL2440" s="4">
        <v>4</v>
      </c>
      <c r="AM2440" s="4">
        <v>4</v>
      </c>
      <c r="AN2440" s="4">
        <v>0</v>
      </c>
      <c r="AO2440" s="4">
        <v>0</v>
      </c>
      <c r="AP2440" s="4">
        <v>0</v>
      </c>
      <c r="AQ2440" s="4">
        <v>0</v>
      </c>
      <c r="AR2440" s="3" t="s">
        <v>65</v>
      </c>
      <c r="AS2440" s="3" t="s">
        <v>65</v>
      </c>
      <c r="AT2440" s="3" t="s">
        <v>65</v>
      </c>
      <c r="AV2440" s="6" t="str">
        <f>HYPERLINK("http://mcgill.on.worldcat.org/oclc/701206918","Catalog Record")</f>
        <v>Catalog Record</v>
      </c>
      <c r="AW2440" s="6" t="str">
        <f>HYPERLINK("http://www.worldcat.org/oclc/701206918","WorldCat Record")</f>
        <v>WorldCat Record</v>
      </c>
      <c r="AX2440" s="3" t="s">
        <v>24022</v>
      </c>
      <c r="AY2440" s="3" t="s">
        <v>24023</v>
      </c>
      <c r="AZ2440" s="3" t="s">
        <v>24024</v>
      </c>
      <c r="BA2440" s="3" t="s">
        <v>24024</v>
      </c>
      <c r="BB2440" s="3" t="s">
        <v>24025</v>
      </c>
      <c r="BC2440" s="3" t="s">
        <v>77</v>
      </c>
      <c r="BD2440" s="3" t="s">
        <v>78</v>
      </c>
      <c r="BE2440" s="3" t="s">
        <v>24026</v>
      </c>
      <c r="BF2440" s="3" t="s">
        <v>24025</v>
      </c>
      <c r="BG2440" s="3" t="s">
        <v>24027</v>
      </c>
    </row>
    <row r="2441" spans="1:59" ht="58" x14ac:dyDescent="0.35">
      <c r="A2441" s="2" t="s">
        <v>59</v>
      </c>
      <c r="B2441" s="2" t="s">
        <v>60</v>
      </c>
      <c r="C2441" s="2" t="s">
        <v>24028</v>
      </c>
      <c r="D2441" s="2" t="s">
        <v>24029</v>
      </c>
      <c r="E2441" s="2" t="s">
        <v>24030</v>
      </c>
      <c r="G2441" s="3" t="s">
        <v>65</v>
      </c>
      <c r="I2441" s="3" t="s">
        <v>65</v>
      </c>
      <c r="J2441" s="3" t="s">
        <v>65</v>
      </c>
      <c r="K2441" s="3" t="s">
        <v>66</v>
      </c>
      <c r="L2441" s="2" t="s">
        <v>24031</v>
      </c>
      <c r="M2441" s="2" t="s">
        <v>24032</v>
      </c>
      <c r="N2441" s="3" t="s">
        <v>176</v>
      </c>
      <c r="P2441" s="3" t="s">
        <v>140</v>
      </c>
      <c r="Q2441" s="2" t="s">
        <v>24033</v>
      </c>
      <c r="R2441" s="3" t="s">
        <v>71</v>
      </c>
      <c r="S2441" s="4">
        <v>0</v>
      </c>
      <c r="T2441" s="4">
        <v>0</v>
      </c>
      <c r="W2441" s="5" t="s">
        <v>72</v>
      </c>
      <c r="X2441" s="5" t="s">
        <v>72</v>
      </c>
      <c r="Y2441" s="4">
        <v>51</v>
      </c>
      <c r="Z2441" s="4">
        <v>4</v>
      </c>
      <c r="AA2441" s="4">
        <v>4</v>
      </c>
      <c r="AB2441" s="4">
        <v>1</v>
      </c>
      <c r="AC2441" s="4">
        <v>1</v>
      </c>
      <c r="AD2441" s="4">
        <v>36</v>
      </c>
      <c r="AE2441" s="4">
        <v>36</v>
      </c>
      <c r="AF2441" s="4">
        <v>0</v>
      </c>
      <c r="AG2441" s="4">
        <v>0</v>
      </c>
      <c r="AH2441" s="4">
        <v>35</v>
      </c>
      <c r="AI2441" s="4">
        <v>35</v>
      </c>
      <c r="AJ2441" s="4">
        <v>2</v>
      </c>
      <c r="AK2441" s="4">
        <v>2</v>
      </c>
      <c r="AL2441" s="4">
        <v>27</v>
      </c>
      <c r="AM2441" s="4">
        <v>27</v>
      </c>
      <c r="AN2441" s="4">
        <v>0</v>
      </c>
      <c r="AO2441" s="4">
        <v>0</v>
      </c>
      <c r="AP2441" s="4">
        <v>2</v>
      </c>
      <c r="AQ2441" s="4">
        <v>2</v>
      </c>
      <c r="AR2441" s="3" t="s">
        <v>65</v>
      </c>
      <c r="AS2441" s="3" t="s">
        <v>65</v>
      </c>
      <c r="AT2441" s="3" t="s">
        <v>65</v>
      </c>
      <c r="AV2441" s="6" t="str">
        <f>HYPERLINK("http://mcgill.on.worldcat.org/oclc/928638363","Catalog Record")</f>
        <v>Catalog Record</v>
      </c>
      <c r="AW2441" s="6" t="str">
        <f>HYPERLINK("http://www.worldcat.org/oclc/928638363","WorldCat Record")</f>
        <v>WorldCat Record</v>
      </c>
      <c r="AX2441" s="3" t="s">
        <v>24034</v>
      </c>
      <c r="AY2441" s="3" t="s">
        <v>24035</v>
      </c>
      <c r="AZ2441" s="3" t="s">
        <v>24036</v>
      </c>
      <c r="BA2441" s="3" t="s">
        <v>24036</v>
      </c>
      <c r="BB2441" s="3" t="s">
        <v>24037</v>
      </c>
      <c r="BC2441" s="3" t="s">
        <v>77</v>
      </c>
      <c r="BD2441" s="3" t="s">
        <v>78</v>
      </c>
      <c r="BE2441" s="3" t="s">
        <v>24038</v>
      </c>
      <c r="BF2441" s="3" t="s">
        <v>24037</v>
      </c>
      <c r="BG2441" s="3" t="s">
        <v>24039</v>
      </c>
    </row>
    <row r="2442" spans="1:59" ht="58" x14ac:dyDescent="0.35">
      <c r="A2442" s="2" t="s">
        <v>59</v>
      </c>
      <c r="B2442" s="2" t="s">
        <v>60</v>
      </c>
      <c r="C2442" s="2" t="s">
        <v>24040</v>
      </c>
      <c r="D2442" s="2" t="s">
        <v>24041</v>
      </c>
      <c r="E2442" s="2" t="s">
        <v>24042</v>
      </c>
      <c r="G2442" s="3" t="s">
        <v>65</v>
      </c>
      <c r="I2442" s="3" t="s">
        <v>65</v>
      </c>
      <c r="J2442" s="3" t="s">
        <v>65</v>
      </c>
      <c r="K2442" s="3" t="s">
        <v>66</v>
      </c>
      <c r="L2442" s="2" t="s">
        <v>24043</v>
      </c>
      <c r="M2442" s="2" t="s">
        <v>24044</v>
      </c>
      <c r="N2442" s="3" t="s">
        <v>126</v>
      </c>
      <c r="P2442" s="3" t="s">
        <v>69</v>
      </c>
      <c r="Q2442" s="2" t="s">
        <v>24045</v>
      </c>
      <c r="R2442" s="3" t="s">
        <v>71</v>
      </c>
      <c r="S2442" s="4">
        <v>14</v>
      </c>
      <c r="T2442" s="4">
        <v>14</v>
      </c>
      <c r="U2442" s="5" t="s">
        <v>23816</v>
      </c>
      <c r="V2442" s="5" t="s">
        <v>23816</v>
      </c>
      <c r="W2442" s="5" t="s">
        <v>72</v>
      </c>
      <c r="X2442" s="5" t="s">
        <v>72</v>
      </c>
      <c r="Y2442" s="4">
        <v>147</v>
      </c>
      <c r="Z2442" s="4">
        <v>20</v>
      </c>
      <c r="AA2442" s="4">
        <v>83</v>
      </c>
      <c r="AB2442" s="4">
        <v>1</v>
      </c>
      <c r="AC2442" s="4">
        <v>15</v>
      </c>
      <c r="AD2442" s="4">
        <v>73</v>
      </c>
      <c r="AE2442" s="4">
        <v>130</v>
      </c>
      <c r="AF2442" s="4">
        <v>0</v>
      </c>
      <c r="AG2442" s="4">
        <v>8</v>
      </c>
      <c r="AH2442" s="4">
        <v>65</v>
      </c>
      <c r="AI2442" s="4">
        <v>94</v>
      </c>
      <c r="AJ2442" s="4">
        <v>14</v>
      </c>
      <c r="AK2442" s="4">
        <v>24</v>
      </c>
      <c r="AL2442" s="4">
        <v>38</v>
      </c>
      <c r="AM2442" s="4">
        <v>49</v>
      </c>
      <c r="AN2442" s="4">
        <v>0</v>
      </c>
      <c r="AO2442" s="4">
        <v>0</v>
      </c>
      <c r="AP2442" s="4">
        <v>16</v>
      </c>
      <c r="AQ2442" s="4">
        <v>45</v>
      </c>
      <c r="AR2442" s="3" t="s">
        <v>65</v>
      </c>
      <c r="AS2442" s="3" t="s">
        <v>65</v>
      </c>
      <c r="AT2442" s="3" t="s">
        <v>65</v>
      </c>
      <c r="AV2442" s="6" t="str">
        <f>HYPERLINK("http://mcgill.on.worldcat.org/oclc/491891347","Catalog Record")</f>
        <v>Catalog Record</v>
      </c>
      <c r="AW2442" s="6" t="str">
        <f>HYPERLINK("http://www.worldcat.org/oclc/491891347","WorldCat Record")</f>
        <v>WorldCat Record</v>
      </c>
      <c r="AX2442" s="3" t="s">
        <v>24046</v>
      </c>
      <c r="AY2442" s="3" t="s">
        <v>24047</v>
      </c>
      <c r="AZ2442" s="3" t="s">
        <v>24048</v>
      </c>
      <c r="BA2442" s="3" t="s">
        <v>24048</v>
      </c>
      <c r="BB2442" s="3" t="s">
        <v>24049</v>
      </c>
      <c r="BC2442" s="3" t="s">
        <v>77</v>
      </c>
      <c r="BD2442" s="3" t="s">
        <v>78</v>
      </c>
      <c r="BE2442" s="3" t="s">
        <v>24050</v>
      </c>
      <c r="BF2442" s="3" t="s">
        <v>24049</v>
      </c>
      <c r="BG2442" s="3" t="s">
        <v>24051</v>
      </c>
    </row>
    <row r="2443" spans="1:59" ht="58" x14ac:dyDescent="0.35">
      <c r="A2443" s="2" t="s">
        <v>59</v>
      </c>
      <c r="B2443" s="2" t="s">
        <v>60</v>
      </c>
      <c r="C2443" s="2" t="s">
        <v>24052</v>
      </c>
      <c r="D2443" s="2" t="s">
        <v>24053</v>
      </c>
      <c r="E2443" s="2" t="s">
        <v>24054</v>
      </c>
      <c r="G2443" s="3" t="s">
        <v>65</v>
      </c>
      <c r="I2443" s="3" t="s">
        <v>65</v>
      </c>
      <c r="J2443" s="3" t="s">
        <v>65</v>
      </c>
      <c r="K2443" s="3" t="s">
        <v>66</v>
      </c>
      <c r="L2443" s="2" t="s">
        <v>24055</v>
      </c>
      <c r="M2443" s="2" t="s">
        <v>7952</v>
      </c>
      <c r="N2443" s="3" t="s">
        <v>113</v>
      </c>
      <c r="P2443" s="3" t="s">
        <v>140</v>
      </c>
      <c r="Q2443" s="2" t="s">
        <v>24056</v>
      </c>
      <c r="R2443" s="3" t="s">
        <v>71</v>
      </c>
      <c r="S2443" s="4">
        <v>0</v>
      </c>
      <c r="T2443" s="4">
        <v>0</v>
      </c>
      <c r="W2443" s="5" t="s">
        <v>72</v>
      </c>
      <c r="X2443" s="5" t="s">
        <v>72</v>
      </c>
      <c r="Y2443" s="4">
        <v>59</v>
      </c>
      <c r="Z2443" s="4">
        <v>4</v>
      </c>
      <c r="AA2443" s="4">
        <v>4</v>
      </c>
      <c r="AB2443" s="4">
        <v>1</v>
      </c>
      <c r="AC2443" s="4">
        <v>1</v>
      </c>
      <c r="AD2443" s="4">
        <v>36</v>
      </c>
      <c r="AE2443" s="4">
        <v>36</v>
      </c>
      <c r="AF2443" s="4">
        <v>0</v>
      </c>
      <c r="AG2443" s="4">
        <v>0</v>
      </c>
      <c r="AH2443" s="4">
        <v>35</v>
      </c>
      <c r="AI2443" s="4">
        <v>35</v>
      </c>
      <c r="AJ2443" s="4">
        <v>2</v>
      </c>
      <c r="AK2443" s="4">
        <v>2</v>
      </c>
      <c r="AL2443" s="4">
        <v>26</v>
      </c>
      <c r="AM2443" s="4">
        <v>26</v>
      </c>
      <c r="AN2443" s="4">
        <v>0</v>
      </c>
      <c r="AO2443" s="4">
        <v>0</v>
      </c>
      <c r="AP2443" s="4">
        <v>2</v>
      </c>
      <c r="AQ2443" s="4">
        <v>2</v>
      </c>
      <c r="AR2443" s="3" t="s">
        <v>65</v>
      </c>
      <c r="AS2443" s="3" t="s">
        <v>65</v>
      </c>
      <c r="AT2443" s="3" t="s">
        <v>65</v>
      </c>
      <c r="AV2443" s="6" t="str">
        <f>HYPERLINK("http://mcgill.on.worldcat.org/oclc/668177868","Catalog Record")</f>
        <v>Catalog Record</v>
      </c>
      <c r="AW2443" s="6" t="str">
        <f>HYPERLINK("http://www.worldcat.org/oclc/668177868","WorldCat Record")</f>
        <v>WorldCat Record</v>
      </c>
      <c r="AX2443" s="3" t="s">
        <v>24057</v>
      </c>
      <c r="AY2443" s="3" t="s">
        <v>24058</v>
      </c>
      <c r="AZ2443" s="3" t="s">
        <v>24059</v>
      </c>
      <c r="BA2443" s="3" t="s">
        <v>24059</v>
      </c>
      <c r="BB2443" s="3" t="s">
        <v>24060</v>
      </c>
      <c r="BC2443" s="3" t="s">
        <v>77</v>
      </c>
      <c r="BD2443" s="3" t="s">
        <v>78</v>
      </c>
      <c r="BE2443" s="3" t="s">
        <v>24061</v>
      </c>
      <c r="BF2443" s="3" t="s">
        <v>24060</v>
      </c>
      <c r="BG2443" s="3" t="s">
        <v>24062</v>
      </c>
    </row>
    <row r="2444" spans="1:59" ht="58" x14ac:dyDescent="0.35">
      <c r="A2444" s="2" t="s">
        <v>59</v>
      </c>
      <c r="B2444" s="2" t="s">
        <v>60</v>
      </c>
      <c r="C2444" s="2" t="s">
        <v>24063</v>
      </c>
      <c r="D2444" s="2" t="s">
        <v>24064</v>
      </c>
      <c r="E2444" s="2" t="s">
        <v>24065</v>
      </c>
      <c r="G2444" s="3" t="s">
        <v>65</v>
      </c>
      <c r="I2444" s="3" t="s">
        <v>65</v>
      </c>
      <c r="J2444" s="3" t="s">
        <v>65</v>
      </c>
      <c r="K2444" s="3" t="s">
        <v>66</v>
      </c>
      <c r="L2444" s="2" t="s">
        <v>24066</v>
      </c>
      <c r="M2444" s="2" t="s">
        <v>24067</v>
      </c>
      <c r="N2444" s="3" t="s">
        <v>2210</v>
      </c>
      <c r="P2444" s="3" t="s">
        <v>140</v>
      </c>
      <c r="Q2444" s="2" t="s">
        <v>24068</v>
      </c>
      <c r="R2444" s="3" t="s">
        <v>71</v>
      </c>
      <c r="S2444" s="4">
        <v>5</v>
      </c>
      <c r="T2444" s="4">
        <v>5</v>
      </c>
      <c r="U2444" s="5" t="s">
        <v>23608</v>
      </c>
      <c r="V2444" s="5" t="s">
        <v>23608</v>
      </c>
      <c r="W2444" s="5" t="s">
        <v>72</v>
      </c>
      <c r="X2444" s="5" t="s">
        <v>72</v>
      </c>
      <c r="Y2444" s="4">
        <v>58</v>
      </c>
      <c r="Z2444" s="4">
        <v>5</v>
      </c>
      <c r="AA2444" s="4">
        <v>5</v>
      </c>
      <c r="AB2444" s="4">
        <v>1</v>
      </c>
      <c r="AC2444" s="4">
        <v>1</v>
      </c>
      <c r="AD2444" s="4">
        <v>42</v>
      </c>
      <c r="AE2444" s="4">
        <v>42</v>
      </c>
      <c r="AF2444" s="4">
        <v>0</v>
      </c>
      <c r="AG2444" s="4">
        <v>0</v>
      </c>
      <c r="AH2444" s="4">
        <v>41</v>
      </c>
      <c r="AI2444" s="4">
        <v>41</v>
      </c>
      <c r="AJ2444" s="4">
        <v>2</v>
      </c>
      <c r="AK2444" s="4">
        <v>2</v>
      </c>
      <c r="AL2444" s="4">
        <v>31</v>
      </c>
      <c r="AM2444" s="4">
        <v>31</v>
      </c>
      <c r="AN2444" s="4">
        <v>0</v>
      </c>
      <c r="AO2444" s="4">
        <v>0</v>
      </c>
      <c r="AP2444" s="4">
        <v>2</v>
      </c>
      <c r="AQ2444" s="4">
        <v>2</v>
      </c>
      <c r="AR2444" s="3" t="s">
        <v>65</v>
      </c>
      <c r="AS2444" s="3" t="s">
        <v>65</v>
      </c>
      <c r="AT2444" s="3" t="s">
        <v>209</v>
      </c>
      <c r="AU2444" s="6" t="str">
        <f>HYPERLINK("http://catalog.hathitrust.org/Record/004286136","HathiTrust Record")</f>
        <v>HathiTrust Record</v>
      </c>
      <c r="AV2444" s="6" t="str">
        <f>HYPERLINK("http://mcgill.on.worldcat.org/oclc/50535563","Catalog Record")</f>
        <v>Catalog Record</v>
      </c>
      <c r="AW2444" s="6" t="str">
        <f>HYPERLINK("http://www.worldcat.org/oclc/50535563","WorldCat Record")</f>
        <v>WorldCat Record</v>
      </c>
      <c r="AX2444" s="3" t="s">
        <v>24069</v>
      </c>
      <c r="AY2444" s="3" t="s">
        <v>24070</v>
      </c>
      <c r="AZ2444" s="3" t="s">
        <v>24071</v>
      </c>
      <c r="BA2444" s="3" t="s">
        <v>24071</v>
      </c>
      <c r="BB2444" s="3" t="s">
        <v>24072</v>
      </c>
      <c r="BC2444" s="3" t="s">
        <v>77</v>
      </c>
      <c r="BD2444" s="3" t="s">
        <v>78</v>
      </c>
      <c r="BE2444" s="3" t="s">
        <v>24073</v>
      </c>
      <c r="BF2444" s="3" t="s">
        <v>24072</v>
      </c>
      <c r="BG2444" s="3" t="s">
        <v>24074</v>
      </c>
    </row>
    <row r="2445" spans="1:59" ht="58" x14ac:dyDescent="0.35">
      <c r="A2445" s="2" t="s">
        <v>59</v>
      </c>
      <c r="B2445" s="2" t="s">
        <v>60</v>
      </c>
      <c r="C2445" s="2" t="s">
        <v>24075</v>
      </c>
      <c r="D2445" s="2" t="s">
        <v>24076</v>
      </c>
      <c r="E2445" s="2" t="s">
        <v>24077</v>
      </c>
      <c r="G2445" s="3" t="s">
        <v>65</v>
      </c>
      <c r="I2445" s="3" t="s">
        <v>65</v>
      </c>
      <c r="J2445" s="3" t="s">
        <v>65</v>
      </c>
      <c r="K2445" s="3" t="s">
        <v>66</v>
      </c>
      <c r="L2445" s="2" t="s">
        <v>24078</v>
      </c>
      <c r="M2445" s="2" t="s">
        <v>24079</v>
      </c>
      <c r="N2445" s="3" t="s">
        <v>1196</v>
      </c>
      <c r="P2445" s="3" t="s">
        <v>69</v>
      </c>
      <c r="R2445" s="3" t="s">
        <v>71</v>
      </c>
      <c r="S2445" s="4">
        <v>10</v>
      </c>
      <c r="T2445" s="4">
        <v>10</v>
      </c>
      <c r="U2445" s="5" t="s">
        <v>24080</v>
      </c>
      <c r="V2445" s="5" t="s">
        <v>24080</v>
      </c>
      <c r="W2445" s="5" t="s">
        <v>72</v>
      </c>
      <c r="X2445" s="5" t="s">
        <v>72</v>
      </c>
      <c r="Y2445" s="4">
        <v>110</v>
      </c>
      <c r="Z2445" s="4">
        <v>12</v>
      </c>
      <c r="AA2445" s="4">
        <v>13</v>
      </c>
      <c r="AB2445" s="4">
        <v>1</v>
      </c>
      <c r="AC2445" s="4">
        <v>2</v>
      </c>
      <c r="AD2445" s="4">
        <v>53</v>
      </c>
      <c r="AE2445" s="4">
        <v>54</v>
      </c>
      <c r="AF2445" s="4">
        <v>0</v>
      </c>
      <c r="AG2445" s="4">
        <v>1</v>
      </c>
      <c r="AH2445" s="4">
        <v>48</v>
      </c>
      <c r="AI2445" s="4">
        <v>48</v>
      </c>
      <c r="AJ2445" s="4">
        <v>9</v>
      </c>
      <c r="AK2445" s="4">
        <v>10</v>
      </c>
      <c r="AL2445" s="4">
        <v>35</v>
      </c>
      <c r="AM2445" s="4">
        <v>35</v>
      </c>
      <c r="AN2445" s="4">
        <v>0</v>
      </c>
      <c r="AO2445" s="4">
        <v>0</v>
      </c>
      <c r="AP2445" s="4">
        <v>9</v>
      </c>
      <c r="AQ2445" s="4">
        <v>10</v>
      </c>
      <c r="AR2445" s="3" t="s">
        <v>65</v>
      </c>
      <c r="AS2445" s="3" t="s">
        <v>65</v>
      </c>
      <c r="AT2445" s="3" t="s">
        <v>209</v>
      </c>
      <c r="AU2445" s="6" t="str">
        <f>HYPERLINK("http://catalog.hathitrust.org/Record/004987462","HathiTrust Record")</f>
        <v>HathiTrust Record</v>
      </c>
      <c r="AV2445" s="6" t="str">
        <f>HYPERLINK("http://mcgill.on.worldcat.org/oclc/58839698","Catalog Record")</f>
        <v>Catalog Record</v>
      </c>
      <c r="AW2445" s="6" t="str">
        <f>HYPERLINK("http://www.worldcat.org/oclc/58839698","WorldCat Record")</f>
        <v>WorldCat Record</v>
      </c>
      <c r="AX2445" s="3" t="s">
        <v>24081</v>
      </c>
      <c r="AY2445" s="3" t="s">
        <v>24082</v>
      </c>
      <c r="AZ2445" s="3" t="s">
        <v>24083</v>
      </c>
      <c r="BA2445" s="3" t="s">
        <v>24083</v>
      </c>
      <c r="BB2445" s="3" t="s">
        <v>24084</v>
      </c>
      <c r="BC2445" s="3" t="s">
        <v>77</v>
      </c>
      <c r="BD2445" s="3" t="s">
        <v>78</v>
      </c>
      <c r="BE2445" s="3" t="s">
        <v>24085</v>
      </c>
      <c r="BF2445" s="3" t="s">
        <v>24084</v>
      </c>
      <c r="BG2445" s="3" t="s">
        <v>24086</v>
      </c>
    </row>
    <row r="2446" spans="1:59" ht="58" x14ac:dyDescent="0.35">
      <c r="A2446" s="2" t="s">
        <v>59</v>
      </c>
      <c r="B2446" s="2" t="s">
        <v>60</v>
      </c>
      <c r="C2446" s="2" t="s">
        <v>24087</v>
      </c>
      <c r="D2446" s="2" t="s">
        <v>24088</v>
      </c>
      <c r="E2446" s="2" t="s">
        <v>24089</v>
      </c>
      <c r="G2446" s="3" t="s">
        <v>65</v>
      </c>
      <c r="I2446" s="3" t="s">
        <v>65</v>
      </c>
      <c r="J2446" s="3" t="s">
        <v>65</v>
      </c>
      <c r="K2446" s="3" t="s">
        <v>66</v>
      </c>
      <c r="L2446" s="2" t="s">
        <v>24090</v>
      </c>
      <c r="M2446" s="2" t="s">
        <v>2099</v>
      </c>
      <c r="N2446" s="3" t="s">
        <v>139</v>
      </c>
      <c r="P2446" s="3" t="s">
        <v>140</v>
      </c>
      <c r="Q2446" s="2" t="s">
        <v>24091</v>
      </c>
      <c r="R2446" s="3" t="s">
        <v>71</v>
      </c>
      <c r="S2446" s="4">
        <v>1</v>
      </c>
      <c r="T2446" s="4">
        <v>1</v>
      </c>
      <c r="U2446" s="5" t="s">
        <v>23567</v>
      </c>
      <c r="V2446" s="5" t="s">
        <v>23567</v>
      </c>
      <c r="W2446" s="5" t="s">
        <v>72</v>
      </c>
      <c r="X2446" s="5" t="s">
        <v>72</v>
      </c>
      <c r="Y2446" s="4">
        <v>36</v>
      </c>
      <c r="Z2446" s="4">
        <v>4</v>
      </c>
      <c r="AA2446" s="4">
        <v>4</v>
      </c>
      <c r="AB2446" s="4">
        <v>1</v>
      </c>
      <c r="AC2446" s="4">
        <v>1</v>
      </c>
      <c r="AD2446" s="4">
        <v>21</v>
      </c>
      <c r="AE2446" s="4">
        <v>21</v>
      </c>
      <c r="AF2446" s="4">
        <v>0</v>
      </c>
      <c r="AG2446" s="4">
        <v>0</v>
      </c>
      <c r="AH2446" s="4">
        <v>20</v>
      </c>
      <c r="AI2446" s="4">
        <v>20</v>
      </c>
      <c r="AJ2446" s="4">
        <v>2</v>
      </c>
      <c r="AK2446" s="4">
        <v>2</v>
      </c>
      <c r="AL2446" s="4">
        <v>17</v>
      </c>
      <c r="AM2446" s="4">
        <v>17</v>
      </c>
      <c r="AN2446" s="4">
        <v>0</v>
      </c>
      <c r="AO2446" s="4">
        <v>0</v>
      </c>
      <c r="AP2446" s="4">
        <v>2</v>
      </c>
      <c r="AQ2446" s="4">
        <v>2</v>
      </c>
      <c r="AR2446" s="3" t="s">
        <v>65</v>
      </c>
      <c r="AS2446" s="3" t="s">
        <v>65</v>
      </c>
      <c r="AT2446" s="3" t="s">
        <v>65</v>
      </c>
      <c r="AV2446" s="6" t="str">
        <f>HYPERLINK("http://mcgill.on.worldcat.org/oclc/817538992","Catalog Record")</f>
        <v>Catalog Record</v>
      </c>
      <c r="AW2446" s="6" t="str">
        <f>HYPERLINK("http://www.worldcat.org/oclc/817538992","WorldCat Record")</f>
        <v>WorldCat Record</v>
      </c>
      <c r="AX2446" s="3" t="s">
        <v>24092</v>
      </c>
      <c r="AY2446" s="3" t="s">
        <v>24093</v>
      </c>
      <c r="AZ2446" s="3" t="s">
        <v>24094</v>
      </c>
      <c r="BA2446" s="3" t="s">
        <v>24094</v>
      </c>
      <c r="BB2446" s="3" t="s">
        <v>24095</v>
      </c>
      <c r="BC2446" s="3" t="s">
        <v>77</v>
      </c>
      <c r="BD2446" s="3" t="s">
        <v>78</v>
      </c>
      <c r="BE2446" s="3" t="s">
        <v>24096</v>
      </c>
      <c r="BF2446" s="3" t="s">
        <v>24095</v>
      </c>
      <c r="BG2446" s="3" t="s">
        <v>24097</v>
      </c>
    </row>
    <row r="2447" spans="1:59" ht="58" x14ac:dyDescent="0.35">
      <c r="A2447" s="2" t="s">
        <v>59</v>
      </c>
      <c r="B2447" s="2" t="s">
        <v>60</v>
      </c>
      <c r="C2447" s="2" t="s">
        <v>24098</v>
      </c>
      <c r="D2447" s="2" t="s">
        <v>24099</v>
      </c>
      <c r="E2447" s="2" t="s">
        <v>24100</v>
      </c>
      <c r="G2447" s="3" t="s">
        <v>65</v>
      </c>
      <c r="I2447" s="3" t="s">
        <v>65</v>
      </c>
      <c r="J2447" s="3" t="s">
        <v>65</v>
      </c>
      <c r="K2447" s="3" t="s">
        <v>66</v>
      </c>
      <c r="L2447" s="2" t="s">
        <v>24101</v>
      </c>
      <c r="M2447" s="2" t="s">
        <v>24102</v>
      </c>
      <c r="N2447" s="3" t="s">
        <v>2377</v>
      </c>
      <c r="P2447" s="3" t="s">
        <v>69</v>
      </c>
      <c r="R2447" s="3" t="s">
        <v>71</v>
      </c>
      <c r="S2447" s="4">
        <v>28</v>
      </c>
      <c r="T2447" s="4">
        <v>28</v>
      </c>
      <c r="U2447" s="5" t="s">
        <v>24103</v>
      </c>
      <c r="V2447" s="5" t="s">
        <v>24103</v>
      </c>
      <c r="W2447" s="5" t="s">
        <v>72</v>
      </c>
      <c r="X2447" s="5" t="s">
        <v>72</v>
      </c>
      <c r="Y2447" s="4">
        <v>372</v>
      </c>
      <c r="Z2447" s="4">
        <v>19</v>
      </c>
      <c r="AA2447" s="4">
        <v>21</v>
      </c>
      <c r="AB2447" s="4">
        <v>1</v>
      </c>
      <c r="AC2447" s="4">
        <v>3</v>
      </c>
      <c r="AD2447" s="4">
        <v>110</v>
      </c>
      <c r="AE2447" s="4">
        <v>112</v>
      </c>
      <c r="AF2447" s="4">
        <v>0</v>
      </c>
      <c r="AG2447" s="4">
        <v>2</v>
      </c>
      <c r="AH2447" s="4">
        <v>102</v>
      </c>
      <c r="AI2447" s="4">
        <v>103</v>
      </c>
      <c r="AJ2447" s="4">
        <v>15</v>
      </c>
      <c r="AK2447" s="4">
        <v>17</v>
      </c>
      <c r="AL2447" s="4">
        <v>53</v>
      </c>
      <c r="AM2447" s="4">
        <v>53</v>
      </c>
      <c r="AN2447" s="4">
        <v>0</v>
      </c>
      <c r="AO2447" s="4">
        <v>0</v>
      </c>
      <c r="AP2447" s="4">
        <v>15</v>
      </c>
      <c r="AQ2447" s="4">
        <v>16</v>
      </c>
      <c r="AR2447" s="3" t="s">
        <v>65</v>
      </c>
      <c r="AS2447" s="3" t="s">
        <v>65</v>
      </c>
      <c r="AT2447" s="3" t="s">
        <v>65</v>
      </c>
      <c r="AV2447" s="6" t="str">
        <f>HYPERLINK("http://mcgill.on.worldcat.org/oclc/20823296","Catalog Record")</f>
        <v>Catalog Record</v>
      </c>
      <c r="AW2447" s="6" t="str">
        <f>HYPERLINK("http://www.worldcat.org/oclc/20823296","WorldCat Record")</f>
        <v>WorldCat Record</v>
      </c>
      <c r="AX2447" s="3" t="s">
        <v>24104</v>
      </c>
      <c r="AY2447" s="3" t="s">
        <v>24105</v>
      </c>
      <c r="AZ2447" s="3" t="s">
        <v>24106</v>
      </c>
      <c r="BA2447" s="3" t="s">
        <v>24106</v>
      </c>
      <c r="BB2447" s="3" t="s">
        <v>24107</v>
      </c>
      <c r="BC2447" s="3" t="s">
        <v>77</v>
      </c>
      <c r="BD2447" s="3" t="s">
        <v>78</v>
      </c>
      <c r="BE2447" s="3" t="s">
        <v>24108</v>
      </c>
      <c r="BF2447" s="3" t="s">
        <v>24107</v>
      </c>
      <c r="BG2447" s="3" t="s">
        <v>24109</v>
      </c>
    </row>
    <row r="2448" spans="1:59" ht="58" x14ac:dyDescent="0.35">
      <c r="A2448" s="2" t="s">
        <v>59</v>
      </c>
      <c r="B2448" s="2" t="s">
        <v>60</v>
      </c>
      <c r="C2448" s="2" t="s">
        <v>24110</v>
      </c>
      <c r="D2448" s="2" t="s">
        <v>24111</v>
      </c>
      <c r="E2448" s="2" t="s">
        <v>24112</v>
      </c>
      <c r="G2448" s="3" t="s">
        <v>65</v>
      </c>
      <c r="I2448" s="3" t="s">
        <v>65</v>
      </c>
      <c r="J2448" s="3" t="s">
        <v>65</v>
      </c>
      <c r="K2448" s="3" t="s">
        <v>66</v>
      </c>
      <c r="L2448" s="2" t="s">
        <v>24113</v>
      </c>
      <c r="M2448" s="2" t="s">
        <v>24114</v>
      </c>
      <c r="N2448" s="3" t="s">
        <v>139</v>
      </c>
      <c r="P2448" s="3" t="s">
        <v>140</v>
      </c>
      <c r="Q2448" s="2" t="s">
        <v>24115</v>
      </c>
      <c r="R2448" s="3" t="s">
        <v>71</v>
      </c>
      <c r="S2448" s="4">
        <v>0</v>
      </c>
      <c r="T2448" s="4">
        <v>0</v>
      </c>
      <c r="W2448" s="5" t="s">
        <v>72</v>
      </c>
      <c r="X2448" s="5" t="s">
        <v>72</v>
      </c>
      <c r="Y2448" s="4">
        <v>7</v>
      </c>
      <c r="Z2448" s="4">
        <v>1</v>
      </c>
      <c r="AA2448" s="4">
        <v>1</v>
      </c>
      <c r="AB2448" s="4">
        <v>1</v>
      </c>
      <c r="AC2448" s="4">
        <v>1</v>
      </c>
      <c r="AD2448" s="4">
        <v>5</v>
      </c>
      <c r="AE2448" s="4">
        <v>5</v>
      </c>
      <c r="AF2448" s="4">
        <v>0</v>
      </c>
      <c r="AG2448" s="4">
        <v>0</v>
      </c>
      <c r="AH2448" s="4">
        <v>4</v>
      </c>
      <c r="AI2448" s="4">
        <v>4</v>
      </c>
      <c r="AJ2448" s="4">
        <v>0</v>
      </c>
      <c r="AK2448" s="4">
        <v>0</v>
      </c>
      <c r="AL2448" s="4">
        <v>4</v>
      </c>
      <c r="AM2448" s="4">
        <v>4</v>
      </c>
      <c r="AN2448" s="4">
        <v>0</v>
      </c>
      <c r="AO2448" s="4">
        <v>0</v>
      </c>
      <c r="AP2448" s="4">
        <v>0</v>
      </c>
      <c r="AQ2448" s="4">
        <v>0</v>
      </c>
      <c r="AR2448" s="3" t="s">
        <v>65</v>
      </c>
      <c r="AS2448" s="3" t="s">
        <v>65</v>
      </c>
      <c r="AT2448" s="3" t="s">
        <v>65</v>
      </c>
      <c r="AV2448" s="6" t="str">
        <f>HYPERLINK("http://mcgill.on.worldcat.org/oclc/828410004","Catalog Record")</f>
        <v>Catalog Record</v>
      </c>
      <c r="AW2448" s="6" t="str">
        <f>HYPERLINK("http://www.worldcat.org/oclc/828410004","WorldCat Record")</f>
        <v>WorldCat Record</v>
      </c>
      <c r="AX2448" s="3" t="s">
        <v>24116</v>
      </c>
      <c r="AY2448" s="3" t="s">
        <v>24117</v>
      </c>
      <c r="AZ2448" s="3" t="s">
        <v>24118</v>
      </c>
      <c r="BA2448" s="3" t="s">
        <v>24118</v>
      </c>
      <c r="BB2448" s="3" t="s">
        <v>24119</v>
      </c>
      <c r="BC2448" s="3" t="s">
        <v>77</v>
      </c>
      <c r="BD2448" s="3" t="s">
        <v>78</v>
      </c>
      <c r="BE2448" s="3" t="s">
        <v>24120</v>
      </c>
      <c r="BF2448" s="3" t="s">
        <v>24119</v>
      </c>
      <c r="BG2448" s="3" t="s">
        <v>24121</v>
      </c>
    </row>
    <row r="2449" spans="1:59" ht="58" x14ac:dyDescent="0.35">
      <c r="A2449" s="2" t="s">
        <v>59</v>
      </c>
      <c r="B2449" s="2" t="s">
        <v>60</v>
      </c>
      <c r="C2449" s="2" t="s">
        <v>24122</v>
      </c>
      <c r="D2449" s="2" t="s">
        <v>24123</v>
      </c>
      <c r="E2449" s="2" t="s">
        <v>24124</v>
      </c>
      <c r="G2449" s="3" t="s">
        <v>65</v>
      </c>
      <c r="I2449" s="3" t="s">
        <v>65</v>
      </c>
      <c r="J2449" s="3" t="s">
        <v>65</v>
      </c>
      <c r="K2449" s="3" t="s">
        <v>66</v>
      </c>
      <c r="L2449" s="2" t="s">
        <v>24125</v>
      </c>
      <c r="M2449" s="2" t="s">
        <v>21139</v>
      </c>
      <c r="N2449" s="3" t="s">
        <v>139</v>
      </c>
      <c r="O2449" s="2" t="s">
        <v>365</v>
      </c>
      <c r="P2449" s="3" t="s">
        <v>140</v>
      </c>
      <c r="Q2449" s="2" t="s">
        <v>4334</v>
      </c>
      <c r="R2449" s="3" t="s">
        <v>71</v>
      </c>
      <c r="S2449" s="4">
        <v>0</v>
      </c>
      <c r="T2449" s="4">
        <v>0</v>
      </c>
      <c r="W2449" s="5" t="s">
        <v>72</v>
      </c>
      <c r="X2449" s="5" t="s">
        <v>72</v>
      </c>
      <c r="Y2449" s="4">
        <v>52</v>
      </c>
      <c r="Z2449" s="4">
        <v>5</v>
      </c>
      <c r="AA2449" s="4">
        <v>7</v>
      </c>
      <c r="AB2449" s="4">
        <v>1</v>
      </c>
      <c r="AC2449" s="4">
        <v>3</v>
      </c>
      <c r="AD2449" s="4">
        <v>38</v>
      </c>
      <c r="AE2449" s="4">
        <v>40</v>
      </c>
      <c r="AF2449" s="4">
        <v>0</v>
      </c>
      <c r="AG2449" s="4">
        <v>1</v>
      </c>
      <c r="AH2449" s="4">
        <v>37</v>
      </c>
      <c r="AI2449" s="4">
        <v>38</v>
      </c>
      <c r="AJ2449" s="4">
        <v>3</v>
      </c>
      <c r="AK2449" s="4">
        <v>4</v>
      </c>
      <c r="AL2449" s="4">
        <v>26</v>
      </c>
      <c r="AM2449" s="4">
        <v>27</v>
      </c>
      <c r="AN2449" s="4">
        <v>0</v>
      </c>
      <c r="AO2449" s="4">
        <v>0</v>
      </c>
      <c r="AP2449" s="4">
        <v>3</v>
      </c>
      <c r="AQ2449" s="4">
        <v>3</v>
      </c>
      <c r="AR2449" s="3" t="s">
        <v>65</v>
      </c>
      <c r="AS2449" s="3" t="s">
        <v>65</v>
      </c>
      <c r="AT2449" s="3" t="s">
        <v>65</v>
      </c>
      <c r="AV2449" s="6" t="str">
        <f>HYPERLINK("http://mcgill.on.worldcat.org/oclc/777474684","Catalog Record")</f>
        <v>Catalog Record</v>
      </c>
      <c r="AW2449" s="6" t="str">
        <f>HYPERLINK("http://www.worldcat.org/oclc/777474684","WorldCat Record")</f>
        <v>WorldCat Record</v>
      </c>
      <c r="AX2449" s="3" t="s">
        <v>24126</v>
      </c>
      <c r="AY2449" s="3" t="s">
        <v>24127</v>
      </c>
      <c r="AZ2449" s="3" t="s">
        <v>24128</v>
      </c>
      <c r="BA2449" s="3" t="s">
        <v>24128</v>
      </c>
      <c r="BB2449" s="3" t="s">
        <v>24129</v>
      </c>
      <c r="BC2449" s="3" t="s">
        <v>77</v>
      </c>
      <c r="BD2449" s="3" t="s">
        <v>78</v>
      </c>
      <c r="BE2449" s="3" t="s">
        <v>24130</v>
      </c>
      <c r="BF2449" s="3" t="s">
        <v>24129</v>
      </c>
      <c r="BG2449" s="3" t="s">
        <v>24131</v>
      </c>
    </row>
    <row r="2450" spans="1:59" ht="58" x14ac:dyDescent="0.35">
      <c r="A2450" s="2" t="s">
        <v>59</v>
      </c>
      <c r="B2450" s="2" t="s">
        <v>60</v>
      </c>
      <c r="C2450" s="2" t="s">
        <v>24132</v>
      </c>
      <c r="D2450" s="2" t="s">
        <v>24133</v>
      </c>
      <c r="E2450" s="2" t="s">
        <v>24134</v>
      </c>
      <c r="G2450" s="3" t="s">
        <v>65</v>
      </c>
      <c r="I2450" s="3" t="s">
        <v>65</v>
      </c>
      <c r="J2450" s="3" t="s">
        <v>65</v>
      </c>
      <c r="K2450" s="3" t="s">
        <v>66</v>
      </c>
      <c r="L2450" s="2" t="s">
        <v>24135</v>
      </c>
      <c r="M2450" s="2" t="s">
        <v>24136</v>
      </c>
      <c r="N2450" s="3" t="s">
        <v>3385</v>
      </c>
      <c r="P2450" s="3" t="s">
        <v>140</v>
      </c>
      <c r="Q2450" s="2" t="s">
        <v>24137</v>
      </c>
      <c r="R2450" s="3" t="s">
        <v>71</v>
      </c>
      <c r="S2450" s="4">
        <v>11</v>
      </c>
      <c r="T2450" s="4">
        <v>11</v>
      </c>
      <c r="U2450" s="5" t="s">
        <v>23374</v>
      </c>
      <c r="V2450" s="5" t="s">
        <v>23374</v>
      </c>
      <c r="W2450" s="5" t="s">
        <v>72</v>
      </c>
      <c r="X2450" s="5" t="s">
        <v>72</v>
      </c>
      <c r="Y2450" s="4">
        <v>94</v>
      </c>
      <c r="Z2450" s="4">
        <v>5</v>
      </c>
      <c r="AA2450" s="4">
        <v>7</v>
      </c>
      <c r="AB2450" s="4">
        <v>1</v>
      </c>
      <c r="AC2450" s="4">
        <v>3</v>
      </c>
      <c r="AD2450" s="4">
        <v>44</v>
      </c>
      <c r="AE2450" s="4">
        <v>48</v>
      </c>
      <c r="AF2450" s="4">
        <v>0</v>
      </c>
      <c r="AG2450" s="4">
        <v>2</v>
      </c>
      <c r="AH2450" s="4">
        <v>43</v>
      </c>
      <c r="AI2450" s="4">
        <v>45</v>
      </c>
      <c r="AJ2450" s="4">
        <v>3</v>
      </c>
      <c r="AK2450" s="4">
        <v>5</v>
      </c>
      <c r="AL2450" s="4">
        <v>35</v>
      </c>
      <c r="AM2450" s="4">
        <v>36</v>
      </c>
      <c r="AN2450" s="4">
        <v>0</v>
      </c>
      <c r="AO2450" s="4">
        <v>0</v>
      </c>
      <c r="AP2450" s="4">
        <v>3</v>
      </c>
      <c r="AQ2450" s="4">
        <v>4</v>
      </c>
      <c r="AR2450" s="3" t="s">
        <v>65</v>
      </c>
      <c r="AS2450" s="3" t="s">
        <v>65</v>
      </c>
      <c r="AT2450" s="3" t="s">
        <v>209</v>
      </c>
      <c r="AU2450" s="6" t="str">
        <f>HYPERLINK("http://catalog.hathitrust.org/Record/004050856","HathiTrust Record")</f>
        <v>HathiTrust Record</v>
      </c>
      <c r="AV2450" s="6" t="str">
        <f>HYPERLINK("http://mcgill.on.worldcat.org/oclc/41593554","Catalog Record")</f>
        <v>Catalog Record</v>
      </c>
      <c r="AW2450" s="6" t="str">
        <f>HYPERLINK("http://www.worldcat.org/oclc/41593554","WorldCat Record")</f>
        <v>WorldCat Record</v>
      </c>
      <c r="AX2450" s="3" t="s">
        <v>24138</v>
      </c>
      <c r="AY2450" s="3" t="s">
        <v>24139</v>
      </c>
      <c r="AZ2450" s="3" t="s">
        <v>24140</v>
      </c>
      <c r="BA2450" s="3" t="s">
        <v>24140</v>
      </c>
      <c r="BB2450" s="3" t="s">
        <v>24141</v>
      </c>
      <c r="BC2450" s="3" t="s">
        <v>77</v>
      </c>
      <c r="BD2450" s="3" t="s">
        <v>78</v>
      </c>
      <c r="BE2450" s="3" t="s">
        <v>24142</v>
      </c>
      <c r="BF2450" s="3" t="s">
        <v>24141</v>
      </c>
      <c r="BG2450" s="3" t="s">
        <v>24143</v>
      </c>
    </row>
    <row r="2451" spans="1:59" ht="58" x14ac:dyDescent="0.35">
      <c r="A2451" s="2" t="s">
        <v>59</v>
      </c>
      <c r="B2451" s="2" t="s">
        <v>60</v>
      </c>
      <c r="C2451" s="2" t="s">
        <v>24144</v>
      </c>
      <c r="D2451" s="2" t="s">
        <v>24145</v>
      </c>
      <c r="E2451" s="2" t="s">
        <v>24146</v>
      </c>
      <c r="G2451" s="3" t="s">
        <v>65</v>
      </c>
      <c r="I2451" s="3" t="s">
        <v>65</v>
      </c>
      <c r="J2451" s="3" t="s">
        <v>65</v>
      </c>
      <c r="K2451" s="3" t="s">
        <v>66</v>
      </c>
      <c r="M2451" s="2" t="s">
        <v>24147</v>
      </c>
      <c r="N2451" s="3" t="s">
        <v>68</v>
      </c>
      <c r="P2451" s="3" t="s">
        <v>69</v>
      </c>
      <c r="R2451" s="3" t="s">
        <v>71</v>
      </c>
      <c r="S2451" s="4">
        <v>0</v>
      </c>
      <c r="T2451" s="4">
        <v>0</v>
      </c>
      <c r="W2451" s="5" t="s">
        <v>72</v>
      </c>
      <c r="X2451" s="5" t="s">
        <v>72</v>
      </c>
      <c r="Y2451" s="4">
        <v>48</v>
      </c>
      <c r="Z2451" s="4">
        <v>6</v>
      </c>
      <c r="AA2451" s="4">
        <v>71</v>
      </c>
      <c r="AB2451" s="4">
        <v>1</v>
      </c>
      <c r="AC2451" s="4">
        <v>14</v>
      </c>
      <c r="AD2451" s="4">
        <v>33</v>
      </c>
      <c r="AE2451" s="4">
        <v>88</v>
      </c>
      <c r="AF2451" s="4">
        <v>0</v>
      </c>
      <c r="AG2451" s="4">
        <v>8</v>
      </c>
      <c r="AH2451" s="4">
        <v>32</v>
      </c>
      <c r="AI2451" s="4">
        <v>62</v>
      </c>
      <c r="AJ2451" s="4">
        <v>3</v>
      </c>
      <c r="AK2451" s="4">
        <v>17</v>
      </c>
      <c r="AL2451" s="4">
        <v>23</v>
      </c>
      <c r="AM2451" s="4">
        <v>35</v>
      </c>
      <c r="AN2451" s="4">
        <v>0</v>
      </c>
      <c r="AO2451" s="4">
        <v>0</v>
      </c>
      <c r="AP2451" s="4">
        <v>3</v>
      </c>
      <c r="AQ2451" s="4">
        <v>33</v>
      </c>
      <c r="AR2451" s="3" t="s">
        <v>65</v>
      </c>
      <c r="AS2451" s="3" t="s">
        <v>65</v>
      </c>
      <c r="AT2451" s="3" t="s">
        <v>65</v>
      </c>
      <c r="AV2451" s="6" t="str">
        <f>HYPERLINK("http://mcgill.on.worldcat.org/oclc/935985515","Catalog Record")</f>
        <v>Catalog Record</v>
      </c>
      <c r="AW2451" s="6" t="str">
        <f>HYPERLINK("http://www.worldcat.org/oclc/935985515","WorldCat Record")</f>
        <v>WorldCat Record</v>
      </c>
      <c r="AX2451" s="3" t="s">
        <v>24148</v>
      </c>
      <c r="AY2451" s="3" t="s">
        <v>24149</v>
      </c>
      <c r="AZ2451" s="3" t="s">
        <v>24150</v>
      </c>
      <c r="BA2451" s="3" t="s">
        <v>24150</v>
      </c>
      <c r="BB2451" s="3" t="s">
        <v>24151</v>
      </c>
      <c r="BC2451" s="3" t="s">
        <v>77</v>
      </c>
      <c r="BD2451" s="3" t="s">
        <v>78</v>
      </c>
      <c r="BE2451" s="3" t="s">
        <v>24152</v>
      </c>
      <c r="BF2451" s="3" t="s">
        <v>24151</v>
      </c>
      <c r="BG2451" s="3" t="s">
        <v>24153</v>
      </c>
    </row>
    <row r="2452" spans="1:59" ht="58" x14ac:dyDescent="0.35">
      <c r="A2452" s="2" t="s">
        <v>59</v>
      </c>
      <c r="B2452" s="2" t="s">
        <v>60</v>
      </c>
      <c r="C2452" s="2" t="s">
        <v>24154</v>
      </c>
      <c r="D2452" s="2" t="s">
        <v>24155</v>
      </c>
      <c r="E2452" s="2" t="s">
        <v>24156</v>
      </c>
      <c r="G2452" s="3" t="s">
        <v>65</v>
      </c>
      <c r="I2452" s="3" t="s">
        <v>65</v>
      </c>
      <c r="J2452" s="3" t="s">
        <v>65</v>
      </c>
      <c r="K2452" s="3" t="s">
        <v>66</v>
      </c>
      <c r="M2452" s="2" t="s">
        <v>24157</v>
      </c>
      <c r="N2452" s="3" t="s">
        <v>68</v>
      </c>
      <c r="O2452" s="2" t="s">
        <v>235</v>
      </c>
      <c r="P2452" s="3" t="s">
        <v>140</v>
      </c>
      <c r="R2452" s="3" t="s">
        <v>71</v>
      </c>
      <c r="S2452" s="4">
        <v>0</v>
      </c>
      <c r="T2452" s="4">
        <v>0</v>
      </c>
      <c r="W2452" s="5" t="s">
        <v>72</v>
      </c>
      <c r="X2452" s="5" t="s">
        <v>72</v>
      </c>
      <c r="Y2452" s="4">
        <v>34</v>
      </c>
      <c r="Z2452" s="4">
        <v>4</v>
      </c>
      <c r="AA2452" s="4">
        <v>4</v>
      </c>
      <c r="AB2452" s="4">
        <v>1</v>
      </c>
      <c r="AC2452" s="4">
        <v>1</v>
      </c>
      <c r="AD2452" s="4">
        <v>26</v>
      </c>
      <c r="AE2452" s="4">
        <v>26</v>
      </c>
      <c r="AF2452" s="4">
        <v>0</v>
      </c>
      <c r="AG2452" s="4">
        <v>0</v>
      </c>
      <c r="AH2452" s="4">
        <v>25</v>
      </c>
      <c r="AI2452" s="4">
        <v>25</v>
      </c>
      <c r="AJ2452" s="4">
        <v>2</v>
      </c>
      <c r="AK2452" s="4">
        <v>2</v>
      </c>
      <c r="AL2452" s="4">
        <v>20</v>
      </c>
      <c r="AM2452" s="4">
        <v>20</v>
      </c>
      <c r="AN2452" s="4">
        <v>0</v>
      </c>
      <c r="AO2452" s="4">
        <v>0</v>
      </c>
      <c r="AP2452" s="4">
        <v>2</v>
      </c>
      <c r="AQ2452" s="4">
        <v>2</v>
      </c>
      <c r="AR2452" s="3" t="s">
        <v>65</v>
      </c>
      <c r="AS2452" s="3" t="s">
        <v>65</v>
      </c>
      <c r="AT2452" s="3" t="s">
        <v>65</v>
      </c>
      <c r="AV2452" s="6" t="str">
        <f>HYPERLINK("http://mcgill.on.worldcat.org/oclc/949855683","Catalog Record")</f>
        <v>Catalog Record</v>
      </c>
      <c r="AW2452" s="6" t="str">
        <f>HYPERLINK("http://www.worldcat.org/oclc/949855683","WorldCat Record")</f>
        <v>WorldCat Record</v>
      </c>
      <c r="AX2452" s="3" t="s">
        <v>24158</v>
      </c>
      <c r="AY2452" s="3" t="s">
        <v>24159</v>
      </c>
      <c r="AZ2452" s="3" t="s">
        <v>24160</v>
      </c>
      <c r="BA2452" s="3" t="s">
        <v>24160</v>
      </c>
      <c r="BB2452" s="3" t="s">
        <v>24161</v>
      </c>
      <c r="BC2452" s="3" t="s">
        <v>77</v>
      </c>
      <c r="BD2452" s="3" t="s">
        <v>78</v>
      </c>
      <c r="BE2452" s="3" t="s">
        <v>24162</v>
      </c>
      <c r="BF2452" s="3" t="s">
        <v>24161</v>
      </c>
      <c r="BG2452" s="3" t="s">
        <v>24163</v>
      </c>
    </row>
    <row r="2453" spans="1:59" ht="58" x14ac:dyDescent="0.35">
      <c r="A2453" s="2" t="s">
        <v>59</v>
      </c>
      <c r="B2453" s="2" t="s">
        <v>60</v>
      </c>
      <c r="C2453" s="2" t="s">
        <v>24164</v>
      </c>
      <c r="D2453" s="2" t="s">
        <v>24165</v>
      </c>
      <c r="E2453" s="2" t="s">
        <v>24166</v>
      </c>
      <c r="G2453" s="3" t="s">
        <v>65</v>
      </c>
      <c r="I2453" s="3" t="s">
        <v>65</v>
      </c>
      <c r="J2453" s="3" t="s">
        <v>65</v>
      </c>
      <c r="K2453" s="3" t="s">
        <v>66</v>
      </c>
      <c r="L2453" s="2" t="s">
        <v>24167</v>
      </c>
      <c r="M2453" s="2" t="s">
        <v>24168</v>
      </c>
      <c r="N2453" s="3" t="s">
        <v>247</v>
      </c>
      <c r="P2453" s="3" t="s">
        <v>69</v>
      </c>
      <c r="Q2453" s="2" t="s">
        <v>24169</v>
      </c>
      <c r="R2453" s="3" t="s">
        <v>71</v>
      </c>
      <c r="S2453" s="4">
        <v>56</v>
      </c>
      <c r="T2453" s="4">
        <v>56</v>
      </c>
      <c r="U2453" s="5" t="s">
        <v>4442</v>
      </c>
      <c r="V2453" s="5" t="s">
        <v>4442</v>
      </c>
      <c r="W2453" s="5" t="s">
        <v>72</v>
      </c>
      <c r="X2453" s="5" t="s">
        <v>72</v>
      </c>
      <c r="Y2453" s="4">
        <v>333</v>
      </c>
      <c r="Z2453" s="4">
        <v>19</v>
      </c>
      <c r="AA2453" s="4">
        <v>100</v>
      </c>
      <c r="AB2453" s="4">
        <v>2</v>
      </c>
      <c r="AC2453" s="4">
        <v>17</v>
      </c>
      <c r="AD2453" s="4">
        <v>103</v>
      </c>
      <c r="AE2453" s="4">
        <v>141</v>
      </c>
      <c r="AF2453" s="4">
        <v>1</v>
      </c>
      <c r="AG2453" s="4">
        <v>8</v>
      </c>
      <c r="AH2453" s="4">
        <v>94</v>
      </c>
      <c r="AI2453" s="4">
        <v>105</v>
      </c>
      <c r="AJ2453" s="4">
        <v>13</v>
      </c>
      <c r="AK2453" s="4">
        <v>23</v>
      </c>
      <c r="AL2453" s="4">
        <v>53</v>
      </c>
      <c r="AM2453" s="4">
        <v>56</v>
      </c>
      <c r="AN2453" s="4">
        <v>0</v>
      </c>
      <c r="AO2453" s="4">
        <v>0</v>
      </c>
      <c r="AP2453" s="4">
        <v>14</v>
      </c>
      <c r="AQ2453" s="4">
        <v>44</v>
      </c>
      <c r="AR2453" s="3" t="s">
        <v>65</v>
      </c>
      <c r="AS2453" s="3" t="s">
        <v>65</v>
      </c>
      <c r="AT2453" s="3" t="s">
        <v>65</v>
      </c>
      <c r="AV2453" s="6" t="str">
        <f>HYPERLINK("http://mcgill.on.worldcat.org/oclc/27035084","Catalog Record")</f>
        <v>Catalog Record</v>
      </c>
      <c r="AW2453" s="6" t="str">
        <f>HYPERLINK("http://www.worldcat.org/oclc/27035084","WorldCat Record")</f>
        <v>WorldCat Record</v>
      </c>
      <c r="AX2453" s="3" t="s">
        <v>24170</v>
      </c>
      <c r="AY2453" s="3" t="s">
        <v>24171</v>
      </c>
      <c r="AZ2453" s="3" t="s">
        <v>24172</v>
      </c>
      <c r="BA2453" s="3" t="s">
        <v>24172</v>
      </c>
      <c r="BB2453" s="3" t="s">
        <v>24173</v>
      </c>
      <c r="BC2453" s="3" t="s">
        <v>77</v>
      </c>
      <c r="BD2453" s="3" t="s">
        <v>78</v>
      </c>
      <c r="BE2453" s="3" t="s">
        <v>24174</v>
      </c>
      <c r="BF2453" s="3" t="s">
        <v>24173</v>
      </c>
      <c r="BG2453" s="3" t="s">
        <v>24175</v>
      </c>
    </row>
    <row r="2454" spans="1:59" ht="58" x14ac:dyDescent="0.35">
      <c r="A2454" s="2" t="s">
        <v>59</v>
      </c>
      <c r="B2454" s="2" t="s">
        <v>60</v>
      </c>
      <c r="C2454" s="2" t="s">
        <v>24176</v>
      </c>
      <c r="D2454" s="2" t="s">
        <v>24177</v>
      </c>
      <c r="E2454" s="2" t="s">
        <v>24178</v>
      </c>
      <c r="G2454" s="3" t="s">
        <v>65</v>
      </c>
      <c r="I2454" s="3" t="s">
        <v>65</v>
      </c>
      <c r="J2454" s="3" t="s">
        <v>65</v>
      </c>
      <c r="K2454" s="3" t="s">
        <v>66</v>
      </c>
      <c r="L2454" s="2" t="s">
        <v>24179</v>
      </c>
      <c r="M2454" s="2" t="s">
        <v>24180</v>
      </c>
      <c r="N2454" s="3" t="s">
        <v>3994</v>
      </c>
      <c r="P2454" s="3" t="s">
        <v>69</v>
      </c>
      <c r="Q2454" s="2" t="s">
        <v>24181</v>
      </c>
      <c r="R2454" s="3" t="s">
        <v>71</v>
      </c>
      <c r="S2454" s="4">
        <v>20</v>
      </c>
      <c r="T2454" s="4">
        <v>20</v>
      </c>
      <c r="U2454" s="5" t="s">
        <v>4442</v>
      </c>
      <c r="V2454" s="5" t="s">
        <v>4442</v>
      </c>
      <c r="W2454" s="5" t="s">
        <v>72</v>
      </c>
      <c r="X2454" s="5" t="s">
        <v>72</v>
      </c>
      <c r="Y2454" s="4">
        <v>156</v>
      </c>
      <c r="Z2454" s="4">
        <v>18</v>
      </c>
      <c r="AA2454" s="4">
        <v>18</v>
      </c>
      <c r="AB2454" s="4">
        <v>2</v>
      </c>
      <c r="AC2454" s="4">
        <v>2</v>
      </c>
      <c r="AD2454" s="4">
        <v>69</v>
      </c>
      <c r="AE2454" s="4">
        <v>69</v>
      </c>
      <c r="AF2454" s="4">
        <v>1</v>
      </c>
      <c r="AG2454" s="4">
        <v>1</v>
      </c>
      <c r="AH2454" s="4">
        <v>62</v>
      </c>
      <c r="AI2454" s="4">
        <v>62</v>
      </c>
      <c r="AJ2454" s="4">
        <v>13</v>
      </c>
      <c r="AK2454" s="4">
        <v>13</v>
      </c>
      <c r="AL2454" s="4">
        <v>40</v>
      </c>
      <c r="AM2454" s="4">
        <v>40</v>
      </c>
      <c r="AN2454" s="4">
        <v>0</v>
      </c>
      <c r="AO2454" s="4">
        <v>0</v>
      </c>
      <c r="AP2454" s="4">
        <v>13</v>
      </c>
      <c r="AQ2454" s="4">
        <v>13</v>
      </c>
      <c r="AR2454" s="3" t="s">
        <v>65</v>
      </c>
      <c r="AS2454" s="3" t="s">
        <v>65</v>
      </c>
      <c r="AT2454" s="3" t="s">
        <v>209</v>
      </c>
      <c r="AU2454" s="6" t="str">
        <f>HYPERLINK("http://catalog.hathitrust.org/Record/001218732","HathiTrust Record")</f>
        <v>HathiTrust Record</v>
      </c>
      <c r="AV2454" s="6" t="str">
        <f>HYPERLINK("http://mcgill.on.worldcat.org/oclc/41578","Catalog Record")</f>
        <v>Catalog Record</v>
      </c>
      <c r="AW2454" s="6" t="str">
        <f>HYPERLINK("http://www.worldcat.org/oclc/41578","WorldCat Record")</f>
        <v>WorldCat Record</v>
      </c>
      <c r="AX2454" s="3" t="s">
        <v>24182</v>
      </c>
      <c r="AY2454" s="3" t="s">
        <v>24183</v>
      </c>
      <c r="AZ2454" s="3" t="s">
        <v>24184</v>
      </c>
      <c r="BA2454" s="3" t="s">
        <v>24184</v>
      </c>
      <c r="BB2454" s="3" t="s">
        <v>24185</v>
      </c>
      <c r="BC2454" s="3" t="s">
        <v>77</v>
      </c>
      <c r="BD2454" s="3" t="s">
        <v>78</v>
      </c>
      <c r="BF2454" s="3" t="s">
        <v>24185</v>
      </c>
      <c r="BG2454" s="3" t="s">
        <v>24186</v>
      </c>
    </row>
    <row r="2455" spans="1:59" ht="58" x14ac:dyDescent="0.35">
      <c r="A2455" s="2" t="s">
        <v>59</v>
      </c>
      <c r="B2455" s="2" t="s">
        <v>60</v>
      </c>
      <c r="C2455" s="2" t="s">
        <v>24187</v>
      </c>
      <c r="D2455" s="2" t="s">
        <v>24188</v>
      </c>
      <c r="E2455" s="2" t="s">
        <v>24189</v>
      </c>
      <c r="G2455" s="3" t="s">
        <v>65</v>
      </c>
      <c r="I2455" s="3" t="s">
        <v>65</v>
      </c>
      <c r="J2455" s="3" t="s">
        <v>65</v>
      </c>
      <c r="K2455" s="3" t="s">
        <v>66</v>
      </c>
      <c r="L2455" s="2" t="s">
        <v>24190</v>
      </c>
      <c r="M2455" s="2" t="s">
        <v>24191</v>
      </c>
      <c r="N2455" s="3" t="s">
        <v>3448</v>
      </c>
      <c r="P2455" s="3" t="s">
        <v>140</v>
      </c>
      <c r="Q2455" s="2" t="s">
        <v>24192</v>
      </c>
      <c r="R2455" s="3" t="s">
        <v>71</v>
      </c>
      <c r="S2455" s="4">
        <v>4</v>
      </c>
      <c r="T2455" s="4">
        <v>4</v>
      </c>
      <c r="U2455" s="5" t="s">
        <v>4310</v>
      </c>
      <c r="V2455" s="5" t="s">
        <v>4310</v>
      </c>
      <c r="W2455" s="5" t="s">
        <v>72</v>
      </c>
      <c r="X2455" s="5" t="s">
        <v>72</v>
      </c>
      <c r="Y2455" s="4">
        <v>41</v>
      </c>
      <c r="Z2455" s="4">
        <v>7</v>
      </c>
      <c r="AA2455" s="4">
        <v>13</v>
      </c>
      <c r="AB2455" s="4">
        <v>2</v>
      </c>
      <c r="AC2455" s="4">
        <v>2</v>
      </c>
      <c r="AD2455" s="4">
        <v>21</v>
      </c>
      <c r="AE2455" s="4">
        <v>53</v>
      </c>
      <c r="AF2455" s="4">
        <v>1</v>
      </c>
      <c r="AG2455" s="4">
        <v>1</v>
      </c>
      <c r="AH2455" s="4">
        <v>17</v>
      </c>
      <c r="AI2455" s="4">
        <v>46</v>
      </c>
      <c r="AJ2455" s="4">
        <v>5</v>
      </c>
      <c r="AK2455" s="4">
        <v>7</v>
      </c>
      <c r="AL2455" s="4">
        <v>11</v>
      </c>
      <c r="AM2455" s="4">
        <v>32</v>
      </c>
      <c r="AN2455" s="4">
        <v>0</v>
      </c>
      <c r="AO2455" s="4">
        <v>0</v>
      </c>
      <c r="AP2455" s="4">
        <v>5</v>
      </c>
      <c r="AQ2455" s="4">
        <v>9</v>
      </c>
      <c r="AR2455" s="3" t="s">
        <v>65</v>
      </c>
      <c r="AS2455" s="3" t="s">
        <v>65</v>
      </c>
      <c r="AT2455" s="3" t="s">
        <v>65</v>
      </c>
      <c r="AV2455" s="6" t="str">
        <f>HYPERLINK("http://mcgill.on.worldcat.org/oclc/748401","Catalog Record")</f>
        <v>Catalog Record</v>
      </c>
      <c r="AW2455" s="6" t="str">
        <f>HYPERLINK("http://www.worldcat.org/oclc/748401","WorldCat Record")</f>
        <v>WorldCat Record</v>
      </c>
      <c r="AX2455" s="3" t="s">
        <v>24193</v>
      </c>
      <c r="AY2455" s="3" t="s">
        <v>24194</v>
      </c>
      <c r="AZ2455" s="3" t="s">
        <v>24195</v>
      </c>
      <c r="BA2455" s="3" t="s">
        <v>24195</v>
      </c>
      <c r="BB2455" s="3" t="s">
        <v>24196</v>
      </c>
      <c r="BC2455" s="3" t="s">
        <v>77</v>
      </c>
      <c r="BD2455" s="3" t="s">
        <v>78</v>
      </c>
      <c r="BF2455" s="3" t="s">
        <v>24196</v>
      </c>
      <c r="BG2455" s="3" t="s">
        <v>24197</v>
      </c>
    </row>
    <row r="2456" spans="1:59" ht="58" x14ac:dyDescent="0.35">
      <c r="A2456" s="2" t="s">
        <v>59</v>
      </c>
      <c r="B2456" s="2" t="s">
        <v>60</v>
      </c>
      <c r="C2456" s="2" t="s">
        <v>24198</v>
      </c>
      <c r="D2456" s="2" t="s">
        <v>24199</v>
      </c>
      <c r="E2456" s="2" t="s">
        <v>24200</v>
      </c>
      <c r="G2456" s="3" t="s">
        <v>65</v>
      </c>
      <c r="I2456" s="3" t="s">
        <v>65</v>
      </c>
      <c r="J2456" s="3" t="s">
        <v>209</v>
      </c>
      <c r="K2456" s="3" t="s">
        <v>66</v>
      </c>
      <c r="L2456" s="2" t="s">
        <v>24190</v>
      </c>
      <c r="M2456" s="2" t="s">
        <v>24201</v>
      </c>
      <c r="N2456" s="3" t="s">
        <v>615</v>
      </c>
      <c r="P2456" s="3" t="s">
        <v>69</v>
      </c>
      <c r="Q2456" s="2" t="s">
        <v>24202</v>
      </c>
      <c r="R2456" s="3" t="s">
        <v>71</v>
      </c>
      <c r="S2456" s="4">
        <v>1</v>
      </c>
      <c r="T2456" s="4">
        <v>1</v>
      </c>
      <c r="U2456" s="5" t="s">
        <v>24203</v>
      </c>
      <c r="V2456" s="5" t="s">
        <v>24203</v>
      </c>
      <c r="W2456" s="5" t="s">
        <v>72</v>
      </c>
      <c r="X2456" s="5" t="s">
        <v>72</v>
      </c>
      <c r="Y2456" s="4">
        <v>232</v>
      </c>
      <c r="Z2456" s="4">
        <v>15</v>
      </c>
      <c r="AA2456" s="4">
        <v>29</v>
      </c>
      <c r="AB2456" s="4">
        <v>3</v>
      </c>
      <c r="AC2456" s="4">
        <v>3</v>
      </c>
      <c r="AD2456" s="4">
        <v>77</v>
      </c>
      <c r="AE2456" s="4">
        <v>115</v>
      </c>
      <c r="AF2456" s="4">
        <v>1</v>
      </c>
      <c r="AG2456" s="4">
        <v>1</v>
      </c>
      <c r="AH2456" s="4">
        <v>73</v>
      </c>
      <c r="AI2456" s="4">
        <v>103</v>
      </c>
      <c r="AJ2456" s="4">
        <v>4</v>
      </c>
      <c r="AK2456" s="4">
        <v>15</v>
      </c>
      <c r="AL2456" s="4">
        <v>43</v>
      </c>
      <c r="AM2456" s="4">
        <v>57</v>
      </c>
      <c r="AN2456" s="4">
        <v>0</v>
      </c>
      <c r="AO2456" s="4">
        <v>0</v>
      </c>
      <c r="AP2456" s="4">
        <v>6</v>
      </c>
      <c r="AQ2456" s="4">
        <v>16</v>
      </c>
      <c r="AR2456" s="3" t="s">
        <v>65</v>
      </c>
      <c r="AS2456" s="3" t="s">
        <v>65</v>
      </c>
      <c r="AT2456" s="3" t="s">
        <v>65</v>
      </c>
      <c r="AV2456" s="6" t="str">
        <f>HYPERLINK("http://mcgill.on.worldcat.org/oclc/11502939","Catalog Record")</f>
        <v>Catalog Record</v>
      </c>
      <c r="AW2456" s="6" t="str">
        <f>HYPERLINK("http://www.worldcat.org/oclc/11502939","WorldCat Record")</f>
        <v>WorldCat Record</v>
      </c>
      <c r="AX2456" s="3" t="s">
        <v>24204</v>
      </c>
      <c r="AY2456" s="3" t="s">
        <v>24205</v>
      </c>
      <c r="AZ2456" s="3" t="s">
        <v>24206</v>
      </c>
      <c r="BA2456" s="3" t="s">
        <v>24206</v>
      </c>
      <c r="BB2456" s="3" t="s">
        <v>24207</v>
      </c>
      <c r="BC2456" s="3" t="s">
        <v>77</v>
      </c>
      <c r="BD2456" s="3" t="s">
        <v>78</v>
      </c>
      <c r="BE2456" s="3" t="s">
        <v>24208</v>
      </c>
      <c r="BF2456" s="3" t="s">
        <v>24207</v>
      </c>
      <c r="BG2456" s="3" t="s">
        <v>24209</v>
      </c>
    </row>
    <row r="2457" spans="1:59" ht="58" x14ac:dyDescent="0.35">
      <c r="A2457" s="2" t="s">
        <v>59</v>
      </c>
      <c r="B2457" s="2" t="s">
        <v>60</v>
      </c>
      <c r="C2457" s="2" t="s">
        <v>24210</v>
      </c>
      <c r="D2457" s="2" t="s">
        <v>24211</v>
      </c>
      <c r="E2457" s="2" t="s">
        <v>24212</v>
      </c>
      <c r="G2457" s="3" t="s">
        <v>65</v>
      </c>
      <c r="I2457" s="3" t="s">
        <v>65</v>
      </c>
      <c r="J2457" s="3" t="s">
        <v>65</v>
      </c>
      <c r="K2457" s="3" t="s">
        <v>66</v>
      </c>
      <c r="L2457" s="2" t="s">
        <v>24213</v>
      </c>
      <c r="M2457" s="2" t="s">
        <v>24214</v>
      </c>
      <c r="N2457" s="3" t="s">
        <v>113</v>
      </c>
      <c r="O2457" s="2" t="s">
        <v>365</v>
      </c>
      <c r="P2457" s="3" t="s">
        <v>140</v>
      </c>
      <c r="Q2457" s="2" t="s">
        <v>24215</v>
      </c>
      <c r="R2457" s="3" t="s">
        <v>71</v>
      </c>
      <c r="S2457" s="4">
        <v>1</v>
      </c>
      <c r="T2457" s="4">
        <v>1</v>
      </c>
      <c r="U2457" s="5" t="s">
        <v>24216</v>
      </c>
      <c r="V2457" s="5" t="s">
        <v>24216</v>
      </c>
      <c r="W2457" s="5" t="s">
        <v>72</v>
      </c>
      <c r="X2457" s="5" t="s">
        <v>72</v>
      </c>
      <c r="Y2457" s="4">
        <v>33</v>
      </c>
      <c r="Z2457" s="4">
        <v>4</v>
      </c>
      <c r="AA2457" s="4">
        <v>4</v>
      </c>
      <c r="AB2457" s="4">
        <v>1</v>
      </c>
      <c r="AC2457" s="4">
        <v>1</v>
      </c>
      <c r="AD2457" s="4">
        <v>27</v>
      </c>
      <c r="AE2457" s="4">
        <v>27</v>
      </c>
      <c r="AF2457" s="4">
        <v>0</v>
      </c>
      <c r="AG2457" s="4">
        <v>0</v>
      </c>
      <c r="AH2457" s="4">
        <v>26</v>
      </c>
      <c r="AI2457" s="4">
        <v>26</v>
      </c>
      <c r="AJ2457" s="4">
        <v>2</v>
      </c>
      <c r="AK2457" s="4">
        <v>2</v>
      </c>
      <c r="AL2457" s="4">
        <v>20</v>
      </c>
      <c r="AM2457" s="4">
        <v>20</v>
      </c>
      <c r="AN2457" s="4">
        <v>0</v>
      </c>
      <c r="AO2457" s="4">
        <v>0</v>
      </c>
      <c r="AP2457" s="4">
        <v>2</v>
      </c>
      <c r="AQ2457" s="4">
        <v>2</v>
      </c>
      <c r="AR2457" s="3" t="s">
        <v>65</v>
      </c>
      <c r="AS2457" s="3" t="s">
        <v>65</v>
      </c>
      <c r="AT2457" s="3" t="s">
        <v>65</v>
      </c>
      <c r="AV2457" s="6" t="str">
        <f>HYPERLINK("http://mcgill.on.worldcat.org/oclc/658004036","Catalog Record")</f>
        <v>Catalog Record</v>
      </c>
      <c r="AW2457" s="6" t="str">
        <f>HYPERLINK("http://www.worldcat.org/oclc/658004036","WorldCat Record")</f>
        <v>WorldCat Record</v>
      </c>
      <c r="AX2457" s="3" t="s">
        <v>24217</v>
      </c>
      <c r="AY2457" s="3" t="s">
        <v>24218</v>
      </c>
      <c r="AZ2457" s="3" t="s">
        <v>24219</v>
      </c>
      <c r="BA2457" s="3" t="s">
        <v>24219</v>
      </c>
      <c r="BB2457" s="3" t="s">
        <v>24220</v>
      </c>
      <c r="BC2457" s="3" t="s">
        <v>77</v>
      </c>
      <c r="BD2457" s="3" t="s">
        <v>78</v>
      </c>
      <c r="BE2457" s="3" t="s">
        <v>24221</v>
      </c>
      <c r="BF2457" s="3" t="s">
        <v>24220</v>
      </c>
      <c r="BG2457" s="3" t="s">
        <v>24222</v>
      </c>
    </row>
    <row r="2458" spans="1:59" ht="58" x14ac:dyDescent="0.35">
      <c r="A2458" s="2" t="s">
        <v>59</v>
      </c>
      <c r="B2458" s="2" t="s">
        <v>60</v>
      </c>
      <c r="C2458" s="2" t="s">
        <v>24223</v>
      </c>
      <c r="D2458" s="2" t="s">
        <v>24224</v>
      </c>
      <c r="E2458" s="2" t="s">
        <v>24225</v>
      </c>
      <c r="G2458" s="3" t="s">
        <v>65</v>
      </c>
      <c r="I2458" s="3" t="s">
        <v>65</v>
      </c>
      <c r="J2458" s="3" t="s">
        <v>65</v>
      </c>
      <c r="K2458" s="3" t="s">
        <v>66</v>
      </c>
      <c r="L2458" s="2" t="s">
        <v>24190</v>
      </c>
      <c r="M2458" s="2" t="s">
        <v>24226</v>
      </c>
      <c r="N2458" s="3" t="s">
        <v>126</v>
      </c>
      <c r="P2458" s="3" t="s">
        <v>140</v>
      </c>
      <c r="Q2458" s="2" t="s">
        <v>24227</v>
      </c>
      <c r="R2458" s="3" t="s">
        <v>71</v>
      </c>
      <c r="S2458" s="4">
        <v>0</v>
      </c>
      <c r="T2458" s="4">
        <v>0</v>
      </c>
      <c r="W2458" s="5" t="s">
        <v>72</v>
      </c>
      <c r="X2458" s="5" t="s">
        <v>72</v>
      </c>
      <c r="Y2458" s="4">
        <v>46</v>
      </c>
      <c r="Z2458" s="4">
        <v>4</v>
      </c>
      <c r="AA2458" s="4">
        <v>4</v>
      </c>
      <c r="AB2458" s="4">
        <v>1</v>
      </c>
      <c r="AC2458" s="4">
        <v>1</v>
      </c>
      <c r="AD2458" s="4">
        <v>30</v>
      </c>
      <c r="AE2458" s="4">
        <v>30</v>
      </c>
      <c r="AF2458" s="4">
        <v>0</v>
      </c>
      <c r="AG2458" s="4">
        <v>0</v>
      </c>
      <c r="AH2458" s="4">
        <v>29</v>
      </c>
      <c r="AI2458" s="4">
        <v>29</v>
      </c>
      <c r="AJ2458" s="4">
        <v>2</v>
      </c>
      <c r="AK2458" s="4">
        <v>2</v>
      </c>
      <c r="AL2458" s="4">
        <v>22</v>
      </c>
      <c r="AM2458" s="4">
        <v>22</v>
      </c>
      <c r="AN2458" s="4">
        <v>0</v>
      </c>
      <c r="AO2458" s="4">
        <v>0</v>
      </c>
      <c r="AP2458" s="4">
        <v>2</v>
      </c>
      <c r="AQ2458" s="4">
        <v>2</v>
      </c>
      <c r="AR2458" s="3" t="s">
        <v>65</v>
      </c>
      <c r="AS2458" s="3" t="s">
        <v>65</v>
      </c>
      <c r="AT2458" s="3" t="s">
        <v>65</v>
      </c>
      <c r="AV2458" s="6" t="str">
        <f>HYPERLINK("http://mcgill.on.worldcat.org/oclc/773016507","Catalog Record")</f>
        <v>Catalog Record</v>
      </c>
      <c r="AW2458" s="6" t="str">
        <f>HYPERLINK("http://www.worldcat.org/oclc/773016507","WorldCat Record")</f>
        <v>WorldCat Record</v>
      </c>
      <c r="AX2458" s="3" t="s">
        <v>24228</v>
      </c>
      <c r="AY2458" s="3" t="s">
        <v>24229</v>
      </c>
      <c r="AZ2458" s="3" t="s">
        <v>24230</v>
      </c>
      <c r="BA2458" s="3" t="s">
        <v>24230</v>
      </c>
      <c r="BB2458" s="3" t="s">
        <v>24231</v>
      </c>
      <c r="BC2458" s="3" t="s">
        <v>77</v>
      </c>
      <c r="BD2458" s="3" t="s">
        <v>78</v>
      </c>
      <c r="BE2458" s="3" t="s">
        <v>24232</v>
      </c>
      <c r="BF2458" s="3" t="s">
        <v>24231</v>
      </c>
      <c r="BG2458" s="3" t="s">
        <v>24233</v>
      </c>
    </row>
    <row r="2459" spans="1:59" ht="58" x14ac:dyDescent="0.35">
      <c r="A2459" s="2" t="s">
        <v>59</v>
      </c>
      <c r="B2459" s="2" t="s">
        <v>60</v>
      </c>
      <c r="C2459" s="2" t="s">
        <v>24234</v>
      </c>
      <c r="D2459" s="2" t="s">
        <v>24235</v>
      </c>
      <c r="E2459" s="2" t="s">
        <v>24236</v>
      </c>
      <c r="G2459" s="3" t="s">
        <v>65</v>
      </c>
      <c r="I2459" s="3" t="s">
        <v>65</v>
      </c>
      <c r="J2459" s="3" t="s">
        <v>65</v>
      </c>
      <c r="K2459" s="3" t="s">
        <v>66</v>
      </c>
      <c r="L2459" s="2" t="s">
        <v>24237</v>
      </c>
      <c r="M2459" s="2" t="s">
        <v>24238</v>
      </c>
      <c r="N2459" s="3" t="s">
        <v>139</v>
      </c>
      <c r="P2459" s="3" t="s">
        <v>140</v>
      </c>
      <c r="R2459" s="3" t="s">
        <v>71</v>
      </c>
      <c r="S2459" s="4">
        <v>0</v>
      </c>
      <c r="T2459" s="4">
        <v>0</v>
      </c>
      <c r="W2459" s="5" t="s">
        <v>72</v>
      </c>
      <c r="X2459" s="5" t="s">
        <v>72</v>
      </c>
      <c r="Y2459" s="4">
        <v>8</v>
      </c>
      <c r="Z2459" s="4">
        <v>1</v>
      </c>
      <c r="AA2459" s="4">
        <v>1</v>
      </c>
      <c r="AB2459" s="4">
        <v>1</v>
      </c>
      <c r="AC2459" s="4">
        <v>1</v>
      </c>
      <c r="AD2459" s="4">
        <v>3</v>
      </c>
      <c r="AE2459" s="4">
        <v>3</v>
      </c>
      <c r="AF2459" s="4">
        <v>0</v>
      </c>
      <c r="AG2459" s="4">
        <v>0</v>
      </c>
      <c r="AH2459" s="4">
        <v>3</v>
      </c>
      <c r="AI2459" s="4">
        <v>3</v>
      </c>
      <c r="AJ2459" s="4">
        <v>0</v>
      </c>
      <c r="AK2459" s="4">
        <v>0</v>
      </c>
      <c r="AL2459" s="4">
        <v>3</v>
      </c>
      <c r="AM2459" s="4">
        <v>3</v>
      </c>
      <c r="AN2459" s="4">
        <v>0</v>
      </c>
      <c r="AO2459" s="4">
        <v>0</v>
      </c>
      <c r="AP2459" s="4">
        <v>0</v>
      </c>
      <c r="AQ2459" s="4">
        <v>0</v>
      </c>
      <c r="AR2459" s="3" t="s">
        <v>65</v>
      </c>
      <c r="AS2459" s="3" t="s">
        <v>65</v>
      </c>
      <c r="AT2459" s="3" t="s">
        <v>65</v>
      </c>
      <c r="AV2459" s="6" t="str">
        <f>HYPERLINK("http://mcgill.on.worldcat.org/oclc/780945507","Catalog Record")</f>
        <v>Catalog Record</v>
      </c>
      <c r="AW2459" s="6" t="str">
        <f>HYPERLINK("http://www.worldcat.org/oclc/780945507","WorldCat Record")</f>
        <v>WorldCat Record</v>
      </c>
      <c r="AX2459" s="3" t="s">
        <v>24239</v>
      </c>
      <c r="AY2459" s="3" t="s">
        <v>24240</v>
      </c>
      <c r="AZ2459" s="3" t="s">
        <v>24241</v>
      </c>
      <c r="BA2459" s="3" t="s">
        <v>24241</v>
      </c>
      <c r="BB2459" s="3" t="s">
        <v>24242</v>
      </c>
      <c r="BC2459" s="3" t="s">
        <v>77</v>
      </c>
      <c r="BD2459" s="3" t="s">
        <v>78</v>
      </c>
      <c r="BE2459" s="3" t="s">
        <v>24243</v>
      </c>
      <c r="BF2459" s="3" t="s">
        <v>24242</v>
      </c>
      <c r="BG2459" s="3" t="s">
        <v>24244</v>
      </c>
    </row>
    <row r="2460" spans="1:59" ht="58" x14ac:dyDescent="0.35">
      <c r="A2460" s="2" t="s">
        <v>59</v>
      </c>
      <c r="B2460" s="2" t="s">
        <v>60</v>
      </c>
      <c r="C2460" s="2" t="s">
        <v>24245</v>
      </c>
      <c r="D2460" s="2" t="s">
        <v>24246</v>
      </c>
      <c r="E2460" s="2" t="s">
        <v>24247</v>
      </c>
      <c r="G2460" s="3" t="s">
        <v>65</v>
      </c>
      <c r="I2460" s="3" t="s">
        <v>65</v>
      </c>
      <c r="J2460" s="3" t="s">
        <v>65</v>
      </c>
      <c r="K2460" s="3" t="s">
        <v>66</v>
      </c>
      <c r="M2460" s="2" t="s">
        <v>24248</v>
      </c>
      <c r="N2460" s="3" t="s">
        <v>126</v>
      </c>
      <c r="P2460" s="3" t="s">
        <v>140</v>
      </c>
      <c r="Q2460" s="2" t="s">
        <v>24249</v>
      </c>
      <c r="R2460" s="3" t="s">
        <v>71</v>
      </c>
      <c r="S2460" s="4">
        <v>0</v>
      </c>
      <c r="T2460" s="4">
        <v>0</v>
      </c>
      <c r="W2460" s="5" t="s">
        <v>72</v>
      </c>
      <c r="X2460" s="5" t="s">
        <v>72</v>
      </c>
      <c r="Y2460" s="4">
        <v>36</v>
      </c>
      <c r="Z2460" s="4">
        <v>3</v>
      </c>
      <c r="AA2460" s="4">
        <v>3</v>
      </c>
      <c r="AB2460" s="4">
        <v>1</v>
      </c>
      <c r="AC2460" s="4">
        <v>1</v>
      </c>
      <c r="AD2460" s="4">
        <v>26</v>
      </c>
      <c r="AE2460" s="4">
        <v>26</v>
      </c>
      <c r="AF2460" s="4">
        <v>0</v>
      </c>
      <c r="AG2460" s="4">
        <v>0</v>
      </c>
      <c r="AH2460" s="4">
        <v>25</v>
      </c>
      <c r="AI2460" s="4">
        <v>25</v>
      </c>
      <c r="AJ2460" s="4">
        <v>1</v>
      </c>
      <c r="AK2460" s="4">
        <v>1</v>
      </c>
      <c r="AL2460" s="4">
        <v>21</v>
      </c>
      <c r="AM2460" s="4">
        <v>21</v>
      </c>
      <c r="AN2460" s="4">
        <v>0</v>
      </c>
      <c r="AO2460" s="4">
        <v>0</v>
      </c>
      <c r="AP2460" s="4">
        <v>1</v>
      </c>
      <c r="AQ2460" s="4">
        <v>1</v>
      </c>
      <c r="AR2460" s="3" t="s">
        <v>65</v>
      </c>
      <c r="AS2460" s="3" t="s">
        <v>65</v>
      </c>
      <c r="AT2460" s="3" t="s">
        <v>65</v>
      </c>
      <c r="AV2460" s="6" t="str">
        <f>HYPERLINK("http://mcgill.on.worldcat.org/oclc/796781724","Catalog Record")</f>
        <v>Catalog Record</v>
      </c>
      <c r="AW2460" s="6" t="str">
        <f>HYPERLINK("http://www.worldcat.org/oclc/796781724","WorldCat Record")</f>
        <v>WorldCat Record</v>
      </c>
      <c r="AX2460" s="3" t="s">
        <v>24250</v>
      </c>
      <c r="AY2460" s="3" t="s">
        <v>24251</v>
      </c>
      <c r="AZ2460" s="3" t="s">
        <v>24252</v>
      </c>
      <c r="BA2460" s="3" t="s">
        <v>24252</v>
      </c>
      <c r="BB2460" s="3" t="s">
        <v>24253</v>
      </c>
      <c r="BC2460" s="3" t="s">
        <v>77</v>
      </c>
      <c r="BD2460" s="3" t="s">
        <v>78</v>
      </c>
      <c r="BE2460" s="3" t="s">
        <v>24254</v>
      </c>
      <c r="BF2460" s="3" t="s">
        <v>24253</v>
      </c>
      <c r="BG2460" s="3" t="s">
        <v>24255</v>
      </c>
    </row>
    <row r="2461" spans="1:59" ht="58" x14ac:dyDescent="0.35">
      <c r="A2461" s="2" t="s">
        <v>59</v>
      </c>
      <c r="B2461" s="2" t="s">
        <v>60</v>
      </c>
      <c r="C2461" s="2" t="s">
        <v>24256</v>
      </c>
      <c r="D2461" s="2" t="s">
        <v>24257</v>
      </c>
      <c r="E2461" s="2" t="s">
        <v>24258</v>
      </c>
      <c r="G2461" s="3" t="s">
        <v>65</v>
      </c>
      <c r="I2461" s="3" t="s">
        <v>65</v>
      </c>
      <c r="J2461" s="3" t="s">
        <v>65</v>
      </c>
      <c r="K2461" s="3" t="s">
        <v>66</v>
      </c>
      <c r="M2461" s="2" t="s">
        <v>24259</v>
      </c>
      <c r="N2461" s="3" t="s">
        <v>139</v>
      </c>
      <c r="P2461" s="3" t="s">
        <v>140</v>
      </c>
      <c r="Q2461" s="2" t="s">
        <v>24260</v>
      </c>
      <c r="R2461" s="3" t="s">
        <v>71</v>
      </c>
      <c r="S2461" s="4">
        <v>0</v>
      </c>
      <c r="T2461" s="4">
        <v>0</v>
      </c>
      <c r="W2461" s="5" t="s">
        <v>72</v>
      </c>
      <c r="X2461" s="5" t="s">
        <v>72</v>
      </c>
      <c r="Y2461" s="4">
        <v>34</v>
      </c>
      <c r="Z2461" s="4">
        <v>4</v>
      </c>
      <c r="AA2461" s="4">
        <v>4</v>
      </c>
      <c r="AB2461" s="4">
        <v>1</v>
      </c>
      <c r="AC2461" s="4">
        <v>1</v>
      </c>
      <c r="AD2461" s="4">
        <v>26</v>
      </c>
      <c r="AE2461" s="4">
        <v>28</v>
      </c>
      <c r="AF2461" s="4">
        <v>0</v>
      </c>
      <c r="AG2461" s="4">
        <v>0</v>
      </c>
      <c r="AH2461" s="4">
        <v>25</v>
      </c>
      <c r="AI2461" s="4">
        <v>27</v>
      </c>
      <c r="AJ2461" s="4">
        <v>2</v>
      </c>
      <c r="AK2461" s="4">
        <v>2</v>
      </c>
      <c r="AL2461" s="4">
        <v>21</v>
      </c>
      <c r="AM2461" s="4">
        <v>23</v>
      </c>
      <c r="AN2461" s="4">
        <v>0</v>
      </c>
      <c r="AO2461" s="4">
        <v>0</v>
      </c>
      <c r="AP2461" s="4">
        <v>2</v>
      </c>
      <c r="AQ2461" s="4">
        <v>2</v>
      </c>
      <c r="AR2461" s="3" t="s">
        <v>65</v>
      </c>
      <c r="AS2461" s="3" t="s">
        <v>65</v>
      </c>
      <c r="AT2461" s="3" t="s">
        <v>65</v>
      </c>
      <c r="AV2461" s="6" t="str">
        <f>HYPERLINK("http://mcgill.on.worldcat.org/oclc/798214043","Catalog Record")</f>
        <v>Catalog Record</v>
      </c>
      <c r="AW2461" s="6" t="str">
        <f>HYPERLINK("http://www.worldcat.org/oclc/798214043","WorldCat Record")</f>
        <v>WorldCat Record</v>
      </c>
      <c r="AX2461" s="3" t="s">
        <v>24261</v>
      </c>
      <c r="AY2461" s="3" t="s">
        <v>24262</v>
      </c>
      <c r="AZ2461" s="3" t="s">
        <v>24263</v>
      </c>
      <c r="BA2461" s="3" t="s">
        <v>24263</v>
      </c>
      <c r="BB2461" s="3" t="s">
        <v>24264</v>
      </c>
      <c r="BC2461" s="3" t="s">
        <v>77</v>
      </c>
      <c r="BD2461" s="3" t="s">
        <v>78</v>
      </c>
      <c r="BE2461" s="3" t="s">
        <v>24265</v>
      </c>
      <c r="BF2461" s="3" t="s">
        <v>24264</v>
      </c>
      <c r="BG2461" s="3" t="s">
        <v>24266</v>
      </c>
    </row>
    <row r="2462" spans="1:59" ht="58" x14ac:dyDescent="0.35">
      <c r="A2462" s="2" t="s">
        <v>59</v>
      </c>
      <c r="B2462" s="2" t="s">
        <v>60</v>
      </c>
      <c r="C2462" s="2" t="s">
        <v>24267</v>
      </c>
      <c r="D2462" s="2" t="s">
        <v>24268</v>
      </c>
      <c r="E2462" s="2" t="s">
        <v>24269</v>
      </c>
      <c r="G2462" s="3" t="s">
        <v>65</v>
      </c>
      <c r="I2462" s="3" t="s">
        <v>65</v>
      </c>
      <c r="J2462" s="3" t="s">
        <v>65</v>
      </c>
      <c r="K2462" s="3" t="s">
        <v>66</v>
      </c>
      <c r="L2462" s="2" t="s">
        <v>24270</v>
      </c>
      <c r="M2462" s="2" t="s">
        <v>24271</v>
      </c>
      <c r="N2462" s="3" t="s">
        <v>4688</v>
      </c>
      <c r="O2462" s="2" t="s">
        <v>654</v>
      </c>
      <c r="P2462" s="3" t="s">
        <v>140</v>
      </c>
      <c r="Q2462" s="2" t="s">
        <v>24272</v>
      </c>
      <c r="R2462" s="3" t="s">
        <v>71</v>
      </c>
      <c r="S2462" s="4">
        <v>3</v>
      </c>
      <c r="T2462" s="4">
        <v>3</v>
      </c>
      <c r="U2462" s="5" t="s">
        <v>3187</v>
      </c>
      <c r="V2462" s="5" t="s">
        <v>3187</v>
      </c>
      <c r="W2462" s="5" t="s">
        <v>72</v>
      </c>
      <c r="X2462" s="5" t="s">
        <v>72</v>
      </c>
      <c r="Y2462" s="4">
        <v>59</v>
      </c>
      <c r="Z2462" s="4">
        <v>9</v>
      </c>
      <c r="AA2462" s="4">
        <v>10</v>
      </c>
      <c r="AB2462" s="4">
        <v>2</v>
      </c>
      <c r="AC2462" s="4">
        <v>3</v>
      </c>
      <c r="AD2462" s="4">
        <v>45</v>
      </c>
      <c r="AE2462" s="4">
        <v>56</v>
      </c>
      <c r="AF2462" s="4">
        <v>1</v>
      </c>
      <c r="AG2462" s="4">
        <v>2</v>
      </c>
      <c r="AH2462" s="4">
        <v>41</v>
      </c>
      <c r="AI2462" s="4">
        <v>51</v>
      </c>
      <c r="AJ2462" s="4">
        <v>6</v>
      </c>
      <c r="AK2462" s="4">
        <v>7</v>
      </c>
      <c r="AL2462" s="4">
        <v>33</v>
      </c>
      <c r="AM2462" s="4">
        <v>40</v>
      </c>
      <c r="AN2462" s="4">
        <v>1</v>
      </c>
      <c r="AO2462" s="4">
        <v>1</v>
      </c>
      <c r="AP2462" s="4">
        <v>6</v>
      </c>
      <c r="AQ2462" s="4">
        <v>6</v>
      </c>
      <c r="AR2462" s="3" t="s">
        <v>65</v>
      </c>
      <c r="AS2462" s="3" t="s">
        <v>65</v>
      </c>
      <c r="AT2462" s="3" t="s">
        <v>209</v>
      </c>
      <c r="AU2462" s="6" t="str">
        <f>HYPERLINK("http://catalog.hathitrust.org/Record/000838204","HathiTrust Record")</f>
        <v>HathiTrust Record</v>
      </c>
      <c r="AV2462" s="6" t="str">
        <f>HYPERLINK("http://mcgill.on.worldcat.org/oclc/14188220","Catalog Record")</f>
        <v>Catalog Record</v>
      </c>
      <c r="AW2462" s="6" t="str">
        <f>HYPERLINK("http://www.worldcat.org/oclc/14188220","WorldCat Record")</f>
        <v>WorldCat Record</v>
      </c>
      <c r="AX2462" s="3" t="s">
        <v>24273</v>
      </c>
      <c r="AY2462" s="3" t="s">
        <v>24274</v>
      </c>
      <c r="AZ2462" s="3" t="s">
        <v>24275</v>
      </c>
      <c r="BA2462" s="3" t="s">
        <v>24275</v>
      </c>
      <c r="BB2462" s="3" t="s">
        <v>24276</v>
      </c>
      <c r="BC2462" s="3" t="s">
        <v>77</v>
      </c>
      <c r="BD2462" s="3" t="s">
        <v>78</v>
      </c>
      <c r="BF2462" s="3" t="s">
        <v>24276</v>
      </c>
      <c r="BG2462" s="3" t="s">
        <v>24277</v>
      </c>
    </row>
    <row r="2463" spans="1:59" ht="58" x14ac:dyDescent="0.35">
      <c r="A2463" s="2" t="s">
        <v>59</v>
      </c>
      <c r="B2463" s="2" t="s">
        <v>60</v>
      </c>
      <c r="C2463" s="2" t="s">
        <v>24278</v>
      </c>
      <c r="D2463" s="2" t="s">
        <v>24279</v>
      </c>
      <c r="E2463" s="2" t="s">
        <v>24280</v>
      </c>
      <c r="G2463" s="3" t="s">
        <v>65</v>
      </c>
      <c r="I2463" s="3" t="s">
        <v>65</v>
      </c>
      <c r="J2463" s="3" t="s">
        <v>65</v>
      </c>
      <c r="K2463" s="3" t="s">
        <v>66</v>
      </c>
      <c r="L2463" s="2" t="s">
        <v>24281</v>
      </c>
      <c r="M2463" s="2" t="s">
        <v>2268</v>
      </c>
      <c r="N2463" s="3" t="s">
        <v>113</v>
      </c>
      <c r="P2463" s="3" t="s">
        <v>140</v>
      </c>
      <c r="Q2463" s="2" t="s">
        <v>2269</v>
      </c>
      <c r="R2463" s="3" t="s">
        <v>71</v>
      </c>
      <c r="S2463" s="4">
        <v>0</v>
      </c>
      <c r="T2463" s="4">
        <v>0</v>
      </c>
      <c r="W2463" s="5" t="s">
        <v>72</v>
      </c>
      <c r="X2463" s="5" t="s">
        <v>72</v>
      </c>
      <c r="Y2463" s="4">
        <v>31</v>
      </c>
      <c r="Z2463" s="4">
        <v>3</v>
      </c>
      <c r="AA2463" s="4">
        <v>3</v>
      </c>
      <c r="AB2463" s="4">
        <v>1</v>
      </c>
      <c r="AC2463" s="4">
        <v>1</v>
      </c>
      <c r="AD2463" s="4">
        <v>23</v>
      </c>
      <c r="AE2463" s="4">
        <v>23</v>
      </c>
      <c r="AF2463" s="4">
        <v>0</v>
      </c>
      <c r="AG2463" s="4">
        <v>0</v>
      </c>
      <c r="AH2463" s="4">
        <v>22</v>
      </c>
      <c r="AI2463" s="4">
        <v>22</v>
      </c>
      <c r="AJ2463" s="4">
        <v>1</v>
      </c>
      <c r="AK2463" s="4">
        <v>1</v>
      </c>
      <c r="AL2463" s="4">
        <v>18</v>
      </c>
      <c r="AM2463" s="4">
        <v>18</v>
      </c>
      <c r="AN2463" s="4">
        <v>0</v>
      </c>
      <c r="AO2463" s="4">
        <v>0</v>
      </c>
      <c r="AP2463" s="4">
        <v>1</v>
      </c>
      <c r="AQ2463" s="4">
        <v>1</v>
      </c>
      <c r="AR2463" s="3" t="s">
        <v>65</v>
      </c>
      <c r="AS2463" s="3" t="s">
        <v>65</v>
      </c>
      <c r="AT2463" s="3" t="s">
        <v>65</v>
      </c>
      <c r="AV2463" s="6" t="str">
        <f>HYPERLINK("http://mcgill.on.worldcat.org/oclc/649311845","Catalog Record")</f>
        <v>Catalog Record</v>
      </c>
      <c r="AW2463" s="6" t="str">
        <f>HYPERLINK("http://www.worldcat.org/oclc/649311845","WorldCat Record")</f>
        <v>WorldCat Record</v>
      </c>
      <c r="AX2463" s="3" t="s">
        <v>24282</v>
      </c>
      <c r="AY2463" s="3" t="s">
        <v>24283</v>
      </c>
      <c r="AZ2463" s="3" t="s">
        <v>24284</v>
      </c>
      <c r="BA2463" s="3" t="s">
        <v>24284</v>
      </c>
      <c r="BB2463" s="3" t="s">
        <v>24285</v>
      </c>
      <c r="BC2463" s="3" t="s">
        <v>77</v>
      </c>
      <c r="BD2463" s="3" t="s">
        <v>78</v>
      </c>
      <c r="BE2463" s="3" t="s">
        <v>24286</v>
      </c>
      <c r="BF2463" s="3" t="s">
        <v>24285</v>
      </c>
      <c r="BG2463" s="3" t="s">
        <v>24287</v>
      </c>
    </row>
    <row r="2464" spans="1:59" ht="58" x14ac:dyDescent="0.35">
      <c r="A2464" s="2" t="s">
        <v>59</v>
      </c>
      <c r="B2464" s="2" t="s">
        <v>60</v>
      </c>
      <c r="C2464" s="2" t="s">
        <v>24288</v>
      </c>
      <c r="D2464" s="2" t="s">
        <v>24289</v>
      </c>
      <c r="E2464" s="2" t="s">
        <v>24290</v>
      </c>
      <c r="G2464" s="3" t="s">
        <v>65</v>
      </c>
      <c r="I2464" s="3" t="s">
        <v>65</v>
      </c>
      <c r="J2464" s="3" t="s">
        <v>209</v>
      </c>
      <c r="K2464" s="3" t="s">
        <v>66</v>
      </c>
      <c r="L2464" s="2" t="s">
        <v>24291</v>
      </c>
      <c r="M2464" s="2" t="s">
        <v>22840</v>
      </c>
      <c r="N2464" s="3" t="s">
        <v>1895</v>
      </c>
      <c r="O2464" s="2" t="s">
        <v>6616</v>
      </c>
      <c r="P2464" s="3" t="s">
        <v>140</v>
      </c>
      <c r="Q2464" s="2" t="s">
        <v>6617</v>
      </c>
      <c r="R2464" s="3" t="s">
        <v>71</v>
      </c>
      <c r="S2464" s="4">
        <v>1</v>
      </c>
      <c r="T2464" s="4">
        <v>1</v>
      </c>
      <c r="U2464" s="5" t="s">
        <v>24292</v>
      </c>
      <c r="V2464" s="5" t="s">
        <v>24292</v>
      </c>
      <c r="W2464" s="5" t="s">
        <v>72</v>
      </c>
      <c r="X2464" s="5" t="s">
        <v>72</v>
      </c>
      <c r="Y2464" s="4">
        <v>97</v>
      </c>
      <c r="Z2464" s="4">
        <v>3</v>
      </c>
      <c r="AA2464" s="4">
        <v>10</v>
      </c>
      <c r="AB2464" s="4">
        <v>1</v>
      </c>
      <c r="AC2464" s="4">
        <v>2</v>
      </c>
      <c r="AD2464" s="4">
        <v>41</v>
      </c>
      <c r="AE2464" s="4">
        <v>69</v>
      </c>
      <c r="AF2464" s="4">
        <v>0</v>
      </c>
      <c r="AG2464" s="4">
        <v>1</v>
      </c>
      <c r="AH2464" s="4">
        <v>39</v>
      </c>
      <c r="AI2464" s="4">
        <v>64</v>
      </c>
      <c r="AJ2464" s="4">
        <v>1</v>
      </c>
      <c r="AK2464" s="4">
        <v>6</v>
      </c>
      <c r="AL2464" s="4">
        <v>32</v>
      </c>
      <c r="AM2464" s="4">
        <v>46</v>
      </c>
      <c r="AN2464" s="4">
        <v>0</v>
      </c>
      <c r="AO2464" s="4">
        <v>5</v>
      </c>
      <c r="AP2464" s="4">
        <v>1</v>
      </c>
      <c r="AQ2464" s="4">
        <v>5</v>
      </c>
      <c r="AR2464" s="3" t="s">
        <v>65</v>
      </c>
      <c r="AS2464" s="3" t="s">
        <v>65</v>
      </c>
      <c r="AT2464" s="3" t="s">
        <v>209</v>
      </c>
      <c r="AU2464" s="6" t="str">
        <f>HYPERLINK("http://catalog.hathitrust.org/Record/003323634","HathiTrust Record")</f>
        <v>HathiTrust Record</v>
      </c>
      <c r="AV2464" s="6" t="str">
        <f>HYPERLINK("http://mcgill.on.worldcat.org/oclc/39378982","Catalog Record")</f>
        <v>Catalog Record</v>
      </c>
      <c r="AW2464" s="6" t="str">
        <f>HYPERLINK("http://www.worldcat.org/oclc/39378982","WorldCat Record")</f>
        <v>WorldCat Record</v>
      </c>
      <c r="AX2464" s="3" t="s">
        <v>24293</v>
      </c>
      <c r="AY2464" s="3" t="s">
        <v>24294</v>
      </c>
      <c r="AZ2464" s="3" t="s">
        <v>24295</v>
      </c>
      <c r="BA2464" s="3" t="s">
        <v>24295</v>
      </c>
      <c r="BB2464" s="3" t="s">
        <v>24296</v>
      </c>
      <c r="BC2464" s="3" t="s">
        <v>77</v>
      </c>
      <c r="BD2464" s="3" t="s">
        <v>78</v>
      </c>
      <c r="BE2464" s="3" t="s">
        <v>24297</v>
      </c>
      <c r="BF2464" s="3" t="s">
        <v>24296</v>
      </c>
      <c r="BG2464" s="3" t="s">
        <v>24298</v>
      </c>
    </row>
    <row r="2465" spans="1:59" ht="58" x14ac:dyDescent="0.35">
      <c r="A2465" s="2" t="s">
        <v>59</v>
      </c>
      <c r="B2465" s="2" t="s">
        <v>60</v>
      </c>
      <c r="C2465" s="2" t="s">
        <v>24299</v>
      </c>
      <c r="D2465" s="2" t="s">
        <v>24300</v>
      </c>
      <c r="E2465" s="2" t="s">
        <v>24301</v>
      </c>
      <c r="G2465" s="3" t="s">
        <v>65</v>
      </c>
      <c r="I2465" s="3" t="s">
        <v>65</v>
      </c>
      <c r="J2465" s="3" t="s">
        <v>65</v>
      </c>
      <c r="K2465" s="3" t="s">
        <v>66</v>
      </c>
      <c r="L2465" s="2" t="s">
        <v>24302</v>
      </c>
      <c r="M2465" s="2" t="s">
        <v>24303</v>
      </c>
      <c r="N2465" s="3" t="s">
        <v>164</v>
      </c>
      <c r="P2465" s="3" t="s">
        <v>140</v>
      </c>
      <c r="Q2465" s="2" t="s">
        <v>24304</v>
      </c>
      <c r="R2465" s="3" t="s">
        <v>71</v>
      </c>
      <c r="S2465" s="4">
        <v>1</v>
      </c>
      <c r="T2465" s="4">
        <v>1</v>
      </c>
      <c r="U2465" s="5" t="s">
        <v>24292</v>
      </c>
      <c r="V2465" s="5" t="s">
        <v>24292</v>
      </c>
      <c r="W2465" s="5" t="s">
        <v>72</v>
      </c>
      <c r="X2465" s="5" t="s">
        <v>72</v>
      </c>
      <c r="Y2465" s="4">
        <v>42</v>
      </c>
      <c r="Z2465" s="4">
        <v>4</v>
      </c>
      <c r="AA2465" s="4">
        <v>4</v>
      </c>
      <c r="AB2465" s="4">
        <v>1</v>
      </c>
      <c r="AC2465" s="4">
        <v>1</v>
      </c>
      <c r="AD2465" s="4">
        <v>24</v>
      </c>
      <c r="AE2465" s="4">
        <v>25</v>
      </c>
      <c r="AF2465" s="4">
        <v>0</v>
      </c>
      <c r="AG2465" s="4">
        <v>0</v>
      </c>
      <c r="AH2465" s="4">
        <v>23</v>
      </c>
      <c r="AI2465" s="4">
        <v>24</v>
      </c>
      <c r="AJ2465" s="4">
        <v>2</v>
      </c>
      <c r="AK2465" s="4">
        <v>2</v>
      </c>
      <c r="AL2465" s="4">
        <v>17</v>
      </c>
      <c r="AM2465" s="4">
        <v>18</v>
      </c>
      <c r="AN2465" s="4">
        <v>0</v>
      </c>
      <c r="AO2465" s="4">
        <v>0</v>
      </c>
      <c r="AP2465" s="4">
        <v>2</v>
      </c>
      <c r="AQ2465" s="4">
        <v>2</v>
      </c>
      <c r="AR2465" s="3" t="s">
        <v>65</v>
      </c>
      <c r="AS2465" s="3" t="s">
        <v>65</v>
      </c>
      <c r="AT2465" s="3" t="s">
        <v>65</v>
      </c>
      <c r="AV2465" s="6" t="str">
        <f>HYPERLINK("http://mcgill.on.worldcat.org/oclc/903207911","Catalog Record")</f>
        <v>Catalog Record</v>
      </c>
      <c r="AW2465" s="6" t="str">
        <f>HYPERLINK("http://www.worldcat.org/oclc/903207911","WorldCat Record")</f>
        <v>WorldCat Record</v>
      </c>
      <c r="AX2465" s="3" t="s">
        <v>24305</v>
      </c>
      <c r="AY2465" s="3" t="s">
        <v>24306</v>
      </c>
      <c r="AZ2465" s="3" t="s">
        <v>24307</v>
      </c>
      <c r="BA2465" s="3" t="s">
        <v>24307</v>
      </c>
      <c r="BB2465" s="3" t="s">
        <v>24308</v>
      </c>
      <c r="BC2465" s="3" t="s">
        <v>77</v>
      </c>
      <c r="BD2465" s="3" t="s">
        <v>78</v>
      </c>
      <c r="BE2465" s="3" t="s">
        <v>24309</v>
      </c>
      <c r="BF2465" s="3" t="s">
        <v>24308</v>
      </c>
      <c r="BG2465" s="3" t="s">
        <v>24310</v>
      </c>
    </row>
    <row r="2466" spans="1:59" ht="58" x14ac:dyDescent="0.35">
      <c r="A2466" s="2" t="s">
        <v>59</v>
      </c>
      <c r="B2466" s="2" t="s">
        <v>60</v>
      </c>
      <c r="C2466" s="2" t="s">
        <v>24311</v>
      </c>
      <c r="D2466" s="2" t="s">
        <v>24312</v>
      </c>
      <c r="E2466" s="2" t="s">
        <v>24313</v>
      </c>
      <c r="G2466" s="3" t="s">
        <v>65</v>
      </c>
      <c r="I2466" s="3" t="s">
        <v>65</v>
      </c>
      <c r="J2466" s="3" t="s">
        <v>65</v>
      </c>
      <c r="K2466" s="3" t="s">
        <v>66</v>
      </c>
      <c r="L2466" s="2" t="s">
        <v>24291</v>
      </c>
      <c r="M2466" s="2" t="s">
        <v>24314</v>
      </c>
      <c r="N2466" s="3" t="s">
        <v>139</v>
      </c>
      <c r="P2466" s="3" t="s">
        <v>140</v>
      </c>
      <c r="Q2466" s="2" t="s">
        <v>24315</v>
      </c>
      <c r="R2466" s="3" t="s">
        <v>71</v>
      </c>
      <c r="S2466" s="4">
        <v>0</v>
      </c>
      <c r="T2466" s="4">
        <v>0</v>
      </c>
      <c r="W2466" s="5" t="s">
        <v>72</v>
      </c>
      <c r="X2466" s="5" t="s">
        <v>72</v>
      </c>
      <c r="Y2466" s="4">
        <v>36</v>
      </c>
      <c r="Z2466" s="4">
        <v>4</v>
      </c>
      <c r="AA2466" s="4">
        <v>4</v>
      </c>
      <c r="AB2466" s="4">
        <v>1</v>
      </c>
      <c r="AC2466" s="4">
        <v>1</v>
      </c>
      <c r="AD2466" s="4">
        <v>20</v>
      </c>
      <c r="AE2466" s="4">
        <v>20</v>
      </c>
      <c r="AF2466" s="4">
        <v>0</v>
      </c>
      <c r="AG2466" s="4">
        <v>0</v>
      </c>
      <c r="AH2466" s="4">
        <v>19</v>
      </c>
      <c r="AI2466" s="4">
        <v>19</v>
      </c>
      <c r="AJ2466" s="4">
        <v>2</v>
      </c>
      <c r="AK2466" s="4">
        <v>2</v>
      </c>
      <c r="AL2466" s="4">
        <v>16</v>
      </c>
      <c r="AM2466" s="4">
        <v>16</v>
      </c>
      <c r="AN2466" s="4">
        <v>0</v>
      </c>
      <c r="AO2466" s="4">
        <v>0</v>
      </c>
      <c r="AP2466" s="4">
        <v>2</v>
      </c>
      <c r="AQ2466" s="4">
        <v>2</v>
      </c>
      <c r="AR2466" s="3" t="s">
        <v>65</v>
      </c>
      <c r="AS2466" s="3" t="s">
        <v>65</v>
      </c>
      <c r="AT2466" s="3" t="s">
        <v>65</v>
      </c>
      <c r="AV2466" s="6" t="str">
        <f>HYPERLINK("http://mcgill.on.worldcat.org/oclc/824727693","Catalog Record")</f>
        <v>Catalog Record</v>
      </c>
      <c r="AW2466" s="6" t="str">
        <f>HYPERLINK("http://www.worldcat.org/oclc/824727693","WorldCat Record")</f>
        <v>WorldCat Record</v>
      </c>
      <c r="AX2466" s="3" t="s">
        <v>24316</v>
      </c>
      <c r="AY2466" s="3" t="s">
        <v>24317</v>
      </c>
      <c r="AZ2466" s="3" t="s">
        <v>24318</v>
      </c>
      <c r="BA2466" s="3" t="s">
        <v>24318</v>
      </c>
      <c r="BB2466" s="3" t="s">
        <v>24319</v>
      </c>
      <c r="BC2466" s="3" t="s">
        <v>77</v>
      </c>
      <c r="BD2466" s="3" t="s">
        <v>78</v>
      </c>
      <c r="BE2466" s="3" t="s">
        <v>24320</v>
      </c>
      <c r="BF2466" s="3" t="s">
        <v>24319</v>
      </c>
      <c r="BG2466" s="3" t="s">
        <v>24321</v>
      </c>
    </row>
    <row r="2467" spans="1:59" ht="58" x14ac:dyDescent="0.35">
      <c r="A2467" s="2" t="s">
        <v>59</v>
      </c>
      <c r="B2467" s="2" t="s">
        <v>60</v>
      </c>
      <c r="C2467" s="2" t="s">
        <v>24322</v>
      </c>
      <c r="D2467" s="2" t="s">
        <v>24323</v>
      </c>
      <c r="E2467" s="2" t="s">
        <v>24324</v>
      </c>
      <c r="G2467" s="3" t="s">
        <v>65</v>
      </c>
      <c r="I2467" s="3" t="s">
        <v>65</v>
      </c>
      <c r="J2467" s="3" t="s">
        <v>65</v>
      </c>
      <c r="K2467" s="3" t="s">
        <v>66</v>
      </c>
      <c r="L2467" s="2" t="s">
        <v>24325</v>
      </c>
      <c r="M2467" s="2" t="s">
        <v>24326</v>
      </c>
      <c r="N2467" s="3" t="s">
        <v>113</v>
      </c>
      <c r="P2467" s="3" t="s">
        <v>140</v>
      </c>
      <c r="Q2467" s="2" t="s">
        <v>24327</v>
      </c>
      <c r="R2467" s="3" t="s">
        <v>71</v>
      </c>
      <c r="S2467" s="4">
        <v>0</v>
      </c>
      <c r="T2467" s="4">
        <v>0</v>
      </c>
      <c r="W2467" s="5" t="s">
        <v>72</v>
      </c>
      <c r="X2467" s="5" t="s">
        <v>72</v>
      </c>
      <c r="Y2467" s="4">
        <v>33</v>
      </c>
      <c r="Z2467" s="4">
        <v>4</v>
      </c>
      <c r="AA2467" s="4">
        <v>4</v>
      </c>
      <c r="AB2467" s="4">
        <v>1</v>
      </c>
      <c r="AC2467" s="4">
        <v>1</v>
      </c>
      <c r="AD2467" s="4">
        <v>21</v>
      </c>
      <c r="AE2467" s="4">
        <v>21</v>
      </c>
      <c r="AF2467" s="4">
        <v>0</v>
      </c>
      <c r="AG2467" s="4">
        <v>0</v>
      </c>
      <c r="AH2467" s="4">
        <v>20</v>
      </c>
      <c r="AI2467" s="4">
        <v>20</v>
      </c>
      <c r="AJ2467" s="4">
        <v>2</v>
      </c>
      <c r="AK2467" s="4">
        <v>2</v>
      </c>
      <c r="AL2467" s="4">
        <v>15</v>
      </c>
      <c r="AM2467" s="4">
        <v>15</v>
      </c>
      <c r="AN2467" s="4">
        <v>0</v>
      </c>
      <c r="AO2467" s="4">
        <v>0</v>
      </c>
      <c r="AP2467" s="4">
        <v>2</v>
      </c>
      <c r="AQ2467" s="4">
        <v>2</v>
      </c>
      <c r="AR2467" s="3" t="s">
        <v>65</v>
      </c>
      <c r="AS2467" s="3" t="s">
        <v>65</v>
      </c>
      <c r="AT2467" s="3" t="s">
        <v>65</v>
      </c>
      <c r="AV2467" s="6" t="str">
        <f>HYPERLINK("http://mcgill.on.worldcat.org/oclc/642806044","Catalog Record")</f>
        <v>Catalog Record</v>
      </c>
      <c r="AW2467" s="6" t="str">
        <f>HYPERLINK("http://www.worldcat.org/oclc/642806044","WorldCat Record")</f>
        <v>WorldCat Record</v>
      </c>
      <c r="AX2467" s="3" t="s">
        <v>24328</v>
      </c>
      <c r="AY2467" s="3" t="s">
        <v>24329</v>
      </c>
      <c r="AZ2467" s="3" t="s">
        <v>24330</v>
      </c>
      <c r="BA2467" s="3" t="s">
        <v>24330</v>
      </c>
      <c r="BB2467" s="3" t="s">
        <v>24331</v>
      </c>
      <c r="BC2467" s="3" t="s">
        <v>77</v>
      </c>
      <c r="BD2467" s="3" t="s">
        <v>78</v>
      </c>
      <c r="BE2467" s="3" t="s">
        <v>24332</v>
      </c>
      <c r="BF2467" s="3" t="s">
        <v>24331</v>
      </c>
      <c r="BG2467" s="3" t="s">
        <v>24333</v>
      </c>
    </row>
    <row r="2468" spans="1:59" ht="58" x14ac:dyDescent="0.35">
      <c r="A2468" s="2" t="s">
        <v>59</v>
      </c>
      <c r="B2468" s="2" t="s">
        <v>60</v>
      </c>
      <c r="C2468" s="2" t="s">
        <v>24334</v>
      </c>
      <c r="D2468" s="2" t="s">
        <v>24335</v>
      </c>
      <c r="E2468" s="2" t="s">
        <v>24336</v>
      </c>
      <c r="G2468" s="3" t="s">
        <v>65</v>
      </c>
      <c r="I2468" s="3" t="s">
        <v>65</v>
      </c>
      <c r="J2468" s="3" t="s">
        <v>65</v>
      </c>
      <c r="K2468" s="3" t="s">
        <v>66</v>
      </c>
      <c r="M2468" s="2" t="s">
        <v>24337</v>
      </c>
      <c r="N2468" s="3" t="s">
        <v>139</v>
      </c>
      <c r="P2468" s="3" t="s">
        <v>140</v>
      </c>
      <c r="R2468" s="3" t="s">
        <v>71</v>
      </c>
      <c r="S2468" s="4">
        <v>0</v>
      </c>
      <c r="T2468" s="4">
        <v>0</v>
      </c>
      <c r="W2468" s="5" t="s">
        <v>72</v>
      </c>
      <c r="X2468" s="5" t="s">
        <v>72</v>
      </c>
      <c r="Y2468" s="4">
        <v>22</v>
      </c>
      <c r="Z2468" s="4">
        <v>1</v>
      </c>
      <c r="AA2468" s="4">
        <v>1</v>
      </c>
      <c r="AB2468" s="4">
        <v>1</v>
      </c>
      <c r="AC2468" s="4">
        <v>1</v>
      </c>
      <c r="AD2468" s="4">
        <v>14</v>
      </c>
      <c r="AE2468" s="4">
        <v>14</v>
      </c>
      <c r="AF2468" s="4">
        <v>0</v>
      </c>
      <c r="AG2468" s="4">
        <v>0</v>
      </c>
      <c r="AH2468" s="4">
        <v>13</v>
      </c>
      <c r="AI2468" s="4">
        <v>13</v>
      </c>
      <c r="AJ2468" s="4">
        <v>0</v>
      </c>
      <c r="AK2468" s="4">
        <v>0</v>
      </c>
      <c r="AL2468" s="4">
        <v>12</v>
      </c>
      <c r="AM2468" s="4">
        <v>12</v>
      </c>
      <c r="AN2468" s="4">
        <v>0</v>
      </c>
      <c r="AO2468" s="4">
        <v>0</v>
      </c>
      <c r="AP2468" s="4">
        <v>0</v>
      </c>
      <c r="AQ2468" s="4">
        <v>0</v>
      </c>
      <c r="AR2468" s="3" t="s">
        <v>65</v>
      </c>
      <c r="AS2468" s="3" t="s">
        <v>65</v>
      </c>
      <c r="AT2468" s="3" t="s">
        <v>65</v>
      </c>
      <c r="AV2468" s="6" t="str">
        <f>HYPERLINK("http://mcgill.on.worldcat.org/oclc/824727823","Catalog Record")</f>
        <v>Catalog Record</v>
      </c>
      <c r="AW2468" s="6" t="str">
        <f>HYPERLINK("http://www.worldcat.org/oclc/824727823","WorldCat Record")</f>
        <v>WorldCat Record</v>
      </c>
      <c r="AX2468" s="3" t="s">
        <v>24338</v>
      </c>
      <c r="AY2468" s="3" t="s">
        <v>24339</v>
      </c>
      <c r="AZ2468" s="3" t="s">
        <v>24340</v>
      </c>
      <c r="BA2468" s="3" t="s">
        <v>24340</v>
      </c>
      <c r="BB2468" s="3" t="s">
        <v>24341</v>
      </c>
      <c r="BC2468" s="3" t="s">
        <v>77</v>
      </c>
      <c r="BD2468" s="3" t="s">
        <v>78</v>
      </c>
      <c r="BE2468" s="3" t="s">
        <v>24342</v>
      </c>
      <c r="BF2468" s="3" t="s">
        <v>24341</v>
      </c>
      <c r="BG2468" s="3" t="s">
        <v>24343</v>
      </c>
    </row>
    <row r="2469" spans="1:59" ht="58" x14ac:dyDescent="0.35">
      <c r="A2469" s="2" t="s">
        <v>59</v>
      </c>
      <c r="B2469" s="2" t="s">
        <v>60</v>
      </c>
      <c r="C2469" s="2" t="s">
        <v>24344</v>
      </c>
      <c r="D2469" s="2" t="s">
        <v>24345</v>
      </c>
      <c r="E2469" s="2" t="s">
        <v>24346</v>
      </c>
      <c r="G2469" s="3" t="s">
        <v>65</v>
      </c>
      <c r="I2469" s="3" t="s">
        <v>65</v>
      </c>
      <c r="J2469" s="3" t="s">
        <v>65</v>
      </c>
      <c r="K2469" s="3" t="s">
        <v>66</v>
      </c>
      <c r="L2469" s="2" t="s">
        <v>24347</v>
      </c>
      <c r="M2469" s="2" t="s">
        <v>24348</v>
      </c>
      <c r="N2469" s="3" t="s">
        <v>164</v>
      </c>
      <c r="P2469" s="3" t="s">
        <v>140</v>
      </c>
      <c r="Q2469" s="2" t="s">
        <v>24349</v>
      </c>
      <c r="R2469" s="3" t="s">
        <v>71</v>
      </c>
      <c r="S2469" s="4">
        <v>0</v>
      </c>
      <c r="T2469" s="4">
        <v>0</v>
      </c>
      <c r="W2469" s="5" t="s">
        <v>72</v>
      </c>
      <c r="X2469" s="5" t="s">
        <v>72</v>
      </c>
      <c r="Y2469" s="4">
        <v>32</v>
      </c>
      <c r="Z2469" s="4">
        <v>3</v>
      </c>
      <c r="AA2469" s="4">
        <v>3</v>
      </c>
      <c r="AB2469" s="4">
        <v>1</v>
      </c>
      <c r="AC2469" s="4">
        <v>1</v>
      </c>
      <c r="AD2469" s="4">
        <v>25</v>
      </c>
      <c r="AE2469" s="4">
        <v>25</v>
      </c>
      <c r="AF2469" s="4">
        <v>0</v>
      </c>
      <c r="AG2469" s="4">
        <v>0</v>
      </c>
      <c r="AH2469" s="4">
        <v>24</v>
      </c>
      <c r="AI2469" s="4">
        <v>24</v>
      </c>
      <c r="AJ2469" s="4">
        <v>1</v>
      </c>
      <c r="AK2469" s="4">
        <v>1</v>
      </c>
      <c r="AL2469" s="4">
        <v>18</v>
      </c>
      <c r="AM2469" s="4">
        <v>18</v>
      </c>
      <c r="AN2469" s="4">
        <v>0</v>
      </c>
      <c r="AO2469" s="4">
        <v>0</v>
      </c>
      <c r="AP2469" s="4">
        <v>1</v>
      </c>
      <c r="AQ2469" s="4">
        <v>1</v>
      </c>
      <c r="AR2469" s="3" t="s">
        <v>65</v>
      </c>
      <c r="AS2469" s="3" t="s">
        <v>65</v>
      </c>
      <c r="AT2469" s="3" t="s">
        <v>65</v>
      </c>
      <c r="AV2469" s="6" t="str">
        <f>HYPERLINK("http://mcgill.on.worldcat.org/oclc/911267405","Catalog Record")</f>
        <v>Catalog Record</v>
      </c>
      <c r="AW2469" s="6" t="str">
        <f>HYPERLINK("http://www.worldcat.org/oclc/911267405","WorldCat Record")</f>
        <v>WorldCat Record</v>
      </c>
      <c r="AX2469" s="3" t="s">
        <v>24350</v>
      </c>
      <c r="AY2469" s="3" t="s">
        <v>24351</v>
      </c>
      <c r="AZ2469" s="3" t="s">
        <v>24352</v>
      </c>
      <c r="BA2469" s="3" t="s">
        <v>24352</v>
      </c>
      <c r="BB2469" s="3" t="s">
        <v>24353</v>
      </c>
      <c r="BC2469" s="3" t="s">
        <v>77</v>
      </c>
      <c r="BD2469" s="3" t="s">
        <v>78</v>
      </c>
      <c r="BE2469" s="3" t="s">
        <v>24354</v>
      </c>
      <c r="BF2469" s="3" t="s">
        <v>24353</v>
      </c>
      <c r="BG2469" s="3" t="s">
        <v>24355</v>
      </c>
    </row>
    <row r="2470" spans="1:59" ht="58" x14ac:dyDescent="0.35">
      <c r="A2470" s="2" t="s">
        <v>59</v>
      </c>
      <c r="B2470" s="2" t="s">
        <v>60</v>
      </c>
      <c r="C2470" s="2" t="s">
        <v>24356</v>
      </c>
      <c r="D2470" s="2" t="s">
        <v>24357</v>
      </c>
      <c r="E2470" s="2" t="s">
        <v>24358</v>
      </c>
      <c r="G2470" s="3" t="s">
        <v>65</v>
      </c>
      <c r="I2470" s="3" t="s">
        <v>65</v>
      </c>
      <c r="J2470" s="3" t="s">
        <v>65</v>
      </c>
      <c r="K2470" s="3" t="s">
        <v>66</v>
      </c>
      <c r="L2470" s="2" t="s">
        <v>24359</v>
      </c>
      <c r="M2470" s="2" t="s">
        <v>24360</v>
      </c>
      <c r="N2470" s="3" t="s">
        <v>126</v>
      </c>
      <c r="P2470" s="3" t="s">
        <v>140</v>
      </c>
      <c r="Q2470" s="2" t="s">
        <v>24361</v>
      </c>
      <c r="R2470" s="3" t="s">
        <v>71</v>
      </c>
      <c r="S2470" s="4">
        <v>0</v>
      </c>
      <c r="T2470" s="4">
        <v>0</v>
      </c>
      <c r="W2470" s="5" t="s">
        <v>72</v>
      </c>
      <c r="X2470" s="5" t="s">
        <v>72</v>
      </c>
      <c r="Y2470" s="4">
        <v>30</v>
      </c>
      <c r="Z2470" s="4">
        <v>4</v>
      </c>
      <c r="AA2470" s="4">
        <v>4</v>
      </c>
      <c r="AB2470" s="4">
        <v>1</v>
      </c>
      <c r="AC2470" s="4">
        <v>1</v>
      </c>
      <c r="AD2470" s="4">
        <v>23</v>
      </c>
      <c r="AE2470" s="4">
        <v>23</v>
      </c>
      <c r="AF2470" s="4">
        <v>0</v>
      </c>
      <c r="AG2470" s="4">
        <v>0</v>
      </c>
      <c r="AH2470" s="4">
        <v>22</v>
      </c>
      <c r="AI2470" s="4">
        <v>22</v>
      </c>
      <c r="AJ2470" s="4">
        <v>2</v>
      </c>
      <c r="AK2470" s="4">
        <v>2</v>
      </c>
      <c r="AL2470" s="4">
        <v>16</v>
      </c>
      <c r="AM2470" s="4">
        <v>16</v>
      </c>
      <c r="AN2470" s="4">
        <v>0</v>
      </c>
      <c r="AO2470" s="4">
        <v>0</v>
      </c>
      <c r="AP2470" s="4">
        <v>2</v>
      </c>
      <c r="AQ2470" s="4">
        <v>2</v>
      </c>
      <c r="AR2470" s="3" t="s">
        <v>65</v>
      </c>
      <c r="AS2470" s="3" t="s">
        <v>65</v>
      </c>
      <c r="AT2470" s="3" t="s">
        <v>65</v>
      </c>
      <c r="AV2470" s="6" t="str">
        <f>HYPERLINK("http://mcgill.on.worldcat.org/oclc/744283190","Catalog Record")</f>
        <v>Catalog Record</v>
      </c>
      <c r="AW2470" s="6" t="str">
        <f>HYPERLINK("http://www.worldcat.org/oclc/744283190","WorldCat Record")</f>
        <v>WorldCat Record</v>
      </c>
      <c r="AX2470" s="3" t="s">
        <v>24362</v>
      </c>
      <c r="AY2470" s="3" t="s">
        <v>24363</v>
      </c>
      <c r="AZ2470" s="3" t="s">
        <v>24364</v>
      </c>
      <c r="BA2470" s="3" t="s">
        <v>24364</v>
      </c>
      <c r="BB2470" s="3" t="s">
        <v>24365</v>
      </c>
      <c r="BC2470" s="3" t="s">
        <v>77</v>
      </c>
      <c r="BD2470" s="3" t="s">
        <v>78</v>
      </c>
      <c r="BE2470" s="3" t="s">
        <v>24366</v>
      </c>
      <c r="BF2470" s="3" t="s">
        <v>24365</v>
      </c>
      <c r="BG2470" s="3" t="s">
        <v>24367</v>
      </c>
    </row>
    <row r="2471" spans="1:59" ht="58" x14ac:dyDescent="0.35">
      <c r="A2471" s="2" t="s">
        <v>59</v>
      </c>
      <c r="B2471" s="2" t="s">
        <v>60</v>
      </c>
      <c r="C2471" s="2" t="s">
        <v>24368</v>
      </c>
      <c r="D2471" s="2" t="s">
        <v>24369</v>
      </c>
      <c r="E2471" s="2" t="s">
        <v>24370</v>
      </c>
      <c r="F2471" s="3" t="s">
        <v>258</v>
      </c>
      <c r="G2471" s="3" t="s">
        <v>209</v>
      </c>
      <c r="I2471" s="3" t="s">
        <v>65</v>
      </c>
      <c r="J2471" s="3" t="s">
        <v>65</v>
      </c>
      <c r="K2471" s="3" t="s">
        <v>66</v>
      </c>
      <c r="L2471" s="2" t="s">
        <v>24371</v>
      </c>
      <c r="M2471" s="2" t="s">
        <v>24372</v>
      </c>
      <c r="N2471" s="3" t="s">
        <v>152</v>
      </c>
      <c r="P2471" s="3" t="s">
        <v>140</v>
      </c>
      <c r="R2471" s="3" t="s">
        <v>71</v>
      </c>
      <c r="S2471" s="4">
        <v>0</v>
      </c>
      <c r="T2471" s="4">
        <v>1</v>
      </c>
      <c r="V2471" s="5" t="s">
        <v>24292</v>
      </c>
      <c r="W2471" s="5" t="s">
        <v>72</v>
      </c>
      <c r="X2471" s="5" t="s">
        <v>72</v>
      </c>
      <c r="Y2471" s="4">
        <v>3</v>
      </c>
      <c r="Z2471" s="4">
        <v>1</v>
      </c>
      <c r="AA2471" s="4">
        <v>4</v>
      </c>
      <c r="AB2471" s="4">
        <v>1</v>
      </c>
      <c r="AC2471" s="4">
        <v>1</v>
      </c>
      <c r="AD2471" s="4">
        <v>1</v>
      </c>
      <c r="AE2471" s="4">
        <v>19</v>
      </c>
      <c r="AF2471" s="4">
        <v>0</v>
      </c>
      <c r="AG2471" s="4">
        <v>0</v>
      </c>
      <c r="AH2471" s="4">
        <v>1</v>
      </c>
      <c r="AI2471" s="4">
        <v>18</v>
      </c>
      <c r="AJ2471" s="4">
        <v>0</v>
      </c>
      <c r="AK2471" s="4">
        <v>2</v>
      </c>
      <c r="AL2471" s="4">
        <v>1</v>
      </c>
      <c r="AM2471" s="4">
        <v>14</v>
      </c>
      <c r="AN2471" s="4">
        <v>0</v>
      </c>
      <c r="AO2471" s="4">
        <v>0</v>
      </c>
      <c r="AP2471" s="4">
        <v>0</v>
      </c>
      <c r="AQ2471" s="4">
        <v>2</v>
      </c>
      <c r="AR2471" s="3" t="s">
        <v>65</v>
      </c>
      <c r="AS2471" s="3" t="s">
        <v>65</v>
      </c>
      <c r="AT2471" s="3" t="s">
        <v>65</v>
      </c>
      <c r="AV2471" s="6" t="str">
        <f>HYPERLINK("http://mcgill.on.worldcat.org/oclc/829690597","Catalog Record")</f>
        <v>Catalog Record</v>
      </c>
      <c r="AW2471" s="6" t="str">
        <f>HYPERLINK("http://www.worldcat.org/oclc/829690597","WorldCat Record")</f>
        <v>WorldCat Record</v>
      </c>
      <c r="AX2471" s="3" t="s">
        <v>24373</v>
      </c>
      <c r="AY2471" s="3" t="s">
        <v>24374</v>
      </c>
      <c r="AZ2471" s="3" t="s">
        <v>24375</v>
      </c>
      <c r="BA2471" s="3" t="s">
        <v>24375</v>
      </c>
      <c r="BB2471" s="3" t="s">
        <v>24376</v>
      </c>
      <c r="BC2471" s="3" t="s">
        <v>77</v>
      </c>
      <c r="BD2471" s="3" t="s">
        <v>78</v>
      </c>
      <c r="BE2471" s="3" t="s">
        <v>24377</v>
      </c>
      <c r="BF2471" s="3" t="s">
        <v>24376</v>
      </c>
      <c r="BG2471" s="3" t="s">
        <v>24378</v>
      </c>
    </row>
    <row r="2472" spans="1:59" ht="58" x14ac:dyDescent="0.35">
      <c r="A2472" s="2" t="s">
        <v>59</v>
      </c>
      <c r="B2472" s="2" t="s">
        <v>60</v>
      </c>
      <c r="C2472" s="2" t="s">
        <v>24368</v>
      </c>
      <c r="D2472" s="2" t="s">
        <v>24369</v>
      </c>
      <c r="E2472" s="2" t="s">
        <v>24370</v>
      </c>
      <c r="F2472" s="3" t="s">
        <v>255</v>
      </c>
      <c r="G2472" s="3" t="s">
        <v>209</v>
      </c>
      <c r="I2472" s="3" t="s">
        <v>65</v>
      </c>
      <c r="J2472" s="3" t="s">
        <v>65</v>
      </c>
      <c r="K2472" s="3" t="s">
        <v>66</v>
      </c>
      <c r="L2472" s="2" t="s">
        <v>24371</v>
      </c>
      <c r="M2472" s="2" t="s">
        <v>24372</v>
      </c>
      <c r="N2472" s="3" t="s">
        <v>152</v>
      </c>
      <c r="P2472" s="3" t="s">
        <v>140</v>
      </c>
      <c r="R2472" s="3" t="s">
        <v>71</v>
      </c>
      <c r="S2472" s="4">
        <v>0</v>
      </c>
      <c r="T2472" s="4">
        <v>1</v>
      </c>
      <c r="V2472" s="5" t="s">
        <v>24292</v>
      </c>
      <c r="W2472" s="5" t="s">
        <v>72</v>
      </c>
      <c r="X2472" s="5" t="s">
        <v>72</v>
      </c>
      <c r="Y2472" s="4">
        <v>3</v>
      </c>
      <c r="Z2472" s="4">
        <v>1</v>
      </c>
      <c r="AA2472" s="4">
        <v>4</v>
      </c>
      <c r="AB2472" s="4">
        <v>1</v>
      </c>
      <c r="AC2472" s="4">
        <v>1</v>
      </c>
      <c r="AD2472" s="4">
        <v>1</v>
      </c>
      <c r="AE2472" s="4">
        <v>19</v>
      </c>
      <c r="AF2472" s="4">
        <v>0</v>
      </c>
      <c r="AG2472" s="4">
        <v>0</v>
      </c>
      <c r="AH2472" s="4">
        <v>1</v>
      </c>
      <c r="AI2472" s="4">
        <v>18</v>
      </c>
      <c r="AJ2472" s="4">
        <v>0</v>
      </c>
      <c r="AK2472" s="4">
        <v>2</v>
      </c>
      <c r="AL2472" s="4">
        <v>1</v>
      </c>
      <c r="AM2472" s="4">
        <v>14</v>
      </c>
      <c r="AN2472" s="4">
        <v>0</v>
      </c>
      <c r="AO2472" s="4">
        <v>0</v>
      </c>
      <c r="AP2472" s="4">
        <v>0</v>
      </c>
      <c r="AQ2472" s="4">
        <v>2</v>
      </c>
      <c r="AR2472" s="3" t="s">
        <v>65</v>
      </c>
      <c r="AS2472" s="3" t="s">
        <v>65</v>
      </c>
      <c r="AT2472" s="3" t="s">
        <v>65</v>
      </c>
      <c r="AV2472" s="6" t="str">
        <f>HYPERLINK("http://mcgill.on.worldcat.org/oclc/829690597","Catalog Record")</f>
        <v>Catalog Record</v>
      </c>
      <c r="AW2472" s="6" t="str">
        <f>HYPERLINK("http://www.worldcat.org/oclc/829690597","WorldCat Record")</f>
        <v>WorldCat Record</v>
      </c>
      <c r="AX2472" s="3" t="s">
        <v>24373</v>
      </c>
      <c r="AY2472" s="3" t="s">
        <v>24374</v>
      </c>
      <c r="AZ2472" s="3" t="s">
        <v>24375</v>
      </c>
      <c r="BA2472" s="3" t="s">
        <v>24375</v>
      </c>
      <c r="BB2472" s="3" t="s">
        <v>24379</v>
      </c>
      <c r="BC2472" s="3" t="s">
        <v>77</v>
      </c>
      <c r="BD2472" s="3" t="s">
        <v>78</v>
      </c>
      <c r="BE2472" s="3" t="s">
        <v>24377</v>
      </c>
      <c r="BF2472" s="3" t="s">
        <v>24379</v>
      </c>
      <c r="BG2472" s="3" t="s">
        <v>24380</v>
      </c>
    </row>
    <row r="2473" spans="1:59" ht="58" x14ac:dyDescent="0.35">
      <c r="A2473" s="2" t="s">
        <v>59</v>
      </c>
      <c r="B2473" s="2" t="s">
        <v>60</v>
      </c>
      <c r="C2473" s="2" t="s">
        <v>24368</v>
      </c>
      <c r="D2473" s="2" t="s">
        <v>24369</v>
      </c>
      <c r="E2473" s="2" t="s">
        <v>24370</v>
      </c>
      <c r="F2473" s="3" t="s">
        <v>792</v>
      </c>
      <c r="G2473" s="3" t="s">
        <v>209</v>
      </c>
      <c r="I2473" s="3" t="s">
        <v>65</v>
      </c>
      <c r="J2473" s="3" t="s">
        <v>65</v>
      </c>
      <c r="K2473" s="3" t="s">
        <v>66</v>
      </c>
      <c r="L2473" s="2" t="s">
        <v>24371</v>
      </c>
      <c r="M2473" s="2" t="s">
        <v>24372</v>
      </c>
      <c r="N2473" s="3" t="s">
        <v>152</v>
      </c>
      <c r="P2473" s="3" t="s">
        <v>140</v>
      </c>
      <c r="R2473" s="3" t="s">
        <v>71</v>
      </c>
      <c r="S2473" s="4">
        <v>0</v>
      </c>
      <c r="T2473" s="4">
        <v>1</v>
      </c>
      <c r="V2473" s="5" t="s">
        <v>24292</v>
      </c>
      <c r="W2473" s="5" t="s">
        <v>72</v>
      </c>
      <c r="X2473" s="5" t="s">
        <v>72</v>
      </c>
      <c r="Y2473" s="4">
        <v>3</v>
      </c>
      <c r="Z2473" s="4">
        <v>1</v>
      </c>
      <c r="AA2473" s="4">
        <v>4</v>
      </c>
      <c r="AB2473" s="4">
        <v>1</v>
      </c>
      <c r="AC2473" s="4">
        <v>1</v>
      </c>
      <c r="AD2473" s="4">
        <v>1</v>
      </c>
      <c r="AE2473" s="4">
        <v>19</v>
      </c>
      <c r="AF2473" s="4">
        <v>0</v>
      </c>
      <c r="AG2473" s="4">
        <v>0</v>
      </c>
      <c r="AH2473" s="4">
        <v>1</v>
      </c>
      <c r="AI2473" s="4">
        <v>18</v>
      </c>
      <c r="AJ2473" s="4">
        <v>0</v>
      </c>
      <c r="AK2473" s="4">
        <v>2</v>
      </c>
      <c r="AL2473" s="4">
        <v>1</v>
      </c>
      <c r="AM2473" s="4">
        <v>14</v>
      </c>
      <c r="AN2473" s="4">
        <v>0</v>
      </c>
      <c r="AO2473" s="4">
        <v>0</v>
      </c>
      <c r="AP2473" s="4">
        <v>0</v>
      </c>
      <c r="AQ2473" s="4">
        <v>2</v>
      </c>
      <c r="AR2473" s="3" t="s">
        <v>65</v>
      </c>
      <c r="AS2473" s="3" t="s">
        <v>65</v>
      </c>
      <c r="AT2473" s="3" t="s">
        <v>65</v>
      </c>
      <c r="AV2473" s="6" t="str">
        <f>HYPERLINK("http://mcgill.on.worldcat.org/oclc/829690597","Catalog Record")</f>
        <v>Catalog Record</v>
      </c>
      <c r="AW2473" s="6" t="str">
        <f>HYPERLINK("http://www.worldcat.org/oclc/829690597","WorldCat Record")</f>
        <v>WorldCat Record</v>
      </c>
      <c r="AX2473" s="3" t="s">
        <v>24373</v>
      </c>
      <c r="AY2473" s="3" t="s">
        <v>24374</v>
      </c>
      <c r="AZ2473" s="3" t="s">
        <v>24375</v>
      </c>
      <c r="BA2473" s="3" t="s">
        <v>24375</v>
      </c>
      <c r="BB2473" s="3" t="s">
        <v>24381</v>
      </c>
      <c r="BC2473" s="3" t="s">
        <v>77</v>
      </c>
      <c r="BD2473" s="3" t="s">
        <v>78</v>
      </c>
      <c r="BE2473" s="3" t="s">
        <v>24377</v>
      </c>
      <c r="BF2473" s="3" t="s">
        <v>24381</v>
      </c>
      <c r="BG2473" s="3" t="s">
        <v>24382</v>
      </c>
    </row>
    <row r="2474" spans="1:59" ht="58" x14ac:dyDescent="0.35">
      <c r="A2474" s="2" t="s">
        <v>59</v>
      </c>
      <c r="B2474" s="2" t="s">
        <v>60</v>
      </c>
      <c r="C2474" s="2" t="s">
        <v>24368</v>
      </c>
      <c r="D2474" s="2" t="s">
        <v>24369</v>
      </c>
      <c r="E2474" s="2" t="s">
        <v>24370</v>
      </c>
      <c r="F2474" s="3" t="s">
        <v>245</v>
      </c>
      <c r="G2474" s="3" t="s">
        <v>209</v>
      </c>
      <c r="I2474" s="3" t="s">
        <v>65</v>
      </c>
      <c r="J2474" s="3" t="s">
        <v>65</v>
      </c>
      <c r="K2474" s="3" t="s">
        <v>66</v>
      </c>
      <c r="L2474" s="2" t="s">
        <v>24371</v>
      </c>
      <c r="M2474" s="2" t="s">
        <v>24372</v>
      </c>
      <c r="N2474" s="3" t="s">
        <v>152</v>
      </c>
      <c r="P2474" s="3" t="s">
        <v>140</v>
      </c>
      <c r="R2474" s="3" t="s">
        <v>71</v>
      </c>
      <c r="S2474" s="4">
        <v>1</v>
      </c>
      <c r="T2474" s="4">
        <v>1</v>
      </c>
      <c r="U2474" s="5" t="s">
        <v>24292</v>
      </c>
      <c r="V2474" s="5" t="s">
        <v>24292</v>
      </c>
      <c r="W2474" s="5" t="s">
        <v>72</v>
      </c>
      <c r="X2474" s="5" t="s">
        <v>72</v>
      </c>
      <c r="Y2474" s="4">
        <v>3</v>
      </c>
      <c r="Z2474" s="4">
        <v>1</v>
      </c>
      <c r="AA2474" s="4">
        <v>4</v>
      </c>
      <c r="AB2474" s="4">
        <v>1</v>
      </c>
      <c r="AC2474" s="4">
        <v>1</v>
      </c>
      <c r="AD2474" s="4">
        <v>1</v>
      </c>
      <c r="AE2474" s="4">
        <v>19</v>
      </c>
      <c r="AF2474" s="4">
        <v>0</v>
      </c>
      <c r="AG2474" s="4">
        <v>0</v>
      </c>
      <c r="AH2474" s="4">
        <v>1</v>
      </c>
      <c r="AI2474" s="4">
        <v>18</v>
      </c>
      <c r="AJ2474" s="4">
        <v>0</v>
      </c>
      <c r="AK2474" s="4">
        <v>2</v>
      </c>
      <c r="AL2474" s="4">
        <v>1</v>
      </c>
      <c r="AM2474" s="4">
        <v>14</v>
      </c>
      <c r="AN2474" s="4">
        <v>0</v>
      </c>
      <c r="AO2474" s="4">
        <v>0</v>
      </c>
      <c r="AP2474" s="4">
        <v>0</v>
      </c>
      <c r="AQ2474" s="4">
        <v>2</v>
      </c>
      <c r="AR2474" s="3" t="s">
        <v>65</v>
      </c>
      <c r="AS2474" s="3" t="s">
        <v>65</v>
      </c>
      <c r="AT2474" s="3" t="s">
        <v>65</v>
      </c>
      <c r="AV2474" s="6" t="str">
        <f>HYPERLINK("http://mcgill.on.worldcat.org/oclc/829690597","Catalog Record")</f>
        <v>Catalog Record</v>
      </c>
      <c r="AW2474" s="6" t="str">
        <f>HYPERLINK("http://www.worldcat.org/oclc/829690597","WorldCat Record")</f>
        <v>WorldCat Record</v>
      </c>
      <c r="AX2474" s="3" t="s">
        <v>24373</v>
      </c>
      <c r="AY2474" s="3" t="s">
        <v>24374</v>
      </c>
      <c r="AZ2474" s="3" t="s">
        <v>24375</v>
      </c>
      <c r="BA2474" s="3" t="s">
        <v>24375</v>
      </c>
      <c r="BB2474" s="3" t="s">
        <v>24383</v>
      </c>
      <c r="BC2474" s="3" t="s">
        <v>77</v>
      </c>
      <c r="BD2474" s="3" t="s">
        <v>78</v>
      </c>
      <c r="BE2474" s="3" t="s">
        <v>24377</v>
      </c>
      <c r="BF2474" s="3" t="s">
        <v>24383</v>
      </c>
      <c r="BG2474" s="3" t="s">
        <v>24384</v>
      </c>
    </row>
    <row r="2475" spans="1:59" ht="58" x14ac:dyDescent="0.35">
      <c r="A2475" s="2" t="s">
        <v>59</v>
      </c>
      <c r="B2475" s="2" t="s">
        <v>60</v>
      </c>
      <c r="C2475" s="2" t="s">
        <v>24385</v>
      </c>
      <c r="D2475" s="2" t="s">
        <v>24386</v>
      </c>
      <c r="E2475" s="2" t="s">
        <v>24387</v>
      </c>
      <c r="G2475" s="3" t="s">
        <v>65</v>
      </c>
      <c r="I2475" s="3" t="s">
        <v>65</v>
      </c>
      <c r="J2475" s="3" t="s">
        <v>65</v>
      </c>
      <c r="K2475" s="3" t="s">
        <v>66</v>
      </c>
      <c r="L2475" s="2" t="s">
        <v>24388</v>
      </c>
      <c r="M2475" s="2" t="s">
        <v>24389</v>
      </c>
      <c r="N2475" s="3" t="s">
        <v>1835</v>
      </c>
      <c r="O2475" s="2" t="s">
        <v>654</v>
      </c>
      <c r="P2475" s="3" t="s">
        <v>140</v>
      </c>
      <c r="Q2475" s="2" t="s">
        <v>7116</v>
      </c>
      <c r="R2475" s="3" t="s">
        <v>71</v>
      </c>
      <c r="S2475" s="4">
        <v>3</v>
      </c>
      <c r="T2475" s="4">
        <v>3</v>
      </c>
      <c r="U2475" s="5" t="s">
        <v>24390</v>
      </c>
      <c r="V2475" s="5" t="s">
        <v>24390</v>
      </c>
      <c r="W2475" s="5" t="s">
        <v>72</v>
      </c>
      <c r="X2475" s="5" t="s">
        <v>72</v>
      </c>
      <c r="Y2475" s="4">
        <v>89</v>
      </c>
      <c r="Z2475" s="4">
        <v>8</v>
      </c>
      <c r="AA2475" s="4">
        <v>10</v>
      </c>
      <c r="AB2475" s="4">
        <v>1</v>
      </c>
      <c r="AC2475" s="4">
        <v>2</v>
      </c>
      <c r="AD2475" s="4">
        <v>46</v>
      </c>
      <c r="AE2475" s="4">
        <v>49</v>
      </c>
      <c r="AF2475" s="4">
        <v>0</v>
      </c>
      <c r="AG2475" s="4">
        <v>1</v>
      </c>
      <c r="AH2475" s="4">
        <v>42</v>
      </c>
      <c r="AI2475" s="4">
        <v>43</v>
      </c>
      <c r="AJ2475" s="4">
        <v>6</v>
      </c>
      <c r="AK2475" s="4">
        <v>7</v>
      </c>
      <c r="AL2475" s="4">
        <v>30</v>
      </c>
      <c r="AM2475" s="4">
        <v>31</v>
      </c>
      <c r="AN2475" s="4">
        <v>0</v>
      </c>
      <c r="AO2475" s="4">
        <v>0</v>
      </c>
      <c r="AP2475" s="4">
        <v>6</v>
      </c>
      <c r="AQ2475" s="4">
        <v>7</v>
      </c>
      <c r="AR2475" s="3" t="s">
        <v>65</v>
      </c>
      <c r="AS2475" s="3" t="s">
        <v>65</v>
      </c>
      <c r="AT2475" s="3" t="s">
        <v>65</v>
      </c>
      <c r="AV2475" s="6" t="str">
        <f>HYPERLINK("http://mcgill.on.worldcat.org/oclc/8517691","Catalog Record")</f>
        <v>Catalog Record</v>
      </c>
      <c r="AW2475" s="6" t="str">
        <f>HYPERLINK("http://www.worldcat.org/oclc/8517691","WorldCat Record")</f>
        <v>WorldCat Record</v>
      </c>
      <c r="AX2475" s="3" t="s">
        <v>24391</v>
      </c>
      <c r="AY2475" s="3" t="s">
        <v>24392</v>
      </c>
      <c r="AZ2475" s="3" t="s">
        <v>24393</v>
      </c>
      <c r="BA2475" s="3" t="s">
        <v>24393</v>
      </c>
      <c r="BB2475" s="3" t="s">
        <v>24394</v>
      </c>
      <c r="BC2475" s="3" t="s">
        <v>77</v>
      </c>
      <c r="BD2475" s="3" t="s">
        <v>78</v>
      </c>
      <c r="BF2475" s="3" t="s">
        <v>24394</v>
      </c>
      <c r="BG2475" s="3" t="s">
        <v>24395</v>
      </c>
    </row>
    <row r="2476" spans="1:59" ht="58" x14ac:dyDescent="0.35">
      <c r="A2476" s="2" t="s">
        <v>59</v>
      </c>
      <c r="B2476" s="2" t="s">
        <v>60</v>
      </c>
      <c r="C2476" s="2" t="s">
        <v>24396</v>
      </c>
      <c r="D2476" s="2" t="s">
        <v>24397</v>
      </c>
      <c r="E2476" s="2" t="s">
        <v>24398</v>
      </c>
      <c r="G2476" s="3" t="s">
        <v>65</v>
      </c>
      <c r="I2476" s="3" t="s">
        <v>65</v>
      </c>
      <c r="J2476" s="3" t="s">
        <v>65</v>
      </c>
      <c r="K2476" s="3" t="s">
        <v>66</v>
      </c>
      <c r="L2476" s="2" t="s">
        <v>24399</v>
      </c>
      <c r="M2476" s="2" t="s">
        <v>24400</v>
      </c>
      <c r="N2476" s="3" t="s">
        <v>221</v>
      </c>
      <c r="O2476" s="2" t="s">
        <v>6616</v>
      </c>
      <c r="P2476" s="3" t="s">
        <v>140</v>
      </c>
      <c r="Q2476" s="2" t="s">
        <v>6617</v>
      </c>
      <c r="R2476" s="3" t="s">
        <v>71</v>
      </c>
      <c r="S2476" s="4">
        <v>2</v>
      </c>
      <c r="T2476" s="4">
        <v>2</v>
      </c>
      <c r="U2476" s="5" t="s">
        <v>24401</v>
      </c>
      <c r="V2476" s="5" t="s">
        <v>24401</v>
      </c>
      <c r="W2476" s="5" t="s">
        <v>72</v>
      </c>
      <c r="X2476" s="5" t="s">
        <v>72</v>
      </c>
      <c r="Y2476" s="4">
        <v>78</v>
      </c>
      <c r="Z2476" s="4">
        <v>6</v>
      </c>
      <c r="AA2476" s="4">
        <v>6</v>
      </c>
      <c r="AB2476" s="4">
        <v>1</v>
      </c>
      <c r="AC2476" s="4">
        <v>1</v>
      </c>
      <c r="AD2476" s="4">
        <v>48</v>
      </c>
      <c r="AE2476" s="4">
        <v>49</v>
      </c>
      <c r="AF2476" s="4">
        <v>0</v>
      </c>
      <c r="AG2476" s="4">
        <v>0</v>
      </c>
      <c r="AH2476" s="4">
        <v>44</v>
      </c>
      <c r="AI2476" s="4">
        <v>45</v>
      </c>
      <c r="AJ2476" s="4">
        <v>2</v>
      </c>
      <c r="AK2476" s="4">
        <v>2</v>
      </c>
      <c r="AL2476" s="4">
        <v>36</v>
      </c>
      <c r="AM2476" s="4">
        <v>37</v>
      </c>
      <c r="AN2476" s="4">
        <v>0</v>
      </c>
      <c r="AO2476" s="4">
        <v>0</v>
      </c>
      <c r="AP2476" s="4">
        <v>3</v>
      </c>
      <c r="AQ2476" s="4">
        <v>3</v>
      </c>
      <c r="AR2476" s="3" t="s">
        <v>65</v>
      </c>
      <c r="AS2476" s="3" t="s">
        <v>65</v>
      </c>
      <c r="AT2476" s="3" t="s">
        <v>209</v>
      </c>
      <c r="AU2476" s="6" t="str">
        <f>HYPERLINK("http://catalog.hathitrust.org/Record/005539171","HathiTrust Record")</f>
        <v>HathiTrust Record</v>
      </c>
      <c r="AV2476" s="6" t="str">
        <f>HYPERLINK("http://mcgill.on.worldcat.org/oclc/83595429","Catalog Record")</f>
        <v>Catalog Record</v>
      </c>
      <c r="AW2476" s="6" t="str">
        <f>HYPERLINK("http://www.worldcat.org/oclc/83595429","WorldCat Record")</f>
        <v>WorldCat Record</v>
      </c>
      <c r="AX2476" s="3" t="s">
        <v>24402</v>
      </c>
      <c r="AY2476" s="3" t="s">
        <v>24403</v>
      </c>
      <c r="AZ2476" s="3" t="s">
        <v>24404</v>
      </c>
      <c r="BA2476" s="3" t="s">
        <v>24404</v>
      </c>
      <c r="BB2476" s="3" t="s">
        <v>24405</v>
      </c>
      <c r="BC2476" s="3" t="s">
        <v>77</v>
      </c>
      <c r="BD2476" s="3" t="s">
        <v>78</v>
      </c>
      <c r="BE2476" s="3" t="s">
        <v>24406</v>
      </c>
      <c r="BF2476" s="3" t="s">
        <v>24405</v>
      </c>
      <c r="BG2476" s="3" t="s">
        <v>24407</v>
      </c>
    </row>
    <row r="2477" spans="1:59" ht="58" x14ac:dyDescent="0.35">
      <c r="A2477" s="2" t="s">
        <v>59</v>
      </c>
      <c r="B2477" s="2" t="s">
        <v>60</v>
      </c>
      <c r="C2477" s="2" t="s">
        <v>24408</v>
      </c>
      <c r="D2477" s="2" t="s">
        <v>24409</v>
      </c>
      <c r="E2477" s="2" t="s">
        <v>24410</v>
      </c>
      <c r="G2477" s="3" t="s">
        <v>65</v>
      </c>
      <c r="I2477" s="3" t="s">
        <v>65</v>
      </c>
      <c r="J2477" s="3" t="s">
        <v>65</v>
      </c>
      <c r="K2477" s="3" t="s">
        <v>66</v>
      </c>
      <c r="L2477" s="2" t="s">
        <v>24411</v>
      </c>
      <c r="M2477" s="2" t="s">
        <v>24412</v>
      </c>
      <c r="N2477" s="3" t="s">
        <v>139</v>
      </c>
      <c r="P2477" s="3" t="s">
        <v>140</v>
      </c>
      <c r="Q2477" s="2" t="s">
        <v>24413</v>
      </c>
      <c r="R2477" s="3" t="s">
        <v>71</v>
      </c>
      <c r="S2477" s="4">
        <v>0</v>
      </c>
      <c r="T2477" s="4">
        <v>0</v>
      </c>
      <c r="W2477" s="5" t="s">
        <v>72</v>
      </c>
      <c r="X2477" s="5" t="s">
        <v>72</v>
      </c>
      <c r="Y2477" s="4">
        <v>34</v>
      </c>
      <c r="Z2477" s="4">
        <v>3</v>
      </c>
      <c r="AA2477" s="4">
        <v>3</v>
      </c>
      <c r="AB2477" s="4">
        <v>1</v>
      </c>
      <c r="AC2477" s="4">
        <v>1</v>
      </c>
      <c r="AD2477" s="4">
        <v>27</v>
      </c>
      <c r="AE2477" s="4">
        <v>27</v>
      </c>
      <c r="AF2477" s="4">
        <v>0</v>
      </c>
      <c r="AG2477" s="4">
        <v>0</v>
      </c>
      <c r="AH2477" s="4">
        <v>26</v>
      </c>
      <c r="AI2477" s="4">
        <v>26</v>
      </c>
      <c r="AJ2477" s="4">
        <v>1</v>
      </c>
      <c r="AK2477" s="4">
        <v>1</v>
      </c>
      <c r="AL2477" s="4">
        <v>21</v>
      </c>
      <c r="AM2477" s="4">
        <v>21</v>
      </c>
      <c r="AN2477" s="4">
        <v>0</v>
      </c>
      <c r="AO2477" s="4">
        <v>0</v>
      </c>
      <c r="AP2477" s="4">
        <v>1</v>
      </c>
      <c r="AQ2477" s="4">
        <v>1</v>
      </c>
      <c r="AR2477" s="3" t="s">
        <v>65</v>
      </c>
      <c r="AS2477" s="3" t="s">
        <v>65</v>
      </c>
      <c r="AT2477" s="3" t="s">
        <v>65</v>
      </c>
      <c r="AV2477" s="6" t="str">
        <f>HYPERLINK("http://mcgill.on.worldcat.org/oclc/798609624","Catalog Record")</f>
        <v>Catalog Record</v>
      </c>
      <c r="AW2477" s="6" t="str">
        <f>HYPERLINK("http://www.worldcat.org/oclc/798609624","WorldCat Record")</f>
        <v>WorldCat Record</v>
      </c>
      <c r="AX2477" s="3" t="s">
        <v>24414</v>
      </c>
      <c r="AY2477" s="3" t="s">
        <v>24415</v>
      </c>
      <c r="AZ2477" s="3" t="s">
        <v>24416</v>
      </c>
      <c r="BA2477" s="3" t="s">
        <v>24416</v>
      </c>
      <c r="BB2477" s="3" t="s">
        <v>24417</v>
      </c>
      <c r="BC2477" s="3" t="s">
        <v>77</v>
      </c>
      <c r="BD2477" s="3" t="s">
        <v>78</v>
      </c>
      <c r="BE2477" s="3" t="s">
        <v>24418</v>
      </c>
      <c r="BF2477" s="3" t="s">
        <v>24417</v>
      </c>
      <c r="BG2477" s="3" t="s">
        <v>24419</v>
      </c>
    </row>
    <row r="2478" spans="1:59" ht="58" x14ac:dyDescent="0.35">
      <c r="A2478" s="2" t="s">
        <v>59</v>
      </c>
      <c r="B2478" s="2" t="s">
        <v>60</v>
      </c>
      <c r="C2478" s="2" t="s">
        <v>24420</v>
      </c>
      <c r="D2478" s="2" t="s">
        <v>24421</v>
      </c>
      <c r="E2478" s="2" t="s">
        <v>24422</v>
      </c>
      <c r="G2478" s="3" t="s">
        <v>65</v>
      </c>
      <c r="I2478" s="3" t="s">
        <v>65</v>
      </c>
      <c r="J2478" s="3" t="s">
        <v>65</v>
      </c>
      <c r="K2478" s="3" t="s">
        <v>66</v>
      </c>
      <c r="L2478" s="2" t="s">
        <v>562</v>
      </c>
      <c r="M2478" s="2" t="s">
        <v>24423</v>
      </c>
      <c r="N2478" s="3" t="s">
        <v>5439</v>
      </c>
      <c r="O2478" s="2" t="s">
        <v>5881</v>
      </c>
      <c r="P2478" s="3" t="s">
        <v>140</v>
      </c>
      <c r="Q2478" s="2" t="s">
        <v>21346</v>
      </c>
      <c r="R2478" s="3" t="s">
        <v>71</v>
      </c>
      <c r="S2478" s="4">
        <v>1</v>
      </c>
      <c r="T2478" s="4">
        <v>1</v>
      </c>
      <c r="U2478" s="5" t="s">
        <v>24424</v>
      </c>
      <c r="V2478" s="5" t="s">
        <v>24424</v>
      </c>
      <c r="W2478" s="5" t="s">
        <v>72</v>
      </c>
      <c r="X2478" s="5" t="s">
        <v>72</v>
      </c>
      <c r="Y2478" s="4">
        <v>108</v>
      </c>
      <c r="Z2478" s="4">
        <v>7</v>
      </c>
      <c r="AA2478" s="4">
        <v>8</v>
      </c>
      <c r="AB2478" s="4">
        <v>1</v>
      </c>
      <c r="AC2478" s="4">
        <v>2</v>
      </c>
      <c r="AD2478" s="4">
        <v>58</v>
      </c>
      <c r="AE2478" s="4">
        <v>59</v>
      </c>
      <c r="AF2478" s="4">
        <v>0</v>
      </c>
      <c r="AG2478" s="4">
        <v>1</v>
      </c>
      <c r="AH2478" s="4">
        <v>55</v>
      </c>
      <c r="AI2478" s="4">
        <v>55</v>
      </c>
      <c r="AJ2478" s="4">
        <v>4</v>
      </c>
      <c r="AK2478" s="4">
        <v>5</v>
      </c>
      <c r="AL2478" s="4">
        <v>36</v>
      </c>
      <c r="AM2478" s="4">
        <v>36</v>
      </c>
      <c r="AN2478" s="4">
        <v>0</v>
      </c>
      <c r="AO2478" s="4">
        <v>0</v>
      </c>
      <c r="AP2478" s="4">
        <v>4</v>
      </c>
      <c r="AQ2478" s="4">
        <v>4</v>
      </c>
      <c r="AR2478" s="3" t="s">
        <v>65</v>
      </c>
      <c r="AS2478" s="3" t="s">
        <v>65</v>
      </c>
      <c r="AT2478" s="3" t="s">
        <v>209</v>
      </c>
      <c r="AU2478" s="6" t="str">
        <f>HYPERLINK("http://catalog.hathitrust.org/Record/001218838","HathiTrust Record")</f>
        <v>HathiTrust Record</v>
      </c>
      <c r="AV2478" s="6" t="str">
        <f>HYPERLINK("http://mcgill.on.worldcat.org/oclc/359656","Catalog Record")</f>
        <v>Catalog Record</v>
      </c>
      <c r="AW2478" s="6" t="str">
        <f>HYPERLINK("http://www.worldcat.org/oclc/359656","WorldCat Record")</f>
        <v>WorldCat Record</v>
      </c>
      <c r="AX2478" s="3" t="s">
        <v>24425</v>
      </c>
      <c r="AY2478" s="3" t="s">
        <v>24426</v>
      </c>
      <c r="AZ2478" s="3" t="s">
        <v>24427</v>
      </c>
      <c r="BA2478" s="3" t="s">
        <v>24427</v>
      </c>
      <c r="BB2478" s="3" t="s">
        <v>24428</v>
      </c>
      <c r="BC2478" s="3" t="s">
        <v>77</v>
      </c>
      <c r="BD2478" s="3" t="s">
        <v>78</v>
      </c>
      <c r="BF2478" s="3" t="s">
        <v>24428</v>
      </c>
      <c r="BG2478" s="3" t="s">
        <v>24429</v>
      </c>
    </row>
    <row r="2479" spans="1:59" ht="58" x14ac:dyDescent="0.35">
      <c r="A2479" s="2" t="s">
        <v>59</v>
      </c>
      <c r="B2479" s="2" t="s">
        <v>60</v>
      </c>
      <c r="C2479" s="2" t="s">
        <v>24430</v>
      </c>
      <c r="D2479" s="2" t="s">
        <v>24431</v>
      </c>
      <c r="E2479" s="2" t="s">
        <v>24432</v>
      </c>
      <c r="G2479" s="3" t="s">
        <v>65</v>
      </c>
      <c r="I2479" s="3" t="s">
        <v>65</v>
      </c>
      <c r="J2479" s="3" t="s">
        <v>65</v>
      </c>
      <c r="K2479" s="3" t="s">
        <v>66</v>
      </c>
      <c r="L2479" s="2" t="s">
        <v>562</v>
      </c>
      <c r="M2479" s="2" t="s">
        <v>24433</v>
      </c>
      <c r="N2479" s="3" t="s">
        <v>552</v>
      </c>
      <c r="O2479" s="2" t="s">
        <v>6616</v>
      </c>
      <c r="P2479" s="3" t="s">
        <v>140</v>
      </c>
      <c r="Q2479" s="2" t="s">
        <v>6617</v>
      </c>
      <c r="R2479" s="3" t="s">
        <v>71</v>
      </c>
      <c r="S2479" s="4">
        <v>6</v>
      </c>
      <c r="T2479" s="4">
        <v>6</v>
      </c>
      <c r="U2479" s="5" t="s">
        <v>24434</v>
      </c>
      <c r="V2479" s="5" t="s">
        <v>24434</v>
      </c>
      <c r="W2479" s="5" t="s">
        <v>72</v>
      </c>
      <c r="X2479" s="5" t="s">
        <v>72</v>
      </c>
      <c r="Y2479" s="4">
        <v>78</v>
      </c>
      <c r="Z2479" s="4">
        <v>3</v>
      </c>
      <c r="AA2479" s="4">
        <v>3</v>
      </c>
      <c r="AB2479" s="4">
        <v>1</v>
      </c>
      <c r="AC2479" s="4">
        <v>1</v>
      </c>
      <c r="AD2479" s="4">
        <v>36</v>
      </c>
      <c r="AE2479" s="4">
        <v>36</v>
      </c>
      <c r="AF2479" s="4">
        <v>0</v>
      </c>
      <c r="AG2479" s="4">
        <v>0</v>
      </c>
      <c r="AH2479" s="4">
        <v>35</v>
      </c>
      <c r="AI2479" s="4">
        <v>35</v>
      </c>
      <c r="AJ2479" s="4">
        <v>1</v>
      </c>
      <c r="AK2479" s="4">
        <v>1</v>
      </c>
      <c r="AL2479" s="4">
        <v>29</v>
      </c>
      <c r="AM2479" s="4">
        <v>29</v>
      </c>
      <c r="AN2479" s="4">
        <v>0</v>
      </c>
      <c r="AO2479" s="4">
        <v>0</v>
      </c>
      <c r="AP2479" s="4">
        <v>1</v>
      </c>
      <c r="AQ2479" s="4">
        <v>1</v>
      </c>
      <c r="AR2479" s="3" t="s">
        <v>65</v>
      </c>
      <c r="AS2479" s="3" t="s">
        <v>65</v>
      </c>
      <c r="AT2479" s="3" t="s">
        <v>209</v>
      </c>
      <c r="AU2479" s="6" t="str">
        <f>HYPERLINK("http://catalog.hathitrust.org/Record/003307234","HathiTrust Record")</f>
        <v>HathiTrust Record</v>
      </c>
      <c r="AV2479" s="6" t="str">
        <f>HYPERLINK("http://mcgill.on.worldcat.org/oclc/39170790","Catalog Record")</f>
        <v>Catalog Record</v>
      </c>
      <c r="AW2479" s="6" t="str">
        <f>HYPERLINK("http://www.worldcat.org/oclc/39170790","WorldCat Record")</f>
        <v>WorldCat Record</v>
      </c>
      <c r="AX2479" s="3" t="s">
        <v>24435</v>
      </c>
      <c r="AY2479" s="3" t="s">
        <v>24436</v>
      </c>
      <c r="AZ2479" s="3" t="s">
        <v>24437</v>
      </c>
      <c r="BA2479" s="3" t="s">
        <v>24437</v>
      </c>
      <c r="BB2479" s="3" t="s">
        <v>24438</v>
      </c>
      <c r="BC2479" s="3" t="s">
        <v>77</v>
      </c>
      <c r="BD2479" s="3" t="s">
        <v>78</v>
      </c>
      <c r="BE2479" s="3" t="s">
        <v>24439</v>
      </c>
      <c r="BF2479" s="3" t="s">
        <v>24438</v>
      </c>
      <c r="BG2479" s="3" t="s">
        <v>24440</v>
      </c>
    </row>
    <row r="2480" spans="1:59" ht="58" x14ac:dyDescent="0.35">
      <c r="A2480" s="2" t="s">
        <v>59</v>
      </c>
      <c r="B2480" s="2" t="s">
        <v>60</v>
      </c>
      <c r="C2480" s="2" t="s">
        <v>24441</v>
      </c>
      <c r="D2480" s="2" t="s">
        <v>24442</v>
      </c>
      <c r="E2480" s="2" t="s">
        <v>24443</v>
      </c>
      <c r="G2480" s="3" t="s">
        <v>65</v>
      </c>
      <c r="I2480" s="3" t="s">
        <v>65</v>
      </c>
      <c r="J2480" s="3" t="s">
        <v>65</v>
      </c>
      <c r="K2480" s="3" t="s">
        <v>66</v>
      </c>
      <c r="L2480" s="2" t="s">
        <v>562</v>
      </c>
      <c r="M2480" s="2" t="s">
        <v>24444</v>
      </c>
      <c r="N2480" s="3" t="s">
        <v>1151</v>
      </c>
      <c r="O2480" s="2" t="s">
        <v>365</v>
      </c>
      <c r="P2480" s="3" t="s">
        <v>140</v>
      </c>
      <c r="Q2480" s="2" t="s">
        <v>24445</v>
      </c>
      <c r="R2480" s="3" t="s">
        <v>71</v>
      </c>
      <c r="S2480" s="4">
        <v>1</v>
      </c>
      <c r="T2480" s="4">
        <v>1</v>
      </c>
      <c r="U2480" s="5" t="s">
        <v>24424</v>
      </c>
      <c r="V2480" s="5" t="s">
        <v>24424</v>
      </c>
      <c r="W2480" s="5" t="s">
        <v>72</v>
      </c>
      <c r="X2480" s="5" t="s">
        <v>72</v>
      </c>
      <c r="Y2480" s="4">
        <v>76</v>
      </c>
      <c r="Z2480" s="4">
        <v>6</v>
      </c>
      <c r="AA2480" s="4">
        <v>7</v>
      </c>
      <c r="AB2480" s="4">
        <v>1</v>
      </c>
      <c r="AC2480" s="4">
        <v>2</v>
      </c>
      <c r="AD2480" s="4">
        <v>43</v>
      </c>
      <c r="AE2480" s="4">
        <v>44</v>
      </c>
      <c r="AF2480" s="4">
        <v>0</v>
      </c>
      <c r="AG2480" s="4">
        <v>1</v>
      </c>
      <c r="AH2480" s="4">
        <v>40</v>
      </c>
      <c r="AI2480" s="4">
        <v>40</v>
      </c>
      <c r="AJ2480" s="4">
        <v>4</v>
      </c>
      <c r="AK2480" s="4">
        <v>5</v>
      </c>
      <c r="AL2480" s="4">
        <v>30</v>
      </c>
      <c r="AM2480" s="4">
        <v>30</v>
      </c>
      <c r="AN2480" s="4">
        <v>0</v>
      </c>
      <c r="AO2480" s="4">
        <v>0</v>
      </c>
      <c r="AP2480" s="4">
        <v>4</v>
      </c>
      <c r="AQ2480" s="4">
        <v>4</v>
      </c>
      <c r="AR2480" s="3" t="s">
        <v>65</v>
      </c>
      <c r="AS2480" s="3" t="s">
        <v>65</v>
      </c>
      <c r="AT2480" s="3" t="s">
        <v>209</v>
      </c>
      <c r="AU2480" s="6" t="str">
        <f>HYPERLINK("http://catalog.hathitrust.org/Record/007862690","HathiTrust Record")</f>
        <v>HathiTrust Record</v>
      </c>
      <c r="AV2480" s="6" t="str">
        <f>HYPERLINK("http://mcgill.on.worldcat.org/oclc/2856666","Catalog Record")</f>
        <v>Catalog Record</v>
      </c>
      <c r="AW2480" s="6" t="str">
        <f>HYPERLINK("http://www.worldcat.org/oclc/2856666","WorldCat Record")</f>
        <v>WorldCat Record</v>
      </c>
      <c r="AX2480" s="3" t="s">
        <v>24446</v>
      </c>
      <c r="AY2480" s="3" t="s">
        <v>24447</v>
      </c>
      <c r="AZ2480" s="3" t="s">
        <v>24448</v>
      </c>
      <c r="BA2480" s="3" t="s">
        <v>24448</v>
      </c>
      <c r="BB2480" s="3" t="s">
        <v>24449</v>
      </c>
      <c r="BC2480" s="3" t="s">
        <v>77</v>
      </c>
      <c r="BD2480" s="3" t="s">
        <v>78</v>
      </c>
      <c r="BF2480" s="3" t="s">
        <v>24449</v>
      </c>
      <c r="BG2480" s="3" t="s">
        <v>24450</v>
      </c>
    </row>
    <row r="2481" spans="1:59" ht="58" x14ac:dyDescent="0.35">
      <c r="A2481" s="2" t="s">
        <v>59</v>
      </c>
      <c r="B2481" s="2" t="s">
        <v>60</v>
      </c>
      <c r="C2481" s="2" t="s">
        <v>24451</v>
      </c>
      <c r="D2481" s="2" t="s">
        <v>24452</v>
      </c>
      <c r="E2481" s="2" t="s">
        <v>24453</v>
      </c>
      <c r="G2481" s="3" t="s">
        <v>65</v>
      </c>
      <c r="I2481" s="3" t="s">
        <v>65</v>
      </c>
      <c r="J2481" s="3" t="s">
        <v>65</v>
      </c>
      <c r="K2481" s="3" t="s">
        <v>66</v>
      </c>
      <c r="L2481" s="2" t="s">
        <v>562</v>
      </c>
      <c r="M2481" s="2" t="s">
        <v>24454</v>
      </c>
      <c r="N2481" s="3" t="s">
        <v>4688</v>
      </c>
      <c r="P2481" s="3" t="s">
        <v>140</v>
      </c>
      <c r="Q2481" s="2" t="s">
        <v>24455</v>
      </c>
      <c r="R2481" s="3" t="s">
        <v>71</v>
      </c>
      <c r="S2481" s="4">
        <v>1</v>
      </c>
      <c r="T2481" s="4">
        <v>1</v>
      </c>
      <c r="U2481" s="5" t="s">
        <v>24456</v>
      </c>
      <c r="V2481" s="5" t="s">
        <v>24456</v>
      </c>
      <c r="W2481" s="5" t="s">
        <v>72</v>
      </c>
      <c r="X2481" s="5" t="s">
        <v>72</v>
      </c>
      <c r="Y2481" s="4">
        <v>68</v>
      </c>
      <c r="Z2481" s="4">
        <v>7</v>
      </c>
      <c r="AA2481" s="4">
        <v>8</v>
      </c>
      <c r="AB2481" s="4">
        <v>2</v>
      </c>
      <c r="AC2481" s="4">
        <v>3</v>
      </c>
      <c r="AD2481" s="4">
        <v>41</v>
      </c>
      <c r="AE2481" s="4">
        <v>42</v>
      </c>
      <c r="AF2481" s="4">
        <v>0</v>
      </c>
      <c r="AG2481" s="4">
        <v>1</v>
      </c>
      <c r="AH2481" s="4">
        <v>37</v>
      </c>
      <c r="AI2481" s="4">
        <v>37</v>
      </c>
      <c r="AJ2481" s="4">
        <v>4</v>
      </c>
      <c r="AK2481" s="4">
        <v>5</v>
      </c>
      <c r="AL2481" s="4">
        <v>30</v>
      </c>
      <c r="AM2481" s="4">
        <v>30</v>
      </c>
      <c r="AN2481" s="4">
        <v>1</v>
      </c>
      <c r="AO2481" s="4">
        <v>1</v>
      </c>
      <c r="AP2481" s="4">
        <v>3</v>
      </c>
      <c r="AQ2481" s="4">
        <v>3</v>
      </c>
      <c r="AR2481" s="3" t="s">
        <v>65</v>
      </c>
      <c r="AS2481" s="3" t="s">
        <v>65</v>
      </c>
      <c r="AT2481" s="3" t="s">
        <v>209</v>
      </c>
      <c r="AU2481" s="6" t="str">
        <f>HYPERLINK("http://catalog.hathitrust.org/Record/000830542","HathiTrust Record")</f>
        <v>HathiTrust Record</v>
      </c>
      <c r="AV2481" s="6" t="str">
        <f>HYPERLINK("http://mcgill.on.worldcat.org/oclc/14716160","Catalog Record")</f>
        <v>Catalog Record</v>
      </c>
      <c r="AW2481" s="6" t="str">
        <f>HYPERLINK("http://www.worldcat.org/oclc/14716160","WorldCat Record")</f>
        <v>WorldCat Record</v>
      </c>
      <c r="AX2481" s="3" t="s">
        <v>24457</v>
      </c>
      <c r="AY2481" s="3" t="s">
        <v>24458</v>
      </c>
      <c r="AZ2481" s="3" t="s">
        <v>24459</v>
      </c>
      <c r="BA2481" s="3" t="s">
        <v>24459</v>
      </c>
      <c r="BB2481" s="3" t="s">
        <v>24460</v>
      </c>
      <c r="BC2481" s="3" t="s">
        <v>77</v>
      </c>
      <c r="BD2481" s="3" t="s">
        <v>78</v>
      </c>
      <c r="BF2481" s="3" t="s">
        <v>24460</v>
      </c>
      <c r="BG2481" s="3" t="s">
        <v>24461</v>
      </c>
    </row>
    <row r="2482" spans="1:59" ht="58" x14ac:dyDescent="0.35">
      <c r="A2482" s="2" t="s">
        <v>59</v>
      </c>
      <c r="B2482" s="2" t="s">
        <v>60</v>
      </c>
      <c r="C2482" s="2" t="s">
        <v>24462</v>
      </c>
      <c r="D2482" s="2" t="s">
        <v>24463</v>
      </c>
      <c r="E2482" s="2" t="s">
        <v>24464</v>
      </c>
      <c r="G2482" s="3" t="s">
        <v>65</v>
      </c>
      <c r="I2482" s="3" t="s">
        <v>65</v>
      </c>
      <c r="J2482" s="3" t="s">
        <v>65</v>
      </c>
      <c r="K2482" s="3" t="s">
        <v>66</v>
      </c>
      <c r="L2482" s="2" t="s">
        <v>24465</v>
      </c>
      <c r="M2482" s="2" t="s">
        <v>17819</v>
      </c>
      <c r="N2482" s="3" t="s">
        <v>214</v>
      </c>
      <c r="P2482" s="3" t="s">
        <v>140</v>
      </c>
      <c r="Q2482" s="2" t="s">
        <v>24466</v>
      </c>
      <c r="R2482" s="3" t="s">
        <v>71</v>
      </c>
      <c r="S2482" s="4">
        <v>1</v>
      </c>
      <c r="T2482" s="4">
        <v>1</v>
      </c>
      <c r="U2482" s="5" t="s">
        <v>24467</v>
      </c>
      <c r="V2482" s="5" t="s">
        <v>24467</v>
      </c>
      <c r="W2482" s="5" t="s">
        <v>72</v>
      </c>
      <c r="X2482" s="5" t="s">
        <v>72</v>
      </c>
      <c r="Y2482" s="4">
        <v>75</v>
      </c>
      <c r="Z2482" s="4">
        <v>6</v>
      </c>
      <c r="AA2482" s="4">
        <v>6</v>
      </c>
      <c r="AB2482" s="4">
        <v>1</v>
      </c>
      <c r="AC2482" s="4">
        <v>1</v>
      </c>
      <c r="AD2482" s="4">
        <v>43</v>
      </c>
      <c r="AE2482" s="4">
        <v>43</v>
      </c>
      <c r="AF2482" s="4">
        <v>0</v>
      </c>
      <c r="AG2482" s="4">
        <v>0</v>
      </c>
      <c r="AH2482" s="4">
        <v>41</v>
      </c>
      <c r="AI2482" s="4">
        <v>41</v>
      </c>
      <c r="AJ2482" s="4">
        <v>3</v>
      </c>
      <c r="AK2482" s="4">
        <v>3</v>
      </c>
      <c r="AL2482" s="4">
        <v>29</v>
      </c>
      <c r="AM2482" s="4">
        <v>29</v>
      </c>
      <c r="AN2482" s="4">
        <v>0</v>
      </c>
      <c r="AO2482" s="4">
        <v>0</v>
      </c>
      <c r="AP2482" s="4">
        <v>3</v>
      </c>
      <c r="AQ2482" s="4">
        <v>3</v>
      </c>
      <c r="AR2482" s="3" t="s">
        <v>65</v>
      </c>
      <c r="AS2482" s="3" t="s">
        <v>65</v>
      </c>
      <c r="AT2482" s="3" t="s">
        <v>209</v>
      </c>
      <c r="AU2482" s="6" t="str">
        <f>HYPERLINK("http://catalog.hathitrust.org/Record/006683203","HathiTrust Record")</f>
        <v>HathiTrust Record</v>
      </c>
      <c r="AV2482" s="6" t="str">
        <f>HYPERLINK("http://mcgill.on.worldcat.org/oclc/10925829","Catalog Record")</f>
        <v>Catalog Record</v>
      </c>
      <c r="AW2482" s="6" t="str">
        <f>HYPERLINK("http://www.worldcat.org/oclc/10925829","WorldCat Record")</f>
        <v>WorldCat Record</v>
      </c>
      <c r="AX2482" s="3" t="s">
        <v>24468</v>
      </c>
      <c r="AY2482" s="3" t="s">
        <v>24469</v>
      </c>
      <c r="AZ2482" s="3" t="s">
        <v>24470</v>
      </c>
      <c r="BA2482" s="3" t="s">
        <v>24470</v>
      </c>
      <c r="BB2482" s="3" t="s">
        <v>24471</v>
      </c>
      <c r="BC2482" s="3" t="s">
        <v>77</v>
      </c>
      <c r="BD2482" s="3" t="s">
        <v>78</v>
      </c>
      <c r="BF2482" s="3" t="s">
        <v>24471</v>
      </c>
      <c r="BG2482" s="3" t="s">
        <v>24472</v>
      </c>
    </row>
    <row r="2483" spans="1:59" ht="58" x14ac:dyDescent="0.35">
      <c r="A2483" s="2" t="s">
        <v>59</v>
      </c>
      <c r="B2483" s="2" t="s">
        <v>60</v>
      </c>
      <c r="C2483" s="2" t="s">
        <v>24473</v>
      </c>
      <c r="D2483" s="2" t="s">
        <v>24474</v>
      </c>
      <c r="E2483" s="2" t="s">
        <v>24475</v>
      </c>
      <c r="G2483" s="3" t="s">
        <v>65</v>
      </c>
      <c r="I2483" s="3" t="s">
        <v>65</v>
      </c>
      <c r="J2483" s="3" t="s">
        <v>65</v>
      </c>
      <c r="K2483" s="3" t="s">
        <v>66</v>
      </c>
      <c r="L2483" s="2" t="s">
        <v>24476</v>
      </c>
      <c r="M2483" s="2" t="s">
        <v>24477</v>
      </c>
      <c r="N2483" s="3" t="s">
        <v>4042</v>
      </c>
      <c r="P2483" s="3" t="s">
        <v>69</v>
      </c>
      <c r="R2483" s="3" t="s">
        <v>71</v>
      </c>
      <c r="S2483" s="4">
        <v>1</v>
      </c>
      <c r="T2483" s="4">
        <v>1</v>
      </c>
      <c r="U2483" s="5" t="s">
        <v>6648</v>
      </c>
      <c r="V2483" s="5" t="s">
        <v>6648</v>
      </c>
      <c r="W2483" s="5" t="s">
        <v>72</v>
      </c>
      <c r="X2483" s="5" t="s">
        <v>72</v>
      </c>
      <c r="Y2483" s="4">
        <v>164</v>
      </c>
      <c r="Z2483" s="4">
        <v>10</v>
      </c>
      <c r="AA2483" s="4">
        <v>13</v>
      </c>
      <c r="AB2483" s="4">
        <v>1</v>
      </c>
      <c r="AC2483" s="4">
        <v>1</v>
      </c>
      <c r="AD2483" s="4">
        <v>61</v>
      </c>
      <c r="AE2483" s="4">
        <v>68</v>
      </c>
      <c r="AF2483" s="4">
        <v>0</v>
      </c>
      <c r="AG2483" s="4">
        <v>0</v>
      </c>
      <c r="AH2483" s="4">
        <v>57</v>
      </c>
      <c r="AI2483" s="4">
        <v>62</v>
      </c>
      <c r="AJ2483" s="4">
        <v>7</v>
      </c>
      <c r="AK2483" s="4">
        <v>9</v>
      </c>
      <c r="AL2483" s="4">
        <v>32</v>
      </c>
      <c r="AM2483" s="4">
        <v>36</v>
      </c>
      <c r="AN2483" s="4">
        <v>0</v>
      </c>
      <c r="AO2483" s="4">
        <v>0</v>
      </c>
      <c r="AP2483" s="4">
        <v>7</v>
      </c>
      <c r="AQ2483" s="4">
        <v>9</v>
      </c>
      <c r="AR2483" s="3" t="s">
        <v>65</v>
      </c>
      <c r="AS2483" s="3" t="s">
        <v>65</v>
      </c>
      <c r="AT2483" s="3" t="s">
        <v>209</v>
      </c>
      <c r="AU2483" s="6" t="str">
        <f>HYPERLINK("http://catalog.hathitrust.org/Record/001805175","HathiTrust Record")</f>
        <v>HathiTrust Record</v>
      </c>
      <c r="AV2483" s="6" t="str">
        <f>HYPERLINK("http://mcgill.on.worldcat.org/oclc/74094","Catalog Record")</f>
        <v>Catalog Record</v>
      </c>
      <c r="AW2483" s="6" t="str">
        <f>HYPERLINK("http://www.worldcat.org/oclc/74094","WorldCat Record")</f>
        <v>WorldCat Record</v>
      </c>
      <c r="AX2483" s="3" t="s">
        <v>24478</v>
      </c>
      <c r="AY2483" s="3" t="s">
        <v>24479</v>
      </c>
      <c r="AZ2483" s="3" t="s">
        <v>24480</v>
      </c>
      <c r="BA2483" s="3" t="s">
        <v>24480</v>
      </c>
      <c r="BB2483" s="3" t="s">
        <v>24481</v>
      </c>
      <c r="BC2483" s="3" t="s">
        <v>77</v>
      </c>
      <c r="BD2483" s="3" t="s">
        <v>78</v>
      </c>
      <c r="BE2483" s="3" t="s">
        <v>24482</v>
      </c>
      <c r="BF2483" s="3" t="s">
        <v>24481</v>
      </c>
      <c r="BG2483" s="3" t="s">
        <v>24483</v>
      </c>
    </row>
    <row r="2484" spans="1:59" ht="58" x14ac:dyDescent="0.35">
      <c r="A2484" s="2" t="s">
        <v>59</v>
      </c>
      <c r="B2484" s="2" t="s">
        <v>60</v>
      </c>
      <c r="C2484" s="2" t="s">
        <v>24484</v>
      </c>
      <c r="D2484" s="2" t="s">
        <v>24485</v>
      </c>
      <c r="E2484" s="2" t="s">
        <v>24486</v>
      </c>
      <c r="G2484" s="3" t="s">
        <v>65</v>
      </c>
      <c r="I2484" s="3" t="s">
        <v>65</v>
      </c>
      <c r="J2484" s="3" t="s">
        <v>65</v>
      </c>
      <c r="K2484" s="3" t="s">
        <v>66</v>
      </c>
      <c r="L2484" s="2" t="s">
        <v>24476</v>
      </c>
      <c r="M2484" s="2" t="s">
        <v>24487</v>
      </c>
      <c r="N2484" s="3" t="s">
        <v>5130</v>
      </c>
      <c r="P2484" s="3" t="s">
        <v>616</v>
      </c>
      <c r="R2484" s="3" t="s">
        <v>71</v>
      </c>
      <c r="S2484" s="4">
        <v>1</v>
      </c>
      <c r="T2484" s="4">
        <v>1</v>
      </c>
      <c r="U2484" s="5" t="s">
        <v>6648</v>
      </c>
      <c r="V2484" s="5" t="s">
        <v>6648</v>
      </c>
      <c r="W2484" s="5" t="s">
        <v>72</v>
      </c>
      <c r="X2484" s="5" t="s">
        <v>72</v>
      </c>
      <c r="Y2484" s="4">
        <v>56</v>
      </c>
      <c r="Z2484" s="4">
        <v>10</v>
      </c>
      <c r="AA2484" s="4">
        <v>13</v>
      </c>
      <c r="AB2484" s="4">
        <v>2</v>
      </c>
      <c r="AC2484" s="4">
        <v>5</v>
      </c>
      <c r="AD2484" s="4">
        <v>35</v>
      </c>
      <c r="AE2484" s="4">
        <v>37</v>
      </c>
      <c r="AF2484" s="4">
        <v>0</v>
      </c>
      <c r="AG2484" s="4">
        <v>2</v>
      </c>
      <c r="AH2484" s="4">
        <v>32</v>
      </c>
      <c r="AI2484" s="4">
        <v>33</v>
      </c>
      <c r="AJ2484" s="4">
        <v>7</v>
      </c>
      <c r="AK2484" s="4">
        <v>9</v>
      </c>
      <c r="AL2484" s="4">
        <v>22</v>
      </c>
      <c r="AM2484" s="4">
        <v>22</v>
      </c>
      <c r="AN2484" s="4">
        <v>0</v>
      </c>
      <c r="AO2484" s="4">
        <v>0</v>
      </c>
      <c r="AP2484" s="4">
        <v>6</v>
      </c>
      <c r="AQ2484" s="4">
        <v>8</v>
      </c>
      <c r="AR2484" s="3" t="s">
        <v>65</v>
      </c>
      <c r="AS2484" s="3" t="s">
        <v>65</v>
      </c>
      <c r="AT2484" s="3" t="s">
        <v>65</v>
      </c>
      <c r="AV2484" s="6" t="str">
        <f>HYPERLINK("http://mcgill.on.worldcat.org/oclc/763903","Catalog Record")</f>
        <v>Catalog Record</v>
      </c>
      <c r="AW2484" s="6" t="str">
        <f>HYPERLINK("http://www.worldcat.org/oclc/763903","WorldCat Record")</f>
        <v>WorldCat Record</v>
      </c>
      <c r="AX2484" s="3" t="s">
        <v>24488</v>
      </c>
      <c r="AY2484" s="3" t="s">
        <v>24489</v>
      </c>
      <c r="AZ2484" s="3" t="s">
        <v>24490</v>
      </c>
      <c r="BA2484" s="3" t="s">
        <v>24490</v>
      </c>
      <c r="BB2484" s="3" t="s">
        <v>24491</v>
      </c>
      <c r="BC2484" s="3" t="s">
        <v>77</v>
      </c>
      <c r="BD2484" s="3" t="s">
        <v>78</v>
      </c>
      <c r="BF2484" s="3" t="s">
        <v>24491</v>
      </c>
      <c r="BG2484" s="3" t="s">
        <v>24492</v>
      </c>
    </row>
    <row r="2485" spans="1:59" ht="58" x14ac:dyDescent="0.35">
      <c r="A2485" s="2" t="s">
        <v>59</v>
      </c>
      <c r="B2485" s="2" t="s">
        <v>60</v>
      </c>
      <c r="C2485" s="2" t="s">
        <v>24493</v>
      </c>
      <c r="D2485" s="2" t="s">
        <v>24494</v>
      </c>
      <c r="E2485" s="2" t="s">
        <v>24495</v>
      </c>
      <c r="G2485" s="3" t="s">
        <v>65</v>
      </c>
      <c r="I2485" s="3" t="s">
        <v>65</v>
      </c>
      <c r="J2485" s="3" t="s">
        <v>65</v>
      </c>
      <c r="K2485" s="3" t="s">
        <v>66</v>
      </c>
      <c r="L2485" s="2" t="s">
        <v>24476</v>
      </c>
      <c r="M2485" s="2" t="s">
        <v>24496</v>
      </c>
      <c r="N2485" s="3" t="s">
        <v>311</v>
      </c>
      <c r="O2485" s="2" t="s">
        <v>24497</v>
      </c>
      <c r="P2485" s="3" t="s">
        <v>69</v>
      </c>
      <c r="R2485" s="3" t="s">
        <v>71</v>
      </c>
      <c r="S2485" s="4">
        <v>1</v>
      </c>
      <c r="T2485" s="4">
        <v>1</v>
      </c>
      <c r="U2485" s="5" t="s">
        <v>6648</v>
      </c>
      <c r="V2485" s="5" t="s">
        <v>6648</v>
      </c>
      <c r="W2485" s="5" t="s">
        <v>72</v>
      </c>
      <c r="X2485" s="5" t="s">
        <v>72</v>
      </c>
      <c r="Y2485" s="4">
        <v>275</v>
      </c>
      <c r="Z2485" s="4">
        <v>14</v>
      </c>
      <c r="AA2485" s="4">
        <v>17</v>
      </c>
      <c r="AB2485" s="4">
        <v>1</v>
      </c>
      <c r="AC2485" s="4">
        <v>2</v>
      </c>
      <c r="AD2485" s="4">
        <v>75</v>
      </c>
      <c r="AE2485" s="4">
        <v>86</v>
      </c>
      <c r="AF2485" s="4">
        <v>0</v>
      </c>
      <c r="AG2485" s="4">
        <v>0</v>
      </c>
      <c r="AH2485" s="4">
        <v>68</v>
      </c>
      <c r="AI2485" s="4">
        <v>78</v>
      </c>
      <c r="AJ2485" s="4">
        <v>9</v>
      </c>
      <c r="AK2485" s="4">
        <v>11</v>
      </c>
      <c r="AL2485" s="4">
        <v>39</v>
      </c>
      <c r="AM2485" s="4">
        <v>42</v>
      </c>
      <c r="AN2485" s="4">
        <v>0</v>
      </c>
      <c r="AO2485" s="4">
        <v>0</v>
      </c>
      <c r="AP2485" s="4">
        <v>10</v>
      </c>
      <c r="AQ2485" s="4">
        <v>12</v>
      </c>
      <c r="AR2485" s="3" t="s">
        <v>65</v>
      </c>
      <c r="AS2485" s="3" t="s">
        <v>65</v>
      </c>
      <c r="AT2485" s="3" t="s">
        <v>209</v>
      </c>
      <c r="AU2485" s="6" t="str">
        <f>HYPERLINK("http://catalog.hathitrust.org/Record/001218853","HathiTrust Record")</f>
        <v>HathiTrust Record</v>
      </c>
      <c r="AV2485" s="6" t="str">
        <f>HYPERLINK("http://mcgill.on.worldcat.org/oclc/1129667","Catalog Record")</f>
        <v>Catalog Record</v>
      </c>
      <c r="AW2485" s="6" t="str">
        <f>HYPERLINK("http://www.worldcat.org/oclc/1129667","WorldCat Record")</f>
        <v>WorldCat Record</v>
      </c>
      <c r="AX2485" s="3" t="s">
        <v>24498</v>
      </c>
      <c r="AY2485" s="3" t="s">
        <v>24499</v>
      </c>
      <c r="AZ2485" s="3" t="s">
        <v>24500</v>
      </c>
      <c r="BA2485" s="3" t="s">
        <v>24500</v>
      </c>
      <c r="BB2485" s="3" t="s">
        <v>24501</v>
      </c>
      <c r="BC2485" s="3" t="s">
        <v>77</v>
      </c>
      <c r="BD2485" s="3" t="s">
        <v>78</v>
      </c>
      <c r="BF2485" s="3" t="s">
        <v>24501</v>
      </c>
      <c r="BG2485" s="3" t="s">
        <v>24502</v>
      </c>
    </row>
    <row r="2486" spans="1:59" ht="58" x14ac:dyDescent="0.35">
      <c r="A2486" s="2" t="s">
        <v>59</v>
      </c>
      <c r="B2486" s="2" t="s">
        <v>60</v>
      </c>
      <c r="C2486" s="2" t="s">
        <v>24503</v>
      </c>
      <c r="D2486" s="2" t="s">
        <v>24504</v>
      </c>
      <c r="E2486" s="2" t="s">
        <v>24505</v>
      </c>
      <c r="G2486" s="3" t="s">
        <v>65</v>
      </c>
      <c r="I2486" s="3" t="s">
        <v>65</v>
      </c>
      <c r="J2486" s="3" t="s">
        <v>65</v>
      </c>
      <c r="K2486" s="3" t="s">
        <v>66</v>
      </c>
      <c r="L2486" s="2" t="s">
        <v>24506</v>
      </c>
      <c r="M2486" s="2" t="s">
        <v>24507</v>
      </c>
      <c r="N2486" s="3" t="s">
        <v>126</v>
      </c>
      <c r="O2486" s="2" t="s">
        <v>6616</v>
      </c>
      <c r="P2486" s="3" t="s">
        <v>140</v>
      </c>
      <c r="Q2486" s="2" t="s">
        <v>7116</v>
      </c>
      <c r="R2486" s="3" t="s">
        <v>71</v>
      </c>
      <c r="S2486" s="4">
        <v>1</v>
      </c>
      <c r="T2486" s="4">
        <v>1</v>
      </c>
      <c r="U2486" s="5" t="s">
        <v>9309</v>
      </c>
      <c r="V2486" s="5" t="s">
        <v>9309</v>
      </c>
      <c r="W2486" s="5" t="s">
        <v>72</v>
      </c>
      <c r="X2486" s="5" t="s">
        <v>72</v>
      </c>
      <c r="Y2486" s="4">
        <v>75</v>
      </c>
      <c r="Z2486" s="4">
        <v>6</v>
      </c>
      <c r="AA2486" s="4">
        <v>6</v>
      </c>
      <c r="AB2486" s="4">
        <v>1</v>
      </c>
      <c r="AC2486" s="4">
        <v>1</v>
      </c>
      <c r="AD2486" s="4">
        <v>44</v>
      </c>
      <c r="AE2486" s="4">
        <v>44</v>
      </c>
      <c r="AF2486" s="4">
        <v>0</v>
      </c>
      <c r="AG2486" s="4">
        <v>0</v>
      </c>
      <c r="AH2486" s="4">
        <v>42</v>
      </c>
      <c r="AI2486" s="4">
        <v>42</v>
      </c>
      <c r="AJ2486" s="4">
        <v>4</v>
      </c>
      <c r="AK2486" s="4">
        <v>4</v>
      </c>
      <c r="AL2486" s="4">
        <v>31</v>
      </c>
      <c r="AM2486" s="4">
        <v>31</v>
      </c>
      <c r="AN2486" s="4">
        <v>0</v>
      </c>
      <c r="AO2486" s="4">
        <v>0</v>
      </c>
      <c r="AP2486" s="4">
        <v>4</v>
      </c>
      <c r="AQ2486" s="4">
        <v>4</v>
      </c>
      <c r="AR2486" s="3" t="s">
        <v>65</v>
      </c>
      <c r="AS2486" s="3" t="s">
        <v>65</v>
      </c>
      <c r="AT2486" s="3" t="s">
        <v>65</v>
      </c>
      <c r="AV2486" s="6" t="str">
        <f>HYPERLINK("http://mcgill.on.worldcat.org/oclc/712777557","Catalog Record")</f>
        <v>Catalog Record</v>
      </c>
      <c r="AW2486" s="6" t="str">
        <f>HYPERLINK("http://www.worldcat.org/oclc/712777557","WorldCat Record")</f>
        <v>WorldCat Record</v>
      </c>
      <c r="AX2486" s="3" t="s">
        <v>24508</v>
      </c>
      <c r="AY2486" s="3" t="s">
        <v>24509</v>
      </c>
      <c r="AZ2486" s="3" t="s">
        <v>24510</v>
      </c>
      <c r="BA2486" s="3" t="s">
        <v>24510</v>
      </c>
      <c r="BB2486" s="3" t="s">
        <v>24511</v>
      </c>
      <c r="BC2486" s="3" t="s">
        <v>77</v>
      </c>
      <c r="BD2486" s="3" t="s">
        <v>78</v>
      </c>
      <c r="BE2486" s="3" t="s">
        <v>24512</v>
      </c>
      <c r="BF2486" s="3" t="s">
        <v>24511</v>
      </c>
      <c r="BG2486" s="3" t="s">
        <v>24513</v>
      </c>
    </row>
    <row r="2487" spans="1:59" ht="58" x14ac:dyDescent="0.35">
      <c r="A2487" s="2" t="s">
        <v>59</v>
      </c>
      <c r="B2487" s="2" t="s">
        <v>60</v>
      </c>
      <c r="C2487" s="2" t="s">
        <v>24514</v>
      </c>
      <c r="D2487" s="2" t="s">
        <v>24515</v>
      </c>
      <c r="E2487" s="2" t="s">
        <v>24516</v>
      </c>
      <c r="G2487" s="3" t="s">
        <v>65</v>
      </c>
      <c r="I2487" s="3" t="s">
        <v>65</v>
      </c>
      <c r="J2487" s="3" t="s">
        <v>65</v>
      </c>
      <c r="K2487" s="3" t="s">
        <v>66</v>
      </c>
      <c r="L2487" s="2" t="s">
        <v>24517</v>
      </c>
      <c r="M2487" s="2" t="s">
        <v>24518</v>
      </c>
      <c r="N2487" s="3" t="s">
        <v>756</v>
      </c>
      <c r="P2487" s="3" t="s">
        <v>140</v>
      </c>
      <c r="Q2487" s="2" t="s">
        <v>24519</v>
      </c>
      <c r="R2487" s="3" t="s">
        <v>71</v>
      </c>
      <c r="S2487" s="4">
        <v>1</v>
      </c>
      <c r="T2487" s="4">
        <v>1</v>
      </c>
      <c r="U2487" s="5" t="s">
        <v>805</v>
      </c>
      <c r="V2487" s="5" t="s">
        <v>805</v>
      </c>
      <c r="W2487" s="5" t="s">
        <v>72</v>
      </c>
      <c r="X2487" s="5" t="s">
        <v>72</v>
      </c>
      <c r="Y2487" s="4">
        <v>66</v>
      </c>
      <c r="Z2487" s="4">
        <v>5</v>
      </c>
      <c r="AA2487" s="4">
        <v>11</v>
      </c>
      <c r="AB2487" s="4">
        <v>1</v>
      </c>
      <c r="AC2487" s="4">
        <v>3</v>
      </c>
      <c r="AD2487" s="4">
        <v>23</v>
      </c>
      <c r="AE2487" s="4">
        <v>37</v>
      </c>
      <c r="AF2487" s="4">
        <v>0</v>
      </c>
      <c r="AG2487" s="4">
        <v>1</v>
      </c>
      <c r="AH2487" s="4">
        <v>21</v>
      </c>
      <c r="AI2487" s="4">
        <v>33</v>
      </c>
      <c r="AJ2487" s="4">
        <v>3</v>
      </c>
      <c r="AK2487" s="4">
        <v>7</v>
      </c>
      <c r="AL2487" s="4">
        <v>15</v>
      </c>
      <c r="AM2487" s="4">
        <v>24</v>
      </c>
      <c r="AN2487" s="4">
        <v>0</v>
      </c>
      <c r="AO2487" s="4">
        <v>0</v>
      </c>
      <c r="AP2487" s="4">
        <v>3</v>
      </c>
      <c r="AQ2487" s="4">
        <v>6</v>
      </c>
      <c r="AR2487" s="3" t="s">
        <v>65</v>
      </c>
      <c r="AS2487" s="3" t="s">
        <v>65</v>
      </c>
      <c r="AT2487" s="3" t="s">
        <v>209</v>
      </c>
      <c r="AU2487" s="6" t="str">
        <f>HYPERLINK("http://catalog.hathitrust.org/Record/006640480","HathiTrust Record")</f>
        <v>HathiTrust Record</v>
      </c>
      <c r="AV2487" s="6" t="str">
        <f>HYPERLINK("http://mcgill.on.worldcat.org/oclc/1337680","Catalog Record")</f>
        <v>Catalog Record</v>
      </c>
      <c r="AW2487" s="6" t="str">
        <f>HYPERLINK("http://www.worldcat.org/oclc/1337680","WorldCat Record")</f>
        <v>WorldCat Record</v>
      </c>
      <c r="AX2487" s="3" t="s">
        <v>24520</v>
      </c>
      <c r="AY2487" s="3" t="s">
        <v>24521</v>
      </c>
      <c r="AZ2487" s="3" t="s">
        <v>24522</v>
      </c>
      <c r="BA2487" s="3" t="s">
        <v>24522</v>
      </c>
      <c r="BB2487" s="3" t="s">
        <v>24523</v>
      </c>
      <c r="BC2487" s="3" t="s">
        <v>77</v>
      </c>
      <c r="BD2487" s="3" t="s">
        <v>78</v>
      </c>
      <c r="BF2487" s="3" t="s">
        <v>24523</v>
      </c>
      <c r="BG2487" s="3" t="s">
        <v>24524</v>
      </c>
    </row>
    <row r="2488" spans="1:59" ht="58" x14ac:dyDescent="0.35">
      <c r="A2488" s="2" t="s">
        <v>59</v>
      </c>
      <c r="B2488" s="2" t="s">
        <v>60</v>
      </c>
      <c r="C2488" s="2" t="s">
        <v>24525</v>
      </c>
      <c r="D2488" s="2" t="s">
        <v>24526</v>
      </c>
      <c r="E2488" s="2" t="s">
        <v>24527</v>
      </c>
      <c r="G2488" s="3" t="s">
        <v>65</v>
      </c>
      <c r="I2488" s="3" t="s">
        <v>65</v>
      </c>
      <c r="J2488" s="3" t="s">
        <v>65</v>
      </c>
      <c r="K2488" s="3" t="s">
        <v>66</v>
      </c>
      <c r="L2488" s="2" t="s">
        <v>24528</v>
      </c>
      <c r="M2488" s="2" t="s">
        <v>24529</v>
      </c>
      <c r="N2488" s="3" t="s">
        <v>1109</v>
      </c>
      <c r="P2488" s="3" t="s">
        <v>140</v>
      </c>
      <c r="Q2488" s="2" t="s">
        <v>24530</v>
      </c>
      <c r="R2488" s="3" t="s">
        <v>71</v>
      </c>
      <c r="S2488" s="4">
        <v>3</v>
      </c>
      <c r="T2488" s="4">
        <v>3</v>
      </c>
      <c r="U2488" s="5" t="s">
        <v>805</v>
      </c>
      <c r="V2488" s="5" t="s">
        <v>805</v>
      </c>
      <c r="W2488" s="5" t="s">
        <v>72</v>
      </c>
      <c r="X2488" s="5" t="s">
        <v>72</v>
      </c>
      <c r="Y2488" s="4">
        <v>42</v>
      </c>
      <c r="Z2488" s="4">
        <v>8</v>
      </c>
      <c r="AA2488" s="4">
        <v>10</v>
      </c>
      <c r="AB2488" s="4">
        <v>2</v>
      </c>
      <c r="AC2488" s="4">
        <v>3</v>
      </c>
      <c r="AD2488" s="4">
        <v>24</v>
      </c>
      <c r="AE2488" s="4">
        <v>39</v>
      </c>
      <c r="AF2488" s="4">
        <v>1</v>
      </c>
      <c r="AG2488" s="4">
        <v>2</v>
      </c>
      <c r="AH2488" s="4">
        <v>19</v>
      </c>
      <c r="AI2488" s="4">
        <v>33</v>
      </c>
      <c r="AJ2488" s="4">
        <v>6</v>
      </c>
      <c r="AK2488" s="4">
        <v>8</v>
      </c>
      <c r="AL2488" s="4">
        <v>15</v>
      </c>
      <c r="AM2488" s="4">
        <v>26</v>
      </c>
      <c r="AN2488" s="4">
        <v>0</v>
      </c>
      <c r="AO2488" s="4">
        <v>3</v>
      </c>
      <c r="AP2488" s="4">
        <v>6</v>
      </c>
      <c r="AQ2488" s="4">
        <v>7</v>
      </c>
      <c r="AR2488" s="3" t="s">
        <v>65</v>
      </c>
      <c r="AS2488" s="3" t="s">
        <v>65</v>
      </c>
      <c r="AT2488" s="3" t="s">
        <v>65</v>
      </c>
      <c r="AV2488" s="6" t="str">
        <f>HYPERLINK("http://mcgill.on.worldcat.org/oclc/2411115","Catalog Record")</f>
        <v>Catalog Record</v>
      </c>
      <c r="AW2488" s="6" t="str">
        <f>HYPERLINK("http://www.worldcat.org/oclc/2411115","WorldCat Record")</f>
        <v>WorldCat Record</v>
      </c>
      <c r="AX2488" s="3" t="s">
        <v>24531</v>
      </c>
      <c r="AY2488" s="3" t="s">
        <v>24532</v>
      </c>
      <c r="AZ2488" s="3" t="s">
        <v>24533</v>
      </c>
      <c r="BA2488" s="3" t="s">
        <v>24533</v>
      </c>
      <c r="BB2488" s="3" t="s">
        <v>24534</v>
      </c>
      <c r="BC2488" s="3" t="s">
        <v>77</v>
      </c>
      <c r="BD2488" s="3" t="s">
        <v>78</v>
      </c>
      <c r="BF2488" s="3" t="s">
        <v>24534</v>
      </c>
      <c r="BG2488" s="3" t="s">
        <v>24535</v>
      </c>
    </row>
    <row r="2489" spans="1:59" ht="58" x14ac:dyDescent="0.35">
      <c r="A2489" s="2" t="s">
        <v>59</v>
      </c>
      <c r="B2489" s="2" t="s">
        <v>60</v>
      </c>
      <c r="C2489" s="2" t="s">
        <v>24536</v>
      </c>
      <c r="D2489" s="2" t="s">
        <v>24537</v>
      </c>
      <c r="E2489" s="2" t="s">
        <v>24538</v>
      </c>
      <c r="G2489" s="3" t="s">
        <v>65</v>
      </c>
      <c r="I2489" s="3" t="s">
        <v>65</v>
      </c>
      <c r="J2489" s="3" t="s">
        <v>65</v>
      </c>
      <c r="K2489" s="3" t="s">
        <v>66</v>
      </c>
      <c r="L2489" s="2" t="s">
        <v>24528</v>
      </c>
      <c r="M2489" s="2" t="s">
        <v>24539</v>
      </c>
      <c r="N2489" s="3" t="s">
        <v>7187</v>
      </c>
      <c r="P2489" s="3" t="s">
        <v>140</v>
      </c>
      <c r="Q2489" s="2" t="s">
        <v>24540</v>
      </c>
      <c r="R2489" s="3" t="s">
        <v>71</v>
      </c>
      <c r="S2489" s="4">
        <v>4</v>
      </c>
      <c r="T2489" s="4">
        <v>4</v>
      </c>
      <c r="U2489" s="5" t="s">
        <v>24541</v>
      </c>
      <c r="V2489" s="5" t="s">
        <v>24541</v>
      </c>
      <c r="W2489" s="5" t="s">
        <v>72</v>
      </c>
      <c r="X2489" s="5" t="s">
        <v>72</v>
      </c>
      <c r="Y2489" s="4">
        <v>35</v>
      </c>
      <c r="Z2489" s="4">
        <v>5</v>
      </c>
      <c r="AA2489" s="4">
        <v>6</v>
      </c>
      <c r="AB2489" s="4">
        <v>1</v>
      </c>
      <c r="AC2489" s="4">
        <v>1</v>
      </c>
      <c r="AD2489" s="4">
        <v>20</v>
      </c>
      <c r="AE2489" s="4">
        <v>25</v>
      </c>
      <c r="AF2489" s="4">
        <v>0</v>
      </c>
      <c r="AG2489" s="4">
        <v>0</v>
      </c>
      <c r="AH2489" s="4">
        <v>18</v>
      </c>
      <c r="AI2489" s="4">
        <v>23</v>
      </c>
      <c r="AJ2489" s="4">
        <v>3</v>
      </c>
      <c r="AK2489" s="4">
        <v>4</v>
      </c>
      <c r="AL2489" s="4">
        <v>15</v>
      </c>
      <c r="AM2489" s="4">
        <v>19</v>
      </c>
      <c r="AN2489" s="4">
        <v>0</v>
      </c>
      <c r="AO2489" s="4">
        <v>0</v>
      </c>
      <c r="AP2489" s="4">
        <v>3</v>
      </c>
      <c r="AQ2489" s="4">
        <v>4</v>
      </c>
      <c r="AR2489" s="3" t="s">
        <v>65</v>
      </c>
      <c r="AS2489" s="3" t="s">
        <v>65</v>
      </c>
      <c r="AT2489" s="3" t="s">
        <v>65</v>
      </c>
      <c r="AV2489" s="6" t="str">
        <f>HYPERLINK("http://mcgill.on.worldcat.org/oclc/3293357","Catalog Record")</f>
        <v>Catalog Record</v>
      </c>
      <c r="AW2489" s="6" t="str">
        <f>HYPERLINK("http://www.worldcat.org/oclc/3293357","WorldCat Record")</f>
        <v>WorldCat Record</v>
      </c>
      <c r="AX2489" s="3" t="s">
        <v>24542</v>
      </c>
      <c r="AY2489" s="3" t="s">
        <v>24543</v>
      </c>
      <c r="AZ2489" s="3" t="s">
        <v>24544</v>
      </c>
      <c r="BA2489" s="3" t="s">
        <v>24544</v>
      </c>
      <c r="BB2489" s="3" t="s">
        <v>24545</v>
      </c>
      <c r="BC2489" s="3" t="s">
        <v>77</v>
      </c>
      <c r="BD2489" s="3" t="s">
        <v>78</v>
      </c>
      <c r="BF2489" s="3" t="s">
        <v>24545</v>
      </c>
      <c r="BG2489" s="3" t="s">
        <v>24546</v>
      </c>
    </row>
    <row r="2490" spans="1:59" ht="58" x14ac:dyDescent="0.35">
      <c r="A2490" s="2" t="s">
        <v>59</v>
      </c>
      <c r="B2490" s="2" t="s">
        <v>60</v>
      </c>
      <c r="C2490" s="2" t="s">
        <v>24547</v>
      </c>
      <c r="D2490" s="2" t="s">
        <v>24548</v>
      </c>
      <c r="E2490" s="2" t="s">
        <v>24549</v>
      </c>
      <c r="G2490" s="3" t="s">
        <v>65</v>
      </c>
      <c r="I2490" s="3" t="s">
        <v>65</v>
      </c>
      <c r="J2490" s="3" t="s">
        <v>65</v>
      </c>
      <c r="K2490" s="3" t="s">
        <v>66</v>
      </c>
      <c r="L2490" s="2" t="s">
        <v>24528</v>
      </c>
      <c r="M2490" s="2" t="s">
        <v>24550</v>
      </c>
      <c r="N2490" s="3" t="s">
        <v>126</v>
      </c>
      <c r="P2490" s="3" t="s">
        <v>140</v>
      </c>
      <c r="Q2490" s="2" t="s">
        <v>24551</v>
      </c>
      <c r="R2490" s="3" t="s">
        <v>71</v>
      </c>
      <c r="S2490" s="4">
        <v>0</v>
      </c>
      <c r="T2490" s="4">
        <v>0</v>
      </c>
      <c r="W2490" s="5" t="s">
        <v>72</v>
      </c>
      <c r="X2490" s="5" t="s">
        <v>72</v>
      </c>
      <c r="Y2490" s="4">
        <v>10</v>
      </c>
      <c r="Z2490" s="4">
        <v>1</v>
      </c>
      <c r="AA2490" s="4">
        <v>6</v>
      </c>
      <c r="AB2490" s="4">
        <v>1</v>
      </c>
      <c r="AC2490" s="4">
        <v>1</v>
      </c>
      <c r="AD2490" s="4">
        <v>5</v>
      </c>
      <c r="AE2490" s="4">
        <v>26</v>
      </c>
      <c r="AF2490" s="4">
        <v>0</v>
      </c>
      <c r="AG2490" s="4">
        <v>0</v>
      </c>
      <c r="AH2490" s="4">
        <v>5</v>
      </c>
      <c r="AI2490" s="4">
        <v>24</v>
      </c>
      <c r="AJ2490" s="4">
        <v>0</v>
      </c>
      <c r="AK2490" s="4">
        <v>3</v>
      </c>
      <c r="AL2490" s="4">
        <v>5</v>
      </c>
      <c r="AM2490" s="4">
        <v>18</v>
      </c>
      <c r="AN2490" s="4">
        <v>0</v>
      </c>
      <c r="AO2490" s="4">
        <v>0</v>
      </c>
      <c r="AP2490" s="4">
        <v>0</v>
      </c>
      <c r="AQ2490" s="4">
        <v>3</v>
      </c>
      <c r="AR2490" s="3" t="s">
        <v>65</v>
      </c>
      <c r="AS2490" s="3" t="s">
        <v>65</v>
      </c>
      <c r="AT2490" s="3" t="s">
        <v>65</v>
      </c>
      <c r="AV2490" s="6" t="str">
        <f>HYPERLINK("http://mcgill.on.worldcat.org/oclc/730397657","Catalog Record")</f>
        <v>Catalog Record</v>
      </c>
      <c r="AW2490" s="6" t="str">
        <f>HYPERLINK("http://www.worldcat.org/oclc/730397657","WorldCat Record")</f>
        <v>WorldCat Record</v>
      </c>
      <c r="AX2490" s="3" t="s">
        <v>24552</v>
      </c>
      <c r="AY2490" s="3" t="s">
        <v>24553</v>
      </c>
      <c r="AZ2490" s="3" t="s">
        <v>24554</v>
      </c>
      <c r="BA2490" s="3" t="s">
        <v>24554</v>
      </c>
      <c r="BB2490" s="3" t="s">
        <v>24555</v>
      </c>
      <c r="BC2490" s="3" t="s">
        <v>77</v>
      </c>
      <c r="BD2490" s="3" t="s">
        <v>78</v>
      </c>
      <c r="BE2490" s="3" t="s">
        <v>24556</v>
      </c>
      <c r="BF2490" s="3" t="s">
        <v>24555</v>
      </c>
      <c r="BG2490" s="3" t="s">
        <v>24557</v>
      </c>
    </row>
    <row r="2491" spans="1:59" ht="58" x14ac:dyDescent="0.35">
      <c r="A2491" s="2" t="s">
        <v>59</v>
      </c>
      <c r="B2491" s="2" t="s">
        <v>60</v>
      </c>
      <c r="C2491" s="2" t="s">
        <v>24558</v>
      </c>
      <c r="D2491" s="2" t="s">
        <v>24559</v>
      </c>
      <c r="E2491" s="2" t="s">
        <v>24560</v>
      </c>
      <c r="G2491" s="3" t="s">
        <v>65</v>
      </c>
      <c r="I2491" s="3" t="s">
        <v>65</v>
      </c>
      <c r="J2491" s="3" t="s">
        <v>209</v>
      </c>
      <c r="K2491" s="3" t="s">
        <v>66</v>
      </c>
      <c r="L2491" s="2" t="s">
        <v>24561</v>
      </c>
      <c r="M2491" s="2" t="s">
        <v>24562</v>
      </c>
      <c r="N2491" s="3" t="s">
        <v>126</v>
      </c>
      <c r="O2491" s="2" t="s">
        <v>365</v>
      </c>
      <c r="P2491" s="3" t="s">
        <v>140</v>
      </c>
      <c r="R2491" s="3" t="s">
        <v>71</v>
      </c>
      <c r="S2491" s="4">
        <v>0</v>
      </c>
      <c r="T2491" s="4">
        <v>0</v>
      </c>
      <c r="W2491" s="5" t="s">
        <v>72</v>
      </c>
      <c r="X2491" s="5" t="s">
        <v>72</v>
      </c>
      <c r="Y2491" s="4">
        <v>23</v>
      </c>
      <c r="Z2491" s="4">
        <v>2</v>
      </c>
      <c r="AA2491" s="4">
        <v>5</v>
      </c>
      <c r="AB2491" s="4">
        <v>1</v>
      </c>
      <c r="AC2491" s="4">
        <v>1</v>
      </c>
      <c r="AD2491" s="4">
        <v>14</v>
      </c>
      <c r="AE2491" s="4">
        <v>32</v>
      </c>
      <c r="AF2491" s="4">
        <v>0</v>
      </c>
      <c r="AG2491" s="4">
        <v>0</v>
      </c>
      <c r="AH2491" s="4">
        <v>14</v>
      </c>
      <c r="AI2491" s="4">
        <v>30</v>
      </c>
      <c r="AJ2491" s="4">
        <v>1</v>
      </c>
      <c r="AK2491" s="4">
        <v>3</v>
      </c>
      <c r="AL2491" s="4">
        <v>10</v>
      </c>
      <c r="AM2491" s="4">
        <v>23</v>
      </c>
      <c r="AN2491" s="4">
        <v>0</v>
      </c>
      <c r="AO2491" s="4">
        <v>0</v>
      </c>
      <c r="AP2491" s="4">
        <v>1</v>
      </c>
      <c r="AQ2491" s="4">
        <v>3</v>
      </c>
      <c r="AR2491" s="3" t="s">
        <v>65</v>
      </c>
      <c r="AS2491" s="3" t="s">
        <v>65</v>
      </c>
      <c r="AT2491" s="3" t="s">
        <v>65</v>
      </c>
      <c r="AV2491" s="6" t="str">
        <f>HYPERLINK("http://mcgill.on.worldcat.org/oclc/758438883","Catalog Record")</f>
        <v>Catalog Record</v>
      </c>
      <c r="AW2491" s="6" t="str">
        <f>HYPERLINK("http://www.worldcat.org/oclc/758438883","WorldCat Record")</f>
        <v>WorldCat Record</v>
      </c>
      <c r="AX2491" s="3" t="s">
        <v>24563</v>
      </c>
      <c r="AY2491" s="3" t="s">
        <v>24564</v>
      </c>
      <c r="AZ2491" s="3" t="s">
        <v>24565</v>
      </c>
      <c r="BA2491" s="3" t="s">
        <v>24565</v>
      </c>
      <c r="BB2491" s="3" t="s">
        <v>24566</v>
      </c>
      <c r="BC2491" s="3" t="s">
        <v>77</v>
      </c>
      <c r="BD2491" s="3" t="s">
        <v>78</v>
      </c>
      <c r="BE2491" s="3" t="s">
        <v>24567</v>
      </c>
      <c r="BF2491" s="3" t="s">
        <v>24566</v>
      </c>
      <c r="BG2491" s="3" t="s">
        <v>24568</v>
      </c>
    </row>
    <row r="2492" spans="1:59" ht="58" x14ac:dyDescent="0.35">
      <c r="A2492" s="2" t="s">
        <v>59</v>
      </c>
      <c r="B2492" s="2" t="s">
        <v>60</v>
      </c>
      <c r="C2492" s="2" t="s">
        <v>24569</v>
      </c>
      <c r="D2492" s="2" t="s">
        <v>24570</v>
      </c>
      <c r="E2492" s="2" t="s">
        <v>24571</v>
      </c>
      <c r="G2492" s="3" t="s">
        <v>65</v>
      </c>
      <c r="I2492" s="3" t="s">
        <v>65</v>
      </c>
      <c r="J2492" s="3" t="s">
        <v>65</v>
      </c>
      <c r="K2492" s="3" t="s">
        <v>66</v>
      </c>
      <c r="L2492" s="2" t="s">
        <v>24572</v>
      </c>
      <c r="M2492" s="2" t="s">
        <v>24573</v>
      </c>
      <c r="N2492" s="3" t="s">
        <v>1173</v>
      </c>
      <c r="P2492" s="3" t="s">
        <v>140</v>
      </c>
      <c r="Q2492" s="2" t="s">
        <v>24574</v>
      </c>
      <c r="R2492" s="3" t="s">
        <v>71</v>
      </c>
      <c r="S2492" s="4">
        <v>9</v>
      </c>
      <c r="T2492" s="4">
        <v>9</v>
      </c>
      <c r="U2492" s="5" t="s">
        <v>14097</v>
      </c>
      <c r="V2492" s="5" t="s">
        <v>14097</v>
      </c>
      <c r="W2492" s="5" t="s">
        <v>72</v>
      </c>
      <c r="X2492" s="5" t="s">
        <v>72</v>
      </c>
      <c r="Y2492" s="4">
        <v>92</v>
      </c>
      <c r="Z2492" s="4">
        <v>12</v>
      </c>
      <c r="AA2492" s="4">
        <v>14</v>
      </c>
      <c r="AB2492" s="4">
        <v>1</v>
      </c>
      <c r="AC2492" s="4">
        <v>3</v>
      </c>
      <c r="AD2492" s="4">
        <v>42</v>
      </c>
      <c r="AE2492" s="4">
        <v>58</v>
      </c>
      <c r="AF2492" s="4">
        <v>0</v>
      </c>
      <c r="AG2492" s="4">
        <v>2</v>
      </c>
      <c r="AH2492" s="4">
        <v>39</v>
      </c>
      <c r="AI2492" s="4">
        <v>53</v>
      </c>
      <c r="AJ2492" s="4">
        <v>8</v>
      </c>
      <c r="AK2492" s="4">
        <v>10</v>
      </c>
      <c r="AL2492" s="4">
        <v>27</v>
      </c>
      <c r="AM2492" s="4">
        <v>39</v>
      </c>
      <c r="AN2492" s="4">
        <v>0</v>
      </c>
      <c r="AO2492" s="4">
        <v>0</v>
      </c>
      <c r="AP2492" s="4">
        <v>8</v>
      </c>
      <c r="AQ2492" s="4">
        <v>9</v>
      </c>
      <c r="AR2492" s="3" t="s">
        <v>65</v>
      </c>
      <c r="AS2492" s="3" t="s">
        <v>65</v>
      </c>
      <c r="AT2492" s="3" t="s">
        <v>209</v>
      </c>
      <c r="AU2492" s="6" t="str">
        <f>HYPERLINK("http://catalog.hathitrust.org/Record/002996551","HathiTrust Record")</f>
        <v>HathiTrust Record</v>
      </c>
      <c r="AV2492" s="6" t="str">
        <f>HYPERLINK("http://mcgill.on.worldcat.org/oclc/3288344","Catalog Record")</f>
        <v>Catalog Record</v>
      </c>
      <c r="AW2492" s="6" t="str">
        <f>HYPERLINK("http://www.worldcat.org/oclc/3288344","WorldCat Record")</f>
        <v>WorldCat Record</v>
      </c>
      <c r="AX2492" s="3" t="s">
        <v>24575</v>
      </c>
      <c r="AY2492" s="3" t="s">
        <v>24576</v>
      </c>
      <c r="AZ2492" s="3" t="s">
        <v>24577</v>
      </c>
      <c r="BA2492" s="3" t="s">
        <v>24577</v>
      </c>
      <c r="BB2492" s="3" t="s">
        <v>24578</v>
      </c>
      <c r="BC2492" s="3" t="s">
        <v>77</v>
      </c>
      <c r="BD2492" s="3" t="s">
        <v>78</v>
      </c>
      <c r="BE2492" s="3" t="s">
        <v>24579</v>
      </c>
      <c r="BF2492" s="3" t="s">
        <v>24578</v>
      </c>
      <c r="BG2492" s="3" t="s">
        <v>24580</v>
      </c>
    </row>
    <row r="2493" spans="1:59" ht="58" x14ac:dyDescent="0.35">
      <c r="A2493" s="2" t="s">
        <v>59</v>
      </c>
      <c r="B2493" s="2" t="s">
        <v>60</v>
      </c>
      <c r="C2493" s="2" t="s">
        <v>24581</v>
      </c>
      <c r="D2493" s="2" t="s">
        <v>24582</v>
      </c>
      <c r="E2493" s="2" t="s">
        <v>24583</v>
      </c>
      <c r="F2493" s="3" t="s">
        <v>792</v>
      </c>
      <c r="G2493" s="3" t="s">
        <v>209</v>
      </c>
      <c r="I2493" s="3" t="s">
        <v>65</v>
      </c>
      <c r="J2493" s="3" t="s">
        <v>209</v>
      </c>
      <c r="K2493" s="3" t="s">
        <v>66</v>
      </c>
      <c r="L2493" s="2" t="s">
        <v>24572</v>
      </c>
      <c r="M2493" s="2" t="s">
        <v>24584</v>
      </c>
      <c r="N2493" s="3" t="s">
        <v>1085</v>
      </c>
      <c r="P2493" s="3" t="s">
        <v>140</v>
      </c>
      <c r="Q2493" s="2" t="s">
        <v>24585</v>
      </c>
      <c r="R2493" s="3" t="s">
        <v>71</v>
      </c>
      <c r="S2493" s="4">
        <v>2</v>
      </c>
      <c r="T2493" s="4">
        <v>17</v>
      </c>
      <c r="U2493" s="5" t="s">
        <v>13650</v>
      </c>
      <c r="V2493" s="5" t="s">
        <v>13650</v>
      </c>
      <c r="W2493" s="5" t="s">
        <v>72</v>
      </c>
      <c r="X2493" s="5" t="s">
        <v>72</v>
      </c>
      <c r="Y2493" s="4">
        <v>54</v>
      </c>
      <c r="Z2493" s="4">
        <v>6</v>
      </c>
      <c r="AA2493" s="4">
        <v>9</v>
      </c>
      <c r="AB2493" s="4">
        <v>2</v>
      </c>
      <c r="AC2493" s="4">
        <v>2</v>
      </c>
      <c r="AD2493" s="4">
        <v>28</v>
      </c>
      <c r="AE2493" s="4">
        <v>35</v>
      </c>
      <c r="AF2493" s="4">
        <v>1</v>
      </c>
      <c r="AG2493" s="4">
        <v>1</v>
      </c>
      <c r="AH2493" s="4">
        <v>25</v>
      </c>
      <c r="AI2493" s="4">
        <v>31</v>
      </c>
      <c r="AJ2493" s="4">
        <v>4</v>
      </c>
      <c r="AK2493" s="4">
        <v>6</v>
      </c>
      <c r="AL2493" s="4">
        <v>22</v>
      </c>
      <c r="AM2493" s="4">
        <v>23</v>
      </c>
      <c r="AN2493" s="4">
        <v>0</v>
      </c>
      <c r="AO2493" s="4">
        <v>0</v>
      </c>
      <c r="AP2493" s="4">
        <v>4</v>
      </c>
      <c r="AQ2493" s="4">
        <v>7</v>
      </c>
      <c r="AR2493" s="3" t="s">
        <v>65</v>
      </c>
      <c r="AS2493" s="3" t="s">
        <v>65</v>
      </c>
      <c r="AT2493" s="3" t="s">
        <v>209</v>
      </c>
      <c r="AU2493" s="6" t="str">
        <f t="shared" ref="AU2493:AU2498" si="39">HYPERLINK("http://catalog.hathitrust.org/Record/011228620","HathiTrust Record")</f>
        <v>HathiTrust Record</v>
      </c>
      <c r="AV2493" s="6" t="str">
        <f t="shared" ref="AV2493:AV2498" si="40">HYPERLINK("http://mcgill.on.worldcat.org/oclc/37568891","Catalog Record")</f>
        <v>Catalog Record</v>
      </c>
      <c r="AW2493" s="6" t="str">
        <f t="shared" ref="AW2493:AW2498" si="41">HYPERLINK("http://www.worldcat.org/oclc/37568891","WorldCat Record")</f>
        <v>WorldCat Record</v>
      </c>
      <c r="AX2493" s="3" t="s">
        <v>24586</v>
      </c>
      <c r="AY2493" s="3" t="s">
        <v>24587</v>
      </c>
      <c r="AZ2493" s="3" t="s">
        <v>24588</v>
      </c>
      <c r="BA2493" s="3" t="s">
        <v>24588</v>
      </c>
      <c r="BB2493" s="3" t="s">
        <v>24589</v>
      </c>
      <c r="BC2493" s="3" t="s">
        <v>77</v>
      </c>
      <c r="BD2493" s="3" t="s">
        <v>78</v>
      </c>
      <c r="BE2493" s="3" t="s">
        <v>24590</v>
      </c>
      <c r="BF2493" s="3" t="s">
        <v>24589</v>
      </c>
      <c r="BG2493" s="3" t="s">
        <v>24591</v>
      </c>
    </row>
    <row r="2494" spans="1:59" ht="58" x14ac:dyDescent="0.35">
      <c r="A2494" s="2" t="s">
        <v>59</v>
      </c>
      <c r="B2494" s="2" t="s">
        <v>60</v>
      </c>
      <c r="C2494" s="2" t="s">
        <v>24581</v>
      </c>
      <c r="D2494" s="2" t="s">
        <v>24582</v>
      </c>
      <c r="E2494" s="2" t="s">
        <v>24583</v>
      </c>
      <c r="F2494" s="3" t="s">
        <v>255</v>
      </c>
      <c r="G2494" s="3" t="s">
        <v>209</v>
      </c>
      <c r="I2494" s="3" t="s">
        <v>65</v>
      </c>
      <c r="J2494" s="3" t="s">
        <v>209</v>
      </c>
      <c r="K2494" s="3" t="s">
        <v>66</v>
      </c>
      <c r="L2494" s="2" t="s">
        <v>24572</v>
      </c>
      <c r="M2494" s="2" t="s">
        <v>24584</v>
      </c>
      <c r="N2494" s="3" t="s">
        <v>1085</v>
      </c>
      <c r="P2494" s="3" t="s">
        <v>140</v>
      </c>
      <c r="Q2494" s="2" t="s">
        <v>24585</v>
      </c>
      <c r="R2494" s="3" t="s">
        <v>71</v>
      </c>
      <c r="S2494" s="4">
        <v>2</v>
      </c>
      <c r="T2494" s="4">
        <v>17</v>
      </c>
      <c r="U2494" s="5" t="s">
        <v>13650</v>
      </c>
      <c r="V2494" s="5" t="s">
        <v>13650</v>
      </c>
      <c r="W2494" s="5" t="s">
        <v>72</v>
      </c>
      <c r="X2494" s="5" t="s">
        <v>72</v>
      </c>
      <c r="Y2494" s="4">
        <v>54</v>
      </c>
      <c r="Z2494" s="4">
        <v>6</v>
      </c>
      <c r="AA2494" s="4">
        <v>9</v>
      </c>
      <c r="AB2494" s="4">
        <v>2</v>
      </c>
      <c r="AC2494" s="4">
        <v>2</v>
      </c>
      <c r="AD2494" s="4">
        <v>28</v>
      </c>
      <c r="AE2494" s="4">
        <v>35</v>
      </c>
      <c r="AF2494" s="4">
        <v>1</v>
      </c>
      <c r="AG2494" s="4">
        <v>1</v>
      </c>
      <c r="AH2494" s="4">
        <v>25</v>
      </c>
      <c r="AI2494" s="4">
        <v>31</v>
      </c>
      <c r="AJ2494" s="4">
        <v>4</v>
      </c>
      <c r="AK2494" s="4">
        <v>6</v>
      </c>
      <c r="AL2494" s="4">
        <v>22</v>
      </c>
      <c r="AM2494" s="4">
        <v>23</v>
      </c>
      <c r="AN2494" s="4">
        <v>0</v>
      </c>
      <c r="AO2494" s="4">
        <v>0</v>
      </c>
      <c r="AP2494" s="4">
        <v>4</v>
      </c>
      <c r="AQ2494" s="4">
        <v>7</v>
      </c>
      <c r="AR2494" s="3" t="s">
        <v>65</v>
      </c>
      <c r="AS2494" s="3" t="s">
        <v>65</v>
      </c>
      <c r="AT2494" s="3" t="s">
        <v>209</v>
      </c>
      <c r="AU2494" s="6" t="str">
        <f t="shared" si="39"/>
        <v>HathiTrust Record</v>
      </c>
      <c r="AV2494" s="6" t="str">
        <f t="shared" si="40"/>
        <v>Catalog Record</v>
      </c>
      <c r="AW2494" s="6" t="str">
        <f t="shared" si="41"/>
        <v>WorldCat Record</v>
      </c>
      <c r="AX2494" s="3" t="s">
        <v>24586</v>
      </c>
      <c r="AY2494" s="3" t="s">
        <v>24587</v>
      </c>
      <c r="AZ2494" s="3" t="s">
        <v>24588</v>
      </c>
      <c r="BA2494" s="3" t="s">
        <v>24588</v>
      </c>
      <c r="BB2494" s="3" t="s">
        <v>24592</v>
      </c>
      <c r="BC2494" s="3" t="s">
        <v>77</v>
      </c>
      <c r="BD2494" s="3" t="s">
        <v>78</v>
      </c>
      <c r="BE2494" s="3" t="s">
        <v>24590</v>
      </c>
      <c r="BF2494" s="3" t="s">
        <v>24592</v>
      </c>
      <c r="BG2494" s="3" t="s">
        <v>24593</v>
      </c>
    </row>
    <row r="2495" spans="1:59" ht="58" x14ac:dyDescent="0.35">
      <c r="A2495" s="2" t="s">
        <v>59</v>
      </c>
      <c r="B2495" s="2" t="s">
        <v>60</v>
      </c>
      <c r="C2495" s="2" t="s">
        <v>24581</v>
      </c>
      <c r="D2495" s="2" t="s">
        <v>24582</v>
      </c>
      <c r="E2495" s="2" t="s">
        <v>24583</v>
      </c>
      <c r="F2495" s="3" t="s">
        <v>245</v>
      </c>
      <c r="G2495" s="3" t="s">
        <v>209</v>
      </c>
      <c r="I2495" s="3" t="s">
        <v>65</v>
      </c>
      <c r="J2495" s="3" t="s">
        <v>209</v>
      </c>
      <c r="K2495" s="3" t="s">
        <v>66</v>
      </c>
      <c r="L2495" s="2" t="s">
        <v>24572</v>
      </c>
      <c r="M2495" s="2" t="s">
        <v>24584</v>
      </c>
      <c r="N2495" s="3" t="s">
        <v>1085</v>
      </c>
      <c r="P2495" s="3" t="s">
        <v>140</v>
      </c>
      <c r="Q2495" s="2" t="s">
        <v>24585</v>
      </c>
      <c r="R2495" s="3" t="s">
        <v>71</v>
      </c>
      <c r="S2495" s="4">
        <v>6</v>
      </c>
      <c r="T2495" s="4">
        <v>17</v>
      </c>
      <c r="U2495" s="5" t="s">
        <v>13650</v>
      </c>
      <c r="V2495" s="5" t="s">
        <v>13650</v>
      </c>
      <c r="W2495" s="5" t="s">
        <v>72</v>
      </c>
      <c r="X2495" s="5" t="s">
        <v>72</v>
      </c>
      <c r="Y2495" s="4">
        <v>54</v>
      </c>
      <c r="Z2495" s="4">
        <v>6</v>
      </c>
      <c r="AA2495" s="4">
        <v>9</v>
      </c>
      <c r="AB2495" s="4">
        <v>2</v>
      </c>
      <c r="AC2495" s="4">
        <v>2</v>
      </c>
      <c r="AD2495" s="4">
        <v>28</v>
      </c>
      <c r="AE2495" s="4">
        <v>35</v>
      </c>
      <c r="AF2495" s="4">
        <v>1</v>
      </c>
      <c r="AG2495" s="4">
        <v>1</v>
      </c>
      <c r="AH2495" s="4">
        <v>25</v>
      </c>
      <c r="AI2495" s="4">
        <v>31</v>
      </c>
      <c r="AJ2495" s="4">
        <v>4</v>
      </c>
      <c r="AK2495" s="4">
        <v>6</v>
      </c>
      <c r="AL2495" s="4">
        <v>22</v>
      </c>
      <c r="AM2495" s="4">
        <v>23</v>
      </c>
      <c r="AN2495" s="4">
        <v>0</v>
      </c>
      <c r="AO2495" s="4">
        <v>0</v>
      </c>
      <c r="AP2495" s="4">
        <v>4</v>
      </c>
      <c r="AQ2495" s="4">
        <v>7</v>
      </c>
      <c r="AR2495" s="3" t="s">
        <v>65</v>
      </c>
      <c r="AS2495" s="3" t="s">
        <v>65</v>
      </c>
      <c r="AT2495" s="3" t="s">
        <v>209</v>
      </c>
      <c r="AU2495" s="6" t="str">
        <f t="shared" si="39"/>
        <v>HathiTrust Record</v>
      </c>
      <c r="AV2495" s="6" t="str">
        <f t="shared" si="40"/>
        <v>Catalog Record</v>
      </c>
      <c r="AW2495" s="6" t="str">
        <f t="shared" si="41"/>
        <v>WorldCat Record</v>
      </c>
      <c r="AX2495" s="3" t="s">
        <v>24586</v>
      </c>
      <c r="AY2495" s="3" t="s">
        <v>24587</v>
      </c>
      <c r="AZ2495" s="3" t="s">
        <v>24588</v>
      </c>
      <c r="BA2495" s="3" t="s">
        <v>24588</v>
      </c>
      <c r="BB2495" s="3" t="s">
        <v>24594</v>
      </c>
      <c r="BC2495" s="3" t="s">
        <v>77</v>
      </c>
      <c r="BD2495" s="3" t="s">
        <v>78</v>
      </c>
      <c r="BE2495" s="3" t="s">
        <v>24590</v>
      </c>
      <c r="BF2495" s="3" t="s">
        <v>24594</v>
      </c>
      <c r="BG2495" s="3" t="s">
        <v>24595</v>
      </c>
    </row>
    <row r="2496" spans="1:59" ht="58" x14ac:dyDescent="0.35">
      <c r="A2496" s="2" t="s">
        <v>59</v>
      </c>
      <c r="B2496" s="2" t="s">
        <v>60</v>
      </c>
      <c r="C2496" s="2" t="s">
        <v>24581</v>
      </c>
      <c r="D2496" s="2" t="s">
        <v>24582</v>
      </c>
      <c r="E2496" s="2" t="s">
        <v>24583</v>
      </c>
      <c r="F2496" s="3" t="s">
        <v>1071</v>
      </c>
      <c r="G2496" s="3" t="s">
        <v>209</v>
      </c>
      <c r="I2496" s="3" t="s">
        <v>65</v>
      </c>
      <c r="J2496" s="3" t="s">
        <v>209</v>
      </c>
      <c r="K2496" s="3" t="s">
        <v>66</v>
      </c>
      <c r="L2496" s="2" t="s">
        <v>24572</v>
      </c>
      <c r="M2496" s="2" t="s">
        <v>24584</v>
      </c>
      <c r="N2496" s="3" t="s">
        <v>1085</v>
      </c>
      <c r="P2496" s="3" t="s">
        <v>140</v>
      </c>
      <c r="Q2496" s="2" t="s">
        <v>24585</v>
      </c>
      <c r="R2496" s="3" t="s">
        <v>71</v>
      </c>
      <c r="S2496" s="4">
        <v>2</v>
      </c>
      <c r="T2496" s="4">
        <v>17</v>
      </c>
      <c r="U2496" s="5" t="s">
        <v>13650</v>
      </c>
      <c r="V2496" s="5" t="s">
        <v>13650</v>
      </c>
      <c r="W2496" s="5" t="s">
        <v>72</v>
      </c>
      <c r="X2496" s="5" t="s">
        <v>72</v>
      </c>
      <c r="Y2496" s="4">
        <v>54</v>
      </c>
      <c r="Z2496" s="4">
        <v>6</v>
      </c>
      <c r="AA2496" s="4">
        <v>9</v>
      </c>
      <c r="AB2496" s="4">
        <v>2</v>
      </c>
      <c r="AC2496" s="4">
        <v>2</v>
      </c>
      <c r="AD2496" s="4">
        <v>28</v>
      </c>
      <c r="AE2496" s="4">
        <v>35</v>
      </c>
      <c r="AF2496" s="4">
        <v>1</v>
      </c>
      <c r="AG2496" s="4">
        <v>1</v>
      </c>
      <c r="AH2496" s="4">
        <v>25</v>
      </c>
      <c r="AI2496" s="4">
        <v>31</v>
      </c>
      <c r="AJ2496" s="4">
        <v>4</v>
      </c>
      <c r="AK2496" s="4">
        <v>6</v>
      </c>
      <c r="AL2496" s="4">
        <v>22</v>
      </c>
      <c r="AM2496" s="4">
        <v>23</v>
      </c>
      <c r="AN2496" s="4">
        <v>0</v>
      </c>
      <c r="AO2496" s="4">
        <v>0</v>
      </c>
      <c r="AP2496" s="4">
        <v>4</v>
      </c>
      <c r="AQ2496" s="4">
        <v>7</v>
      </c>
      <c r="AR2496" s="3" t="s">
        <v>65</v>
      </c>
      <c r="AS2496" s="3" t="s">
        <v>65</v>
      </c>
      <c r="AT2496" s="3" t="s">
        <v>209</v>
      </c>
      <c r="AU2496" s="6" t="str">
        <f t="shared" si="39"/>
        <v>HathiTrust Record</v>
      </c>
      <c r="AV2496" s="6" t="str">
        <f t="shared" si="40"/>
        <v>Catalog Record</v>
      </c>
      <c r="AW2496" s="6" t="str">
        <f t="shared" si="41"/>
        <v>WorldCat Record</v>
      </c>
      <c r="AX2496" s="3" t="s">
        <v>24586</v>
      </c>
      <c r="AY2496" s="3" t="s">
        <v>24587</v>
      </c>
      <c r="AZ2496" s="3" t="s">
        <v>24588</v>
      </c>
      <c r="BA2496" s="3" t="s">
        <v>24588</v>
      </c>
      <c r="BB2496" s="3" t="s">
        <v>24596</v>
      </c>
      <c r="BC2496" s="3" t="s">
        <v>77</v>
      </c>
      <c r="BD2496" s="3" t="s">
        <v>78</v>
      </c>
      <c r="BE2496" s="3" t="s">
        <v>24590</v>
      </c>
      <c r="BF2496" s="3" t="s">
        <v>24596</v>
      </c>
      <c r="BG2496" s="3" t="s">
        <v>24597</v>
      </c>
    </row>
    <row r="2497" spans="1:59" ht="58" x14ac:dyDescent="0.35">
      <c r="A2497" s="2" t="s">
        <v>59</v>
      </c>
      <c r="B2497" s="2" t="s">
        <v>60</v>
      </c>
      <c r="C2497" s="2" t="s">
        <v>24581</v>
      </c>
      <c r="D2497" s="2" t="s">
        <v>24582</v>
      </c>
      <c r="E2497" s="2" t="s">
        <v>24583</v>
      </c>
      <c r="F2497" s="3" t="s">
        <v>1075</v>
      </c>
      <c r="G2497" s="3" t="s">
        <v>209</v>
      </c>
      <c r="I2497" s="3" t="s">
        <v>65</v>
      </c>
      <c r="J2497" s="3" t="s">
        <v>209</v>
      </c>
      <c r="K2497" s="3" t="s">
        <v>66</v>
      </c>
      <c r="L2497" s="2" t="s">
        <v>24572</v>
      </c>
      <c r="M2497" s="2" t="s">
        <v>24584</v>
      </c>
      <c r="N2497" s="3" t="s">
        <v>1085</v>
      </c>
      <c r="P2497" s="3" t="s">
        <v>140</v>
      </c>
      <c r="Q2497" s="2" t="s">
        <v>24585</v>
      </c>
      <c r="R2497" s="3" t="s">
        <v>71</v>
      </c>
      <c r="S2497" s="4">
        <v>2</v>
      </c>
      <c r="T2497" s="4">
        <v>17</v>
      </c>
      <c r="U2497" s="5" t="s">
        <v>13650</v>
      </c>
      <c r="V2497" s="5" t="s">
        <v>13650</v>
      </c>
      <c r="W2497" s="5" t="s">
        <v>72</v>
      </c>
      <c r="X2497" s="5" t="s">
        <v>72</v>
      </c>
      <c r="Y2497" s="4">
        <v>54</v>
      </c>
      <c r="Z2497" s="4">
        <v>6</v>
      </c>
      <c r="AA2497" s="4">
        <v>9</v>
      </c>
      <c r="AB2497" s="4">
        <v>2</v>
      </c>
      <c r="AC2497" s="4">
        <v>2</v>
      </c>
      <c r="AD2497" s="4">
        <v>28</v>
      </c>
      <c r="AE2497" s="4">
        <v>35</v>
      </c>
      <c r="AF2497" s="4">
        <v>1</v>
      </c>
      <c r="AG2497" s="4">
        <v>1</v>
      </c>
      <c r="AH2497" s="4">
        <v>25</v>
      </c>
      <c r="AI2497" s="4">
        <v>31</v>
      </c>
      <c r="AJ2497" s="4">
        <v>4</v>
      </c>
      <c r="AK2497" s="4">
        <v>6</v>
      </c>
      <c r="AL2497" s="4">
        <v>22</v>
      </c>
      <c r="AM2497" s="4">
        <v>23</v>
      </c>
      <c r="AN2497" s="4">
        <v>0</v>
      </c>
      <c r="AO2497" s="4">
        <v>0</v>
      </c>
      <c r="AP2497" s="4">
        <v>4</v>
      </c>
      <c r="AQ2497" s="4">
        <v>7</v>
      </c>
      <c r="AR2497" s="3" t="s">
        <v>65</v>
      </c>
      <c r="AS2497" s="3" t="s">
        <v>65</v>
      </c>
      <c r="AT2497" s="3" t="s">
        <v>209</v>
      </c>
      <c r="AU2497" s="6" t="str">
        <f t="shared" si="39"/>
        <v>HathiTrust Record</v>
      </c>
      <c r="AV2497" s="6" t="str">
        <f t="shared" si="40"/>
        <v>Catalog Record</v>
      </c>
      <c r="AW2497" s="6" t="str">
        <f t="shared" si="41"/>
        <v>WorldCat Record</v>
      </c>
      <c r="AX2497" s="3" t="s">
        <v>24586</v>
      </c>
      <c r="AY2497" s="3" t="s">
        <v>24587</v>
      </c>
      <c r="AZ2497" s="3" t="s">
        <v>24588</v>
      </c>
      <c r="BA2497" s="3" t="s">
        <v>24588</v>
      </c>
      <c r="BB2497" s="3" t="s">
        <v>24598</v>
      </c>
      <c r="BC2497" s="3" t="s">
        <v>77</v>
      </c>
      <c r="BD2497" s="3" t="s">
        <v>78</v>
      </c>
      <c r="BE2497" s="3" t="s">
        <v>24590</v>
      </c>
      <c r="BF2497" s="3" t="s">
        <v>24598</v>
      </c>
      <c r="BG2497" s="3" t="s">
        <v>24599</v>
      </c>
    </row>
    <row r="2498" spans="1:59" ht="58" x14ac:dyDescent="0.35">
      <c r="A2498" s="2" t="s">
        <v>59</v>
      </c>
      <c r="B2498" s="2" t="s">
        <v>60</v>
      </c>
      <c r="C2498" s="2" t="s">
        <v>24581</v>
      </c>
      <c r="D2498" s="2" t="s">
        <v>24582</v>
      </c>
      <c r="E2498" s="2" t="s">
        <v>24583</v>
      </c>
      <c r="F2498" s="3" t="s">
        <v>258</v>
      </c>
      <c r="G2498" s="3" t="s">
        <v>209</v>
      </c>
      <c r="I2498" s="3" t="s">
        <v>65</v>
      </c>
      <c r="J2498" s="3" t="s">
        <v>209</v>
      </c>
      <c r="K2498" s="3" t="s">
        <v>66</v>
      </c>
      <c r="L2498" s="2" t="s">
        <v>24572</v>
      </c>
      <c r="M2498" s="2" t="s">
        <v>24584</v>
      </c>
      <c r="N2498" s="3" t="s">
        <v>1085</v>
      </c>
      <c r="P2498" s="3" t="s">
        <v>140</v>
      </c>
      <c r="Q2498" s="2" t="s">
        <v>24585</v>
      </c>
      <c r="R2498" s="3" t="s">
        <v>71</v>
      </c>
      <c r="S2498" s="4">
        <v>3</v>
      </c>
      <c r="T2498" s="4">
        <v>17</v>
      </c>
      <c r="U2498" s="5" t="s">
        <v>13650</v>
      </c>
      <c r="V2498" s="5" t="s">
        <v>13650</v>
      </c>
      <c r="W2498" s="5" t="s">
        <v>72</v>
      </c>
      <c r="X2498" s="5" t="s">
        <v>72</v>
      </c>
      <c r="Y2498" s="4">
        <v>54</v>
      </c>
      <c r="Z2498" s="4">
        <v>6</v>
      </c>
      <c r="AA2498" s="4">
        <v>9</v>
      </c>
      <c r="AB2498" s="4">
        <v>2</v>
      </c>
      <c r="AC2498" s="4">
        <v>2</v>
      </c>
      <c r="AD2498" s="4">
        <v>28</v>
      </c>
      <c r="AE2498" s="4">
        <v>35</v>
      </c>
      <c r="AF2498" s="4">
        <v>1</v>
      </c>
      <c r="AG2498" s="4">
        <v>1</v>
      </c>
      <c r="AH2498" s="4">
        <v>25</v>
      </c>
      <c r="AI2498" s="4">
        <v>31</v>
      </c>
      <c r="AJ2498" s="4">
        <v>4</v>
      </c>
      <c r="AK2498" s="4">
        <v>6</v>
      </c>
      <c r="AL2498" s="4">
        <v>22</v>
      </c>
      <c r="AM2498" s="4">
        <v>23</v>
      </c>
      <c r="AN2498" s="4">
        <v>0</v>
      </c>
      <c r="AO2498" s="4">
        <v>0</v>
      </c>
      <c r="AP2498" s="4">
        <v>4</v>
      </c>
      <c r="AQ2498" s="4">
        <v>7</v>
      </c>
      <c r="AR2498" s="3" t="s">
        <v>65</v>
      </c>
      <c r="AS2498" s="3" t="s">
        <v>65</v>
      </c>
      <c r="AT2498" s="3" t="s">
        <v>209</v>
      </c>
      <c r="AU2498" s="6" t="str">
        <f t="shared" si="39"/>
        <v>HathiTrust Record</v>
      </c>
      <c r="AV2498" s="6" t="str">
        <f t="shared" si="40"/>
        <v>Catalog Record</v>
      </c>
      <c r="AW2498" s="6" t="str">
        <f t="shared" si="41"/>
        <v>WorldCat Record</v>
      </c>
      <c r="AX2498" s="3" t="s">
        <v>24586</v>
      </c>
      <c r="AY2498" s="3" t="s">
        <v>24587</v>
      </c>
      <c r="AZ2498" s="3" t="s">
        <v>24588</v>
      </c>
      <c r="BA2498" s="3" t="s">
        <v>24588</v>
      </c>
      <c r="BB2498" s="3" t="s">
        <v>24600</v>
      </c>
      <c r="BC2498" s="3" t="s">
        <v>77</v>
      </c>
      <c r="BD2498" s="3" t="s">
        <v>78</v>
      </c>
      <c r="BE2498" s="3" t="s">
        <v>24590</v>
      </c>
      <c r="BF2498" s="3" t="s">
        <v>24600</v>
      </c>
      <c r="BG2498" s="3" t="s">
        <v>24601</v>
      </c>
    </row>
    <row r="2499" spans="1:59" ht="58" x14ac:dyDescent="0.35">
      <c r="A2499" s="2" t="s">
        <v>59</v>
      </c>
      <c r="B2499" s="2" t="s">
        <v>60</v>
      </c>
      <c r="C2499" s="2" t="s">
        <v>24602</v>
      </c>
      <c r="D2499" s="2" t="s">
        <v>24603</v>
      </c>
      <c r="E2499" s="2" t="s">
        <v>24604</v>
      </c>
      <c r="G2499" s="3" t="s">
        <v>65</v>
      </c>
      <c r="I2499" s="3" t="s">
        <v>65</v>
      </c>
      <c r="J2499" s="3" t="s">
        <v>65</v>
      </c>
      <c r="K2499" s="3" t="s">
        <v>66</v>
      </c>
      <c r="L2499" s="2" t="s">
        <v>24572</v>
      </c>
      <c r="M2499" s="2" t="s">
        <v>24605</v>
      </c>
      <c r="N2499" s="3" t="s">
        <v>3385</v>
      </c>
      <c r="P2499" s="3" t="s">
        <v>69</v>
      </c>
      <c r="R2499" s="3" t="s">
        <v>71</v>
      </c>
      <c r="S2499" s="4">
        <v>11</v>
      </c>
      <c r="T2499" s="4">
        <v>11</v>
      </c>
      <c r="U2499" s="5" t="s">
        <v>24606</v>
      </c>
      <c r="V2499" s="5" t="s">
        <v>24606</v>
      </c>
      <c r="W2499" s="5" t="s">
        <v>72</v>
      </c>
      <c r="X2499" s="5" t="s">
        <v>72</v>
      </c>
      <c r="Y2499" s="4">
        <v>174</v>
      </c>
      <c r="Z2499" s="4">
        <v>11</v>
      </c>
      <c r="AA2499" s="4">
        <v>12</v>
      </c>
      <c r="AB2499" s="4">
        <v>3</v>
      </c>
      <c r="AC2499" s="4">
        <v>3</v>
      </c>
      <c r="AD2499" s="4">
        <v>66</v>
      </c>
      <c r="AE2499" s="4">
        <v>66</v>
      </c>
      <c r="AF2499" s="4">
        <v>1</v>
      </c>
      <c r="AG2499" s="4">
        <v>1</v>
      </c>
      <c r="AH2499" s="4">
        <v>62</v>
      </c>
      <c r="AI2499" s="4">
        <v>62</v>
      </c>
      <c r="AJ2499" s="4">
        <v>6</v>
      </c>
      <c r="AK2499" s="4">
        <v>6</v>
      </c>
      <c r="AL2499" s="4">
        <v>41</v>
      </c>
      <c r="AM2499" s="4">
        <v>41</v>
      </c>
      <c r="AN2499" s="4">
        <v>0</v>
      </c>
      <c r="AO2499" s="4">
        <v>0</v>
      </c>
      <c r="AP2499" s="4">
        <v>7</v>
      </c>
      <c r="AQ2499" s="4">
        <v>7</v>
      </c>
      <c r="AR2499" s="3" t="s">
        <v>65</v>
      </c>
      <c r="AS2499" s="3" t="s">
        <v>65</v>
      </c>
      <c r="AT2499" s="3" t="s">
        <v>65</v>
      </c>
      <c r="AV2499" s="6" t="str">
        <f>HYPERLINK("http://mcgill.on.worldcat.org/oclc/37819965","Catalog Record")</f>
        <v>Catalog Record</v>
      </c>
      <c r="AW2499" s="6" t="str">
        <f>HYPERLINK("http://www.worldcat.org/oclc/37819965","WorldCat Record")</f>
        <v>WorldCat Record</v>
      </c>
      <c r="AX2499" s="3" t="s">
        <v>24607</v>
      </c>
      <c r="AY2499" s="3" t="s">
        <v>24608</v>
      </c>
      <c r="AZ2499" s="3" t="s">
        <v>24609</v>
      </c>
      <c r="BA2499" s="3" t="s">
        <v>24609</v>
      </c>
      <c r="BB2499" s="3" t="s">
        <v>24610</v>
      </c>
      <c r="BC2499" s="3" t="s">
        <v>77</v>
      </c>
      <c r="BD2499" s="3" t="s">
        <v>78</v>
      </c>
      <c r="BE2499" s="3" t="s">
        <v>24611</v>
      </c>
      <c r="BF2499" s="3" t="s">
        <v>24610</v>
      </c>
      <c r="BG2499" s="3" t="s">
        <v>24612</v>
      </c>
    </row>
    <row r="2500" spans="1:59" ht="58" x14ac:dyDescent="0.35">
      <c r="A2500" s="2" t="s">
        <v>59</v>
      </c>
      <c r="B2500" s="2" t="s">
        <v>60</v>
      </c>
      <c r="C2500" s="2" t="s">
        <v>24613</v>
      </c>
      <c r="D2500" s="2" t="s">
        <v>24614</v>
      </c>
      <c r="E2500" s="2" t="s">
        <v>24615</v>
      </c>
      <c r="G2500" s="3" t="s">
        <v>65</v>
      </c>
      <c r="I2500" s="3" t="s">
        <v>65</v>
      </c>
      <c r="J2500" s="3" t="s">
        <v>65</v>
      </c>
      <c r="K2500" s="3" t="s">
        <v>66</v>
      </c>
      <c r="L2500" s="2" t="s">
        <v>24572</v>
      </c>
      <c r="M2500" s="2" t="s">
        <v>24616</v>
      </c>
      <c r="N2500" s="3" t="s">
        <v>3088</v>
      </c>
      <c r="P2500" s="3" t="s">
        <v>140</v>
      </c>
      <c r="R2500" s="3" t="s">
        <v>71</v>
      </c>
      <c r="S2500" s="4">
        <v>3</v>
      </c>
      <c r="T2500" s="4">
        <v>3</v>
      </c>
      <c r="U2500" s="5" t="s">
        <v>2631</v>
      </c>
      <c r="V2500" s="5" t="s">
        <v>2631</v>
      </c>
      <c r="W2500" s="5" t="s">
        <v>72</v>
      </c>
      <c r="X2500" s="5" t="s">
        <v>72</v>
      </c>
      <c r="Y2500" s="4">
        <v>13</v>
      </c>
      <c r="Z2500" s="4">
        <v>3</v>
      </c>
      <c r="AA2500" s="4">
        <v>21</v>
      </c>
      <c r="AB2500" s="4">
        <v>1</v>
      </c>
      <c r="AC2500" s="4">
        <v>2</v>
      </c>
      <c r="AD2500" s="4">
        <v>9</v>
      </c>
      <c r="AE2500" s="4">
        <v>55</v>
      </c>
      <c r="AF2500" s="4">
        <v>0</v>
      </c>
      <c r="AG2500" s="4">
        <v>1</v>
      </c>
      <c r="AH2500" s="4">
        <v>8</v>
      </c>
      <c r="AI2500" s="4">
        <v>46</v>
      </c>
      <c r="AJ2500" s="4">
        <v>1</v>
      </c>
      <c r="AK2500" s="4">
        <v>7</v>
      </c>
      <c r="AL2500" s="4">
        <v>7</v>
      </c>
      <c r="AM2500" s="4">
        <v>31</v>
      </c>
      <c r="AN2500" s="4">
        <v>0</v>
      </c>
      <c r="AO2500" s="4">
        <v>0</v>
      </c>
      <c r="AP2500" s="4">
        <v>1</v>
      </c>
      <c r="AQ2500" s="4">
        <v>12</v>
      </c>
      <c r="AR2500" s="3" t="s">
        <v>65</v>
      </c>
      <c r="AS2500" s="3" t="s">
        <v>65</v>
      </c>
      <c r="AT2500" s="3" t="s">
        <v>65</v>
      </c>
      <c r="AU2500" s="6" t="str">
        <f>HYPERLINK("http://catalog.hathitrust.org/Record/008242525","HathiTrust Record")</f>
        <v>HathiTrust Record</v>
      </c>
      <c r="AV2500" s="6" t="str">
        <f>HYPERLINK("http://mcgill.on.worldcat.org/oclc/10838141","Catalog Record")</f>
        <v>Catalog Record</v>
      </c>
      <c r="AW2500" s="6" t="str">
        <f>HYPERLINK("http://www.worldcat.org/oclc/10838141","WorldCat Record")</f>
        <v>WorldCat Record</v>
      </c>
      <c r="AX2500" s="3" t="s">
        <v>24617</v>
      </c>
      <c r="AY2500" s="3" t="s">
        <v>24618</v>
      </c>
      <c r="AZ2500" s="3" t="s">
        <v>24619</v>
      </c>
      <c r="BA2500" s="3" t="s">
        <v>24619</v>
      </c>
      <c r="BB2500" s="3" t="s">
        <v>24620</v>
      </c>
      <c r="BC2500" s="3" t="s">
        <v>77</v>
      </c>
      <c r="BD2500" s="3" t="s">
        <v>78</v>
      </c>
      <c r="BF2500" s="3" t="s">
        <v>24620</v>
      </c>
      <c r="BG2500" s="3" t="s">
        <v>24621</v>
      </c>
    </row>
    <row r="2501" spans="1:59" ht="58" x14ac:dyDescent="0.35">
      <c r="A2501" s="2" t="s">
        <v>59</v>
      </c>
      <c r="B2501" s="2" t="s">
        <v>60</v>
      </c>
      <c r="C2501" s="2" t="s">
        <v>24622</v>
      </c>
      <c r="D2501" s="2" t="s">
        <v>24623</v>
      </c>
      <c r="E2501" s="2" t="s">
        <v>24624</v>
      </c>
      <c r="G2501" s="3" t="s">
        <v>65</v>
      </c>
      <c r="I2501" s="3" t="s">
        <v>65</v>
      </c>
      <c r="J2501" s="3" t="s">
        <v>65</v>
      </c>
      <c r="K2501" s="3" t="s">
        <v>66</v>
      </c>
      <c r="L2501" s="2" t="s">
        <v>24572</v>
      </c>
      <c r="M2501" s="2" t="s">
        <v>19170</v>
      </c>
      <c r="N2501" s="3" t="s">
        <v>577</v>
      </c>
      <c r="O2501" s="2" t="s">
        <v>24625</v>
      </c>
      <c r="P2501" s="3" t="s">
        <v>140</v>
      </c>
      <c r="Q2501" s="2" t="s">
        <v>24626</v>
      </c>
      <c r="R2501" s="3" t="s">
        <v>71</v>
      </c>
      <c r="S2501" s="4">
        <v>6</v>
      </c>
      <c r="T2501" s="4">
        <v>6</v>
      </c>
      <c r="U2501" s="5" t="s">
        <v>2631</v>
      </c>
      <c r="V2501" s="5" t="s">
        <v>2631</v>
      </c>
      <c r="W2501" s="5" t="s">
        <v>72</v>
      </c>
      <c r="X2501" s="5" t="s">
        <v>72</v>
      </c>
      <c r="Y2501" s="4">
        <v>63</v>
      </c>
      <c r="Z2501" s="4">
        <v>6</v>
      </c>
      <c r="AA2501" s="4">
        <v>10</v>
      </c>
      <c r="AB2501" s="4">
        <v>1</v>
      </c>
      <c r="AC2501" s="4">
        <v>3</v>
      </c>
      <c r="AD2501" s="4">
        <v>29</v>
      </c>
      <c r="AE2501" s="4">
        <v>52</v>
      </c>
      <c r="AF2501" s="4">
        <v>0</v>
      </c>
      <c r="AG2501" s="4">
        <v>1</v>
      </c>
      <c r="AH2501" s="4">
        <v>26</v>
      </c>
      <c r="AI2501" s="4">
        <v>47</v>
      </c>
      <c r="AJ2501" s="4">
        <v>4</v>
      </c>
      <c r="AK2501" s="4">
        <v>7</v>
      </c>
      <c r="AL2501" s="4">
        <v>18</v>
      </c>
      <c r="AM2501" s="4">
        <v>32</v>
      </c>
      <c r="AN2501" s="4">
        <v>0</v>
      </c>
      <c r="AO2501" s="4">
        <v>0</v>
      </c>
      <c r="AP2501" s="4">
        <v>4</v>
      </c>
      <c r="AQ2501" s="4">
        <v>6</v>
      </c>
      <c r="AR2501" s="3" t="s">
        <v>65</v>
      </c>
      <c r="AS2501" s="3" t="s">
        <v>65</v>
      </c>
      <c r="AT2501" s="3" t="s">
        <v>209</v>
      </c>
      <c r="AU2501" s="6" t="str">
        <f>HYPERLINK("http://catalog.hathitrust.org/Record/007117901","HathiTrust Record")</f>
        <v>HathiTrust Record</v>
      </c>
      <c r="AV2501" s="6" t="str">
        <f>HYPERLINK("http://mcgill.on.worldcat.org/oclc/4464781","Catalog Record")</f>
        <v>Catalog Record</v>
      </c>
      <c r="AW2501" s="6" t="str">
        <f>HYPERLINK("http://www.worldcat.org/oclc/4464781","WorldCat Record")</f>
        <v>WorldCat Record</v>
      </c>
      <c r="AX2501" s="3" t="s">
        <v>24627</v>
      </c>
      <c r="AY2501" s="3" t="s">
        <v>24628</v>
      </c>
      <c r="AZ2501" s="3" t="s">
        <v>24629</v>
      </c>
      <c r="BA2501" s="3" t="s">
        <v>24629</v>
      </c>
      <c r="BB2501" s="3" t="s">
        <v>24630</v>
      </c>
      <c r="BC2501" s="3" t="s">
        <v>77</v>
      </c>
      <c r="BD2501" s="3" t="s">
        <v>78</v>
      </c>
      <c r="BE2501" s="3" t="s">
        <v>24631</v>
      </c>
      <c r="BF2501" s="3" t="s">
        <v>24630</v>
      </c>
      <c r="BG2501" s="3" t="s">
        <v>24632</v>
      </c>
    </row>
    <row r="2502" spans="1:59" ht="58" x14ac:dyDescent="0.35">
      <c r="A2502" s="2" t="s">
        <v>59</v>
      </c>
      <c r="B2502" s="2" t="s">
        <v>60</v>
      </c>
      <c r="C2502" s="2" t="s">
        <v>24633</v>
      </c>
      <c r="D2502" s="2" t="s">
        <v>24634</v>
      </c>
      <c r="E2502" s="2" t="s">
        <v>24635</v>
      </c>
      <c r="G2502" s="3" t="s">
        <v>65</v>
      </c>
      <c r="I2502" s="3" t="s">
        <v>65</v>
      </c>
      <c r="J2502" s="3" t="s">
        <v>65</v>
      </c>
      <c r="K2502" s="3" t="s">
        <v>66</v>
      </c>
      <c r="L2502" s="2" t="s">
        <v>24572</v>
      </c>
      <c r="M2502" s="2" t="s">
        <v>24636</v>
      </c>
      <c r="N2502" s="3" t="s">
        <v>24637</v>
      </c>
      <c r="P2502" s="3" t="s">
        <v>140</v>
      </c>
      <c r="R2502" s="3" t="s">
        <v>71</v>
      </c>
      <c r="S2502" s="4">
        <v>8</v>
      </c>
      <c r="T2502" s="4">
        <v>8</v>
      </c>
      <c r="U2502" s="5" t="s">
        <v>2631</v>
      </c>
      <c r="V2502" s="5" t="s">
        <v>2631</v>
      </c>
      <c r="W2502" s="5" t="s">
        <v>72</v>
      </c>
      <c r="X2502" s="5" t="s">
        <v>72</v>
      </c>
      <c r="Y2502" s="4">
        <v>13</v>
      </c>
      <c r="Z2502" s="4">
        <v>1</v>
      </c>
      <c r="AA2502" s="4">
        <v>10</v>
      </c>
      <c r="AB2502" s="4">
        <v>1</v>
      </c>
      <c r="AC2502" s="4">
        <v>2</v>
      </c>
      <c r="AD2502" s="4">
        <v>5</v>
      </c>
      <c r="AE2502" s="4">
        <v>49</v>
      </c>
      <c r="AF2502" s="4">
        <v>0</v>
      </c>
      <c r="AG2502" s="4">
        <v>0</v>
      </c>
      <c r="AH2502" s="4">
        <v>4</v>
      </c>
      <c r="AI2502" s="4">
        <v>43</v>
      </c>
      <c r="AJ2502" s="4">
        <v>0</v>
      </c>
      <c r="AK2502" s="4">
        <v>4</v>
      </c>
      <c r="AL2502" s="4">
        <v>4</v>
      </c>
      <c r="AM2502" s="4">
        <v>31</v>
      </c>
      <c r="AN2502" s="4">
        <v>0</v>
      </c>
      <c r="AO2502" s="4">
        <v>0</v>
      </c>
      <c r="AP2502" s="4">
        <v>0</v>
      </c>
      <c r="AQ2502" s="4">
        <v>5</v>
      </c>
      <c r="AR2502" s="3" t="s">
        <v>65</v>
      </c>
      <c r="AS2502" s="3" t="s">
        <v>65</v>
      </c>
      <c r="AT2502" s="3" t="s">
        <v>209</v>
      </c>
      <c r="AU2502" s="6" t="str">
        <f>HYPERLINK("http://catalog.hathitrust.org/Record/001805459","HathiTrust Record")</f>
        <v>HathiTrust Record</v>
      </c>
      <c r="AV2502" s="6" t="str">
        <f>HYPERLINK("http://mcgill.on.worldcat.org/oclc/3502401","Catalog Record")</f>
        <v>Catalog Record</v>
      </c>
      <c r="AW2502" s="6" t="str">
        <f>HYPERLINK("http://www.worldcat.org/oclc/3502401","WorldCat Record")</f>
        <v>WorldCat Record</v>
      </c>
      <c r="AX2502" s="3" t="s">
        <v>24638</v>
      </c>
      <c r="AY2502" s="3" t="s">
        <v>24639</v>
      </c>
      <c r="AZ2502" s="3" t="s">
        <v>24640</v>
      </c>
      <c r="BA2502" s="3" t="s">
        <v>24640</v>
      </c>
      <c r="BB2502" s="3" t="s">
        <v>24641</v>
      </c>
      <c r="BC2502" s="3" t="s">
        <v>77</v>
      </c>
      <c r="BD2502" s="3" t="s">
        <v>78</v>
      </c>
      <c r="BF2502" s="3" t="s">
        <v>24641</v>
      </c>
      <c r="BG2502" s="3" t="s">
        <v>24642</v>
      </c>
    </row>
    <row r="2503" spans="1:59" ht="58" x14ac:dyDescent="0.35">
      <c r="A2503" s="2" t="s">
        <v>59</v>
      </c>
      <c r="B2503" s="2" t="s">
        <v>60</v>
      </c>
      <c r="C2503" s="2" t="s">
        <v>24643</v>
      </c>
      <c r="D2503" s="2" t="s">
        <v>24644</v>
      </c>
      <c r="E2503" s="2" t="s">
        <v>24645</v>
      </c>
      <c r="G2503" s="3" t="s">
        <v>65</v>
      </c>
      <c r="I2503" s="3" t="s">
        <v>65</v>
      </c>
      <c r="J2503" s="3" t="s">
        <v>65</v>
      </c>
      <c r="K2503" s="3" t="s">
        <v>66</v>
      </c>
      <c r="L2503" s="2" t="s">
        <v>24572</v>
      </c>
      <c r="M2503" s="2" t="s">
        <v>24646</v>
      </c>
      <c r="N2503" s="3" t="s">
        <v>2460</v>
      </c>
      <c r="P2503" s="3" t="s">
        <v>69</v>
      </c>
      <c r="R2503" s="3" t="s">
        <v>71</v>
      </c>
      <c r="S2503" s="4">
        <v>10</v>
      </c>
      <c r="T2503" s="4">
        <v>10</v>
      </c>
      <c r="U2503" s="5" t="s">
        <v>24606</v>
      </c>
      <c r="V2503" s="5" t="s">
        <v>24606</v>
      </c>
      <c r="W2503" s="5" t="s">
        <v>72</v>
      </c>
      <c r="X2503" s="5" t="s">
        <v>72</v>
      </c>
      <c r="Y2503" s="4">
        <v>269</v>
      </c>
      <c r="Z2503" s="4">
        <v>10</v>
      </c>
      <c r="AA2503" s="4">
        <v>11</v>
      </c>
      <c r="AB2503" s="4">
        <v>2</v>
      </c>
      <c r="AC2503" s="4">
        <v>2</v>
      </c>
      <c r="AD2503" s="4">
        <v>82</v>
      </c>
      <c r="AE2503" s="4">
        <v>83</v>
      </c>
      <c r="AF2503" s="4">
        <v>0</v>
      </c>
      <c r="AG2503" s="4">
        <v>0</v>
      </c>
      <c r="AH2503" s="4">
        <v>77</v>
      </c>
      <c r="AI2503" s="4">
        <v>78</v>
      </c>
      <c r="AJ2503" s="4">
        <v>4</v>
      </c>
      <c r="AK2503" s="4">
        <v>5</v>
      </c>
      <c r="AL2503" s="4">
        <v>50</v>
      </c>
      <c r="AM2503" s="4">
        <v>50</v>
      </c>
      <c r="AN2503" s="4">
        <v>0</v>
      </c>
      <c r="AO2503" s="4">
        <v>0</v>
      </c>
      <c r="AP2503" s="4">
        <v>4</v>
      </c>
      <c r="AQ2503" s="4">
        <v>5</v>
      </c>
      <c r="AR2503" s="3" t="s">
        <v>65</v>
      </c>
      <c r="AS2503" s="3" t="s">
        <v>65</v>
      </c>
      <c r="AT2503" s="3" t="s">
        <v>209</v>
      </c>
      <c r="AU2503" s="6" t="str">
        <f>HYPERLINK("http://catalog.hathitrust.org/Record/000925677","HathiTrust Record")</f>
        <v>HathiTrust Record</v>
      </c>
      <c r="AV2503" s="6" t="str">
        <f>HYPERLINK("http://mcgill.on.worldcat.org/oclc/16527836","Catalog Record")</f>
        <v>Catalog Record</v>
      </c>
      <c r="AW2503" s="6" t="str">
        <f>HYPERLINK("http://www.worldcat.org/oclc/16527836","WorldCat Record")</f>
        <v>WorldCat Record</v>
      </c>
      <c r="AX2503" s="3" t="s">
        <v>24647</v>
      </c>
      <c r="AY2503" s="3" t="s">
        <v>24648</v>
      </c>
      <c r="AZ2503" s="3" t="s">
        <v>24649</v>
      </c>
      <c r="BA2503" s="3" t="s">
        <v>24649</v>
      </c>
      <c r="BB2503" s="3" t="s">
        <v>24650</v>
      </c>
      <c r="BC2503" s="3" t="s">
        <v>77</v>
      </c>
      <c r="BD2503" s="3" t="s">
        <v>78</v>
      </c>
      <c r="BE2503" s="3" t="s">
        <v>24651</v>
      </c>
      <c r="BF2503" s="3" t="s">
        <v>24650</v>
      </c>
      <c r="BG2503" s="3" t="s">
        <v>24652</v>
      </c>
    </row>
    <row r="2504" spans="1:59" ht="58" x14ac:dyDescent="0.35">
      <c r="A2504" s="2" t="s">
        <v>59</v>
      </c>
      <c r="B2504" s="2" t="s">
        <v>60</v>
      </c>
      <c r="C2504" s="2" t="s">
        <v>24653</v>
      </c>
      <c r="D2504" s="2" t="s">
        <v>24654</v>
      </c>
      <c r="E2504" s="2" t="s">
        <v>24655</v>
      </c>
      <c r="G2504" s="3" t="s">
        <v>65</v>
      </c>
      <c r="I2504" s="3" t="s">
        <v>65</v>
      </c>
      <c r="J2504" s="3" t="s">
        <v>65</v>
      </c>
      <c r="K2504" s="3" t="s">
        <v>66</v>
      </c>
      <c r="L2504" s="2" t="s">
        <v>24572</v>
      </c>
      <c r="M2504" s="2" t="s">
        <v>24656</v>
      </c>
      <c r="N2504" s="3" t="s">
        <v>831</v>
      </c>
      <c r="O2504" s="2" t="s">
        <v>654</v>
      </c>
      <c r="P2504" s="3" t="s">
        <v>140</v>
      </c>
      <c r="Q2504" s="2" t="s">
        <v>24657</v>
      </c>
      <c r="R2504" s="3" t="s">
        <v>71</v>
      </c>
      <c r="S2504" s="4">
        <v>2</v>
      </c>
      <c r="T2504" s="4">
        <v>2</v>
      </c>
      <c r="U2504" s="5" t="s">
        <v>11274</v>
      </c>
      <c r="V2504" s="5" t="s">
        <v>11274</v>
      </c>
      <c r="W2504" s="5" t="s">
        <v>72</v>
      </c>
      <c r="X2504" s="5" t="s">
        <v>72</v>
      </c>
      <c r="Y2504" s="4">
        <v>62</v>
      </c>
      <c r="Z2504" s="4">
        <v>8</v>
      </c>
      <c r="AA2504" s="4">
        <v>9</v>
      </c>
      <c r="AB2504" s="4">
        <v>1</v>
      </c>
      <c r="AC2504" s="4">
        <v>1</v>
      </c>
      <c r="AD2504" s="4">
        <v>30</v>
      </c>
      <c r="AE2504" s="4">
        <v>44</v>
      </c>
      <c r="AF2504" s="4">
        <v>0</v>
      </c>
      <c r="AG2504" s="4">
        <v>0</v>
      </c>
      <c r="AH2504" s="4">
        <v>28</v>
      </c>
      <c r="AI2504" s="4">
        <v>41</v>
      </c>
      <c r="AJ2504" s="4">
        <v>6</v>
      </c>
      <c r="AK2504" s="4">
        <v>7</v>
      </c>
      <c r="AL2504" s="4">
        <v>18</v>
      </c>
      <c r="AM2504" s="4">
        <v>28</v>
      </c>
      <c r="AN2504" s="4">
        <v>0</v>
      </c>
      <c r="AO2504" s="4">
        <v>0</v>
      </c>
      <c r="AP2504" s="4">
        <v>6</v>
      </c>
      <c r="AQ2504" s="4">
        <v>7</v>
      </c>
      <c r="AR2504" s="3" t="s">
        <v>65</v>
      </c>
      <c r="AS2504" s="3" t="s">
        <v>65</v>
      </c>
      <c r="AT2504" s="3" t="s">
        <v>209</v>
      </c>
      <c r="AU2504" s="6" t="str">
        <f>HYPERLINK("http://catalog.hathitrust.org/Record/006682572","HathiTrust Record")</f>
        <v>HathiTrust Record</v>
      </c>
      <c r="AV2504" s="6" t="str">
        <f>HYPERLINK("http://mcgill.on.worldcat.org/oclc/10454424","Catalog Record")</f>
        <v>Catalog Record</v>
      </c>
      <c r="AW2504" s="6" t="str">
        <f>HYPERLINK("http://www.worldcat.org/oclc/10454424","WorldCat Record")</f>
        <v>WorldCat Record</v>
      </c>
      <c r="AX2504" s="3" t="s">
        <v>24658</v>
      </c>
      <c r="AY2504" s="3" t="s">
        <v>24659</v>
      </c>
      <c r="AZ2504" s="3" t="s">
        <v>24660</v>
      </c>
      <c r="BA2504" s="3" t="s">
        <v>24660</v>
      </c>
      <c r="BB2504" s="3" t="s">
        <v>24661</v>
      </c>
      <c r="BC2504" s="3" t="s">
        <v>77</v>
      </c>
      <c r="BD2504" s="3" t="s">
        <v>78</v>
      </c>
      <c r="BF2504" s="3" t="s">
        <v>24661</v>
      </c>
      <c r="BG2504" s="3" t="s">
        <v>24662</v>
      </c>
    </row>
    <row r="2505" spans="1:59" ht="58" x14ac:dyDescent="0.35">
      <c r="A2505" s="2" t="s">
        <v>59</v>
      </c>
      <c r="B2505" s="2" t="s">
        <v>60</v>
      </c>
      <c r="C2505" s="2" t="s">
        <v>24663</v>
      </c>
      <c r="D2505" s="2" t="s">
        <v>24664</v>
      </c>
      <c r="E2505" s="2" t="s">
        <v>24665</v>
      </c>
      <c r="G2505" s="3" t="s">
        <v>65</v>
      </c>
      <c r="I2505" s="3" t="s">
        <v>65</v>
      </c>
      <c r="J2505" s="3" t="s">
        <v>65</v>
      </c>
      <c r="K2505" s="3" t="s">
        <v>66</v>
      </c>
      <c r="L2505" s="2" t="s">
        <v>24572</v>
      </c>
      <c r="M2505" s="2" t="s">
        <v>24666</v>
      </c>
      <c r="N2505" s="3" t="s">
        <v>11109</v>
      </c>
      <c r="P2505" s="3" t="s">
        <v>140</v>
      </c>
      <c r="R2505" s="3" t="s">
        <v>71</v>
      </c>
      <c r="S2505" s="4">
        <v>1</v>
      </c>
      <c r="T2505" s="4">
        <v>1</v>
      </c>
      <c r="U2505" s="5" t="s">
        <v>2631</v>
      </c>
      <c r="V2505" s="5" t="s">
        <v>2631</v>
      </c>
      <c r="W2505" s="5" t="s">
        <v>72</v>
      </c>
      <c r="X2505" s="5" t="s">
        <v>72</v>
      </c>
      <c r="Y2505" s="4">
        <v>30</v>
      </c>
      <c r="Z2505" s="4">
        <v>3</v>
      </c>
      <c r="AA2505" s="4">
        <v>4</v>
      </c>
      <c r="AB2505" s="4">
        <v>1</v>
      </c>
      <c r="AC2505" s="4">
        <v>1</v>
      </c>
      <c r="AD2505" s="4">
        <v>13</v>
      </c>
      <c r="AE2505" s="4">
        <v>24</v>
      </c>
      <c r="AF2505" s="4">
        <v>0</v>
      </c>
      <c r="AG2505" s="4">
        <v>0</v>
      </c>
      <c r="AH2505" s="4">
        <v>13</v>
      </c>
      <c r="AI2505" s="4">
        <v>24</v>
      </c>
      <c r="AJ2505" s="4">
        <v>1</v>
      </c>
      <c r="AK2505" s="4">
        <v>1</v>
      </c>
      <c r="AL2505" s="4">
        <v>9</v>
      </c>
      <c r="AM2505" s="4">
        <v>16</v>
      </c>
      <c r="AN2505" s="4">
        <v>0</v>
      </c>
      <c r="AO2505" s="4">
        <v>0</v>
      </c>
      <c r="AP2505" s="4">
        <v>1</v>
      </c>
      <c r="AQ2505" s="4">
        <v>1</v>
      </c>
      <c r="AR2505" s="3" t="s">
        <v>65</v>
      </c>
      <c r="AS2505" s="3" t="s">
        <v>65</v>
      </c>
      <c r="AT2505" s="3" t="s">
        <v>65</v>
      </c>
      <c r="AU2505" s="6" t="str">
        <f>HYPERLINK("http://catalog.hathitrust.org/Record/008913920","HathiTrust Record")</f>
        <v>HathiTrust Record</v>
      </c>
      <c r="AV2505" s="6" t="str">
        <f>HYPERLINK("http://mcgill.on.worldcat.org/oclc/2739001","Catalog Record")</f>
        <v>Catalog Record</v>
      </c>
      <c r="AW2505" s="6" t="str">
        <f>HYPERLINK("http://www.worldcat.org/oclc/2739001","WorldCat Record")</f>
        <v>WorldCat Record</v>
      </c>
      <c r="AX2505" s="3" t="s">
        <v>24667</v>
      </c>
      <c r="AY2505" s="3" t="s">
        <v>24668</v>
      </c>
      <c r="AZ2505" s="3" t="s">
        <v>24669</v>
      </c>
      <c r="BA2505" s="3" t="s">
        <v>24669</v>
      </c>
      <c r="BB2505" s="3" t="s">
        <v>24670</v>
      </c>
      <c r="BC2505" s="3" t="s">
        <v>77</v>
      </c>
      <c r="BD2505" s="3" t="s">
        <v>78</v>
      </c>
      <c r="BF2505" s="3" t="s">
        <v>24670</v>
      </c>
      <c r="BG2505" s="3" t="s">
        <v>24671</v>
      </c>
    </row>
    <row r="2506" spans="1:59" ht="58" x14ac:dyDescent="0.35">
      <c r="A2506" s="2" t="s">
        <v>59</v>
      </c>
      <c r="B2506" s="2" t="s">
        <v>60</v>
      </c>
      <c r="C2506" s="2" t="s">
        <v>24672</v>
      </c>
      <c r="D2506" s="2" t="s">
        <v>24673</v>
      </c>
      <c r="E2506" s="2" t="s">
        <v>24674</v>
      </c>
      <c r="G2506" s="3" t="s">
        <v>65</v>
      </c>
      <c r="I2506" s="3" t="s">
        <v>65</v>
      </c>
      <c r="J2506" s="3" t="s">
        <v>65</v>
      </c>
      <c r="K2506" s="3" t="s">
        <v>66</v>
      </c>
      <c r="L2506" s="2" t="s">
        <v>24572</v>
      </c>
      <c r="M2506" s="2" t="s">
        <v>24675</v>
      </c>
      <c r="N2506" s="3" t="s">
        <v>24676</v>
      </c>
      <c r="P2506" s="3" t="s">
        <v>140</v>
      </c>
      <c r="R2506" s="3" t="s">
        <v>71</v>
      </c>
      <c r="S2506" s="4">
        <v>2</v>
      </c>
      <c r="T2506" s="4">
        <v>2</v>
      </c>
      <c r="U2506" s="5" t="s">
        <v>11274</v>
      </c>
      <c r="V2506" s="5" t="s">
        <v>11274</v>
      </c>
      <c r="W2506" s="5" t="s">
        <v>72</v>
      </c>
      <c r="X2506" s="5" t="s">
        <v>72</v>
      </c>
      <c r="Y2506" s="4">
        <v>3</v>
      </c>
      <c r="Z2506" s="4">
        <v>1</v>
      </c>
      <c r="AA2506" s="4">
        <v>11</v>
      </c>
      <c r="AB2506" s="4">
        <v>1</v>
      </c>
      <c r="AC2506" s="4">
        <v>1</v>
      </c>
      <c r="AD2506" s="4">
        <v>2</v>
      </c>
      <c r="AE2506" s="4">
        <v>20</v>
      </c>
      <c r="AF2506" s="4">
        <v>0</v>
      </c>
      <c r="AG2506" s="4">
        <v>0</v>
      </c>
      <c r="AH2506" s="4">
        <v>1</v>
      </c>
      <c r="AI2506" s="4">
        <v>15</v>
      </c>
      <c r="AJ2506" s="4">
        <v>0</v>
      </c>
      <c r="AK2506" s="4">
        <v>4</v>
      </c>
      <c r="AL2506" s="4">
        <v>2</v>
      </c>
      <c r="AM2506" s="4">
        <v>12</v>
      </c>
      <c r="AN2506" s="4">
        <v>0</v>
      </c>
      <c r="AO2506" s="4">
        <v>0</v>
      </c>
      <c r="AP2506" s="4">
        <v>0</v>
      </c>
      <c r="AQ2506" s="4">
        <v>6</v>
      </c>
      <c r="AR2506" s="3" t="s">
        <v>65</v>
      </c>
      <c r="AS2506" s="3" t="s">
        <v>65</v>
      </c>
      <c r="AT2506" s="3" t="s">
        <v>65</v>
      </c>
      <c r="AV2506" s="6" t="str">
        <f>HYPERLINK("http://mcgill.on.worldcat.org/oclc/9348495","Catalog Record")</f>
        <v>Catalog Record</v>
      </c>
      <c r="AW2506" s="6" t="str">
        <f>HYPERLINK("http://www.worldcat.org/oclc/9348495","WorldCat Record")</f>
        <v>WorldCat Record</v>
      </c>
      <c r="AX2506" s="3" t="s">
        <v>24677</v>
      </c>
      <c r="AY2506" s="3" t="s">
        <v>24678</v>
      </c>
      <c r="AZ2506" s="3" t="s">
        <v>24679</v>
      </c>
      <c r="BA2506" s="3" t="s">
        <v>24679</v>
      </c>
      <c r="BB2506" s="3" t="s">
        <v>24680</v>
      </c>
      <c r="BC2506" s="3" t="s">
        <v>77</v>
      </c>
      <c r="BD2506" s="3" t="s">
        <v>78</v>
      </c>
      <c r="BF2506" s="3" t="s">
        <v>24680</v>
      </c>
      <c r="BG2506" s="3" t="s">
        <v>24681</v>
      </c>
    </row>
    <row r="2507" spans="1:59" ht="58" x14ac:dyDescent="0.35">
      <c r="A2507" s="2" t="s">
        <v>59</v>
      </c>
      <c r="B2507" s="2" t="s">
        <v>60</v>
      </c>
      <c r="C2507" s="2" t="s">
        <v>24682</v>
      </c>
      <c r="D2507" s="2" t="s">
        <v>24683</v>
      </c>
      <c r="E2507" s="2" t="s">
        <v>24684</v>
      </c>
      <c r="G2507" s="3" t="s">
        <v>65</v>
      </c>
      <c r="I2507" s="3" t="s">
        <v>65</v>
      </c>
      <c r="J2507" s="3" t="s">
        <v>209</v>
      </c>
      <c r="K2507" s="3" t="s">
        <v>66</v>
      </c>
      <c r="L2507" s="2" t="s">
        <v>24572</v>
      </c>
      <c r="M2507" s="2" t="s">
        <v>24685</v>
      </c>
      <c r="N2507" s="3" t="s">
        <v>7039</v>
      </c>
      <c r="P2507" s="3" t="s">
        <v>140</v>
      </c>
      <c r="Q2507" s="2" t="s">
        <v>24686</v>
      </c>
      <c r="R2507" s="3" t="s">
        <v>71</v>
      </c>
      <c r="S2507" s="4">
        <v>7</v>
      </c>
      <c r="T2507" s="4">
        <v>7</v>
      </c>
      <c r="U2507" s="5" t="s">
        <v>11408</v>
      </c>
      <c r="V2507" s="5" t="s">
        <v>11408</v>
      </c>
      <c r="W2507" s="5" t="s">
        <v>72</v>
      </c>
      <c r="X2507" s="5" t="s">
        <v>72</v>
      </c>
      <c r="Y2507" s="4">
        <v>8</v>
      </c>
      <c r="Z2507" s="4">
        <v>2</v>
      </c>
      <c r="AA2507" s="4">
        <v>16</v>
      </c>
      <c r="AB2507" s="4">
        <v>1</v>
      </c>
      <c r="AC2507" s="4">
        <v>4</v>
      </c>
      <c r="AD2507" s="4">
        <v>2</v>
      </c>
      <c r="AE2507" s="4">
        <v>54</v>
      </c>
      <c r="AF2507" s="4">
        <v>0</v>
      </c>
      <c r="AG2507" s="4">
        <v>1</v>
      </c>
      <c r="AH2507" s="4">
        <v>2</v>
      </c>
      <c r="AI2507" s="4">
        <v>49</v>
      </c>
      <c r="AJ2507" s="4">
        <v>1</v>
      </c>
      <c r="AK2507" s="4">
        <v>9</v>
      </c>
      <c r="AL2507" s="4">
        <v>0</v>
      </c>
      <c r="AM2507" s="4">
        <v>33</v>
      </c>
      <c r="AN2507" s="4">
        <v>0</v>
      </c>
      <c r="AO2507" s="4">
        <v>1</v>
      </c>
      <c r="AP2507" s="4">
        <v>1</v>
      </c>
      <c r="AQ2507" s="4">
        <v>11</v>
      </c>
      <c r="AR2507" s="3" t="s">
        <v>65</v>
      </c>
      <c r="AS2507" s="3" t="s">
        <v>65</v>
      </c>
      <c r="AT2507" s="3" t="s">
        <v>65</v>
      </c>
      <c r="AV2507" s="6" t="str">
        <f>HYPERLINK("http://mcgill.on.worldcat.org/oclc/10601384","Catalog Record")</f>
        <v>Catalog Record</v>
      </c>
      <c r="AW2507" s="6" t="str">
        <f>HYPERLINK("http://www.worldcat.org/oclc/10601384","WorldCat Record")</f>
        <v>WorldCat Record</v>
      </c>
      <c r="AX2507" s="3" t="s">
        <v>24687</v>
      </c>
      <c r="AY2507" s="3" t="s">
        <v>24688</v>
      </c>
      <c r="AZ2507" s="3" t="s">
        <v>24689</v>
      </c>
      <c r="BA2507" s="3" t="s">
        <v>24689</v>
      </c>
      <c r="BB2507" s="3" t="s">
        <v>24690</v>
      </c>
      <c r="BC2507" s="3" t="s">
        <v>77</v>
      </c>
      <c r="BD2507" s="3" t="s">
        <v>78</v>
      </c>
      <c r="BF2507" s="3" t="s">
        <v>24690</v>
      </c>
      <c r="BG2507" s="3" t="s">
        <v>24691</v>
      </c>
    </row>
    <row r="2508" spans="1:59" ht="58" x14ac:dyDescent="0.35">
      <c r="A2508" s="2" t="s">
        <v>59</v>
      </c>
      <c r="B2508" s="2" t="s">
        <v>60</v>
      </c>
      <c r="C2508" s="2" t="s">
        <v>24692</v>
      </c>
      <c r="D2508" s="2" t="s">
        <v>24693</v>
      </c>
      <c r="E2508" s="2" t="s">
        <v>24694</v>
      </c>
      <c r="G2508" s="3" t="s">
        <v>65</v>
      </c>
      <c r="I2508" s="3" t="s">
        <v>65</v>
      </c>
      <c r="J2508" s="3" t="s">
        <v>65</v>
      </c>
      <c r="K2508" s="3" t="s">
        <v>66</v>
      </c>
      <c r="L2508" s="2" t="s">
        <v>24572</v>
      </c>
      <c r="M2508" s="2" t="s">
        <v>24695</v>
      </c>
      <c r="N2508" s="3" t="s">
        <v>99</v>
      </c>
      <c r="P2508" s="3" t="s">
        <v>69</v>
      </c>
      <c r="R2508" s="3" t="s">
        <v>71</v>
      </c>
      <c r="S2508" s="4">
        <v>8</v>
      </c>
      <c r="T2508" s="4">
        <v>8</v>
      </c>
      <c r="U2508" s="5" t="s">
        <v>24606</v>
      </c>
      <c r="V2508" s="5" t="s">
        <v>24606</v>
      </c>
      <c r="W2508" s="5" t="s">
        <v>72</v>
      </c>
      <c r="X2508" s="5" t="s">
        <v>72</v>
      </c>
      <c r="Y2508" s="4">
        <v>145</v>
      </c>
      <c r="Z2508" s="4">
        <v>11</v>
      </c>
      <c r="AA2508" s="4">
        <v>11</v>
      </c>
      <c r="AB2508" s="4">
        <v>1</v>
      </c>
      <c r="AC2508" s="4">
        <v>1</v>
      </c>
      <c r="AD2508" s="4">
        <v>81</v>
      </c>
      <c r="AE2508" s="4">
        <v>81</v>
      </c>
      <c r="AF2508" s="4">
        <v>0</v>
      </c>
      <c r="AG2508" s="4">
        <v>0</v>
      </c>
      <c r="AH2508" s="4">
        <v>78</v>
      </c>
      <c r="AI2508" s="4">
        <v>78</v>
      </c>
      <c r="AJ2508" s="4">
        <v>9</v>
      </c>
      <c r="AK2508" s="4">
        <v>9</v>
      </c>
      <c r="AL2508" s="4">
        <v>47</v>
      </c>
      <c r="AM2508" s="4">
        <v>47</v>
      </c>
      <c r="AN2508" s="4">
        <v>0</v>
      </c>
      <c r="AO2508" s="4">
        <v>0</v>
      </c>
      <c r="AP2508" s="4">
        <v>9</v>
      </c>
      <c r="AQ2508" s="4">
        <v>9</v>
      </c>
      <c r="AR2508" s="3" t="s">
        <v>65</v>
      </c>
      <c r="AS2508" s="3" t="s">
        <v>65</v>
      </c>
      <c r="AT2508" s="3" t="s">
        <v>209</v>
      </c>
      <c r="AU2508" s="6" t="str">
        <f>HYPERLINK("http://catalog.hathitrust.org/Record/005229670","HathiTrust Record")</f>
        <v>HathiTrust Record</v>
      </c>
      <c r="AV2508" s="6" t="str">
        <f>HYPERLINK("http://mcgill.on.worldcat.org/oclc/62290586","Catalog Record")</f>
        <v>Catalog Record</v>
      </c>
      <c r="AW2508" s="6" t="str">
        <f>HYPERLINK("http://www.worldcat.org/oclc/62290586","WorldCat Record")</f>
        <v>WorldCat Record</v>
      </c>
      <c r="AX2508" s="3" t="s">
        <v>24696</v>
      </c>
      <c r="AY2508" s="3" t="s">
        <v>24697</v>
      </c>
      <c r="AZ2508" s="3" t="s">
        <v>24698</v>
      </c>
      <c r="BA2508" s="3" t="s">
        <v>24698</v>
      </c>
      <c r="BB2508" s="3" t="s">
        <v>24699</v>
      </c>
      <c r="BC2508" s="3" t="s">
        <v>77</v>
      </c>
      <c r="BD2508" s="3" t="s">
        <v>78</v>
      </c>
      <c r="BE2508" s="3" t="s">
        <v>24700</v>
      </c>
      <c r="BF2508" s="3" t="s">
        <v>24699</v>
      </c>
      <c r="BG2508" s="3" t="s">
        <v>24701</v>
      </c>
    </row>
    <row r="2509" spans="1:59" ht="58" x14ac:dyDescent="0.35">
      <c r="A2509" s="2" t="s">
        <v>59</v>
      </c>
      <c r="B2509" s="2" t="s">
        <v>60</v>
      </c>
      <c r="C2509" s="2" t="s">
        <v>24702</v>
      </c>
      <c r="D2509" s="2" t="s">
        <v>24703</v>
      </c>
      <c r="E2509" s="2" t="s">
        <v>24704</v>
      </c>
      <c r="G2509" s="3" t="s">
        <v>65</v>
      </c>
      <c r="I2509" s="3" t="s">
        <v>65</v>
      </c>
      <c r="J2509" s="3" t="s">
        <v>209</v>
      </c>
      <c r="K2509" s="3" t="s">
        <v>66</v>
      </c>
      <c r="L2509" s="2" t="s">
        <v>24572</v>
      </c>
      <c r="M2509" s="2" t="s">
        <v>24705</v>
      </c>
      <c r="N2509" s="3" t="s">
        <v>8188</v>
      </c>
      <c r="P2509" s="3" t="s">
        <v>69</v>
      </c>
      <c r="Q2509" s="2" t="s">
        <v>24706</v>
      </c>
      <c r="R2509" s="3" t="s">
        <v>71</v>
      </c>
      <c r="S2509" s="4">
        <v>6</v>
      </c>
      <c r="T2509" s="4">
        <v>6</v>
      </c>
      <c r="U2509" s="5" t="s">
        <v>24707</v>
      </c>
      <c r="V2509" s="5" t="s">
        <v>24707</v>
      </c>
      <c r="W2509" s="5" t="s">
        <v>72</v>
      </c>
      <c r="X2509" s="5" t="s">
        <v>72</v>
      </c>
      <c r="Y2509" s="4">
        <v>67</v>
      </c>
      <c r="Z2509" s="4">
        <v>6</v>
      </c>
      <c r="AA2509" s="4">
        <v>24</v>
      </c>
      <c r="AB2509" s="4">
        <v>3</v>
      </c>
      <c r="AC2509" s="4">
        <v>5</v>
      </c>
      <c r="AD2509" s="4">
        <v>24</v>
      </c>
      <c r="AE2509" s="4">
        <v>109</v>
      </c>
      <c r="AF2509" s="4">
        <v>1</v>
      </c>
      <c r="AG2509" s="4">
        <v>2</v>
      </c>
      <c r="AH2509" s="4">
        <v>23</v>
      </c>
      <c r="AI2509" s="4">
        <v>98</v>
      </c>
      <c r="AJ2509" s="4">
        <v>1</v>
      </c>
      <c r="AK2509" s="4">
        <v>11</v>
      </c>
      <c r="AL2509" s="4">
        <v>16</v>
      </c>
      <c r="AM2509" s="4">
        <v>56</v>
      </c>
      <c r="AN2509" s="4">
        <v>0</v>
      </c>
      <c r="AO2509" s="4">
        <v>5</v>
      </c>
      <c r="AP2509" s="4">
        <v>2</v>
      </c>
      <c r="AQ2509" s="4">
        <v>15</v>
      </c>
      <c r="AR2509" s="3" t="s">
        <v>65</v>
      </c>
      <c r="AS2509" s="3" t="s">
        <v>65</v>
      </c>
      <c r="AT2509" s="3" t="s">
        <v>209</v>
      </c>
      <c r="AU2509" s="6" t="str">
        <f>HYPERLINK("http://catalog.hathitrust.org/Record/006191124","HathiTrust Record")</f>
        <v>HathiTrust Record</v>
      </c>
      <c r="AV2509" s="6" t="str">
        <f>HYPERLINK("http://mcgill.on.worldcat.org/oclc/14967097","Catalog Record")</f>
        <v>Catalog Record</v>
      </c>
      <c r="AW2509" s="6" t="str">
        <f>HYPERLINK("http://www.worldcat.org/oclc/14967097","WorldCat Record")</f>
        <v>WorldCat Record</v>
      </c>
      <c r="AX2509" s="3" t="s">
        <v>24708</v>
      </c>
      <c r="AY2509" s="3" t="s">
        <v>24709</v>
      </c>
      <c r="AZ2509" s="3" t="s">
        <v>24710</v>
      </c>
      <c r="BA2509" s="3" t="s">
        <v>24710</v>
      </c>
      <c r="BB2509" s="3" t="s">
        <v>24711</v>
      </c>
      <c r="BC2509" s="3" t="s">
        <v>77</v>
      </c>
      <c r="BD2509" s="3" t="s">
        <v>78</v>
      </c>
      <c r="BE2509" s="3" t="s">
        <v>24712</v>
      </c>
      <c r="BF2509" s="3" t="s">
        <v>24711</v>
      </c>
      <c r="BG2509" s="3" t="s">
        <v>24713</v>
      </c>
    </row>
    <row r="2510" spans="1:59" ht="58" x14ac:dyDescent="0.35">
      <c r="A2510" s="2" t="s">
        <v>59</v>
      </c>
      <c r="B2510" s="2" t="s">
        <v>60</v>
      </c>
      <c r="C2510" s="2" t="s">
        <v>24714</v>
      </c>
      <c r="D2510" s="2" t="s">
        <v>24715</v>
      </c>
      <c r="E2510" s="2" t="s">
        <v>24716</v>
      </c>
      <c r="G2510" s="3" t="s">
        <v>65</v>
      </c>
      <c r="I2510" s="3" t="s">
        <v>65</v>
      </c>
      <c r="J2510" s="3" t="s">
        <v>65</v>
      </c>
      <c r="K2510" s="3" t="s">
        <v>66</v>
      </c>
      <c r="L2510" s="2" t="s">
        <v>24572</v>
      </c>
      <c r="M2510" s="2" t="s">
        <v>24717</v>
      </c>
      <c r="N2510" s="3" t="s">
        <v>24718</v>
      </c>
      <c r="P2510" s="3" t="s">
        <v>140</v>
      </c>
      <c r="Q2510" s="2" t="s">
        <v>24719</v>
      </c>
      <c r="R2510" s="3" t="s">
        <v>71</v>
      </c>
      <c r="S2510" s="4">
        <v>4</v>
      </c>
      <c r="T2510" s="4">
        <v>4</v>
      </c>
      <c r="U2510" s="5" t="s">
        <v>11274</v>
      </c>
      <c r="V2510" s="5" t="s">
        <v>11274</v>
      </c>
      <c r="W2510" s="5" t="s">
        <v>72</v>
      </c>
      <c r="X2510" s="5" t="s">
        <v>72</v>
      </c>
      <c r="Y2510" s="4">
        <v>29</v>
      </c>
      <c r="Z2510" s="4">
        <v>1</v>
      </c>
      <c r="AA2510" s="4">
        <v>1</v>
      </c>
      <c r="AB2510" s="4">
        <v>1</v>
      </c>
      <c r="AC2510" s="4">
        <v>1</v>
      </c>
      <c r="AD2510" s="4">
        <v>12</v>
      </c>
      <c r="AE2510" s="4">
        <v>14</v>
      </c>
      <c r="AF2510" s="4">
        <v>0</v>
      </c>
      <c r="AG2510" s="4">
        <v>0</v>
      </c>
      <c r="AH2510" s="4">
        <v>11</v>
      </c>
      <c r="AI2510" s="4">
        <v>13</v>
      </c>
      <c r="AJ2510" s="4">
        <v>0</v>
      </c>
      <c r="AK2510" s="4">
        <v>0</v>
      </c>
      <c r="AL2510" s="4">
        <v>8</v>
      </c>
      <c r="AM2510" s="4">
        <v>9</v>
      </c>
      <c r="AN2510" s="4">
        <v>0</v>
      </c>
      <c r="AO2510" s="4">
        <v>0</v>
      </c>
      <c r="AP2510" s="4">
        <v>0</v>
      </c>
      <c r="AQ2510" s="4">
        <v>0</v>
      </c>
      <c r="AR2510" s="3" t="s">
        <v>65</v>
      </c>
      <c r="AS2510" s="3" t="s">
        <v>65</v>
      </c>
      <c r="AT2510" s="3" t="s">
        <v>65</v>
      </c>
      <c r="AU2510" s="6" t="str">
        <f>HYPERLINK("http://catalog.hathitrust.org/Record/009104965","HathiTrust Record")</f>
        <v>HathiTrust Record</v>
      </c>
      <c r="AV2510" s="6" t="str">
        <f>HYPERLINK("http://mcgill.on.worldcat.org/oclc/8411778","Catalog Record")</f>
        <v>Catalog Record</v>
      </c>
      <c r="AW2510" s="6" t="str">
        <f>HYPERLINK("http://www.worldcat.org/oclc/8411778","WorldCat Record")</f>
        <v>WorldCat Record</v>
      </c>
      <c r="AX2510" s="3" t="s">
        <v>24720</v>
      </c>
      <c r="AY2510" s="3" t="s">
        <v>24721</v>
      </c>
      <c r="AZ2510" s="3" t="s">
        <v>24722</v>
      </c>
      <c r="BA2510" s="3" t="s">
        <v>24722</v>
      </c>
      <c r="BB2510" s="3" t="s">
        <v>24723</v>
      </c>
      <c r="BC2510" s="3" t="s">
        <v>77</v>
      </c>
      <c r="BD2510" s="3" t="s">
        <v>78</v>
      </c>
      <c r="BF2510" s="3" t="s">
        <v>24723</v>
      </c>
      <c r="BG2510" s="3" t="s">
        <v>24724</v>
      </c>
    </row>
    <row r="2511" spans="1:59" ht="58" x14ac:dyDescent="0.35">
      <c r="A2511" s="2" t="s">
        <v>59</v>
      </c>
      <c r="B2511" s="2" t="s">
        <v>60</v>
      </c>
      <c r="C2511" s="2" t="s">
        <v>24725</v>
      </c>
      <c r="D2511" s="2" t="s">
        <v>24726</v>
      </c>
      <c r="E2511" s="2" t="s">
        <v>24727</v>
      </c>
      <c r="G2511" s="3" t="s">
        <v>65</v>
      </c>
      <c r="I2511" s="3" t="s">
        <v>65</v>
      </c>
      <c r="J2511" s="3" t="s">
        <v>65</v>
      </c>
      <c r="K2511" s="3" t="s">
        <v>66</v>
      </c>
      <c r="L2511" s="2" t="s">
        <v>24572</v>
      </c>
      <c r="M2511" s="2" t="s">
        <v>24728</v>
      </c>
      <c r="N2511" s="3" t="s">
        <v>16247</v>
      </c>
      <c r="P2511" s="3" t="s">
        <v>140</v>
      </c>
      <c r="R2511" s="3" t="s">
        <v>71</v>
      </c>
      <c r="S2511" s="4">
        <v>4</v>
      </c>
      <c r="T2511" s="4">
        <v>4</v>
      </c>
      <c r="U2511" s="5" t="s">
        <v>11274</v>
      </c>
      <c r="V2511" s="5" t="s">
        <v>11274</v>
      </c>
      <c r="W2511" s="5" t="s">
        <v>72</v>
      </c>
      <c r="X2511" s="5" t="s">
        <v>72</v>
      </c>
      <c r="Y2511" s="4">
        <v>1</v>
      </c>
      <c r="Z2511" s="4">
        <v>1</v>
      </c>
      <c r="AA2511" s="4">
        <v>4</v>
      </c>
      <c r="AB2511" s="4">
        <v>1</v>
      </c>
      <c r="AC2511" s="4">
        <v>1</v>
      </c>
      <c r="AD2511" s="4">
        <v>0</v>
      </c>
      <c r="AE2511" s="4">
        <v>11</v>
      </c>
      <c r="AF2511" s="4">
        <v>0</v>
      </c>
      <c r="AG2511" s="4">
        <v>0</v>
      </c>
      <c r="AH2511" s="4">
        <v>0</v>
      </c>
      <c r="AI2511" s="4">
        <v>10</v>
      </c>
      <c r="AJ2511" s="4">
        <v>0</v>
      </c>
      <c r="AK2511" s="4">
        <v>2</v>
      </c>
      <c r="AL2511" s="4">
        <v>0</v>
      </c>
      <c r="AM2511" s="4">
        <v>7</v>
      </c>
      <c r="AN2511" s="4">
        <v>0</v>
      </c>
      <c r="AO2511" s="4">
        <v>0</v>
      </c>
      <c r="AP2511" s="4">
        <v>0</v>
      </c>
      <c r="AQ2511" s="4">
        <v>2</v>
      </c>
      <c r="AR2511" s="3" t="s">
        <v>65</v>
      </c>
      <c r="AS2511" s="3" t="s">
        <v>65</v>
      </c>
      <c r="AT2511" s="3" t="s">
        <v>65</v>
      </c>
      <c r="AV2511" s="6" t="str">
        <f>HYPERLINK("http://mcgill.on.worldcat.org/oclc/427226243","Catalog Record")</f>
        <v>Catalog Record</v>
      </c>
      <c r="AW2511" s="6" t="str">
        <f>HYPERLINK("http://www.worldcat.org/oclc/427226243","WorldCat Record")</f>
        <v>WorldCat Record</v>
      </c>
      <c r="AX2511" s="3" t="s">
        <v>24729</v>
      </c>
      <c r="AY2511" s="3" t="s">
        <v>24730</v>
      </c>
      <c r="AZ2511" s="3" t="s">
        <v>24731</v>
      </c>
      <c r="BA2511" s="3" t="s">
        <v>24731</v>
      </c>
      <c r="BB2511" s="3" t="s">
        <v>24732</v>
      </c>
      <c r="BC2511" s="3" t="s">
        <v>77</v>
      </c>
      <c r="BD2511" s="3" t="s">
        <v>78</v>
      </c>
      <c r="BF2511" s="3" t="s">
        <v>24732</v>
      </c>
      <c r="BG2511" s="3" t="s">
        <v>24733</v>
      </c>
    </row>
    <row r="2512" spans="1:59" ht="58" x14ac:dyDescent="0.35">
      <c r="A2512" s="2" t="s">
        <v>59</v>
      </c>
      <c r="B2512" s="2" t="s">
        <v>60</v>
      </c>
      <c r="C2512" s="2" t="s">
        <v>24734</v>
      </c>
      <c r="D2512" s="2" t="s">
        <v>24735</v>
      </c>
      <c r="E2512" s="2" t="s">
        <v>24736</v>
      </c>
      <c r="G2512" s="3" t="s">
        <v>65</v>
      </c>
      <c r="I2512" s="3" t="s">
        <v>65</v>
      </c>
      <c r="J2512" s="3" t="s">
        <v>65</v>
      </c>
      <c r="K2512" s="3" t="s">
        <v>66</v>
      </c>
      <c r="L2512" s="2" t="s">
        <v>24572</v>
      </c>
      <c r="M2512" s="2" t="s">
        <v>24389</v>
      </c>
      <c r="N2512" s="3" t="s">
        <v>1835</v>
      </c>
      <c r="O2512" s="2" t="s">
        <v>654</v>
      </c>
      <c r="P2512" s="3" t="s">
        <v>140</v>
      </c>
      <c r="Q2512" s="2" t="s">
        <v>7116</v>
      </c>
      <c r="R2512" s="3" t="s">
        <v>71</v>
      </c>
      <c r="S2512" s="4">
        <v>2</v>
      </c>
      <c r="T2512" s="4">
        <v>2</v>
      </c>
      <c r="U2512" s="5" t="s">
        <v>4547</v>
      </c>
      <c r="V2512" s="5" t="s">
        <v>4547</v>
      </c>
      <c r="W2512" s="5" t="s">
        <v>72</v>
      </c>
      <c r="X2512" s="5" t="s">
        <v>72</v>
      </c>
      <c r="Y2512" s="4">
        <v>117</v>
      </c>
      <c r="Z2512" s="4">
        <v>7</v>
      </c>
      <c r="AA2512" s="4">
        <v>8</v>
      </c>
      <c r="AB2512" s="4">
        <v>1</v>
      </c>
      <c r="AC2512" s="4">
        <v>1</v>
      </c>
      <c r="AD2512" s="4">
        <v>45</v>
      </c>
      <c r="AE2512" s="4">
        <v>50</v>
      </c>
      <c r="AF2512" s="4">
        <v>0</v>
      </c>
      <c r="AG2512" s="4">
        <v>0</v>
      </c>
      <c r="AH2512" s="4">
        <v>42</v>
      </c>
      <c r="AI2512" s="4">
        <v>47</v>
      </c>
      <c r="AJ2512" s="4">
        <v>5</v>
      </c>
      <c r="AK2512" s="4">
        <v>6</v>
      </c>
      <c r="AL2512" s="4">
        <v>28</v>
      </c>
      <c r="AM2512" s="4">
        <v>30</v>
      </c>
      <c r="AN2512" s="4">
        <v>0</v>
      </c>
      <c r="AO2512" s="4">
        <v>0</v>
      </c>
      <c r="AP2512" s="4">
        <v>5</v>
      </c>
      <c r="AQ2512" s="4">
        <v>6</v>
      </c>
      <c r="AR2512" s="3" t="s">
        <v>65</v>
      </c>
      <c r="AS2512" s="3" t="s">
        <v>65</v>
      </c>
      <c r="AT2512" s="3" t="s">
        <v>209</v>
      </c>
      <c r="AU2512" s="6" t="str">
        <f>HYPERLINK("http://catalog.hathitrust.org/Record/000307535","HathiTrust Record")</f>
        <v>HathiTrust Record</v>
      </c>
      <c r="AV2512" s="6" t="str">
        <f>HYPERLINK("http://mcgill.on.worldcat.org/oclc/8016533","Catalog Record")</f>
        <v>Catalog Record</v>
      </c>
      <c r="AW2512" s="6" t="str">
        <f>HYPERLINK("http://www.worldcat.org/oclc/8016533","WorldCat Record")</f>
        <v>WorldCat Record</v>
      </c>
      <c r="AX2512" s="3" t="s">
        <v>24737</v>
      </c>
      <c r="AY2512" s="3" t="s">
        <v>24738</v>
      </c>
      <c r="AZ2512" s="3" t="s">
        <v>24739</v>
      </c>
      <c r="BA2512" s="3" t="s">
        <v>24739</v>
      </c>
      <c r="BB2512" s="3" t="s">
        <v>24740</v>
      </c>
      <c r="BC2512" s="3" t="s">
        <v>77</v>
      </c>
      <c r="BD2512" s="3" t="s">
        <v>78</v>
      </c>
      <c r="BE2512" s="3" t="s">
        <v>24741</v>
      </c>
      <c r="BF2512" s="3" t="s">
        <v>24740</v>
      </c>
      <c r="BG2512" s="3" t="s">
        <v>24742</v>
      </c>
    </row>
    <row r="2513" spans="1:59" ht="58" x14ac:dyDescent="0.35">
      <c r="A2513" s="2" t="s">
        <v>59</v>
      </c>
      <c r="B2513" s="2" t="s">
        <v>60</v>
      </c>
      <c r="C2513" s="2" t="s">
        <v>24743</v>
      </c>
      <c r="D2513" s="2" t="s">
        <v>24744</v>
      </c>
      <c r="E2513" s="2" t="s">
        <v>24745</v>
      </c>
      <c r="G2513" s="3" t="s">
        <v>65</v>
      </c>
      <c r="I2513" s="3" t="s">
        <v>65</v>
      </c>
      <c r="J2513" s="3" t="s">
        <v>65</v>
      </c>
      <c r="K2513" s="3" t="s">
        <v>66</v>
      </c>
      <c r="L2513" s="2" t="s">
        <v>24572</v>
      </c>
      <c r="M2513" s="2" t="s">
        <v>24746</v>
      </c>
      <c r="N2513" s="3" t="s">
        <v>955</v>
      </c>
      <c r="P2513" s="3" t="s">
        <v>140</v>
      </c>
      <c r="Q2513" s="2" t="s">
        <v>24747</v>
      </c>
      <c r="R2513" s="3" t="s">
        <v>71</v>
      </c>
      <c r="S2513" s="4">
        <v>2</v>
      </c>
      <c r="T2513" s="4">
        <v>2</v>
      </c>
      <c r="U2513" s="5" t="s">
        <v>11274</v>
      </c>
      <c r="V2513" s="5" t="s">
        <v>11274</v>
      </c>
      <c r="W2513" s="5" t="s">
        <v>72</v>
      </c>
      <c r="X2513" s="5" t="s">
        <v>72</v>
      </c>
      <c r="Y2513" s="4">
        <v>48</v>
      </c>
      <c r="Z2513" s="4">
        <v>4</v>
      </c>
      <c r="AA2513" s="4">
        <v>4</v>
      </c>
      <c r="AB2513" s="4">
        <v>1</v>
      </c>
      <c r="AC2513" s="4">
        <v>1</v>
      </c>
      <c r="AD2513" s="4">
        <v>20</v>
      </c>
      <c r="AE2513" s="4">
        <v>20</v>
      </c>
      <c r="AF2513" s="4">
        <v>0</v>
      </c>
      <c r="AG2513" s="4">
        <v>0</v>
      </c>
      <c r="AH2513" s="4">
        <v>20</v>
      </c>
      <c r="AI2513" s="4">
        <v>20</v>
      </c>
      <c r="AJ2513" s="4">
        <v>2</v>
      </c>
      <c r="AK2513" s="4">
        <v>2</v>
      </c>
      <c r="AL2513" s="4">
        <v>13</v>
      </c>
      <c r="AM2513" s="4">
        <v>13</v>
      </c>
      <c r="AN2513" s="4">
        <v>0</v>
      </c>
      <c r="AO2513" s="4">
        <v>0</v>
      </c>
      <c r="AP2513" s="4">
        <v>2</v>
      </c>
      <c r="AQ2513" s="4">
        <v>2</v>
      </c>
      <c r="AR2513" s="3" t="s">
        <v>65</v>
      </c>
      <c r="AS2513" s="3" t="s">
        <v>65</v>
      </c>
      <c r="AT2513" s="3" t="s">
        <v>209</v>
      </c>
      <c r="AU2513" s="6" t="str">
        <f>HYPERLINK("http://catalog.hathitrust.org/Record/000307532","HathiTrust Record")</f>
        <v>HathiTrust Record</v>
      </c>
      <c r="AV2513" s="6" t="str">
        <f>HYPERLINK("http://mcgill.on.worldcat.org/oclc/8606854","Catalog Record")</f>
        <v>Catalog Record</v>
      </c>
      <c r="AW2513" s="6" t="str">
        <f>HYPERLINK("http://www.worldcat.org/oclc/8606854","WorldCat Record")</f>
        <v>WorldCat Record</v>
      </c>
      <c r="AX2513" s="3" t="s">
        <v>24748</v>
      </c>
      <c r="AY2513" s="3" t="s">
        <v>24749</v>
      </c>
      <c r="AZ2513" s="3" t="s">
        <v>24750</v>
      </c>
      <c r="BA2513" s="3" t="s">
        <v>24750</v>
      </c>
      <c r="BB2513" s="3" t="s">
        <v>24751</v>
      </c>
      <c r="BC2513" s="3" t="s">
        <v>77</v>
      </c>
      <c r="BD2513" s="3" t="s">
        <v>78</v>
      </c>
      <c r="BF2513" s="3" t="s">
        <v>24751</v>
      </c>
      <c r="BG2513" s="3" t="s">
        <v>24752</v>
      </c>
    </row>
    <row r="2514" spans="1:59" ht="58" x14ac:dyDescent="0.35">
      <c r="A2514" s="2" t="s">
        <v>59</v>
      </c>
      <c r="B2514" s="2" t="s">
        <v>60</v>
      </c>
      <c r="C2514" s="2" t="s">
        <v>24753</v>
      </c>
      <c r="D2514" s="2" t="s">
        <v>24754</v>
      </c>
      <c r="E2514" s="2" t="s">
        <v>24755</v>
      </c>
      <c r="G2514" s="3" t="s">
        <v>65</v>
      </c>
      <c r="I2514" s="3" t="s">
        <v>65</v>
      </c>
      <c r="J2514" s="3" t="s">
        <v>65</v>
      </c>
      <c r="K2514" s="3" t="s">
        <v>66</v>
      </c>
      <c r="L2514" s="2" t="s">
        <v>24572</v>
      </c>
      <c r="M2514" s="2" t="s">
        <v>24756</v>
      </c>
      <c r="N2514" s="3" t="s">
        <v>5060</v>
      </c>
      <c r="O2514" s="2" t="s">
        <v>24757</v>
      </c>
      <c r="P2514" s="3" t="s">
        <v>140</v>
      </c>
      <c r="Q2514" s="2" t="s">
        <v>24758</v>
      </c>
      <c r="R2514" s="3" t="s">
        <v>71</v>
      </c>
      <c r="S2514" s="4">
        <v>2</v>
      </c>
      <c r="T2514" s="4">
        <v>2</v>
      </c>
      <c r="U2514" s="5" t="s">
        <v>11274</v>
      </c>
      <c r="V2514" s="5" t="s">
        <v>11274</v>
      </c>
      <c r="W2514" s="5" t="s">
        <v>72</v>
      </c>
      <c r="X2514" s="5" t="s">
        <v>72</v>
      </c>
      <c r="Y2514" s="4">
        <v>25</v>
      </c>
      <c r="Z2514" s="4">
        <v>4</v>
      </c>
      <c r="AA2514" s="4">
        <v>7</v>
      </c>
      <c r="AB2514" s="4">
        <v>2</v>
      </c>
      <c r="AC2514" s="4">
        <v>2</v>
      </c>
      <c r="AD2514" s="4">
        <v>11</v>
      </c>
      <c r="AE2514" s="4">
        <v>17</v>
      </c>
      <c r="AF2514" s="4">
        <v>0</v>
      </c>
      <c r="AG2514" s="4">
        <v>0</v>
      </c>
      <c r="AH2514" s="4">
        <v>10</v>
      </c>
      <c r="AI2514" s="4">
        <v>15</v>
      </c>
      <c r="AJ2514" s="4">
        <v>2</v>
      </c>
      <c r="AK2514" s="4">
        <v>3</v>
      </c>
      <c r="AL2514" s="4">
        <v>7</v>
      </c>
      <c r="AM2514" s="4">
        <v>9</v>
      </c>
      <c r="AN2514" s="4">
        <v>0</v>
      </c>
      <c r="AO2514" s="4">
        <v>0</v>
      </c>
      <c r="AP2514" s="4">
        <v>2</v>
      </c>
      <c r="AQ2514" s="4">
        <v>4</v>
      </c>
      <c r="AR2514" s="3" t="s">
        <v>65</v>
      </c>
      <c r="AS2514" s="3" t="s">
        <v>65</v>
      </c>
      <c r="AT2514" s="3" t="s">
        <v>65</v>
      </c>
      <c r="AV2514" s="6" t="str">
        <f>HYPERLINK("http://mcgill.on.worldcat.org/oclc/12284978","Catalog Record")</f>
        <v>Catalog Record</v>
      </c>
      <c r="AW2514" s="6" t="str">
        <f>HYPERLINK("http://www.worldcat.org/oclc/12284978","WorldCat Record")</f>
        <v>WorldCat Record</v>
      </c>
      <c r="AX2514" s="3" t="s">
        <v>24759</v>
      </c>
      <c r="AY2514" s="3" t="s">
        <v>24760</v>
      </c>
      <c r="AZ2514" s="3" t="s">
        <v>24761</v>
      </c>
      <c r="BA2514" s="3" t="s">
        <v>24761</v>
      </c>
      <c r="BB2514" s="3" t="s">
        <v>24762</v>
      </c>
      <c r="BC2514" s="3" t="s">
        <v>77</v>
      </c>
      <c r="BD2514" s="3" t="s">
        <v>78</v>
      </c>
      <c r="BF2514" s="3" t="s">
        <v>24762</v>
      </c>
      <c r="BG2514" s="3" t="s">
        <v>24763</v>
      </c>
    </row>
    <row r="2515" spans="1:59" ht="58" x14ac:dyDescent="0.35">
      <c r="A2515" s="2" t="s">
        <v>59</v>
      </c>
      <c r="B2515" s="2" t="s">
        <v>60</v>
      </c>
      <c r="C2515" s="2" t="s">
        <v>24764</v>
      </c>
      <c r="D2515" s="2" t="s">
        <v>24765</v>
      </c>
      <c r="E2515" s="2" t="s">
        <v>24766</v>
      </c>
      <c r="G2515" s="3" t="s">
        <v>65</v>
      </c>
      <c r="I2515" s="3" t="s">
        <v>65</v>
      </c>
      <c r="J2515" s="3" t="s">
        <v>65</v>
      </c>
      <c r="K2515" s="3" t="s">
        <v>66</v>
      </c>
      <c r="M2515" s="2" t="s">
        <v>24767</v>
      </c>
      <c r="N2515" s="3" t="s">
        <v>113</v>
      </c>
      <c r="O2515" s="2" t="s">
        <v>365</v>
      </c>
      <c r="P2515" s="3" t="s">
        <v>140</v>
      </c>
      <c r="Q2515" s="2" t="s">
        <v>24768</v>
      </c>
      <c r="R2515" s="3" t="s">
        <v>71</v>
      </c>
      <c r="S2515" s="4">
        <v>0</v>
      </c>
      <c r="T2515" s="4">
        <v>0</v>
      </c>
      <c r="W2515" s="5" t="s">
        <v>72</v>
      </c>
      <c r="X2515" s="5" t="s">
        <v>72</v>
      </c>
      <c r="Y2515" s="4">
        <v>35</v>
      </c>
      <c r="Z2515" s="4">
        <v>3</v>
      </c>
      <c r="AA2515" s="4">
        <v>3</v>
      </c>
      <c r="AB2515" s="4">
        <v>1</v>
      </c>
      <c r="AC2515" s="4">
        <v>1</v>
      </c>
      <c r="AD2515" s="4">
        <v>24</v>
      </c>
      <c r="AE2515" s="4">
        <v>24</v>
      </c>
      <c r="AF2515" s="4">
        <v>0</v>
      </c>
      <c r="AG2515" s="4">
        <v>0</v>
      </c>
      <c r="AH2515" s="4">
        <v>23</v>
      </c>
      <c r="AI2515" s="4">
        <v>23</v>
      </c>
      <c r="AJ2515" s="4">
        <v>1</v>
      </c>
      <c r="AK2515" s="4">
        <v>1</v>
      </c>
      <c r="AL2515" s="4">
        <v>19</v>
      </c>
      <c r="AM2515" s="4">
        <v>19</v>
      </c>
      <c r="AN2515" s="4">
        <v>0</v>
      </c>
      <c r="AO2515" s="4">
        <v>0</v>
      </c>
      <c r="AP2515" s="4">
        <v>1</v>
      </c>
      <c r="AQ2515" s="4">
        <v>1</v>
      </c>
      <c r="AR2515" s="3" t="s">
        <v>65</v>
      </c>
      <c r="AS2515" s="3" t="s">
        <v>65</v>
      </c>
      <c r="AT2515" s="3" t="s">
        <v>65</v>
      </c>
      <c r="AV2515" s="6" t="str">
        <f>HYPERLINK("http://mcgill.on.worldcat.org/oclc/668179275","Catalog Record")</f>
        <v>Catalog Record</v>
      </c>
      <c r="AW2515" s="6" t="str">
        <f>HYPERLINK("http://www.worldcat.org/oclc/668179275","WorldCat Record")</f>
        <v>WorldCat Record</v>
      </c>
      <c r="AX2515" s="3" t="s">
        <v>24769</v>
      </c>
      <c r="AY2515" s="3" t="s">
        <v>24770</v>
      </c>
      <c r="AZ2515" s="3" t="s">
        <v>24771</v>
      </c>
      <c r="BA2515" s="3" t="s">
        <v>24771</v>
      </c>
      <c r="BB2515" s="3" t="s">
        <v>24772</v>
      </c>
      <c r="BC2515" s="3" t="s">
        <v>77</v>
      </c>
      <c r="BD2515" s="3" t="s">
        <v>78</v>
      </c>
      <c r="BE2515" s="3" t="s">
        <v>24773</v>
      </c>
      <c r="BF2515" s="3" t="s">
        <v>24772</v>
      </c>
      <c r="BG2515" s="3" t="s">
        <v>24774</v>
      </c>
    </row>
    <row r="2516" spans="1:59" ht="58" x14ac:dyDescent="0.35">
      <c r="A2516" s="2" t="s">
        <v>59</v>
      </c>
      <c r="B2516" s="2" t="s">
        <v>60</v>
      </c>
      <c r="C2516" s="2" t="s">
        <v>24775</v>
      </c>
      <c r="D2516" s="2" t="s">
        <v>24776</v>
      </c>
      <c r="E2516" s="2" t="s">
        <v>24777</v>
      </c>
      <c r="G2516" s="3" t="s">
        <v>65</v>
      </c>
      <c r="I2516" s="3" t="s">
        <v>65</v>
      </c>
      <c r="J2516" s="3" t="s">
        <v>65</v>
      </c>
      <c r="K2516" s="3" t="s">
        <v>66</v>
      </c>
      <c r="M2516" s="2" t="s">
        <v>24778</v>
      </c>
      <c r="N2516" s="3" t="s">
        <v>113</v>
      </c>
      <c r="P2516" s="3" t="s">
        <v>140</v>
      </c>
      <c r="R2516" s="3" t="s">
        <v>71</v>
      </c>
      <c r="S2516" s="4">
        <v>0</v>
      </c>
      <c r="T2516" s="4">
        <v>0</v>
      </c>
      <c r="W2516" s="5" t="s">
        <v>72</v>
      </c>
      <c r="X2516" s="5" t="s">
        <v>72</v>
      </c>
      <c r="Y2516" s="4">
        <v>29</v>
      </c>
      <c r="Z2516" s="4">
        <v>4</v>
      </c>
      <c r="AA2516" s="4">
        <v>4</v>
      </c>
      <c r="AB2516" s="4">
        <v>1</v>
      </c>
      <c r="AC2516" s="4">
        <v>1</v>
      </c>
      <c r="AD2516" s="4">
        <v>20</v>
      </c>
      <c r="AE2516" s="4">
        <v>20</v>
      </c>
      <c r="AF2516" s="4">
        <v>0</v>
      </c>
      <c r="AG2516" s="4">
        <v>0</v>
      </c>
      <c r="AH2516" s="4">
        <v>19</v>
      </c>
      <c r="AI2516" s="4">
        <v>19</v>
      </c>
      <c r="AJ2516" s="4">
        <v>1</v>
      </c>
      <c r="AK2516" s="4">
        <v>1</v>
      </c>
      <c r="AL2516" s="4">
        <v>14</v>
      </c>
      <c r="AM2516" s="4">
        <v>14</v>
      </c>
      <c r="AN2516" s="4">
        <v>0</v>
      </c>
      <c r="AO2516" s="4">
        <v>0</v>
      </c>
      <c r="AP2516" s="4">
        <v>1</v>
      </c>
      <c r="AQ2516" s="4">
        <v>1</v>
      </c>
      <c r="AR2516" s="3" t="s">
        <v>65</v>
      </c>
      <c r="AS2516" s="3" t="s">
        <v>65</v>
      </c>
      <c r="AT2516" s="3" t="s">
        <v>65</v>
      </c>
      <c r="AV2516" s="6" t="str">
        <f>HYPERLINK("http://mcgill.on.worldcat.org/oclc/773668495","Catalog Record")</f>
        <v>Catalog Record</v>
      </c>
      <c r="AW2516" s="6" t="str">
        <f>HYPERLINK("http://www.worldcat.org/oclc/773668495","WorldCat Record")</f>
        <v>WorldCat Record</v>
      </c>
      <c r="AX2516" s="3" t="s">
        <v>24779</v>
      </c>
      <c r="AY2516" s="3" t="s">
        <v>24780</v>
      </c>
      <c r="AZ2516" s="3" t="s">
        <v>24781</v>
      </c>
      <c r="BA2516" s="3" t="s">
        <v>24781</v>
      </c>
      <c r="BB2516" s="3" t="s">
        <v>24782</v>
      </c>
      <c r="BC2516" s="3" t="s">
        <v>77</v>
      </c>
      <c r="BD2516" s="3" t="s">
        <v>78</v>
      </c>
      <c r="BE2516" s="3" t="s">
        <v>24783</v>
      </c>
      <c r="BF2516" s="3" t="s">
        <v>24782</v>
      </c>
      <c r="BG2516" s="3" t="s">
        <v>24784</v>
      </c>
    </row>
    <row r="2517" spans="1:59" ht="58" x14ac:dyDescent="0.35">
      <c r="A2517" s="2" t="s">
        <v>59</v>
      </c>
      <c r="B2517" s="2" t="s">
        <v>60</v>
      </c>
      <c r="C2517" s="2" t="s">
        <v>24785</v>
      </c>
      <c r="D2517" s="2" t="s">
        <v>24786</v>
      </c>
      <c r="E2517" s="2" t="s">
        <v>24787</v>
      </c>
      <c r="G2517" s="3" t="s">
        <v>65</v>
      </c>
      <c r="I2517" s="3" t="s">
        <v>65</v>
      </c>
      <c r="J2517" s="3" t="s">
        <v>65</v>
      </c>
      <c r="K2517" s="3" t="s">
        <v>66</v>
      </c>
      <c r="L2517" s="2" t="s">
        <v>24788</v>
      </c>
      <c r="M2517" s="2" t="s">
        <v>2256</v>
      </c>
      <c r="N2517" s="3" t="s">
        <v>126</v>
      </c>
      <c r="O2517" s="2" t="s">
        <v>654</v>
      </c>
      <c r="P2517" s="3" t="s">
        <v>140</v>
      </c>
      <c r="Q2517" s="2" t="s">
        <v>24789</v>
      </c>
      <c r="R2517" s="3" t="s">
        <v>71</v>
      </c>
      <c r="S2517" s="4">
        <v>0</v>
      </c>
      <c r="T2517" s="4">
        <v>0</v>
      </c>
      <c r="W2517" s="5" t="s">
        <v>72</v>
      </c>
      <c r="X2517" s="5" t="s">
        <v>72</v>
      </c>
      <c r="Y2517" s="4">
        <v>46</v>
      </c>
      <c r="Z2517" s="4">
        <v>6</v>
      </c>
      <c r="AA2517" s="4">
        <v>6</v>
      </c>
      <c r="AB2517" s="4">
        <v>1</v>
      </c>
      <c r="AC2517" s="4">
        <v>1</v>
      </c>
      <c r="AD2517" s="4">
        <v>34</v>
      </c>
      <c r="AE2517" s="4">
        <v>34</v>
      </c>
      <c r="AF2517" s="4">
        <v>0</v>
      </c>
      <c r="AG2517" s="4">
        <v>0</v>
      </c>
      <c r="AH2517" s="4">
        <v>33</v>
      </c>
      <c r="AI2517" s="4">
        <v>33</v>
      </c>
      <c r="AJ2517" s="4">
        <v>3</v>
      </c>
      <c r="AK2517" s="4">
        <v>3</v>
      </c>
      <c r="AL2517" s="4">
        <v>24</v>
      </c>
      <c r="AM2517" s="4">
        <v>24</v>
      </c>
      <c r="AN2517" s="4">
        <v>0</v>
      </c>
      <c r="AO2517" s="4">
        <v>0</v>
      </c>
      <c r="AP2517" s="4">
        <v>3</v>
      </c>
      <c r="AQ2517" s="4">
        <v>3</v>
      </c>
      <c r="AR2517" s="3" t="s">
        <v>65</v>
      </c>
      <c r="AS2517" s="3" t="s">
        <v>65</v>
      </c>
      <c r="AT2517" s="3" t="s">
        <v>65</v>
      </c>
      <c r="AV2517" s="6" t="str">
        <f>HYPERLINK("http://mcgill.on.worldcat.org/oclc/732280459","Catalog Record")</f>
        <v>Catalog Record</v>
      </c>
      <c r="AW2517" s="6" t="str">
        <f>HYPERLINK("http://www.worldcat.org/oclc/732280459","WorldCat Record")</f>
        <v>WorldCat Record</v>
      </c>
      <c r="AX2517" s="3" t="s">
        <v>24790</v>
      </c>
      <c r="AY2517" s="3" t="s">
        <v>24791</v>
      </c>
      <c r="AZ2517" s="3" t="s">
        <v>24792</v>
      </c>
      <c r="BA2517" s="3" t="s">
        <v>24792</v>
      </c>
      <c r="BB2517" s="3" t="s">
        <v>24793</v>
      </c>
      <c r="BC2517" s="3" t="s">
        <v>77</v>
      </c>
      <c r="BD2517" s="3" t="s">
        <v>78</v>
      </c>
      <c r="BE2517" s="3" t="s">
        <v>24794</v>
      </c>
      <c r="BF2517" s="3" t="s">
        <v>24793</v>
      </c>
      <c r="BG2517" s="3" t="s">
        <v>24795</v>
      </c>
    </row>
    <row r="2518" spans="1:59" ht="58" x14ac:dyDescent="0.35">
      <c r="A2518" s="2" t="s">
        <v>59</v>
      </c>
      <c r="B2518" s="2" t="s">
        <v>60</v>
      </c>
      <c r="C2518" s="2" t="s">
        <v>24796</v>
      </c>
      <c r="D2518" s="2" t="s">
        <v>24797</v>
      </c>
      <c r="E2518" s="2" t="s">
        <v>24798</v>
      </c>
      <c r="G2518" s="3" t="s">
        <v>65</v>
      </c>
      <c r="I2518" s="3" t="s">
        <v>65</v>
      </c>
      <c r="J2518" s="3" t="s">
        <v>65</v>
      </c>
      <c r="K2518" s="3" t="s">
        <v>66</v>
      </c>
      <c r="M2518" s="2" t="s">
        <v>24799</v>
      </c>
      <c r="N2518" s="3" t="s">
        <v>113</v>
      </c>
      <c r="P2518" s="3" t="s">
        <v>140</v>
      </c>
      <c r="R2518" s="3" t="s">
        <v>71</v>
      </c>
      <c r="S2518" s="4">
        <v>0</v>
      </c>
      <c r="T2518" s="4">
        <v>0</v>
      </c>
      <c r="W2518" s="5" t="s">
        <v>72</v>
      </c>
      <c r="X2518" s="5" t="s">
        <v>72</v>
      </c>
      <c r="Y2518" s="4">
        <v>28</v>
      </c>
      <c r="Z2518" s="4">
        <v>3</v>
      </c>
      <c r="AA2518" s="4">
        <v>3</v>
      </c>
      <c r="AB2518" s="4">
        <v>1</v>
      </c>
      <c r="AC2518" s="4">
        <v>1</v>
      </c>
      <c r="AD2518" s="4">
        <v>19</v>
      </c>
      <c r="AE2518" s="4">
        <v>19</v>
      </c>
      <c r="AF2518" s="4">
        <v>0</v>
      </c>
      <c r="AG2518" s="4">
        <v>0</v>
      </c>
      <c r="AH2518" s="4">
        <v>18</v>
      </c>
      <c r="AI2518" s="4">
        <v>18</v>
      </c>
      <c r="AJ2518" s="4">
        <v>1</v>
      </c>
      <c r="AK2518" s="4">
        <v>1</v>
      </c>
      <c r="AL2518" s="4">
        <v>14</v>
      </c>
      <c r="AM2518" s="4">
        <v>14</v>
      </c>
      <c r="AN2518" s="4">
        <v>0</v>
      </c>
      <c r="AO2518" s="4">
        <v>0</v>
      </c>
      <c r="AP2518" s="4">
        <v>1</v>
      </c>
      <c r="AQ2518" s="4">
        <v>1</v>
      </c>
      <c r="AR2518" s="3" t="s">
        <v>65</v>
      </c>
      <c r="AS2518" s="3" t="s">
        <v>65</v>
      </c>
      <c r="AT2518" s="3" t="s">
        <v>65</v>
      </c>
      <c r="AV2518" s="6" t="str">
        <f>HYPERLINK("http://mcgill.on.worldcat.org/oclc/773668497","Catalog Record")</f>
        <v>Catalog Record</v>
      </c>
      <c r="AW2518" s="6" t="str">
        <f>HYPERLINK("http://www.worldcat.org/oclc/773668497","WorldCat Record")</f>
        <v>WorldCat Record</v>
      </c>
      <c r="AX2518" s="3" t="s">
        <v>24800</v>
      </c>
      <c r="AY2518" s="3" t="s">
        <v>24801</v>
      </c>
      <c r="AZ2518" s="3" t="s">
        <v>24802</v>
      </c>
      <c r="BA2518" s="3" t="s">
        <v>24802</v>
      </c>
      <c r="BB2518" s="3" t="s">
        <v>24803</v>
      </c>
      <c r="BC2518" s="3" t="s">
        <v>77</v>
      </c>
      <c r="BD2518" s="3" t="s">
        <v>78</v>
      </c>
      <c r="BE2518" s="3" t="s">
        <v>24804</v>
      </c>
      <c r="BF2518" s="3" t="s">
        <v>24803</v>
      </c>
      <c r="BG2518" s="3" t="s">
        <v>24805</v>
      </c>
    </row>
    <row r="2519" spans="1:59" ht="58" x14ac:dyDescent="0.35">
      <c r="A2519" s="2" t="s">
        <v>59</v>
      </c>
      <c r="B2519" s="2" t="s">
        <v>60</v>
      </c>
      <c r="C2519" s="2" t="s">
        <v>24806</v>
      </c>
      <c r="D2519" s="2" t="s">
        <v>24807</v>
      </c>
      <c r="E2519" s="2" t="s">
        <v>24808</v>
      </c>
      <c r="G2519" s="3" t="s">
        <v>65</v>
      </c>
      <c r="I2519" s="3" t="s">
        <v>65</v>
      </c>
      <c r="J2519" s="3" t="s">
        <v>65</v>
      </c>
      <c r="K2519" s="3" t="s">
        <v>66</v>
      </c>
      <c r="L2519" s="2" t="s">
        <v>24809</v>
      </c>
      <c r="M2519" s="2" t="s">
        <v>24810</v>
      </c>
      <c r="N2519" s="3" t="s">
        <v>113</v>
      </c>
      <c r="P2519" s="3" t="s">
        <v>140</v>
      </c>
      <c r="Q2519" s="2" t="s">
        <v>24811</v>
      </c>
      <c r="R2519" s="3" t="s">
        <v>71</v>
      </c>
      <c r="S2519" s="4">
        <v>0</v>
      </c>
      <c r="T2519" s="4">
        <v>0</v>
      </c>
      <c r="W2519" s="5" t="s">
        <v>72</v>
      </c>
      <c r="X2519" s="5" t="s">
        <v>72</v>
      </c>
      <c r="Y2519" s="4">
        <v>39</v>
      </c>
      <c r="Z2519" s="4">
        <v>1</v>
      </c>
      <c r="AA2519" s="4">
        <v>1</v>
      </c>
      <c r="AB2519" s="4">
        <v>1</v>
      </c>
      <c r="AC2519" s="4">
        <v>1</v>
      </c>
      <c r="AD2519" s="4">
        <v>29</v>
      </c>
      <c r="AE2519" s="4">
        <v>29</v>
      </c>
      <c r="AF2519" s="4">
        <v>0</v>
      </c>
      <c r="AG2519" s="4">
        <v>0</v>
      </c>
      <c r="AH2519" s="4">
        <v>28</v>
      </c>
      <c r="AI2519" s="4">
        <v>28</v>
      </c>
      <c r="AJ2519" s="4">
        <v>0</v>
      </c>
      <c r="AK2519" s="4">
        <v>0</v>
      </c>
      <c r="AL2519" s="4">
        <v>23</v>
      </c>
      <c r="AM2519" s="4">
        <v>23</v>
      </c>
      <c r="AN2519" s="4">
        <v>0</v>
      </c>
      <c r="AO2519" s="4">
        <v>0</v>
      </c>
      <c r="AP2519" s="4">
        <v>0</v>
      </c>
      <c r="AQ2519" s="4">
        <v>0</v>
      </c>
      <c r="AR2519" s="3" t="s">
        <v>65</v>
      </c>
      <c r="AS2519" s="3" t="s">
        <v>65</v>
      </c>
      <c r="AT2519" s="3" t="s">
        <v>65</v>
      </c>
      <c r="AV2519" s="6" t="str">
        <f>HYPERLINK("http://mcgill.on.worldcat.org/oclc/646832774","Catalog Record")</f>
        <v>Catalog Record</v>
      </c>
      <c r="AW2519" s="6" t="str">
        <f>HYPERLINK("http://www.worldcat.org/oclc/646832774","WorldCat Record")</f>
        <v>WorldCat Record</v>
      </c>
      <c r="AX2519" s="3" t="s">
        <v>24812</v>
      </c>
      <c r="AY2519" s="3" t="s">
        <v>24813</v>
      </c>
      <c r="AZ2519" s="3" t="s">
        <v>24814</v>
      </c>
      <c r="BA2519" s="3" t="s">
        <v>24814</v>
      </c>
      <c r="BB2519" s="3" t="s">
        <v>24815</v>
      </c>
      <c r="BC2519" s="3" t="s">
        <v>77</v>
      </c>
      <c r="BD2519" s="3" t="s">
        <v>78</v>
      </c>
      <c r="BE2519" s="3" t="s">
        <v>24816</v>
      </c>
      <c r="BF2519" s="3" t="s">
        <v>24815</v>
      </c>
      <c r="BG2519" s="3" t="s">
        <v>24817</v>
      </c>
    </row>
    <row r="2520" spans="1:59" ht="58" x14ac:dyDescent="0.35">
      <c r="A2520" s="2" t="s">
        <v>59</v>
      </c>
      <c r="B2520" s="2" t="s">
        <v>60</v>
      </c>
      <c r="C2520" s="2" t="s">
        <v>24818</v>
      </c>
      <c r="D2520" s="2" t="s">
        <v>24819</v>
      </c>
      <c r="E2520" s="2" t="s">
        <v>24820</v>
      </c>
      <c r="G2520" s="3" t="s">
        <v>65</v>
      </c>
      <c r="I2520" s="3" t="s">
        <v>65</v>
      </c>
      <c r="J2520" s="3" t="s">
        <v>65</v>
      </c>
      <c r="K2520" s="3" t="s">
        <v>66</v>
      </c>
      <c r="L2520" s="2" t="s">
        <v>24821</v>
      </c>
      <c r="M2520" s="2" t="s">
        <v>24822</v>
      </c>
      <c r="N2520" s="3" t="s">
        <v>139</v>
      </c>
      <c r="P2520" s="3" t="s">
        <v>140</v>
      </c>
      <c r="Q2520" s="2" t="s">
        <v>24823</v>
      </c>
      <c r="R2520" s="3" t="s">
        <v>71</v>
      </c>
      <c r="S2520" s="4">
        <v>0</v>
      </c>
      <c r="T2520" s="4">
        <v>0</v>
      </c>
      <c r="W2520" s="5" t="s">
        <v>72</v>
      </c>
      <c r="X2520" s="5" t="s">
        <v>72</v>
      </c>
      <c r="Y2520" s="4">
        <v>34</v>
      </c>
      <c r="Z2520" s="4">
        <v>6</v>
      </c>
      <c r="AA2520" s="4">
        <v>6</v>
      </c>
      <c r="AB2520" s="4">
        <v>1</v>
      </c>
      <c r="AC2520" s="4">
        <v>1</v>
      </c>
      <c r="AD2520" s="4">
        <v>22</v>
      </c>
      <c r="AE2520" s="4">
        <v>22</v>
      </c>
      <c r="AF2520" s="4">
        <v>0</v>
      </c>
      <c r="AG2520" s="4">
        <v>0</v>
      </c>
      <c r="AH2520" s="4">
        <v>21</v>
      </c>
      <c r="AI2520" s="4">
        <v>21</v>
      </c>
      <c r="AJ2520" s="4">
        <v>3</v>
      </c>
      <c r="AK2520" s="4">
        <v>3</v>
      </c>
      <c r="AL2520" s="4">
        <v>17</v>
      </c>
      <c r="AM2520" s="4">
        <v>17</v>
      </c>
      <c r="AN2520" s="4">
        <v>0</v>
      </c>
      <c r="AO2520" s="4">
        <v>0</v>
      </c>
      <c r="AP2520" s="4">
        <v>3</v>
      </c>
      <c r="AQ2520" s="4">
        <v>3</v>
      </c>
      <c r="AR2520" s="3" t="s">
        <v>65</v>
      </c>
      <c r="AS2520" s="3" t="s">
        <v>65</v>
      </c>
      <c r="AT2520" s="3" t="s">
        <v>65</v>
      </c>
      <c r="AV2520" s="6" t="str">
        <f>HYPERLINK("http://mcgill.on.worldcat.org/oclc/817538809","Catalog Record")</f>
        <v>Catalog Record</v>
      </c>
      <c r="AW2520" s="6" t="str">
        <f>HYPERLINK("http://www.worldcat.org/oclc/817538809","WorldCat Record")</f>
        <v>WorldCat Record</v>
      </c>
      <c r="AX2520" s="3" t="s">
        <v>24824</v>
      </c>
      <c r="AY2520" s="3" t="s">
        <v>24825</v>
      </c>
      <c r="AZ2520" s="3" t="s">
        <v>24826</v>
      </c>
      <c r="BA2520" s="3" t="s">
        <v>24826</v>
      </c>
      <c r="BB2520" s="3" t="s">
        <v>24827</v>
      </c>
      <c r="BC2520" s="3" t="s">
        <v>77</v>
      </c>
      <c r="BD2520" s="3" t="s">
        <v>78</v>
      </c>
      <c r="BE2520" s="3" t="s">
        <v>24828</v>
      </c>
      <c r="BF2520" s="3" t="s">
        <v>24827</v>
      </c>
      <c r="BG2520" s="3" t="s">
        <v>24829</v>
      </c>
    </row>
    <row r="2521" spans="1:59" ht="58" x14ac:dyDescent="0.35">
      <c r="A2521" s="2" t="s">
        <v>59</v>
      </c>
      <c r="B2521" s="2" t="s">
        <v>60</v>
      </c>
      <c r="C2521" s="2" t="s">
        <v>24830</v>
      </c>
      <c r="D2521" s="2" t="s">
        <v>24831</v>
      </c>
      <c r="E2521" s="2" t="s">
        <v>24832</v>
      </c>
      <c r="G2521" s="3" t="s">
        <v>65</v>
      </c>
      <c r="I2521" s="3" t="s">
        <v>65</v>
      </c>
      <c r="J2521" s="3" t="s">
        <v>65</v>
      </c>
      <c r="K2521" s="3" t="s">
        <v>66</v>
      </c>
      <c r="M2521" s="2" t="s">
        <v>24833</v>
      </c>
      <c r="N2521" s="3" t="s">
        <v>113</v>
      </c>
      <c r="P2521" s="3" t="s">
        <v>140</v>
      </c>
      <c r="R2521" s="3" t="s">
        <v>71</v>
      </c>
      <c r="S2521" s="4">
        <v>0</v>
      </c>
      <c r="T2521" s="4">
        <v>0</v>
      </c>
      <c r="W2521" s="5" t="s">
        <v>72</v>
      </c>
      <c r="X2521" s="5" t="s">
        <v>72</v>
      </c>
      <c r="Y2521" s="4">
        <v>28</v>
      </c>
      <c r="Z2521" s="4">
        <v>3</v>
      </c>
      <c r="AA2521" s="4">
        <v>3</v>
      </c>
      <c r="AB2521" s="4">
        <v>1</v>
      </c>
      <c r="AC2521" s="4">
        <v>1</v>
      </c>
      <c r="AD2521" s="4">
        <v>19</v>
      </c>
      <c r="AE2521" s="4">
        <v>19</v>
      </c>
      <c r="AF2521" s="4">
        <v>0</v>
      </c>
      <c r="AG2521" s="4">
        <v>0</v>
      </c>
      <c r="AH2521" s="4">
        <v>18</v>
      </c>
      <c r="AI2521" s="4">
        <v>18</v>
      </c>
      <c r="AJ2521" s="4">
        <v>1</v>
      </c>
      <c r="AK2521" s="4">
        <v>1</v>
      </c>
      <c r="AL2521" s="4">
        <v>16</v>
      </c>
      <c r="AM2521" s="4">
        <v>16</v>
      </c>
      <c r="AN2521" s="4">
        <v>0</v>
      </c>
      <c r="AO2521" s="4">
        <v>0</v>
      </c>
      <c r="AP2521" s="4">
        <v>1</v>
      </c>
      <c r="AQ2521" s="4">
        <v>1</v>
      </c>
      <c r="AR2521" s="3" t="s">
        <v>65</v>
      </c>
      <c r="AS2521" s="3" t="s">
        <v>65</v>
      </c>
      <c r="AT2521" s="3" t="s">
        <v>65</v>
      </c>
      <c r="AV2521" s="6" t="str">
        <f>HYPERLINK("http://mcgill.on.worldcat.org/oclc/732279842","Catalog Record")</f>
        <v>Catalog Record</v>
      </c>
      <c r="AW2521" s="6" t="str">
        <f>HYPERLINK("http://www.worldcat.org/oclc/732279842","WorldCat Record")</f>
        <v>WorldCat Record</v>
      </c>
      <c r="AX2521" s="3" t="s">
        <v>24834</v>
      </c>
      <c r="AY2521" s="3" t="s">
        <v>24835</v>
      </c>
      <c r="AZ2521" s="3" t="s">
        <v>24836</v>
      </c>
      <c r="BA2521" s="3" t="s">
        <v>24836</v>
      </c>
      <c r="BB2521" s="3" t="s">
        <v>24837</v>
      </c>
      <c r="BC2521" s="3" t="s">
        <v>77</v>
      </c>
      <c r="BD2521" s="3" t="s">
        <v>78</v>
      </c>
      <c r="BE2521" s="3" t="s">
        <v>24838</v>
      </c>
      <c r="BF2521" s="3" t="s">
        <v>24837</v>
      </c>
      <c r="BG2521" s="3" t="s">
        <v>24839</v>
      </c>
    </row>
    <row r="2522" spans="1:59" ht="58" x14ac:dyDescent="0.35">
      <c r="A2522" s="2" t="s">
        <v>59</v>
      </c>
      <c r="B2522" s="2" t="s">
        <v>60</v>
      </c>
      <c r="C2522" s="2" t="s">
        <v>24840</v>
      </c>
      <c r="D2522" s="2" t="s">
        <v>24841</v>
      </c>
      <c r="E2522" s="2" t="s">
        <v>24842</v>
      </c>
      <c r="G2522" s="3" t="s">
        <v>65</v>
      </c>
      <c r="I2522" s="3" t="s">
        <v>65</v>
      </c>
      <c r="J2522" s="3" t="s">
        <v>65</v>
      </c>
      <c r="K2522" s="3" t="s">
        <v>66</v>
      </c>
      <c r="L2522" s="2" t="s">
        <v>24843</v>
      </c>
      <c r="M2522" s="2" t="s">
        <v>24844</v>
      </c>
      <c r="N2522" s="3" t="s">
        <v>113</v>
      </c>
      <c r="P2522" s="3" t="s">
        <v>140</v>
      </c>
      <c r="R2522" s="3" t="s">
        <v>71</v>
      </c>
      <c r="S2522" s="4">
        <v>0</v>
      </c>
      <c r="T2522" s="4">
        <v>0</v>
      </c>
      <c r="W2522" s="5" t="s">
        <v>72</v>
      </c>
      <c r="X2522" s="5" t="s">
        <v>72</v>
      </c>
      <c r="Y2522" s="4">
        <v>8</v>
      </c>
      <c r="Z2522" s="4">
        <v>1</v>
      </c>
      <c r="AA2522" s="4">
        <v>1</v>
      </c>
      <c r="AB2522" s="4">
        <v>1</v>
      </c>
      <c r="AC2522" s="4">
        <v>1</v>
      </c>
      <c r="AD2522" s="4">
        <v>6</v>
      </c>
      <c r="AE2522" s="4">
        <v>6</v>
      </c>
      <c r="AF2522" s="4">
        <v>0</v>
      </c>
      <c r="AG2522" s="4">
        <v>0</v>
      </c>
      <c r="AH2522" s="4">
        <v>6</v>
      </c>
      <c r="AI2522" s="4">
        <v>6</v>
      </c>
      <c r="AJ2522" s="4">
        <v>0</v>
      </c>
      <c r="AK2522" s="4">
        <v>0</v>
      </c>
      <c r="AL2522" s="4">
        <v>4</v>
      </c>
      <c r="AM2522" s="4">
        <v>4</v>
      </c>
      <c r="AN2522" s="4">
        <v>0</v>
      </c>
      <c r="AO2522" s="4">
        <v>0</v>
      </c>
      <c r="AP2522" s="4">
        <v>0</v>
      </c>
      <c r="AQ2522" s="4">
        <v>0</v>
      </c>
      <c r="AR2522" s="3" t="s">
        <v>65</v>
      </c>
      <c r="AS2522" s="3" t="s">
        <v>65</v>
      </c>
      <c r="AT2522" s="3" t="s">
        <v>65</v>
      </c>
      <c r="AV2522" s="6" t="str">
        <f>HYPERLINK("http://mcgill.on.worldcat.org/oclc/679933769","Catalog Record")</f>
        <v>Catalog Record</v>
      </c>
      <c r="AW2522" s="6" t="str">
        <f>HYPERLINK("http://www.worldcat.org/oclc/679933769","WorldCat Record")</f>
        <v>WorldCat Record</v>
      </c>
      <c r="AX2522" s="3" t="s">
        <v>24845</v>
      </c>
      <c r="AY2522" s="3" t="s">
        <v>24846</v>
      </c>
      <c r="AZ2522" s="3" t="s">
        <v>24847</v>
      </c>
      <c r="BA2522" s="3" t="s">
        <v>24847</v>
      </c>
      <c r="BB2522" s="3" t="s">
        <v>24848</v>
      </c>
      <c r="BC2522" s="3" t="s">
        <v>77</v>
      </c>
      <c r="BD2522" s="3" t="s">
        <v>78</v>
      </c>
      <c r="BE2522" s="3" t="s">
        <v>24849</v>
      </c>
      <c r="BF2522" s="3" t="s">
        <v>24848</v>
      </c>
      <c r="BG2522" s="3" t="s">
        <v>24850</v>
      </c>
    </row>
    <row r="2523" spans="1:59" ht="58" x14ac:dyDescent="0.35">
      <c r="A2523" s="2" t="s">
        <v>59</v>
      </c>
      <c r="B2523" s="2" t="s">
        <v>60</v>
      </c>
      <c r="C2523" s="2" t="s">
        <v>24851</v>
      </c>
      <c r="D2523" s="2" t="s">
        <v>24852</v>
      </c>
      <c r="E2523" s="2" t="s">
        <v>24853</v>
      </c>
      <c r="G2523" s="3" t="s">
        <v>65</v>
      </c>
      <c r="I2523" s="3" t="s">
        <v>65</v>
      </c>
      <c r="J2523" s="3" t="s">
        <v>65</v>
      </c>
      <c r="K2523" s="3" t="s">
        <v>66</v>
      </c>
      <c r="L2523" s="2" t="s">
        <v>24854</v>
      </c>
      <c r="M2523" s="2" t="s">
        <v>24855</v>
      </c>
      <c r="N2523" s="3" t="s">
        <v>126</v>
      </c>
      <c r="O2523" s="2" t="s">
        <v>365</v>
      </c>
      <c r="P2523" s="3" t="s">
        <v>140</v>
      </c>
      <c r="Q2523" s="2" t="s">
        <v>24856</v>
      </c>
      <c r="R2523" s="3" t="s">
        <v>71</v>
      </c>
      <c r="S2523" s="4">
        <v>0</v>
      </c>
      <c r="T2523" s="4">
        <v>0</v>
      </c>
      <c r="W2523" s="5" t="s">
        <v>72</v>
      </c>
      <c r="X2523" s="5" t="s">
        <v>72</v>
      </c>
      <c r="Y2523" s="4">
        <v>39</v>
      </c>
      <c r="Z2523" s="4">
        <v>3</v>
      </c>
      <c r="AA2523" s="4">
        <v>3</v>
      </c>
      <c r="AB2523" s="4">
        <v>1</v>
      </c>
      <c r="AC2523" s="4">
        <v>1</v>
      </c>
      <c r="AD2523" s="4">
        <v>28</v>
      </c>
      <c r="AE2523" s="4">
        <v>28</v>
      </c>
      <c r="AF2523" s="4">
        <v>0</v>
      </c>
      <c r="AG2523" s="4">
        <v>0</v>
      </c>
      <c r="AH2523" s="4">
        <v>27</v>
      </c>
      <c r="AI2523" s="4">
        <v>27</v>
      </c>
      <c r="AJ2523" s="4">
        <v>1</v>
      </c>
      <c r="AK2523" s="4">
        <v>1</v>
      </c>
      <c r="AL2523" s="4">
        <v>23</v>
      </c>
      <c r="AM2523" s="4">
        <v>23</v>
      </c>
      <c r="AN2523" s="4">
        <v>0</v>
      </c>
      <c r="AO2523" s="4">
        <v>0</v>
      </c>
      <c r="AP2523" s="4">
        <v>1</v>
      </c>
      <c r="AQ2523" s="4">
        <v>1</v>
      </c>
      <c r="AR2523" s="3" t="s">
        <v>65</v>
      </c>
      <c r="AS2523" s="3" t="s">
        <v>65</v>
      </c>
      <c r="AT2523" s="3" t="s">
        <v>65</v>
      </c>
      <c r="AV2523" s="6" t="str">
        <f>HYPERLINK("http://mcgill.on.worldcat.org/oclc/798053184","Catalog Record")</f>
        <v>Catalog Record</v>
      </c>
      <c r="AW2523" s="6" t="str">
        <f>HYPERLINK("http://www.worldcat.org/oclc/798053184","WorldCat Record")</f>
        <v>WorldCat Record</v>
      </c>
      <c r="AX2523" s="3" t="s">
        <v>24857</v>
      </c>
      <c r="AY2523" s="3" t="s">
        <v>24858</v>
      </c>
      <c r="AZ2523" s="3" t="s">
        <v>24859</v>
      </c>
      <c r="BA2523" s="3" t="s">
        <v>24859</v>
      </c>
      <c r="BB2523" s="3" t="s">
        <v>24860</v>
      </c>
      <c r="BC2523" s="3" t="s">
        <v>77</v>
      </c>
      <c r="BD2523" s="3" t="s">
        <v>78</v>
      </c>
      <c r="BE2523" s="3" t="s">
        <v>24861</v>
      </c>
      <c r="BF2523" s="3" t="s">
        <v>24860</v>
      </c>
      <c r="BG2523" s="3" t="s">
        <v>24862</v>
      </c>
    </row>
    <row r="2524" spans="1:59" ht="58" x14ac:dyDescent="0.35">
      <c r="A2524" s="2" t="s">
        <v>59</v>
      </c>
      <c r="B2524" s="2" t="s">
        <v>60</v>
      </c>
      <c r="C2524" s="2" t="s">
        <v>24863</v>
      </c>
      <c r="D2524" s="2" t="s">
        <v>24864</v>
      </c>
      <c r="E2524" s="2" t="s">
        <v>24865</v>
      </c>
      <c r="G2524" s="3" t="s">
        <v>65</v>
      </c>
      <c r="I2524" s="3" t="s">
        <v>65</v>
      </c>
      <c r="J2524" s="3" t="s">
        <v>65</v>
      </c>
      <c r="K2524" s="3" t="s">
        <v>66</v>
      </c>
      <c r="L2524" s="2" t="s">
        <v>24854</v>
      </c>
      <c r="M2524" s="2" t="s">
        <v>24866</v>
      </c>
      <c r="N2524" s="3" t="s">
        <v>126</v>
      </c>
      <c r="P2524" s="3" t="s">
        <v>140</v>
      </c>
      <c r="R2524" s="3" t="s">
        <v>71</v>
      </c>
      <c r="S2524" s="4">
        <v>0</v>
      </c>
      <c r="T2524" s="4">
        <v>0</v>
      </c>
      <c r="W2524" s="5" t="s">
        <v>72</v>
      </c>
      <c r="X2524" s="5" t="s">
        <v>72</v>
      </c>
      <c r="Y2524" s="4">
        <v>24</v>
      </c>
      <c r="Z2524" s="4">
        <v>3</v>
      </c>
      <c r="AA2524" s="4">
        <v>3</v>
      </c>
      <c r="AB2524" s="4">
        <v>1</v>
      </c>
      <c r="AC2524" s="4">
        <v>1</v>
      </c>
      <c r="AD2524" s="4">
        <v>16</v>
      </c>
      <c r="AE2524" s="4">
        <v>16</v>
      </c>
      <c r="AF2524" s="4">
        <v>0</v>
      </c>
      <c r="AG2524" s="4">
        <v>0</v>
      </c>
      <c r="AH2524" s="4">
        <v>15</v>
      </c>
      <c r="AI2524" s="4">
        <v>15</v>
      </c>
      <c r="AJ2524" s="4">
        <v>1</v>
      </c>
      <c r="AK2524" s="4">
        <v>1</v>
      </c>
      <c r="AL2524" s="4">
        <v>11</v>
      </c>
      <c r="AM2524" s="4">
        <v>11</v>
      </c>
      <c r="AN2524" s="4">
        <v>0</v>
      </c>
      <c r="AO2524" s="4">
        <v>0</v>
      </c>
      <c r="AP2524" s="4">
        <v>1</v>
      </c>
      <c r="AQ2524" s="4">
        <v>1</v>
      </c>
      <c r="AR2524" s="3" t="s">
        <v>65</v>
      </c>
      <c r="AS2524" s="3" t="s">
        <v>65</v>
      </c>
      <c r="AT2524" s="3" t="s">
        <v>65</v>
      </c>
      <c r="AV2524" s="6" t="str">
        <f>HYPERLINK("http://mcgill.on.worldcat.org/oclc/760053749","Catalog Record")</f>
        <v>Catalog Record</v>
      </c>
      <c r="AW2524" s="6" t="str">
        <f>HYPERLINK("http://www.worldcat.org/oclc/760053749","WorldCat Record")</f>
        <v>WorldCat Record</v>
      </c>
      <c r="AX2524" s="3" t="s">
        <v>24867</v>
      </c>
      <c r="AY2524" s="3" t="s">
        <v>24868</v>
      </c>
      <c r="AZ2524" s="3" t="s">
        <v>24869</v>
      </c>
      <c r="BA2524" s="3" t="s">
        <v>24869</v>
      </c>
      <c r="BB2524" s="3" t="s">
        <v>24870</v>
      </c>
      <c r="BC2524" s="3" t="s">
        <v>77</v>
      </c>
      <c r="BD2524" s="3" t="s">
        <v>78</v>
      </c>
      <c r="BE2524" s="3" t="s">
        <v>24871</v>
      </c>
      <c r="BF2524" s="3" t="s">
        <v>24870</v>
      </c>
      <c r="BG2524" s="3" t="s">
        <v>24872</v>
      </c>
    </row>
    <row r="2525" spans="1:59" ht="58" x14ac:dyDescent="0.35">
      <c r="A2525" s="2" t="s">
        <v>59</v>
      </c>
      <c r="B2525" s="2" t="s">
        <v>60</v>
      </c>
      <c r="C2525" s="2" t="s">
        <v>24873</v>
      </c>
      <c r="D2525" s="2" t="s">
        <v>24874</v>
      </c>
      <c r="E2525" s="2" t="s">
        <v>24875</v>
      </c>
      <c r="G2525" s="3" t="s">
        <v>65</v>
      </c>
      <c r="I2525" s="3" t="s">
        <v>65</v>
      </c>
      <c r="J2525" s="3" t="s">
        <v>65</v>
      </c>
      <c r="K2525" s="3" t="s">
        <v>66</v>
      </c>
      <c r="M2525" s="2" t="s">
        <v>24876</v>
      </c>
      <c r="N2525" s="3" t="s">
        <v>139</v>
      </c>
      <c r="P2525" s="3" t="s">
        <v>140</v>
      </c>
      <c r="Q2525" s="2" t="s">
        <v>24877</v>
      </c>
      <c r="R2525" s="3" t="s">
        <v>71</v>
      </c>
      <c r="S2525" s="4">
        <v>0</v>
      </c>
      <c r="T2525" s="4">
        <v>0</v>
      </c>
      <c r="W2525" s="5" t="s">
        <v>72</v>
      </c>
      <c r="X2525" s="5" t="s">
        <v>72</v>
      </c>
      <c r="Y2525" s="4">
        <v>26</v>
      </c>
      <c r="Z2525" s="4">
        <v>3</v>
      </c>
      <c r="AA2525" s="4">
        <v>3</v>
      </c>
      <c r="AB2525" s="4">
        <v>1</v>
      </c>
      <c r="AC2525" s="4">
        <v>1</v>
      </c>
      <c r="AD2525" s="4">
        <v>18</v>
      </c>
      <c r="AE2525" s="4">
        <v>18</v>
      </c>
      <c r="AF2525" s="4">
        <v>0</v>
      </c>
      <c r="AG2525" s="4">
        <v>0</v>
      </c>
      <c r="AH2525" s="4">
        <v>18</v>
      </c>
      <c r="AI2525" s="4">
        <v>18</v>
      </c>
      <c r="AJ2525" s="4">
        <v>1</v>
      </c>
      <c r="AK2525" s="4">
        <v>1</v>
      </c>
      <c r="AL2525" s="4">
        <v>14</v>
      </c>
      <c r="AM2525" s="4">
        <v>14</v>
      </c>
      <c r="AN2525" s="4">
        <v>0</v>
      </c>
      <c r="AO2525" s="4">
        <v>0</v>
      </c>
      <c r="AP2525" s="4">
        <v>1</v>
      </c>
      <c r="AQ2525" s="4">
        <v>1</v>
      </c>
      <c r="AR2525" s="3" t="s">
        <v>65</v>
      </c>
      <c r="AS2525" s="3" t="s">
        <v>65</v>
      </c>
      <c r="AT2525" s="3" t="s">
        <v>65</v>
      </c>
      <c r="AV2525" s="6" t="str">
        <f>HYPERLINK("http://mcgill.on.worldcat.org/oclc/819378217","Catalog Record")</f>
        <v>Catalog Record</v>
      </c>
      <c r="AW2525" s="6" t="str">
        <f>HYPERLINK("http://www.worldcat.org/oclc/819378217","WorldCat Record")</f>
        <v>WorldCat Record</v>
      </c>
      <c r="AX2525" s="3" t="s">
        <v>24878</v>
      </c>
      <c r="AY2525" s="3" t="s">
        <v>24879</v>
      </c>
      <c r="AZ2525" s="3" t="s">
        <v>24880</v>
      </c>
      <c r="BA2525" s="3" t="s">
        <v>24880</v>
      </c>
      <c r="BB2525" s="3" t="s">
        <v>24881</v>
      </c>
      <c r="BC2525" s="3" t="s">
        <v>77</v>
      </c>
      <c r="BD2525" s="3" t="s">
        <v>78</v>
      </c>
      <c r="BE2525" s="3" t="s">
        <v>24882</v>
      </c>
      <c r="BF2525" s="3" t="s">
        <v>24881</v>
      </c>
      <c r="BG2525" s="3" t="s">
        <v>24883</v>
      </c>
    </row>
    <row r="2526" spans="1:59" ht="58" x14ac:dyDescent="0.35">
      <c r="A2526" s="2" t="s">
        <v>59</v>
      </c>
      <c r="B2526" s="2" t="s">
        <v>60</v>
      </c>
      <c r="C2526" s="2" t="s">
        <v>24884</v>
      </c>
      <c r="D2526" s="2" t="s">
        <v>24885</v>
      </c>
      <c r="E2526" s="2" t="s">
        <v>24886</v>
      </c>
      <c r="G2526" s="3" t="s">
        <v>65</v>
      </c>
      <c r="I2526" s="3" t="s">
        <v>65</v>
      </c>
      <c r="J2526" s="3" t="s">
        <v>65</v>
      </c>
      <c r="K2526" s="3" t="s">
        <v>66</v>
      </c>
      <c r="M2526" s="2" t="s">
        <v>24032</v>
      </c>
      <c r="N2526" s="3" t="s">
        <v>176</v>
      </c>
      <c r="P2526" s="3" t="s">
        <v>140</v>
      </c>
      <c r="Q2526" s="2" t="s">
        <v>24887</v>
      </c>
      <c r="R2526" s="3" t="s">
        <v>71</v>
      </c>
      <c r="S2526" s="4">
        <v>0</v>
      </c>
      <c r="T2526" s="4">
        <v>0</v>
      </c>
      <c r="W2526" s="5" t="s">
        <v>72</v>
      </c>
      <c r="X2526" s="5" t="s">
        <v>72</v>
      </c>
      <c r="Y2526" s="4">
        <v>27</v>
      </c>
      <c r="Z2526" s="4">
        <v>3</v>
      </c>
      <c r="AA2526" s="4">
        <v>3</v>
      </c>
      <c r="AB2526" s="4">
        <v>1</v>
      </c>
      <c r="AC2526" s="4">
        <v>1</v>
      </c>
      <c r="AD2526" s="4">
        <v>18</v>
      </c>
      <c r="AE2526" s="4">
        <v>18</v>
      </c>
      <c r="AF2526" s="4">
        <v>0</v>
      </c>
      <c r="AG2526" s="4">
        <v>0</v>
      </c>
      <c r="AH2526" s="4">
        <v>16</v>
      </c>
      <c r="AI2526" s="4">
        <v>16</v>
      </c>
      <c r="AJ2526" s="4">
        <v>1</v>
      </c>
      <c r="AK2526" s="4">
        <v>1</v>
      </c>
      <c r="AL2526" s="4">
        <v>12</v>
      </c>
      <c r="AM2526" s="4">
        <v>12</v>
      </c>
      <c r="AN2526" s="4">
        <v>0</v>
      </c>
      <c r="AO2526" s="4">
        <v>0</v>
      </c>
      <c r="AP2526" s="4">
        <v>1</v>
      </c>
      <c r="AQ2526" s="4">
        <v>1</v>
      </c>
      <c r="AR2526" s="3" t="s">
        <v>65</v>
      </c>
      <c r="AS2526" s="3" t="s">
        <v>65</v>
      </c>
      <c r="AT2526" s="3" t="s">
        <v>65</v>
      </c>
      <c r="AV2526" s="6" t="str">
        <f>HYPERLINK("http://mcgill.on.worldcat.org/oclc/921144369","Catalog Record")</f>
        <v>Catalog Record</v>
      </c>
      <c r="AW2526" s="6" t="str">
        <f>HYPERLINK("http://www.worldcat.org/oclc/921144369","WorldCat Record")</f>
        <v>WorldCat Record</v>
      </c>
      <c r="AX2526" s="3" t="s">
        <v>24888</v>
      </c>
      <c r="AY2526" s="3" t="s">
        <v>24889</v>
      </c>
      <c r="AZ2526" s="3" t="s">
        <v>24890</v>
      </c>
      <c r="BA2526" s="3" t="s">
        <v>24890</v>
      </c>
      <c r="BB2526" s="3" t="s">
        <v>24891</v>
      </c>
      <c r="BC2526" s="3" t="s">
        <v>77</v>
      </c>
      <c r="BD2526" s="3" t="s">
        <v>78</v>
      </c>
      <c r="BE2526" s="3" t="s">
        <v>24892</v>
      </c>
      <c r="BF2526" s="3" t="s">
        <v>24891</v>
      </c>
      <c r="BG2526" s="3" t="s">
        <v>24893</v>
      </c>
    </row>
    <row r="2527" spans="1:59" ht="101.5" x14ac:dyDescent="0.35">
      <c r="A2527" s="2" t="s">
        <v>59</v>
      </c>
      <c r="B2527" s="2" t="s">
        <v>60</v>
      </c>
      <c r="C2527" s="2" t="s">
        <v>24894</v>
      </c>
      <c r="D2527" s="2" t="s">
        <v>24895</v>
      </c>
      <c r="E2527" s="2" t="s">
        <v>24896</v>
      </c>
      <c r="G2527" s="3" t="s">
        <v>65</v>
      </c>
      <c r="I2527" s="3" t="s">
        <v>65</v>
      </c>
      <c r="J2527" s="3" t="s">
        <v>65</v>
      </c>
      <c r="K2527" s="3" t="s">
        <v>66</v>
      </c>
      <c r="L2527" s="2" t="s">
        <v>24897</v>
      </c>
      <c r="M2527" s="2" t="s">
        <v>4594</v>
      </c>
      <c r="N2527" s="3" t="s">
        <v>126</v>
      </c>
      <c r="P2527" s="3" t="s">
        <v>140</v>
      </c>
      <c r="Q2527" s="2" t="s">
        <v>24898</v>
      </c>
      <c r="R2527" s="3" t="s">
        <v>71</v>
      </c>
      <c r="S2527" s="4">
        <v>0</v>
      </c>
      <c r="T2527" s="4">
        <v>0</v>
      </c>
      <c r="W2527" s="5" t="s">
        <v>72</v>
      </c>
      <c r="X2527" s="5" t="s">
        <v>72</v>
      </c>
      <c r="Y2527" s="4">
        <v>44</v>
      </c>
      <c r="Z2527" s="4">
        <v>3</v>
      </c>
      <c r="AA2527" s="4">
        <v>3</v>
      </c>
      <c r="AB2527" s="4">
        <v>1</v>
      </c>
      <c r="AC2527" s="4">
        <v>1</v>
      </c>
      <c r="AD2527" s="4">
        <v>31</v>
      </c>
      <c r="AE2527" s="4">
        <v>31</v>
      </c>
      <c r="AF2527" s="4">
        <v>0</v>
      </c>
      <c r="AG2527" s="4">
        <v>0</v>
      </c>
      <c r="AH2527" s="4">
        <v>30</v>
      </c>
      <c r="AI2527" s="4">
        <v>30</v>
      </c>
      <c r="AJ2527" s="4">
        <v>1</v>
      </c>
      <c r="AK2527" s="4">
        <v>1</v>
      </c>
      <c r="AL2527" s="4">
        <v>24</v>
      </c>
      <c r="AM2527" s="4">
        <v>24</v>
      </c>
      <c r="AN2527" s="4">
        <v>0</v>
      </c>
      <c r="AO2527" s="4">
        <v>0</v>
      </c>
      <c r="AP2527" s="4">
        <v>1</v>
      </c>
      <c r="AQ2527" s="4">
        <v>1</v>
      </c>
      <c r="AR2527" s="3" t="s">
        <v>65</v>
      </c>
      <c r="AS2527" s="3" t="s">
        <v>65</v>
      </c>
      <c r="AT2527" s="3" t="s">
        <v>65</v>
      </c>
      <c r="AV2527" s="6" t="str">
        <f>HYPERLINK("http://mcgill.on.worldcat.org/oclc/759991482","Catalog Record")</f>
        <v>Catalog Record</v>
      </c>
      <c r="AW2527" s="6" t="str">
        <f>HYPERLINK("http://www.worldcat.org/oclc/759991482","WorldCat Record")</f>
        <v>WorldCat Record</v>
      </c>
      <c r="AX2527" s="3" t="s">
        <v>24899</v>
      </c>
      <c r="AY2527" s="3" t="s">
        <v>24900</v>
      </c>
      <c r="AZ2527" s="3" t="s">
        <v>24901</v>
      </c>
      <c r="BA2527" s="3" t="s">
        <v>24901</v>
      </c>
      <c r="BB2527" s="3" t="s">
        <v>24902</v>
      </c>
      <c r="BC2527" s="3" t="s">
        <v>77</v>
      </c>
      <c r="BD2527" s="3" t="s">
        <v>78</v>
      </c>
      <c r="BE2527" s="3" t="s">
        <v>24903</v>
      </c>
      <c r="BF2527" s="3" t="s">
        <v>24902</v>
      </c>
      <c r="BG2527" s="3" t="s">
        <v>24904</v>
      </c>
    </row>
    <row r="2528" spans="1:59" ht="58" x14ac:dyDescent="0.35">
      <c r="A2528" s="2" t="s">
        <v>59</v>
      </c>
      <c r="B2528" s="2" t="s">
        <v>60</v>
      </c>
      <c r="C2528" s="2" t="s">
        <v>24905</v>
      </c>
      <c r="D2528" s="2" t="s">
        <v>24906</v>
      </c>
      <c r="E2528" s="2" t="s">
        <v>24907</v>
      </c>
      <c r="G2528" s="3" t="s">
        <v>65</v>
      </c>
      <c r="I2528" s="3" t="s">
        <v>65</v>
      </c>
      <c r="J2528" s="3" t="s">
        <v>65</v>
      </c>
      <c r="K2528" s="3" t="s">
        <v>66</v>
      </c>
      <c r="L2528" s="2" t="s">
        <v>24908</v>
      </c>
      <c r="M2528" s="2" t="s">
        <v>24909</v>
      </c>
      <c r="N2528" s="3" t="s">
        <v>831</v>
      </c>
      <c r="O2528" s="2" t="s">
        <v>654</v>
      </c>
      <c r="P2528" s="3" t="s">
        <v>140</v>
      </c>
      <c r="Q2528" s="2" t="s">
        <v>24910</v>
      </c>
      <c r="R2528" s="3" t="s">
        <v>71</v>
      </c>
      <c r="S2528" s="4">
        <v>6</v>
      </c>
      <c r="T2528" s="4">
        <v>6</v>
      </c>
      <c r="U2528" s="5" t="s">
        <v>24911</v>
      </c>
      <c r="V2528" s="5" t="s">
        <v>24911</v>
      </c>
      <c r="W2528" s="5" t="s">
        <v>72</v>
      </c>
      <c r="X2528" s="5" t="s">
        <v>72</v>
      </c>
      <c r="Y2528" s="4">
        <v>48</v>
      </c>
      <c r="Z2528" s="4">
        <v>6</v>
      </c>
      <c r="AA2528" s="4">
        <v>8</v>
      </c>
      <c r="AB2528" s="4">
        <v>1</v>
      </c>
      <c r="AC2528" s="4">
        <v>2</v>
      </c>
      <c r="AD2528" s="4">
        <v>23</v>
      </c>
      <c r="AE2528" s="4">
        <v>44</v>
      </c>
      <c r="AF2528" s="4">
        <v>0</v>
      </c>
      <c r="AG2528" s="4">
        <v>1</v>
      </c>
      <c r="AH2528" s="4">
        <v>22</v>
      </c>
      <c r="AI2528" s="4">
        <v>41</v>
      </c>
      <c r="AJ2528" s="4">
        <v>4</v>
      </c>
      <c r="AK2528" s="4">
        <v>6</v>
      </c>
      <c r="AL2528" s="4">
        <v>16</v>
      </c>
      <c r="AM2528" s="4">
        <v>30</v>
      </c>
      <c r="AN2528" s="4">
        <v>0</v>
      </c>
      <c r="AO2528" s="4">
        <v>0</v>
      </c>
      <c r="AP2528" s="4">
        <v>4</v>
      </c>
      <c r="AQ2528" s="4">
        <v>5</v>
      </c>
      <c r="AR2528" s="3" t="s">
        <v>65</v>
      </c>
      <c r="AS2528" s="3" t="s">
        <v>65</v>
      </c>
      <c r="AT2528" s="3" t="s">
        <v>65</v>
      </c>
      <c r="AV2528" s="6" t="str">
        <f>HYPERLINK("http://mcgill.on.worldcat.org/oclc/10506724","Catalog Record")</f>
        <v>Catalog Record</v>
      </c>
      <c r="AW2528" s="6" t="str">
        <f>HYPERLINK("http://www.worldcat.org/oclc/10506724","WorldCat Record")</f>
        <v>WorldCat Record</v>
      </c>
      <c r="AX2528" s="3" t="s">
        <v>24912</v>
      </c>
      <c r="AY2528" s="3" t="s">
        <v>24913</v>
      </c>
      <c r="AZ2528" s="3" t="s">
        <v>24914</v>
      </c>
      <c r="BA2528" s="3" t="s">
        <v>24914</v>
      </c>
      <c r="BB2528" s="3" t="s">
        <v>24915</v>
      </c>
      <c r="BC2528" s="3" t="s">
        <v>77</v>
      </c>
      <c r="BD2528" s="3" t="s">
        <v>78</v>
      </c>
      <c r="BF2528" s="3" t="s">
        <v>24915</v>
      </c>
      <c r="BG2528" s="3" t="s">
        <v>24916</v>
      </c>
    </row>
    <row r="2529" spans="1:59" ht="58" x14ac:dyDescent="0.35">
      <c r="A2529" s="2" t="s">
        <v>59</v>
      </c>
      <c r="B2529" s="2" t="s">
        <v>60</v>
      </c>
      <c r="C2529" s="2" t="s">
        <v>24917</v>
      </c>
      <c r="D2529" s="2" t="s">
        <v>24918</v>
      </c>
      <c r="E2529" s="2" t="s">
        <v>24919</v>
      </c>
      <c r="G2529" s="3" t="s">
        <v>65</v>
      </c>
      <c r="I2529" s="3" t="s">
        <v>65</v>
      </c>
      <c r="J2529" s="3" t="s">
        <v>209</v>
      </c>
      <c r="K2529" s="3" t="s">
        <v>66</v>
      </c>
      <c r="L2529" s="2" t="s">
        <v>24920</v>
      </c>
      <c r="M2529" s="2" t="s">
        <v>24921</v>
      </c>
      <c r="N2529" s="3" t="s">
        <v>1122</v>
      </c>
      <c r="O2529" s="2" t="s">
        <v>24922</v>
      </c>
      <c r="P2529" s="3" t="s">
        <v>140</v>
      </c>
      <c r="Q2529" s="2" t="s">
        <v>24923</v>
      </c>
      <c r="R2529" s="3" t="s">
        <v>71</v>
      </c>
      <c r="S2529" s="4">
        <v>1</v>
      </c>
      <c r="T2529" s="4">
        <v>1</v>
      </c>
      <c r="U2529" s="5" t="s">
        <v>4547</v>
      </c>
      <c r="V2529" s="5" t="s">
        <v>4547</v>
      </c>
      <c r="W2529" s="5" t="s">
        <v>72</v>
      </c>
      <c r="X2529" s="5" t="s">
        <v>72</v>
      </c>
      <c r="Y2529" s="4">
        <v>10</v>
      </c>
      <c r="Z2529" s="4">
        <v>1</v>
      </c>
      <c r="AA2529" s="4">
        <v>23</v>
      </c>
      <c r="AB2529" s="4">
        <v>1</v>
      </c>
      <c r="AC2529" s="4">
        <v>3</v>
      </c>
      <c r="AD2529" s="4">
        <v>3</v>
      </c>
      <c r="AE2529" s="4">
        <v>84</v>
      </c>
      <c r="AF2529" s="4">
        <v>0</v>
      </c>
      <c r="AG2529" s="4">
        <v>2</v>
      </c>
      <c r="AH2529" s="4">
        <v>3</v>
      </c>
      <c r="AI2529" s="4">
        <v>75</v>
      </c>
      <c r="AJ2529" s="4">
        <v>0</v>
      </c>
      <c r="AK2529" s="4">
        <v>15</v>
      </c>
      <c r="AL2529" s="4">
        <v>1</v>
      </c>
      <c r="AM2529" s="4">
        <v>45</v>
      </c>
      <c r="AN2529" s="4">
        <v>0</v>
      </c>
      <c r="AO2529" s="4">
        <v>3</v>
      </c>
      <c r="AP2529" s="4">
        <v>0</v>
      </c>
      <c r="AQ2529" s="4">
        <v>15</v>
      </c>
      <c r="AR2529" s="3" t="s">
        <v>65</v>
      </c>
      <c r="AS2529" s="3" t="s">
        <v>65</v>
      </c>
      <c r="AT2529" s="3" t="s">
        <v>209</v>
      </c>
      <c r="AU2529" s="6" t="str">
        <f>HYPERLINK("http://catalog.hathitrust.org/Record/102052444","HathiTrust Record")</f>
        <v>HathiTrust Record</v>
      </c>
      <c r="AV2529" s="6" t="str">
        <f>HYPERLINK("http://mcgill.on.worldcat.org/oclc/567549116","Catalog Record")</f>
        <v>Catalog Record</v>
      </c>
      <c r="AW2529" s="6" t="str">
        <f>HYPERLINK("http://www.worldcat.org/oclc/567549116","WorldCat Record")</f>
        <v>WorldCat Record</v>
      </c>
      <c r="AX2529" s="3" t="s">
        <v>24924</v>
      </c>
      <c r="AY2529" s="3" t="s">
        <v>24925</v>
      </c>
      <c r="AZ2529" s="3" t="s">
        <v>24926</v>
      </c>
      <c r="BA2529" s="3" t="s">
        <v>24926</v>
      </c>
      <c r="BB2529" s="3" t="s">
        <v>24927</v>
      </c>
      <c r="BC2529" s="3" t="s">
        <v>77</v>
      </c>
      <c r="BD2529" s="3" t="s">
        <v>78</v>
      </c>
      <c r="BE2529" s="3" t="s">
        <v>24928</v>
      </c>
      <c r="BF2529" s="3" t="s">
        <v>24927</v>
      </c>
      <c r="BG2529" s="3" t="s">
        <v>24929</v>
      </c>
    </row>
    <row r="2530" spans="1:59" ht="58" x14ac:dyDescent="0.35">
      <c r="A2530" s="2" t="s">
        <v>59</v>
      </c>
      <c r="B2530" s="2" t="s">
        <v>60</v>
      </c>
      <c r="C2530" s="2" t="s">
        <v>24930</v>
      </c>
      <c r="D2530" s="2" t="s">
        <v>24931</v>
      </c>
      <c r="E2530" s="2" t="s">
        <v>24932</v>
      </c>
      <c r="G2530" s="3" t="s">
        <v>65</v>
      </c>
      <c r="I2530" s="3" t="s">
        <v>209</v>
      </c>
      <c r="J2530" s="3" t="s">
        <v>209</v>
      </c>
      <c r="K2530" s="3" t="s">
        <v>66</v>
      </c>
      <c r="L2530" s="2" t="s">
        <v>24920</v>
      </c>
      <c r="M2530" s="2" t="s">
        <v>24933</v>
      </c>
      <c r="N2530" s="3" t="s">
        <v>955</v>
      </c>
      <c r="P2530" s="3" t="s">
        <v>69</v>
      </c>
      <c r="R2530" s="3" t="s">
        <v>71</v>
      </c>
      <c r="S2530" s="4">
        <v>9</v>
      </c>
      <c r="T2530" s="4">
        <v>17</v>
      </c>
      <c r="U2530" s="5" t="s">
        <v>24934</v>
      </c>
      <c r="V2530" s="5" t="s">
        <v>24934</v>
      </c>
      <c r="W2530" s="5" t="s">
        <v>72</v>
      </c>
      <c r="X2530" s="5" t="s">
        <v>72</v>
      </c>
      <c r="Y2530" s="4">
        <v>533</v>
      </c>
      <c r="Z2530" s="4">
        <v>25</v>
      </c>
      <c r="AA2530" s="4">
        <v>30</v>
      </c>
      <c r="AB2530" s="4">
        <v>2</v>
      </c>
      <c r="AC2530" s="4">
        <v>2</v>
      </c>
      <c r="AD2530" s="4">
        <v>112</v>
      </c>
      <c r="AE2530" s="4">
        <v>121</v>
      </c>
      <c r="AF2530" s="4">
        <v>1</v>
      </c>
      <c r="AG2530" s="4">
        <v>1</v>
      </c>
      <c r="AH2530" s="4">
        <v>99</v>
      </c>
      <c r="AI2530" s="4">
        <v>105</v>
      </c>
      <c r="AJ2530" s="4">
        <v>15</v>
      </c>
      <c r="AK2530" s="4">
        <v>17</v>
      </c>
      <c r="AL2530" s="4">
        <v>55</v>
      </c>
      <c r="AM2530" s="4">
        <v>56</v>
      </c>
      <c r="AN2530" s="4">
        <v>0</v>
      </c>
      <c r="AO2530" s="4">
        <v>0</v>
      </c>
      <c r="AP2530" s="4">
        <v>17</v>
      </c>
      <c r="AQ2530" s="4">
        <v>22</v>
      </c>
      <c r="AR2530" s="3" t="s">
        <v>65</v>
      </c>
      <c r="AS2530" s="3" t="s">
        <v>65</v>
      </c>
      <c r="AT2530" s="3" t="s">
        <v>65</v>
      </c>
      <c r="AV2530" s="6" t="str">
        <f>HYPERLINK("http://mcgill.on.worldcat.org/oclc/6421514","Catalog Record")</f>
        <v>Catalog Record</v>
      </c>
      <c r="AW2530" s="6" t="str">
        <f>HYPERLINK("http://www.worldcat.org/oclc/6421514","WorldCat Record")</f>
        <v>WorldCat Record</v>
      </c>
      <c r="AX2530" s="3" t="s">
        <v>24935</v>
      </c>
      <c r="AY2530" s="3" t="s">
        <v>24936</v>
      </c>
      <c r="AZ2530" s="3" t="s">
        <v>24937</v>
      </c>
      <c r="BA2530" s="3" t="s">
        <v>24937</v>
      </c>
      <c r="BB2530" s="3" t="s">
        <v>24938</v>
      </c>
      <c r="BC2530" s="3" t="s">
        <v>77</v>
      </c>
      <c r="BD2530" s="3" t="s">
        <v>78</v>
      </c>
      <c r="BE2530" s="3" t="s">
        <v>24939</v>
      </c>
      <c r="BF2530" s="3" t="s">
        <v>24938</v>
      </c>
      <c r="BG2530" s="3" t="s">
        <v>24940</v>
      </c>
    </row>
    <row r="2531" spans="1:59" ht="58" x14ac:dyDescent="0.35">
      <c r="A2531" s="2" t="s">
        <v>59</v>
      </c>
      <c r="B2531" s="2" t="s">
        <v>60</v>
      </c>
      <c r="C2531" s="2" t="s">
        <v>24930</v>
      </c>
      <c r="D2531" s="2" t="s">
        <v>24931</v>
      </c>
      <c r="E2531" s="2" t="s">
        <v>24932</v>
      </c>
      <c r="G2531" s="3" t="s">
        <v>65</v>
      </c>
      <c r="I2531" s="3" t="s">
        <v>209</v>
      </c>
      <c r="J2531" s="3" t="s">
        <v>209</v>
      </c>
      <c r="K2531" s="3" t="s">
        <v>66</v>
      </c>
      <c r="L2531" s="2" t="s">
        <v>24920</v>
      </c>
      <c r="M2531" s="2" t="s">
        <v>24933</v>
      </c>
      <c r="N2531" s="3" t="s">
        <v>955</v>
      </c>
      <c r="P2531" s="3" t="s">
        <v>69</v>
      </c>
      <c r="R2531" s="3" t="s">
        <v>71</v>
      </c>
      <c r="S2531" s="4">
        <v>8</v>
      </c>
      <c r="T2531" s="4">
        <v>17</v>
      </c>
      <c r="U2531" s="5" t="s">
        <v>24941</v>
      </c>
      <c r="V2531" s="5" t="s">
        <v>24934</v>
      </c>
      <c r="W2531" s="5" t="s">
        <v>72</v>
      </c>
      <c r="X2531" s="5" t="s">
        <v>72</v>
      </c>
      <c r="Y2531" s="4">
        <v>533</v>
      </c>
      <c r="Z2531" s="4">
        <v>25</v>
      </c>
      <c r="AA2531" s="4">
        <v>30</v>
      </c>
      <c r="AB2531" s="4">
        <v>2</v>
      </c>
      <c r="AC2531" s="4">
        <v>2</v>
      </c>
      <c r="AD2531" s="4">
        <v>112</v>
      </c>
      <c r="AE2531" s="4">
        <v>121</v>
      </c>
      <c r="AF2531" s="4">
        <v>1</v>
      </c>
      <c r="AG2531" s="4">
        <v>1</v>
      </c>
      <c r="AH2531" s="4">
        <v>99</v>
      </c>
      <c r="AI2531" s="4">
        <v>105</v>
      </c>
      <c r="AJ2531" s="4">
        <v>15</v>
      </c>
      <c r="AK2531" s="4">
        <v>17</v>
      </c>
      <c r="AL2531" s="4">
        <v>55</v>
      </c>
      <c r="AM2531" s="4">
        <v>56</v>
      </c>
      <c r="AN2531" s="4">
        <v>0</v>
      </c>
      <c r="AO2531" s="4">
        <v>0</v>
      </c>
      <c r="AP2531" s="4">
        <v>17</v>
      </c>
      <c r="AQ2531" s="4">
        <v>22</v>
      </c>
      <c r="AR2531" s="3" t="s">
        <v>65</v>
      </c>
      <c r="AS2531" s="3" t="s">
        <v>65</v>
      </c>
      <c r="AT2531" s="3" t="s">
        <v>65</v>
      </c>
      <c r="AV2531" s="6" t="str">
        <f>HYPERLINK("http://mcgill.on.worldcat.org/oclc/6421514","Catalog Record")</f>
        <v>Catalog Record</v>
      </c>
      <c r="AW2531" s="6" t="str">
        <f>HYPERLINK("http://www.worldcat.org/oclc/6421514","WorldCat Record")</f>
        <v>WorldCat Record</v>
      </c>
      <c r="AX2531" s="3" t="s">
        <v>24935</v>
      </c>
      <c r="AY2531" s="3" t="s">
        <v>24936</v>
      </c>
      <c r="AZ2531" s="3" t="s">
        <v>24937</v>
      </c>
      <c r="BA2531" s="3" t="s">
        <v>24937</v>
      </c>
      <c r="BB2531" s="3" t="s">
        <v>24942</v>
      </c>
      <c r="BC2531" s="3" t="s">
        <v>77</v>
      </c>
      <c r="BD2531" s="3" t="s">
        <v>78</v>
      </c>
      <c r="BE2531" s="3" t="s">
        <v>24939</v>
      </c>
      <c r="BF2531" s="3" t="s">
        <v>24942</v>
      </c>
      <c r="BG2531" s="3" t="s">
        <v>24943</v>
      </c>
    </row>
    <row r="2532" spans="1:59" ht="72.5" x14ac:dyDescent="0.35">
      <c r="A2532" s="2" t="s">
        <v>59</v>
      </c>
      <c r="B2532" s="2" t="s">
        <v>60</v>
      </c>
      <c r="C2532" s="2" t="s">
        <v>24944</v>
      </c>
      <c r="D2532" s="2" t="s">
        <v>24945</v>
      </c>
      <c r="E2532" s="2" t="s">
        <v>24946</v>
      </c>
      <c r="G2532" s="3" t="s">
        <v>65</v>
      </c>
      <c r="I2532" s="3" t="s">
        <v>65</v>
      </c>
      <c r="J2532" s="3" t="s">
        <v>65</v>
      </c>
      <c r="K2532" s="3" t="s">
        <v>66</v>
      </c>
      <c r="M2532" s="2" t="s">
        <v>24947</v>
      </c>
      <c r="N2532" s="3" t="s">
        <v>176</v>
      </c>
      <c r="P2532" s="3" t="s">
        <v>140</v>
      </c>
      <c r="Q2532" s="2" t="s">
        <v>24948</v>
      </c>
      <c r="R2532" s="3" t="s">
        <v>71</v>
      </c>
      <c r="S2532" s="4">
        <v>0</v>
      </c>
      <c r="T2532" s="4">
        <v>0</v>
      </c>
      <c r="W2532" s="5" t="s">
        <v>72</v>
      </c>
      <c r="X2532" s="5" t="s">
        <v>72</v>
      </c>
      <c r="Y2532" s="4">
        <v>36</v>
      </c>
      <c r="Z2532" s="4">
        <v>4</v>
      </c>
      <c r="AA2532" s="4">
        <v>4</v>
      </c>
      <c r="AB2532" s="4">
        <v>1</v>
      </c>
      <c r="AC2532" s="4">
        <v>1</v>
      </c>
      <c r="AD2532" s="4">
        <v>29</v>
      </c>
      <c r="AE2532" s="4">
        <v>29</v>
      </c>
      <c r="AF2532" s="4">
        <v>0</v>
      </c>
      <c r="AG2532" s="4">
        <v>0</v>
      </c>
      <c r="AH2532" s="4">
        <v>28</v>
      </c>
      <c r="AI2532" s="4">
        <v>28</v>
      </c>
      <c r="AJ2532" s="4">
        <v>2</v>
      </c>
      <c r="AK2532" s="4">
        <v>2</v>
      </c>
      <c r="AL2532" s="4">
        <v>21</v>
      </c>
      <c r="AM2532" s="4">
        <v>21</v>
      </c>
      <c r="AN2532" s="4">
        <v>0</v>
      </c>
      <c r="AO2532" s="4">
        <v>0</v>
      </c>
      <c r="AP2532" s="4">
        <v>2</v>
      </c>
      <c r="AQ2532" s="4">
        <v>2</v>
      </c>
      <c r="AR2532" s="3" t="s">
        <v>65</v>
      </c>
      <c r="AS2532" s="3" t="s">
        <v>65</v>
      </c>
      <c r="AT2532" s="3" t="s">
        <v>65</v>
      </c>
      <c r="AV2532" s="6" t="str">
        <f>HYPERLINK("http://mcgill.on.worldcat.org/oclc/933228913","Catalog Record")</f>
        <v>Catalog Record</v>
      </c>
      <c r="AW2532" s="6" t="str">
        <f>HYPERLINK("http://www.worldcat.org/oclc/933228913","WorldCat Record")</f>
        <v>WorldCat Record</v>
      </c>
      <c r="AX2532" s="3" t="s">
        <v>24949</v>
      </c>
      <c r="AY2532" s="3" t="s">
        <v>24950</v>
      </c>
      <c r="AZ2532" s="3" t="s">
        <v>24951</v>
      </c>
      <c r="BA2532" s="3" t="s">
        <v>24951</v>
      </c>
      <c r="BB2532" s="3" t="s">
        <v>24952</v>
      </c>
      <c r="BC2532" s="3" t="s">
        <v>77</v>
      </c>
      <c r="BD2532" s="3" t="s">
        <v>78</v>
      </c>
      <c r="BE2532" s="3" t="s">
        <v>24953</v>
      </c>
      <c r="BF2532" s="3" t="s">
        <v>24952</v>
      </c>
      <c r="BG2532" s="3" t="s">
        <v>24954</v>
      </c>
    </row>
    <row r="2533" spans="1:59" ht="58" x14ac:dyDescent="0.35">
      <c r="A2533" s="2" t="s">
        <v>59</v>
      </c>
      <c r="B2533" s="2" t="s">
        <v>60</v>
      </c>
      <c r="C2533" s="2" t="s">
        <v>24955</v>
      </c>
      <c r="D2533" s="2" t="s">
        <v>24956</v>
      </c>
      <c r="E2533" s="2" t="s">
        <v>24957</v>
      </c>
      <c r="G2533" s="3" t="s">
        <v>65</v>
      </c>
      <c r="I2533" s="3" t="s">
        <v>65</v>
      </c>
      <c r="J2533" s="3" t="s">
        <v>65</v>
      </c>
      <c r="K2533" s="3" t="s">
        <v>66</v>
      </c>
      <c r="L2533" s="2" t="s">
        <v>24958</v>
      </c>
      <c r="M2533" s="2" t="s">
        <v>24959</v>
      </c>
      <c r="N2533" s="3" t="s">
        <v>3994</v>
      </c>
      <c r="O2533" s="2" t="s">
        <v>24960</v>
      </c>
      <c r="P2533" s="3" t="s">
        <v>140</v>
      </c>
      <c r="Q2533" s="2" t="s">
        <v>24961</v>
      </c>
      <c r="R2533" s="3" t="s">
        <v>71</v>
      </c>
      <c r="S2533" s="4">
        <v>1</v>
      </c>
      <c r="T2533" s="4">
        <v>1</v>
      </c>
      <c r="U2533" s="5" t="s">
        <v>24962</v>
      </c>
      <c r="V2533" s="5" t="s">
        <v>24962</v>
      </c>
      <c r="W2533" s="5" t="s">
        <v>72</v>
      </c>
      <c r="X2533" s="5" t="s">
        <v>72</v>
      </c>
      <c r="Y2533" s="4">
        <v>108</v>
      </c>
      <c r="Z2533" s="4">
        <v>5</v>
      </c>
      <c r="AA2533" s="4">
        <v>13</v>
      </c>
      <c r="AB2533" s="4">
        <v>1</v>
      </c>
      <c r="AC2533" s="4">
        <v>2</v>
      </c>
      <c r="AD2533" s="4">
        <v>35</v>
      </c>
      <c r="AE2533" s="4">
        <v>63</v>
      </c>
      <c r="AF2533" s="4">
        <v>0</v>
      </c>
      <c r="AG2533" s="4">
        <v>1</v>
      </c>
      <c r="AH2533" s="4">
        <v>33</v>
      </c>
      <c r="AI2533" s="4">
        <v>58</v>
      </c>
      <c r="AJ2533" s="4">
        <v>2</v>
      </c>
      <c r="AK2533" s="4">
        <v>8</v>
      </c>
      <c r="AL2533" s="4">
        <v>22</v>
      </c>
      <c r="AM2533" s="4">
        <v>36</v>
      </c>
      <c r="AN2533" s="4">
        <v>0</v>
      </c>
      <c r="AO2533" s="4">
        <v>0</v>
      </c>
      <c r="AP2533" s="4">
        <v>2</v>
      </c>
      <c r="AQ2533" s="4">
        <v>9</v>
      </c>
      <c r="AR2533" s="3" t="s">
        <v>65</v>
      </c>
      <c r="AS2533" s="3" t="s">
        <v>65</v>
      </c>
      <c r="AT2533" s="3" t="s">
        <v>209</v>
      </c>
      <c r="AU2533" s="6" t="str">
        <f>HYPERLINK("http://catalog.hathitrust.org/Record/001219116","HathiTrust Record")</f>
        <v>HathiTrust Record</v>
      </c>
      <c r="AV2533" s="6" t="str">
        <f>HYPERLINK("http://mcgill.on.worldcat.org/oclc/556319","Catalog Record")</f>
        <v>Catalog Record</v>
      </c>
      <c r="AW2533" s="6" t="str">
        <f>HYPERLINK("http://www.worldcat.org/oclc/556319","WorldCat Record")</f>
        <v>WorldCat Record</v>
      </c>
      <c r="AX2533" s="3" t="s">
        <v>24963</v>
      </c>
      <c r="AY2533" s="3" t="s">
        <v>24964</v>
      </c>
      <c r="AZ2533" s="3" t="s">
        <v>24965</v>
      </c>
      <c r="BA2533" s="3" t="s">
        <v>24965</v>
      </c>
      <c r="BB2533" s="3" t="s">
        <v>24966</v>
      </c>
      <c r="BC2533" s="3" t="s">
        <v>77</v>
      </c>
      <c r="BD2533" s="3" t="s">
        <v>78</v>
      </c>
      <c r="BF2533" s="3" t="s">
        <v>24966</v>
      </c>
      <c r="BG2533" s="3" t="s">
        <v>24967</v>
      </c>
    </row>
    <row r="2534" spans="1:59" ht="58" x14ac:dyDescent="0.35">
      <c r="A2534" s="2" t="s">
        <v>59</v>
      </c>
      <c r="B2534" s="2" t="s">
        <v>60</v>
      </c>
      <c r="C2534" s="2" t="s">
        <v>24968</v>
      </c>
      <c r="D2534" s="2" t="s">
        <v>24969</v>
      </c>
      <c r="E2534" s="2" t="s">
        <v>24970</v>
      </c>
      <c r="G2534" s="3" t="s">
        <v>65</v>
      </c>
      <c r="I2534" s="3" t="s">
        <v>65</v>
      </c>
      <c r="J2534" s="3" t="s">
        <v>65</v>
      </c>
      <c r="K2534" s="3" t="s">
        <v>66</v>
      </c>
      <c r="L2534" s="2" t="s">
        <v>24958</v>
      </c>
      <c r="M2534" s="2" t="s">
        <v>24971</v>
      </c>
      <c r="N2534" s="3" t="s">
        <v>1032</v>
      </c>
      <c r="P2534" s="3" t="s">
        <v>69</v>
      </c>
      <c r="R2534" s="3" t="s">
        <v>71</v>
      </c>
      <c r="S2534" s="4">
        <v>5</v>
      </c>
      <c r="T2534" s="4">
        <v>5</v>
      </c>
      <c r="U2534" s="5" t="s">
        <v>24962</v>
      </c>
      <c r="V2534" s="5" t="s">
        <v>24962</v>
      </c>
      <c r="W2534" s="5" t="s">
        <v>72</v>
      </c>
      <c r="X2534" s="5" t="s">
        <v>72</v>
      </c>
      <c r="Y2534" s="4">
        <v>88</v>
      </c>
      <c r="Z2534" s="4">
        <v>7</v>
      </c>
      <c r="AA2534" s="4">
        <v>10</v>
      </c>
      <c r="AB2534" s="4">
        <v>1</v>
      </c>
      <c r="AC2534" s="4">
        <v>1</v>
      </c>
      <c r="AD2534" s="4">
        <v>44</v>
      </c>
      <c r="AE2534" s="4">
        <v>46</v>
      </c>
      <c r="AF2534" s="4">
        <v>0</v>
      </c>
      <c r="AG2534" s="4">
        <v>0</v>
      </c>
      <c r="AH2534" s="4">
        <v>40</v>
      </c>
      <c r="AI2534" s="4">
        <v>42</v>
      </c>
      <c r="AJ2534" s="4">
        <v>4</v>
      </c>
      <c r="AK2534" s="4">
        <v>6</v>
      </c>
      <c r="AL2534" s="4">
        <v>32</v>
      </c>
      <c r="AM2534" s="4">
        <v>33</v>
      </c>
      <c r="AN2534" s="4">
        <v>0</v>
      </c>
      <c r="AO2534" s="4">
        <v>0</v>
      </c>
      <c r="AP2534" s="4">
        <v>4</v>
      </c>
      <c r="AQ2534" s="4">
        <v>6</v>
      </c>
      <c r="AR2534" s="3" t="s">
        <v>65</v>
      </c>
      <c r="AS2534" s="3" t="s">
        <v>65</v>
      </c>
      <c r="AT2534" s="3" t="s">
        <v>209</v>
      </c>
      <c r="AU2534" s="6" t="str">
        <f>HYPERLINK("http://catalog.hathitrust.org/Record/002996256","HathiTrust Record")</f>
        <v>HathiTrust Record</v>
      </c>
      <c r="AV2534" s="6" t="str">
        <f>HYPERLINK("http://mcgill.on.worldcat.org/oclc/32349659","Catalog Record")</f>
        <v>Catalog Record</v>
      </c>
      <c r="AW2534" s="6" t="str">
        <f>HYPERLINK("http://www.worldcat.org/oclc/32349659","WorldCat Record")</f>
        <v>WorldCat Record</v>
      </c>
      <c r="AX2534" s="3" t="s">
        <v>24972</v>
      </c>
      <c r="AY2534" s="3" t="s">
        <v>24973</v>
      </c>
      <c r="AZ2534" s="3" t="s">
        <v>24974</v>
      </c>
      <c r="BA2534" s="3" t="s">
        <v>24974</v>
      </c>
      <c r="BB2534" s="3" t="s">
        <v>24975</v>
      </c>
      <c r="BC2534" s="3" t="s">
        <v>77</v>
      </c>
      <c r="BD2534" s="3" t="s">
        <v>78</v>
      </c>
      <c r="BE2534" s="3" t="s">
        <v>24976</v>
      </c>
      <c r="BF2534" s="3" t="s">
        <v>24975</v>
      </c>
      <c r="BG2534" s="3" t="s">
        <v>24977</v>
      </c>
    </row>
    <row r="2535" spans="1:59" ht="58" x14ac:dyDescent="0.35">
      <c r="A2535" s="2" t="s">
        <v>59</v>
      </c>
      <c r="B2535" s="2" t="s">
        <v>60</v>
      </c>
      <c r="C2535" s="2" t="s">
        <v>24978</v>
      </c>
      <c r="D2535" s="2" t="s">
        <v>24979</v>
      </c>
      <c r="E2535" s="2" t="s">
        <v>24980</v>
      </c>
      <c r="G2535" s="3" t="s">
        <v>65</v>
      </c>
      <c r="I2535" s="3" t="s">
        <v>65</v>
      </c>
      <c r="J2535" s="3" t="s">
        <v>65</v>
      </c>
      <c r="K2535" s="3" t="s">
        <v>66</v>
      </c>
      <c r="L2535" s="2" t="s">
        <v>24981</v>
      </c>
      <c r="M2535" s="2" t="s">
        <v>24982</v>
      </c>
      <c r="N2535" s="3" t="s">
        <v>4688</v>
      </c>
      <c r="P2535" s="3" t="s">
        <v>140</v>
      </c>
      <c r="Q2535" s="2" t="s">
        <v>24983</v>
      </c>
      <c r="R2535" s="3" t="s">
        <v>71</v>
      </c>
      <c r="S2535" s="4">
        <v>1</v>
      </c>
      <c r="T2535" s="4">
        <v>1</v>
      </c>
      <c r="U2535" s="5" t="s">
        <v>24962</v>
      </c>
      <c r="V2535" s="5" t="s">
        <v>24962</v>
      </c>
      <c r="W2535" s="5" t="s">
        <v>72</v>
      </c>
      <c r="X2535" s="5" t="s">
        <v>72</v>
      </c>
      <c r="Y2535" s="4">
        <v>70</v>
      </c>
      <c r="Z2535" s="4">
        <v>10</v>
      </c>
      <c r="AA2535" s="4">
        <v>11</v>
      </c>
      <c r="AB2535" s="4">
        <v>2</v>
      </c>
      <c r="AC2535" s="4">
        <v>3</v>
      </c>
      <c r="AD2535" s="4">
        <v>44</v>
      </c>
      <c r="AE2535" s="4">
        <v>45</v>
      </c>
      <c r="AF2535" s="4">
        <v>0</v>
      </c>
      <c r="AG2535" s="4">
        <v>1</v>
      </c>
      <c r="AH2535" s="4">
        <v>40</v>
      </c>
      <c r="AI2535" s="4">
        <v>40</v>
      </c>
      <c r="AJ2535" s="4">
        <v>7</v>
      </c>
      <c r="AK2535" s="4">
        <v>8</v>
      </c>
      <c r="AL2535" s="4">
        <v>31</v>
      </c>
      <c r="AM2535" s="4">
        <v>31</v>
      </c>
      <c r="AN2535" s="4">
        <v>0</v>
      </c>
      <c r="AO2535" s="4">
        <v>0</v>
      </c>
      <c r="AP2535" s="4">
        <v>7</v>
      </c>
      <c r="AQ2535" s="4">
        <v>7</v>
      </c>
      <c r="AR2535" s="3" t="s">
        <v>65</v>
      </c>
      <c r="AS2535" s="3" t="s">
        <v>65</v>
      </c>
      <c r="AT2535" s="3" t="s">
        <v>65</v>
      </c>
      <c r="AV2535" s="6" t="str">
        <f>HYPERLINK("http://mcgill.on.worldcat.org/oclc/13879639","Catalog Record")</f>
        <v>Catalog Record</v>
      </c>
      <c r="AW2535" s="6" t="str">
        <f>HYPERLINK("http://www.worldcat.org/oclc/13879639","WorldCat Record")</f>
        <v>WorldCat Record</v>
      </c>
      <c r="AX2535" s="3" t="s">
        <v>24984</v>
      </c>
      <c r="AY2535" s="3" t="s">
        <v>24985</v>
      </c>
      <c r="AZ2535" s="3" t="s">
        <v>24986</v>
      </c>
      <c r="BA2535" s="3" t="s">
        <v>24986</v>
      </c>
      <c r="BB2535" s="3" t="s">
        <v>24987</v>
      </c>
      <c r="BC2535" s="3" t="s">
        <v>77</v>
      </c>
      <c r="BD2535" s="3" t="s">
        <v>78</v>
      </c>
      <c r="BF2535" s="3" t="s">
        <v>24987</v>
      </c>
      <c r="BG2535" s="3" t="s">
        <v>24988</v>
      </c>
    </row>
    <row r="2536" spans="1:59" ht="58" x14ac:dyDescent="0.35">
      <c r="A2536" s="2" t="s">
        <v>59</v>
      </c>
      <c r="B2536" s="2" t="s">
        <v>60</v>
      </c>
      <c r="C2536" s="2" t="s">
        <v>24989</v>
      </c>
      <c r="D2536" s="2" t="s">
        <v>24990</v>
      </c>
      <c r="E2536" s="2" t="s">
        <v>24991</v>
      </c>
      <c r="G2536" s="3" t="s">
        <v>65</v>
      </c>
      <c r="I2536" s="3" t="s">
        <v>65</v>
      </c>
      <c r="J2536" s="3" t="s">
        <v>65</v>
      </c>
      <c r="K2536" s="3" t="s">
        <v>66</v>
      </c>
      <c r="L2536" s="2" t="s">
        <v>24992</v>
      </c>
      <c r="M2536" s="2" t="s">
        <v>24993</v>
      </c>
      <c r="N2536" s="3" t="s">
        <v>176</v>
      </c>
      <c r="P2536" s="3" t="s">
        <v>140</v>
      </c>
      <c r="Q2536" s="2" t="s">
        <v>24994</v>
      </c>
      <c r="R2536" s="3" t="s">
        <v>71</v>
      </c>
      <c r="S2536" s="4">
        <v>1</v>
      </c>
      <c r="T2536" s="4">
        <v>1</v>
      </c>
      <c r="U2536" s="5" t="s">
        <v>5831</v>
      </c>
      <c r="V2536" s="5" t="s">
        <v>5831</v>
      </c>
      <c r="W2536" s="5" t="s">
        <v>72</v>
      </c>
      <c r="X2536" s="5" t="s">
        <v>72</v>
      </c>
      <c r="Y2536" s="4">
        <v>23</v>
      </c>
      <c r="Z2536" s="4">
        <v>3</v>
      </c>
      <c r="AA2536" s="4">
        <v>3</v>
      </c>
      <c r="AB2536" s="4">
        <v>1</v>
      </c>
      <c r="AC2536" s="4">
        <v>1</v>
      </c>
      <c r="AD2536" s="4">
        <v>15</v>
      </c>
      <c r="AE2536" s="4">
        <v>15</v>
      </c>
      <c r="AF2536" s="4">
        <v>0</v>
      </c>
      <c r="AG2536" s="4">
        <v>0</v>
      </c>
      <c r="AH2536" s="4">
        <v>14</v>
      </c>
      <c r="AI2536" s="4">
        <v>14</v>
      </c>
      <c r="AJ2536" s="4">
        <v>1</v>
      </c>
      <c r="AK2536" s="4">
        <v>1</v>
      </c>
      <c r="AL2536" s="4">
        <v>12</v>
      </c>
      <c r="AM2536" s="4">
        <v>12</v>
      </c>
      <c r="AN2536" s="4">
        <v>0</v>
      </c>
      <c r="AO2536" s="4">
        <v>0</v>
      </c>
      <c r="AP2536" s="4">
        <v>1</v>
      </c>
      <c r="AQ2536" s="4">
        <v>1</v>
      </c>
      <c r="AR2536" s="3" t="s">
        <v>65</v>
      </c>
      <c r="AS2536" s="3" t="s">
        <v>65</v>
      </c>
      <c r="AT2536" s="3" t="s">
        <v>65</v>
      </c>
      <c r="AV2536" s="6" t="str">
        <f>HYPERLINK("http://mcgill.on.worldcat.org/oclc/922332117","Catalog Record")</f>
        <v>Catalog Record</v>
      </c>
      <c r="AW2536" s="6" t="str">
        <f>HYPERLINK("http://www.worldcat.org/oclc/922332117","WorldCat Record")</f>
        <v>WorldCat Record</v>
      </c>
      <c r="AX2536" s="3" t="s">
        <v>24995</v>
      </c>
      <c r="AY2536" s="3" t="s">
        <v>24996</v>
      </c>
      <c r="AZ2536" s="3" t="s">
        <v>24997</v>
      </c>
      <c r="BA2536" s="3" t="s">
        <v>24997</v>
      </c>
      <c r="BB2536" s="3" t="s">
        <v>24998</v>
      </c>
      <c r="BC2536" s="3" t="s">
        <v>77</v>
      </c>
      <c r="BD2536" s="3" t="s">
        <v>78</v>
      </c>
      <c r="BE2536" s="3" t="s">
        <v>24999</v>
      </c>
      <c r="BF2536" s="3" t="s">
        <v>24998</v>
      </c>
      <c r="BG2536" s="3" t="s">
        <v>25000</v>
      </c>
    </row>
    <row r="2537" spans="1:59" ht="58" x14ac:dyDescent="0.35">
      <c r="A2537" s="2" t="s">
        <v>59</v>
      </c>
      <c r="B2537" s="2" t="s">
        <v>60</v>
      </c>
      <c r="C2537" s="2" t="s">
        <v>25001</v>
      </c>
      <c r="D2537" s="2" t="s">
        <v>25002</v>
      </c>
      <c r="E2537" s="2" t="s">
        <v>25003</v>
      </c>
      <c r="G2537" s="3" t="s">
        <v>65</v>
      </c>
      <c r="I2537" s="3" t="s">
        <v>65</v>
      </c>
      <c r="J2537" s="3" t="s">
        <v>209</v>
      </c>
      <c r="K2537" s="3" t="s">
        <v>66</v>
      </c>
      <c r="L2537" s="2" t="s">
        <v>24958</v>
      </c>
      <c r="M2537" s="2" t="s">
        <v>25004</v>
      </c>
      <c r="N2537" s="3" t="s">
        <v>99</v>
      </c>
      <c r="P2537" s="3" t="s">
        <v>140</v>
      </c>
      <c r="Q2537" s="2" t="s">
        <v>25005</v>
      </c>
      <c r="R2537" s="3" t="s">
        <v>71</v>
      </c>
      <c r="S2537" s="4">
        <v>8</v>
      </c>
      <c r="T2537" s="4">
        <v>8</v>
      </c>
      <c r="U2537" s="5" t="s">
        <v>5831</v>
      </c>
      <c r="V2537" s="5" t="s">
        <v>5831</v>
      </c>
      <c r="W2537" s="5" t="s">
        <v>72</v>
      </c>
      <c r="X2537" s="5" t="s">
        <v>72</v>
      </c>
      <c r="Y2537" s="4">
        <v>13</v>
      </c>
      <c r="Z2537" s="4">
        <v>5</v>
      </c>
      <c r="AA2537" s="4">
        <v>16</v>
      </c>
      <c r="AB2537" s="4">
        <v>2</v>
      </c>
      <c r="AC2537" s="4">
        <v>3</v>
      </c>
      <c r="AD2537" s="4">
        <v>3</v>
      </c>
      <c r="AE2537" s="4">
        <v>69</v>
      </c>
      <c r="AF2537" s="4">
        <v>0</v>
      </c>
      <c r="AG2537" s="4">
        <v>1</v>
      </c>
      <c r="AH2537" s="4">
        <v>3</v>
      </c>
      <c r="AI2537" s="4">
        <v>63</v>
      </c>
      <c r="AJ2537" s="4">
        <v>1</v>
      </c>
      <c r="AK2537" s="4">
        <v>11</v>
      </c>
      <c r="AL2537" s="4">
        <v>0</v>
      </c>
      <c r="AM2537" s="4">
        <v>38</v>
      </c>
      <c r="AN2537" s="4">
        <v>0</v>
      </c>
      <c r="AO2537" s="4">
        <v>0</v>
      </c>
      <c r="AP2537" s="4">
        <v>1</v>
      </c>
      <c r="AQ2537" s="4">
        <v>11</v>
      </c>
      <c r="AR2537" s="3" t="s">
        <v>65</v>
      </c>
      <c r="AS2537" s="3" t="s">
        <v>65</v>
      </c>
      <c r="AT2537" s="3" t="s">
        <v>65</v>
      </c>
      <c r="AV2537" s="6" t="str">
        <f>HYPERLINK("http://mcgill.on.worldcat.org/oclc/123419164","Catalog Record")</f>
        <v>Catalog Record</v>
      </c>
      <c r="AW2537" s="6" t="str">
        <f>HYPERLINK("http://www.worldcat.org/oclc/123419164","WorldCat Record")</f>
        <v>WorldCat Record</v>
      </c>
      <c r="AX2537" s="3" t="s">
        <v>25006</v>
      </c>
      <c r="AY2537" s="3" t="s">
        <v>25007</v>
      </c>
      <c r="AZ2537" s="3" t="s">
        <v>25008</v>
      </c>
      <c r="BA2537" s="3" t="s">
        <v>25008</v>
      </c>
      <c r="BB2537" s="3" t="s">
        <v>25009</v>
      </c>
      <c r="BC2537" s="3" t="s">
        <v>77</v>
      </c>
      <c r="BD2537" s="3" t="s">
        <v>78</v>
      </c>
      <c r="BE2537" s="3" t="s">
        <v>25010</v>
      </c>
      <c r="BF2537" s="3" t="s">
        <v>25009</v>
      </c>
      <c r="BG2537" s="3" t="s">
        <v>25011</v>
      </c>
    </row>
    <row r="2538" spans="1:59" ht="58" x14ac:dyDescent="0.35">
      <c r="A2538" s="2" t="s">
        <v>59</v>
      </c>
      <c r="B2538" s="2" t="s">
        <v>60</v>
      </c>
      <c r="C2538" s="2" t="s">
        <v>25012</v>
      </c>
      <c r="D2538" s="2" t="s">
        <v>25013</v>
      </c>
      <c r="E2538" s="2" t="s">
        <v>25014</v>
      </c>
      <c r="G2538" s="3" t="s">
        <v>65</v>
      </c>
      <c r="I2538" s="3" t="s">
        <v>209</v>
      </c>
      <c r="J2538" s="3" t="s">
        <v>65</v>
      </c>
      <c r="K2538" s="3" t="s">
        <v>66</v>
      </c>
      <c r="L2538" s="2" t="s">
        <v>24958</v>
      </c>
      <c r="M2538" s="2" t="s">
        <v>25015</v>
      </c>
      <c r="N2538" s="3" t="s">
        <v>99</v>
      </c>
      <c r="P2538" s="3" t="s">
        <v>69</v>
      </c>
      <c r="Q2538" s="2" t="s">
        <v>25016</v>
      </c>
      <c r="R2538" s="3" t="s">
        <v>71</v>
      </c>
      <c r="S2538" s="4">
        <v>7</v>
      </c>
      <c r="T2538" s="4">
        <v>21</v>
      </c>
      <c r="U2538" s="5" t="s">
        <v>25017</v>
      </c>
      <c r="V2538" s="5" t="s">
        <v>25018</v>
      </c>
      <c r="W2538" s="5" t="s">
        <v>72</v>
      </c>
      <c r="X2538" s="5" t="s">
        <v>72</v>
      </c>
      <c r="Y2538" s="4">
        <v>111</v>
      </c>
      <c r="Z2538" s="4">
        <v>10</v>
      </c>
      <c r="AA2538" s="4">
        <v>11</v>
      </c>
      <c r="AB2538" s="4">
        <v>1</v>
      </c>
      <c r="AC2538" s="4">
        <v>2</v>
      </c>
      <c r="AD2538" s="4">
        <v>52</v>
      </c>
      <c r="AE2538" s="4">
        <v>67</v>
      </c>
      <c r="AF2538" s="4">
        <v>0</v>
      </c>
      <c r="AG2538" s="4">
        <v>1</v>
      </c>
      <c r="AH2538" s="4">
        <v>48</v>
      </c>
      <c r="AI2538" s="4">
        <v>62</v>
      </c>
      <c r="AJ2538" s="4">
        <v>7</v>
      </c>
      <c r="AK2538" s="4">
        <v>7</v>
      </c>
      <c r="AL2538" s="4">
        <v>34</v>
      </c>
      <c r="AM2538" s="4">
        <v>43</v>
      </c>
      <c r="AN2538" s="4">
        <v>0</v>
      </c>
      <c r="AO2538" s="4">
        <v>0</v>
      </c>
      <c r="AP2538" s="4">
        <v>7</v>
      </c>
      <c r="AQ2538" s="4">
        <v>8</v>
      </c>
      <c r="AR2538" s="3" t="s">
        <v>65</v>
      </c>
      <c r="AS2538" s="3" t="s">
        <v>65</v>
      </c>
      <c r="AT2538" s="3" t="s">
        <v>65</v>
      </c>
      <c r="AV2538" s="6" t="str">
        <f>HYPERLINK("http://mcgill.on.worldcat.org/oclc/67375293","Catalog Record")</f>
        <v>Catalog Record</v>
      </c>
      <c r="AW2538" s="6" t="str">
        <f>HYPERLINK("http://www.worldcat.org/oclc/67375293","WorldCat Record")</f>
        <v>WorldCat Record</v>
      </c>
      <c r="AX2538" s="3" t="s">
        <v>25019</v>
      </c>
      <c r="AY2538" s="3" t="s">
        <v>25020</v>
      </c>
      <c r="AZ2538" s="3" t="s">
        <v>25021</v>
      </c>
      <c r="BA2538" s="3" t="s">
        <v>25021</v>
      </c>
      <c r="BB2538" s="3" t="s">
        <v>25022</v>
      </c>
      <c r="BC2538" s="3" t="s">
        <v>77</v>
      </c>
      <c r="BD2538" s="3" t="s">
        <v>78</v>
      </c>
      <c r="BE2538" s="3" t="s">
        <v>25023</v>
      </c>
      <c r="BF2538" s="3" t="s">
        <v>25022</v>
      </c>
      <c r="BG2538" s="3" t="s">
        <v>25024</v>
      </c>
    </row>
    <row r="2539" spans="1:59" ht="58" x14ac:dyDescent="0.35">
      <c r="A2539" s="2" t="s">
        <v>59</v>
      </c>
      <c r="B2539" s="2" t="s">
        <v>60</v>
      </c>
      <c r="C2539" s="2" t="s">
        <v>25012</v>
      </c>
      <c r="D2539" s="2" t="s">
        <v>25013</v>
      </c>
      <c r="E2539" s="2" t="s">
        <v>25014</v>
      </c>
      <c r="G2539" s="3" t="s">
        <v>65</v>
      </c>
      <c r="I2539" s="3" t="s">
        <v>209</v>
      </c>
      <c r="J2539" s="3" t="s">
        <v>65</v>
      </c>
      <c r="K2539" s="3" t="s">
        <v>66</v>
      </c>
      <c r="L2539" s="2" t="s">
        <v>24958</v>
      </c>
      <c r="M2539" s="2" t="s">
        <v>25015</v>
      </c>
      <c r="N2539" s="3" t="s">
        <v>99</v>
      </c>
      <c r="P2539" s="3" t="s">
        <v>69</v>
      </c>
      <c r="Q2539" s="2" t="s">
        <v>25016</v>
      </c>
      <c r="R2539" s="3" t="s">
        <v>71</v>
      </c>
      <c r="S2539" s="4">
        <v>14</v>
      </c>
      <c r="T2539" s="4">
        <v>21</v>
      </c>
      <c r="U2539" s="5" t="s">
        <v>25018</v>
      </c>
      <c r="V2539" s="5" t="s">
        <v>25018</v>
      </c>
      <c r="W2539" s="5" t="s">
        <v>72</v>
      </c>
      <c r="X2539" s="5" t="s">
        <v>72</v>
      </c>
      <c r="Y2539" s="4">
        <v>111</v>
      </c>
      <c r="Z2539" s="4">
        <v>10</v>
      </c>
      <c r="AA2539" s="4">
        <v>11</v>
      </c>
      <c r="AB2539" s="4">
        <v>1</v>
      </c>
      <c r="AC2539" s="4">
        <v>2</v>
      </c>
      <c r="AD2539" s="4">
        <v>52</v>
      </c>
      <c r="AE2539" s="4">
        <v>67</v>
      </c>
      <c r="AF2539" s="4">
        <v>0</v>
      </c>
      <c r="AG2539" s="4">
        <v>1</v>
      </c>
      <c r="AH2539" s="4">
        <v>48</v>
      </c>
      <c r="AI2539" s="4">
        <v>62</v>
      </c>
      <c r="AJ2539" s="4">
        <v>7</v>
      </c>
      <c r="AK2539" s="4">
        <v>7</v>
      </c>
      <c r="AL2539" s="4">
        <v>34</v>
      </c>
      <c r="AM2539" s="4">
        <v>43</v>
      </c>
      <c r="AN2539" s="4">
        <v>0</v>
      </c>
      <c r="AO2539" s="4">
        <v>0</v>
      </c>
      <c r="AP2539" s="4">
        <v>7</v>
      </c>
      <c r="AQ2539" s="4">
        <v>8</v>
      </c>
      <c r="AR2539" s="3" t="s">
        <v>65</v>
      </c>
      <c r="AS2539" s="3" t="s">
        <v>65</v>
      </c>
      <c r="AT2539" s="3" t="s">
        <v>65</v>
      </c>
      <c r="AV2539" s="6" t="str">
        <f>HYPERLINK("http://mcgill.on.worldcat.org/oclc/67375293","Catalog Record")</f>
        <v>Catalog Record</v>
      </c>
      <c r="AW2539" s="6" t="str">
        <f>HYPERLINK("http://www.worldcat.org/oclc/67375293","WorldCat Record")</f>
        <v>WorldCat Record</v>
      </c>
      <c r="AX2539" s="3" t="s">
        <v>25019</v>
      </c>
      <c r="AY2539" s="3" t="s">
        <v>25020</v>
      </c>
      <c r="AZ2539" s="3" t="s">
        <v>25021</v>
      </c>
      <c r="BA2539" s="3" t="s">
        <v>25021</v>
      </c>
      <c r="BB2539" s="3" t="s">
        <v>25025</v>
      </c>
      <c r="BC2539" s="3" t="s">
        <v>77</v>
      </c>
      <c r="BD2539" s="3" t="s">
        <v>78</v>
      </c>
      <c r="BE2539" s="3" t="s">
        <v>25023</v>
      </c>
      <c r="BF2539" s="3" t="s">
        <v>25025</v>
      </c>
      <c r="BG2539" s="3" t="s">
        <v>25026</v>
      </c>
    </row>
    <row r="2540" spans="1:59" ht="58" x14ac:dyDescent="0.35">
      <c r="A2540" s="2" t="s">
        <v>59</v>
      </c>
      <c r="B2540" s="2" t="s">
        <v>60</v>
      </c>
      <c r="C2540" s="2" t="s">
        <v>25027</v>
      </c>
      <c r="D2540" s="2" t="s">
        <v>25028</v>
      </c>
      <c r="E2540" s="2" t="s">
        <v>25029</v>
      </c>
      <c r="G2540" s="3" t="s">
        <v>65</v>
      </c>
      <c r="I2540" s="3" t="s">
        <v>65</v>
      </c>
      <c r="J2540" s="3" t="s">
        <v>65</v>
      </c>
      <c r="K2540" s="3" t="s">
        <v>66</v>
      </c>
      <c r="L2540" s="2" t="s">
        <v>24958</v>
      </c>
      <c r="M2540" s="2" t="s">
        <v>25030</v>
      </c>
      <c r="N2540" s="3" t="s">
        <v>2210</v>
      </c>
      <c r="P2540" s="3" t="s">
        <v>69</v>
      </c>
      <c r="R2540" s="3" t="s">
        <v>71</v>
      </c>
      <c r="S2540" s="4">
        <v>4</v>
      </c>
      <c r="T2540" s="4">
        <v>4</v>
      </c>
      <c r="U2540" s="5" t="s">
        <v>25031</v>
      </c>
      <c r="V2540" s="5" t="s">
        <v>25031</v>
      </c>
      <c r="W2540" s="5" t="s">
        <v>72</v>
      </c>
      <c r="X2540" s="5" t="s">
        <v>72</v>
      </c>
      <c r="Y2540" s="4">
        <v>135</v>
      </c>
      <c r="Z2540" s="4">
        <v>15</v>
      </c>
      <c r="AA2540" s="4">
        <v>15</v>
      </c>
      <c r="AB2540" s="4">
        <v>2</v>
      </c>
      <c r="AC2540" s="4">
        <v>2</v>
      </c>
      <c r="AD2540" s="4">
        <v>59</v>
      </c>
      <c r="AE2540" s="4">
        <v>59</v>
      </c>
      <c r="AF2540" s="4">
        <v>0</v>
      </c>
      <c r="AG2540" s="4">
        <v>0</v>
      </c>
      <c r="AH2540" s="4">
        <v>56</v>
      </c>
      <c r="AI2540" s="4">
        <v>56</v>
      </c>
      <c r="AJ2540" s="4">
        <v>8</v>
      </c>
      <c r="AK2540" s="4">
        <v>8</v>
      </c>
      <c r="AL2540" s="4">
        <v>36</v>
      </c>
      <c r="AM2540" s="4">
        <v>36</v>
      </c>
      <c r="AN2540" s="4">
        <v>0</v>
      </c>
      <c r="AO2540" s="4">
        <v>0</v>
      </c>
      <c r="AP2540" s="4">
        <v>8</v>
      </c>
      <c r="AQ2540" s="4">
        <v>8</v>
      </c>
      <c r="AR2540" s="3" t="s">
        <v>65</v>
      </c>
      <c r="AS2540" s="3" t="s">
        <v>65</v>
      </c>
      <c r="AT2540" s="3" t="s">
        <v>209</v>
      </c>
      <c r="AU2540" s="6" t="str">
        <f>HYPERLINK("http://catalog.hathitrust.org/Record/004258813","HathiTrust Record")</f>
        <v>HathiTrust Record</v>
      </c>
      <c r="AV2540" s="6" t="str">
        <f>HYPERLINK("http://mcgill.on.worldcat.org/oclc/48619327","Catalog Record")</f>
        <v>Catalog Record</v>
      </c>
      <c r="AW2540" s="6" t="str">
        <f>HYPERLINK("http://www.worldcat.org/oclc/48619327","WorldCat Record")</f>
        <v>WorldCat Record</v>
      </c>
      <c r="AX2540" s="3" t="s">
        <v>25032</v>
      </c>
      <c r="AY2540" s="3" t="s">
        <v>25033</v>
      </c>
      <c r="AZ2540" s="3" t="s">
        <v>25034</v>
      </c>
      <c r="BA2540" s="3" t="s">
        <v>25034</v>
      </c>
      <c r="BB2540" s="3" t="s">
        <v>25035</v>
      </c>
      <c r="BC2540" s="3" t="s">
        <v>77</v>
      </c>
      <c r="BD2540" s="3" t="s">
        <v>78</v>
      </c>
      <c r="BE2540" s="3" t="s">
        <v>25036</v>
      </c>
      <c r="BF2540" s="3" t="s">
        <v>25035</v>
      </c>
      <c r="BG2540" s="3" t="s">
        <v>25037</v>
      </c>
    </row>
    <row r="2541" spans="1:59" ht="58" x14ac:dyDescent="0.35">
      <c r="A2541" s="2" t="s">
        <v>59</v>
      </c>
      <c r="B2541" s="2" t="s">
        <v>60</v>
      </c>
      <c r="C2541" s="2" t="s">
        <v>25038</v>
      </c>
      <c r="D2541" s="2" t="s">
        <v>25039</v>
      </c>
      <c r="E2541" s="2" t="s">
        <v>25040</v>
      </c>
      <c r="G2541" s="3" t="s">
        <v>65</v>
      </c>
      <c r="I2541" s="3" t="s">
        <v>65</v>
      </c>
      <c r="J2541" s="3" t="s">
        <v>65</v>
      </c>
      <c r="K2541" s="3" t="s">
        <v>66</v>
      </c>
      <c r="M2541" s="2" t="s">
        <v>25041</v>
      </c>
      <c r="N2541" s="3" t="s">
        <v>126</v>
      </c>
      <c r="P2541" s="3" t="s">
        <v>140</v>
      </c>
      <c r="Q2541" s="2" t="s">
        <v>25042</v>
      </c>
      <c r="R2541" s="3" t="s">
        <v>71</v>
      </c>
      <c r="S2541" s="4">
        <v>0</v>
      </c>
      <c r="T2541" s="4">
        <v>0</v>
      </c>
      <c r="W2541" s="5" t="s">
        <v>72</v>
      </c>
      <c r="X2541" s="5" t="s">
        <v>72</v>
      </c>
      <c r="Y2541" s="4">
        <v>30</v>
      </c>
      <c r="Z2541" s="4">
        <v>1</v>
      </c>
      <c r="AA2541" s="4">
        <v>1</v>
      </c>
      <c r="AB2541" s="4">
        <v>1</v>
      </c>
      <c r="AC2541" s="4">
        <v>1</v>
      </c>
      <c r="AD2541" s="4">
        <v>24</v>
      </c>
      <c r="AE2541" s="4">
        <v>24</v>
      </c>
      <c r="AF2541" s="4">
        <v>0</v>
      </c>
      <c r="AG2541" s="4">
        <v>0</v>
      </c>
      <c r="AH2541" s="4">
        <v>23</v>
      </c>
      <c r="AI2541" s="4">
        <v>23</v>
      </c>
      <c r="AJ2541" s="4">
        <v>0</v>
      </c>
      <c r="AK2541" s="4">
        <v>0</v>
      </c>
      <c r="AL2541" s="4">
        <v>17</v>
      </c>
      <c r="AM2541" s="4">
        <v>17</v>
      </c>
      <c r="AN2541" s="4">
        <v>0</v>
      </c>
      <c r="AO2541" s="4">
        <v>0</v>
      </c>
      <c r="AP2541" s="4">
        <v>0</v>
      </c>
      <c r="AQ2541" s="4">
        <v>0</v>
      </c>
      <c r="AR2541" s="3" t="s">
        <v>65</v>
      </c>
      <c r="AS2541" s="3" t="s">
        <v>65</v>
      </c>
      <c r="AT2541" s="3" t="s">
        <v>65</v>
      </c>
      <c r="AV2541" s="6" t="str">
        <f>HYPERLINK("http://mcgill.on.worldcat.org/oclc/768397359","Catalog Record")</f>
        <v>Catalog Record</v>
      </c>
      <c r="AW2541" s="6" t="str">
        <f>HYPERLINK("http://www.worldcat.org/oclc/768397359","WorldCat Record")</f>
        <v>WorldCat Record</v>
      </c>
      <c r="AX2541" s="3" t="s">
        <v>25043</v>
      </c>
      <c r="AY2541" s="3" t="s">
        <v>25044</v>
      </c>
      <c r="AZ2541" s="3" t="s">
        <v>25045</v>
      </c>
      <c r="BA2541" s="3" t="s">
        <v>25045</v>
      </c>
      <c r="BB2541" s="3" t="s">
        <v>25046</v>
      </c>
      <c r="BC2541" s="3" t="s">
        <v>77</v>
      </c>
      <c r="BD2541" s="3" t="s">
        <v>78</v>
      </c>
      <c r="BE2541" s="3" t="s">
        <v>25047</v>
      </c>
      <c r="BF2541" s="3" t="s">
        <v>25046</v>
      </c>
      <c r="BG2541" s="3" t="s">
        <v>25048</v>
      </c>
    </row>
    <row r="2542" spans="1:59" ht="58" x14ac:dyDescent="0.35">
      <c r="A2542" s="2" t="s">
        <v>59</v>
      </c>
      <c r="B2542" s="2" t="s">
        <v>60</v>
      </c>
      <c r="C2542" s="2" t="s">
        <v>25049</v>
      </c>
      <c r="D2542" s="2" t="s">
        <v>25050</v>
      </c>
      <c r="E2542" s="2" t="s">
        <v>25051</v>
      </c>
      <c r="G2542" s="3" t="s">
        <v>65</v>
      </c>
      <c r="I2542" s="3" t="s">
        <v>65</v>
      </c>
      <c r="J2542" s="3" t="s">
        <v>209</v>
      </c>
      <c r="K2542" s="3" t="s">
        <v>66</v>
      </c>
      <c r="L2542" s="2" t="s">
        <v>25052</v>
      </c>
      <c r="M2542" s="2" t="s">
        <v>13565</v>
      </c>
      <c r="N2542" s="3" t="s">
        <v>126</v>
      </c>
      <c r="P2542" s="3" t="s">
        <v>140</v>
      </c>
      <c r="Q2542" s="2" t="s">
        <v>25053</v>
      </c>
      <c r="R2542" s="3" t="s">
        <v>71</v>
      </c>
      <c r="S2542" s="4">
        <v>1</v>
      </c>
      <c r="T2542" s="4">
        <v>1</v>
      </c>
      <c r="U2542" s="5" t="s">
        <v>25054</v>
      </c>
      <c r="V2542" s="5" t="s">
        <v>25054</v>
      </c>
      <c r="W2542" s="5" t="s">
        <v>72</v>
      </c>
      <c r="X2542" s="5" t="s">
        <v>72</v>
      </c>
      <c r="Y2542" s="4">
        <v>39</v>
      </c>
      <c r="Z2542" s="4">
        <v>5</v>
      </c>
      <c r="AA2542" s="4">
        <v>9</v>
      </c>
      <c r="AB2542" s="4">
        <v>1</v>
      </c>
      <c r="AC2542" s="4">
        <v>1</v>
      </c>
      <c r="AD2542" s="4">
        <v>25</v>
      </c>
      <c r="AE2542" s="4">
        <v>53</v>
      </c>
      <c r="AF2542" s="4">
        <v>0</v>
      </c>
      <c r="AG2542" s="4">
        <v>0</v>
      </c>
      <c r="AH2542" s="4">
        <v>23</v>
      </c>
      <c r="AI2542" s="4">
        <v>50</v>
      </c>
      <c r="AJ2542" s="4">
        <v>2</v>
      </c>
      <c r="AK2542" s="4">
        <v>6</v>
      </c>
      <c r="AL2542" s="4">
        <v>18</v>
      </c>
      <c r="AM2542" s="4">
        <v>35</v>
      </c>
      <c r="AN2542" s="4">
        <v>0</v>
      </c>
      <c r="AO2542" s="4">
        <v>0</v>
      </c>
      <c r="AP2542" s="4">
        <v>3</v>
      </c>
      <c r="AQ2542" s="4">
        <v>7</v>
      </c>
      <c r="AR2542" s="3" t="s">
        <v>65</v>
      </c>
      <c r="AS2542" s="3" t="s">
        <v>65</v>
      </c>
      <c r="AT2542" s="3" t="s">
        <v>65</v>
      </c>
      <c r="AV2542" s="6" t="str">
        <f>HYPERLINK("http://mcgill.on.worldcat.org/oclc/707459561","Catalog Record")</f>
        <v>Catalog Record</v>
      </c>
      <c r="AW2542" s="6" t="str">
        <f>HYPERLINK("http://www.worldcat.org/oclc/707459561","WorldCat Record")</f>
        <v>WorldCat Record</v>
      </c>
      <c r="AX2542" s="3" t="s">
        <v>25055</v>
      </c>
      <c r="AY2542" s="3" t="s">
        <v>25056</v>
      </c>
      <c r="AZ2542" s="3" t="s">
        <v>25057</v>
      </c>
      <c r="BA2542" s="3" t="s">
        <v>25057</v>
      </c>
      <c r="BB2542" s="3" t="s">
        <v>25058</v>
      </c>
      <c r="BC2542" s="3" t="s">
        <v>77</v>
      </c>
      <c r="BD2542" s="3" t="s">
        <v>78</v>
      </c>
      <c r="BE2542" s="3" t="s">
        <v>25059</v>
      </c>
      <c r="BF2542" s="3" t="s">
        <v>25058</v>
      </c>
      <c r="BG2542" s="3" t="s">
        <v>25060</v>
      </c>
    </row>
    <row r="2543" spans="1:59" ht="58" x14ac:dyDescent="0.35">
      <c r="A2543" s="2" t="s">
        <v>59</v>
      </c>
      <c r="B2543" s="2" t="s">
        <v>60</v>
      </c>
      <c r="C2543" s="2" t="s">
        <v>25061</v>
      </c>
      <c r="D2543" s="2" t="s">
        <v>25062</v>
      </c>
      <c r="E2543" s="2" t="s">
        <v>25063</v>
      </c>
      <c r="G2543" s="3" t="s">
        <v>65</v>
      </c>
      <c r="I2543" s="3" t="s">
        <v>65</v>
      </c>
      <c r="J2543" s="3" t="s">
        <v>65</v>
      </c>
      <c r="K2543" s="3" t="s">
        <v>66</v>
      </c>
      <c r="L2543" s="2" t="s">
        <v>25064</v>
      </c>
      <c r="M2543" s="2" t="s">
        <v>25065</v>
      </c>
      <c r="N2543" s="3" t="s">
        <v>126</v>
      </c>
      <c r="O2543" s="2" t="s">
        <v>365</v>
      </c>
      <c r="P2543" s="3" t="s">
        <v>140</v>
      </c>
      <c r="Q2543" s="2" t="s">
        <v>3947</v>
      </c>
      <c r="R2543" s="3" t="s">
        <v>71</v>
      </c>
      <c r="S2543" s="4">
        <v>1</v>
      </c>
      <c r="T2543" s="4">
        <v>1</v>
      </c>
      <c r="U2543" s="5" t="s">
        <v>25054</v>
      </c>
      <c r="V2543" s="5" t="s">
        <v>25054</v>
      </c>
      <c r="W2543" s="5" t="s">
        <v>72</v>
      </c>
      <c r="X2543" s="5" t="s">
        <v>72</v>
      </c>
      <c r="Y2543" s="4">
        <v>50</v>
      </c>
      <c r="Z2543" s="4">
        <v>4</v>
      </c>
      <c r="AA2543" s="4">
        <v>4</v>
      </c>
      <c r="AB2543" s="4">
        <v>1</v>
      </c>
      <c r="AC2543" s="4">
        <v>1</v>
      </c>
      <c r="AD2543" s="4">
        <v>35</v>
      </c>
      <c r="AE2543" s="4">
        <v>35</v>
      </c>
      <c r="AF2543" s="4">
        <v>0</v>
      </c>
      <c r="AG2543" s="4">
        <v>0</v>
      </c>
      <c r="AH2543" s="4">
        <v>34</v>
      </c>
      <c r="AI2543" s="4">
        <v>34</v>
      </c>
      <c r="AJ2543" s="4">
        <v>2</v>
      </c>
      <c r="AK2543" s="4">
        <v>2</v>
      </c>
      <c r="AL2543" s="4">
        <v>28</v>
      </c>
      <c r="AM2543" s="4">
        <v>28</v>
      </c>
      <c r="AN2543" s="4">
        <v>0</v>
      </c>
      <c r="AO2543" s="4">
        <v>0</v>
      </c>
      <c r="AP2543" s="4">
        <v>2</v>
      </c>
      <c r="AQ2543" s="4">
        <v>2</v>
      </c>
      <c r="AR2543" s="3" t="s">
        <v>65</v>
      </c>
      <c r="AS2543" s="3" t="s">
        <v>65</v>
      </c>
      <c r="AT2543" s="3" t="s">
        <v>65</v>
      </c>
      <c r="AV2543" s="6" t="str">
        <f>HYPERLINK("http://mcgill.on.worldcat.org/oclc/699719765","Catalog Record")</f>
        <v>Catalog Record</v>
      </c>
      <c r="AW2543" s="6" t="str">
        <f>HYPERLINK("http://www.worldcat.org/oclc/699719765","WorldCat Record")</f>
        <v>WorldCat Record</v>
      </c>
      <c r="AX2543" s="3" t="s">
        <v>25066</v>
      </c>
      <c r="AY2543" s="3" t="s">
        <v>25067</v>
      </c>
      <c r="AZ2543" s="3" t="s">
        <v>25068</v>
      </c>
      <c r="BA2543" s="3" t="s">
        <v>25068</v>
      </c>
      <c r="BB2543" s="3" t="s">
        <v>25069</v>
      </c>
      <c r="BC2543" s="3" t="s">
        <v>77</v>
      </c>
      <c r="BD2543" s="3" t="s">
        <v>78</v>
      </c>
      <c r="BE2543" s="3" t="s">
        <v>25070</v>
      </c>
      <c r="BF2543" s="3" t="s">
        <v>25069</v>
      </c>
      <c r="BG2543" s="3" t="s">
        <v>25071</v>
      </c>
    </row>
    <row r="2544" spans="1:59" ht="58" x14ac:dyDescent="0.35">
      <c r="A2544" s="2" t="s">
        <v>59</v>
      </c>
      <c r="B2544" s="2" t="s">
        <v>60</v>
      </c>
      <c r="C2544" s="2" t="s">
        <v>25072</v>
      </c>
      <c r="D2544" s="2" t="s">
        <v>25073</v>
      </c>
      <c r="E2544" s="2" t="s">
        <v>25074</v>
      </c>
      <c r="G2544" s="3" t="s">
        <v>65</v>
      </c>
      <c r="I2544" s="3" t="s">
        <v>65</v>
      </c>
      <c r="J2544" s="3" t="s">
        <v>65</v>
      </c>
      <c r="K2544" s="3" t="s">
        <v>66</v>
      </c>
      <c r="L2544" s="2" t="s">
        <v>25075</v>
      </c>
      <c r="M2544" s="2" t="s">
        <v>10397</v>
      </c>
      <c r="N2544" s="3" t="s">
        <v>176</v>
      </c>
      <c r="P2544" s="3" t="s">
        <v>140</v>
      </c>
      <c r="Q2544" s="2" t="s">
        <v>25076</v>
      </c>
      <c r="R2544" s="3" t="s">
        <v>71</v>
      </c>
      <c r="S2544" s="4">
        <v>0</v>
      </c>
      <c r="T2544" s="4">
        <v>0</v>
      </c>
      <c r="W2544" s="5" t="s">
        <v>72</v>
      </c>
      <c r="X2544" s="5" t="s">
        <v>72</v>
      </c>
      <c r="Y2544" s="4">
        <v>33</v>
      </c>
      <c r="Z2544" s="4">
        <v>2</v>
      </c>
      <c r="AA2544" s="4">
        <v>2</v>
      </c>
      <c r="AB2544" s="4">
        <v>1</v>
      </c>
      <c r="AC2544" s="4">
        <v>1</v>
      </c>
      <c r="AD2544" s="4">
        <v>24</v>
      </c>
      <c r="AE2544" s="4">
        <v>24</v>
      </c>
      <c r="AF2544" s="4">
        <v>0</v>
      </c>
      <c r="AG2544" s="4">
        <v>0</v>
      </c>
      <c r="AH2544" s="4">
        <v>23</v>
      </c>
      <c r="AI2544" s="4">
        <v>23</v>
      </c>
      <c r="AJ2544" s="4">
        <v>1</v>
      </c>
      <c r="AK2544" s="4">
        <v>1</v>
      </c>
      <c r="AL2544" s="4">
        <v>17</v>
      </c>
      <c r="AM2544" s="4">
        <v>17</v>
      </c>
      <c r="AN2544" s="4">
        <v>0</v>
      </c>
      <c r="AO2544" s="4">
        <v>0</v>
      </c>
      <c r="AP2544" s="4">
        <v>1</v>
      </c>
      <c r="AQ2544" s="4">
        <v>1</v>
      </c>
      <c r="AR2544" s="3" t="s">
        <v>65</v>
      </c>
      <c r="AS2544" s="3" t="s">
        <v>65</v>
      </c>
      <c r="AT2544" s="3" t="s">
        <v>65</v>
      </c>
      <c r="AV2544" s="6" t="str">
        <f>HYPERLINK("http://mcgill.on.worldcat.org/oclc/910505683","Catalog Record")</f>
        <v>Catalog Record</v>
      </c>
      <c r="AW2544" s="6" t="str">
        <f>HYPERLINK("http://www.worldcat.org/oclc/910505683","WorldCat Record")</f>
        <v>WorldCat Record</v>
      </c>
      <c r="AX2544" s="3" t="s">
        <v>25077</v>
      </c>
      <c r="AY2544" s="3" t="s">
        <v>25078</v>
      </c>
      <c r="AZ2544" s="3" t="s">
        <v>25079</v>
      </c>
      <c r="BA2544" s="3" t="s">
        <v>25079</v>
      </c>
      <c r="BB2544" s="3" t="s">
        <v>25080</v>
      </c>
      <c r="BC2544" s="3" t="s">
        <v>77</v>
      </c>
      <c r="BD2544" s="3" t="s">
        <v>78</v>
      </c>
      <c r="BE2544" s="3" t="s">
        <v>25081</v>
      </c>
      <c r="BF2544" s="3" t="s">
        <v>25080</v>
      </c>
      <c r="BG2544" s="3" t="s">
        <v>25082</v>
      </c>
    </row>
    <row r="2545" spans="1:59" ht="58" x14ac:dyDescent="0.35">
      <c r="A2545" s="2" t="s">
        <v>59</v>
      </c>
      <c r="B2545" s="2" t="s">
        <v>60</v>
      </c>
      <c r="C2545" s="2" t="s">
        <v>25083</v>
      </c>
      <c r="D2545" s="2" t="s">
        <v>25084</v>
      </c>
      <c r="E2545" s="2" t="s">
        <v>25085</v>
      </c>
      <c r="G2545" s="3" t="s">
        <v>65</v>
      </c>
      <c r="I2545" s="3" t="s">
        <v>65</v>
      </c>
      <c r="J2545" s="3" t="s">
        <v>65</v>
      </c>
      <c r="K2545" s="3" t="s">
        <v>66</v>
      </c>
      <c r="L2545" s="2" t="s">
        <v>20762</v>
      </c>
      <c r="M2545" s="2" t="s">
        <v>25086</v>
      </c>
      <c r="N2545" s="3" t="s">
        <v>188</v>
      </c>
      <c r="O2545" s="2" t="s">
        <v>12101</v>
      </c>
      <c r="P2545" s="3" t="s">
        <v>140</v>
      </c>
      <c r="Q2545" s="2" t="s">
        <v>20764</v>
      </c>
      <c r="R2545" s="3" t="s">
        <v>71</v>
      </c>
      <c r="S2545" s="4">
        <v>0</v>
      </c>
      <c r="T2545" s="4">
        <v>0</v>
      </c>
      <c r="W2545" s="5" t="s">
        <v>72</v>
      </c>
      <c r="X2545" s="5" t="s">
        <v>72</v>
      </c>
      <c r="Y2545" s="4">
        <v>37</v>
      </c>
      <c r="Z2545" s="4">
        <v>2</v>
      </c>
      <c r="AA2545" s="4">
        <v>2</v>
      </c>
      <c r="AB2545" s="4">
        <v>1</v>
      </c>
      <c r="AC2545" s="4">
        <v>1</v>
      </c>
      <c r="AD2545" s="4">
        <v>28</v>
      </c>
      <c r="AE2545" s="4">
        <v>28</v>
      </c>
      <c r="AF2545" s="4">
        <v>0</v>
      </c>
      <c r="AG2545" s="4">
        <v>0</v>
      </c>
      <c r="AH2545" s="4">
        <v>27</v>
      </c>
      <c r="AI2545" s="4">
        <v>27</v>
      </c>
      <c r="AJ2545" s="4">
        <v>1</v>
      </c>
      <c r="AK2545" s="4">
        <v>1</v>
      </c>
      <c r="AL2545" s="4">
        <v>22</v>
      </c>
      <c r="AM2545" s="4">
        <v>22</v>
      </c>
      <c r="AN2545" s="4">
        <v>0</v>
      </c>
      <c r="AO2545" s="4">
        <v>0</v>
      </c>
      <c r="AP2545" s="4">
        <v>1</v>
      </c>
      <c r="AQ2545" s="4">
        <v>1</v>
      </c>
      <c r="AR2545" s="3" t="s">
        <v>65</v>
      </c>
      <c r="AS2545" s="3" t="s">
        <v>65</v>
      </c>
      <c r="AT2545" s="3" t="s">
        <v>65</v>
      </c>
      <c r="AV2545" s="6" t="str">
        <f>HYPERLINK("http://mcgill.on.worldcat.org/oclc/1003358108","Catalog Record")</f>
        <v>Catalog Record</v>
      </c>
      <c r="AW2545" s="6" t="str">
        <f>HYPERLINK("http://www.worldcat.org/oclc/1003358108","WorldCat Record")</f>
        <v>WorldCat Record</v>
      </c>
      <c r="AX2545" s="3" t="s">
        <v>25087</v>
      </c>
      <c r="AY2545" s="3" t="s">
        <v>25088</v>
      </c>
      <c r="AZ2545" s="3" t="s">
        <v>25089</v>
      </c>
      <c r="BA2545" s="3" t="s">
        <v>25089</v>
      </c>
      <c r="BB2545" s="3" t="s">
        <v>25090</v>
      </c>
      <c r="BC2545" s="3" t="s">
        <v>77</v>
      </c>
      <c r="BD2545" s="3" t="s">
        <v>78</v>
      </c>
      <c r="BE2545" s="3" t="s">
        <v>25091</v>
      </c>
      <c r="BF2545" s="3" t="s">
        <v>25090</v>
      </c>
      <c r="BG2545" s="3" t="s">
        <v>25092</v>
      </c>
    </row>
    <row r="2546" spans="1:59" ht="58" x14ac:dyDescent="0.35">
      <c r="A2546" s="2" t="s">
        <v>59</v>
      </c>
      <c r="B2546" s="2" t="s">
        <v>60</v>
      </c>
      <c r="C2546" s="2" t="s">
        <v>25093</v>
      </c>
      <c r="D2546" s="2" t="s">
        <v>25094</v>
      </c>
      <c r="E2546" s="2" t="s">
        <v>25095</v>
      </c>
      <c r="G2546" s="3" t="s">
        <v>65</v>
      </c>
      <c r="I2546" s="3" t="s">
        <v>65</v>
      </c>
      <c r="J2546" s="3" t="s">
        <v>65</v>
      </c>
      <c r="K2546" s="3" t="s">
        <v>66</v>
      </c>
      <c r="L2546" s="2" t="s">
        <v>25096</v>
      </c>
      <c r="M2546" s="2" t="s">
        <v>22596</v>
      </c>
      <c r="N2546" s="3" t="s">
        <v>139</v>
      </c>
      <c r="P2546" s="3" t="s">
        <v>140</v>
      </c>
      <c r="Q2546" s="2" t="s">
        <v>25097</v>
      </c>
      <c r="R2546" s="3" t="s">
        <v>71</v>
      </c>
      <c r="S2546" s="4">
        <v>1</v>
      </c>
      <c r="T2546" s="4">
        <v>1</v>
      </c>
      <c r="U2546" s="5" t="s">
        <v>9090</v>
      </c>
      <c r="V2546" s="5" t="s">
        <v>9090</v>
      </c>
      <c r="W2546" s="5" t="s">
        <v>72</v>
      </c>
      <c r="X2546" s="5" t="s">
        <v>72</v>
      </c>
      <c r="Y2546" s="4">
        <v>45</v>
      </c>
      <c r="Z2546" s="4">
        <v>4</v>
      </c>
      <c r="AA2546" s="4">
        <v>4</v>
      </c>
      <c r="AB2546" s="4">
        <v>1</v>
      </c>
      <c r="AC2546" s="4">
        <v>1</v>
      </c>
      <c r="AD2546" s="4">
        <v>28</v>
      </c>
      <c r="AE2546" s="4">
        <v>28</v>
      </c>
      <c r="AF2546" s="4">
        <v>0</v>
      </c>
      <c r="AG2546" s="4">
        <v>0</v>
      </c>
      <c r="AH2546" s="4">
        <v>27</v>
      </c>
      <c r="AI2546" s="4">
        <v>27</v>
      </c>
      <c r="AJ2546" s="4">
        <v>2</v>
      </c>
      <c r="AK2546" s="4">
        <v>2</v>
      </c>
      <c r="AL2546" s="4">
        <v>22</v>
      </c>
      <c r="AM2546" s="4">
        <v>22</v>
      </c>
      <c r="AN2546" s="4">
        <v>0</v>
      </c>
      <c r="AO2546" s="4">
        <v>0</v>
      </c>
      <c r="AP2546" s="4">
        <v>2</v>
      </c>
      <c r="AQ2546" s="4">
        <v>2</v>
      </c>
      <c r="AR2546" s="3" t="s">
        <v>65</v>
      </c>
      <c r="AS2546" s="3" t="s">
        <v>65</v>
      </c>
      <c r="AT2546" s="3" t="s">
        <v>65</v>
      </c>
      <c r="AV2546" s="6" t="str">
        <f>HYPERLINK("http://mcgill.on.worldcat.org/oclc/796780749","Catalog Record")</f>
        <v>Catalog Record</v>
      </c>
      <c r="AW2546" s="6" t="str">
        <f>HYPERLINK("http://www.worldcat.org/oclc/796780749","WorldCat Record")</f>
        <v>WorldCat Record</v>
      </c>
      <c r="AX2546" s="3" t="s">
        <v>25098</v>
      </c>
      <c r="AY2546" s="3" t="s">
        <v>25099</v>
      </c>
      <c r="AZ2546" s="3" t="s">
        <v>25100</v>
      </c>
      <c r="BA2546" s="3" t="s">
        <v>25100</v>
      </c>
      <c r="BB2546" s="3" t="s">
        <v>25101</v>
      </c>
      <c r="BC2546" s="3" t="s">
        <v>77</v>
      </c>
      <c r="BD2546" s="3" t="s">
        <v>78</v>
      </c>
      <c r="BE2546" s="3" t="s">
        <v>25102</v>
      </c>
      <c r="BF2546" s="3" t="s">
        <v>25101</v>
      </c>
      <c r="BG2546" s="3" t="s">
        <v>25103</v>
      </c>
    </row>
    <row r="2547" spans="1:59" ht="58" x14ac:dyDescent="0.35">
      <c r="A2547" s="2" t="s">
        <v>59</v>
      </c>
      <c r="B2547" s="2" t="s">
        <v>60</v>
      </c>
      <c r="C2547" s="2" t="s">
        <v>25104</v>
      </c>
      <c r="D2547" s="2" t="s">
        <v>25105</v>
      </c>
      <c r="E2547" s="2" t="s">
        <v>25106</v>
      </c>
      <c r="G2547" s="3" t="s">
        <v>65</v>
      </c>
      <c r="I2547" s="3" t="s">
        <v>65</v>
      </c>
      <c r="J2547" s="3" t="s">
        <v>65</v>
      </c>
      <c r="K2547" s="3" t="s">
        <v>66</v>
      </c>
      <c r="L2547" s="2" t="s">
        <v>25107</v>
      </c>
      <c r="M2547" s="2" t="s">
        <v>3211</v>
      </c>
      <c r="N2547" s="3" t="s">
        <v>176</v>
      </c>
      <c r="P2547" s="3" t="s">
        <v>140</v>
      </c>
      <c r="Q2547" s="2" t="s">
        <v>25108</v>
      </c>
      <c r="R2547" s="3" t="s">
        <v>71</v>
      </c>
      <c r="S2547" s="4">
        <v>0</v>
      </c>
      <c r="T2547" s="4">
        <v>0</v>
      </c>
      <c r="W2547" s="5" t="s">
        <v>72</v>
      </c>
      <c r="X2547" s="5" t="s">
        <v>72</v>
      </c>
      <c r="Y2547" s="4">
        <v>43</v>
      </c>
      <c r="Z2547" s="4">
        <v>4</v>
      </c>
      <c r="AA2547" s="4">
        <v>4</v>
      </c>
      <c r="AB2547" s="4">
        <v>1</v>
      </c>
      <c r="AC2547" s="4">
        <v>1</v>
      </c>
      <c r="AD2547" s="4">
        <v>31</v>
      </c>
      <c r="AE2547" s="4">
        <v>31</v>
      </c>
      <c r="AF2547" s="4">
        <v>0</v>
      </c>
      <c r="AG2547" s="4">
        <v>0</v>
      </c>
      <c r="AH2547" s="4">
        <v>30</v>
      </c>
      <c r="AI2547" s="4">
        <v>30</v>
      </c>
      <c r="AJ2547" s="4">
        <v>2</v>
      </c>
      <c r="AK2547" s="4">
        <v>2</v>
      </c>
      <c r="AL2547" s="4">
        <v>20</v>
      </c>
      <c r="AM2547" s="4">
        <v>20</v>
      </c>
      <c r="AN2547" s="4">
        <v>0</v>
      </c>
      <c r="AO2547" s="4">
        <v>0</v>
      </c>
      <c r="AP2547" s="4">
        <v>2</v>
      </c>
      <c r="AQ2547" s="4">
        <v>2</v>
      </c>
      <c r="AR2547" s="3" t="s">
        <v>65</v>
      </c>
      <c r="AS2547" s="3" t="s">
        <v>65</v>
      </c>
      <c r="AT2547" s="3" t="s">
        <v>65</v>
      </c>
      <c r="AV2547" s="6" t="str">
        <f>HYPERLINK("http://mcgill.on.worldcat.org/oclc/908024517","Catalog Record")</f>
        <v>Catalog Record</v>
      </c>
      <c r="AW2547" s="6" t="str">
        <f>HYPERLINK("http://www.worldcat.org/oclc/908024517","WorldCat Record")</f>
        <v>WorldCat Record</v>
      </c>
      <c r="AX2547" s="3" t="s">
        <v>25109</v>
      </c>
      <c r="AY2547" s="3" t="s">
        <v>25110</v>
      </c>
      <c r="AZ2547" s="3" t="s">
        <v>25111</v>
      </c>
      <c r="BA2547" s="3" t="s">
        <v>25111</v>
      </c>
      <c r="BB2547" s="3" t="s">
        <v>25112</v>
      </c>
      <c r="BC2547" s="3" t="s">
        <v>77</v>
      </c>
      <c r="BD2547" s="3" t="s">
        <v>78</v>
      </c>
      <c r="BE2547" s="3" t="s">
        <v>25113</v>
      </c>
      <c r="BF2547" s="3" t="s">
        <v>25112</v>
      </c>
      <c r="BG2547" s="3" t="s">
        <v>25114</v>
      </c>
    </row>
    <row r="2548" spans="1:59" ht="58" x14ac:dyDescent="0.35">
      <c r="A2548" s="2" t="s">
        <v>59</v>
      </c>
      <c r="B2548" s="2" t="s">
        <v>60</v>
      </c>
      <c r="C2548" s="2" t="s">
        <v>25115</v>
      </c>
      <c r="D2548" s="2" t="s">
        <v>25116</v>
      </c>
      <c r="E2548" s="2" t="s">
        <v>25117</v>
      </c>
      <c r="G2548" s="3" t="s">
        <v>65</v>
      </c>
      <c r="I2548" s="3" t="s">
        <v>65</v>
      </c>
      <c r="J2548" s="3" t="s">
        <v>65</v>
      </c>
      <c r="K2548" s="3" t="s">
        <v>66</v>
      </c>
      <c r="L2548" s="2" t="s">
        <v>25118</v>
      </c>
      <c r="M2548" s="2" t="s">
        <v>25119</v>
      </c>
      <c r="N2548" s="3" t="s">
        <v>126</v>
      </c>
      <c r="P2548" s="3" t="s">
        <v>140</v>
      </c>
      <c r="Q2548" s="2" t="s">
        <v>25120</v>
      </c>
      <c r="R2548" s="3" t="s">
        <v>71</v>
      </c>
      <c r="S2548" s="4">
        <v>0</v>
      </c>
      <c r="T2548" s="4">
        <v>0</v>
      </c>
      <c r="W2548" s="5" t="s">
        <v>72</v>
      </c>
      <c r="X2548" s="5" t="s">
        <v>72</v>
      </c>
      <c r="Y2548" s="4">
        <v>37</v>
      </c>
      <c r="Z2548" s="4">
        <v>4</v>
      </c>
      <c r="AA2548" s="4">
        <v>4</v>
      </c>
      <c r="AB2548" s="4">
        <v>1</v>
      </c>
      <c r="AC2548" s="4">
        <v>1</v>
      </c>
      <c r="AD2548" s="4">
        <v>25</v>
      </c>
      <c r="AE2548" s="4">
        <v>25</v>
      </c>
      <c r="AF2548" s="4">
        <v>0</v>
      </c>
      <c r="AG2548" s="4">
        <v>0</v>
      </c>
      <c r="AH2548" s="4">
        <v>24</v>
      </c>
      <c r="AI2548" s="4">
        <v>24</v>
      </c>
      <c r="AJ2548" s="4">
        <v>2</v>
      </c>
      <c r="AK2548" s="4">
        <v>2</v>
      </c>
      <c r="AL2548" s="4">
        <v>17</v>
      </c>
      <c r="AM2548" s="4">
        <v>17</v>
      </c>
      <c r="AN2548" s="4">
        <v>0</v>
      </c>
      <c r="AO2548" s="4">
        <v>0</v>
      </c>
      <c r="AP2548" s="4">
        <v>2</v>
      </c>
      <c r="AQ2548" s="4">
        <v>2</v>
      </c>
      <c r="AR2548" s="3" t="s">
        <v>65</v>
      </c>
      <c r="AS2548" s="3" t="s">
        <v>65</v>
      </c>
      <c r="AT2548" s="3" t="s">
        <v>65</v>
      </c>
      <c r="AV2548" s="6" t="str">
        <f>HYPERLINK("http://mcgill.on.worldcat.org/oclc/745971012","Catalog Record")</f>
        <v>Catalog Record</v>
      </c>
      <c r="AW2548" s="6" t="str">
        <f>HYPERLINK("http://www.worldcat.org/oclc/745971012","WorldCat Record")</f>
        <v>WorldCat Record</v>
      </c>
      <c r="AX2548" s="3" t="s">
        <v>25121</v>
      </c>
      <c r="AY2548" s="3" t="s">
        <v>25122</v>
      </c>
      <c r="AZ2548" s="3" t="s">
        <v>25123</v>
      </c>
      <c r="BA2548" s="3" t="s">
        <v>25123</v>
      </c>
      <c r="BB2548" s="3" t="s">
        <v>25124</v>
      </c>
      <c r="BC2548" s="3" t="s">
        <v>77</v>
      </c>
      <c r="BD2548" s="3" t="s">
        <v>78</v>
      </c>
      <c r="BE2548" s="3" t="s">
        <v>25125</v>
      </c>
      <c r="BF2548" s="3" t="s">
        <v>25124</v>
      </c>
      <c r="BG2548" s="3" t="s">
        <v>25126</v>
      </c>
    </row>
    <row r="2549" spans="1:59" ht="58" x14ac:dyDescent="0.35">
      <c r="A2549" s="2" t="s">
        <v>59</v>
      </c>
      <c r="B2549" s="2" t="s">
        <v>60</v>
      </c>
      <c r="C2549" s="2" t="s">
        <v>25127</v>
      </c>
      <c r="D2549" s="2" t="s">
        <v>25128</v>
      </c>
      <c r="E2549" s="2" t="s">
        <v>25129</v>
      </c>
      <c r="G2549" s="3" t="s">
        <v>65</v>
      </c>
      <c r="I2549" s="3" t="s">
        <v>65</v>
      </c>
      <c r="J2549" s="3" t="s">
        <v>65</v>
      </c>
      <c r="K2549" s="3" t="s">
        <v>66</v>
      </c>
      <c r="L2549" s="2" t="s">
        <v>25130</v>
      </c>
      <c r="M2549" s="2" t="s">
        <v>25131</v>
      </c>
      <c r="N2549" s="3" t="s">
        <v>113</v>
      </c>
      <c r="O2549" s="2" t="s">
        <v>25132</v>
      </c>
      <c r="P2549" s="3" t="s">
        <v>140</v>
      </c>
      <c r="Q2549" s="2" t="s">
        <v>25133</v>
      </c>
      <c r="R2549" s="3" t="s">
        <v>71</v>
      </c>
      <c r="S2549" s="4">
        <v>0</v>
      </c>
      <c r="T2549" s="4">
        <v>0</v>
      </c>
      <c r="W2549" s="5" t="s">
        <v>72</v>
      </c>
      <c r="X2549" s="5" t="s">
        <v>72</v>
      </c>
      <c r="Y2549" s="4">
        <v>34</v>
      </c>
      <c r="Z2549" s="4">
        <v>4</v>
      </c>
      <c r="AA2549" s="4">
        <v>4</v>
      </c>
      <c r="AB2549" s="4">
        <v>1</v>
      </c>
      <c r="AC2549" s="4">
        <v>1</v>
      </c>
      <c r="AD2549" s="4">
        <v>26</v>
      </c>
      <c r="AE2549" s="4">
        <v>26</v>
      </c>
      <c r="AF2549" s="4">
        <v>0</v>
      </c>
      <c r="AG2549" s="4">
        <v>0</v>
      </c>
      <c r="AH2549" s="4">
        <v>25</v>
      </c>
      <c r="AI2549" s="4">
        <v>25</v>
      </c>
      <c r="AJ2549" s="4">
        <v>2</v>
      </c>
      <c r="AK2549" s="4">
        <v>2</v>
      </c>
      <c r="AL2549" s="4">
        <v>19</v>
      </c>
      <c r="AM2549" s="4">
        <v>19</v>
      </c>
      <c r="AN2549" s="4">
        <v>0</v>
      </c>
      <c r="AO2549" s="4">
        <v>0</v>
      </c>
      <c r="AP2549" s="4">
        <v>2</v>
      </c>
      <c r="AQ2549" s="4">
        <v>2</v>
      </c>
      <c r="AR2549" s="3" t="s">
        <v>65</v>
      </c>
      <c r="AS2549" s="3" t="s">
        <v>65</v>
      </c>
      <c r="AT2549" s="3" t="s">
        <v>65</v>
      </c>
      <c r="AV2549" s="6" t="str">
        <f>HYPERLINK("http://mcgill.on.worldcat.org/oclc/707459577","Catalog Record")</f>
        <v>Catalog Record</v>
      </c>
      <c r="AW2549" s="6" t="str">
        <f>HYPERLINK("http://www.worldcat.org/oclc/707459577","WorldCat Record")</f>
        <v>WorldCat Record</v>
      </c>
      <c r="AX2549" s="3" t="s">
        <v>25134</v>
      </c>
      <c r="AY2549" s="3" t="s">
        <v>25135</v>
      </c>
      <c r="AZ2549" s="3" t="s">
        <v>25136</v>
      </c>
      <c r="BA2549" s="3" t="s">
        <v>25136</v>
      </c>
      <c r="BB2549" s="3" t="s">
        <v>25137</v>
      </c>
      <c r="BC2549" s="3" t="s">
        <v>77</v>
      </c>
      <c r="BD2549" s="3" t="s">
        <v>78</v>
      </c>
      <c r="BE2549" s="3" t="s">
        <v>25138</v>
      </c>
      <c r="BF2549" s="3" t="s">
        <v>25137</v>
      </c>
      <c r="BG2549" s="3" t="s">
        <v>25139</v>
      </c>
    </row>
    <row r="2550" spans="1:59" ht="58" x14ac:dyDescent="0.35">
      <c r="A2550" s="2" t="s">
        <v>59</v>
      </c>
      <c r="B2550" s="2" t="s">
        <v>60</v>
      </c>
      <c r="C2550" s="2" t="s">
        <v>25140</v>
      </c>
      <c r="D2550" s="2" t="s">
        <v>25141</v>
      </c>
      <c r="E2550" s="2" t="s">
        <v>25142</v>
      </c>
      <c r="G2550" s="3" t="s">
        <v>65</v>
      </c>
      <c r="I2550" s="3" t="s">
        <v>65</v>
      </c>
      <c r="J2550" s="3" t="s">
        <v>65</v>
      </c>
      <c r="K2550" s="3" t="s">
        <v>66</v>
      </c>
      <c r="L2550" s="2" t="s">
        <v>25143</v>
      </c>
      <c r="M2550" s="2" t="s">
        <v>25144</v>
      </c>
      <c r="N2550" s="3" t="s">
        <v>139</v>
      </c>
      <c r="P2550" s="3" t="s">
        <v>140</v>
      </c>
      <c r="Q2550" s="2" t="s">
        <v>25145</v>
      </c>
      <c r="R2550" s="3" t="s">
        <v>71</v>
      </c>
      <c r="S2550" s="4">
        <v>1</v>
      </c>
      <c r="T2550" s="4">
        <v>1</v>
      </c>
      <c r="U2550" s="5" t="s">
        <v>1896</v>
      </c>
      <c r="V2550" s="5" t="s">
        <v>1896</v>
      </c>
      <c r="W2550" s="5" t="s">
        <v>72</v>
      </c>
      <c r="X2550" s="5" t="s">
        <v>72</v>
      </c>
      <c r="Y2550" s="4">
        <v>15</v>
      </c>
      <c r="Z2550" s="4">
        <v>1</v>
      </c>
      <c r="AA2550" s="4">
        <v>5</v>
      </c>
      <c r="AB2550" s="4">
        <v>1</v>
      </c>
      <c r="AC2550" s="4">
        <v>1</v>
      </c>
      <c r="AD2550" s="4">
        <v>1</v>
      </c>
      <c r="AE2550" s="4">
        <v>25</v>
      </c>
      <c r="AF2550" s="4">
        <v>0</v>
      </c>
      <c r="AG2550" s="4">
        <v>0</v>
      </c>
      <c r="AH2550" s="4">
        <v>1</v>
      </c>
      <c r="AI2550" s="4">
        <v>25</v>
      </c>
      <c r="AJ2550" s="4">
        <v>0</v>
      </c>
      <c r="AK2550" s="4">
        <v>3</v>
      </c>
      <c r="AL2550" s="4">
        <v>1</v>
      </c>
      <c r="AM2550" s="4">
        <v>16</v>
      </c>
      <c r="AN2550" s="4">
        <v>0</v>
      </c>
      <c r="AO2550" s="4">
        <v>0</v>
      </c>
      <c r="AP2550" s="4">
        <v>0</v>
      </c>
      <c r="AQ2550" s="4">
        <v>3</v>
      </c>
      <c r="AR2550" s="3" t="s">
        <v>65</v>
      </c>
      <c r="AS2550" s="3" t="s">
        <v>65</v>
      </c>
      <c r="AT2550" s="3" t="s">
        <v>65</v>
      </c>
      <c r="AV2550" s="6" t="str">
        <f>HYPERLINK("http://mcgill.on.worldcat.org/oclc/806163028","Catalog Record")</f>
        <v>Catalog Record</v>
      </c>
      <c r="AW2550" s="6" t="str">
        <f>HYPERLINK("http://www.worldcat.org/oclc/806163028","WorldCat Record")</f>
        <v>WorldCat Record</v>
      </c>
      <c r="AX2550" s="3" t="s">
        <v>25146</v>
      </c>
      <c r="AY2550" s="3" t="s">
        <v>25147</v>
      </c>
      <c r="AZ2550" s="3" t="s">
        <v>25148</v>
      </c>
      <c r="BA2550" s="3" t="s">
        <v>25148</v>
      </c>
      <c r="BB2550" s="3" t="s">
        <v>25149</v>
      </c>
      <c r="BC2550" s="3" t="s">
        <v>77</v>
      </c>
      <c r="BD2550" s="3" t="s">
        <v>78</v>
      </c>
      <c r="BE2550" s="3" t="s">
        <v>25150</v>
      </c>
      <c r="BF2550" s="3" t="s">
        <v>25149</v>
      </c>
      <c r="BG2550" s="3" t="s">
        <v>25151</v>
      </c>
    </row>
    <row r="2551" spans="1:59" ht="58" x14ac:dyDescent="0.35">
      <c r="A2551" s="2" t="s">
        <v>59</v>
      </c>
      <c r="B2551" s="2" t="s">
        <v>60</v>
      </c>
      <c r="C2551" s="2" t="s">
        <v>25152</v>
      </c>
      <c r="D2551" s="2" t="s">
        <v>25153</v>
      </c>
      <c r="E2551" s="2" t="s">
        <v>25154</v>
      </c>
      <c r="G2551" s="3" t="s">
        <v>65</v>
      </c>
      <c r="I2551" s="3" t="s">
        <v>65</v>
      </c>
      <c r="J2551" s="3" t="s">
        <v>65</v>
      </c>
      <c r="K2551" s="3" t="s">
        <v>66</v>
      </c>
      <c r="L2551" s="2" t="s">
        <v>25155</v>
      </c>
      <c r="M2551" s="2" t="s">
        <v>25156</v>
      </c>
      <c r="N2551" s="3" t="s">
        <v>863</v>
      </c>
      <c r="P2551" s="3" t="s">
        <v>69</v>
      </c>
      <c r="Q2551" s="2" t="s">
        <v>25157</v>
      </c>
      <c r="R2551" s="3" t="s">
        <v>71</v>
      </c>
      <c r="S2551" s="4">
        <v>5</v>
      </c>
      <c r="T2551" s="4">
        <v>5</v>
      </c>
      <c r="U2551" s="5" t="s">
        <v>11520</v>
      </c>
      <c r="V2551" s="5" t="s">
        <v>11520</v>
      </c>
      <c r="W2551" s="5" t="s">
        <v>72</v>
      </c>
      <c r="X2551" s="5" t="s">
        <v>72</v>
      </c>
      <c r="Y2551" s="4">
        <v>141</v>
      </c>
      <c r="Z2551" s="4">
        <v>11</v>
      </c>
      <c r="AA2551" s="4">
        <v>16</v>
      </c>
      <c r="AB2551" s="4">
        <v>3</v>
      </c>
      <c r="AC2551" s="4">
        <v>4</v>
      </c>
      <c r="AD2551" s="4">
        <v>48</v>
      </c>
      <c r="AE2551" s="4">
        <v>76</v>
      </c>
      <c r="AF2551" s="4">
        <v>2</v>
      </c>
      <c r="AG2551" s="4">
        <v>2</v>
      </c>
      <c r="AH2551" s="4">
        <v>43</v>
      </c>
      <c r="AI2551" s="4">
        <v>68</v>
      </c>
      <c r="AJ2551" s="4">
        <v>7</v>
      </c>
      <c r="AK2551" s="4">
        <v>10</v>
      </c>
      <c r="AL2551" s="4">
        <v>27</v>
      </c>
      <c r="AM2551" s="4">
        <v>44</v>
      </c>
      <c r="AN2551" s="4">
        <v>2</v>
      </c>
      <c r="AO2551" s="4">
        <v>2</v>
      </c>
      <c r="AP2551" s="4">
        <v>8</v>
      </c>
      <c r="AQ2551" s="4">
        <v>11</v>
      </c>
      <c r="AR2551" s="3" t="s">
        <v>65</v>
      </c>
      <c r="AS2551" s="3" t="s">
        <v>65</v>
      </c>
      <c r="AT2551" s="3" t="s">
        <v>209</v>
      </c>
      <c r="AU2551" s="6" t="str">
        <f>HYPERLINK("http://catalog.hathitrust.org/Record/002595670","HathiTrust Record")</f>
        <v>HathiTrust Record</v>
      </c>
      <c r="AV2551" s="6" t="str">
        <f>HYPERLINK("http://mcgill.on.worldcat.org/oclc/26546285","Catalog Record")</f>
        <v>Catalog Record</v>
      </c>
      <c r="AW2551" s="6" t="str">
        <f>HYPERLINK("http://www.worldcat.org/oclc/26546285","WorldCat Record")</f>
        <v>WorldCat Record</v>
      </c>
      <c r="AX2551" s="3" t="s">
        <v>25158</v>
      </c>
      <c r="AY2551" s="3" t="s">
        <v>25159</v>
      </c>
      <c r="AZ2551" s="3" t="s">
        <v>25160</v>
      </c>
      <c r="BA2551" s="3" t="s">
        <v>25160</v>
      </c>
      <c r="BB2551" s="3" t="s">
        <v>25161</v>
      </c>
      <c r="BC2551" s="3" t="s">
        <v>77</v>
      </c>
      <c r="BD2551" s="3" t="s">
        <v>78</v>
      </c>
      <c r="BE2551" s="3" t="s">
        <v>25162</v>
      </c>
      <c r="BF2551" s="3" t="s">
        <v>25161</v>
      </c>
      <c r="BG2551" s="3" t="s">
        <v>25163</v>
      </c>
    </row>
    <row r="2552" spans="1:59" ht="58" x14ac:dyDescent="0.35">
      <c r="A2552" s="2" t="s">
        <v>59</v>
      </c>
      <c r="B2552" s="2" t="s">
        <v>60</v>
      </c>
      <c r="C2552" s="2" t="s">
        <v>25164</v>
      </c>
      <c r="D2552" s="2" t="s">
        <v>25165</v>
      </c>
      <c r="E2552" s="2" t="s">
        <v>25166</v>
      </c>
      <c r="G2552" s="3" t="s">
        <v>65</v>
      </c>
      <c r="I2552" s="3" t="s">
        <v>65</v>
      </c>
      <c r="J2552" s="3" t="s">
        <v>65</v>
      </c>
      <c r="K2552" s="3" t="s">
        <v>66</v>
      </c>
      <c r="M2552" s="2" t="s">
        <v>25167</v>
      </c>
      <c r="N2552" s="3" t="s">
        <v>164</v>
      </c>
      <c r="P2552" s="3" t="s">
        <v>140</v>
      </c>
      <c r="Q2552" s="2" t="s">
        <v>25168</v>
      </c>
      <c r="R2552" s="3" t="s">
        <v>71</v>
      </c>
      <c r="S2552" s="4">
        <v>0</v>
      </c>
      <c r="T2552" s="4">
        <v>0</v>
      </c>
      <c r="W2552" s="5" t="s">
        <v>72</v>
      </c>
      <c r="X2552" s="5" t="s">
        <v>72</v>
      </c>
      <c r="Y2552" s="4">
        <v>38</v>
      </c>
      <c r="Z2552" s="4">
        <v>3</v>
      </c>
      <c r="AA2552" s="4">
        <v>3</v>
      </c>
      <c r="AB2552" s="4">
        <v>1</v>
      </c>
      <c r="AC2552" s="4">
        <v>1</v>
      </c>
      <c r="AD2552" s="4">
        <v>25</v>
      </c>
      <c r="AE2552" s="4">
        <v>25</v>
      </c>
      <c r="AF2552" s="4">
        <v>0</v>
      </c>
      <c r="AG2552" s="4">
        <v>0</v>
      </c>
      <c r="AH2552" s="4">
        <v>24</v>
      </c>
      <c r="AI2552" s="4">
        <v>24</v>
      </c>
      <c r="AJ2552" s="4">
        <v>1</v>
      </c>
      <c r="AK2552" s="4">
        <v>1</v>
      </c>
      <c r="AL2552" s="4">
        <v>19</v>
      </c>
      <c r="AM2552" s="4">
        <v>19</v>
      </c>
      <c r="AN2552" s="4">
        <v>0</v>
      </c>
      <c r="AO2552" s="4">
        <v>0</v>
      </c>
      <c r="AP2552" s="4">
        <v>1</v>
      </c>
      <c r="AQ2552" s="4">
        <v>1</v>
      </c>
      <c r="AR2552" s="3" t="s">
        <v>65</v>
      </c>
      <c r="AS2552" s="3" t="s">
        <v>65</v>
      </c>
      <c r="AT2552" s="3" t="s">
        <v>65</v>
      </c>
      <c r="AV2552" s="6" t="str">
        <f>HYPERLINK("http://mcgill.on.worldcat.org/oclc/903208039","Catalog Record")</f>
        <v>Catalog Record</v>
      </c>
      <c r="AW2552" s="6" t="str">
        <f>HYPERLINK("http://www.worldcat.org/oclc/903208039","WorldCat Record")</f>
        <v>WorldCat Record</v>
      </c>
      <c r="AX2552" s="3" t="s">
        <v>25169</v>
      </c>
      <c r="AY2552" s="3" t="s">
        <v>25170</v>
      </c>
      <c r="AZ2552" s="3" t="s">
        <v>25171</v>
      </c>
      <c r="BA2552" s="3" t="s">
        <v>25171</v>
      </c>
      <c r="BB2552" s="3" t="s">
        <v>25172</v>
      </c>
      <c r="BC2552" s="3" t="s">
        <v>77</v>
      </c>
      <c r="BD2552" s="3" t="s">
        <v>78</v>
      </c>
      <c r="BE2552" s="3" t="s">
        <v>25173</v>
      </c>
      <c r="BF2552" s="3" t="s">
        <v>25172</v>
      </c>
      <c r="BG2552" s="3" t="s">
        <v>25174</v>
      </c>
    </row>
    <row r="2553" spans="1:59" ht="58" x14ac:dyDescent="0.35">
      <c r="A2553" s="2" t="s">
        <v>59</v>
      </c>
      <c r="B2553" s="2" t="s">
        <v>60</v>
      </c>
      <c r="C2553" s="2" t="s">
        <v>25175</v>
      </c>
      <c r="D2553" s="2" t="s">
        <v>25176</v>
      </c>
      <c r="E2553" s="2" t="s">
        <v>25177</v>
      </c>
      <c r="G2553" s="3" t="s">
        <v>65</v>
      </c>
      <c r="I2553" s="3" t="s">
        <v>65</v>
      </c>
      <c r="J2553" s="3" t="s">
        <v>65</v>
      </c>
      <c r="K2553" s="3" t="s">
        <v>66</v>
      </c>
      <c r="L2553" s="2" t="s">
        <v>25178</v>
      </c>
      <c r="M2553" s="2" t="s">
        <v>1007</v>
      </c>
      <c r="N2553" s="3" t="s">
        <v>68</v>
      </c>
      <c r="P2553" s="3" t="s">
        <v>140</v>
      </c>
      <c r="Q2553" s="2" t="s">
        <v>25179</v>
      </c>
      <c r="R2553" s="3" t="s">
        <v>71</v>
      </c>
      <c r="S2553" s="4">
        <v>0</v>
      </c>
      <c r="T2553" s="4">
        <v>0</v>
      </c>
      <c r="W2553" s="5" t="s">
        <v>72</v>
      </c>
      <c r="X2553" s="5" t="s">
        <v>72</v>
      </c>
      <c r="Y2553" s="4">
        <v>38</v>
      </c>
      <c r="Z2553" s="4">
        <v>2</v>
      </c>
      <c r="AA2553" s="4">
        <v>2</v>
      </c>
      <c r="AB2553" s="4">
        <v>1</v>
      </c>
      <c r="AC2553" s="4">
        <v>1</v>
      </c>
      <c r="AD2553" s="4">
        <v>29</v>
      </c>
      <c r="AE2553" s="4">
        <v>29</v>
      </c>
      <c r="AF2553" s="4">
        <v>0</v>
      </c>
      <c r="AG2553" s="4">
        <v>0</v>
      </c>
      <c r="AH2553" s="4">
        <v>28</v>
      </c>
      <c r="AI2553" s="4">
        <v>28</v>
      </c>
      <c r="AJ2553" s="4">
        <v>1</v>
      </c>
      <c r="AK2553" s="4">
        <v>1</v>
      </c>
      <c r="AL2553" s="4">
        <v>22</v>
      </c>
      <c r="AM2553" s="4">
        <v>22</v>
      </c>
      <c r="AN2553" s="4">
        <v>0</v>
      </c>
      <c r="AO2553" s="4">
        <v>0</v>
      </c>
      <c r="AP2553" s="4">
        <v>1</v>
      </c>
      <c r="AQ2553" s="4">
        <v>1</v>
      </c>
      <c r="AR2553" s="3" t="s">
        <v>65</v>
      </c>
      <c r="AS2553" s="3" t="s">
        <v>65</v>
      </c>
      <c r="AT2553" s="3" t="s">
        <v>65</v>
      </c>
      <c r="AV2553" s="6" t="str">
        <f>HYPERLINK("http://mcgill.on.worldcat.org/oclc/966237587","Catalog Record")</f>
        <v>Catalog Record</v>
      </c>
      <c r="AW2553" s="6" t="str">
        <f>HYPERLINK("http://www.worldcat.org/oclc/966237587","WorldCat Record")</f>
        <v>WorldCat Record</v>
      </c>
      <c r="AX2553" s="3" t="s">
        <v>25180</v>
      </c>
      <c r="AY2553" s="3" t="s">
        <v>25181</v>
      </c>
      <c r="AZ2553" s="3" t="s">
        <v>25182</v>
      </c>
      <c r="BA2553" s="3" t="s">
        <v>25182</v>
      </c>
      <c r="BB2553" s="3" t="s">
        <v>25183</v>
      </c>
      <c r="BC2553" s="3" t="s">
        <v>77</v>
      </c>
      <c r="BD2553" s="3" t="s">
        <v>78</v>
      </c>
      <c r="BE2553" s="3" t="s">
        <v>25184</v>
      </c>
      <c r="BF2553" s="3" t="s">
        <v>25183</v>
      </c>
      <c r="BG2553" s="3" t="s">
        <v>25185</v>
      </c>
    </row>
    <row r="2554" spans="1:59" ht="58" x14ac:dyDescent="0.35">
      <c r="A2554" s="2" t="s">
        <v>59</v>
      </c>
      <c r="B2554" s="2" t="s">
        <v>60</v>
      </c>
      <c r="C2554" s="2" t="s">
        <v>25186</v>
      </c>
      <c r="D2554" s="2" t="s">
        <v>25187</v>
      </c>
      <c r="E2554" s="2" t="s">
        <v>25188</v>
      </c>
      <c r="G2554" s="3" t="s">
        <v>65</v>
      </c>
      <c r="I2554" s="3" t="s">
        <v>65</v>
      </c>
      <c r="J2554" s="3" t="s">
        <v>65</v>
      </c>
      <c r="K2554" s="3" t="s">
        <v>66</v>
      </c>
      <c r="L2554" s="2" t="s">
        <v>18044</v>
      </c>
      <c r="M2554" s="2" t="s">
        <v>25189</v>
      </c>
      <c r="N2554" s="3" t="s">
        <v>113</v>
      </c>
      <c r="P2554" s="3" t="s">
        <v>140</v>
      </c>
      <c r="Q2554" s="2" t="s">
        <v>25190</v>
      </c>
      <c r="R2554" s="3" t="s">
        <v>71</v>
      </c>
      <c r="S2554" s="4">
        <v>1</v>
      </c>
      <c r="T2554" s="4">
        <v>1</v>
      </c>
      <c r="U2554" s="5" t="s">
        <v>25191</v>
      </c>
      <c r="V2554" s="5" t="s">
        <v>25191</v>
      </c>
      <c r="W2554" s="5" t="s">
        <v>72</v>
      </c>
      <c r="X2554" s="5" t="s">
        <v>72</v>
      </c>
      <c r="Y2554" s="4">
        <v>39</v>
      </c>
      <c r="Z2554" s="4">
        <v>4</v>
      </c>
      <c r="AA2554" s="4">
        <v>4</v>
      </c>
      <c r="AB2554" s="4">
        <v>1</v>
      </c>
      <c r="AC2554" s="4">
        <v>1</v>
      </c>
      <c r="AD2554" s="4">
        <v>31</v>
      </c>
      <c r="AE2554" s="4">
        <v>31</v>
      </c>
      <c r="AF2554" s="4">
        <v>0</v>
      </c>
      <c r="AG2554" s="4">
        <v>0</v>
      </c>
      <c r="AH2554" s="4">
        <v>30</v>
      </c>
      <c r="AI2554" s="4">
        <v>30</v>
      </c>
      <c r="AJ2554" s="4">
        <v>2</v>
      </c>
      <c r="AK2554" s="4">
        <v>2</v>
      </c>
      <c r="AL2554" s="4">
        <v>23</v>
      </c>
      <c r="AM2554" s="4">
        <v>23</v>
      </c>
      <c r="AN2554" s="4">
        <v>0</v>
      </c>
      <c r="AO2554" s="4">
        <v>0</v>
      </c>
      <c r="AP2554" s="4">
        <v>2</v>
      </c>
      <c r="AQ2554" s="4">
        <v>2</v>
      </c>
      <c r="AR2554" s="3" t="s">
        <v>65</v>
      </c>
      <c r="AS2554" s="3" t="s">
        <v>65</v>
      </c>
      <c r="AT2554" s="3" t="s">
        <v>65</v>
      </c>
      <c r="AV2554" s="6" t="str">
        <f>HYPERLINK("http://mcgill.on.worldcat.org/oclc/650437898","Catalog Record")</f>
        <v>Catalog Record</v>
      </c>
      <c r="AW2554" s="6" t="str">
        <f>HYPERLINK("http://www.worldcat.org/oclc/650437898","WorldCat Record")</f>
        <v>WorldCat Record</v>
      </c>
      <c r="AX2554" s="3" t="s">
        <v>25192</v>
      </c>
      <c r="AY2554" s="3" t="s">
        <v>25193</v>
      </c>
      <c r="AZ2554" s="3" t="s">
        <v>25194</v>
      </c>
      <c r="BA2554" s="3" t="s">
        <v>25194</v>
      </c>
      <c r="BB2554" s="3" t="s">
        <v>25195</v>
      </c>
      <c r="BC2554" s="3" t="s">
        <v>77</v>
      </c>
      <c r="BD2554" s="3" t="s">
        <v>78</v>
      </c>
      <c r="BE2554" s="3" t="s">
        <v>25196</v>
      </c>
      <c r="BF2554" s="3" t="s">
        <v>25195</v>
      </c>
      <c r="BG2554" s="3" t="s">
        <v>25197</v>
      </c>
    </row>
    <row r="2555" spans="1:59" ht="58" x14ac:dyDescent="0.35">
      <c r="A2555" s="2" t="s">
        <v>59</v>
      </c>
      <c r="B2555" s="2" t="s">
        <v>60</v>
      </c>
      <c r="C2555" s="2" t="s">
        <v>25198</v>
      </c>
      <c r="D2555" s="2" t="s">
        <v>25199</v>
      </c>
      <c r="E2555" s="2" t="s">
        <v>25200</v>
      </c>
      <c r="G2555" s="3" t="s">
        <v>65</v>
      </c>
      <c r="I2555" s="3" t="s">
        <v>65</v>
      </c>
      <c r="J2555" s="3" t="s">
        <v>209</v>
      </c>
      <c r="K2555" s="3" t="s">
        <v>66</v>
      </c>
      <c r="L2555" s="2" t="s">
        <v>25201</v>
      </c>
      <c r="M2555" s="2" t="s">
        <v>25202</v>
      </c>
      <c r="N2555" s="3" t="s">
        <v>3052</v>
      </c>
      <c r="O2555" s="2" t="s">
        <v>21374</v>
      </c>
      <c r="P2555" s="3" t="s">
        <v>140</v>
      </c>
      <c r="Q2555" s="2" t="s">
        <v>25203</v>
      </c>
      <c r="R2555" s="3" t="s">
        <v>71</v>
      </c>
      <c r="S2555" s="4">
        <v>3</v>
      </c>
      <c r="T2555" s="4">
        <v>3</v>
      </c>
      <c r="U2555" s="5" t="s">
        <v>25204</v>
      </c>
      <c r="V2555" s="5" t="s">
        <v>25204</v>
      </c>
      <c r="W2555" s="5" t="s">
        <v>72</v>
      </c>
      <c r="X2555" s="5" t="s">
        <v>72</v>
      </c>
      <c r="Y2555" s="4">
        <v>21</v>
      </c>
      <c r="Z2555" s="4">
        <v>4</v>
      </c>
      <c r="AA2555" s="4">
        <v>15</v>
      </c>
      <c r="AB2555" s="4">
        <v>1</v>
      </c>
      <c r="AC2555" s="4">
        <v>3</v>
      </c>
      <c r="AD2555" s="4">
        <v>13</v>
      </c>
      <c r="AE2555" s="4">
        <v>63</v>
      </c>
      <c r="AF2555" s="4">
        <v>0</v>
      </c>
      <c r="AG2555" s="4">
        <v>1</v>
      </c>
      <c r="AH2555" s="4">
        <v>13</v>
      </c>
      <c r="AI2555" s="4">
        <v>57</v>
      </c>
      <c r="AJ2555" s="4">
        <v>2</v>
      </c>
      <c r="AK2555" s="4">
        <v>9</v>
      </c>
      <c r="AL2555" s="4">
        <v>11</v>
      </c>
      <c r="AM2555" s="4">
        <v>40</v>
      </c>
      <c r="AN2555" s="4">
        <v>0</v>
      </c>
      <c r="AO2555" s="4">
        <v>0</v>
      </c>
      <c r="AP2555" s="4">
        <v>2</v>
      </c>
      <c r="AQ2555" s="4">
        <v>8</v>
      </c>
      <c r="AR2555" s="3" t="s">
        <v>65</v>
      </c>
      <c r="AS2555" s="3" t="s">
        <v>65</v>
      </c>
      <c r="AT2555" s="3" t="s">
        <v>209</v>
      </c>
      <c r="AU2555" s="6" t="str">
        <f>HYPERLINK("http://catalog.hathitrust.org/Record/007333763","HathiTrust Record")</f>
        <v>HathiTrust Record</v>
      </c>
      <c r="AV2555" s="6" t="str">
        <f>HYPERLINK("http://mcgill.on.worldcat.org/oclc/4206877","Catalog Record")</f>
        <v>Catalog Record</v>
      </c>
      <c r="AW2555" s="6" t="str">
        <f>HYPERLINK("http://www.worldcat.org/oclc/4206877","WorldCat Record")</f>
        <v>WorldCat Record</v>
      </c>
      <c r="AX2555" s="3" t="s">
        <v>25205</v>
      </c>
      <c r="AY2555" s="3" t="s">
        <v>25206</v>
      </c>
      <c r="AZ2555" s="3" t="s">
        <v>25207</v>
      </c>
      <c r="BA2555" s="3" t="s">
        <v>25207</v>
      </c>
      <c r="BB2555" s="3" t="s">
        <v>25208</v>
      </c>
      <c r="BC2555" s="3" t="s">
        <v>77</v>
      </c>
      <c r="BD2555" s="3" t="s">
        <v>78</v>
      </c>
      <c r="BF2555" s="3" t="s">
        <v>25208</v>
      </c>
      <c r="BG2555" s="3" t="s">
        <v>25209</v>
      </c>
    </row>
    <row r="2556" spans="1:59" ht="58" x14ac:dyDescent="0.35">
      <c r="A2556" s="2" t="s">
        <v>59</v>
      </c>
      <c r="B2556" s="2" t="s">
        <v>60</v>
      </c>
      <c r="C2556" s="2" t="s">
        <v>25210</v>
      </c>
      <c r="D2556" s="2" t="s">
        <v>25211</v>
      </c>
      <c r="E2556" s="2" t="s">
        <v>25212</v>
      </c>
      <c r="G2556" s="3" t="s">
        <v>65</v>
      </c>
      <c r="I2556" s="3" t="s">
        <v>65</v>
      </c>
      <c r="J2556" s="3" t="s">
        <v>209</v>
      </c>
      <c r="K2556" s="3" t="s">
        <v>66</v>
      </c>
      <c r="L2556" s="2" t="s">
        <v>25201</v>
      </c>
      <c r="M2556" s="2" t="s">
        <v>25213</v>
      </c>
      <c r="N2556" s="3" t="s">
        <v>2979</v>
      </c>
      <c r="P2556" s="3" t="s">
        <v>69</v>
      </c>
      <c r="R2556" s="3" t="s">
        <v>71</v>
      </c>
      <c r="S2556" s="4">
        <v>2</v>
      </c>
      <c r="T2556" s="4">
        <v>2</v>
      </c>
      <c r="U2556" s="5" t="s">
        <v>25214</v>
      </c>
      <c r="V2556" s="5" t="s">
        <v>25214</v>
      </c>
      <c r="W2556" s="5" t="s">
        <v>72</v>
      </c>
      <c r="X2556" s="5" t="s">
        <v>72</v>
      </c>
      <c r="Y2556" s="4">
        <v>89</v>
      </c>
      <c r="Z2556" s="4">
        <v>5</v>
      </c>
      <c r="AA2556" s="4">
        <v>13</v>
      </c>
      <c r="AB2556" s="4">
        <v>1</v>
      </c>
      <c r="AC2556" s="4">
        <v>1</v>
      </c>
      <c r="AD2556" s="4">
        <v>39</v>
      </c>
      <c r="AE2556" s="4">
        <v>68</v>
      </c>
      <c r="AF2556" s="4">
        <v>0</v>
      </c>
      <c r="AG2556" s="4">
        <v>0</v>
      </c>
      <c r="AH2556" s="4">
        <v>36</v>
      </c>
      <c r="AI2556" s="4">
        <v>62</v>
      </c>
      <c r="AJ2556" s="4">
        <v>3</v>
      </c>
      <c r="AK2556" s="4">
        <v>6</v>
      </c>
      <c r="AL2556" s="4">
        <v>22</v>
      </c>
      <c r="AM2556" s="4">
        <v>37</v>
      </c>
      <c r="AN2556" s="4">
        <v>0</v>
      </c>
      <c r="AO2556" s="4">
        <v>3</v>
      </c>
      <c r="AP2556" s="4">
        <v>3</v>
      </c>
      <c r="AQ2556" s="4">
        <v>6</v>
      </c>
      <c r="AR2556" s="3" t="s">
        <v>65</v>
      </c>
      <c r="AS2556" s="3" t="s">
        <v>65</v>
      </c>
      <c r="AT2556" s="3" t="s">
        <v>209</v>
      </c>
      <c r="AU2556" s="6" t="str">
        <f>HYPERLINK("http://catalog.hathitrust.org/Record/006660847","HathiTrust Record")</f>
        <v>HathiTrust Record</v>
      </c>
      <c r="AV2556" s="6" t="str">
        <f>HYPERLINK("http://mcgill.on.worldcat.org/oclc/1014473","Catalog Record")</f>
        <v>Catalog Record</v>
      </c>
      <c r="AW2556" s="6" t="str">
        <f>HYPERLINK("http://www.worldcat.org/oclc/1014473","WorldCat Record")</f>
        <v>WorldCat Record</v>
      </c>
      <c r="AX2556" s="3" t="s">
        <v>25215</v>
      </c>
      <c r="AY2556" s="3" t="s">
        <v>25216</v>
      </c>
      <c r="AZ2556" s="3" t="s">
        <v>25217</v>
      </c>
      <c r="BA2556" s="3" t="s">
        <v>25217</v>
      </c>
      <c r="BB2556" s="3" t="s">
        <v>25218</v>
      </c>
      <c r="BC2556" s="3" t="s">
        <v>77</v>
      </c>
      <c r="BD2556" s="3" t="s">
        <v>78</v>
      </c>
      <c r="BF2556" s="3" t="s">
        <v>25218</v>
      </c>
      <c r="BG2556" s="3" t="s">
        <v>25219</v>
      </c>
    </row>
    <row r="2557" spans="1:59" ht="58" x14ac:dyDescent="0.35">
      <c r="A2557" s="2" t="s">
        <v>59</v>
      </c>
      <c r="B2557" s="2" t="s">
        <v>60</v>
      </c>
      <c r="C2557" s="2" t="s">
        <v>25220</v>
      </c>
      <c r="D2557" s="2" t="s">
        <v>25221</v>
      </c>
      <c r="E2557" s="2" t="s">
        <v>25222</v>
      </c>
      <c r="G2557" s="3" t="s">
        <v>65</v>
      </c>
      <c r="I2557" s="3" t="s">
        <v>65</v>
      </c>
      <c r="J2557" s="3" t="s">
        <v>65</v>
      </c>
      <c r="K2557" s="3" t="s">
        <v>66</v>
      </c>
      <c r="L2557" s="2" t="s">
        <v>25223</v>
      </c>
      <c r="M2557" s="2" t="s">
        <v>21868</v>
      </c>
      <c r="N2557" s="3" t="s">
        <v>113</v>
      </c>
      <c r="P2557" s="3" t="s">
        <v>140</v>
      </c>
      <c r="Q2557" s="2" t="s">
        <v>25224</v>
      </c>
      <c r="R2557" s="3" t="s">
        <v>71</v>
      </c>
      <c r="S2557" s="4">
        <v>0</v>
      </c>
      <c r="T2557" s="4">
        <v>0</v>
      </c>
      <c r="W2557" s="5" t="s">
        <v>72</v>
      </c>
      <c r="X2557" s="5" t="s">
        <v>72</v>
      </c>
      <c r="Y2557" s="4">
        <v>43</v>
      </c>
      <c r="Z2557" s="4">
        <v>5</v>
      </c>
      <c r="AA2557" s="4">
        <v>5</v>
      </c>
      <c r="AB2557" s="4">
        <v>1</v>
      </c>
      <c r="AC2557" s="4">
        <v>1</v>
      </c>
      <c r="AD2557" s="4">
        <v>33</v>
      </c>
      <c r="AE2557" s="4">
        <v>33</v>
      </c>
      <c r="AF2557" s="4">
        <v>0</v>
      </c>
      <c r="AG2557" s="4">
        <v>0</v>
      </c>
      <c r="AH2557" s="4">
        <v>32</v>
      </c>
      <c r="AI2557" s="4">
        <v>32</v>
      </c>
      <c r="AJ2557" s="4">
        <v>3</v>
      </c>
      <c r="AK2557" s="4">
        <v>3</v>
      </c>
      <c r="AL2557" s="4">
        <v>23</v>
      </c>
      <c r="AM2557" s="4">
        <v>23</v>
      </c>
      <c r="AN2557" s="4">
        <v>0</v>
      </c>
      <c r="AO2557" s="4">
        <v>0</v>
      </c>
      <c r="AP2557" s="4">
        <v>3</v>
      </c>
      <c r="AQ2557" s="4">
        <v>3</v>
      </c>
      <c r="AR2557" s="3" t="s">
        <v>65</v>
      </c>
      <c r="AS2557" s="3" t="s">
        <v>65</v>
      </c>
      <c r="AT2557" s="3" t="s">
        <v>65</v>
      </c>
      <c r="AV2557" s="6" t="str">
        <f>HYPERLINK("http://mcgill.on.worldcat.org/oclc/692270082","Catalog Record")</f>
        <v>Catalog Record</v>
      </c>
      <c r="AW2557" s="6" t="str">
        <f>HYPERLINK("http://www.worldcat.org/oclc/692270082","WorldCat Record")</f>
        <v>WorldCat Record</v>
      </c>
      <c r="AX2557" s="3" t="s">
        <v>25225</v>
      </c>
      <c r="AY2557" s="3" t="s">
        <v>25226</v>
      </c>
      <c r="AZ2557" s="3" t="s">
        <v>25227</v>
      </c>
      <c r="BA2557" s="3" t="s">
        <v>25227</v>
      </c>
      <c r="BB2557" s="3" t="s">
        <v>25228</v>
      </c>
      <c r="BC2557" s="3" t="s">
        <v>77</v>
      </c>
      <c r="BD2557" s="3" t="s">
        <v>78</v>
      </c>
      <c r="BE2557" s="3" t="s">
        <v>25229</v>
      </c>
      <c r="BF2557" s="3" t="s">
        <v>25228</v>
      </c>
      <c r="BG2557" s="3" t="s">
        <v>25230</v>
      </c>
    </row>
    <row r="2558" spans="1:59" ht="58" x14ac:dyDescent="0.35">
      <c r="A2558" s="2" t="s">
        <v>59</v>
      </c>
      <c r="B2558" s="2" t="s">
        <v>60</v>
      </c>
      <c r="C2558" s="2" t="s">
        <v>25231</v>
      </c>
      <c r="D2558" s="2" t="s">
        <v>25232</v>
      </c>
      <c r="E2558" s="2" t="s">
        <v>25233</v>
      </c>
      <c r="G2558" s="3" t="s">
        <v>65</v>
      </c>
      <c r="I2558" s="3" t="s">
        <v>65</v>
      </c>
      <c r="J2558" s="3" t="s">
        <v>65</v>
      </c>
      <c r="K2558" s="3" t="s">
        <v>66</v>
      </c>
      <c r="L2558" s="2" t="s">
        <v>25234</v>
      </c>
      <c r="M2558" s="2" t="s">
        <v>25235</v>
      </c>
      <c r="N2558" s="3" t="s">
        <v>113</v>
      </c>
      <c r="P2558" s="3" t="s">
        <v>69</v>
      </c>
      <c r="Q2558" s="2" t="s">
        <v>1600</v>
      </c>
      <c r="R2558" s="3" t="s">
        <v>71</v>
      </c>
      <c r="S2558" s="4">
        <v>0</v>
      </c>
      <c r="T2558" s="4">
        <v>0</v>
      </c>
      <c r="W2558" s="5" t="s">
        <v>72</v>
      </c>
      <c r="X2558" s="5" t="s">
        <v>72</v>
      </c>
      <c r="Y2558" s="4">
        <v>128</v>
      </c>
      <c r="Z2558" s="4">
        <v>13</v>
      </c>
      <c r="AA2558" s="4">
        <v>15</v>
      </c>
      <c r="AB2558" s="4">
        <v>1</v>
      </c>
      <c r="AC2558" s="4">
        <v>2</v>
      </c>
      <c r="AD2558" s="4">
        <v>73</v>
      </c>
      <c r="AE2558" s="4">
        <v>75</v>
      </c>
      <c r="AF2558" s="4">
        <v>0</v>
      </c>
      <c r="AG2558" s="4">
        <v>0</v>
      </c>
      <c r="AH2558" s="4">
        <v>70</v>
      </c>
      <c r="AI2558" s="4">
        <v>72</v>
      </c>
      <c r="AJ2558" s="4">
        <v>9</v>
      </c>
      <c r="AK2558" s="4">
        <v>9</v>
      </c>
      <c r="AL2558" s="4">
        <v>44</v>
      </c>
      <c r="AM2558" s="4">
        <v>45</v>
      </c>
      <c r="AN2558" s="4">
        <v>0</v>
      </c>
      <c r="AO2558" s="4">
        <v>0</v>
      </c>
      <c r="AP2558" s="4">
        <v>10</v>
      </c>
      <c r="AQ2558" s="4">
        <v>10</v>
      </c>
      <c r="AR2558" s="3" t="s">
        <v>65</v>
      </c>
      <c r="AS2558" s="3" t="s">
        <v>65</v>
      </c>
      <c r="AT2558" s="3" t="s">
        <v>65</v>
      </c>
      <c r="AV2558" s="6" t="str">
        <f>HYPERLINK("http://mcgill.on.worldcat.org/oclc/320813233","Catalog Record")</f>
        <v>Catalog Record</v>
      </c>
      <c r="AW2558" s="6" t="str">
        <f>HYPERLINK("http://www.worldcat.org/oclc/320813233","WorldCat Record")</f>
        <v>WorldCat Record</v>
      </c>
      <c r="AX2558" s="3" t="s">
        <v>25236</v>
      </c>
      <c r="AY2558" s="3" t="s">
        <v>25237</v>
      </c>
      <c r="AZ2558" s="3" t="s">
        <v>25238</v>
      </c>
      <c r="BA2558" s="3" t="s">
        <v>25238</v>
      </c>
      <c r="BB2558" s="3" t="s">
        <v>25239</v>
      </c>
      <c r="BC2558" s="3" t="s">
        <v>77</v>
      </c>
      <c r="BD2558" s="3" t="s">
        <v>78</v>
      </c>
      <c r="BE2558" s="3" t="s">
        <v>25240</v>
      </c>
      <c r="BF2558" s="3" t="s">
        <v>25239</v>
      </c>
      <c r="BG2558" s="3" t="s">
        <v>25241</v>
      </c>
    </row>
    <row r="2559" spans="1:59" ht="58" x14ac:dyDescent="0.35">
      <c r="A2559" s="2" t="s">
        <v>59</v>
      </c>
      <c r="B2559" s="2" t="s">
        <v>60</v>
      </c>
      <c r="C2559" s="2" t="s">
        <v>25242</v>
      </c>
      <c r="D2559" s="2" t="s">
        <v>25243</v>
      </c>
      <c r="E2559" s="2" t="s">
        <v>25244</v>
      </c>
      <c r="G2559" s="3" t="s">
        <v>65</v>
      </c>
      <c r="I2559" s="3" t="s">
        <v>65</v>
      </c>
      <c r="J2559" s="3" t="s">
        <v>65</v>
      </c>
      <c r="K2559" s="3" t="s">
        <v>66</v>
      </c>
      <c r="L2559" s="2" t="s">
        <v>25245</v>
      </c>
      <c r="M2559" s="2" t="s">
        <v>25246</v>
      </c>
      <c r="N2559" s="3" t="s">
        <v>188</v>
      </c>
      <c r="O2559" s="2" t="s">
        <v>235</v>
      </c>
      <c r="P2559" s="3" t="s">
        <v>140</v>
      </c>
      <c r="Q2559" s="2" t="s">
        <v>4334</v>
      </c>
      <c r="R2559" s="3" t="s">
        <v>71</v>
      </c>
      <c r="S2559" s="4">
        <v>0</v>
      </c>
      <c r="T2559" s="4">
        <v>0</v>
      </c>
      <c r="W2559" s="5" t="s">
        <v>72</v>
      </c>
      <c r="X2559" s="5" t="s">
        <v>72</v>
      </c>
      <c r="Y2559" s="4">
        <v>23</v>
      </c>
      <c r="Z2559" s="4">
        <v>1</v>
      </c>
      <c r="AA2559" s="4">
        <v>2</v>
      </c>
      <c r="AB2559" s="4">
        <v>1</v>
      </c>
      <c r="AC2559" s="4">
        <v>2</v>
      </c>
      <c r="AD2559" s="4">
        <v>16</v>
      </c>
      <c r="AE2559" s="4">
        <v>20</v>
      </c>
      <c r="AF2559" s="4">
        <v>0</v>
      </c>
      <c r="AG2559" s="4">
        <v>0</v>
      </c>
      <c r="AH2559" s="4">
        <v>15</v>
      </c>
      <c r="AI2559" s="4">
        <v>19</v>
      </c>
      <c r="AJ2559" s="4">
        <v>0</v>
      </c>
      <c r="AK2559" s="4">
        <v>0</v>
      </c>
      <c r="AL2559" s="4">
        <v>13</v>
      </c>
      <c r="AM2559" s="4">
        <v>16</v>
      </c>
      <c r="AN2559" s="4">
        <v>0</v>
      </c>
      <c r="AO2559" s="4">
        <v>0</v>
      </c>
      <c r="AP2559" s="4">
        <v>0</v>
      </c>
      <c r="AQ2559" s="4">
        <v>0</v>
      </c>
      <c r="AR2559" s="3" t="s">
        <v>65</v>
      </c>
      <c r="AS2559" s="3" t="s">
        <v>65</v>
      </c>
      <c r="AT2559" s="3" t="s">
        <v>65</v>
      </c>
      <c r="AV2559" s="6" t="str">
        <f>HYPERLINK("http://mcgill.on.worldcat.org/oclc/989146899","Catalog Record")</f>
        <v>Catalog Record</v>
      </c>
      <c r="AW2559" s="6" t="str">
        <f>HYPERLINK("http://www.worldcat.org/oclc/989146899","WorldCat Record")</f>
        <v>WorldCat Record</v>
      </c>
      <c r="AX2559" s="3" t="s">
        <v>25247</v>
      </c>
      <c r="AY2559" s="3" t="s">
        <v>25248</v>
      </c>
      <c r="AZ2559" s="3" t="s">
        <v>25249</v>
      </c>
      <c r="BA2559" s="3" t="s">
        <v>25249</v>
      </c>
      <c r="BB2559" s="3" t="s">
        <v>25250</v>
      </c>
      <c r="BC2559" s="3" t="s">
        <v>77</v>
      </c>
      <c r="BD2559" s="3" t="s">
        <v>78</v>
      </c>
      <c r="BE2559" s="3" t="s">
        <v>25251</v>
      </c>
      <c r="BF2559" s="3" t="s">
        <v>25250</v>
      </c>
      <c r="BG2559" s="3" t="s">
        <v>25252</v>
      </c>
    </row>
    <row r="2560" spans="1:59" ht="58" x14ac:dyDescent="0.35">
      <c r="A2560" s="2" t="s">
        <v>59</v>
      </c>
      <c r="B2560" s="2" t="s">
        <v>60</v>
      </c>
      <c r="C2560" s="2" t="s">
        <v>25253</v>
      </c>
      <c r="D2560" s="2" t="s">
        <v>25254</v>
      </c>
      <c r="E2560" s="2" t="s">
        <v>25255</v>
      </c>
      <c r="G2560" s="3" t="s">
        <v>65</v>
      </c>
      <c r="I2560" s="3" t="s">
        <v>65</v>
      </c>
      <c r="J2560" s="3" t="s">
        <v>65</v>
      </c>
      <c r="K2560" s="3" t="s">
        <v>66</v>
      </c>
      <c r="L2560" s="2" t="s">
        <v>25256</v>
      </c>
      <c r="M2560" s="2" t="s">
        <v>20495</v>
      </c>
      <c r="N2560" s="3" t="s">
        <v>152</v>
      </c>
      <c r="O2560" s="2" t="s">
        <v>365</v>
      </c>
      <c r="P2560" s="3" t="s">
        <v>140</v>
      </c>
      <c r="Q2560" s="2" t="s">
        <v>4334</v>
      </c>
      <c r="R2560" s="3" t="s">
        <v>71</v>
      </c>
      <c r="S2560" s="4">
        <v>0</v>
      </c>
      <c r="T2560" s="4">
        <v>0</v>
      </c>
      <c r="U2560" s="5" t="s">
        <v>2061</v>
      </c>
      <c r="V2560" s="5" t="s">
        <v>2061</v>
      </c>
      <c r="W2560" s="5" t="s">
        <v>72</v>
      </c>
      <c r="X2560" s="5" t="s">
        <v>72</v>
      </c>
      <c r="Y2560" s="4">
        <v>35</v>
      </c>
      <c r="Z2560" s="4">
        <v>1</v>
      </c>
      <c r="AA2560" s="4">
        <v>1</v>
      </c>
      <c r="AB2560" s="4">
        <v>1</v>
      </c>
      <c r="AC2560" s="4">
        <v>1</v>
      </c>
      <c r="AD2560" s="4">
        <v>25</v>
      </c>
      <c r="AE2560" s="4">
        <v>25</v>
      </c>
      <c r="AF2560" s="4">
        <v>0</v>
      </c>
      <c r="AG2560" s="4">
        <v>0</v>
      </c>
      <c r="AH2560" s="4">
        <v>24</v>
      </c>
      <c r="AI2560" s="4">
        <v>24</v>
      </c>
      <c r="AJ2560" s="4">
        <v>0</v>
      </c>
      <c r="AK2560" s="4">
        <v>0</v>
      </c>
      <c r="AL2560" s="4">
        <v>21</v>
      </c>
      <c r="AM2560" s="4">
        <v>21</v>
      </c>
      <c r="AN2560" s="4">
        <v>0</v>
      </c>
      <c r="AO2560" s="4">
        <v>0</v>
      </c>
      <c r="AP2560" s="4">
        <v>0</v>
      </c>
      <c r="AQ2560" s="4">
        <v>0</v>
      </c>
      <c r="AR2560" s="3" t="s">
        <v>65</v>
      </c>
      <c r="AS2560" s="3" t="s">
        <v>65</v>
      </c>
      <c r="AT2560" s="3" t="s">
        <v>65</v>
      </c>
      <c r="AV2560" s="6" t="str">
        <f>HYPERLINK("http://mcgill.on.worldcat.org/oclc/846460196","Catalog Record")</f>
        <v>Catalog Record</v>
      </c>
      <c r="AW2560" s="6" t="str">
        <f>HYPERLINK("http://www.worldcat.org/oclc/846460196","WorldCat Record")</f>
        <v>WorldCat Record</v>
      </c>
      <c r="AX2560" s="3" t="s">
        <v>25257</v>
      </c>
      <c r="AY2560" s="3" t="s">
        <v>25258</v>
      </c>
      <c r="AZ2560" s="3" t="s">
        <v>25259</v>
      </c>
      <c r="BA2560" s="3" t="s">
        <v>25259</v>
      </c>
      <c r="BB2560" s="3" t="s">
        <v>25260</v>
      </c>
      <c r="BC2560" s="3" t="s">
        <v>77</v>
      </c>
      <c r="BD2560" s="3" t="s">
        <v>78</v>
      </c>
      <c r="BE2560" s="3" t="s">
        <v>25261</v>
      </c>
      <c r="BF2560" s="3" t="s">
        <v>25260</v>
      </c>
      <c r="BG2560" s="3" t="s">
        <v>25262</v>
      </c>
    </row>
    <row r="2561" spans="1:59" ht="58" x14ac:dyDescent="0.35">
      <c r="A2561" s="2" t="s">
        <v>59</v>
      </c>
      <c r="B2561" s="2" t="s">
        <v>60</v>
      </c>
      <c r="C2561" s="2" t="s">
        <v>25263</v>
      </c>
      <c r="D2561" s="2" t="s">
        <v>25264</v>
      </c>
      <c r="E2561" s="2" t="s">
        <v>25265</v>
      </c>
      <c r="G2561" s="3" t="s">
        <v>65</v>
      </c>
      <c r="I2561" s="3" t="s">
        <v>65</v>
      </c>
      <c r="J2561" s="3" t="s">
        <v>65</v>
      </c>
      <c r="K2561" s="3" t="s">
        <v>66</v>
      </c>
      <c r="L2561" s="2" t="s">
        <v>3147</v>
      </c>
      <c r="M2561" s="2" t="s">
        <v>25266</v>
      </c>
      <c r="N2561" s="3" t="s">
        <v>552</v>
      </c>
      <c r="P2561" s="3" t="s">
        <v>69</v>
      </c>
      <c r="R2561" s="3" t="s">
        <v>71</v>
      </c>
      <c r="S2561" s="4">
        <v>1</v>
      </c>
      <c r="T2561" s="4">
        <v>1</v>
      </c>
      <c r="U2561" s="5" t="s">
        <v>25267</v>
      </c>
      <c r="V2561" s="5" t="s">
        <v>25267</v>
      </c>
      <c r="W2561" s="5" t="s">
        <v>72</v>
      </c>
      <c r="X2561" s="5" t="s">
        <v>72</v>
      </c>
      <c r="Y2561" s="4">
        <v>191</v>
      </c>
      <c r="Z2561" s="4">
        <v>13</v>
      </c>
      <c r="AA2561" s="4">
        <v>93</v>
      </c>
      <c r="AB2561" s="4">
        <v>1</v>
      </c>
      <c r="AC2561" s="4">
        <v>17</v>
      </c>
      <c r="AD2561" s="4">
        <v>97</v>
      </c>
      <c r="AE2561" s="4">
        <v>137</v>
      </c>
      <c r="AF2561" s="4">
        <v>0</v>
      </c>
      <c r="AG2561" s="4">
        <v>8</v>
      </c>
      <c r="AH2561" s="4">
        <v>91</v>
      </c>
      <c r="AI2561" s="4">
        <v>102</v>
      </c>
      <c r="AJ2561" s="4">
        <v>9</v>
      </c>
      <c r="AK2561" s="4">
        <v>20</v>
      </c>
      <c r="AL2561" s="4">
        <v>52</v>
      </c>
      <c r="AM2561" s="4">
        <v>55</v>
      </c>
      <c r="AN2561" s="4">
        <v>0</v>
      </c>
      <c r="AO2561" s="4">
        <v>0</v>
      </c>
      <c r="AP2561" s="4">
        <v>10</v>
      </c>
      <c r="AQ2561" s="4">
        <v>42</v>
      </c>
      <c r="AR2561" s="3" t="s">
        <v>65</v>
      </c>
      <c r="AS2561" s="3" t="s">
        <v>65</v>
      </c>
      <c r="AT2561" s="3" t="s">
        <v>65</v>
      </c>
      <c r="AV2561" s="6" t="str">
        <f>HYPERLINK("http://mcgill.on.worldcat.org/oclc/35885995","Catalog Record")</f>
        <v>Catalog Record</v>
      </c>
      <c r="AW2561" s="6" t="str">
        <f>HYPERLINK("http://www.worldcat.org/oclc/35885995","WorldCat Record")</f>
        <v>WorldCat Record</v>
      </c>
      <c r="AX2561" s="3" t="s">
        <v>25268</v>
      </c>
      <c r="AY2561" s="3" t="s">
        <v>25269</v>
      </c>
      <c r="AZ2561" s="3" t="s">
        <v>25270</v>
      </c>
      <c r="BA2561" s="3" t="s">
        <v>25270</v>
      </c>
      <c r="BB2561" s="3" t="s">
        <v>25271</v>
      </c>
      <c r="BC2561" s="3" t="s">
        <v>77</v>
      </c>
      <c r="BD2561" s="3" t="s">
        <v>78</v>
      </c>
      <c r="BE2561" s="3" t="s">
        <v>25272</v>
      </c>
      <c r="BF2561" s="3" t="s">
        <v>25271</v>
      </c>
      <c r="BG2561" s="3" t="s">
        <v>25273</v>
      </c>
    </row>
    <row r="2562" spans="1:59" ht="58" x14ac:dyDescent="0.35">
      <c r="A2562" s="2" t="s">
        <v>59</v>
      </c>
      <c r="B2562" s="2" t="s">
        <v>60</v>
      </c>
      <c r="C2562" s="2" t="s">
        <v>25274</v>
      </c>
      <c r="D2562" s="2" t="s">
        <v>25275</v>
      </c>
      <c r="E2562" s="2" t="s">
        <v>25276</v>
      </c>
      <c r="G2562" s="3" t="s">
        <v>65</v>
      </c>
      <c r="I2562" s="3" t="s">
        <v>65</v>
      </c>
      <c r="J2562" s="3" t="s">
        <v>65</v>
      </c>
      <c r="K2562" s="3" t="s">
        <v>66</v>
      </c>
      <c r="L2562" s="2" t="s">
        <v>25277</v>
      </c>
      <c r="M2562" s="2" t="s">
        <v>25278</v>
      </c>
      <c r="N2562" s="3" t="s">
        <v>126</v>
      </c>
      <c r="P2562" s="3" t="s">
        <v>140</v>
      </c>
      <c r="Q2562" s="2" t="s">
        <v>25279</v>
      </c>
      <c r="R2562" s="3" t="s">
        <v>71</v>
      </c>
      <c r="S2562" s="4">
        <v>0</v>
      </c>
      <c r="T2562" s="4">
        <v>0</v>
      </c>
      <c r="W2562" s="5" t="s">
        <v>72</v>
      </c>
      <c r="X2562" s="5" t="s">
        <v>72</v>
      </c>
      <c r="Y2562" s="4">
        <v>17</v>
      </c>
      <c r="Z2562" s="4">
        <v>3</v>
      </c>
      <c r="AA2562" s="4">
        <v>3</v>
      </c>
      <c r="AB2562" s="4">
        <v>1</v>
      </c>
      <c r="AC2562" s="4">
        <v>1</v>
      </c>
      <c r="AD2562" s="4">
        <v>12</v>
      </c>
      <c r="AE2562" s="4">
        <v>12</v>
      </c>
      <c r="AF2562" s="4">
        <v>0</v>
      </c>
      <c r="AG2562" s="4">
        <v>0</v>
      </c>
      <c r="AH2562" s="4">
        <v>12</v>
      </c>
      <c r="AI2562" s="4">
        <v>12</v>
      </c>
      <c r="AJ2562" s="4">
        <v>1</v>
      </c>
      <c r="AK2562" s="4">
        <v>1</v>
      </c>
      <c r="AL2562" s="4">
        <v>10</v>
      </c>
      <c r="AM2562" s="4">
        <v>10</v>
      </c>
      <c r="AN2562" s="4">
        <v>0</v>
      </c>
      <c r="AO2562" s="4">
        <v>0</v>
      </c>
      <c r="AP2562" s="4">
        <v>1</v>
      </c>
      <c r="AQ2562" s="4">
        <v>1</v>
      </c>
      <c r="AR2562" s="3" t="s">
        <v>65</v>
      </c>
      <c r="AS2562" s="3" t="s">
        <v>65</v>
      </c>
      <c r="AT2562" s="3" t="s">
        <v>65</v>
      </c>
      <c r="AV2562" s="6" t="str">
        <f>HYPERLINK("http://mcgill.on.worldcat.org/oclc/796779853","Catalog Record")</f>
        <v>Catalog Record</v>
      </c>
      <c r="AW2562" s="6" t="str">
        <f>HYPERLINK("http://www.worldcat.org/oclc/796779853","WorldCat Record")</f>
        <v>WorldCat Record</v>
      </c>
      <c r="AX2562" s="3" t="s">
        <v>25280</v>
      </c>
      <c r="AY2562" s="3" t="s">
        <v>25281</v>
      </c>
      <c r="AZ2562" s="3" t="s">
        <v>25282</v>
      </c>
      <c r="BA2562" s="3" t="s">
        <v>25282</v>
      </c>
      <c r="BB2562" s="3" t="s">
        <v>25283</v>
      </c>
      <c r="BC2562" s="3" t="s">
        <v>77</v>
      </c>
      <c r="BD2562" s="3" t="s">
        <v>78</v>
      </c>
      <c r="BE2562" s="3" t="s">
        <v>25284</v>
      </c>
      <c r="BF2562" s="3" t="s">
        <v>25283</v>
      </c>
      <c r="BG2562" s="3" t="s">
        <v>25285</v>
      </c>
    </row>
    <row r="2563" spans="1:59" ht="58" x14ac:dyDescent="0.35">
      <c r="A2563" s="2" t="s">
        <v>59</v>
      </c>
      <c r="B2563" s="2" t="s">
        <v>60</v>
      </c>
      <c r="C2563" s="2" t="s">
        <v>25286</v>
      </c>
      <c r="D2563" s="2" t="s">
        <v>25287</v>
      </c>
      <c r="E2563" s="2" t="s">
        <v>25288</v>
      </c>
      <c r="G2563" s="3" t="s">
        <v>65</v>
      </c>
      <c r="I2563" s="3" t="s">
        <v>65</v>
      </c>
      <c r="J2563" s="3" t="s">
        <v>65</v>
      </c>
      <c r="K2563" s="3" t="s">
        <v>66</v>
      </c>
      <c r="M2563" s="2" t="s">
        <v>25289</v>
      </c>
      <c r="N2563" s="3" t="s">
        <v>1085</v>
      </c>
      <c r="P2563" s="3" t="s">
        <v>140</v>
      </c>
      <c r="Q2563" s="2" t="s">
        <v>25290</v>
      </c>
      <c r="R2563" s="3" t="s">
        <v>71</v>
      </c>
      <c r="S2563" s="4">
        <v>1</v>
      </c>
      <c r="T2563" s="4">
        <v>1</v>
      </c>
      <c r="U2563" s="5" t="s">
        <v>25291</v>
      </c>
      <c r="V2563" s="5" t="s">
        <v>25291</v>
      </c>
      <c r="W2563" s="5" t="s">
        <v>72</v>
      </c>
      <c r="X2563" s="5" t="s">
        <v>72</v>
      </c>
      <c r="Y2563" s="4">
        <v>47</v>
      </c>
      <c r="Z2563" s="4">
        <v>6</v>
      </c>
      <c r="AA2563" s="4">
        <v>6</v>
      </c>
      <c r="AB2563" s="4">
        <v>1</v>
      </c>
      <c r="AC2563" s="4">
        <v>1</v>
      </c>
      <c r="AD2563" s="4">
        <v>29</v>
      </c>
      <c r="AE2563" s="4">
        <v>29</v>
      </c>
      <c r="AF2563" s="4">
        <v>0</v>
      </c>
      <c r="AG2563" s="4">
        <v>0</v>
      </c>
      <c r="AH2563" s="4">
        <v>27</v>
      </c>
      <c r="AI2563" s="4">
        <v>27</v>
      </c>
      <c r="AJ2563" s="4">
        <v>4</v>
      </c>
      <c r="AK2563" s="4">
        <v>4</v>
      </c>
      <c r="AL2563" s="4">
        <v>20</v>
      </c>
      <c r="AM2563" s="4">
        <v>20</v>
      </c>
      <c r="AN2563" s="4">
        <v>0</v>
      </c>
      <c r="AO2563" s="4">
        <v>0</v>
      </c>
      <c r="AP2563" s="4">
        <v>4</v>
      </c>
      <c r="AQ2563" s="4">
        <v>4</v>
      </c>
      <c r="AR2563" s="3" t="s">
        <v>65</v>
      </c>
      <c r="AS2563" s="3" t="s">
        <v>65</v>
      </c>
      <c r="AT2563" s="3" t="s">
        <v>209</v>
      </c>
      <c r="AU2563" s="6" t="str">
        <f>HYPERLINK("http://catalog.hathitrust.org/Record/003165610","HathiTrust Record")</f>
        <v>HathiTrust Record</v>
      </c>
      <c r="AV2563" s="6" t="str">
        <f>HYPERLINK("http://mcgill.on.worldcat.org/oclc/38106730","Catalog Record")</f>
        <v>Catalog Record</v>
      </c>
      <c r="AW2563" s="6" t="str">
        <f>HYPERLINK("http://www.worldcat.org/oclc/38106730","WorldCat Record")</f>
        <v>WorldCat Record</v>
      </c>
      <c r="AX2563" s="3" t="s">
        <v>25292</v>
      </c>
      <c r="AY2563" s="3" t="s">
        <v>25293</v>
      </c>
      <c r="AZ2563" s="3" t="s">
        <v>25294</v>
      </c>
      <c r="BA2563" s="3" t="s">
        <v>25294</v>
      </c>
      <c r="BB2563" s="3" t="s">
        <v>25295</v>
      </c>
      <c r="BC2563" s="3" t="s">
        <v>77</v>
      </c>
      <c r="BD2563" s="3" t="s">
        <v>78</v>
      </c>
      <c r="BE2563" s="3" t="s">
        <v>25296</v>
      </c>
      <c r="BF2563" s="3" t="s">
        <v>25295</v>
      </c>
      <c r="BG2563" s="3" t="s">
        <v>25297</v>
      </c>
    </row>
    <row r="2564" spans="1:59" ht="58" x14ac:dyDescent="0.35">
      <c r="A2564" s="2" t="s">
        <v>59</v>
      </c>
      <c r="B2564" s="2" t="s">
        <v>60</v>
      </c>
      <c r="C2564" s="2" t="s">
        <v>25298</v>
      </c>
      <c r="D2564" s="2" t="s">
        <v>25299</v>
      </c>
      <c r="E2564" s="2" t="s">
        <v>25300</v>
      </c>
      <c r="G2564" s="3" t="s">
        <v>65</v>
      </c>
      <c r="I2564" s="3" t="s">
        <v>65</v>
      </c>
      <c r="J2564" s="3" t="s">
        <v>65</v>
      </c>
      <c r="K2564" s="3" t="s">
        <v>66</v>
      </c>
      <c r="L2564" s="2" t="s">
        <v>4652</v>
      </c>
      <c r="M2564" s="2" t="s">
        <v>25301</v>
      </c>
      <c r="N2564" s="3" t="s">
        <v>164</v>
      </c>
      <c r="O2564" s="2" t="s">
        <v>25302</v>
      </c>
      <c r="P2564" s="3" t="s">
        <v>140</v>
      </c>
      <c r="Q2564" s="2" t="s">
        <v>25303</v>
      </c>
      <c r="R2564" s="3" t="s">
        <v>71</v>
      </c>
      <c r="S2564" s="4">
        <v>0</v>
      </c>
      <c r="T2564" s="4">
        <v>0</v>
      </c>
      <c r="W2564" s="5" t="s">
        <v>72</v>
      </c>
      <c r="X2564" s="5" t="s">
        <v>72</v>
      </c>
      <c r="Y2564" s="4">
        <v>32</v>
      </c>
      <c r="Z2564" s="4">
        <v>3</v>
      </c>
      <c r="AA2564" s="4">
        <v>3</v>
      </c>
      <c r="AB2564" s="4">
        <v>1</v>
      </c>
      <c r="AC2564" s="4">
        <v>1</v>
      </c>
      <c r="AD2564" s="4">
        <v>25</v>
      </c>
      <c r="AE2564" s="4">
        <v>26</v>
      </c>
      <c r="AF2564" s="4">
        <v>0</v>
      </c>
      <c r="AG2564" s="4">
        <v>0</v>
      </c>
      <c r="AH2564" s="4">
        <v>24</v>
      </c>
      <c r="AI2564" s="4">
        <v>25</v>
      </c>
      <c r="AJ2564" s="4">
        <v>1</v>
      </c>
      <c r="AK2564" s="4">
        <v>1</v>
      </c>
      <c r="AL2564" s="4">
        <v>20</v>
      </c>
      <c r="AM2564" s="4">
        <v>21</v>
      </c>
      <c r="AN2564" s="4">
        <v>0</v>
      </c>
      <c r="AO2564" s="4">
        <v>0</v>
      </c>
      <c r="AP2564" s="4">
        <v>1</v>
      </c>
      <c r="AQ2564" s="4">
        <v>1</v>
      </c>
      <c r="AR2564" s="3" t="s">
        <v>65</v>
      </c>
      <c r="AS2564" s="3" t="s">
        <v>65</v>
      </c>
      <c r="AT2564" s="3" t="s">
        <v>65</v>
      </c>
      <c r="AV2564" s="6" t="str">
        <f>HYPERLINK("http://mcgill.on.worldcat.org/oclc/905087842","Catalog Record")</f>
        <v>Catalog Record</v>
      </c>
      <c r="AW2564" s="6" t="str">
        <f>HYPERLINK("http://www.worldcat.org/oclc/905087842","WorldCat Record")</f>
        <v>WorldCat Record</v>
      </c>
      <c r="AX2564" s="3" t="s">
        <v>25304</v>
      </c>
      <c r="AY2564" s="3" t="s">
        <v>25305</v>
      </c>
      <c r="AZ2564" s="3" t="s">
        <v>25306</v>
      </c>
      <c r="BA2564" s="3" t="s">
        <v>25306</v>
      </c>
      <c r="BB2564" s="3" t="s">
        <v>25307</v>
      </c>
      <c r="BC2564" s="3" t="s">
        <v>77</v>
      </c>
      <c r="BD2564" s="3" t="s">
        <v>78</v>
      </c>
      <c r="BE2564" s="3" t="s">
        <v>25308</v>
      </c>
      <c r="BF2564" s="3" t="s">
        <v>25307</v>
      </c>
      <c r="BG2564" s="3" t="s">
        <v>25309</v>
      </c>
    </row>
    <row r="2565" spans="1:59" ht="58" x14ac:dyDescent="0.35">
      <c r="A2565" s="2" t="s">
        <v>59</v>
      </c>
      <c r="B2565" s="2" t="s">
        <v>60</v>
      </c>
      <c r="C2565" s="2" t="s">
        <v>25310</v>
      </c>
      <c r="D2565" s="2" t="s">
        <v>25311</v>
      </c>
      <c r="E2565" s="2" t="s">
        <v>25312</v>
      </c>
      <c r="G2565" s="3" t="s">
        <v>65</v>
      </c>
      <c r="I2565" s="3" t="s">
        <v>65</v>
      </c>
      <c r="J2565" s="3" t="s">
        <v>65</v>
      </c>
      <c r="K2565" s="3" t="s">
        <v>66</v>
      </c>
      <c r="L2565" s="2" t="s">
        <v>25313</v>
      </c>
      <c r="M2565" s="2" t="s">
        <v>25314</v>
      </c>
      <c r="N2565" s="3" t="s">
        <v>1944</v>
      </c>
      <c r="P2565" s="3" t="s">
        <v>69</v>
      </c>
      <c r="Q2565" s="2" t="s">
        <v>25315</v>
      </c>
      <c r="R2565" s="3" t="s">
        <v>71</v>
      </c>
      <c r="S2565" s="4">
        <v>2</v>
      </c>
      <c r="T2565" s="4">
        <v>2</v>
      </c>
      <c r="U2565" s="5" t="s">
        <v>25316</v>
      </c>
      <c r="V2565" s="5" t="s">
        <v>25316</v>
      </c>
      <c r="W2565" s="5" t="s">
        <v>72</v>
      </c>
      <c r="X2565" s="5" t="s">
        <v>72</v>
      </c>
      <c r="Y2565" s="4">
        <v>105</v>
      </c>
      <c r="Z2565" s="4">
        <v>6</v>
      </c>
      <c r="AA2565" s="4">
        <v>6</v>
      </c>
      <c r="AB2565" s="4">
        <v>1</v>
      </c>
      <c r="AC2565" s="4">
        <v>1</v>
      </c>
      <c r="AD2565" s="4">
        <v>39</v>
      </c>
      <c r="AE2565" s="4">
        <v>39</v>
      </c>
      <c r="AF2565" s="4">
        <v>0</v>
      </c>
      <c r="AG2565" s="4">
        <v>0</v>
      </c>
      <c r="AH2565" s="4">
        <v>37</v>
      </c>
      <c r="AI2565" s="4">
        <v>37</v>
      </c>
      <c r="AJ2565" s="4">
        <v>3</v>
      </c>
      <c r="AK2565" s="4">
        <v>3</v>
      </c>
      <c r="AL2565" s="4">
        <v>20</v>
      </c>
      <c r="AM2565" s="4">
        <v>20</v>
      </c>
      <c r="AN2565" s="4">
        <v>0</v>
      </c>
      <c r="AO2565" s="4">
        <v>0</v>
      </c>
      <c r="AP2565" s="4">
        <v>4</v>
      </c>
      <c r="AQ2565" s="4">
        <v>4</v>
      </c>
      <c r="AR2565" s="3" t="s">
        <v>65</v>
      </c>
      <c r="AS2565" s="3" t="s">
        <v>65</v>
      </c>
      <c r="AT2565" s="3" t="s">
        <v>209</v>
      </c>
      <c r="AU2565" s="6" t="str">
        <f>HYPERLINK("http://catalog.hathitrust.org/Record/007963483","HathiTrust Record")</f>
        <v>HathiTrust Record</v>
      </c>
      <c r="AV2565" s="6" t="str">
        <f>HYPERLINK("http://mcgill.on.worldcat.org/oclc/43971392","Catalog Record")</f>
        <v>Catalog Record</v>
      </c>
      <c r="AW2565" s="6" t="str">
        <f>HYPERLINK("http://www.worldcat.org/oclc/43971392","WorldCat Record")</f>
        <v>WorldCat Record</v>
      </c>
      <c r="AX2565" s="3" t="s">
        <v>25317</v>
      </c>
      <c r="AY2565" s="3" t="s">
        <v>25318</v>
      </c>
      <c r="AZ2565" s="3" t="s">
        <v>25319</v>
      </c>
      <c r="BA2565" s="3" t="s">
        <v>25319</v>
      </c>
      <c r="BB2565" s="3" t="s">
        <v>25320</v>
      </c>
      <c r="BC2565" s="3" t="s">
        <v>77</v>
      </c>
      <c r="BD2565" s="3" t="s">
        <v>78</v>
      </c>
      <c r="BE2565" s="3" t="s">
        <v>25321</v>
      </c>
      <c r="BF2565" s="3" t="s">
        <v>25320</v>
      </c>
      <c r="BG2565" s="3" t="s">
        <v>25322</v>
      </c>
    </row>
    <row r="2566" spans="1:59" ht="58" x14ac:dyDescent="0.35">
      <c r="A2566" s="2" t="s">
        <v>59</v>
      </c>
      <c r="B2566" s="2" t="s">
        <v>60</v>
      </c>
      <c r="C2566" s="2" t="s">
        <v>25323</v>
      </c>
      <c r="D2566" s="2" t="s">
        <v>25324</v>
      </c>
      <c r="E2566" s="2" t="s">
        <v>25325</v>
      </c>
      <c r="G2566" s="3" t="s">
        <v>65</v>
      </c>
      <c r="I2566" s="3" t="s">
        <v>65</v>
      </c>
      <c r="J2566" s="3" t="s">
        <v>65</v>
      </c>
      <c r="K2566" s="3" t="s">
        <v>66</v>
      </c>
      <c r="L2566" s="2" t="s">
        <v>25326</v>
      </c>
      <c r="M2566" s="2" t="s">
        <v>703</v>
      </c>
      <c r="N2566" s="3" t="s">
        <v>247</v>
      </c>
      <c r="P2566" s="3" t="s">
        <v>140</v>
      </c>
      <c r="Q2566" s="2" t="s">
        <v>25327</v>
      </c>
      <c r="R2566" s="3" t="s">
        <v>71</v>
      </c>
      <c r="S2566" s="4">
        <v>1</v>
      </c>
      <c r="T2566" s="4">
        <v>1</v>
      </c>
      <c r="U2566" s="5" t="s">
        <v>23506</v>
      </c>
      <c r="V2566" s="5" t="s">
        <v>23506</v>
      </c>
      <c r="W2566" s="5" t="s">
        <v>72</v>
      </c>
      <c r="X2566" s="5" t="s">
        <v>72</v>
      </c>
      <c r="Y2566" s="4">
        <v>80</v>
      </c>
      <c r="Z2566" s="4">
        <v>5</v>
      </c>
      <c r="AA2566" s="4">
        <v>5</v>
      </c>
      <c r="AB2566" s="4">
        <v>2</v>
      </c>
      <c r="AC2566" s="4">
        <v>2</v>
      </c>
      <c r="AD2566" s="4">
        <v>51</v>
      </c>
      <c r="AE2566" s="4">
        <v>51</v>
      </c>
      <c r="AF2566" s="4">
        <v>1</v>
      </c>
      <c r="AG2566" s="4">
        <v>1</v>
      </c>
      <c r="AH2566" s="4">
        <v>47</v>
      </c>
      <c r="AI2566" s="4">
        <v>47</v>
      </c>
      <c r="AJ2566" s="4">
        <v>3</v>
      </c>
      <c r="AK2566" s="4">
        <v>3</v>
      </c>
      <c r="AL2566" s="4">
        <v>39</v>
      </c>
      <c r="AM2566" s="4">
        <v>39</v>
      </c>
      <c r="AN2566" s="4">
        <v>0</v>
      </c>
      <c r="AO2566" s="4">
        <v>0</v>
      </c>
      <c r="AP2566" s="4">
        <v>3</v>
      </c>
      <c r="AQ2566" s="4">
        <v>3</v>
      </c>
      <c r="AR2566" s="3" t="s">
        <v>65</v>
      </c>
      <c r="AS2566" s="3" t="s">
        <v>65</v>
      </c>
      <c r="AT2566" s="3" t="s">
        <v>209</v>
      </c>
      <c r="AU2566" s="6" t="str">
        <f>HYPERLINK("http://catalog.hathitrust.org/Record/002907234","HathiTrust Record")</f>
        <v>HathiTrust Record</v>
      </c>
      <c r="AV2566" s="6" t="str">
        <f>HYPERLINK("http://mcgill.on.worldcat.org/oclc/31056031","Catalog Record")</f>
        <v>Catalog Record</v>
      </c>
      <c r="AW2566" s="6" t="str">
        <f>HYPERLINK("http://www.worldcat.org/oclc/31056031","WorldCat Record")</f>
        <v>WorldCat Record</v>
      </c>
      <c r="AX2566" s="3" t="s">
        <v>25328</v>
      </c>
      <c r="AY2566" s="3" t="s">
        <v>25329</v>
      </c>
      <c r="AZ2566" s="3" t="s">
        <v>25330</v>
      </c>
      <c r="BA2566" s="3" t="s">
        <v>25330</v>
      </c>
      <c r="BB2566" s="3" t="s">
        <v>25331</v>
      </c>
      <c r="BC2566" s="3" t="s">
        <v>77</v>
      </c>
      <c r="BD2566" s="3" t="s">
        <v>78</v>
      </c>
      <c r="BE2566" s="3" t="s">
        <v>25332</v>
      </c>
      <c r="BF2566" s="3" t="s">
        <v>25331</v>
      </c>
      <c r="BG2566" s="3" t="s">
        <v>25333</v>
      </c>
    </row>
    <row r="2567" spans="1:59" ht="58" x14ac:dyDescent="0.35">
      <c r="A2567" s="2" t="s">
        <v>59</v>
      </c>
      <c r="B2567" s="2" t="s">
        <v>60</v>
      </c>
      <c r="C2567" s="2" t="s">
        <v>25334</v>
      </c>
      <c r="D2567" s="2" t="s">
        <v>25335</v>
      </c>
      <c r="E2567" s="2" t="s">
        <v>25336</v>
      </c>
      <c r="G2567" s="3" t="s">
        <v>65</v>
      </c>
      <c r="I2567" s="3" t="s">
        <v>65</v>
      </c>
      <c r="J2567" s="3" t="s">
        <v>65</v>
      </c>
      <c r="K2567" s="3" t="s">
        <v>66</v>
      </c>
      <c r="L2567" s="2" t="s">
        <v>25326</v>
      </c>
      <c r="M2567" s="2" t="s">
        <v>25337</v>
      </c>
      <c r="N2567" s="3" t="s">
        <v>392</v>
      </c>
      <c r="O2567" s="2" t="s">
        <v>365</v>
      </c>
      <c r="P2567" s="3" t="s">
        <v>140</v>
      </c>
      <c r="Q2567" s="2" t="s">
        <v>25338</v>
      </c>
      <c r="R2567" s="3" t="s">
        <v>71</v>
      </c>
      <c r="S2567" s="4">
        <v>3</v>
      </c>
      <c r="T2567" s="4">
        <v>3</v>
      </c>
      <c r="U2567" s="5" t="s">
        <v>8167</v>
      </c>
      <c r="V2567" s="5" t="s">
        <v>8167</v>
      </c>
      <c r="W2567" s="5" t="s">
        <v>72</v>
      </c>
      <c r="X2567" s="5" t="s">
        <v>72</v>
      </c>
      <c r="Y2567" s="4">
        <v>14</v>
      </c>
      <c r="Z2567" s="4">
        <v>4</v>
      </c>
      <c r="AA2567" s="4">
        <v>12</v>
      </c>
      <c r="AB2567" s="4">
        <v>2</v>
      </c>
      <c r="AC2567" s="4">
        <v>2</v>
      </c>
      <c r="AD2567" s="4">
        <v>8</v>
      </c>
      <c r="AE2567" s="4">
        <v>70</v>
      </c>
      <c r="AF2567" s="4">
        <v>1</v>
      </c>
      <c r="AG2567" s="4">
        <v>1</v>
      </c>
      <c r="AH2567" s="4">
        <v>6</v>
      </c>
      <c r="AI2567" s="4">
        <v>64</v>
      </c>
      <c r="AJ2567" s="4">
        <v>2</v>
      </c>
      <c r="AK2567" s="4">
        <v>8</v>
      </c>
      <c r="AL2567" s="4">
        <v>6</v>
      </c>
      <c r="AM2567" s="4">
        <v>43</v>
      </c>
      <c r="AN2567" s="4">
        <v>0</v>
      </c>
      <c r="AO2567" s="4">
        <v>0</v>
      </c>
      <c r="AP2567" s="4">
        <v>2</v>
      </c>
      <c r="AQ2567" s="4">
        <v>9</v>
      </c>
      <c r="AR2567" s="3" t="s">
        <v>65</v>
      </c>
      <c r="AS2567" s="3" t="s">
        <v>65</v>
      </c>
      <c r="AT2567" s="3" t="s">
        <v>209</v>
      </c>
      <c r="AU2567" s="6" t="str">
        <f>HYPERLINK("http://catalog.hathitrust.org/Record/001949752","HathiTrust Record")</f>
        <v>HathiTrust Record</v>
      </c>
      <c r="AV2567" s="6" t="str">
        <f>HYPERLINK("http://mcgill.on.worldcat.org/oclc/221099647","Catalog Record")</f>
        <v>Catalog Record</v>
      </c>
      <c r="AW2567" s="6" t="str">
        <f>HYPERLINK("http://www.worldcat.org/oclc/221099647","WorldCat Record")</f>
        <v>WorldCat Record</v>
      </c>
      <c r="AX2567" s="3" t="s">
        <v>25339</v>
      </c>
      <c r="AY2567" s="3" t="s">
        <v>25340</v>
      </c>
      <c r="AZ2567" s="3" t="s">
        <v>25341</v>
      </c>
      <c r="BA2567" s="3" t="s">
        <v>25341</v>
      </c>
      <c r="BB2567" s="3" t="s">
        <v>25342</v>
      </c>
      <c r="BC2567" s="3" t="s">
        <v>77</v>
      </c>
      <c r="BD2567" s="3" t="s">
        <v>78</v>
      </c>
      <c r="BE2567" s="3" t="s">
        <v>25343</v>
      </c>
      <c r="BF2567" s="3" t="s">
        <v>25342</v>
      </c>
      <c r="BG2567" s="3" t="s">
        <v>25344</v>
      </c>
    </row>
    <row r="2568" spans="1:59" ht="58" x14ac:dyDescent="0.35">
      <c r="A2568" s="2" t="s">
        <v>59</v>
      </c>
      <c r="B2568" s="2" t="s">
        <v>60</v>
      </c>
      <c r="C2568" s="2" t="s">
        <v>25345</v>
      </c>
      <c r="D2568" s="2" t="s">
        <v>25346</v>
      </c>
      <c r="E2568" s="2" t="s">
        <v>25347</v>
      </c>
      <c r="G2568" s="3" t="s">
        <v>65</v>
      </c>
      <c r="I2568" s="3" t="s">
        <v>65</v>
      </c>
      <c r="J2568" s="3" t="s">
        <v>209</v>
      </c>
      <c r="K2568" s="3" t="s">
        <v>66</v>
      </c>
      <c r="L2568" s="2" t="s">
        <v>25326</v>
      </c>
      <c r="M2568" s="2" t="s">
        <v>25348</v>
      </c>
      <c r="N2568" s="3" t="s">
        <v>615</v>
      </c>
      <c r="O2568" s="2" t="s">
        <v>25349</v>
      </c>
      <c r="P2568" s="3" t="s">
        <v>140</v>
      </c>
      <c r="Q2568" s="2" t="s">
        <v>25350</v>
      </c>
      <c r="R2568" s="3" t="s">
        <v>71</v>
      </c>
      <c r="S2568" s="4">
        <v>11</v>
      </c>
      <c r="T2568" s="4">
        <v>11</v>
      </c>
      <c r="U2568" s="5" t="s">
        <v>25351</v>
      </c>
      <c r="V2568" s="5" t="s">
        <v>25351</v>
      </c>
      <c r="W2568" s="5" t="s">
        <v>72</v>
      </c>
      <c r="X2568" s="5" t="s">
        <v>72</v>
      </c>
      <c r="Y2568" s="4">
        <v>21</v>
      </c>
      <c r="Z2568" s="4">
        <v>2</v>
      </c>
      <c r="AA2568" s="4">
        <v>19</v>
      </c>
      <c r="AB2568" s="4">
        <v>1</v>
      </c>
      <c r="AC2568" s="4">
        <v>3</v>
      </c>
      <c r="AD2568" s="4">
        <v>4</v>
      </c>
      <c r="AE2568" s="4">
        <v>90</v>
      </c>
      <c r="AF2568" s="4">
        <v>0</v>
      </c>
      <c r="AG2568" s="4">
        <v>2</v>
      </c>
      <c r="AH2568" s="4">
        <v>4</v>
      </c>
      <c r="AI2568" s="4">
        <v>79</v>
      </c>
      <c r="AJ2568" s="4">
        <v>1</v>
      </c>
      <c r="AK2568" s="4">
        <v>15</v>
      </c>
      <c r="AL2568" s="4">
        <v>1</v>
      </c>
      <c r="AM2568" s="4">
        <v>51</v>
      </c>
      <c r="AN2568" s="4">
        <v>0</v>
      </c>
      <c r="AO2568" s="4">
        <v>0</v>
      </c>
      <c r="AP2568" s="4">
        <v>1</v>
      </c>
      <c r="AQ2568" s="4">
        <v>14</v>
      </c>
      <c r="AR2568" s="3" t="s">
        <v>65</v>
      </c>
      <c r="AS2568" s="3" t="s">
        <v>65</v>
      </c>
      <c r="AT2568" s="3" t="s">
        <v>65</v>
      </c>
      <c r="AV2568" s="6" t="str">
        <f>HYPERLINK("http://mcgill.on.worldcat.org/oclc/12167706","Catalog Record")</f>
        <v>Catalog Record</v>
      </c>
      <c r="AW2568" s="6" t="str">
        <f>HYPERLINK("http://www.worldcat.org/oclc/12167706","WorldCat Record")</f>
        <v>WorldCat Record</v>
      </c>
      <c r="AX2568" s="3" t="s">
        <v>25352</v>
      </c>
      <c r="AY2568" s="3" t="s">
        <v>25353</v>
      </c>
      <c r="AZ2568" s="3" t="s">
        <v>25354</v>
      </c>
      <c r="BA2568" s="3" t="s">
        <v>25354</v>
      </c>
      <c r="BB2568" s="3" t="s">
        <v>25355</v>
      </c>
      <c r="BC2568" s="3" t="s">
        <v>77</v>
      </c>
      <c r="BD2568" s="3" t="s">
        <v>78</v>
      </c>
      <c r="BE2568" s="3" t="s">
        <v>25356</v>
      </c>
      <c r="BF2568" s="3" t="s">
        <v>25355</v>
      </c>
      <c r="BG2568" s="3" t="s">
        <v>25357</v>
      </c>
    </row>
    <row r="2569" spans="1:59" ht="58" x14ac:dyDescent="0.35">
      <c r="A2569" s="2" t="s">
        <v>59</v>
      </c>
      <c r="B2569" s="2" t="s">
        <v>60</v>
      </c>
      <c r="C2569" s="2" t="s">
        <v>25358</v>
      </c>
      <c r="D2569" s="2" t="s">
        <v>25359</v>
      </c>
      <c r="E2569" s="2" t="s">
        <v>25360</v>
      </c>
      <c r="G2569" s="3" t="s">
        <v>65</v>
      </c>
      <c r="I2569" s="3" t="s">
        <v>65</v>
      </c>
      <c r="J2569" s="3" t="s">
        <v>209</v>
      </c>
      <c r="K2569" s="3" t="s">
        <v>66</v>
      </c>
      <c r="L2569" s="2" t="s">
        <v>25361</v>
      </c>
      <c r="M2569" s="2" t="s">
        <v>25362</v>
      </c>
      <c r="N2569" s="3" t="s">
        <v>188</v>
      </c>
      <c r="P2569" s="3" t="s">
        <v>69</v>
      </c>
      <c r="Q2569" s="2" t="s">
        <v>7248</v>
      </c>
      <c r="R2569" s="3" t="s">
        <v>71</v>
      </c>
      <c r="S2569" s="4">
        <v>1</v>
      </c>
      <c r="T2569" s="4">
        <v>1</v>
      </c>
      <c r="U2569" s="5" t="s">
        <v>6068</v>
      </c>
      <c r="V2569" s="5" t="s">
        <v>6068</v>
      </c>
      <c r="W2569" s="5" t="s">
        <v>72</v>
      </c>
      <c r="X2569" s="5" t="s">
        <v>72</v>
      </c>
      <c r="Y2569" s="4">
        <v>13</v>
      </c>
      <c r="Z2569" s="4">
        <v>2</v>
      </c>
      <c r="AA2569" s="4">
        <v>21</v>
      </c>
      <c r="AB2569" s="4">
        <v>1</v>
      </c>
      <c r="AC2569" s="4">
        <v>2</v>
      </c>
      <c r="AD2569" s="4">
        <v>3</v>
      </c>
      <c r="AE2569" s="4">
        <v>100</v>
      </c>
      <c r="AF2569" s="4">
        <v>0</v>
      </c>
      <c r="AG2569" s="4">
        <v>1</v>
      </c>
      <c r="AH2569" s="4">
        <v>2</v>
      </c>
      <c r="AI2569" s="4">
        <v>87</v>
      </c>
      <c r="AJ2569" s="4">
        <v>0</v>
      </c>
      <c r="AK2569" s="4">
        <v>13</v>
      </c>
      <c r="AL2569" s="4">
        <v>3</v>
      </c>
      <c r="AM2569" s="4">
        <v>49</v>
      </c>
      <c r="AN2569" s="4">
        <v>0</v>
      </c>
      <c r="AO2569" s="4">
        <v>0</v>
      </c>
      <c r="AP2569" s="4">
        <v>0</v>
      </c>
      <c r="AQ2569" s="4">
        <v>18</v>
      </c>
      <c r="AR2569" s="3" t="s">
        <v>65</v>
      </c>
      <c r="AS2569" s="3" t="s">
        <v>65</v>
      </c>
      <c r="AT2569" s="3" t="s">
        <v>65</v>
      </c>
      <c r="AV2569" s="6" t="str">
        <f>HYPERLINK("http://mcgill.on.worldcat.org/oclc/991419730","Catalog Record")</f>
        <v>Catalog Record</v>
      </c>
      <c r="AW2569" s="6" t="str">
        <f>HYPERLINK("http://www.worldcat.org/oclc/991419730","WorldCat Record")</f>
        <v>WorldCat Record</v>
      </c>
      <c r="AX2569" s="3" t="s">
        <v>25363</v>
      </c>
      <c r="AY2569" s="3" t="s">
        <v>25364</v>
      </c>
      <c r="AZ2569" s="3" t="s">
        <v>25365</v>
      </c>
      <c r="BA2569" s="3" t="s">
        <v>25365</v>
      </c>
      <c r="BB2569" s="3" t="s">
        <v>25366</v>
      </c>
      <c r="BC2569" s="3" t="s">
        <v>77</v>
      </c>
      <c r="BD2569" s="3" t="s">
        <v>78</v>
      </c>
      <c r="BE2569" s="3" t="s">
        <v>25367</v>
      </c>
      <c r="BF2569" s="3" t="s">
        <v>25366</v>
      </c>
      <c r="BG2569" s="3" t="s">
        <v>25368</v>
      </c>
    </row>
    <row r="2570" spans="1:59" ht="58" x14ac:dyDescent="0.35">
      <c r="A2570" s="2" t="s">
        <v>59</v>
      </c>
      <c r="B2570" s="2" t="s">
        <v>60</v>
      </c>
      <c r="C2570" s="2" t="s">
        <v>25369</v>
      </c>
      <c r="D2570" s="2" t="s">
        <v>25370</v>
      </c>
      <c r="E2570" s="2" t="s">
        <v>25371</v>
      </c>
      <c r="G2570" s="3" t="s">
        <v>65</v>
      </c>
      <c r="I2570" s="3" t="s">
        <v>65</v>
      </c>
      <c r="J2570" s="3" t="s">
        <v>65</v>
      </c>
      <c r="K2570" s="3" t="s">
        <v>66</v>
      </c>
      <c r="L2570" s="2" t="s">
        <v>25326</v>
      </c>
      <c r="M2570" s="2" t="s">
        <v>25372</v>
      </c>
      <c r="N2570" s="3" t="s">
        <v>311</v>
      </c>
      <c r="P2570" s="3" t="s">
        <v>140</v>
      </c>
      <c r="R2570" s="3" t="s">
        <v>71</v>
      </c>
      <c r="S2570" s="4">
        <v>2</v>
      </c>
      <c r="T2570" s="4">
        <v>2</v>
      </c>
      <c r="U2570" s="5" t="s">
        <v>7627</v>
      </c>
      <c r="V2570" s="5" t="s">
        <v>7627</v>
      </c>
      <c r="W2570" s="5" t="s">
        <v>72</v>
      </c>
      <c r="X2570" s="5" t="s">
        <v>72</v>
      </c>
      <c r="Y2570" s="4">
        <v>110</v>
      </c>
      <c r="Z2570" s="4">
        <v>9</v>
      </c>
      <c r="AA2570" s="4">
        <v>13</v>
      </c>
      <c r="AB2570" s="4">
        <v>1</v>
      </c>
      <c r="AC2570" s="4">
        <v>2</v>
      </c>
      <c r="AD2570" s="4">
        <v>46</v>
      </c>
      <c r="AE2570" s="4">
        <v>68</v>
      </c>
      <c r="AF2570" s="4">
        <v>0</v>
      </c>
      <c r="AG2570" s="4">
        <v>1</v>
      </c>
      <c r="AH2570" s="4">
        <v>42</v>
      </c>
      <c r="AI2570" s="4">
        <v>62</v>
      </c>
      <c r="AJ2570" s="4">
        <v>6</v>
      </c>
      <c r="AK2570" s="4">
        <v>10</v>
      </c>
      <c r="AL2570" s="4">
        <v>33</v>
      </c>
      <c r="AM2570" s="4">
        <v>45</v>
      </c>
      <c r="AN2570" s="4">
        <v>0</v>
      </c>
      <c r="AO2570" s="4">
        <v>0</v>
      </c>
      <c r="AP2570" s="4">
        <v>6</v>
      </c>
      <c r="AQ2570" s="4">
        <v>9</v>
      </c>
      <c r="AR2570" s="3" t="s">
        <v>65</v>
      </c>
      <c r="AS2570" s="3" t="s">
        <v>65</v>
      </c>
      <c r="AT2570" s="3" t="s">
        <v>209</v>
      </c>
      <c r="AU2570" s="6" t="str">
        <f>HYPERLINK("http://catalog.hathitrust.org/Record/001219184","HathiTrust Record")</f>
        <v>HathiTrust Record</v>
      </c>
      <c r="AV2570" s="6" t="str">
        <f>HYPERLINK("http://mcgill.on.worldcat.org/oclc/1965800","Catalog Record")</f>
        <v>Catalog Record</v>
      </c>
      <c r="AW2570" s="6" t="str">
        <f>HYPERLINK("http://www.worldcat.org/oclc/1965800","WorldCat Record")</f>
        <v>WorldCat Record</v>
      </c>
      <c r="AX2570" s="3" t="s">
        <v>25373</v>
      </c>
      <c r="AY2570" s="3" t="s">
        <v>25374</v>
      </c>
      <c r="AZ2570" s="3" t="s">
        <v>25375</v>
      </c>
      <c r="BA2570" s="3" t="s">
        <v>25375</v>
      </c>
      <c r="BB2570" s="3" t="s">
        <v>25376</v>
      </c>
      <c r="BC2570" s="3" t="s">
        <v>77</v>
      </c>
      <c r="BD2570" s="3" t="s">
        <v>78</v>
      </c>
      <c r="BF2570" s="3" t="s">
        <v>25376</v>
      </c>
      <c r="BG2570" s="3" t="s">
        <v>25377</v>
      </c>
    </row>
    <row r="2571" spans="1:59" ht="58" x14ac:dyDescent="0.35">
      <c r="A2571" s="2" t="s">
        <v>59</v>
      </c>
      <c r="B2571" s="2" t="s">
        <v>60</v>
      </c>
      <c r="C2571" s="2" t="s">
        <v>25378</v>
      </c>
      <c r="D2571" s="2" t="s">
        <v>25379</v>
      </c>
      <c r="E2571" s="2" t="s">
        <v>25380</v>
      </c>
      <c r="G2571" s="3" t="s">
        <v>65</v>
      </c>
      <c r="I2571" s="3" t="s">
        <v>65</v>
      </c>
      <c r="J2571" s="3" t="s">
        <v>209</v>
      </c>
      <c r="K2571" s="3" t="s">
        <v>66</v>
      </c>
      <c r="L2571" s="2" t="s">
        <v>25326</v>
      </c>
      <c r="M2571" s="2" t="s">
        <v>25381</v>
      </c>
      <c r="N2571" s="3" t="s">
        <v>742</v>
      </c>
      <c r="P2571" s="3" t="s">
        <v>140</v>
      </c>
      <c r="Q2571" s="2" t="s">
        <v>25382</v>
      </c>
      <c r="R2571" s="3" t="s">
        <v>71</v>
      </c>
      <c r="S2571" s="4">
        <v>1</v>
      </c>
      <c r="T2571" s="4">
        <v>1</v>
      </c>
      <c r="U2571" s="5" t="s">
        <v>3235</v>
      </c>
      <c r="V2571" s="5" t="s">
        <v>3235</v>
      </c>
      <c r="W2571" s="5" t="s">
        <v>72</v>
      </c>
      <c r="X2571" s="5" t="s">
        <v>72</v>
      </c>
      <c r="Y2571" s="4">
        <v>1</v>
      </c>
      <c r="Z2571" s="4">
        <v>1</v>
      </c>
      <c r="AA2571" s="4">
        <v>19</v>
      </c>
      <c r="AB2571" s="4">
        <v>1</v>
      </c>
      <c r="AC2571" s="4">
        <v>3</v>
      </c>
      <c r="AD2571" s="4">
        <v>0</v>
      </c>
      <c r="AE2571" s="4">
        <v>80</v>
      </c>
      <c r="AF2571" s="4">
        <v>0</v>
      </c>
      <c r="AG2571" s="4">
        <v>2</v>
      </c>
      <c r="AH2571" s="4">
        <v>0</v>
      </c>
      <c r="AI2571" s="4">
        <v>72</v>
      </c>
      <c r="AJ2571" s="4">
        <v>0</v>
      </c>
      <c r="AK2571" s="4">
        <v>13</v>
      </c>
      <c r="AL2571" s="4">
        <v>0</v>
      </c>
      <c r="AM2571" s="4">
        <v>46</v>
      </c>
      <c r="AN2571" s="4">
        <v>0</v>
      </c>
      <c r="AO2571" s="4">
        <v>1</v>
      </c>
      <c r="AP2571" s="4">
        <v>0</v>
      </c>
      <c r="AQ2571" s="4">
        <v>11</v>
      </c>
      <c r="AR2571" s="3" t="s">
        <v>65</v>
      </c>
      <c r="AS2571" s="3" t="s">
        <v>65</v>
      </c>
      <c r="AT2571" s="3" t="s">
        <v>65</v>
      </c>
      <c r="AV2571" s="6" t="str">
        <f>HYPERLINK("http://mcgill.on.worldcat.org/oclc/427183907","Catalog Record")</f>
        <v>Catalog Record</v>
      </c>
      <c r="AW2571" s="6" t="str">
        <f>HYPERLINK("http://www.worldcat.org/oclc/427183907","WorldCat Record")</f>
        <v>WorldCat Record</v>
      </c>
      <c r="AX2571" s="3" t="s">
        <v>25383</v>
      </c>
      <c r="AY2571" s="3" t="s">
        <v>25384</v>
      </c>
      <c r="AZ2571" s="3" t="s">
        <v>25385</v>
      </c>
      <c r="BA2571" s="3" t="s">
        <v>25385</v>
      </c>
      <c r="BB2571" s="3" t="s">
        <v>25386</v>
      </c>
      <c r="BC2571" s="3" t="s">
        <v>77</v>
      </c>
      <c r="BD2571" s="3" t="s">
        <v>78</v>
      </c>
      <c r="BF2571" s="3" t="s">
        <v>25386</v>
      </c>
      <c r="BG2571" s="3" t="s">
        <v>25387</v>
      </c>
    </row>
    <row r="2572" spans="1:59" ht="58" x14ac:dyDescent="0.35">
      <c r="A2572" s="2" t="s">
        <v>59</v>
      </c>
      <c r="B2572" s="2" t="s">
        <v>60</v>
      </c>
      <c r="C2572" s="2" t="s">
        <v>25388</v>
      </c>
      <c r="D2572" s="2" t="s">
        <v>25389</v>
      </c>
      <c r="E2572" s="2" t="s">
        <v>25390</v>
      </c>
      <c r="G2572" s="3" t="s">
        <v>65</v>
      </c>
      <c r="I2572" s="3" t="s">
        <v>65</v>
      </c>
      <c r="J2572" s="3" t="s">
        <v>209</v>
      </c>
      <c r="K2572" s="3" t="s">
        <v>66</v>
      </c>
      <c r="L2572" s="2" t="s">
        <v>25326</v>
      </c>
      <c r="M2572" s="2" t="s">
        <v>25391</v>
      </c>
      <c r="N2572" s="3" t="s">
        <v>221</v>
      </c>
      <c r="P2572" s="3" t="s">
        <v>69</v>
      </c>
      <c r="Q2572" s="2" t="s">
        <v>25392</v>
      </c>
      <c r="R2572" s="3" t="s">
        <v>71</v>
      </c>
      <c r="S2572" s="4">
        <v>11</v>
      </c>
      <c r="T2572" s="4">
        <v>11</v>
      </c>
      <c r="U2572" s="5" t="s">
        <v>2415</v>
      </c>
      <c r="V2572" s="5" t="s">
        <v>2415</v>
      </c>
      <c r="W2572" s="5" t="s">
        <v>72</v>
      </c>
      <c r="X2572" s="5" t="s">
        <v>72</v>
      </c>
      <c r="Y2572" s="4">
        <v>167</v>
      </c>
      <c r="Z2572" s="4">
        <v>8</v>
      </c>
      <c r="AA2572" s="4">
        <v>28</v>
      </c>
      <c r="AB2572" s="4">
        <v>2</v>
      </c>
      <c r="AC2572" s="4">
        <v>4</v>
      </c>
      <c r="AD2572" s="4">
        <v>27</v>
      </c>
      <c r="AE2572" s="4">
        <v>115</v>
      </c>
      <c r="AF2572" s="4">
        <v>0</v>
      </c>
      <c r="AG2572" s="4">
        <v>2</v>
      </c>
      <c r="AH2572" s="4">
        <v>24</v>
      </c>
      <c r="AI2572" s="4">
        <v>99</v>
      </c>
      <c r="AJ2572" s="4">
        <v>2</v>
      </c>
      <c r="AK2572" s="4">
        <v>15</v>
      </c>
      <c r="AL2572" s="4">
        <v>17</v>
      </c>
      <c r="AM2572" s="4">
        <v>60</v>
      </c>
      <c r="AN2572" s="4">
        <v>0</v>
      </c>
      <c r="AO2572" s="4">
        <v>3</v>
      </c>
      <c r="AP2572" s="4">
        <v>2</v>
      </c>
      <c r="AQ2572" s="4">
        <v>18</v>
      </c>
      <c r="AR2572" s="3" t="s">
        <v>65</v>
      </c>
      <c r="AS2572" s="3" t="s">
        <v>65</v>
      </c>
      <c r="AT2572" s="3" t="s">
        <v>65</v>
      </c>
      <c r="AV2572" s="6" t="str">
        <f>HYPERLINK("http://mcgill.on.worldcat.org/oclc/75088015","Catalog Record")</f>
        <v>Catalog Record</v>
      </c>
      <c r="AW2572" s="6" t="str">
        <f>HYPERLINK("http://www.worldcat.org/oclc/75088015","WorldCat Record")</f>
        <v>WorldCat Record</v>
      </c>
      <c r="AX2572" s="3" t="s">
        <v>25393</v>
      </c>
      <c r="AY2572" s="3" t="s">
        <v>25394</v>
      </c>
      <c r="AZ2572" s="3" t="s">
        <v>25395</v>
      </c>
      <c r="BA2572" s="3" t="s">
        <v>25395</v>
      </c>
      <c r="BB2572" s="3" t="s">
        <v>25396</v>
      </c>
      <c r="BC2572" s="3" t="s">
        <v>77</v>
      </c>
      <c r="BD2572" s="3" t="s">
        <v>78</v>
      </c>
      <c r="BE2572" s="3" t="s">
        <v>25397</v>
      </c>
      <c r="BF2572" s="3" t="s">
        <v>25396</v>
      </c>
      <c r="BG2572" s="3" t="s">
        <v>25398</v>
      </c>
    </row>
    <row r="2573" spans="1:59" ht="72.5" x14ac:dyDescent="0.35">
      <c r="A2573" s="2" t="s">
        <v>59</v>
      </c>
      <c r="B2573" s="2" t="s">
        <v>60</v>
      </c>
      <c r="C2573" s="2" t="s">
        <v>25399</v>
      </c>
      <c r="D2573" s="2" t="s">
        <v>25400</v>
      </c>
      <c r="E2573" s="2" t="s">
        <v>25401</v>
      </c>
      <c r="G2573" s="3" t="s">
        <v>65</v>
      </c>
      <c r="I2573" s="3" t="s">
        <v>65</v>
      </c>
      <c r="J2573" s="3" t="s">
        <v>65</v>
      </c>
      <c r="K2573" s="3" t="s">
        <v>66</v>
      </c>
      <c r="L2573" s="2" t="s">
        <v>25402</v>
      </c>
      <c r="M2573" s="2" t="s">
        <v>25403</v>
      </c>
      <c r="N2573" s="3" t="s">
        <v>139</v>
      </c>
      <c r="P2573" s="3" t="s">
        <v>140</v>
      </c>
      <c r="Q2573" s="2" t="s">
        <v>25404</v>
      </c>
      <c r="R2573" s="3" t="s">
        <v>71</v>
      </c>
      <c r="S2573" s="4">
        <v>0</v>
      </c>
      <c r="T2573" s="4">
        <v>0</v>
      </c>
      <c r="W2573" s="5" t="s">
        <v>72</v>
      </c>
      <c r="X2573" s="5" t="s">
        <v>72</v>
      </c>
      <c r="Y2573" s="4">
        <v>44</v>
      </c>
      <c r="Z2573" s="4">
        <v>4</v>
      </c>
      <c r="AA2573" s="4">
        <v>5</v>
      </c>
      <c r="AB2573" s="4">
        <v>1</v>
      </c>
      <c r="AC2573" s="4">
        <v>1</v>
      </c>
      <c r="AD2573" s="4">
        <v>30</v>
      </c>
      <c r="AE2573" s="4">
        <v>33</v>
      </c>
      <c r="AF2573" s="4">
        <v>0</v>
      </c>
      <c r="AG2573" s="4">
        <v>0</v>
      </c>
      <c r="AH2573" s="4">
        <v>29</v>
      </c>
      <c r="AI2573" s="4">
        <v>32</v>
      </c>
      <c r="AJ2573" s="4">
        <v>2</v>
      </c>
      <c r="AK2573" s="4">
        <v>3</v>
      </c>
      <c r="AL2573" s="4">
        <v>24</v>
      </c>
      <c r="AM2573" s="4">
        <v>25</v>
      </c>
      <c r="AN2573" s="4">
        <v>0</v>
      </c>
      <c r="AO2573" s="4">
        <v>0</v>
      </c>
      <c r="AP2573" s="4">
        <v>2</v>
      </c>
      <c r="AQ2573" s="4">
        <v>3</v>
      </c>
      <c r="AR2573" s="3" t="s">
        <v>65</v>
      </c>
      <c r="AS2573" s="3" t="s">
        <v>65</v>
      </c>
      <c r="AT2573" s="3" t="s">
        <v>65</v>
      </c>
      <c r="AV2573" s="6" t="str">
        <f>HYPERLINK("http://mcgill.on.worldcat.org/oclc/820785409","Catalog Record")</f>
        <v>Catalog Record</v>
      </c>
      <c r="AW2573" s="6" t="str">
        <f>HYPERLINK("http://www.worldcat.org/oclc/820785409","WorldCat Record")</f>
        <v>WorldCat Record</v>
      </c>
      <c r="AX2573" s="3" t="s">
        <v>25405</v>
      </c>
      <c r="AY2573" s="3" t="s">
        <v>25406</v>
      </c>
      <c r="AZ2573" s="3" t="s">
        <v>25407</v>
      </c>
      <c r="BA2573" s="3" t="s">
        <v>25407</v>
      </c>
      <c r="BB2573" s="3" t="s">
        <v>25408</v>
      </c>
      <c r="BC2573" s="3" t="s">
        <v>77</v>
      </c>
      <c r="BD2573" s="3" t="s">
        <v>78</v>
      </c>
      <c r="BE2573" s="3" t="s">
        <v>25409</v>
      </c>
      <c r="BF2573" s="3" t="s">
        <v>25408</v>
      </c>
      <c r="BG2573" s="3" t="s">
        <v>25410</v>
      </c>
    </row>
    <row r="2574" spans="1:59" ht="58" x14ac:dyDescent="0.35">
      <c r="A2574" s="2" t="s">
        <v>59</v>
      </c>
      <c r="B2574" s="2" t="s">
        <v>60</v>
      </c>
      <c r="C2574" s="2" t="s">
        <v>25411</v>
      </c>
      <c r="D2574" s="2" t="s">
        <v>25412</v>
      </c>
      <c r="E2574" s="2" t="s">
        <v>25413</v>
      </c>
      <c r="G2574" s="3" t="s">
        <v>65</v>
      </c>
      <c r="I2574" s="3" t="s">
        <v>65</v>
      </c>
      <c r="J2574" s="3" t="s">
        <v>65</v>
      </c>
      <c r="K2574" s="3" t="s">
        <v>66</v>
      </c>
      <c r="L2574" s="2" t="s">
        <v>25414</v>
      </c>
      <c r="M2574" s="2" t="s">
        <v>25415</v>
      </c>
      <c r="N2574" s="3" t="s">
        <v>126</v>
      </c>
      <c r="P2574" s="3" t="s">
        <v>140</v>
      </c>
      <c r="Q2574" s="2" t="s">
        <v>25416</v>
      </c>
      <c r="R2574" s="3" t="s">
        <v>71</v>
      </c>
      <c r="S2574" s="4">
        <v>0</v>
      </c>
      <c r="T2574" s="4">
        <v>0</v>
      </c>
      <c r="W2574" s="5" t="s">
        <v>72</v>
      </c>
      <c r="X2574" s="5" t="s">
        <v>72</v>
      </c>
      <c r="Y2574" s="4">
        <v>28</v>
      </c>
      <c r="Z2574" s="4">
        <v>4</v>
      </c>
      <c r="AA2574" s="4">
        <v>4</v>
      </c>
      <c r="AB2574" s="4">
        <v>1</v>
      </c>
      <c r="AC2574" s="4">
        <v>1</v>
      </c>
      <c r="AD2574" s="4">
        <v>22</v>
      </c>
      <c r="AE2574" s="4">
        <v>22</v>
      </c>
      <c r="AF2574" s="4">
        <v>0</v>
      </c>
      <c r="AG2574" s="4">
        <v>0</v>
      </c>
      <c r="AH2574" s="4">
        <v>21</v>
      </c>
      <c r="AI2574" s="4">
        <v>21</v>
      </c>
      <c r="AJ2574" s="4">
        <v>2</v>
      </c>
      <c r="AK2574" s="4">
        <v>2</v>
      </c>
      <c r="AL2574" s="4">
        <v>14</v>
      </c>
      <c r="AM2574" s="4">
        <v>14</v>
      </c>
      <c r="AN2574" s="4">
        <v>0</v>
      </c>
      <c r="AO2574" s="4">
        <v>0</v>
      </c>
      <c r="AP2574" s="4">
        <v>2</v>
      </c>
      <c r="AQ2574" s="4">
        <v>2</v>
      </c>
      <c r="AR2574" s="3" t="s">
        <v>65</v>
      </c>
      <c r="AS2574" s="3" t="s">
        <v>65</v>
      </c>
      <c r="AT2574" s="3" t="s">
        <v>65</v>
      </c>
      <c r="AV2574" s="6" t="str">
        <f>HYPERLINK("http://mcgill.on.worldcat.org/oclc/768810231","Catalog Record")</f>
        <v>Catalog Record</v>
      </c>
      <c r="AW2574" s="6" t="str">
        <f>HYPERLINK("http://www.worldcat.org/oclc/768810231","WorldCat Record")</f>
        <v>WorldCat Record</v>
      </c>
      <c r="AX2574" s="3" t="s">
        <v>25417</v>
      </c>
      <c r="AY2574" s="3" t="s">
        <v>25418</v>
      </c>
      <c r="AZ2574" s="3" t="s">
        <v>25419</v>
      </c>
      <c r="BA2574" s="3" t="s">
        <v>25419</v>
      </c>
      <c r="BB2574" s="3" t="s">
        <v>25420</v>
      </c>
      <c r="BC2574" s="3" t="s">
        <v>77</v>
      </c>
      <c r="BD2574" s="3" t="s">
        <v>78</v>
      </c>
      <c r="BE2574" s="3" t="s">
        <v>25421</v>
      </c>
      <c r="BF2574" s="3" t="s">
        <v>25420</v>
      </c>
      <c r="BG2574" s="3" t="s">
        <v>25422</v>
      </c>
    </row>
    <row r="2575" spans="1:59" ht="72.5" x14ac:dyDescent="0.35">
      <c r="A2575" s="2" t="s">
        <v>59</v>
      </c>
      <c r="B2575" s="2" t="s">
        <v>60</v>
      </c>
      <c r="C2575" s="2" t="s">
        <v>25423</v>
      </c>
      <c r="D2575" s="2" t="s">
        <v>25424</v>
      </c>
      <c r="E2575" s="2" t="s">
        <v>25425</v>
      </c>
      <c r="G2575" s="3" t="s">
        <v>65</v>
      </c>
      <c r="I2575" s="3" t="s">
        <v>65</v>
      </c>
      <c r="J2575" s="3" t="s">
        <v>65</v>
      </c>
      <c r="K2575" s="3" t="s">
        <v>66</v>
      </c>
      <c r="L2575" s="2" t="s">
        <v>25426</v>
      </c>
      <c r="M2575" s="2" t="s">
        <v>25427</v>
      </c>
      <c r="N2575" s="3" t="s">
        <v>68</v>
      </c>
      <c r="O2575" s="2" t="s">
        <v>1410</v>
      </c>
      <c r="P2575" s="3" t="s">
        <v>140</v>
      </c>
      <c r="Q2575" s="2" t="s">
        <v>25428</v>
      </c>
      <c r="R2575" s="3" t="s">
        <v>71</v>
      </c>
      <c r="S2575" s="4">
        <v>0</v>
      </c>
      <c r="T2575" s="4">
        <v>0</v>
      </c>
      <c r="W2575" s="5" t="s">
        <v>72</v>
      </c>
      <c r="X2575" s="5" t="s">
        <v>72</v>
      </c>
      <c r="Y2575" s="4">
        <v>36</v>
      </c>
      <c r="Z2575" s="4">
        <v>2</v>
      </c>
      <c r="AA2575" s="4">
        <v>2</v>
      </c>
      <c r="AB2575" s="4">
        <v>1</v>
      </c>
      <c r="AC2575" s="4">
        <v>1</v>
      </c>
      <c r="AD2575" s="4">
        <v>25</v>
      </c>
      <c r="AE2575" s="4">
        <v>25</v>
      </c>
      <c r="AF2575" s="4">
        <v>0</v>
      </c>
      <c r="AG2575" s="4">
        <v>0</v>
      </c>
      <c r="AH2575" s="4">
        <v>24</v>
      </c>
      <c r="AI2575" s="4">
        <v>24</v>
      </c>
      <c r="AJ2575" s="4">
        <v>1</v>
      </c>
      <c r="AK2575" s="4">
        <v>1</v>
      </c>
      <c r="AL2575" s="4">
        <v>21</v>
      </c>
      <c r="AM2575" s="4">
        <v>21</v>
      </c>
      <c r="AN2575" s="4">
        <v>0</v>
      </c>
      <c r="AO2575" s="4">
        <v>0</v>
      </c>
      <c r="AP2575" s="4">
        <v>1</v>
      </c>
      <c r="AQ2575" s="4">
        <v>1</v>
      </c>
      <c r="AR2575" s="3" t="s">
        <v>65</v>
      </c>
      <c r="AS2575" s="3" t="s">
        <v>65</v>
      </c>
      <c r="AT2575" s="3" t="s">
        <v>65</v>
      </c>
      <c r="AV2575" s="6" t="str">
        <f>HYPERLINK("http://mcgill.on.worldcat.org/oclc/964458408","Catalog Record")</f>
        <v>Catalog Record</v>
      </c>
      <c r="AW2575" s="6" t="str">
        <f>HYPERLINK("http://www.worldcat.org/oclc/964458408","WorldCat Record")</f>
        <v>WorldCat Record</v>
      </c>
      <c r="AX2575" s="3" t="s">
        <v>25429</v>
      </c>
      <c r="AY2575" s="3" t="s">
        <v>25430</v>
      </c>
      <c r="AZ2575" s="3" t="s">
        <v>25431</v>
      </c>
      <c r="BA2575" s="3" t="s">
        <v>25431</v>
      </c>
      <c r="BB2575" s="3" t="s">
        <v>25432</v>
      </c>
      <c r="BC2575" s="3" t="s">
        <v>77</v>
      </c>
      <c r="BD2575" s="3" t="s">
        <v>78</v>
      </c>
      <c r="BE2575" s="3" t="s">
        <v>25433</v>
      </c>
      <c r="BF2575" s="3" t="s">
        <v>25432</v>
      </c>
      <c r="BG2575" s="3" t="s">
        <v>25434</v>
      </c>
    </row>
    <row r="2576" spans="1:59" ht="58" x14ac:dyDescent="0.35">
      <c r="A2576" s="2" t="s">
        <v>59</v>
      </c>
      <c r="B2576" s="2" t="s">
        <v>60</v>
      </c>
      <c r="C2576" s="2" t="s">
        <v>25435</v>
      </c>
      <c r="D2576" s="2" t="s">
        <v>25436</v>
      </c>
      <c r="E2576" s="2" t="s">
        <v>25437</v>
      </c>
      <c r="G2576" s="3" t="s">
        <v>65</v>
      </c>
      <c r="I2576" s="3" t="s">
        <v>65</v>
      </c>
      <c r="J2576" s="3" t="s">
        <v>65</v>
      </c>
      <c r="K2576" s="3" t="s">
        <v>66</v>
      </c>
      <c r="L2576" s="2" t="s">
        <v>25438</v>
      </c>
      <c r="M2576" s="2" t="s">
        <v>25439</v>
      </c>
      <c r="N2576" s="3" t="s">
        <v>176</v>
      </c>
      <c r="O2576" s="2" t="s">
        <v>1410</v>
      </c>
      <c r="P2576" s="3" t="s">
        <v>140</v>
      </c>
      <c r="Q2576" s="2" t="s">
        <v>25440</v>
      </c>
      <c r="R2576" s="3" t="s">
        <v>71</v>
      </c>
      <c r="S2576" s="4">
        <v>0</v>
      </c>
      <c r="T2576" s="4">
        <v>0</v>
      </c>
      <c r="W2576" s="5" t="s">
        <v>72</v>
      </c>
      <c r="X2576" s="5" t="s">
        <v>72</v>
      </c>
      <c r="Y2576" s="4">
        <v>48</v>
      </c>
      <c r="Z2576" s="4">
        <v>4</v>
      </c>
      <c r="AA2576" s="4">
        <v>4</v>
      </c>
      <c r="AB2576" s="4">
        <v>1</v>
      </c>
      <c r="AC2576" s="4">
        <v>1</v>
      </c>
      <c r="AD2576" s="4">
        <v>32</v>
      </c>
      <c r="AE2576" s="4">
        <v>32</v>
      </c>
      <c r="AF2576" s="4">
        <v>0</v>
      </c>
      <c r="AG2576" s="4">
        <v>0</v>
      </c>
      <c r="AH2576" s="4">
        <v>31</v>
      </c>
      <c r="AI2576" s="4">
        <v>31</v>
      </c>
      <c r="AJ2576" s="4">
        <v>2</v>
      </c>
      <c r="AK2576" s="4">
        <v>2</v>
      </c>
      <c r="AL2576" s="4">
        <v>23</v>
      </c>
      <c r="AM2576" s="4">
        <v>23</v>
      </c>
      <c r="AN2576" s="4">
        <v>0</v>
      </c>
      <c r="AO2576" s="4">
        <v>0</v>
      </c>
      <c r="AP2576" s="4">
        <v>2</v>
      </c>
      <c r="AQ2576" s="4">
        <v>2</v>
      </c>
      <c r="AR2576" s="3" t="s">
        <v>65</v>
      </c>
      <c r="AS2576" s="3" t="s">
        <v>65</v>
      </c>
      <c r="AT2576" s="3" t="s">
        <v>65</v>
      </c>
      <c r="AV2576" s="6" t="str">
        <f>HYPERLINK("http://mcgill.on.worldcat.org/oclc/906793310","Catalog Record")</f>
        <v>Catalog Record</v>
      </c>
      <c r="AW2576" s="6" t="str">
        <f>HYPERLINK("http://www.worldcat.org/oclc/906793310","WorldCat Record")</f>
        <v>WorldCat Record</v>
      </c>
      <c r="AX2576" s="3" t="s">
        <v>25441</v>
      </c>
      <c r="AY2576" s="3" t="s">
        <v>25442</v>
      </c>
      <c r="AZ2576" s="3" t="s">
        <v>25443</v>
      </c>
      <c r="BA2576" s="3" t="s">
        <v>25443</v>
      </c>
      <c r="BB2576" s="3" t="s">
        <v>25444</v>
      </c>
      <c r="BC2576" s="3" t="s">
        <v>77</v>
      </c>
      <c r="BD2576" s="3" t="s">
        <v>78</v>
      </c>
      <c r="BE2576" s="3" t="s">
        <v>25445</v>
      </c>
      <c r="BF2576" s="3" t="s">
        <v>25444</v>
      </c>
      <c r="BG2576" s="3" t="s">
        <v>25446</v>
      </c>
    </row>
    <row r="2577" spans="1:59" ht="58" x14ac:dyDescent="0.35">
      <c r="A2577" s="2" t="s">
        <v>59</v>
      </c>
      <c r="B2577" s="2" t="s">
        <v>60</v>
      </c>
      <c r="C2577" s="2" t="s">
        <v>25435</v>
      </c>
      <c r="D2577" s="2" t="s">
        <v>25436</v>
      </c>
      <c r="E2577" s="2" t="s">
        <v>25447</v>
      </c>
      <c r="F2577" s="3" t="s">
        <v>258</v>
      </c>
      <c r="G2577" s="3" t="s">
        <v>209</v>
      </c>
      <c r="I2577" s="3" t="s">
        <v>65</v>
      </c>
      <c r="J2577" s="3" t="s">
        <v>65</v>
      </c>
      <c r="K2577" s="3" t="s">
        <v>66</v>
      </c>
      <c r="L2577" s="2" t="s">
        <v>25426</v>
      </c>
      <c r="M2577" s="2" t="s">
        <v>25448</v>
      </c>
      <c r="N2577" s="3" t="s">
        <v>176</v>
      </c>
      <c r="O2577" s="2" t="s">
        <v>1410</v>
      </c>
      <c r="P2577" s="3" t="s">
        <v>140</v>
      </c>
      <c r="R2577" s="3" t="s">
        <v>71</v>
      </c>
      <c r="S2577" s="4">
        <v>0</v>
      </c>
      <c r="T2577" s="4">
        <v>0</v>
      </c>
      <c r="W2577" s="5" t="s">
        <v>3282</v>
      </c>
      <c r="X2577" s="5" t="s">
        <v>3282</v>
      </c>
      <c r="Y2577" s="4">
        <v>31</v>
      </c>
      <c r="Z2577" s="4">
        <v>4</v>
      </c>
      <c r="AA2577" s="4">
        <v>4</v>
      </c>
      <c r="AB2577" s="4">
        <v>1</v>
      </c>
      <c r="AC2577" s="4">
        <v>1</v>
      </c>
      <c r="AD2577" s="4">
        <v>21</v>
      </c>
      <c r="AE2577" s="4">
        <v>23</v>
      </c>
      <c r="AF2577" s="4">
        <v>0</v>
      </c>
      <c r="AG2577" s="4">
        <v>0</v>
      </c>
      <c r="AH2577" s="4">
        <v>20</v>
      </c>
      <c r="AI2577" s="4">
        <v>22</v>
      </c>
      <c r="AJ2577" s="4">
        <v>2</v>
      </c>
      <c r="AK2577" s="4">
        <v>2</v>
      </c>
      <c r="AL2577" s="4">
        <v>17</v>
      </c>
      <c r="AM2577" s="4">
        <v>18</v>
      </c>
      <c r="AN2577" s="4">
        <v>0</v>
      </c>
      <c r="AO2577" s="4">
        <v>0</v>
      </c>
      <c r="AP2577" s="4">
        <v>2</v>
      </c>
      <c r="AQ2577" s="4">
        <v>2</v>
      </c>
      <c r="AR2577" s="3" t="s">
        <v>65</v>
      </c>
      <c r="AS2577" s="3" t="s">
        <v>65</v>
      </c>
      <c r="AT2577" s="3" t="s">
        <v>65</v>
      </c>
      <c r="AV2577" s="6" t="str">
        <f>HYPERLINK("http://mcgill.on.worldcat.org/oclc/930607955","Catalog Record")</f>
        <v>Catalog Record</v>
      </c>
      <c r="AW2577" s="6" t="str">
        <f>HYPERLINK("http://www.worldcat.org/oclc/930607955","WorldCat Record")</f>
        <v>WorldCat Record</v>
      </c>
      <c r="AX2577" s="3" t="s">
        <v>25449</v>
      </c>
      <c r="AY2577" s="3" t="s">
        <v>25450</v>
      </c>
      <c r="AZ2577" s="3" t="s">
        <v>25451</v>
      </c>
      <c r="BA2577" s="3" t="s">
        <v>25451</v>
      </c>
      <c r="BB2577" s="3" t="s">
        <v>25452</v>
      </c>
      <c r="BC2577" s="3" t="s">
        <v>77</v>
      </c>
      <c r="BD2577" s="3" t="s">
        <v>78</v>
      </c>
      <c r="BE2577" s="3" t="s">
        <v>25453</v>
      </c>
      <c r="BF2577" s="3" t="s">
        <v>25452</v>
      </c>
      <c r="BG2577" s="3" t="s">
        <v>25454</v>
      </c>
    </row>
    <row r="2578" spans="1:59" ht="58" x14ac:dyDescent="0.35">
      <c r="A2578" s="2" t="s">
        <v>59</v>
      </c>
      <c r="B2578" s="2" t="s">
        <v>60</v>
      </c>
      <c r="C2578" s="2" t="s">
        <v>25435</v>
      </c>
      <c r="D2578" s="2" t="s">
        <v>25436</v>
      </c>
      <c r="E2578" s="2" t="s">
        <v>25447</v>
      </c>
      <c r="F2578" s="3" t="s">
        <v>245</v>
      </c>
      <c r="G2578" s="3" t="s">
        <v>209</v>
      </c>
      <c r="I2578" s="3" t="s">
        <v>65</v>
      </c>
      <c r="J2578" s="3" t="s">
        <v>65</v>
      </c>
      <c r="K2578" s="3" t="s">
        <v>66</v>
      </c>
      <c r="L2578" s="2" t="s">
        <v>25426</v>
      </c>
      <c r="M2578" s="2" t="s">
        <v>25448</v>
      </c>
      <c r="N2578" s="3" t="s">
        <v>176</v>
      </c>
      <c r="O2578" s="2" t="s">
        <v>1410</v>
      </c>
      <c r="P2578" s="3" t="s">
        <v>140</v>
      </c>
      <c r="R2578" s="3" t="s">
        <v>71</v>
      </c>
      <c r="S2578" s="4">
        <v>0</v>
      </c>
      <c r="T2578" s="4">
        <v>0</v>
      </c>
      <c r="W2578" s="5" t="s">
        <v>3282</v>
      </c>
      <c r="X2578" s="5" t="s">
        <v>3282</v>
      </c>
      <c r="Y2578" s="4">
        <v>31</v>
      </c>
      <c r="Z2578" s="4">
        <v>4</v>
      </c>
      <c r="AA2578" s="4">
        <v>4</v>
      </c>
      <c r="AB2578" s="4">
        <v>1</v>
      </c>
      <c r="AC2578" s="4">
        <v>1</v>
      </c>
      <c r="AD2578" s="4">
        <v>21</v>
      </c>
      <c r="AE2578" s="4">
        <v>23</v>
      </c>
      <c r="AF2578" s="4">
        <v>0</v>
      </c>
      <c r="AG2578" s="4">
        <v>0</v>
      </c>
      <c r="AH2578" s="4">
        <v>20</v>
      </c>
      <c r="AI2578" s="4">
        <v>22</v>
      </c>
      <c r="AJ2578" s="4">
        <v>2</v>
      </c>
      <c r="AK2578" s="4">
        <v>2</v>
      </c>
      <c r="AL2578" s="4">
        <v>17</v>
      </c>
      <c r="AM2578" s="4">
        <v>18</v>
      </c>
      <c r="AN2578" s="4">
        <v>0</v>
      </c>
      <c r="AO2578" s="4">
        <v>0</v>
      </c>
      <c r="AP2578" s="4">
        <v>2</v>
      </c>
      <c r="AQ2578" s="4">
        <v>2</v>
      </c>
      <c r="AR2578" s="3" t="s">
        <v>65</v>
      </c>
      <c r="AS2578" s="3" t="s">
        <v>65</v>
      </c>
      <c r="AT2578" s="3" t="s">
        <v>65</v>
      </c>
      <c r="AV2578" s="6" t="str">
        <f>HYPERLINK("http://mcgill.on.worldcat.org/oclc/930607955","Catalog Record")</f>
        <v>Catalog Record</v>
      </c>
      <c r="AW2578" s="6" t="str">
        <f>HYPERLINK("http://www.worldcat.org/oclc/930607955","WorldCat Record")</f>
        <v>WorldCat Record</v>
      </c>
      <c r="AX2578" s="3" t="s">
        <v>25449</v>
      </c>
      <c r="AY2578" s="3" t="s">
        <v>25450</v>
      </c>
      <c r="AZ2578" s="3" t="s">
        <v>25451</v>
      </c>
      <c r="BA2578" s="3" t="s">
        <v>25451</v>
      </c>
      <c r="BB2578" s="3" t="s">
        <v>25455</v>
      </c>
      <c r="BC2578" s="3" t="s">
        <v>77</v>
      </c>
      <c r="BD2578" s="3" t="s">
        <v>78</v>
      </c>
      <c r="BE2578" s="3" t="s">
        <v>25453</v>
      </c>
      <c r="BF2578" s="3" t="s">
        <v>25455</v>
      </c>
      <c r="BG2578" s="3" t="s">
        <v>25456</v>
      </c>
    </row>
    <row r="2579" spans="1:59" ht="58" x14ac:dyDescent="0.35">
      <c r="A2579" s="2" t="s">
        <v>59</v>
      </c>
      <c r="B2579" s="2" t="s">
        <v>60</v>
      </c>
      <c r="C2579" s="2" t="s">
        <v>25457</v>
      </c>
      <c r="D2579" s="2" t="s">
        <v>25458</v>
      </c>
      <c r="E2579" s="2" t="s">
        <v>25459</v>
      </c>
      <c r="G2579" s="3" t="s">
        <v>65</v>
      </c>
      <c r="I2579" s="3" t="s">
        <v>65</v>
      </c>
      <c r="J2579" s="3" t="s">
        <v>65</v>
      </c>
      <c r="K2579" s="3" t="s">
        <v>66</v>
      </c>
      <c r="L2579" s="2" t="s">
        <v>25326</v>
      </c>
      <c r="M2579" s="2" t="s">
        <v>25460</v>
      </c>
      <c r="N2579" s="3" t="s">
        <v>3448</v>
      </c>
      <c r="P2579" s="3" t="s">
        <v>140</v>
      </c>
      <c r="Q2579" s="2" t="s">
        <v>25461</v>
      </c>
      <c r="R2579" s="3" t="s">
        <v>71</v>
      </c>
      <c r="S2579" s="4">
        <v>4</v>
      </c>
      <c r="T2579" s="4">
        <v>4</v>
      </c>
      <c r="U2579" s="5" t="s">
        <v>25351</v>
      </c>
      <c r="V2579" s="5" t="s">
        <v>25351</v>
      </c>
      <c r="W2579" s="5" t="s">
        <v>72</v>
      </c>
      <c r="X2579" s="5" t="s">
        <v>72</v>
      </c>
      <c r="Y2579" s="4">
        <v>54</v>
      </c>
      <c r="Z2579" s="4">
        <v>8</v>
      </c>
      <c r="AA2579" s="4">
        <v>13</v>
      </c>
      <c r="AB2579" s="4">
        <v>1</v>
      </c>
      <c r="AC2579" s="4">
        <v>1</v>
      </c>
      <c r="AD2579" s="4">
        <v>26</v>
      </c>
      <c r="AE2579" s="4">
        <v>47</v>
      </c>
      <c r="AF2579" s="4">
        <v>0</v>
      </c>
      <c r="AG2579" s="4">
        <v>0</v>
      </c>
      <c r="AH2579" s="4">
        <v>25</v>
      </c>
      <c r="AI2579" s="4">
        <v>42</v>
      </c>
      <c r="AJ2579" s="4">
        <v>5</v>
      </c>
      <c r="AK2579" s="4">
        <v>9</v>
      </c>
      <c r="AL2579" s="4">
        <v>13</v>
      </c>
      <c r="AM2579" s="4">
        <v>22</v>
      </c>
      <c r="AN2579" s="4">
        <v>0</v>
      </c>
      <c r="AO2579" s="4">
        <v>0</v>
      </c>
      <c r="AP2579" s="4">
        <v>5</v>
      </c>
      <c r="AQ2579" s="4">
        <v>9</v>
      </c>
      <c r="AR2579" s="3" t="s">
        <v>65</v>
      </c>
      <c r="AS2579" s="3" t="s">
        <v>65</v>
      </c>
      <c r="AT2579" s="3" t="s">
        <v>209</v>
      </c>
      <c r="AU2579" s="6" t="str">
        <f>HYPERLINK("http://catalog.hathitrust.org/Record/007963473","HathiTrust Record")</f>
        <v>HathiTrust Record</v>
      </c>
      <c r="AV2579" s="6" t="str">
        <f>HYPERLINK("http://mcgill.on.worldcat.org/oclc/985449","Catalog Record")</f>
        <v>Catalog Record</v>
      </c>
      <c r="AW2579" s="6" t="str">
        <f>HYPERLINK("http://www.worldcat.org/oclc/985449","WorldCat Record")</f>
        <v>WorldCat Record</v>
      </c>
      <c r="AX2579" s="3" t="s">
        <v>25462</v>
      </c>
      <c r="AY2579" s="3" t="s">
        <v>25463</v>
      </c>
      <c r="AZ2579" s="3" t="s">
        <v>25464</v>
      </c>
      <c r="BA2579" s="3" t="s">
        <v>25464</v>
      </c>
      <c r="BB2579" s="3" t="s">
        <v>25465</v>
      </c>
      <c r="BC2579" s="3" t="s">
        <v>77</v>
      </c>
      <c r="BD2579" s="3" t="s">
        <v>78</v>
      </c>
      <c r="BF2579" s="3" t="s">
        <v>25465</v>
      </c>
      <c r="BG2579" s="3" t="s">
        <v>25466</v>
      </c>
    </row>
    <row r="2580" spans="1:59" ht="58" x14ac:dyDescent="0.35">
      <c r="A2580" s="2" t="s">
        <v>59</v>
      </c>
      <c r="B2580" s="2" t="s">
        <v>60</v>
      </c>
      <c r="C2580" s="2" t="s">
        <v>25467</v>
      </c>
      <c r="D2580" s="2" t="s">
        <v>25468</v>
      </c>
      <c r="E2580" s="2" t="s">
        <v>25469</v>
      </c>
      <c r="G2580" s="3" t="s">
        <v>65</v>
      </c>
      <c r="I2580" s="3" t="s">
        <v>65</v>
      </c>
      <c r="J2580" s="3" t="s">
        <v>65</v>
      </c>
      <c r="K2580" s="3" t="s">
        <v>66</v>
      </c>
      <c r="L2580" s="2" t="s">
        <v>25326</v>
      </c>
      <c r="M2580" s="2" t="s">
        <v>25470</v>
      </c>
      <c r="N2580" s="3" t="s">
        <v>831</v>
      </c>
      <c r="O2580" s="2" t="s">
        <v>654</v>
      </c>
      <c r="P2580" s="3" t="s">
        <v>140</v>
      </c>
      <c r="R2580" s="3" t="s">
        <v>71</v>
      </c>
      <c r="S2580" s="4">
        <v>1</v>
      </c>
      <c r="T2580" s="4">
        <v>1</v>
      </c>
      <c r="U2580" s="5" t="s">
        <v>25471</v>
      </c>
      <c r="V2580" s="5" t="s">
        <v>25471</v>
      </c>
      <c r="W2580" s="5" t="s">
        <v>72</v>
      </c>
      <c r="X2580" s="5" t="s">
        <v>72</v>
      </c>
      <c r="Y2580" s="4">
        <v>62</v>
      </c>
      <c r="Z2580" s="4">
        <v>6</v>
      </c>
      <c r="AA2580" s="4">
        <v>6</v>
      </c>
      <c r="AB2580" s="4">
        <v>1</v>
      </c>
      <c r="AC2580" s="4">
        <v>1</v>
      </c>
      <c r="AD2580" s="4">
        <v>33</v>
      </c>
      <c r="AE2580" s="4">
        <v>33</v>
      </c>
      <c r="AF2580" s="4">
        <v>0</v>
      </c>
      <c r="AG2580" s="4">
        <v>0</v>
      </c>
      <c r="AH2580" s="4">
        <v>30</v>
      </c>
      <c r="AI2580" s="4">
        <v>30</v>
      </c>
      <c r="AJ2580" s="4">
        <v>4</v>
      </c>
      <c r="AK2580" s="4">
        <v>4</v>
      </c>
      <c r="AL2580" s="4">
        <v>21</v>
      </c>
      <c r="AM2580" s="4">
        <v>21</v>
      </c>
      <c r="AN2580" s="4">
        <v>0</v>
      </c>
      <c r="AO2580" s="4">
        <v>0</v>
      </c>
      <c r="AP2580" s="4">
        <v>4</v>
      </c>
      <c r="AQ2580" s="4">
        <v>4</v>
      </c>
      <c r="AR2580" s="3" t="s">
        <v>65</v>
      </c>
      <c r="AS2580" s="3" t="s">
        <v>65</v>
      </c>
      <c r="AT2580" s="3" t="s">
        <v>209</v>
      </c>
      <c r="AU2580" s="6" t="str">
        <f>HYPERLINK("http://catalog.hathitrust.org/Record/006682411","HathiTrust Record")</f>
        <v>HathiTrust Record</v>
      </c>
      <c r="AV2580" s="6" t="str">
        <f>HYPERLINK("http://mcgill.on.worldcat.org/oclc/9612012","Catalog Record")</f>
        <v>Catalog Record</v>
      </c>
      <c r="AW2580" s="6" t="str">
        <f>HYPERLINK("http://www.worldcat.org/oclc/9612012","WorldCat Record")</f>
        <v>WorldCat Record</v>
      </c>
      <c r="AX2580" s="3" t="s">
        <v>25472</v>
      </c>
      <c r="AY2580" s="3" t="s">
        <v>25473</v>
      </c>
      <c r="AZ2580" s="3" t="s">
        <v>25474</v>
      </c>
      <c r="BA2580" s="3" t="s">
        <v>25474</v>
      </c>
      <c r="BB2580" s="3" t="s">
        <v>25475</v>
      </c>
      <c r="BC2580" s="3" t="s">
        <v>77</v>
      </c>
      <c r="BD2580" s="3" t="s">
        <v>78</v>
      </c>
      <c r="BF2580" s="3" t="s">
        <v>25475</v>
      </c>
      <c r="BG2580" s="3" t="s">
        <v>25476</v>
      </c>
    </row>
    <row r="2581" spans="1:59" ht="58" x14ac:dyDescent="0.35">
      <c r="A2581" s="2" t="s">
        <v>59</v>
      </c>
      <c r="B2581" s="2" t="s">
        <v>60</v>
      </c>
      <c r="C2581" s="2" t="s">
        <v>25477</v>
      </c>
      <c r="D2581" s="2" t="s">
        <v>25478</v>
      </c>
      <c r="E2581" s="2" t="s">
        <v>25479</v>
      </c>
      <c r="G2581" s="3" t="s">
        <v>65</v>
      </c>
      <c r="I2581" s="3" t="s">
        <v>65</v>
      </c>
      <c r="J2581" s="3" t="s">
        <v>65</v>
      </c>
      <c r="K2581" s="3" t="s">
        <v>66</v>
      </c>
      <c r="L2581" s="2" t="s">
        <v>25326</v>
      </c>
      <c r="M2581" s="2" t="s">
        <v>25480</v>
      </c>
      <c r="N2581" s="3" t="s">
        <v>831</v>
      </c>
      <c r="P2581" s="3" t="s">
        <v>140</v>
      </c>
      <c r="Q2581" s="2" t="s">
        <v>25481</v>
      </c>
      <c r="R2581" s="3" t="s">
        <v>71</v>
      </c>
      <c r="S2581" s="4">
        <v>2</v>
      </c>
      <c r="T2581" s="4">
        <v>2</v>
      </c>
      <c r="U2581" s="5" t="s">
        <v>25471</v>
      </c>
      <c r="V2581" s="5" t="s">
        <v>25471</v>
      </c>
      <c r="W2581" s="5" t="s">
        <v>72</v>
      </c>
      <c r="X2581" s="5" t="s">
        <v>72</v>
      </c>
      <c r="Y2581" s="4">
        <v>115</v>
      </c>
      <c r="Z2581" s="4">
        <v>11</v>
      </c>
      <c r="AA2581" s="4">
        <v>11</v>
      </c>
      <c r="AB2581" s="4">
        <v>1</v>
      </c>
      <c r="AC2581" s="4">
        <v>1</v>
      </c>
      <c r="AD2581" s="4">
        <v>61</v>
      </c>
      <c r="AE2581" s="4">
        <v>61</v>
      </c>
      <c r="AF2581" s="4">
        <v>0</v>
      </c>
      <c r="AG2581" s="4">
        <v>0</v>
      </c>
      <c r="AH2581" s="4">
        <v>57</v>
      </c>
      <c r="AI2581" s="4">
        <v>57</v>
      </c>
      <c r="AJ2581" s="4">
        <v>8</v>
      </c>
      <c r="AK2581" s="4">
        <v>8</v>
      </c>
      <c r="AL2581" s="4">
        <v>39</v>
      </c>
      <c r="AM2581" s="4">
        <v>39</v>
      </c>
      <c r="AN2581" s="4">
        <v>0</v>
      </c>
      <c r="AO2581" s="4">
        <v>0</v>
      </c>
      <c r="AP2581" s="4">
        <v>8</v>
      </c>
      <c r="AQ2581" s="4">
        <v>8</v>
      </c>
      <c r="AR2581" s="3" t="s">
        <v>65</v>
      </c>
      <c r="AS2581" s="3" t="s">
        <v>65</v>
      </c>
      <c r="AT2581" s="3" t="s">
        <v>209</v>
      </c>
      <c r="AU2581" s="6" t="str">
        <f>HYPERLINK("http://catalog.hathitrust.org/Record/000632371","HathiTrust Record")</f>
        <v>HathiTrust Record</v>
      </c>
      <c r="AV2581" s="6" t="str">
        <f>HYPERLINK("http://mcgill.on.worldcat.org/oclc/9698117","Catalog Record")</f>
        <v>Catalog Record</v>
      </c>
      <c r="AW2581" s="6" t="str">
        <f>HYPERLINK("http://www.worldcat.org/oclc/9698117","WorldCat Record")</f>
        <v>WorldCat Record</v>
      </c>
      <c r="AX2581" s="3" t="s">
        <v>25482</v>
      </c>
      <c r="AY2581" s="3" t="s">
        <v>25483</v>
      </c>
      <c r="AZ2581" s="3" t="s">
        <v>25484</v>
      </c>
      <c r="BA2581" s="3" t="s">
        <v>25484</v>
      </c>
      <c r="BB2581" s="3" t="s">
        <v>25485</v>
      </c>
      <c r="BC2581" s="3" t="s">
        <v>77</v>
      </c>
      <c r="BD2581" s="3" t="s">
        <v>78</v>
      </c>
      <c r="BF2581" s="3" t="s">
        <v>25485</v>
      </c>
      <c r="BG2581" s="3" t="s">
        <v>25486</v>
      </c>
    </row>
    <row r="2582" spans="1:59" ht="58" x14ac:dyDescent="0.35">
      <c r="A2582" s="2" t="s">
        <v>59</v>
      </c>
      <c r="B2582" s="2" t="s">
        <v>60</v>
      </c>
      <c r="C2582" s="2" t="s">
        <v>25487</v>
      </c>
      <c r="D2582" s="2" t="s">
        <v>25488</v>
      </c>
      <c r="E2582" s="2" t="s">
        <v>25489</v>
      </c>
      <c r="G2582" s="3" t="s">
        <v>65</v>
      </c>
      <c r="I2582" s="3" t="s">
        <v>65</v>
      </c>
      <c r="J2582" s="3" t="s">
        <v>65</v>
      </c>
      <c r="K2582" s="3" t="s">
        <v>66</v>
      </c>
      <c r="L2582" s="2" t="s">
        <v>25490</v>
      </c>
      <c r="M2582" s="2" t="s">
        <v>25491</v>
      </c>
      <c r="N2582" s="3" t="s">
        <v>139</v>
      </c>
      <c r="P2582" s="3" t="s">
        <v>140</v>
      </c>
      <c r="Q2582" s="2" t="s">
        <v>25492</v>
      </c>
      <c r="R2582" s="3" t="s">
        <v>71</v>
      </c>
      <c r="S2582" s="4">
        <v>0</v>
      </c>
      <c r="T2582" s="4">
        <v>0</v>
      </c>
      <c r="W2582" s="5" t="s">
        <v>72</v>
      </c>
      <c r="X2582" s="5" t="s">
        <v>72</v>
      </c>
      <c r="Y2582" s="4">
        <v>15</v>
      </c>
      <c r="Z2582" s="4">
        <v>1</v>
      </c>
      <c r="AA2582" s="4">
        <v>1</v>
      </c>
      <c r="AB2582" s="4">
        <v>1</v>
      </c>
      <c r="AC2582" s="4">
        <v>1</v>
      </c>
      <c r="AD2582" s="4">
        <v>1</v>
      </c>
      <c r="AE2582" s="4">
        <v>1</v>
      </c>
      <c r="AF2582" s="4">
        <v>0</v>
      </c>
      <c r="AG2582" s="4">
        <v>0</v>
      </c>
      <c r="AH2582" s="4">
        <v>1</v>
      </c>
      <c r="AI2582" s="4">
        <v>1</v>
      </c>
      <c r="AJ2582" s="4">
        <v>0</v>
      </c>
      <c r="AK2582" s="4">
        <v>0</v>
      </c>
      <c r="AL2582" s="4">
        <v>0</v>
      </c>
      <c r="AM2582" s="4">
        <v>0</v>
      </c>
      <c r="AN2582" s="4">
        <v>0</v>
      </c>
      <c r="AO2582" s="4">
        <v>0</v>
      </c>
      <c r="AP2582" s="4">
        <v>0</v>
      </c>
      <c r="AQ2582" s="4">
        <v>0</v>
      </c>
      <c r="AR2582" s="3" t="s">
        <v>65</v>
      </c>
      <c r="AS2582" s="3" t="s">
        <v>65</v>
      </c>
      <c r="AT2582" s="3" t="s">
        <v>65</v>
      </c>
      <c r="AV2582" s="6" t="str">
        <f>HYPERLINK("http://mcgill.on.worldcat.org/oclc/774188757","Catalog Record")</f>
        <v>Catalog Record</v>
      </c>
      <c r="AW2582" s="6" t="str">
        <f>HYPERLINK("http://www.worldcat.org/oclc/774188757","WorldCat Record")</f>
        <v>WorldCat Record</v>
      </c>
      <c r="AX2582" s="3" t="s">
        <v>25493</v>
      </c>
      <c r="AY2582" s="3" t="s">
        <v>25494</v>
      </c>
      <c r="AZ2582" s="3" t="s">
        <v>25495</v>
      </c>
      <c r="BA2582" s="3" t="s">
        <v>25495</v>
      </c>
      <c r="BB2582" s="3" t="s">
        <v>25496</v>
      </c>
      <c r="BC2582" s="3" t="s">
        <v>77</v>
      </c>
      <c r="BD2582" s="3" t="s">
        <v>78</v>
      </c>
      <c r="BE2582" s="3" t="s">
        <v>25497</v>
      </c>
      <c r="BF2582" s="3" t="s">
        <v>25496</v>
      </c>
      <c r="BG2582" s="3" t="s">
        <v>25498</v>
      </c>
    </row>
    <row r="2583" spans="1:59" ht="58" x14ac:dyDescent="0.35">
      <c r="A2583" s="2" t="s">
        <v>59</v>
      </c>
      <c r="B2583" s="2" t="s">
        <v>60</v>
      </c>
      <c r="C2583" s="2" t="s">
        <v>25499</v>
      </c>
      <c r="D2583" s="2" t="s">
        <v>25500</v>
      </c>
      <c r="E2583" s="2" t="s">
        <v>25501</v>
      </c>
      <c r="G2583" s="3" t="s">
        <v>65</v>
      </c>
      <c r="I2583" s="3" t="s">
        <v>65</v>
      </c>
      <c r="J2583" s="3" t="s">
        <v>65</v>
      </c>
      <c r="K2583" s="3" t="s">
        <v>66</v>
      </c>
      <c r="M2583" s="2" t="s">
        <v>25502</v>
      </c>
      <c r="N2583" s="3" t="s">
        <v>176</v>
      </c>
      <c r="P2583" s="3" t="s">
        <v>140</v>
      </c>
      <c r="Q2583" s="2" t="s">
        <v>25503</v>
      </c>
      <c r="R2583" s="3" t="s">
        <v>71</v>
      </c>
      <c r="S2583" s="4">
        <v>2</v>
      </c>
      <c r="T2583" s="4">
        <v>2</v>
      </c>
      <c r="U2583" s="5" t="s">
        <v>9140</v>
      </c>
      <c r="V2583" s="5" t="s">
        <v>9140</v>
      </c>
      <c r="W2583" s="5" t="s">
        <v>72</v>
      </c>
      <c r="X2583" s="5" t="s">
        <v>72</v>
      </c>
      <c r="Y2583" s="4">
        <v>31</v>
      </c>
      <c r="Z2583" s="4">
        <v>2</v>
      </c>
      <c r="AA2583" s="4">
        <v>2</v>
      </c>
      <c r="AB2583" s="4">
        <v>1</v>
      </c>
      <c r="AC2583" s="4">
        <v>1</v>
      </c>
      <c r="AD2583" s="4">
        <v>22</v>
      </c>
      <c r="AE2583" s="4">
        <v>22</v>
      </c>
      <c r="AF2583" s="4">
        <v>0</v>
      </c>
      <c r="AG2583" s="4">
        <v>0</v>
      </c>
      <c r="AH2583" s="4">
        <v>21</v>
      </c>
      <c r="AI2583" s="4">
        <v>21</v>
      </c>
      <c r="AJ2583" s="4">
        <v>1</v>
      </c>
      <c r="AK2583" s="4">
        <v>1</v>
      </c>
      <c r="AL2583" s="4">
        <v>16</v>
      </c>
      <c r="AM2583" s="4">
        <v>16</v>
      </c>
      <c r="AN2583" s="4">
        <v>0</v>
      </c>
      <c r="AO2583" s="4">
        <v>0</v>
      </c>
      <c r="AP2583" s="4">
        <v>1</v>
      </c>
      <c r="AQ2583" s="4">
        <v>1</v>
      </c>
      <c r="AR2583" s="3" t="s">
        <v>65</v>
      </c>
      <c r="AS2583" s="3" t="s">
        <v>65</v>
      </c>
      <c r="AT2583" s="3" t="s">
        <v>65</v>
      </c>
      <c r="AV2583" s="6" t="str">
        <f>HYPERLINK("http://mcgill.on.worldcat.org/oclc/918819604","Catalog Record")</f>
        <v>Catalog Record</v>
      </c>
      <c r="AW2583" s="6" t="str">
        <f>HYPERLINK("http://www.worldcat.org/oclc/918819604","WorldCat Record")</f>
        <v>WorldCat Record</v>
      </c>
      <c r="AX2583" s="3" t="s">
        <v>25504</v>
      </c>
      <c r="AY2583" s="3" t="s">
        <v>25505</v>
      </c>
      <c r="AZ2583" s="3" t="s">
        <v>25506</v>
      </c>
      <c r="BA2583" s="3" t="s">
        <v>25506</v>
      </c>
      <c r="BB2583" s="3" t="s">
        <v>25507</v>
      </c>
      <c r="BC2583" s="3" t="s">
        <v>77</v>
      </c>
      <c r="BD2583" s="3" t="s">
        <v>78</v>
      </c>
      <c r="BE2583" s="3" t="s">
        <v>25508</v>
      </c>
      <c r="BF2583" s="3" t="s">
        <v>25507</v>
      </c>
      <c r="BG2583" s="3" t="s">
        <v>25509</v>
      </c>
    </row>
    <row r="2584" spans="1:59" ht="58" x14ac:dyDescent="0.35">
      <c r="A2584" s="2" t="s">
        <v>59</v>
      </c>
      <c r="B2584" s="2" t="s">
        <v>60</v>
      </c>
      <c r="C2584" s="2" t="s">
        <v>25510</v>
      </c>
      <c r="D2584" s="2" t="s">
        <v>25511</v>
      </c>
      <c r="E2584" s="2" t="s">
        <v>25512</v>
      </c>
      <c r="G2584" s="3" t="s">
        <v>65</v>
      </c>
      <c r="I2584" s="3" t="s">
        <v>65</v>
      </c>
      <c r="J2584" s="3" t="s">
        <v>65</v>
      </c>
      <c r="K2584" s="3" t="s">
        <v>66</v>
      </c>
      <c r="L2584" s="2" t="s">
        <v>25513</v>
      </c>
      <c r="M2584" s="2" t="s">
        <v>25514</v>
      </c>
      <c r="N2584" s="3" t="s">
        <v>113</v>
      </c>
      <c r="P2584" s="3" t="s">
        <v>140</v>
      </c>
      <c r="Q2584" s="2" t="s">
        <v>25515</v>
      </c>
      <c r="R2584" s="3" t="s">
        <v>71</v>
      </c>
      <c r="S2584" s="4">
        <v>0</v>
      </c>
      <c r="T2584" s="4">
        <v>0</v>
      </c>
      <c r="W2584" s="5" t="s">
        <v>72</v>
      </c>
      <c r="X2584" s="5" t="s">
        <v>72</v>
      </c>
      <c r="Y2584" s="4">
        <v>41</v>
      </c>
      <c r="Z2584" s="4">
        <v>4</v>
      </c>
      <c r="AA2584" s="4">
        <v>4</v>
      </c>
      <c r="AB2584" s="4">
        <v>1</v>
      </c>
      <c r="AC2584" s="4">
        <v>1</v>
      </c>
      <c r="AD2584" s="4">
        <v>29</v>
      </c>
      <c r="AE2584" s="4">
        <v>29</v>
      </c>
      <c r="AF2584" s="4">
        <v>0</v>
      </c>
      <c r="AG2584" s="4">
        <v>0</v>
      </c>
      <c r="AH2584" s="4">
        <v>28</v>
      </c>
      <c r="AI2584" s="4">
        <v>28</v>
      </c>
      <c r="AJ2584" s="4">
        <v>2</v>
      </c>
      <c r="AK2584" s="4">
        <v>2</v>
      </c>
      <c r="AL2584" s="4">
        <v>23</v>
      </c>
      <c r="AM2584" s="4">
        <v>23</v>
      </c>
      <c r="AN2584" s="4">
        <v>5</v>
      </c>
      <c r="AO2584" s="4">
        <v>5</v>
      </c>
      <c r="AP2584" s="4">
        <v>2</v>
      </c>
      <c r="AQ2584" s="4">
        <v>2</v>
      </c>
      <c r="AR2584" s="3" t="s">
        <v>65</v>
      </c>
      <c r="AS2584" s="3" t="s">
        <v>65</v>
      </c>
      <c r="AT2584" s="3" t="s">
        <v>209</v>
      </c>
      <c r="AU2584" s="6" t="str">
        <f>HYPERLINK("http://catalog.hathitrust.org/Record/011228661","HathiTrust Record")</f>
        <v>HathiTrust Record</v>
      </c>
      <c r="AV2584" s="6" t="str">
        <f>HYPERLINK("http://mcgill.on.worldcat.org/oclc/658004046","Catalog Record")</f>
        <v>Catalog Record</v>
      </c>
      <c r="AW2584" s="6" t="str">
        <f>HYPERLINK("http://www.worldcat.org/oclc/658004046","WorldCat Record")</f>
        <v>WorldCat Record</v>
      </c>
      <c r="AX2584" s="3" t="s">
        <v>25516</v>
      </c>
      <c r="AY2584" s="3" t="s">
        <v>25517</v>
      </c>
      <c r="AZ2584" s="3" t="s">
        <v>25518</v>
      </c>
      <c r="BA2584" s="3" t="s">
        <v>25518</v>
      </c>
      <c r="BB2584" s="3" t="s">
        <v>25519</v>
      </c>
      <c r="BC2584" s="3" t="s">
        <v>77</v>
      </c>
      <c r="BD2584" s="3" t="s">
        <v>78</v>
      </c>
      <c r="BE2584" s="3" t="s">
        <v>25520</v>
      </c>
      <c r="BF2584" s="3" t="s">
        <v>25519</v>
      </c>
      <c r="BG2584" s="3" t="s">
        <v>25521</v>
      </c>
    </row>
    <row r="2585" spans="1:59" ht="58" x14ac:dyDescent="0.35">
      <c r="A2585" s="2" t="s">
        <v>59</v>
      </c>
      <c r="B2585" s="2" t="s">
        <v>60</v>
      </c>
      <c r="C2585" s="2" t="s">
        <v>25522</v>
      </c>
      <c r="D2585" s="2" t="s">
        <v>25523</v>
      </c>
      <c r="E2585" s="2" t="s">
        <v>25524</v>
      </c>
      <c r="G2585" s="3" t="s">
        <v>65</v>
      </c>
      <c r="I2585" s="3" t="s">
        <v>65</v>
      </c>
      <c r="J2585" s="3" t="s">
        <v>65</v>
      </c>
      <c r="K2585" s="3" t="s">
        <v>66</v>
      </c>
      <c r="L2585" s="2" t="s">
        <v>25513</v>
      </c>
      <c r="M2585" s="2" t="s">
        <v>25525</v>
      </c>
      <c r="N2585" s="3" t="s">
        <v>113</v>
      </c>
      <c r="O2585" s="2" t="s">
        <v>365</v>
      </c>
      <c r="P2585" s="3" t="s">
        <v>140</v>
      </c>
      <c r="Q2585" s="2" t="s">
        <v>25526</v>
      </c>
      <c r="R2585" s="3" t="s">
        <v>71</v>
      </c>
      <c r="S2585" s="4">
        <v>0</v>
      </c>
      <c r="T2585" s="4">
        <v>0</v>
      </c>
      <c r="W2585" s="5" t="s">
        <v>72</v>
      </c>
      <c r="X2585" s="5" t="s">
        <v>72</v>
      </c>
      <c r="Y2585" s="4">
        <v>49</v>
      </c>
      <c r="Z2585" s="4">
        <v>4</v>
      </c>
      <c r="AA2585" s="4">
        <v>4</v>
      </c>
      <c r="AB2585" s="4">
        <v>1</v>
      </c>
      <c r="AC2585" s="4">
        <v>1</v>
      </c>
      <c r="AD2585" s="4">
        <v>34</v>
      </c>
      <c r="AE2585" s="4">
        <v>34</v>
      </c>
      <c r="AF2585" s="4">
        <v>0</v>
      </c>
      <c r="AG2585" s="4">
        <v>0</v>
      </c>
      <c r="AH2585" s="4">
        <v>33</v>
      </c>
      <c r="AI2585" s="4">
        <v>33</v>
      </c>
      <c r="AJ2585" s="4">
        <v>2</v>
      </c>
      <c r="AK2585" s="4">
        <v>2</v>
      </c>
      <c r="AL2585" s="4">
        <v>27</v>
      </c>
      <c r="AM2585" s="4">
        <v>27</v>
      </c>
      <c r="AN2585" s="4">
        <v>0</v>
      </c>
      <c r="AO2585" s="4">
        <v>0</v>
      </c>
      <c r="AP2585" s="4">
        <v>2</v>
      </c>
      <c r="AQ2585" s="4">
        <v>2</v>
      </c>
      <c r="AR2585" s="3" t="s">
        <v>65</v>
      </c>
      <c r="AS2585" s="3" t="s">
        <v>65</v>
      </c>
      <c r="AT2585" s="3" t="s">
        <v>65</v>
      </c>
      <c r="AV2585" s="6" t="str">
        <f>HYPERLINK("http://mcgill.on.worldcat.org/oclc/682881750","Catalog Record")</f>
        <v>Catalog Record</v>
      </c>
      <c r="AW2585" s="6" t="str">
        <f>HYPERLINK("http://www.worldcat.org/oclc/682881750","WorldCat Record")</f>
        <v>WorldCat Record</v>
      </c>
      <c r="AX2585" s="3" t="s">
        <v>25527</v>
      </c>
      <c r="AY2585" s="3" t="s">
        <v>25528</v>
      </c>
      <c r="AZ2585" s="3" t="s">
        <v>25529</v>
      </c>
      <c r="BA2585" s="3" t="s">
        <v>25529</v>
      </c>
      <c r="BB2585" s="3" t="s">
        <v>25530</v>
      </c>
      <c r="BC2585" s="3" t="s">
        <v>77</v>
      </c>
      <c r="BD2585" s="3" t="s">
        <v>78</v>
      </c>
      <c r="BE2585" s="3" t="s">
        <v>25531</v>
      </c>
      <c r="BF2585" s="3" t="s">
        <v>25530</v>
      </c>
      <c r="BG2585" s="3" t="s">
        <v>25532</v>
      </c>
    </row>
    <row r="2586" spans="1:59" ht="72.5" x14ac:dyDescent="0.35">
      <c r="A2586" s="2" t="s">
        <v>59</v>
      </c>
      <c r="B2586" s="2" t="s">
        <v>60</v>
      </c>
      <c r="C2586" s="2" t="s">
        <v>25533</v>
      </c>
      <c r="D2586" s="2" t="s">
        <v>25534</v>
      </c>
      <c r="E2586" s="2" t="s">
        <v>25535</v>
      </c>
      <c r="G2586" s="3" t="s">
        <v>65</v>
      </c>
      <c r="I2586" s="3" t="s">
        <v>65</v>
      </c>
      <c r="J2586" s="3" t="s">
        <v>65</v>
      </c>
      <c r="K2586" s="3" t="s">
        <v>66</v>
      </c>
      <c r="L2586" s="2" t="s">
        <v>19646</v>
      </c>
      <c r="M2586" s="2" t="s">
        <v>25536</v>
      </c>
      <c r="N2586" s="3" t="s">
        <v>139</v>
      </c>
      <c r="P2586" s="3" t="s">
        <v>140</v>
      </c>
      <c r="Q2586" s="2" t="s">
        <v>25537</v>
      </c>
      <c r="R2586" s="3" t="s">
        <v>71</v>
      </c>
      <c r="S2586" s="4">
        <v>0</v>
      </c>
      <c r="T2586" s="4">
        <v>0</v>
      </c>
      <c r="W2586" s="5" t="s">
        <v>72</v>
      </c>
      <c r="X2586" s="5" t="s">
        <v>72</v>
      </c>
      <c r="Y2586" s="4">
        <v>26</v>
      </c>
      <c r="Z2586" s="4">
        <v>3</v>
      </c>
      <c r="AA2586" s="4">
        <v>3</v>
      </c>
      <c r="AB2586" s="4">
        <v>1</v>
      </c>
      <c r="AC2586" s="4">
        <v>1</v>
      </c>
      <c r="AD2586" s="4">
        <v>18</v>
      </c>
      <c r="AE2586" s="4">
        <v>18</v>
      </c>
      <c r="AF2586" s="4">
        <v>0</v>
      </c>
      <c r="AG2586" s="4">
        <v>0</v>
      </c>
      <c r="AH2586" s="4">
        <v>17</v>
      </c>
      <c r="AI2586" s="4">
        <v>17</v>
      </c>
      <c r="AJ2586" s="4">
        <v>1</v>
      </c>
      <c r="AK2586" s="4">
        <v>1</v>
      </c>
      <c r="AL2586" s="4">
        <v>15</v>
      </c>
      <c r="AM2586" s="4">
        <v>15</v>
      </c>
      <c r="AN2586" s="4">
        <v>0</v>
      </c>
      <c r="AO2586" s="4">
        <v>0</v>
      </c>
      <c r="AP2586" s="4">
        <v>1</v>
      </c>
      <c r="AQ2586" s="4">
        <v>1</v>
      </c>
      <c r="AR2586" s="3" t="s">
        <v>65</v>
      </c>
      <c r="AS2586" s="3" t="s">
        <v>65</v>
      </c>
      <c r="AT2586" s="3" t="s">
        <v>65</v>
      </c>
      <c r="AV2586" s="6" t="str">
        <f>HYPERLINK("http://mcgill.on.worldcat.org/oclc/830363098","Catalog Record")</f>
        <v>Catalog Record</v>
      </c>
      <c r="AW2586" s="6" t="str">
        <f>HYPERLINK("http://www.worldcat.org/oclc/830363098","WorldCat Record")</f>
        <v>WorldCat Record</v>
      </c>
      <c r="AX2586" s="3" t="s">
        <v>25538</v>
      </c>
      <c r="AY2586" s="3" t="s">
        <v>25539</v>
      </c>
      <c r="AZ2586" s="3" t="s">
        <v>25540</v>
      </c>
      <c r="BA2586" s="3" t="s">
        <v>25540</v>
      </c>
      <c r="BB2586" s="3" t="s">
        <v>25541</v>
      </c>
      <c r="BC2586" s="3" t="s">
        <v>77</v>
      </c>
      <c r="BD2586" s="3" t="s">
        <v>78</v>
      </c>
      <c r="BE2586" s="3" t="s">
        <v>25542</v>
      </c>
      <c r="BF2586" s="3" t="s">
        <v>25541</v>
      </c>
      <c r="BG2586" s="3" t="s">
        <v>25543</v>
      </c>
    </row>
    <row r="2587" spans="1:59" ht="58" x14ac:dyDescent="0.35">
      <c r="A2587" s="2" t="s">
        <v>59</v>
      </c>
      <c r="B2587" s="2" t="s">
        <v>60</v>
      </c>
      <c r="C2587" s="2" t="s">
        <v>25544</v>
      </c>
      <c r="D2587" s="2" t="s">
        <v>25545</v>
      </c>
      <c r="E2587" s="2" t="s">
        <v>25546</v>
      </c>
      <c r="G2587" s="3" t="s">
        <v>65</v>
      </c>
      <c r="I2587" s="3" t="s">
        <v>65</v>
      </c>
      <c r="J2587" s="3" t="s">
        <v>65</v>
      </c>
      <c r="K2587" s="3" t="s">
        <v>66</v>
      </c>
      <c r="L2587" s="2" t="s">
        <v>25547</v>
      </c>
      <c r="M2587" s="2" t="s">
        <v>20832</v>
      </c>
      <c r="N2587" s="3" t="s">
        <v>188</v>
      </c>
      <c r="O2587" s="2" t="s">
        <v>1410</v>
      </c>
      <c r="P2587" s="3" t="s">
        <v>140</v>
      </c>
      <c r="Q2587" s="2" t="s">
        <v>25548</v>
      </c>
      <c r="R2587" s="3" t="s">
        <v>71</v>
      </c>
      <c r="S2587" s="4">
        <v>0</v>
      </c>
      <c r="T2587" s="4">
        <v>0</v>
      </c>
      <c r="W2587" s="5" t="s">
        <v>72</v>
      </c>
      <c r="X2587" s="5" t="s">
        <v>72</v>
      </c>
      <c r="Y2587" s="4">
        <v>34</v>
      </c>
      <c r="Z2587" s="4">
        <v>2</v>
      </c>
      <c r="AA2587" s="4">
        <v>2</v>
      </c>
      <c r="AB2587" s="4">
        <v>1</v>
      </c>
      <c r="AC2587" s="4">
        <v>1</v>
      </c>
      <c r="AD2587" s="4">
        <v>23</v>
      </c>
      <c r="AE2587" s="4">
        <v>23</v>
      </c>
      <c r="AF2587" s="4">
        <v>0</v>
      </c>
      <c r="AG2587" s="4">
        <v>0</v>
      </c>
      <c r="AH2587" s="4">
        <v>22</v>
      </c>
      <c r="AI2587" s="4">
        <v>22</v>
      </c>
      <c r="AJ2587" s="4">
        <v>1</v>
      </c>
      <c r="AK2587" s="4">
        <v>1</v>
      </c>
      <c r="AL2587" s="4">
        <v>18</v>
      </c>
      <c r="AM2587" s="4">
        <v>18</v>
      </c>
      <c r="AN2587" s="4">
        <v>0</v>
      </c>
      <c r="AO2587" s="4">
        <v>0</v>
      </c>
      <c r="AP2587" s="4">
        <v>1</v>
      </c>
      <c r="AQ2587" s="4">
        <v>1</v>
      </c>
      <c r="AR2587" s="3" t="s">
        <v>65</v>
      </c>
      <c r="AS2587" s="3" t="s">
        <v>65</v>
      </c>
      <c r="AT2587" s="3" t="s">
        <v>65</v>
      </c>
      <c r="AV2587" s="6" t="str">
        <f>HYPERLINK("http://mcgill.on.worldcat.org/oclc/994728968","Catalog Record")</f>
        <v>Catalog Record</v>
      </c>
      <c r="AW2587" s="6" t="str">
        <f>HYPERLINK("http://www.worldcat.org/oclc/994728968","WorldCat Record")</f>
        <v>WorldCat Record</v>
      </c>
      <c r="AX2587" s="3" t="s">
        <v>25549</v>
      </c>
      <c r="AY2587" s="3" t="s">
        <v>25550</v>
      </c>
      <c r="AZ2587" s="3" t="s">
        <v>25551</v>
      </c>
      <c r="BA2587" s="3" t="s">
        <v>25551</v>
      </c>
      <c r="BB2587" s="3" t="s">
        <v>25552</v>
      </c>
      <c r="BC2587" s="3" t="s">
        <v>77</v>
      </c>
      <c r="BD2587" s="3" t="s">
        <v>78</v>
      </c>
      <c r="BE2587" s="3" t="s">
        <v>25553</v>
      </c>
      <c r="BF2587" s="3" t="s">
        <v>25552</v>
      </c>
      <c r="BG2587" s="3" t="s">
        <v>25554</v>
      </c>
    </row>
    <row r="2588" spans="1:59" ht="58" x14ac:dyDescent="0.35">
      <c r="A2588" s="2" t="s">
        <v>59</v>
      </c>
      <c r="B2588" s="2" t="s">
        <v>60</v>
      </c>
      <c r="C2588" s="2" t="s">
        <v>25555</v>
      </c>
      <c r="D2588" s="2" t="s">
        <v>25556</v>
      </c>
      <c r="E2588" s="2" t="s">
        <v>25557</v>
      </c>
      <c r="G2588" s="3" t="s">
        <v>65</v>
      </c>
      <c r="I2588" s="3" t="s">
        <v>65</v>
      </c>
      <c r="J2588" s="3" t="s">
        <v>65</v>
      </c>
      <c r="K2588" s="3" t="s">
        <v>66</v>
      </c>
      <c r="L2588" s="2" t="s">
        <v>21310</v>
      </c>
      <c r="M2588" s="2" t="s">
        <v>2256</v>
      </c>
      <c r="N2588" s="3" t="s">
        <v>126</v>
      </c>
      <c r="O2588" s="2" t="s">
        <v>654</v>
      </c>
      <c r="P2588" s="3" t="s">
        <v>140</v>
      </c>
      <c r="Q2588" s="2" t="s">
        <v>21311</v>
      </c>
      <c r="R2588" s="3" t="s">
        <v>71</v>
      </c>
      <c r="S2588" s="4">
        <v>0</v>
      </c>
      <c r="T2588" s="4">
        <v>0</v>
      </c>
      <c r="W2588" s="5" t="s">
        <v>72</v>
      </c>
      <c r="X2588" s="5" t="s">
        <v>72</v>
      </c>
      <c r="Y2588" s="4">
        <v>23</v>
      </c>
      <c r="Z2588" s="4">
        <v>4</v>
      </c>
      <c r="AA2588" s="4">
        <v>4</v>
      </c>
      <c r="AB2588" s="4">
        <v>1</v>
      </c>
      <c r="AC2588" s="4">
        <v>1</v>
      </c>
      <c r="AD2588" s="4">
        <v>16</v>
      </c>
      <c r="AE2588" s="4">
        <v>16</v>
      </c>
      <c r="AF2588" s="4">
        <v>0</v>
      </c>
      <c r="AG2588" s="4">
        <v>0</v>
      </c>
      <c r="AH2588" s="4">
        <v>16</v>
      </c>
      <c r="AI2588" s="4">
        <v>16</v>
      </c>
      <c r="AJ2588" s="4">
        <v>2</v>
      </c>
      <c r="AK2588" s="4">
        <v>2</v>
      </c>
      <c r="AL2588" s="4">
        <v>9</v>
      </c>
      <c r="AM2588" s="4">
        <v>9</v>
      </c>
      <c r="AN2588" s="4">
        <v>0</v>
      </c>
      <c r="AO2588" s="4">
        <v>0</v>
      </c>
      <c r="AP2588" s="4">
        <v>2</v>
      </c>
      <c r="AQ2588" s="4">
        <v>2</v>
      </c>
      <c r="AR2588" s="3" t="s">
        <v>65</v>
      </c>
      <c r="AS2588" s="3" t="s">
        <v>65</v>
      </c>
      <c r="AT2588" s="3" t="s">
        <v>65</v>
      </c>
      <c r="AV2588" s="6" t="str">
        <f>HYPERLINK("http://mcgill.on.worldcat.org/oclc/760053799","Catalog Record")</f>
        <v>Catalog Record</v>
      </c>
      <c r="AW2588" s="6" t="str">
        <f>HYPERLINK("http://www.worldcat.org/oclc/760053799","WorldCat Record")</f>
        <v>WorldCat Record</v>
      </c>
      <c r="AX2588" s="3" t="s">
        <v>25558</v>
      </c>
      <c r="AY2588" s="3" t="s">
        <v>25559</v>
      </c>
      <c r="AZ2588" s="3" t="s">
        <v>25560</v>
      </c>
      <c r="BA2588" s="3" t="s">
        <v>25560</v>
      </c>
      <c r="BB2588" s="3" t="s">
        <v>25561</v>
      </c>
      <c r="BC2588" s="3" t="s">
        <v>77</v>
      </c>
      <c r="BD2588" s="3" t="s">
        <v>78</v>
      </c>
      <c r="BE2588" s="3" t="s">
        <v>25562</v>
      </c>
      <c r="BF2588" s="3" t="s">
        <v>25561</v>
      </c>
      <c r="BG2588" s="3" t="s">
        <v>25563</v>
      </c>
    </row>
    <row r="2589" spans="1:59" ht="58" x14ac:dyDescent="0.35">
      <c r="A2589" s="2" t="s">
        <v>59</v>
      </c>
      <c r="B2589" s="2" t="s">
        <v>60</v>
      </c>
      <c r="C2589" s="2" t="s">
        <v>25564</v>
      </c>
      <c r="D2589" s="2" t="s">
        <v>25565</v>
      </c>
      <c r="E2589" s="2" t="s">
        <v>25566</v>
      </c>
      <c r="G2589" s="3" t="s">
        <v>65</v>
      </c>
      <c r="I2589" s="3" t="s">
        <v>65</v>
      </c>
      <c r="J2589" s="3" t="s">
        <v>65</v>
      </c>
      <c r="K2589" s="3" t="s">
        <v>66</v>
      </c>
      <c r="M2589" s="2" t="s">
        <v>3017</v>
      </c>
      <c r="N2589" s="3" t="s">
        <v>113</v>
      </c>
      <c r="O2589" s="2" t="s">
        <v>365</v>
      </c>
      <c r="P2589" s="3" t="s">
        <v>140</v>
      </c>
      <c r="Q2589" s="2" t="s">
        <v>25567</v>
      </c>
      <c r="R2589" s="3" t="s">
        <v>71</v>
      </c>
      <c r="S2589" s="4">
        <v>0</v>
      </c>
      <c r="T2589" s="4">
        <v>0</v>
      </c>
      <c r="W2589" s="5" t="s">
        <v>72</v>
      </c>
      <c r="X2589" s="5" t="s">
        <v>72</v>
      </c>
      <c r="Y2589" s="4">
        <v>37</v>
      </c>
      <c r="Z2589" s="4">
        <v>3</v>
      </c>
      <c r="AA2589" s="4">
        <v>3</v>
      </c>
      <c r="AB2589" s="4">
        <v>1</v>
      </c>
      <c r="AC2589" s="4">
        <v>1</v>
      </c>
      <c r="AD2589" s="4">
        <v>27</v>
      </c>
      <c r="AE2589" s="4">
        <v>27</v>
      </c>
      <c r="AF2589" s="4">
        <v>0</v>
      </c>
      <c r="AG2589" s="4">
        <v>0</v>
      </c>
      <c r="AH2589" s="4">
        <v>26</v>
      </c>
      <c r="AI2589" s="4">
        <v>26</v>
      </c>
      <c r="AJ2589" s="4">
        <v>1</v>
      </c>
      <c r="AK2589" s="4">
        <v>1</v>
      </c>
      <c r="AL2589" s="4">
        <v>22</v>
      </c>
      <c r="AM2589" s="4">
        <v>22</v>
      </c>
      <c r="AN2589" s="4">
        <v>0</v>
      </c>
      <c r="AO2589" s="4">
        <v>0</v>
      </c>
      <c r="AP2589" s="4">
        <v>1</v>
      </c>
      <c r="AQ2589" s="4">
        <v>1</v>
      </c>
      <c r="AR2589" s="3" t="s">
        <v>65</v>
      </c>
      <c r="AS2589" s="3" t="s">
        <v>65</v>
      </c>
      <c r="AT2589" s="3" t="s">
        <v>65</v>
      </c>
      <c r="AV2589" s="6" t="str">
        <f>HYPERLINK("http://mcgill.on.worldcat.org/oclc/607965483","Catalog Record")</f>
        <v>Catalog Record</v>
      </c>
      <c r="AW2589" s="6" t="str">
        <f>HYPERLINK("http://www.worldcat.org/oclc/607965483","WorldCat Record")</f>
        <v>WorldCat Record</v>
      </c>
      <c r="AX2589" s="3" t="s">
        <v>25568</v>
      </c>
      <c r="AY2589" s="3" t="s">
        <v>25569</v>
      </c>
      <c r="AZ2589" s="3" t="s">
        <v>25570</v>
      </c>
      <c r="BA2589" s="3" t="s">
        <v>25570</v>
      </c>
      <c r="BB2589" s="3" t="s">
        <v>25571</v>
      </c>
      <c r="BC2589" s="3" t="s">
        <v>77</v>
      </c>
      <c r="BD2589" s="3" t="s">
        <v>78</v>
      </c>
      <c r="BE2589" s="3" t="s">
        <v>25572</v>
      </c>
      <c r="BF2589" s="3" t="s">
        <v>25571</v>
      </c>
      <c r="BG2589" s="3" t="s">
        <v>25573</v>
      </c>
    </row>
    <row r="2590" spans="1:59" ht="58" x14ac:dyDescent="0.35">
      <c r="A2590" s="2" t="s">
        <v>59</v>
      </c>
      <c r="B2590" s="2" t="s">
        <v>60</v>
      </c>
      <c r="C2590" s="2" t="s">
        <v>25574</v>
      </c>
      <c r="D2590" s="2" t="s">
        <v>25575</v>
      </c>
      <c r="E2590" s="2" t="s">
        <v>25576</v>
      </c>
      <c r="G2590" s="3" t="s">
        <v>65</v>
      </c>
      <c r="I2590" s="3" t="s">
        <v>65</v>
      </c>
      <c r="J2590" s="3" t="s">
        <v>65</v>
      </c>
      <c r="K2590" s="3" t="s">
        <v>66</v>
      </c>
      <c r="L2590" s="2" t="s">
        <v>25577</v>
      </c>
      <c r="M2590" s="2" t="s">
        <v>25578</v>
      </c>
      <c r="N2590" s="3" t="s">
        <v>164</v>
      </c>
      <c r="P2590" s="3" t="s">
        <v>140</v>
      </c>
      <c r="Q2590" s="2" t="s">
        <v>25579</v>
      </c>
      <c r="R2590" s="3" t="s">
        <v>71</v>
      </c>
      <c r="S2590" s="4">
        <v>0</v>
      </c>
      <c r="T2590" s="4">
        <v>0</v>
      </c>
      <c r="W2590" s="5" t="s">
        <v>72</v>
      </c>
      <c r="X2590" s="5" t="s">
        <v>72</v>
      </c>
      <c r="Y2590" s="4">
        <v>33</v>
      </c>
      <c r="Z2590" s="4">
        <v>3</v>
      </c>
      <c r="AA2590" s="4">
        <v>3</v>
      </c>
      <c r="AB2590" s="4">
        <v>1</v>
      </c>
      <c r="AC2590" s="4">
        <v>1</v>
      </c>
      <c r="AD2590" s="4">
        <v>27</v>
      </c>
      <c r="AE2590" s="4">
        <v>27</v>
      </c>
      <c r="AF2590" s="4">
        <v>0</v>
      </c>
      <c r="AG2590" s="4">
        <v>0</v>
      </c>
      <c r="AH2590" s="4">
        <v>26</v>
      </c>
      <c r="AI2590" s="4">
        <v>26</v>
      </c>
      <c r="AJ2590" s="4">
        <v>1</v>
      </c>
      <c r="AK2590" s="4">
        <v>1</v>
      </c>
      <c r="AL2590" s="4">
        <v>23</v>
      </c>
      <c r="AM2590" s="4">
        <v>23</v>
      </c>
      <c r="AN2590" s="4">
        <v>0</v>
      </c>
      <c r="AO2590" s="4">
        <v>0</v>
      </c>
      <c r="AP2590" s="4">
        <v>1</v>
      </c>
      <c r="AQ2590" s="4">
        <v>1</v>
      </c>
      <c r="AR2590" s="3" t="s">
        <v>65</v>
      </c>
      <c r="AS2590" s="3" t="s">
        <v>65</v>
      </c>
      <c r="AT2590" s="3" t="s">
        <v>65</v>
      </c>
      <c r="AV2590" s="6" t="str">
        <f>HYPERLINK("http://mcgill.on.worldcat.org/oclc/905852633","Catalog Record")</f>
        <v>Catalog Record</v>
      </c>
      <c r="AW2590" s="6" t="str">
        <f>HYPERLINK("http://www.worldcat.org/oclc/905852633","WorldCat Record")</f>
        <v>WorldCat Record</v>
      </c>
      <c r="AX2590" s="3" t="s">
        <v>25580</v>
      </c>
      <c r="AY2590" s="3" t="s">
        <v>25581</v>
      </c>
      <c r="AZ2590" s="3" t="s">
        <v>25582</v>
      </c>
      <c r="BA2590" s="3" t="s">
        <v>25582</v>
      </c>
      <c r="BB2590" s="3" t="s">
        <v>25583</v>
      </c>
      <c r="BC2590" s="3" t="s">
        <v>77</v>
      </c>
      <c r="BD2590" s="3" t="s">
        <v>78</v>
      </c>
      <c r="BE2590" s="3" t="s">
        <v>25584</v>
      </c>
      <c r="BF2590" s="3" t="s">
        <v>25583</v>
      </c>
      <c r="BG2590" s="3" t="s">
        <v>25585</v>
      </c>
    </row>
    <row r="2591" spans="1:59" ht="58" x14ac:dyDescent="0.35">
      <c r="A2591" s="2" t="s">
        <v>59</v>
      </c>
      <c r="B2591" s="2" t="s">
        <v>60</v>
      </c>
      <c r="C2591" s="2" t="s">
        <v>25586</v>
      </c>
      <c r="D2591" s="2" t="s">
        <v>25587</v>
      </c>
      <c r="E2591" s="2" t="s">
        <v>25588</v>
      </c>
      <c r="G2591" s="3" t="s">
        <v>65</v>
      </c>
      <c r="I2591" s="3" t="s">
        <v>65</v>
      </c>
      <c r="J2591" s="3" t="s">
        <v>65</v>
      </c>
      <c r="K2591" s="3" t="s">
        <v>66</v>
      </c>
      <c r="L2591" s="2" t="s">
        <v>25589</v>
      </c>
      <c r="M2591" s="2" t="s">
        <v>25590</v>
      </c>
      <c r="N2591" s="3" t="s">
        <v>139</v>
      </c>
      <c r="P2591" s="3" t="s">
        <v>140</v>
      </c>
      <c r="R2591" s="3" t="s">
        <v>71</v>
      </c>
      <c r="S2591" s="4">
        <v>0</v>
      </c>
      <c r="T2591" s="4">
        <v>0</v>
      </c>
      <c r="W2591" s="5" t="s">
        <v>72</v>
      </c>
      <c r="X2591" s="5" t="s">
        <v>72</v>
      </c>
      <c r="Y2591" s="4">
        <v>11</v>
      </c>
      <c r="Z2591" s="4">
        <v>1</v>
      </c>
      <c r="AA2591" s="4">
        <v>1</v>
      </c>
      <c r="AB2591" s="4">
        <v>1</v>
      </c>
      <c r="AC2591" s="4">
        <v>1</v>
      </c>
      <c r="AD2591" s="4">
        <v>4</v>
      </c>
      <c r="AE2591" s="4">
        <v>4</v>
      </c>
      <c r="AF2591" s="4">
        <v>0</v>
      </c>
      <c r="AG2591" s="4">
        <v>0</v>
      </c>
      <c r="AH2591" s="4">
        <v>4</v>
      </c>
      <c r="AI2591" s="4">
        <v>4</v>
      </c>
      <c r="AJ2591" s="4">
        <v>0</v>
      </c>
      <c r="AK2591" s="4">
        <v>0</v>
      </c>
      <c r="AL2591" s="4">
        <v>3</v>
      </c>
      <c r="AM2591" s="4">
        <v>3</v>
      </c>
      <c r="AN2591" s="4">
        <v>0</v>
      </c>
      <c r="AO2591" s="4">
        <v>0</v>
      </c>
      <c r="AP2591" s="4">
        <v>0</v>
      </c>
      <c r="AQ2591" s="4">
        <v>0</v>
      </c>
      <c r="AR2591" s="3" t="s">
        <v>65</v>
      </c>
      <c r="AS2591" s="3" t="s">
        <v>65</v>
      </c>
      <c r="AT2591" s="3" t="s">
        <v>65</v>
      </c>
      <c r="AV2591" s="6" t="str">
        <f>HYPERLINK("http://mcgill.on.worldcat.org/oclc/794703729","Catalog Record")</f>
        <v>Catalog Record</v>
      </c>
      <c r="AW2591" s="6" t="str">
        <f>HYPERLINK("http://www.worldcat.org/oclc/794703729","WorldCat Record")</f>
        <v>WorldCat Record</v>
      </c>
      <c r="AX2591" s="3" t="s">
        <v>25591</v>
      </c>
      <c r="AY2591" s="3" t="s">
        <v>25592</v>
      </c>
      <c r="AZ2591" s="3" t="s">
        <v>25593</v>
      </c>
      <c r="BA2591" s="3" t="s">
        <v>25593</v>
      </c>
      <c r="BB2591" s="3" t="s">
        <v>25594</v>
      </c>
      <c r="BC2591" s="3" t="s">
        <v>77</v>
      </c>
      <c r="BD2591" s="3" t="s">
        <v>78</v>
      </c>
      <c r="BE2591" s="3" t="s">
        <v>25595</v>
      </c>
      <c r="BF2591" s="3" t="s">
        <v>25594</v>
      </c>
      <c r="BG2591" s="3" t="s">
        <v>25596</v>
      </c>
    </row>
    <row r="2592" spans="1:59" ht="58" x14ac:dyDescent="0.35">
      <c r="A2592" s="2" t="s">
        <v>59</v>
      </c>
      <c r="B2592" s="2" t="s">
        <v>60</v>
      </c>
      <c r="C2592" s="2" t="s">
        <v>25597</v>
      </c>
      <c r="D2592" s="2" t="s">
        <v>25598</v>
      </c>
      <c r="E2592" s="2" t="s">
        <v>25599</v>
      </c>
      <c r="G2592" s="3" t="s">
        <v>65</v>
      </c>
      <c r="I2592" s="3" t="s">
        <v>65</v>
      </c>
      <c r="J2592" s="3" t="s">
        <v>65</v>
      </c>
      <c r="K2592" s="3" t="s">
        <v>66</v>
      </c>
      <c r="L2592" s="2" t="s">
        <v>25600</v>
      </c>
      <c r="M2592" s="2" t="s">
        <v>25601</v>
      </c>
      <c r="N2592" s="3" t="s">
        <v>139</v>
      </c>
      <c r="P2592" s="3" t="s">
        <v>140</v>
      </c>
      <c r="Q2592" s="2" t="s">
        <v>25602</v>
      </c>
      <c r="R2592" s="3" t="s">
        <v>71</v>
      </c>
      <c r="S2592" s="4">
        <v>0</v>
      </c>
      <c r="T2592" s="4">
        <v>0</v>
      </c>
      <c r="W2592" s="5" t="s">
        <v>72</v>
      </c>
      <c r="X2592" s="5" t="s">
        <v>72</v>
      </c>
      <c r="Y2592" s="4">
        <v>18</v>
      </c>
      <c r="Z2592" s="4">
        <v>1</v>
      </c>
      <c r="AA2592" s="4">
        <v>1</v>
      </c>
      <c r="AB2592" s="4">
        <v>1</v>
      </c>
      <c r="AC2592" s="4">
        <v>1</v>
      </c>
      <c r="AD2592" s="4">
        <v>11</v>
      </c>
      <c r="AE2592" s="4">
        <v>11</v>
      </c>
      <c r="AF2592" s="4">
        <v>0</v>
      </c>
      <c r="AG2592" s="4">
        <v>0</v>
      </c>
      <c r="AH2592" s="4">
        <v>11</v>
      </c>
      <c r="AI2592" s="4">
        <v>11</v>
      </c>
      <c r="AJ2592" s="4">
        <v>0</v>
      </c>
      <c r="AK2592" s="4">
        <v>0</v>
      </c>
      <c r="AL2592" s="4">
        <v>9</v>
      </c>
      <c r="AM2592" s="4">
        <v>9</v>
      </c>
      <c r="AN2592" s="4">
        <v>0</v>
      </c>
      <c r="AO2592" s="4">
        <v>0</v>
      </c>
      <c r="AP2592" s="4">
        <v>0</v>
      </c>
      <c r="AQ2592" s="4">
        <v>0</v>
      </c>
      <c r="AR2592" s="3" t="s">
        <v>65</v>
      </c>
      <c r="AS2592" s="3" t="s">
        <v>65</v>
      </c>
      <c r="AT2592" s="3" t="s">
        <v>65</v>
      </c>
      <c r="AV2592" s="6" t="str">
        <f>HYPERLINK("http://mcgill.on.worldcat.org/oclc/829690610","Catalog Record")</f>
        <v>Catalog Record</v>
      </c>
      <c r="AW2592" s="6" t="str">
        <f>HYPERLINK("http://www.worldcat.org/oclc/829690610","WorldCat Record")</f>
        <v>WorldCat Record</v>
      </c>
      <c r="AX2592" s="3" t="s">
        <v>25603</v>
      </c>
      <c r="AY2592" s="3" t="s">
        <v>25604</v>
      </c>
      <c r="AZ2592" s="3" t="s">
        <v>25605</v>
      </c>
      <c r="BA2592" s="3" t="s">
        <v>25605</v>
      </c>
      <c r="BB2592" s="3" t="s">
        <v>25606</v>
      </c>
      <c r="BC2592" s="3" t="s">
        <v>77</v>
      </c>
      <c r="BD2592" s="3" t="s">
        <v>78</v>
      </c>
      <c r="BE2592" s="3" t="s">
        <v>25607</v>
      </c>
      <c r="BF2592" s="3" t="s">
        <v>25606</v>
      </c>
      <c r="BG2592" s="3" t="s">
        <v>25608</v>
      </c>
    </row>
    <row r="2593" spans="1:59" ht="72.5" x14ac:dyDescent="0.35">
      <c r="A2593" s="2" t="s">
        <v>59</v>
      </c>
      <c r="B2593" s="2" t="s">
        <v>60</v>
      </c>
      <c r="C2593" s="2" t="s">
        <v>25609</v>
      </c>
      <c r="D2593" s="2" t="s">
        <v>25610</v>
      </c>
      <c r="E2593" s="2" t="s">
        <v>25611</v>
      </c>
      <c r="F2593" s="3" t="s">
        <v>245</v>
      </c>
      <c r="G2593" s="3" t="s">
        <v>209</v>
      </c>
      <c r="I2593" s="3" t="s">
        <v>65</v>
      </c>
      <c r="J2593" s="3" t="s">
        <v>65</v>
      </c>
      <c r="K2593" s="3" t="s">
        <v>66</v>
      </c>
      <c r="L2593" s="2" t="s">
        <v>25326</v>
      </c>
      <c r="M2593" s="2" t="s">
        <v>25612</v>
      </c>
      <c r="N2593" s="3" t="s">
        <v>2460</v>
      </c>
      <c r="O2593" s="2" t="s">
        <v>365</v>
      </c>
      <c r="P2593" s="3" t="s">
        <v>140</v>
      </c>
      <c r="Q2593" s="2" t="s">
        <v>25613</v>
      </c>
      <c r="R2593" s="3" t="s">
        <v>71</v>
      </c>
      <c r="S2593" s="4">
        <v>3</v>
      </c>
      <c r="T2593" s="4">
        <v>9</v>
      </c>
      <c r="U2593" s="5" t="s">
        <v>25614</v>
      </c>
      <c r="V2593" s="5" t="s">
        <v>25614</v>
      </c>
      <c r="W2593" s="5" t="s">
        <v>72</v>
      </c>
      <c r="X2593" s="5" t="s">
        <v>72</v>
      </c>
      <c r="Y2593" s="4">
        <v>56</v>
      </c>
      <c r="Z2593" s="4">
        <v>3</v>
      </c>
      <c r="AA2593" s="4">
        <v>3</v>
      </c>
      <c r="AB2593" s="4">
        <v>1</v>
      </c>
      <c r="AC2593" s="4">
        <v>1</v>
      </c>
      <c r="AD2593" s="4">
        <v>29</v>
      </c>
      <c r="AE2593" s="4">
        <v>30</v>
      </c>
      <c r="AF2593" s="4">
        <v>0</v>
      </c>
      <c r="AG2593" s="4">
        <v>0</v>
      </c>
      <c r="AH2593" s="4">
        <v>28</v>
      </c>
      <c r="AI2593" s="4">
        <v>29</v>
      </c>
      <c r="AJ2593" s="4">
        <v>1</v>
      </c>
      <c r="AK2593" s="4">
        <v>1</v>
      </c>
      <c r="AL2593" s="4">
        <v>20</v>
      </c>
      <c r="AM2593" s="4">
        <v>21</v>
      </c>
      <c r="AN2593" s="4">
        <v>5</v>
      </c>
      <c r="AO2593" s="4">
        <v>5</v>
      </c>
      <c r="AP2593" s="4">
        <v>1</v>
      </c>
      <c r="AQ2593" s="4">
        <v>1</v>
      </c>
      <c r="AR2593" s="3" t="s">
        <v>65</v>
      </c>
      <c r="AS2593" s="3" t="s">
        <v>65</v>
      </c>
      <c r="AT2593" s="3" t="s">
        <v>209</v>
      </c>
      <c r="AU2593" s="6" t="str">
        <f>HYPERLINK("http://catalog.hathitrust.org/Record/102194494","HathiTrust Record")</f>
        <v>HathiTrust Record</v>
      </c>
      <c r="AV2593" s="6" t="str">
        <f>HYPERLINK("http://mcgill.on.worldcat.org/oclc/20855072","Catalog Record")</f>
        <v>Catalog Record</v>
      </c>
      <c r="AW2593" s="6" t="str">
        <f>HYPERLINK("http://www.worldcat.org/oclc/20855072","WorldCat Record")</f>
        <v>WorldCat Record</v>
      </c>
      <c r="AX2593" s="3" t="s">
        <v>25615</v>
      </c>
      <c r="AY2593" s="3" t="s">
        <v>25616</v>
      </c>
      <c r="AZ2593" s="3" t="s">
        <v>25617</v>
      </c>
      <c r="BA2593" s="3" t="s">
        <v>25617</v>
      </c>
      <c r="BB2593" s="3" t="s">
        <v>25618</v>
      </c>
      <c r="BC2593" s="3" t="s">
        <v>77</v>
      </c>
      <c r="BD2593" s="3" t="s">
        <v>78</v>
      </c>
      <c r="BE2593" s="3" t="s">
        <v>25619</v>
      </c>
      <c r="BF2593" s="3" t="s">
        <v>25618</v>
      </c>
      <c r="BG2593" s="3" t="s">
        <v>25620</v>
      </c>
    </row>
    <row r="2594" spans="1:59" ht="72.5" x14ac:dyDescent="0.35">
      <c r="A2594" s="2" t="s">
        <v>59</v>
      </c>
      <c r="B2594" s="2" t="s">
        <v>60</v>
      </c>
      <c r="C2594" s="2" t="s">
        <v>25609</v>
      </c>
      <c r="D2594" s="2" t="s">
        <v>25610</v>
      </c>
      <c r="E2594" s="2" t="s">
        <v>25611</v>
      </c>
      <c r="F2594" s="3" t="s">
        <v>258</v>
      </c>
      <c r="G2594" s="3" t="s">
        <v>209</v>
      </c>
      <c r="I2594" s="3" t="s">
        <v>65</v>
      </c>
      <c r="J2594" s="3" t="s">
        <v>65</v>
      </c>
      <c r="K2594" s="3" t="s">
        <v>66</v>
      </c>
      <c r="L2594" s="2" t="s">
        <v>25326</v>
      </c>
      <c r="M2594" s="2" t="s">
        <v>25612</v>
      </c>
      <c r="N2594" s="3" t="s">
        <v>2460</v>
      </c>
      <c r="O2594" s="2" t="s">
        <v>365</v>
      </c>
      <c r="P2594" s="3" t="s">
        <v>140</v>
      </c>
      <c r="Q2594" s="2" t="s">
        <v>25613</v>
      </c>
      <c r="R2594" s="3" t="s">
        <v>71</v>
      </c>
      <c r="S2594" s="4">
        <v>6</v>
      </c>
      <c r="T2594" s="4">
        <v>9</v>
      </c>
      <c r="U2594" s="5" t="s">
        <v>25621</v>
      </c>
      <c r="V2594" s="5" t="s">
        <v>25614</v>
      </c>
      <c r="W2594" s="5" t="s">
        <v>72</v>
      </c>
      <c r="X2594" s="5" t="s">
        <v>72</v>
      </c>
      <c r="Y2594" s="4">
        <v>56</v>
      </c>
      <c r="Z2594" s="4">
        <v>3</v>
      </c>
      <c r="AA2594" s="4">
        <v>3</v>
      </c>
      <c r="AB2594" s="4">
        <v>1</v>
      </c>
      <c r="AC2594" s="4">
        <v>1</v>
      </c>
      <c r="AD2594" s="4">
        <v>29</v>
      </c>
      <c r="AE2594" s="4">
        <v>30</v>
      </c>
      <c r="AF2594" s="4">
        <v>0</v>
      </c>
      <c r="AG2594" s="4">
        <v>0</v>
      </c>
      <c r="AH2594" s="4">
        <v>28</v>
      </c>
      <c r="AI2594" s="4">
        <v>29</v>
      </c>
      <c r="AJ2594" s="4">
        <v>1</v>
      </c>
      <c r="AK2594" s="4">
        <v>1</v>
      </c>
      <c r="AL2594" s="4">
        <v>20</v>
      </c>
      <c r="AM2594" s="4">
        <v>21</v>
      </c>
      <c r="AN2594" s="4">
        <v>5</v>
      </c>
      <c r="AO2594" s="4">
        <v>5</v>
      </c>
      <c r="AP2594" s="4">
        <v>1</v>
      </c>
      <c r="AQ2594" s="4">
        <v>1</v>
      </c>
      <c r="AR2594" s="3" t="s">
        <v>65</v>
      </c>
      <c r="AS2594" s="3" t="s">
        <v>65</v>
      </c>
      <c r="AT2594" s="3" t="s">
        <v>209</v>
      </c>
      <c r="AU2594" s="6" t="str">
        <f>HYPERLINK("http://catalog.hathitrust.org/Record/102194494","HathiTrust Record")</f>
        <v>HathiTrust Record</v>
      </c>
      <c r="AV2594" s="6" t="str">
        <f>HYPERLINK("http://mcgill.on.worldcat.org/oclc/20855072","Catalog Record")</f>
        <v>Catalog Record</v>
      </c>
      <c r="AW2594" s="6" t="str">
        <f>HYPERLINK("http://www.worldcat.org/oclc/20855072","WorldCat Record")</f>
        <v>WorldCat Record</v>
      </c>
      <c r="AX2594" s="3" t="s">
        <v>25615</v>
      </c>
      <c r="AY2594" s="3" t="s">
        <v>25616</v>
      </c>
      <c r="AZ2594" s="3" t="s">
        <v>25617</v>
      </c>
      <c r="BA2594" s="3" t="s">
        <v>25617</v>
      </c>
      <c r="BB2594" s="3" t="s">
        <v>25622</v>
      </c>
      <c r="BC2594" s="3" t="s">
        <v>77</v>
      </c>
      <c r="BD2594" s="3" t="s">
        <v>78</v>
      </c>
      <c r="BE2594" s="3" t="s">
        <v>25619</v>
      </c>
      <c r="BF2594" s="3" t="s">
        <v>25622</v>
      </c>
      <c r="BG2594" s="3" t="s">
        <v>25623</v>
      </c>
    </row>
    <row r="2595" spans="1:59" ht="58" x14ac:dyDescent="0.35">
      <c r="A2595" s="2" t="s">
        <v>59</v>
      </c>
      <c r="B2595" s="2" t="s">
        <v>60</v>
      </c>
      <c r="C2595" s="2" t="s">
        <v>25624</v>
      </c>
      <c r="D2595" s="2" t="s">
        <v>25625</v>
      </c>
      <c r="E2595" s="2" t="s">
        <v>25626</v>
      </c>
      <c r="G2595" s="3" t="s">
        <v>65</v>
      </c>
      <c r="I2595" s="3" t="s">
        <v>65</v>
      </c>
      <c r="J2595" s="3" t="s">
        <v>65</v>
      </c>
      <c r="K2595" s="3" t="s">
        <v>66</v>
      </c>
      <c r="L2595" s="2" t="s">
        <v>25627</v>
      </c>
      <c r="M2595" s="2" t="s">
        <v>12855</v>
      </c>
      <c r="N2595" s="3" t="s">
        <v>139</v>
      </c>
      <c r="P2595" s="3" t="s">
        <v>140</v>
      </c>
      <c r="Q2595" s="2" t="s">
        <v>25628</v>
      </c>
      <c r="R2595" s="3" t="s">
        <v>71</v>
      </c>
      <c r="S2595" s="4">
        <v>1</v>
      </c>
      <c r="T2595" s="4">
        <v>1</v>
      </c>
      <c r="U2595" s="5" t="s">
        <v>25629</v>
      </c>
      <c r="V2595" s="5" t="s">
        <v>25629</v>
      </c>
      <c r="W2595" s="5" t="s">
        <v>72</v>
      </c>
      <c r="X2595" s="5" t="s">
        <v>72</v>
      </c>
      <c r="Y2595" s="4">
        <v>15</v>
      </c>
      <c r="Z2595" s="4">
        <v>3</v>
      </c>
      <c r="AA2595" s="4">
        <v>3</v>
      </c>
      <c r="AB2595" s="4">
        <v>1</v>
      </c>
      <c r="AC2595" s="4">
        <v>1</v>
      </c>
      <c r="AD2595" s="4">
        <v>9</v>
      </c>
      <c r="AE2595" s="4">
        <v>9</v>
      </c>
      <c r="AF2595" s="4">
        <v>0</v>
      </c>
      <c r="AG2595" s="4">
        <v>0</v>
      </c>
      <c r="AH2595" s="4">
        <v>8</v>
      </c>
      <c r="AI2595" s="4">
        <v>8</v>
      </c>
      <c r="AJ2595" s="4">
        <v>1</v>
      </c>
      <c r="AK2595" s="4">
        <v>1</v>
      </c>
      <c r="AL2595" s="4">
        <v>7</v>
      </c>
      <c r="AM2595" s="4">
        <v>7</v>
      </c>
      <c r="AN2595" s="4">
        <v>0</v>
      </c>
      <c r="AO2595" s="4">
        <v>0</v>
      </c>
      <c r="AP2595" s="4">
        <v>1</v>
      </c>
      <c r="AQ2595" s="4">
        <v>1</v>
      </c>
      <c r="AR2595" s="3" t="s">
        <v>65</v>
      </c>
      <c r="AS2595" s="3" t="s">
        <v>65</v>
      </c>
      <c r="AT2595" s="3" t="s">
        <v>65</v>
      </c>
      <c r="AV2595" s="6" t="str">
        <f>HYPERLINK("http://mcgill.on.worldcat.org/oclc/843755153","Catalog Record")</f>
        <v>Catalog Record</v>
      </c>
      <c r="AW2595" s="6" t="str">
        <f>HYPERLINK("http://www.worldcat.org/oclc/843755153","WorldCat Record")</f>
        <v>WorldCat Record</v>
      </c>
      <c r="AX2595" s="3" t="s">
        <v>25630</v>
      </c>
      <c r="AY2595" s="3" t="s">
        <v>25631</v>
      </c>
      <c r="AZ2595" s="3" t="s">
        <v>25632</v>
      </c>
      <c r="BA2595" s="3" t="s">
        <v>25632</v>
      </c>
      <c r="BB2595" s="3" t="s">
        <v>25633</v>
      </c>
      <c r="BC2595" s="3" t="s">
        <v>77</v>
      </c>
      <c r="BD2595" s="3" t="s">
        <v>78</v>
      </c>
      <c r="BE2595" s="3" t="s">
        <v>25634</v>
      </c>
      <c r="BF2595" s="3" t="s">
        <v>25633</v>
      </c>
      <c r="BG2595" s="3" t="s">
        <v>25635</v>
      </c>
    </row>
    <row r="2596" spans="1:59" ht="58" x14ac:dyDescent="0.35">
      <c r="A2596" s="2" t="s">
        <v>59</v>
      </c>
      <c r="B2596" s="2" t="s">
        <v>60</v>
      </c>
      <c r="C2596" s="2" t="s">
        <v>25636</v>
      </c>
      <c r="D2596" s="2" t="s">
        <v>25637</v>
      </c>
      <c r="E2596" s="2" t="s">
        <v>25638</v>
      </c>
      <c r="G2596" s="3" t="s">
        <v>65</v>
      </c>
      <c r="I2596" s="3" t="s">
        <v>65</v>
      </c>
      <c r="J2596" s="3" t="s">
        <v>65</v>
      </c>
      <c r="K2596" s="3" t="s">
        <v>66</v>
      </c>
      <c r="M2596" s="2" t="s">
        <v>25403</v>
      </c>
      <c r="N2596" s="3" t="s">
        <v>139</v>
      </c>
      <c r="P2596" s="3" t="s">
        <v>140</v>
      </c>
      <c r="Q2596" s="2" t="s">
        <v>25639</v>
      </c>
      <c r="R2596" s="3" t="s">
        <v>71</v>
      </c>
      <c r="S2596" s="4">
        <v>0</v>
      </c>
      <c r="T2596" s="4">
        <v>0</v>
      </c>
      <c r="W2596" s="5" t="s">
        <v>72</v>
      </c>
      <c r="X2596" s="5" t="s">
        <v>72</v>
      </c>
      <c r="Y2596" s="4">
        <v>36</v>
      </c>
      <c r="Z2596" s="4">
        <v>3</v>
      </c>
      <c r="AA2596" s="4">
        <v>4</v>
      </c>
      <c r="AB2596" s="4">
        <v>1</v>
      </c>
      <c r="AC2596" s="4">
        <v>1</v>
      </c>
      <c r="AD2596" s="4">
        <v>25</v>
      </c>
      <c r="AE2596" s="4">
        <v>28</v>
      </c>
      <c r="AF2596" s="4">
        <v>0</v>
      </c>
      <c r="AG2596" s="4">
        <v>0</v>
      </c>
      <c r="AH2596" s="4">
        <v>24</v>
      </c>
      <c r="AI2596" s="4">
        <v>27</v>
      </c>
      <c r="AJ2596" s="4">
        <v>1</v>
      </c>
      <c r="AK2596" s="4">
        <v>2</v>
      </c>
      <c r="AL2596" s="4">
        <v>21</v>
      </c>
      <c r="AM2596" s="4">
        <v>22</v>
      </c>
      <c r="AN2596" s="4">
        <v>0</v>
      </c>
      <c r="AO2596" s="4">
        <v>0</v>
      </c>
      <c r="AP2596" s="4">
        <v>1</v>
      </c>
      <c r="AQ2596" s="4">
        <v>2</v>
      </c>
      <c r="AR2596" s="3" t="s">
        <v>65</v>
      </c>
      <c r="AS2596" s="3" t="s">
        <v>65</v>
      </c>
      <c r="AT2596" s="3" t="s">
        <v>65</v>
      </c>
      <c r="AV2596" s="6" t="str">
        <f>HYPERLINK("http://mcgill.on.worldcat.org/oclc/801440130","Catalog Record")</f>
        <v>Catalog Record</v>
      </c>
      <c r="AW2596" s="6" t="str">
        <f>HYPERLINK("http://www.worldcat.org/oclc/801440130","WorldCat Record")</f>
        <v>WorldCat Record</v>
      </c>
      <c r="AX2596" s="3" t="s">
        <v>25640</v>
      </c>
      <c r="AY2596" s="3" t="s">
        <v>25641</v>
      </c>
      <c r="AZ2596" s="3" t="s">
        <v>25642</v>
      </c>
      <c r="BA2596" s="3" t="s">
        <v>25642</v>
      </c>
      <c r="BB2596" s="3" t="s">
        <v>25643</v>
      </c>
      <c r="BC2596" s="3" t="s">
        <v>77</v>
      </c>
      <c r="BD2596" s="3" t="s">
        <v>78</v>
      </c>
      <c r="BE2596" s="3" t="s">
        <v>25644</v>
      </c>
      <c r="BF2596" s="3" t="s">
        <v>25643</v>
      </c>
      <c r="BG2596" s="3" t="s">
        <v>25645</v>
      </c>
    </row>
    <row r="2597" spans="1:59" ht="58" x14ac:dyDescent="0.35">
      <c r="A2597" s="2" t="s">
        <v>59</v>
      </c>
      <c r="B2597" s="2" t="s">
        <v>60</v>
      </c>
      <c r="C2597" s="2" t="s">
        <v>25646</v>
      </c>
      <c r="D2597" s="2" t="s">
        <v>25647</v>
      </c>
      <c r="E2597" s="2" t="s">
        <v>25648</v>
      </c>
      <c r="G2597" s="3" t="s">
        <v>65</v>
      </c>
      <c r="I2597" s="3" t="s">
        <v>65</v>
      </c>
      <c r="J2597" s="3" t="s">
        <v>65</v>
      </c>
      <c r="K2597" s="3" t="s">
        <v>66</v>
      </c>
      <c r="L2597" s="2" t="s">
        <v>25649</v>
      </c>
      <c r="N2597" s="3" t="s">
        <v>7039</v>
      </c>
      <c r="P2597" s="3" t="s">
        <v>140</v>
      </c>
      <c r="R2597" s="3" t="s">
        <v>71</v>
      </c>
      <c r="S2597" s="4">
        <v>13</v>
      </c>
      <c r="T2597" s="4">
        <v>13</v>
      </c>
      <c r="U2597" s="5" t="s">
        <v>4547</v>
      </c>
      <c r="V2597" s="5" t="s">
        <v>4547</v>
      </c>
      <c r="W2597" s="5" t="s">
        <v>72</v>
      </c>
      <c r="X2597" s="5" t="s">
        <v>72</v>
      </c>
      <c r="Y2597" s="4">
        <v>3</v>
      </c>
      <c r="Z2597" s="4">
        <v>3</v>
      </c>
      <c r="AA2597" s="4">
        <v>3</v>
      </c>
      <c r="AB2597" s="4">
        <v>1</v>
      </c>
      <c r="AC2597" s="4">
        <v>1</v>
      </c>
      <c r="AD2597" s="4">
        <v>1</v>
      </c>
      <c r="AE2597" s="4">
        <v>1</v>
      </c>
      <c r="AF2597" s="4">
        <v>0</v>
      </c>
      <c r="AG2597" s="4">
        <v>0</v>
      </c>
      <c r="AH2597" s="4">
        <v>1</v>
      </c>
      <c r="AI2597" s="4">
        <v>1</v>
      </c>
      <c r="AJ2597" s="4">
        <v>1</v>
      </c>
      <c r="AK2597" s="4">
        <v>1</v>
      </c>
      <c r="AL2597" s="4">
        <v>1</v>
      </c>
      <c r="AM2597" s="4">
        <v>1</v>
      </c>
      <c r="AN2597" s="4">
        <v>0</v>
      </c>
      <c r="AO2597" s="4">
        <v>0</v>
      </c>
      <c r="AP2597" s="4">
        <v>1</v>
      </c>
      <c r="AQ2597" s="4">
        <v>1</v>
      </c>
      <c r="AR2597" s="3" t="s">
        <v>65</v>
      </c>
      <c r="AS2597" s="3" t="s">
        <v>65</v>
      </c>
      <c r="AT2597" s="3" t="s">
        <v>65</v>
      </c>
      <c r="AV2597" s="6" t="str">
        <f>HYPERLINK("http://mcgill.on.worldcat.org/oclc/427509249","Catalog Record")</f>
        <v>Catalog Record</v>
      </c>
      <c r="AW2597" s="6" t="str">
        <f>HYPERLINK("http://www.worldcat.org/oclc/427509249","WorldCat Record")</f>
        <v>WorldCat Record</v>
      </c>
      <c r="AX2597" s="3" t="s">
        <v>25650</v>
      </c>
      <c r="AY2597" s="3" t="s">
        <v>25651</v>
      </c>
      <c r="AZ2597" s="3" t="s">
        <v>25652</v>
      </c>
      <c r="BA2597" s="3" t="s">
        <v>25652</v>
      </c>
      <c r="BB2597" s="3" t="s">
        <v>25653</v>
      </c>
      <c r="BC2597" s="3" t="s">
        <v>77</v>
      </c>
      <c r="BD2597" s="3" t="s">
        <v>78</v>
      </c>
      <c r="BF2597" s="3" t="s">
        <v>25653</v>
      </c>
      <c r="BG2597" s="3" t="s">
        <v>25654</v>
      </c>
    </row>
    <row r="2598" spans="1:59" ht="58" x14ac:dyDescent="0.35">
      <c r="A2598" s="2" t="s">
        <v>59</v>
      </c>
      <c r="B2598" s="2" t="s">
        <v>60</v>
      </c>
      <c r="C2598" s="2" t="s">
        <v>25655</v>
      </c>
      <c r="D2598" s="2" t="s">
        <v>25656</v>
      </c>
      <c r="E2598" s="2" t="s">
        <v>25657</v>
      </c>
      <c r="G2598" s="3" t="s">
        <v>65</v>
      </c>
      <c r="I2598" s="3" t="s">
        <v>65</v>
      </c>
      <c r="J2598" s="3" t="s">
        <v>65</v>
      </c>
      <c r="K2598" s="3" t="s">
        <v>66</v>
      </c>
      <c r="L2598" s="2" t="s">
        <v>25649</v>
      </c>
      <c r="M2598" s="2" t="s">
        <v>7883</v>
      </c>
      <c r="N2598" s="3" t="s">
        <v>479</v>
      </c>
      <c r="P2598" s="3" t="s">
        <v>69</v>
      </c>
      <c r="Q2598" s="2" t="s">
        <v>1197</v>
      </c>
      <c r="R2598" s="3" t="s">
        <v>71</v>
      </c>
      <c r="S2598" s="4">
        <v>1</v>
      </c>
      <c r="T2598" s="4">
        <v>1</v>
      </c>
      <c r="U2598" s="5" t="s">
        <v>21503</v>
      </c>
      <c r="V2598" s="5" t="s">
        <v>21503</v>
      </c>
      <c r="W2598" s="5" t="s">
        <v>72</v>
      </c>
      <c r="X2598" s="5" t="s">
        <v>72</v>
      </c>
      <c r="Y2598" s="4">
        <v>205</v>
      </c>
      <c r="Z2598" s="4">
        <v>34</v>
      </c>
      <c r="AA2598" s="4">
        <v>111</v>
      </c>
      <c r="AB2598" s="4">
        <v>1</v>
      </c>
      <c r="AC2598" s="4">
        <v>19</v>
      </c>
      <c r="AD2598" s="4">
        <v>92</v>
      </c>
      <c r="AE2598" s="4">
        <v>134</v>
      </c>
      <c r="AF2598" s="4">
        <v>0</v>
      </c>
      <c r="AG2598" s="4">
        <v>8</v>
      </c>
      <c r="AH2598" s="4">
        <v>75</v>
      </c>
      <c r="AI2598" s="4">
        <v>91</v>
      </c>
      <c r="AJ2598" s="4">
        <v>19</v>
      </c>
      <c r="AK2598" s="4">
        <v>27</v>
      </c>
      <c r="AL2598" s="4">
        <v>48</v>
      </c>
      <c r="AM2598" s="4">
        <v>55</v>
      </c>
      <c r="AN2598" s="4">
        <v>0</v>
      </c>
      <c r="AO2598" s="4">
        <v>0</v>
      </c>
      <c r="AP2598" s="4">
        <v>24</v>
      </c>
      <c r="AQ2598" s="4">
        <v>51</v>
      </c>
      <c r="AR2598" s="3" t="s">
        <v>209</v>
      </c>
      <c r="AS2598" s="3" t="s">
        <v>65</v>
      </c>
      <c r="AT2598" s="3" t="s">
        <v>65</v>
      </c>
      <c r="AV2598" s="6" t="str">
        <f>HYPERLINK("http://mcgill.on.worldcat.org/oclc/219938924","Catalog Record")</f>
        <v>Catalog Record</v>
      </c>
      <c r="AW2598" s="6" t="str">
        <f>HYPERLINK("http://www.worldcat.org/oclc/219938924","WorldCat Record")</f>
        <v>WorldCat Record</v>
      </c>
      <c r="AX2598" s="3" t="s">
        <v>25658</v>
      </c>
      <c r="AY2598" s="3" t="s">
        <v>25659</v>
      </c>
      <c r="AZ2598" s="3" t="s">
        <v>25660</v>
      </c>
      <c r="BA2598" s="3" t="s">
        <v>25660</v>
      </c>
      <c r="BB2598" s="3" t="s">
        <v>25661</v>
      </c>
      <c r="BC2598" s="3" t="s">
        <v>77</v>
      </c>
      <c r="BD2598" s="3" t="s">
        <v>78</v>
      </c>
      <c r="BE2598" s="3" t="s">
        <v>25662</v>
      </c>
      <c r="BF2598" s="3" t="s">
        <v>25661</v>
      </c>
      <c r="BG2598" s="3" t="s">
        <v>25663</v>
      </c>
    </row>
    <row r="2599" spans="1:59" ht="58" x14ac:dyDescent="0.35">
      <c r="A2599" s="2" t="s">
        <v>59</v>
      </c>
      <c r="B2599" s="2" t="s">
        <v>60</v>
      </c>
      <c r="C2599" s="2" t="s">
        <v>25664</v>
      </c>
      <c r="D2599" s="2" t="s">
        <v>25665</v>
      </c>
      <c r="E2599" s="2" t="s">
        <v>25666</v>
      </c>
      <c r="G2599" s="3" t="s">
        <v>65</v>
      </c>
      <c r="I2599" s="3" t="s">
        <v>65</v>
      </c>
      <c r="J2599" s="3" t="s">
        <v>65</v>
      </c>
      <c r="K2599" s="3" t="s">
        <v>66</v>
      </c>
      <c r="L2599" s="2" t="s">
        <v>25649</v>
      </c>
      <c r="M2599" s="2" t="s">
        <v>4067</v>
      </c>
      <c r="N2599" s="3" t="s">
        <v>126</v>
      </c>
      <c r="P2599" s="3" t="s">
        <v>69</v>
      </c>
      <c r="Q2599" s="2" t="s">
        <v>1197</v>
      </c>
      <c r="R2599" s="3" t="s">
        <v>71</v>
      </c>
      <c r="S2599" s="4">
        <v>3</v>
      </c>
      <c r="T2599" s="4">
        <v>3</v>
      </c>
      <c r="U2599" s="5" t="s">
        <v>705</v>
      </c>
      <c r="V2599" s="5" t="s">
        <v>705</v>
      </c>
      <c r="W2599" s="5" t="s">
        <v>72</v>
      </c>
      <c r="X2599" s="5" t="s">
        <v>72</v>
      </c>
      <c r="Y2599" s="4">
        <v>188</v>
      </c>
      <c r="Z2599" s="4">
        <v>25</v>
      </c>
      <c r="AA2599" s="4">
        <v>105</v>
      </c>
      <c r="AB2599" s="4">
        <v>1</v>
      </c>
      <c r="AC2599" s="4">
        <v>18</v>
      </c>
      <c r="AD2599" s="4">
        <v>84</v>
      </c>
      <c r="AE2599" s="4">
        <v>130</v>
      </c>
      <c r="AF2599" s="4">
        <v>0</v>
      </c>
      <c r="AG2599" s="4">
        <v>8</v>
      </c>
      <c r="AH2599" s="4">
        <v>72</v>
      </c>
      <c r="AI2599" s="4">
        <v>89</v>
      </c>
      <c r="AJ2599" s="4">
        <v>18</v>
      </c>
      <c r="AK2599" s="4">
        <v>26</v>
      </c>
      <c r="AL2599" s="4">
        <v>42</v>
      </c>
      <c r="AM2599" s="4">
        <v>49</v>
      </c>
      <c r="AN2599" s="4">
        <v>0</v>
      </c>
      <c r="AO2599" s="4">
        <v>0</v>
      </c>
      <c r="AP2599" s="4">
        <v>20</v>
      </c>
      <c r="AQ2599" s="4">
        <v>50</v>
      </c>
      <c r="AR2599" s="3" t="s">
        <v>209</v>
      </c>
      <c r="AS2599" s="3" t="s">
        <v>65</v>
      </c>
      <c r="AT2599" s="3" t="s">
        <v>65</v>
      </c>
      <c r="AV2599" s="6" t="str">
        <f>HYPERLINK("http://mcgill.on.worldcat.org/oclc/669242358","Catalog Record")</f>
        <v>Catalog Record</v>
      </c>
      <c r="AW2599" s="6" t="str">
        <f>HYPERLINK("http://www.worldcat.org/oclc/669242358","WorldCat Record")</f>
        <v>WorldCat Record</v>
      </c>
      <c r="AX2599" s="3" t="s">
        <v>25667</v>
      </c>
      <c r="AY2599" s="3" t="s">
        <v>25668</v>
      </c>
      <c r="AZ2599" s="3" t="s">
        <v>25669</v>
      </c>
      <c r="BA2599" s="3" t="s">
        <v>25669</v>
      </c>
      <c r="BB2599" s="3" t="s">
        <v>25670</v>
      </c>
      <c r="BC2599" s="3" t="s">
        <v>77</v>
      </c>
      <c r="BD2599" s="3" t="s">
        <v>78</v>
      </c>
      <c r="BE2599" s="3" t="s">
        <v>25671</v>
      </c>
      <c r="BF2599" s="3" t="s">
        <v>25670</v>
      </c>
      <c r="BG2599" s="3" t="s">
        <v>25672</v>
      </c>
    </row>
    <row r="2600" spans="1:59" ht="58" x14ac:dyDescent="0.35">
      <c r="A2600" s="2" t="s">
        <v>59</v>
      </c>
      <c r="B2600" s="2" t="s">
        <v>60</v>
      </c>
      <c r="C2600" s="2" t="s">
        <v>25673</v>
      </c>
      <c r="D2600" s="2" t="s">
        <v>25674</v>
      </c>
      <c r="E2600" s="2" t="s">
        <v>25675</v>
      </c>
      <c r="G2600" s="3" t="s">
        <v>65</v>
      </c>
      <c r="I2600" s="3" t="s">
        <v>65</v>
      </c>
      <c r="J2600" s="3" t="s">
        <v>65</v>
      </c>
      <c r="K2600" s="3" t="s">
        <v>66</v>
      </c>
      <c r="L2600" s="2" t="s">
        <v>25649</v>
      </c>
      <c r="M2600" s="2" t="s">
        <v>25676</v>
      </c>
      <c r="N2600" s="3" t="s">
        <v>2210</v>
      </c>
      <c r="O2600" s="2" t="s">
        <v>25677</v>
      </c>
      <c r="P2600" s="3" t="s">
        <v>69</v>
      </c>
      <c r="R2600" s="3" t="s">
        <v>71</v>
      </c>
      <c r="S2600" s="4">
        <v>3</v>
      </c>
      <c r="T2600" s="4">
        <v>3</v>
      </c>
      <c r="U2600" s="5" t="s">
        <v>969</v>
      </c>
      <c r="V2600" s="5" t="s">
        <v>969</v>
      </c>
      <c r="W2600" s="5" t="s">
        <v>72</v>
      </c>
      <c r="X2600" s="5" t="s">
        <v>72</v>
      </c>
      <c r="Y2600" s="4">
        <v>362</v>
      </c>
      <c r="Z2600" s="4">
        <v>15</v>
      </c>
      <c r="AA2600" s="4">
        <v>19</v>
      </c>
      <c r="AB2600" s="4">
        <v>2</v>
      </c>
      <c r="AC2600" s="4">
        <v>3</v>
      </c>
      <c r="AD2600" s="4">
        <v>78</v>
      </c>
      <c r="AE2600" s="4">
        <v>83</v>
      </c>
      <c r="AF2600" s="4">
        <v>0</v>
      </c>
      <c r="AG2600" s="4">
        <v>0</v>
      </c>
      <c r="AH2600" s="4">
        <v>73</v>
      </c>
      <c r="AI2600" s="4">
        <v>77</v>
      </c>
      <c r="AJ2600" s="4">
        <v>7</v>
      </c>
      <c r="AK2600" s="4">
        <v>10</v>
      </c>
      <c r="AL2600" s="4">
        <v>49</v>
      </c>
      <c r="AM2600" s="4">
        <v>51</v>
      </c>
      <c r="AN2600" s="4">
        <v>0</v>
      </c>
      <c r="AO2600" s="4">
        <v>0</v>
      </c>
      <c r="AP2600" s="4">
        <v>7</v>
      </c>
      <c r="AQ2600" s="4">
        <v>10</v>
      </c>
      <c r="AR2600" s="3" t="s">
        <v>65</v>
      </c>
      <c r="AS2600" s="3" t="s">
        <v>65</v>
      </c>
      <c r="AT2600" s="3" t="s">
        <v>209</v>
      </c>
      <c r="AU2600" s="6" t="str">
        <f>HYPERLINK("http://catalog.hathitrust.org/Record/004258814","HathiTrust Record")</f>
        <v>HathiTrust Record</v>
      </c>
      <c r="AV2600" s="6" t="str">
        <f>HYPERLINK("http://mcgill.on.worldcat.org/oclc/48940354","Catalog Record")</f>
        <v>Catalog Record</v>
      </c>
      <c r="AW2600" s="6" t="str">
        <f>HYPERLINK("http://www.worldcat.org/oclc/48940354","WorldCat Record")</f>
        <v>WorldCat Record</v>
      </c>
      <c r="AX2600" s="3" t="s">
        <v>25678</v>
      </c>
      <c r="AY2600" s="3" t="s">
        <v>25679</v>
      </c>
      <c r="AZ2600" s="3" t="s">
        <v>25680</v>
      </c>
      <c r="BA2600" s="3" t="s">
        <v>25680</v>
      </c>
      <c r="BB2600" s="3" t="s">
        <v>25681</v>
      </c>
      <c r="BC2600" s="3" t="s">
        <v>77</v>
      </c>
      <c r="BD2600" s="3" t="s">
        <v>78</v>
      </c>
      <c r="BE2600" s="3" t="s">
        <v>25682</v>
      </c>
      <c r="BF2600" s="3" t="s">
        <v>25681</v>
      </c>
      <c r="BG2600" s="3" t="s">
        <v>25683</v>
      </c>
    </row>
    <row r="2601" spans="1:59" ht="58" x14ac:dyDescent="0.35">
      <c r="A2601" s="2" t="s">
        <v>59</v>
      </c>
      <c r="B2601" s="2" t="s">
        <v>60</v>
      </c>
      <c r="C2601" s="2" t="s">
        <v>25684</v>
      </c>
      <c r="D2601" s="2" t="s">
        <v>25685</v>
      </c>
      <c r="E2601" s="2" t="s">
        <v>25686</v>
      </c>
      <c r="G2601" s="3" t="s">
        <v>65</v>
      </c>
      <c r="H2601" s="3" t="s">
        <v>213</v>
      </c>
      <c r="I2601" s="3" t="s">
        <v>65</v>
      </c>
      <c r="J2601" s="3" t="s">
        <v>209</v>
      </c>
      <c r="K2601" s="3" t="s">
        <v>66</v>
      </c>
      <c r="L2601" s="2" t="s">
        <v>25687</v>
      </c>
      <c r="M2601" s="2" t="s">
        <v>25688</v>
      </c>
      <c r="N2601" s="3" t="s">
        <v>265</v>
      </c>
      <c r="P2601" s="3" t="s">
        <v>69</v>
      </c>
      <c r="Q2601" s="2" t="s">
        <v>25689</v>
      </c>
      <c r="R2601" s="3" t="s">
        <v>71</v>
      </c>
      <c r="S2601" s="4">
        <v>0</v>
      </c>
      <c r="T2601" s="4">
        <v>0</v>
      </c>
      <c r="W2601" s="5" t="s">
        <v>1707</v>
      </c>
      <c r="X2601" s="5" t="s">
        <v>1707</v>
      </c>
      <c r="Y2601" s="4">
        <v>215</v>
      </c>
      <c r="Z2601" s="4">
        <v>7</v>
      </c>
      <c r="AA2601" s="4">
        <v>33</v>
      </c>
      <c r="AB2601" s="4">
        <v>1</v>
      </c>
      <c r="AC2601" s="4">
        <v>3</v>
      </c>
      <c r="AD2601" s="4">
        <v>31</v>
      </c>
      <c r="AE2601" s="4">
        <v>105</v>
      </c>
      <c r="AF2601" s="4">
        <v>0</v>
      </c>
      <c r="AG2601" s="4">
        <v>0</v>
      </c>
      <c r="AH2601" s="4">
        <v>29</v>
      </c>
      <c r="AI2601" s="4">
        <v>92</v>
      </c>
      <c r="AJ2601" s="4">
        <v>2</v>
      </c>
      <c r="AK2601" s="4">
        <v>15</v>
      </c>
      <c r="AL2601" s="4">
        <v>24</v>
      </c>
      <c r="AM2601" s="4">
        <v>52</v>
      </c>
      <c r="AN2601" s="4">
        <v>0</v>
      </c>
      <c r="AO2601" s="4">
        <v>0</v>
      </c>
      <c r="AP2601" s="4">
        <v>2</v>
      </c>
      <c r="AQ2601" s="4">
        <v>17</v>
      </c>
      <c r="AR2601" s="3" t="s">
        <v>65</v>
      </c>
      <c r="AS2601" s="3" t="s">
        <v>65</v>
      </c>
      <c r="AT2601" s="3" t="s">
        <v>65</v>
      </c>
      <c r="AV2601" s="6" t="str">
        <f>HYPERLINK("http://mcgill.on.worldcat.org/oclc/1057376702","Catalog Record")</f>
        <v>Catalog Record</v>
      </c>
      <c r="AW2601" s="6" t="str">
        <f>HYPERLINK("http://www.worldcat.org/oclc/1057376702","WorldCat Record")</f>
        <v>WorldCat Record</v>
      </c>
      <c r="AX2601" s="3" t="s">
        <v>25690</v>
      </c>
      <c r="AY2601" s="3" t="s">
        <v>25691</v>
      </c>
      <c r="AZ2601" s="3" t="s">
        <v>25692</v>
      </c>
      <c r="BA2601" s="3" t="s">
        <v>25692</v>
      </c>
      <c r="BB2601" s="3" t="s">
        <v>25693</v>
      </c>
      <c r="BC2601" s="3" t="s">
        <v>77</v>
      </c>
      <c r="BD2601" s="3" t="s">
        <v>78</v>
      </c>
      <c r="BE2601" s="3" t="s">
        <v>25694</v>
      </c>
      <c r="BF2601" s="3" t="s">
        <v>25693</v>
      </c>
      <c r="BG2601" s="3" t="s">
        <v>25695</v>
      </c>
    </row>
    <row r="2602" spans="1:59" ht="58" x14ac:dyDescent="0.35">
      <c r="A2602" s="2" t="s">
        <v>59</v>
      </c>
      <c r="B2602" s="2" t="s">
        <v>60</v>
      </c>
      <c r="C2602" s="2" t="s">
        <v>25696</v>
      </c>
      <c r="D2602" s="2" t="s">
        <v>25697</v>
      </c>
      <c r="E2602" s="2" t="s">
        <v>25698</v>
      </c>
      <c r="G2602" s="3" t="s">
        <v>65</v>
      </c>
      <c r="I2602" s="3" t="s">
        <v>65</v>
      </c>
      <c r="J2602" s="3" t="s">
        <v>209</v>
      </c>
      <c r="K2602" s="3" t="s">
        <v>66</v>
      </c>
      <c r="L2602" s="2" t="s">
        <v>25687</v>
      </c>
      <c r="M2602" s="2" t="s">
        <v>25699</v>
      </c>
      <c r="N2602" s="3" t="s">
        <v>1109</v>
      </c>
      <c r="O2602" s="2" t="s">
        <v>2438</v>
      </c>
      <c r="P2602" s="3" t="s">
        <v>69</v>
      </c>
      <c r="R2602" s="3" t="s">
        <v>71</v>
      </c>
      <c r="S2602" s="4">
        <v>5</v>
      </c>
      <c r="T2602" s="4">
        <v>5</v>
      </c>
      <c r="U2602" s="5" t="s">
        <v>24707</v>
      </c>
      <c r="V2602" s="5" t="s">
        <v>24707</v>
      </c>
      <c r="W2602" s="5" t="s">
        <v>72</v>
      </c>
      <c r="X2602" s="5" t="s">
        <v>72</v>
      </c>
      <c r="Y2602" s="4">
        <v>382</v>
      </c>
      <c r="Z2602" s="4">
        <v>23</v>
      </c>
      <c r="AA2602" s="4">
        <v>33</v>
      </c>
      <c r="AB2602" s="4">
        <v>2</v>
      </c>
      <c r="AC2602" s="4">
        <v>3</v>
      </c>
      <c r="AD2602" s="4">
        <v>94</v>
      </c>
      <c r="AE2602" s="4">
        <v>105</v>
      </c>
      <c r="AF2602" s="4">
        <v>0</v>
      </c>
      <c r="AG2602" s="4">
        <v>0</v>
      </c>
      <c r="AH2602" s="4">
        <v>83</v>
      </c>
      <c r="AI2602" s="4">
        <v>92</v>
      </c>
      <c r="AJ2602" s="4">
        <v>12</v>
      </c>
      <c r="AK2602" s="4">
        <v>15</v>
      </c>
      <c r="AL2602" s="4">
        <v>47</v>
      </c>
      <c r="AM2602" s="4">
        <v>52</v>
      </c>
      <c r="AN2602" s="4">
        <v>0</v>
      </c>
      <c r="AO2602" s="4">
        <v>0</v>
      </c>
      <c r="AP2602" s="4">
        <v>13</v>
      </c>
      <c r="AQ2602" s="4">
        <v>17</v>
      </c>
      <c r="AR2602" s="3" t="s">
        <v>65</v>
      </c>
      <c r="AS2602" s="3" t="s">
        <v>65</v>
      </c>
      <c r="AT2602" s="3" t="s">
        <v>209</v>
      </c>
      <c r="AU2602" s="6" t="str">
        <f>HYPERLINK("http://catalog.hathitrust.org/Record/001219213","HathiTrust Record")</f>
        <v>HathiTrust Record</v>
      </c>
      <c r="AV2602" s="6" t="str">
        <f>HYPERLINK("http://mcgill.on.worldcat.org/oclc/874281","Catalog Record")</f>
        <v>Catalog Record</v>
      </c>
      <c r="AW2602" s="6" t="str">
        <f>HYPERLINK("http://www.worldcat.org/oclc/874281","WorldCat Record")</f>
        <v>WorldCat Record</v>
      </c>
      <c r="AX2602" s="3" t="s">
        <v>25690</v>
      </c>
      <c r="AY2602" s="3" t="s">
        <v>25700</v>
      </c>
      <c r="AZ2602" s="3" t="s">
        <v>25701</v>
      </c>
      <c r="BA2602" s="3" t="s">
        <v>25701</v>
      </c>
      <c r="BB2602" s="3" t="s">
        <v>25702</v>
      </c>
      <c r="BC2602" s="3" t="s">
        <v>77</v>
      </c>
      <c r="BD2602" s="3" t="s">
        <v>78</v>
      </c>
      <c r="BE2602" s="3" t="s">
        <v>25703</v>
      </c>
      <c r="BF2602" s="3" t="s">
        <v>25702</v>
      </c>
      <c r="BG2602" s="3" t="s">
        <v>25704</v>
      </c>
    </row>
    <row r="2603" spans="1:59" ht="58" x14ac:dyDescent="0.35">
      <c r="A2603" s="2" t="s">
        <v>59</v>
      </c>
      <c r="B2603" s="2" t="s">
        <v>60</v>
      </c>
      <c r="C2603" s="2" t="s">
        <v>25705</v>
      </c>
      <c r="D2603" s="2" t="s">
        <v>25706</v>
      </c>
      <c r="E2603" s="2" t="s">
        <v>25707</v>
      </c>
      <c r="G2603" s="3" t="s">
        <v>65</v>
      </c>
      <c r="I2603" s="3" t="s">
        <v>65</v>
      </c>
      <c r="J2603" s="3" t="s">
        <v>209</v>
      </c>
      <c r="K2603" s="3" t="s">
        <v>66</v>
      </c>
      <c r="L2603" s="2" t="s">
        <v>25649</v>
      </c>
      <c r="M2603" s="2" t="s">
        <v>25708</v>
      </c>
      <c r="N2603" s="3" t="s">
        <v>2818</v>
      </c>
      <c r="P2603" s="3" t="s">
        <v>140</v>
      </c>
      <c r="Q2603" s="2" t="s">
        <v>25709</v>
      </c>
      <c r="R2603" s="3" t="s">
        <v>71</v>
      </c>
      <c r="S2603" s="4">
        <v>3</v>
      </c>
      <c r="T2603" s="4">
        <v>3</v>
      </c>
      <c r="U2603" s="5" t="s">
        <v>19150</v>
      </c>
      <c r="V2603" s="5" t="s">
        <v>19150</v>
      </c>
      <c r="W2603" s="5" t="s">
        <v>72</v>
      </c>
      <c r="X2603" s="5" t="s">
        <v>72</v>
      </c>
      <c r="Y2603" s="4">
        <v>14</v>
      </c>
      <c r="Z2603" s="4">
        <v>1</v>
      </c>
      <c r="AA2603" s="4">
        <v>12</v>
      </c>
      <c r="AB2603" s="4">
        <v>1</v>
      </c>
      <c r="AC2603" s="4">
        <v>3</v>
      </c>
      <c r="AD2603" s="4">
        <v>9</v>
      </c>
      <c r="AE2603" s="4">
        <v>73</v>
      </c>
      <c r="AF2603" s="4">
        <v>0</v>
      </c>
      <c r="AG2603" s="4">
        <v>2</v>
      </c>
      <c r="AH2603" s="4">
        <v>7</v>
      </c>
      <c r="AI2603" s="4">
        <v>66</v>
      </c>
      <c r="AJ2603" s="4">
        <v>0</v>
      </c>
      <c r="AK2603" s="4">
        <v>9</v>
      </c>
      <c r="AL2603" s="4">
        <v>7</v>
      </c>
      <c r="AM2603" s="4">
        <v>44</v>
      </c>
      <c r="AN2603" s="4">
        <v>0</v>
      </c>
      <c r="AO2603" s="4">
        <v>0</v>
      </c>
      <c r="AP2603" s="4">
        <v>0</v>
      </c>
      <c r="AQ2603" s="4">
        <v>8</v>
      </c>
      <c r="AR2603" s="3" t="s">
        <v>65</v>
      </c>
      <c r="AS2603" s="3" t="s">
        <v>65</v>
      </c>
      <c r="AT2603" s="3" t="s">
        <v>209</v>
      </c>
      <c r="AU2603" s="6" t="str">
        <f>HYPERLINK("http://catalog.hathitrust.org/Record/001226864","HathiTrust Record")</f>
        <v>HathiTrust Record</v>
      </c>
      <c r="AV2603" s="6" t="str">
        <f>HYPERLINK("http://mcgill.on.worldcat.org/oclc/14096457","Catalog Record")</f>
        <v>Catalog Record</v>
      </c>
      <c r="AW2603" s="6" t="str">
        <f>HYPERLINK("http://www.worldcat.org/oclc/14096457","WorldCat Record")</f>
        <v>WorldCat Record</v>
      </c>
      <c r="AX2603" s="3" t="s">
        <v>25710</v>
      </c>
      <c r="AY2603" s="3" t="s">
        <v>25711</v>
      </c>
      <c r="AZ2603" s="3" t="s">
        <v>25712</v>
      </c>
      <c r="BA2603" s="3" t="s">
        <v>25712</v>
      </c>
      <c r="BB2603" s="3" t="s">
        <v>25713</v>
      </c>
      <c r="BC2603" s="3" t="s">
        <v>77</v>
      </c>
      <c r="BD2603" s="3" t="s">
        <v>78</v>
      </c>
      <c r="BF2603" s="3" t="s">
        <v>25713</v>
      </c>
      <c r="BG2603" s="3" t="s">
        <v>25714</v>
      </c>
    </row>
    <row r="2604" spans="1:59" ht="58" x14ac:dyDescent="0.35">
      <c r="A2604" s="2" t="s">
        <v>59</v>
      </c>
      <c r="B2604" s="2" t="s">
        <v>60</v>
      </c>
      <c r="C2604" s="2" t="s">
        <v>25715</v>
      </c>
      <c r="D2604" s="2" t="s">
        <v>25716</v>
      </c>
      <c r="E2604" s="2" t="s">
        <v>25717</v>
      </c>
      <c r="G2604" s="3" t="s">
        <v>65</v>
      </c>
      <c r="I2604" s="3" t="s">
        <v>65</v>
      </c>
      <c r="J2604" s="3" t="s">
        <v>209</v>
      </c>
      <c r="K2604" s="3" t="s">
        <v>66</v>
      </c>
      <c r="L2604" s="2" t="s">
        <v>25649</v>
      </c>
      <c r="M2604" s="2" t="s">
        <v>23331</v>
      </c>
      <c r="N2604" s="3" t="s">
        <v>1109</v>
      </c>
      <c r="O2604" s="2" t="s">
        <v>25718</v>
      </c>
      <c r="P2604" s="3" t="s">
        <v>140</v>
      </c>
      <c r="Q2604" s="2" t="s">
        <v>25719</v>
      </c>
      <c r="R2604" s="3" t="s">
        <v>71</v>
      </c>
      <c r="S2604" s="4">
        <v>13</v>
      </c>
      <c r="T2604" s="4">
        <v>13</v>
      </c>
      <c r="U2604" s="5" t="s">
        <v>25720</v>
      </c>
      <c r="V2604" s="5" t="s">
        <v>25720</v>
      </c>
      <c r="W2604" s="5" t="s">
        <v>72</v>
      </c>
      <c r="X2604" s="5" t="s">
        <v>72</v>
      </c>
      <c r="Y2604" s="4">
        <v>73</v>
      </c>
      <c r="Z2604" s="4">
        <v>8</v>
      </c>
      <c r="AA2604" s="4">
        <v>12</v>
      </c>
      <c r="AB2604" s="4">
        <v>2</v>
      </c>
      <c r="AC2604" s="4">
        <v>3</v>
      </c>
      <c r="AD2604" s="4">
        <v>32</v>
      </c>
      <c r="AE2604" s="4">
        <v>73</v>
      </c>
      <c r="AF2604" s="4">
        <v>1</v>
      </c>
      <c r="AG2604" s="4">
        <v>2</v>
      </c>
      <c r="AH2604" s="4">
        <v>28</v>
      </c>
      <c r="AI2604" s="4">
        <v>66</v>
      </c>
      <c r="AJ2604" s="4">
        <v>6</v>
      </c>
      <c r="AK2604" s="4">
        <v>9</v>
      </c>
      <c r="AL2604" s="4">
        <v>16</v>
      </c>
      <c r="AM2604" s="4">
        <v>44</v>
      </c>
      <c r="AN2604" s="4">
        <v>0</v>
      </c>
      <c r="AO2604" s="4">
        <v>0</v>
      </c>
      <c r="AP2604" s="4">
        <v>6</v>
      </c>
      <c r="AQ2604" s="4">
        <v>8</v>
      </c>
      <c r="AR2604" s="3" t="s">
        <v>65</v>
      </c>
      <c r="AS2604" s="3" t="s">
        <v>65</v>
      </c>
      <c r="AT2604" s="3" t="s">
        <v>209</v>
      </c>
      <c r="AU2604" s="6" t="str">
        <f>HYPERLINK("http://catalog.hathitrust.org/Record/007963394","HathiTrust Record")</f>
        <v>HathiTrust Record</v>
      </c>
      <c r="AV2604" s="6" t="str">
        <f>HYPERLINK("http://mcgill.on.worldcat.org/oclc/1726579","Catalog Record")</f>
        <v>Catalog Record</v>
      </c>
      <c r="AW2604" s="6" t="str">
        <f>HYPERLINK("http://www.worldcat.org/oclc/1726579","WorldCat Record")</f>
        <v>WorldCat Record</v>
      </c>
      <c r="AX2604" s="3" t="s">
        <v>25710</v>
      </c>
      <c r="AY2604" s="3" t="s">
        <v>25721</v>
      </c>
      <c r="AZ2604" s="3" t="s">
        <v>25722</v>
      </c>
      <c r="BA2604" s="3" t="s">
        <v>25722</v>
      </c>
      <c r="BB2604" s="3" t="s">
        <v>25723</v>
      </c>
      <c r="BC2604" s="3" t="s">
        <v>77</v>
      </c>
      <c r="BD2604" s="3" t="s">
        <v>78</v>
      </c>
      <c r="BF2604" s="3" t="s">
        <v>25723</v>
      </c>
      <c r="BG2604" s="3" t="s">
        <v>25724</v>
      </c>
    </row>
    <row r="2605" spans="1:59" ht="58" x14ac:dyDescent="0.35">
      <c r="A2605" s="2" t="s">
        <v>59</v>
      </c>
      <c r="B2605" s="2" t="s">
        <v>60</v>
      </c>
      <c r="C2605" s="2" t="s">
        <v>25725</v>
      </c>
      <c r="D2605" s="2" t="s">
        <v>25726</v>
      </c>
      <c r="E2605" s="2" t="s">
        <v>25727</v>
      </c>
      <c r="G2605" s="3" t="s">
        <v>65</v>
      </c>
      <c r="I2605" s="3" t="s">
        <v>209</v>
      </c>
      <c r="J2605" s="3" t="s">
        <v>65</v>
      </c>
      <c r="K2605" s="3" t="s">
        <v>66</v>
      </c>
      <c r="L2605" s="2" t="s">
        <v>25649</v>
      </c>
      <c r="M2605" s="2" t="s">
        <v>22014</v>
      </c>
      <c r="N2605" s="3" t="s">
        <v>7187</v>
      </c>
      <c r="P2605" s="3" t="s">
        <v>140</v>
      </c>
      <c r="R2605" s="3" t="s">
        <v>71</v>
      </c>
      <c r="S2605" s="4">
        <v>18</v>
      </c>
      <c r="T2605" s="4">
        <v>30</v>
      </c>
      <c r="U2605" s="5" t="s">
        <v>25728</v>
      </c>
      <c r="V2605" s="5" t="s">
        <v>25728</v>
      </c>
      <c r="W2605" s="5" t="s">
        <v>72</v>
      </c>
      <c r="X2605" s="5" t="s">
        <v>72</v>
      </c>
      <c r="Y2605" s="4">
        <v>181</v>
      </c>
      <c r="Z2605" s="4">
        <v>13</v>
      </c>
      <c r="AA2605" s="4">
        <v>15</v>
      </c>
      <c r="AB2605" s="4">
        <v>2</v>
      </c>
      <c r="AC2605" s="4">
        <v>3</v>
      </c>
      <c r="AD2605" s="4">
        <v>68</v>
      </c>
      <c r="AE2605" s="4">
        <v>69</v>
      </c>
      <c r="AF2605" s="4">
        <v>1</v>
      </c>
      <c r="AG2605" s="4">
        <v>1</v>
      </c>
      <c r="AH2605" s="4">
        <v>63</v>
      </c>
      <c r="AI2605" s="4">
        <v>64</v>
      </c>
      <c r="AJ2605" s="4">
        <v>9</v>
      </c>
      <c r="AK2605" s="4">
        <v>10</v>
      </c>
      <c r="AL2605" s="4">
        <v>39</v>
      </c>
      <c r="AM2605" s="4">
        <v>39</v>
      </c>
      <c r="AN2605" s="4">
        <v>0</v>
      </c>
      <c r="AO2605" s="4">
        <v>0</v>
      </c>
      <c r="AP2605" s="4">
        <v>9</v>
      </c>
      <c r="AQ2605" s="4">
        <v>10</v>
      </c>
      <c r="AR2605" s="3" t="s">
        <v>65</v>
      </c>
      <c r="AS2605" s="3" t="s">
        <v>65</v>
      </c>
      <c r="AT2605" s="3" t="s">
        <v>209</v>
      </c>
      <c r="AU2605" s="6" t="str">
        <f>HYPERLINK("http://catalog.hathitrust.org/Record/000176205","HathiTrust Record")</f>
        <v>HathiTrust Record</v>
      </c>
      <c r="AV2605" s="6" t="str">
        <f>HYPERLINK("http://mcgill.on.worldcat.org/oclc/4001137","Catalog Record")</f>
        <v>Catalog Record</v>
      </c>
      <c r="AW2605" s="6" t="str">
        <f>HYPERLINK("http://www.worldcat.org/oclc/4001137","WorldCat Record")</f>
        <v>WorldCat Record</v>
      </c>
      <c r="AX2605" s="3" t="s">
        <v>25729</v>
      </c>
      <c r="AY2605" s="3" t="s">
        <v>25730</v>
      </c>
      <c r="AZ2605" s="3" t="s">
        <v>25731</v>
      </c>
      <c r="BA2605" s="3" t="s">
        <v>25731</v>
      </c>
      <c r="BB2605" s="3" t="s">
        <v>25732</v>
      </c>
      <c r="BC2605" s="3" t="s">
        <v>77</v>
      </c>
      <c r="BD2605" s="3" t="s">
        <v>78</v>
      </c>
      <c r="BE2605" s="3" t="s">
        <v>25733</v>
      </c>
      <c r="BF2605" s="3" t="s">
        <v>25732</v>
      </c>
      <c r="BG2605" s="3" t="s">
        <v>25734</v>
      </c>
    </row>
    <row r="2606" spans="1:59" ht="58" x14ac:dyDescent="0.35">
      <c r="A2606" s="2" t="s">
        <v>59</v>
      </c>
      <c r="B2606" s="2" t="s">
        <v>60</v>
      </c>
      <c r="C2606" s="2" t="s">
        <v>25735</v>
      </c>
      <c r="D2606" s="2" t="s">
        <v>25736</v>
      </c>
      <c r="E2606" s="2" t="s">
        <v>25727</v>
      </c>
      <c r="G2606" s="3" t="s">
        <v>65</v>
      </c>
      <c r="I2606" s="3" t="s">
        <v>209</v>
      </c>
      <c r="J2606" s="3" t="s">
        <v>65</v>
      </c>
      <c r="K2606" s="3" t="s">
        <v>66</v>
      </c>
      <c r="L2606" s="2" t="s">
        <v>25649</v>
      </c>
      <c r="M2606" s="2" t="s">
        <v>22014</v>
      </c>
      <c r="N2606" s="3" t="s">
        <v>7187</v>
      </c>
      <c r="P2606" s="3" t="s">
        <v>140</v>
      </c>
      <c r="R2606" s="3" t="s">
        <v>71</v>
      </c>
      <c r="S2606" s="4">
        <v>12</v>
      </c>
      <c r="T2606" s="4">
        <v>30</v>
      </c>
      <c r="U2606" s="5" t="s">
        <v>25737</v>
      </c>
      <c r="V2606" s="5" t="s">
        <v>25728</v>
      </c>
      <c r="W2606" s="5" t="s">
        <v>72</v>
      </c>
      <c r="X2606" s="5" t="s">
        <v>72</v>
      </c>
      <c r="Y2606" s="4">
        <v>181</v>
      </c>
      <c r="Z2606" s="4">
        <v>13</v>
      </c>
      <c r="AA2606" s="4">
        <v>15</v>
      </c>
      <c r="AB2606" s="4">
        <v>2</v>
      </c>
      <c r="AC2606" s="4">
        <v>3</v>
      </c>
      <c r="AD2606" s="4">
        <v>68</v>
      </c>
      <c r="AE2606" s="4">
        <v>69</v>
      </c>
      <c r="AF2606" s="4">
        <v>1</v>
      </c>
      <c r="AG2606" s="4">
        <v>1</v>
      </c>
      <c r="AH2606" s="4">
        <v>63</v>
      </c>
      <c r="AI2606" s="4">
        <v>64</v>
      </c>
      <c r="AJ2606" s="4">
        <v>9</v>
      </c>
      <c r="AK2606" s="4">
        <v>10</v>
      </c>
      <c r="AL2606" s="4">
        <v>39</v>
      </c>
      <c r="AM2606" s="4">
        <v>39</v>
      </c>
      <c r="AN2606" s="4">
        <v>0</v>
      </c>
      <c r="AO2606" s="4">
        <v>0</v>
      </c>
      <c r="AP2606" s="4">
        <v>9</v>
      </c>
      <c r="AQ2606" s="4">
        <v>10</v>
      </c>
      <c r="AR2606" s="3" t="s">
        <v>65</v>
      </c>
      <c r="AS2606" s="3" t="s">
        <v>65</v>
      </c>
      <c r="AT2606" s="3" t="s">
        <v>209</v>
      </c>
      <c r="AU2606" s="6" t="str">
        <f>HYPERLINK("http://catalog.hathitrust.org/Record/000176205","HathiTrust Record")</f>
        <v>HathiTrust Record</v>
      </c>
      <c r="AV2606" s="6" t="str">
        <f>HYPERLINK("http://mcgill.on.worldcat.org/oclc/4001137","Catalog Record")</f>
        <v>Catalog Record</v>
      </c>
      <c r="AW2606" s="6" t="str">
        <f>HYPERLINK("http://www.worldcat.org/oclc/4001137","WorldCat Record")</f>
        <v>WorldCat Record</v>
      </c>
      <c r="AX2606" s="3" t="s">
        <v>25729</v>
      </c>
      <c r="AY2606" s="3" t="s">
        <v>25730</v>
      </c>
      <c r="AZ2606" s="3" t="s">
        <v>25731</v>
      </c>
      <c r="BA2606" s="3" t="s">
        <v>25731</v>
      </c>
      <c r="BB2606" s="3" t="s">
        <v>25738</v>
      </c>
      <c r="BC2606" s="3" t="s">
        <v>77</v>
      </c>
      <c r="BD2606" s="3" t="s">
        <v>78</v>
      </c>
      <c r="BE2606" s="3" t="s">
        <v>25733</v>
      </c>
      <c r="BF2606" s="3" t="s">
        <v>25738</v>
      </c>
      <c r="BG2606" s="3" t="s">
        <v>25739</v>
      </c>
    </row>
    <row r="2607" spans="1:59" ht="58" x14ac:dyDescent="0.35">
      <c r="A2607" s="2" t="s">
        <v>59</v>
      </c>
      <c r="B2607" s="2" t="s">
        <v>60</v>
      </c>
      <c r="C2607" s="2" t="s">
        <v>25740</v>
      </c>
      <c r="D2607" s="2" t="s">
        <v>25741</v>
      </c>
      <c r="E2607" s="2" t="s">
        <v>25742</v>
      </c>
      <c r="G2607" s="3" t="s">
        <v>65</v>
      </c>
      <c r="I2607" s="3" t="s">
        <v>65</v>
      </c>
      <c r="J2607" s="3" t="s">
        <v>65</v>
      </c>
      <c r="K2607" s="3" t="s">
        <v>66</v>
      </c>
      <c r="L2607" s="2" t="s">
        <v>25649</v>
      </c>
      <c r="M2607" s="2" t="s">
        <v>25743</v>
      </c>
      <c r="N2607" s="3" t="s">
        <v>2460</v>
      </c>
      <c r="P2607" s="3" t="s">
        <v>69</v>
      </c>
      <c r="R2607" s="3" t="s">
        <v>71</v>
      </c>
      <c r="S2607" s="4">
        <v>16</v>
      </c>
      <c r="T2607" s="4">
        <v>16</v>
      </c>
      <c r="U2607" s="5" t="s">
        <v>25744</v>
      </c>
      <c r="V2607" s="5" t="s">
        <v>25744</v>
      </c>
      <c r="W2607" s="5" t="s">
        <v>72</v>
      </c>
      <c r="X2607" s="5" t="s">
        <v>72</v>
      </c>
      <c r="Y2607" s="4">
        <v>86</v>
      </c>
      <c r="Z2607" s="4">
        <v>10</v>
      </c>
      <c r="AA2607" s="4">
        <v>10</v>
      </c>
      <c r="AB2607" s="4">
        <v>2</v>
      </c>
      <c r="AC2607" s="4">
        <v>2</v>
      </c>
      <c r="AD2607" s="4">
        <v>40</v>
      </c>
      <c r="AE2607" s="4">
        <v>40</v>
      </c>
      <c r="AF2607" s="4">
        <v>0</v>
      </c>
      <c r="AG2607" s="4">
        <v>0</v>
      </c>
      <c r="AH2607" s="4">
        <v>40</v>
      </c>
      <c r="AI2607" s="4">
        <v>40</v>
      </c>
      <c r="AJ2607" s="4">
        <v>6</v>
      </c>
      <c r="AK2607" s="4">
        <v>6</v>
      </c>
      <c r="AL2607" s="4">
        <v>25</v>
      </c>
      <c r="AM2607" s="4">
        <v>25</v>
      </c>
      <c r="AN2607" s="4">
        <v>0</v>
      </c>
      <c r="AO2607" s="4">
        <v>0</v>
      </c>
      <c r="AP2607" s="4">
        <v>6</v>
      </c>
      <c r="AQ2607" s="4">
        <v>6</v>
      </c>
      <c r="AR2607" s="3" t="s">
        <v>65</v>
      </c>
      <c r="AS2607" s="3" t="s">
        <v>65</v>
      </c>
      <c r="AT2607" s="3" t="s">
        <v>209</v>
      </c>
      <c r="AU2607" s="6" t="str">
        <f>HYPERLINK("http://catalog.hathitrust.org/Record/001084618","HathiTrust Record")</f>
        <v>HathiTrust Record</v>
      </c>
      <c r="AV2607" s="6" t="str">
        <f>HYPERLINK("http://mcgill.on.worldcat.org/oclc/17441106","Catalog Record")</f>
        <v>Catalog Record</v>
      </c>
      <c r="AW2607" s="6" t="str">
        <f>HYPERLINK("http://www.worldcat.org/oclc/17441106","WorldCat Record")</f>
        <v>WorldCat Record</v>
      </c>
      <c r="AX2607" s="3" t="s">
        <v>25745</v>
      </c>
      <c r="AY2607" s="3" t="s">
        <v>25746</v>
      </c>
      <c r="AZ2607" s="3" t="s">
        <v>25747</v>
      </c>
      <c r="BA2607" s="3" t="s">
        <v>25747</v>
      </c>
      <c r="BB2607" s="3" t="s">
        <v>25748</v>
      </c>
      <c r="BC2607" s="3" t="s">
        <v>77</v>
      </c>
      <c r="BD2607" s="3" t="s">
        <v>14150</v>
      </c>
      <c r="BE2607" s="3" t="s">
        <v>25749</v>
      </c>
      <c r="BF2607" s="3" t="s">
        <v>25748</v>
      </c>
      <c r="BG2607" s="3" t="s">
        <v>25750</v>
      </c>
    </row>
    <row r="2608" spans="1:59" ht="58" x14ac:dyDescent="0.35">
      <c r="A2608" s="2" t="s">
        <v>59</v>
      </c>
      <c r="B2608" s="2" t="s">
        <v>60</v>
      </c>
      <c r="C2608" s="2" t="s">
        <v>25751</v>
      </c>
      <c r="D2608" s="2" t="s">
        <v>25752</v>
      </c>
      <c r="E2608" s="2" t="s">
        <v>25753</v>
      </c>
      <c r="G2608" s="3" t="s">
        <v>65</v>
      </c>
      <c r="I2608" s="3" t="s">
        <v>65</v>
      </c>
      <c r="J2608" s="3" t="s">
        <v>65</v>
      </c>
      <c r="K2608" s="3" t="s">
        <v>66</v>
      </c>
      <c r="L2608" s="2" t="s">
        <v>25649</v>
      </c>
      <c r="M2608" s="2" t="s">
        <v>25754</v>
      </c>
      <c r="N2608" s="3" t="s">
        <v>3052</v>
      </c>
      <c r="P2608" s="3" t="s">
        <v>140</v>
      </c>
      <c r="R2608" s="3" t="s">
        <v>71</v>
      </c>
      <c r="S2608" s="4">
        <v>11</v>
      </c>
      <c r="T2608" s="4">
        <v>11</v>
      </c>
      <c r="U2608" s="5" t="s">
        <v>25755</v>
      </c>
      <c r="V2608" s="5" t="s">
        <v>25755</v>
      </c>
      <c r="W2608" s="5" t="s">
        <v>72</v>
      </c>
      <c r="X2608" s="5" t="s">
        <v>72</v>
      </c>
      <c r="Y2608" s="4">
        <v>208</v>
      </c>
      <c r="Z2608" s="4">
        <v>13</v>
      </c>
      <c r="AA2608" s="4">
        <v>26</v>
      </c>
      <c r="AB2608" s="4">
        <v>3</v>
      </c>
      <c r="AC2608" s="4">
        <v>4</v>
      </c>
      <c r="AD2608" s="4">
        <v>66</v>
      </c>
      <c r="AE2608" s="4">
        <v>96</v>
      </c>
      <c r="AF2608" s="4">
        <v>1</v>
      </c>
      <c r="AG2608" s="4">
        <v>2</v>
      </c>
      <c r="AH2608" s="4">
        <v>60</v>
      </c>
      <c r="AI2608" s="4">
        <v>87</v>
      </c>
      <c r="AJ2608" s="4">
        <v>9</v>
      </c>
      <c r="AK2608" s="4">
        <v>17</v>
      </c>
      <c r="AL2608" s="4">
        <v>39</v>
      </c>
      <c r="AM2608" s="4">
        <v>51</v>
      </c>
      <c r="AN2608" s="4">
        <v>0</v>
      </c>
      <c r="AO2608" s="4">
        <v>0</v>
      </c>
      <c r="AP2608" s="4">
        <v>8</v>
      </c>
      <c r="AQ2608" s="4">
        <v>15</v>
      </c>
      <c r="AR2608" s="3" t="s">
        <v>65</v>
      </c>
      <c r="AS2608" s="3" t="s">
        <v>65</v>
      </c>
      <c r="AT2608" s="3" t="s">
        <v>209</v>
      </c>
      <c r="AU2608" s="6" t="str">
        <f>HYPERLINK("http://catalog.hathitrust.org/Record/001805684","HathiTrust Record")</f>
        <v>HathiTrust Record</v>
      </c>
      <c r="AV2608" s="6" t="str">
        <f>HYPERLINK("http://mcgill.on.worldcat.org/oclc/556775","Catalog Record")</f>
        <v>Catalog Record</v>
      </c>
      <c r="AW2608" s="6" t="str">
        <f>HYPERLINK("http://www.worldcat.org/oclc/556775","WorldCat Record")</f>
        <v>WorldCat Record</v>
      </c>
      <c r="AX2608" s="3" t="s">
        <v>25756</v>
      </c>
      <c r="AY2608" s="3" t="s">
        <v>25757</v>
      </c>
      <c r="AZ2608" s="3" t="s">
        <v>25758</v>
      </c>
      <c r="BA2608" s="3" t="s">
        <v>25758</v>
      </c>
      <c r="BB2608" s="3" t="s">
        <v>25759</v>
      </c>
      <c r="BC2608" s="3" t="s">
        <v>77</v>
      </c>
      <c r="BD2608" s="3" t="s">
        <v>78</v>
      </c>
      <c r="BF2608" s="3" t="s">
        <v>25759</v>
      </c>
      <c r="BG2608" s="3" t="s">
        <v>25760</v>
      </c>
    </row>
    <row r="2609" spans="1:59" ht="58" x14ac:dyDescent="0.35">
      <c r="A2609" s="2" t="s">
        <v>59</v>
      </c>
      <c r="B2609" s="2" t="s">
        <v>60</v>
      </c>
      <c r="C2609" s="2" t="s">
        <v>25761</v>
      </c>
      <c r="D2609" s="2" t="s">
        <v>25762</v>
      </c>
      <c r="E2609" s="2" t="s">
        <v>25763</v>
      </c>
      <c r="G2609" s="3" t="s">
        <v>65</v>
      </c>
      <c r="I2609" s="3" t="s">
        <v>65</v>
      </c>
      <c r="J2609" s="3" t="s">
        <v>209</v>
      </c>
      <c r="K2609" s="3" t="s">
        <v>66</v>
      </c>
      <c r="L2609" s="2" t="s">
        <v>25687</v>
      </c>
      <c r="M2609" s="2" t="s">
        <v>25764</v>
      </c>
      <c r="N2609" s="3" t="s">
        <v>188</v>
      </c>
      <c r="P2609" s="3" t="s">
        <v>69</v>
      </c>
      <c r="Q2609" s="2" t="s">
        <v>25392</v>
      </c>
      <c r="R2609" s="3" t="s">
        <v>71</v>
      </c>
      <c r="S2609" s="4">
        <v>18</v>
      </c>
      <c r="T2609" s="4">
        <v>18</v>
      </c>
      <c r="U2609" s="5" t="s">
        <v>25765</v>
      </c>
      <c r="V2609" s="5" t="s">
        <v>25765</v>
      </c>
      <c r="W2609" s="5" t="s">
        <v>72</v>
      </c>
      <c r="X2609" s="5" t="s">
        <v>72</v>
      </c>
      <c r="Y2609" s="4">
        <v>217</v>
      </c>
      <c r="Z2609" s="4">
        <v>6</v>
      </c>
      <c r="AA2609" s="4">
        <v>37</v>
      </c>
      <c r="AB2609" s="4">
        <v>1</v>
      </c>
      <c r="AC2609" s="4">
        <v>4</v>
      </c>
      <c r="AD2609" s="4">
        <v>40</v>
      </c>
      <c r="AE2609" s="4">
        <v>125</v>
      </c>
      <c r="AF2609" s="4">
        <v>0</v>
      </c>
      <c r="AG2609" s="4">
        <v>0</v>
      </c>
      <c r="AH2609" s="4">
        <v>38</v>
      </c>
      <c r="AI2609" s="4">
        <v>108</v>
      </c>
      <c r="AJ2609" s="4">
        <v>2</v>
      </c>
      <c r="AK2609" s="4">
        <v>18</v>
      </c>
      <c r="AL2609" s="4">
        <v>32</v>
      </c>
      <c r="AM2609" s="4">
        <v>61</v>
      </c>
      <c r="AN2609" s="4">
        <v>0</v>
      </c>
      <c r="AO2609" s="4">
        <v>0</v>
      </c>
      <c r="AP2609" s="4">
        <v>2</v>
      </c>
      <c r="AQ2609" s="4">
        <v>20</v>
      </c>
      <c r="AR2609" s="3" t="s">
        <v>65</v>
      </c>
      <c r="AS2609" s="3" t="s">
        <v>65</v>
      </c>
      <c r="AT2609" s="3" t="s">
        <v>65</v>
      </c>
      <c r="AV2609" s="6" t="str">
        <f>HYPERLINK("http://mcgill.on.worldcat.org/oclc/886483821","Catalog Record")</f>
        <v>Catalog Record</v>
      </c>
      <c r="AW2609" s="6" t="str">
        <f>HYPERLINK("http://www.worldcat.org/oclc/886483821","WorldCat Record")</f>
        <v>WorldCat Record</v>
      </c>
      <c r="AX2609" s="3" t="s">
        <v>25766</v>
      </c>
      <c r="AY2609" s="3" t="s">
        <v>25767</v>
      </c>
      <c r="AZ2609" s="3" t="s">
        <v>25768</v>
      </c>
      <c r="BA2609" s="3" t="s">
        <v>25768</v>
      </c>
      <c r="BB2609" s="3" t="s">
        <v>25769</v>
      </c>
      <c r="BC2609" s="3" t="s">
        <v>77</v>
      </c>
      <c r="BD2609" s="3" t="s">
        <v>106</v>
      </c>
      <c r="BE2609" s="3" t="s">
        <v>25770</v>
      </c>
      <c r="BF2609" s="3" t="s">
        <v>25769</v>
      </c>
      <c r="BG2609" s="3" t="s">
        <v>25771</v>
      </c>
    </row>
    <row r="2610" spans="1:59" ht="58" x14ac:dyDescent="0.35">
      <c r="A2610" s="2" t="s">
        <v>59</v>
      </c>
      <c r="B2610" s="2" t="s">
        <v>60</v>
      </c>
      <c r="C2610" s="2" t="s">
        <v>25772</v>
      </c>
      <c r="D2610" s="2" t="s">
        <v>25773</v>
      </c>
      <c r="E2610" s="2" t="s">
        <v>25774</v>
      </c>
      <c r="G2610" s="3" t="s">
        <v>65</v>
      </c>
      <c r="I2610" s="3" t="s">
        <v>65</v>
      </c>
      <c r="J2610" s="3" t="s">
        <v>209</v>
      </c>
      <c r="K2610" s="3" t="s">
        <v>66</v>
      </c>
      <c r="L2610" s="2" t="s">
        <v>25649</v>
      </c>
      <c r="M2610" s="2" t="s">
        <v>25775</v>
      </c>
      <c r="N2610" s="3" t="s">
        <v>311</v>
      </c>
      <c r="P2610" s="3" t="s">
        <v>69</v>
      </c>
      <c r="R2610" s="3" t="s">
        <v>71</v>
      </c>
      <c r="S2610" s="4">
        <v>9</v>
      </c>
      <c r="T2610" s="4">
        <v>9</v>
      </c>
      <c r="U2610" s="5" t="s">
        <v>25776</v>
      </c>
      <c r="V2610" s="5" t="s">
        <v>25776</v>
      </c>
      <c r="W2610" s="5" t="s">
        <v>72</v>
      </c>
      <c r="X2610" s="5" t="s">
        <v>72</v>
      </c>
      <c r="Y2610" s="4">
        <v>234</v>
      </c>
      <c r="Z2610" s="4">
        <v>7</v>
      </c>
      <c r="AA2610" s="4">
        <v>37</v>
      </c>
      <c r="AB2610" s="4">
        <v>1</v>
      </c>
      <c r="AC2610" s="4">
        <v>4</v>
      </c>
      <c r="AD2610" s="4">
        <v>72</v>
      </c>
      <c r="AE2610" s="4">
        <v>125</v>
      </c>
      <c r="AF2610" s="4">
        <v>0</v>
      </c>
      <c r="AG2610" s="4">
        <v>0</v>
      </c>
      <c r="AH2610" s="4">
        <v>66</v>
      </c>
      <c r="AI2610" s="4">
        <v>108</v>
      </c>
      <c r="AJ2610" s="4">
        <v>6</v>
      </c>
      <c r="AK2610" s="4">
        <v>18</v>
      </c>
      <c r="AL2610" s="4">
        <v>39</v>
      </c>
      <c r="AM2610" s="4">
        <v>61</v>
      </c>
      <c r="AN2610" s="4">
        <v>0</v>
      </c>
      <c r="AO2610" s="4">
        <v>0</v>
      </c>
      <c r="AP2610" s="4">
        <v>5</v>
      </c>
      <c r="AQ2610" s="4">
        <v>20</v>
      </c>
      <c r="AR2610" s="3" t="s">
        <v>65</v>
      </c>
      <c r="AS2610" s="3" t="s">
        <v>65</v>
      </c>
      <c r="AT2610" s="3" t="s">
        <v>209</v>
      </c>
      <c r="AU2610" s="6" t="str">
        <f>HYPERLINK("http://catalog.hathitrust.org/Record/001361328","HathiTrust Record")</f>
        <v>HathiTrust Record</v>
      </c>
      <c r="AV2610" s="6" t="str">
        <f>HYPERLINK("http://mcgill.on.worldcat.org/oclc/1169656","Catalog Record")</f>
        <v>Catalog Record</v>
      </c>
      <c r="AW2610" s="6" t="str">
        <f>HYPERLINK("http://www.worldcat.org/oclc/1169656","WorldCat Record")</f>
        <v>WorldCat Record</v>
      </c>
      <c r="AX2610" s="3" t="s">
        <v>25766</v>
      </c>
      <c r="AY2610" s="3" t="s">
        <v>25777</v>
      </c>
      <c r="AZ2610" s="3" t="s">
        <v>25778</v>
      </c>
      <c r="BA2610" s="3" t="s">
        <v>25778</v>
      </c>
      <c r="BB2610" s="3" t="s">
        <v>25779</v>
      </c>
      <c r="BC2610" s="3" t="s">
        <v>77</v>
      </c>
      <c r="BD2610" s="3" t="s">
        <v>78</v>
      </c>
      <c r="BF2610" s="3" t="s">
        <v>25779</v>
      </c>
      <c r="BG2610" s="3" t="s">
        <v>25780</v>
      </c>
    </row>
    <row r="2611" spans="1:59" ht="58" x14ac:dyDescent="0.35">
      <c r="A2611" s="2" t="s">
        <v>59</v>
      </c>
      <c r="B2611" s="2" t="s">
        <v>60</v>
      </c>
      <c r="C2611" s="2" t="s">
        <v>25781</v>
      </c>
      <c r="D2611" s="2" t="s">
        <v>25782</v>
      </c>
      <c r="E2611" s="2" t="s">
        <v>25783</v>
      </c>
      <c r="G2611" s="3" t="s">
        <v>65</v>
      </c>
      <c r="I2611" s="3" t="s">
        <v>65</v>
      </c>
      <c r="J2611" s="3" t="s">
        <v>209</v>
      </c>
      <c r="K2611" s="3" t="s">
        <v>66</v>
      </c>
      <c r="L2611" s="2" t="s">
        <v>25649</v>
      </c>
      <c r="M2611" s="2" t="s">
        <v>25784</v>
      </c>
      <c r="N2611" s="3" t="s">
        <v>615</v>
      </c>
      <c r="P2611" s="3" t="s">
        <v>69</v>
      </c>
      <c r="R2611" s="3" t="s">
        <v>71</v>
      </c>
      <c r="S2611" s="4">
        <v>9</v>
      </c>
      <c r="T2611" s="4">
        <v>9</v>
      </c>
      <c r="U2611" s="5" t="s">
        <v>25785</v>
      </c>
      <c r="V2611" s="5" t="s">
        <v>25785</v>
      </c>
      <c r="W2611" s="5" t="s">
        <v>72</v>
      </c>
      <c r="X2611" s="5" t="s">
        <v>72</v>
      </c>
      <c r="Y2611" s="4">
        <v>176</v>
      </c>
      <c r="Z2611" s="4">
        <v>15</v>
      </c>
      <c r="AA2611" s="4">
        <v>37</v>
      </c>
      <c r="AB2611" s="4">
        <v>1</v>
      </c>
      <c r="AC2611" s="4">
        <v>4</v>
      </c>
      <c r="AD2611" s="4">
        <v>60</v>
      </c>
      <c r="AE2611" s="4">
        <v>125</v>
      </c>
      <c r="AF2611" s="4">
        <v>0</v>
      </c>
      <c r="AG2611" s="4">
        <v>0</v>
      </c>
      <c r="AH2611" s="4">
        <v>51</v>
      </c>
      <c r="AI2611" s="4">
        <v>108</v>
      </c>
      <c r="AJ2611" s="4">
        <v>8</v>
      </c>
      <c r="AK2611" s="4">
        <v>18</v>
      </c>
      <c r="AL2611" s="4">
        <v>31</v>
      </c>
      <c r="AM2611" s="4">
        <v>61</v>
      </c>
      <c r="AN2611" s="4">
        <v>0</v>
      </c>
      <c r="AO2611" s="4">
        <v>0</v>
      </c>
      <c r="AP2611" s="4">
        <v>9</v>
      </c>
      <c r="AQ2611" s="4">
        <v>20</v>
      </c>
      <c r="AR2611" s="3" t="s">
        <v>65</v>
      </c>
      <c r="AS2611" s="3" t="s">
        <v>65</v>
      </c>
      <c r="AT2611" s="3" t="s">
        <v>209</v>
      </c>
      <c r="AU2611" s="6" t="str">
        <f>HYPERLINK("http://catalog.hathitrust.org/Record/000369214","HathiTrust Record")</f>
        <v>HathiTrust Record</v>
      </c>
      <c r="AV2611" s="6" t="str">
        <f>HYPERLINK("http://mcgill.on.worldcat.org/oclc/11183194","Catalog Record")</f>
        <v>Catalog Record</v>
      </c>
      <c r="AW2611" s="6" t="str">
        <f>HYPERLINK("http://www.worldcat.org/oclc/11183194","WorldCat Record")</f>
        <v>WorldCat Record</v>
      </c>
      <c r="AX2611" s="3" t="s">
        <v>25766</v>
      </c>
      <c r="AY2611" s="3" t="s">
        <v>25786</v>
      </c>
      <c r="AZ2611" s="3" t="s">
        <v>25787</v>
      </c>
      <c r="BA2611" s="3" t="s">
        <v>25787</v>
      </c>
      <c r="BB2611" s="3" t="s">
        <v>25788</v>
      </c>
      <c r="BC2611" s="3" t="s">
        <v>77</v>
      </c>
      <c r="BD2611" s="3" t="s">
        <v>78</v>
      </c>
      <c r="BE2611" s="3" t="s">
        <v>25789</v>
      </c>
      <c r="BF2611" s="3" t="s">
        <v>25788</v>
      </c>
      <c r="BG2611" s="3" t="s">
        <v>25790</v>
      </c>
    </row>
    <row r="2612" spans="1:59" ht="58" x14ac:dyDescent="0.35">
      <c r="A2612" s="2" t="s">
        <v>59</v>
      </c>
      <c r="B2612" s="2" t="s">
        <v>60</v>
      </c>
      <c r="C2612" s="2" t="s">
        <v>25791</v>
      </c>
      <c r="D2612" s="2" t="s">
        <v>25792</v>
      </c>
      <c r="E2612" s="2" t="s">
        <v>25793</v>
      </c>
      <c r="G2612" s="3" t="s">
        <v>65</v>
      </c>
      <c r="I2612" s="3" t="s">
        <v>65</v>
      </c>
      <c r="J2612" s="3" t="s">
        <v>65</v>
      </c>
      <c r="K2612" s="3" t="s">
        <v>66</v>
      </c>
      <c r="L2612" s="2" t="s">
        <v>25649</v>
      </c>
      <c r="M2612" s="2" t="s">
        <v>25794</v>
      </c>
      <c r="N2612" s="3" t="s">
        <v>4042</v>
      </c>
      <c r="O2612" s="2" t="s">
        <v>5881</v>
      </c>
      <c r="P2612" s="3" t="s">
        <v>140</v>
      </c>
      <c r="Q2612" s="2" t="s">
        <v>25795</v>
      </c>
      <c r="R2612" s="3" t="s">
        <v>71</v>
      </c>
      <c r="S2612" s="4">
        <v>3</v>
      </c>
      <c r="T2612" s="4">
        <v>3</v>
      </c>
      <c r="U2612" s="5" t="s">
        <v>25796</v>
      </c>
      <c r="V2612" s="5" t="s">
        <v>25796</v>
      </c>
      <c r="W2612" s="5" t="s">
        <v>72</v>
      </c>
      <c r="X2612" s="5" t="s">
        <v>72</v>
      </c>
      <c r="Y2612" s="4">
        <v>111</v>
      </c>
      <c r="Z2612" s="4">
        <v>14</v>
      </c>
      <c r="AA2612" s="4">
        <v>24</v>
      </c>
      <c r="AB2612" s="4">
        <v>1</v>
      </c>
      <c r="AC2612" s="4">
        <v>5</v>
      </c>
      <c r="AD2612" s="4">
        <v>54</v>
      </c>
      <c r="AE2612" s="4">
        <v>92</v>
      </c>
      <c r="AF2612" s="4">
        <v>0</v>
      </c>
      <c r="AG2612" s="4">
        <v>2</v>
      </c>
      <c r="AH2612" s="4">
        <v>48</v>
      </c>
      <c r="AI2612" s="4">
        <v>84</v>
      </c>
      <c r="AJ2612" s="4">
        <v>8</v>
      </c>
      <c r="AK2612" s="4">
        <v>15</v>
      </c>
      <c r="AL2612" s="4">
        <v>32</v>
      </c>
      <c r="AM2612" s="4">
        <v>53</v>
      </c>
      <c r="AN2612" s="4">
        <v>0</v>
      </c>
      <c r="AO2612" s="4">
        <v>1</v>
      </c>
      <c r="AP2612" s="4">
        <v>9</v>
      </c>
      <c r="AQ2612" s="4">
        <v>15</v>
      </c>
      <c r="AR2612" s="3" t="s">
        <v>65</v>
      </c>
      <c r="AS2612" s="3" t="s">
        <v>65</v>
      </c>
      <c r="AT2612" s="3" t="s">
        <v>209</v>
      </c>
      <c r="AU2612" s="6" t="str">
        <f>HYPERLINK("http://catalog.hathitrust.org/Record/006710982","HathiTrust Record")</f>
        <v>HathiTrust Record</v>
      </c>
      <c r="AV2612" s="6" t="str">
        <f>HYPERLINK("http://mcgill.on.worldcat.org/oclc/691864","Catalog Record")</f>
        <v>Catalog Record</v>
      </c>
      <c r="AW2612" s="6" t="str">
        <f>HYPERLINK("http://www.worldcat.org/oclc/691864","WorldCat Record")</f>
        <v>WorldCat Record</v>
      </c>
      <c r="AX2612" s="3" t="s">
        <v>25797</v>
      </c>
      <c r="AY2612" s="3" t="s">
        <v>25798</v>
      </c>
      <c r="AZ2612" s="3" t="s">
        <v>25799</v>
      </c>
      <c r="BA2612" s="3" t="s">
        <v>25799</v>
      </c>
      <c r="BB2612" s="3" t="s">
        <v>25800</v>
      </c>
      <c r="BC2612" s="3" t="s">
        <v>77</v>
      </c>
      <c r="BD2612" s="3" t="s">
        <v>78</v>
      </c>
      <c r="BF2612" s="3" t="s">
        <v>25800</v>
      </c>
      <c r="BG2612" s="3" t="s">
        <v>25801</v>
      </c>
    </row>
    <row r="2613" spans="1:59" ht="58" x14ac:dyDescent="0.35">
      <c r="A2613" s="2" t="s">
        <v>59</v>
      </c>
      <c r="B2613" s="2" t="s">
        <v>60</v>
      </c>
      <c r="C2613" s="2" t="s">
        <v>25802</v>
      </c>
      <c r="D2613" s="2" t="s">
        <v>25803</v>
      </c>
      <c r="E2613" s="2" t="s">
        <v>25804</v>
      </c>
      <c r="G2613" s="3" t="s">
        <v>65</v>
      </c>
      <c r="I2613" s="3" t="s">
        <v>65</v>
      </c>
      <c r="J2613" s="3" t="s">
        <v>209</v>
      </c>
      <c r="K2613" s="3" t="s">
        <v>66</v>
      </c>
      <c r="L2613" s="2" t="s">
        <v>25649</v>
      </c>
      <c r="M2613" s="2" t="s">
        <v>25805</v>
      </c>
      <c r="N2613" s="3" t="s">
        <v>615</v>
      </c>
      <c r="O2613" s="2" t="s">
        <v>25349</v>
      </c>
      <c r="P2613" s="3" t="s">
        <v>140</v>
      </c>
      <c r="Q2613" s="2" t="s">
        <v>25806</v>
      </c>
      <c r="R2613" s="3" t="s">
        <v>71</v>
      </c>
      <c r="S2613" s="4">
        <v>15</v>
      </c>
      <c r="T2613" s="4">
        <v>15</v>
      </c>
      <c r="U2613" s="5" t="s">
        <v>25807</v>
      </c>
      <c r="V2613" s="5" t="s">
        <v>25807</v>
      </c>
      <c r="W2613" s="5" t="s">
        <v>72</v>
      </c>
      <c r="X2613" s="5" t="s">
        <v>72</v>
      </c>
      <c r="Y2613" s="4">
        <v>11</v>
      </c>
      <c r="Z2613" s="4">
        <v>1</v>
      </c>
      <c r="AA2613" s="4">
        <v>23</v>
      </c>
      <c r="AB2613" s="4">
        <v>1</v>
      </c>
      <c r="AC2613" s="4">
        <v>3</v>
      </c>
      <c r="AD2613" s="4">
        <v>0</v>
      </c>
      <c r="AE2613" s="4">
        <v>85</v>
      </c>
      <c r="AF2613" s="4">
        <v>0</v>
      </c>
      <c r="AG2613" s="4">
        <v>1</v>
      </c>
      <c r="AH2613" s="4">
        <v>0</v>
      </c>
      <c r="AI2613" s="4">
        <v>76</v>
      </c>
      <c r="AJ2613" s="4">
        <v>0</v>
      </c>
      <c r="AK2613" s="4">
        <v>13</v>
      </c>
      <c r="AL2613" s="4">
        <v>0</v>
      </c>
      <c r="AM2613" s="4">
        <v>47</v>
      </c>
      <c r="AN2613" s="4">
        <v>0</v>
      </c>
      <c r="AO2613" s="4">
        <v>3</v>
      </c>
      <c r="AP2613" s="4">
        <v>0</v>
      </c>
      <c r="AQ2613" s="4">
        <v>13</v>
      </c>
      <c r="AR2613" s="3" t="s">
        <v>65</v>
      </c>
      <c r="AS2613" s="3" t="s">
        <v>65</v>
      </c>
      <c r="AT2613" s="3" t="s">
        <v>65</v>
      </c>
      <c r="AV2613" s="6" t="str">
        <f>HYPERLINK("http://mcgill.on.worldcat.org/oclc/19346446","Catalog Record")</f>
        <v>Catalog Record</v>
      </c>
      <c r="AW2613" s="6" t="str">
        <f>HYPERLINK("http://www.worldcat.org/oclc/19346446","WorldCat Record")</f>
        <v>WorldCat Record</v>
      </c>
      <c r="AX2613" s="3" t="s">
        <v>25808</v>
      </c>
      <c r="AY2613" s="3" t="s">
        <v>25809</v>
      </c>
      <c r="AZ2613" s="3" t="s">
        <v>25810</v>
      </c>
      <c r="BA2613" s="3" t="s">
        <v>25810</v>
      </c>
      <c r="BB2613" s="3" t="s">
        <v>25811</v>
      </c>
      <c r="BC2613" s="3" t="s">
        <v>77</v>
      </c>
      <c r="BD2613" s="3" t="s">
        <v>78</v>
      </c>
      <c r="BF2613" s="3" t="s">
        <v>25811</v>
      </c>
      <c r="BG2613" s="3" t="s">
        <v>25812</v>
      </c>
    </row>
    <row r="2614" spans="1:59" ht="58" x14ac:dyDescent="0.35">
      <c r="A2614" s="2" t="s">
        <v>59</v>
      </c>
      <c r="B2614" s="2" t="s">
        <v>60</v>
      </c>
      <c r="C2614" s="2" t="s">
        <v>25813</v>
      </c>
      <c r="D2614" s="2" t="s">
        <v>25814</v>
      </c>
      <c r="E2614" s="2" t="s">
        <v>25815</v>
      </c>
      <c r="G2614" s="3" t="s">
        <v>65</v>
      </c>
      <c r="I2614" s="3" t="s">
        <v>65</v>
      </c>
      <c r="J2614" s="3" t="s">
        <v>65</v>
      </c>
      <c r="K2614" s="3" t="s">
        <v>66</v>
      </c>
      <c r="L2614" s="2" t="s">
        <v>25649</v>
      </c>
      <c r="M2614" s="2" t="s">
        <v>25816</v>
      </c>
      <c r="N2614" s="3" t="s">
        <v>4688</v>
      </c>
      <c r="P2614" s="3" t="s">
        <v>69</v>
      </c>
      <c r="R2614" s="3" t="s">
        <v>71</v>
      </c>
      <c r="S2614" s="4">
        <v>10</v>
      </c>
      <c r="T2614" s="4">
        <v>10</v>
      </c>
      <c r="U2614" s="5" t="s">
        <v>11015</v>
      </c>
      <c r="V2614" s="5" t="s">
        <v>11015</v>
      </c>
      <c r="W2614" s="5" t="s">
        <v>72</v>
      </c>
      <c r="X2614" s="5" t="s">
        <v>72</v>
      </c>
      <c r="Y2614" s="4">
        <v>329</v>
      </c>
      <c r="Z2614" s="4">
        <v>16</v>
      </c>
      <c r="AA2614" s="4">
        <v>29</v>
      </c>
      <c r="AB2614" s="4">
        <v>1</v>
      </c>
      <c r="AC2614" s="4">
        <v>4</v>
      </c>
      <c r="AD2614" s="4">
        <v>85</v>
      </c>
      <c r="AE2614" s="4">
        <v>110</v>
      </c>
      <c r="AF2614" s="4">
        <v>0</v>
      </c>
      <c r="AG2614" s="4">
        <v>1</v>
      </c>
      <c r="AH2614" s="4">
        <v>80</v>
      </c>
      <c r="AI2614" s="4">
        <v>98</v>
      </c>
      <c r="AJ2614" s="4">
        <v>11</v>
      </c>
      <c r="AK2614" s="4">
        <v>17</v>
      </c>
      <c r="AL2614" s="4">
        <v>49</v>
      </c>
      <c r="AM2614" s="4">
        <v>56</v>
      </c>
      <c r="AN2614" s="4">
        <v>1</v>
      </c>
      <c r="AO2614" s="4">
        <v>1</v>
      </c>
      <c r="AP2614" s="4">
        <v>11</v>
      </c>
      <c r="AQ2614" s="4">
        <v>18</v>
      </c>
      <c r="AR2614" s="3" t="s">
        <v>65</v>
      </c>
      <c r="AS2614" s="3" t="s">
        <v>65</v>
      </c>
      <c r="AT2614" s="3" t="s">
        <v>209</v>
      </c>
      <c r="AU2614" s="6" t="str">
        <f>HYPERLINK("http://catalog.hathitrust.org/Record/000614065","HathiTrust Record")</f>
        <v>HathiTrust Record</v>
      </c>
      <c r="AV2614" s="6" t="str">
        <f>HYPERLINK("http://mcgill.on.worldcat.org/oclc/15628386","Catalog Record")</f>
        <v>Catalog Record</v>
      </c>
      <c r="AW2614" s="6" t="str">
        <f>HYPERLINK("http://www.worldcat.org/oclc/15628386","WorldCat Record")</f>
        <v>WorldCat Record</v>
      </c>
      <c r="AX2614" s="3" t="s">
        <v>25817</v>
      </c>
      <c r="AY2614" s="3" t="s">
        <v>25818</v>
      </c>
      <c r="AZ2614" s="3" t="s">
        <v>25819</v>
      </c>
      <c r="BA2614" s="3" t="s">
        <v>25819</v>
      </c>
      <c r="BB2614" s="3" t="s">
        <v>25820</v>
      </c>
      <c r="BC2614" s="3" t="s">
        <v>77</v>
      </c>
      <c r="BD2614" s="3" t="s">
        <v>78</v>
      </c>
      <c r="BE2614" s="3" t="s">
        <v>25821</v>
      </c>
      <c r="BF2614" s="3" t="s">
        <v>25820</v>
      </c>
      <c r="BG2614" s="3" t="s">
        <v>25822</v>
      </c>
    </row>
    <row r="2615" spans="1:59" ht="58" x14ac:dyDescent="0.35">
      <c r="A2615" s="2" t="s">
        <v>59</v>
      </c>
      <c r="B2615" s="2" t="s">
        <v>60</v>
      </c>
      <c r="C2615" s="2" t="s">
        <v>25823</v>
      </c>
      <c r="D2615" s="2" t="s">
        <v>25824</v>
      </c>
      <c r="E2615" s="2" t="s">
        <v>25825</v>
      </c>
      <c r="G2615" s="3" t="s">
        <v>65</v>
      </c>
      <c r="I2615" s="3" t="s">
        <v>65</v>
      </c>
      <c r="J2615" s="3" t="s">
        <v>65</v>
      </c>
      <c r="K2615" s="3" t="s">
        <v>66</v>
      </c>
      <c r="L2615" s="2" t="s">
        <v>25649</v>
      </c>
      <c r="M2615" s="2" t="s">
        <v>25826</v>
      </c>
      <c r="N2615" s="3" t="s">
        <v>8188</v>
      </c>
      <c r="P2615" s="3" t="s">
        <v>69</v>
      </c>
      <c r="R2615" s="3" t="s">
        <v>71</v>
      </c>
      <c r="S2615" s="4">
        <v>10</v>
      </c>
      <c r="T2615" s="4">
        <v>10</v>
      </c>
      <c r="U2615" s="5" t="s">
        <v>24707</v>
      </c>
      <c r="V2615" s="5" t="s">
        <v>24707</v>
      </c>
      <c r="W2615" s="5" t="s">
        <v>72</v>
      </c>
      <c r="X2615" s="5" t="s">
        <v>72</v>
      </c>
      <c r="Y2615" s="4">
        <v>88</v>
      </c>
      <c r="Z2615" s="4">
        <v>8</v>
      </c>
      <c r="AA2615" s="4">
        <v>16</v>
      </c>
      <c r="AB2615" s="4">
        <v>2</v>
      </c>
      <c r="AC2615" s="4">
        <v>2</v>
      </c>
      <c r="AD2615" s="4">
        <v>35</v>
      </c>
      <c r="AE2615" s="4">
        <v>87</v>
      </c>
      <c r="AF2615" s="4">
        <v>0</v>
      </c>
      <c r="AG2615" s="4">
        <v>0</v>
      </c>
      <c r="AH2615" s="4">
        <v>34</v>
      </c>
      <c r="AI2615" s="4">
        <v>80</v>
      </c>
      <c r="AJ2615" s="4">
        <v>4</v>
      </c>
      <c r="AK2615" s="4">
        <v>8</v>
      </c>
      <c r="AL2615" s="4">
        <v>21</v>
      </c>
      <c r="AM2615" s="4">
        <v>51</v>
      </c>
      <c r="AN2615" s="4">
        <v>0</v>
      </c>
      <c r="AO2615" s="4">
        <v>0</v>
      </c>
      <c r="AP2615" s="4">
        <v>4</v>
      </c>
      <c r="AQ2615" s="4">
        <v>8</v>
      </c>
      <c r="AR2615" s="3" t="s">
        <v>65</v>
      </c>
      <c r="AS2615" s="3" t="s">
        <v>65</v>
      </c>
      <c r="AT2615" s="3" t="s">
        <v>209</v>
      </c>
      <c r="AU2615" s="6" t="str">
        <f>HYPERLINK("http://catalog.hathitrust.org/Record/000903733","HathiTrust Record")</f>
        <v>HathiTrust Record</v>
      </c>
      <c r="AV2615" s="6" t="str">
        <f>HYPERLINK("http://mcgill.on.worldcat.org/oclc/16465838","Catalog Record")</f>
        <v>Catalog Record</v>
      </c>
      <c r="AW2615" s="6" t="str">
        <f>HYPERLINK("http://www.worldcat.org/oclc/16465838","WorldCat Record")</f>
        <v>WorldCat Record</v>
      </c>
      <c r="AX2615" s="3" t="s">
        <v>25827</v>
      </c>
      <c r="AY2615" s="3" t="s">
        <v>25828</v>
      </c>
      <c r="AZ2615" s="3" t="s">
        <v>25829</v>
      </c>
      <c r="BA2615" s="3" t="s">
        <v>25829</v>
      </c>
      <c r="BB2615" s="3" t="s">
        <v>25830</v>
      </c>
      <c r="BC2615" s="3" t="s">
        <v>77</v>
      </c>
      <c r="BD2615" s="3" t="s">
        <v>78</v>
      </c>
      <c r="BE2615" s="3" t="s">
        <v>25831</v>
      </c>
      <c r="BF2615" s="3" t="s">
        <v>25830</v>
      </c>
      <c r="BG2615" s="3" t="s">
        <v>25832</v>
      </c>
    </row>
    <row r="2616" spans="1:59" ht="58" x14ac:dyDescent="0.35">
      <c r="A2616" s="2" t="s">
        <v>59</v>
      </c>
      <c r="B2616" s="2" t="s">
        <v>60</v>
      </c>
      <c r="C2616" s="2" t="s">
        <v>25833</v>
      </c>
      <c r="D2616" s="2" t="s">
        <v>25834</v>
      </c>
      <c r="E2616" s="2" t="s">
        <v>25835</v>
      </c>
      <c r="G2616" s="3" t="s">
        <v>65</v>
      </c>
      <c r="I2616" s="3" t="s">
        <v>65</v>
      </c>
      <c r="J2616" s="3" t="s">
        <v>209</v>
      </c>
      <c r="K2616" s="3" t="s">
        <v>66</v>
      </c>
      <c r="L2616" s="2" t="s">
        <v>25649</v>
      </c>
      <c r="M2616" s="2" t="s">
        <v>25836</v>
      </c>
      <c r="N2616" s="3" t="s">
        <v>831</v>
      </c>
      <c r="P2616" s="3" t="s">
        <v>140</v>
      </c>
      <c r="Q2616" s="2" t="s">
        <v>13719</v>
      </c>
      <c r="R2616" s="3" t="s">
        <v>71</v>
      </c>
      <c r="S2616" s="4">
        <v>14</v>
      </c>
      <c r="T2616" s="4">
        <v>14</v>
      </c>
      <c r="U2616" s="5" t="s">
        <v>25720</v>
      </c>
      <c r="V2616" s="5" t="s">
        <v>25720</v>
      </c>
      <c r="W2616" s="5" t="s">
        <v>72</v>
      </c>
      <c r="X2616" s="5" t="s">
        <v>72</v>
      </c>
      <c r="Y2616" s="4">
        <v>81</v>
      </c>
      <c r="Z2616" s="4">
        <v>10</v>
      </c>
      <c r="AA2616" s="4">
        <v>28</v>
      </c>
      <c r="AB2616" s="4">
        <v>1</v>
      </c>
      <c r="AC2616" s="4">
        <v>3</v>
      </c>
      <c r="AD2616" s="4">
        <v>29</v>
      </c>
      <c r="AE2616" s="4">
        <v>97</v>
      </c>
      <c r="AF2616" s="4">
        <v>0</v>
      </c>
      <c r="AG2616" s="4">
        <v>1</v>
      </c>
      <c r="AH2616" s="4">
        <v>25</v>
      </c>
      <c r="AI2616" s="4">
        <v>86</v>
      </c>
      <c r="AJ2616" s="4">
        <v>8</v>
      </c>
      <c r="AK2616" s="4">
        <v>17</v>
      </c>
      <c r="AL2616" s="4">
        <v>17</v>
      </c>
      <c r="AM2616" s="4">
        <v>52</v>
      </c>
      <c r="AN2616" s="4">
        <v>0</v>
      </c>
      <c r="AO2616" s="4">
        <v>6</v>
      </c>
      <c r="AP2616" s="4">
        <v>8</v>
      </c>
      <c r="AQ2616" s="4">
        <v>19</v>
      </c>
      <c r="AR2616" s="3" t="s">
        <v>65</v>
      </c>
      <c r="AS2616" s="3" t="s">
        <v>65</v>
      </c>
      <c r="AT2616" s="3" t="s">
        <v>65</v>
      </c>
      <c r="AV2616" s="6" t="str">
        <f>HYPERLINK("http://mcgill.on.worldcat.org/oclc/8942807","Catalog Record")</f>
        <v>Catalog Record</v>
      </c>
      <c r="AW2616" s="6" t="str">
        <f>HYPERLINK("http://www.worldcat.org/oclc/8942807","WorldCat Record")</f>
        <v>WorldCat Record</v>
      </c>
      <c r="AX2616" s="3" t="s">
        <v>25837</v>
      </c>
      <c r="AY2616" s="3" t="s">
        <v>25838</v>
      </c>
      <c r="AZ2616" s="3" t="s">
        <v>25839</v>
      </c>
      <c r="BA2616" s="3" t="s">
        <v>25839</v>
      </c>
      <c r="BB2616" s="3" t="s">
        <v>25840</v>
      </c>
      <c r="BC2616" s="3" t="s">
        <v>77</v>
      </c>
      <c r="BD2616" s="3" t="s">
        <v>78</v>
      </c>
      <c r="BE2616" s="3" t="s">
        <v>25841</v>
      </c>
      <c r="BF2616" s="3" t="s">
        <v>25840</v>
      </c>
      <c r="BG2616" s="3" t="s">
        <v>25842</v>
      </c>
    </row>
    <row r="2617" spans="1:59" ht="58" x14ac:dyDescent="0.35">
      <c r="A2617" s="2" t="s">
        <v>59</v>
      </c>
      <c r="B2617" s="2" t="s">
        <v>60</v>
      </c>
      <c r="C2617" s="2" t="s">
        <v>25843</v>
      </c>
      <c r="D2617" s="2" t="s">
        <v>25844</v>
      </c>
      <c r="E2617" s="2" t="s">
        <v>25845</v>
      </c>
      <c r="G2617" s="3" t="s">
        <v>65</v>
      </c>
      <c r="I2617" s="3" t="s">
        <v>65</v>
      </c>
      <c r="J2617" s="3" t="s">
        <v>209</v>
      </c>
      <c r="K2617" s="3" t="s">
        <v>66</v>
      </c>
      <c r="L2617" s="2" t="s">
        <v>25649</v>
      </c>
      <c r="M2617" s="2" t="s">
        <v>25846</v>
      </c>
      <c r="N2617" s="3" t="s">
        <v>3052</v>
      </c>
      <c r="P2617" s="3" t="s">
        <v>69</v>
      </c>
      <c r="R2617" s="3" t="s">
        <v>71</v>
      </c>
      <c r="S2617" s="4">
        <v>9</v>
      </c>
      <c r="T2617" s="4">
        <v>9</v>
      </c>
      <c r="U2617" s="5" t="s">
        <v>969</v>
      </c>
      <c r="V2617" s="5" t="s">
        <v>969</v>
      </c>
      <c r="W2617" s="5" t="s">
        <v>72</v>
      </c>
      <c r="X2617" s="5" t="s">
        <v>72</v>
      </c>
      <c r="Y2617" s="4">
        <v>134</v>
      </c>
      <c r="Z2617" s="4">
        <v>3</v>
      </c>
      <c r="AA2617" s="4">
        <v>23</v>
      </c>
      <c r="AB2617" s="4">
        <v>1</v>
      </c>
      <c r="AC2617" s="4">
        <v>5</v>
      </c>
      <c r="AD2617" s="4">
        <v>40</v>
      </c>
      <c r="AE2617" s="4">
        <v>96</v>
      </c>
      <c r="AF2617" s="4">
        <v>0</v>
      </c>
      <c r="AG2617" s="4">
        <v>1</v>
      </c>
      <c r="AH2617" s="4">
        <v>39</v>
      </c>
      <c r="AI2617" s="4">
        <v>87</v>
      </c>
      <c r="AJ2617" s="4">
        <v>1</v>
      </c>
      <c r="AK2617" s="4">
        <v>11</v>
      </c>
      <c r="AL2617" s="4">
        <v>26</v>
      </c>
      <c r="AM2617" s="4">
        <v>53</v>
      </c>
      <c r="AN2617" s="4">
        <v>0</v>
      </c>
      <c r="AO2617" s="4">
        <v>0</v>
      </c>
      <c r="AP2617" s="4">
        <v>1</v>
      </c>
      <c r="AQ2617" s="4">
        <v>10</v>
      </c>
      <c r="AR2617" s="3" t="s">
        <v>65</v>
      </c>
      <c r="AS2617" s="3" t="s">
        <v>65</v>
      </c>
      <c r="AT2617" s="3" t="s">
        <v>65</v>
      </c>
      <c r="AU2617" s="6" t="str">
        <f>HYPERLINK("http://catalog.hathitrust.org/Record/001219218","HathiTrust Record")</f>
        <v>HathiTrust Record</v>
      </c>
      <c r="AV2617" s="6" t="str">
        <f>HYPERLINK("http://mcgill.on.worldcat.org/oclc/1317057","Catalog Record")</f>
        <v>Catalog Record</v>
      </c>
      <c r="AW2617" s="6" t="str">
        <f>HYPERLINK("http://www.worldcat.org/oclc/1317057","WorldCat Record")</f>
        <v>WorldCat Record</v>
      </c>
      <c r="AX2617" s="3" t="s">
        <v>25847</v>
      </c>
      <c r="AY2617" s="3" t="s">
        <v>25848</v>
      </c>
      <c r="AZ2617" s="3" t="s">
        <v>25849</v>
      </c>
      <c r="BA2617" s="3" t="s">
        <v>25849</v>
      </c>
      <c r="BB2617" s="3" t="s">
        <v>25850</v>
      </c>
      <c r="BC2617" s="3" t="s">
        <v>77</v>
      </c>
      <c r="BD2617" s="3" t="s">
        <v>78</v>
      </c>
      <c r="BF2617" s="3" t="s">
        <v>25850</v>
      </c>
      <c r="BG2617" s="3" t="s">
        <v>25851</v>
      </c>
    </row>
    <row r="2618" spans="1:59" ht="58" x14ac:dyDescent="0.35">
      <c r="A2618" s="2" t="s">
        <v>59</v>
      </c>
      <c r="B2618" s="2" t="s">
        <v>60</v>
      </c>
      <c r="C2618" s="2" t="s">
        <v>25852</v>
      </c>
      <c r="D2618" s="2" t="s">
        <v>25853</v>
      </c>
      <c r="E2618" s="2" t="s">
        <v>25854</v>
      </c>
      <c r="G2618" s="3" t="s">
        <v>65</v>
      </c>
      <c r="I2618" s="3" t="s">
        <v>65</v>
      </c>
      <c r="J2618" s="3" t="s">
        <v>65</v>
      </c>
      <c r="K2618" s="3" t="s">
        <v>66</v>
      </c>
      <c r="L2618" s="2" t="s">
        <v>25649</v>
      </c>
      <c r="M2618" s="2" t="s">
        <v>25855</v>
      </c>
      <c r="N2618" s="3" t="s">
        <v>3385</v>
      </c>
      <c r="P2618" s="3" t="s">
        <v>140</v>
      </c>
      <c r="Q2618" s="2" t="s">
        <v>25856</v>
      </c>
      <c r="R2618" s="3" t="s">
        <v>71</v>
      </c>
      <c r="S2618" s="4">
        <v>8</v>
      </c>
      <c r="T2618" s="4">
        <v>8</v>
      </c>
      <c r="U2618" s="5" t="s">
        <v>25796</v>
      </c>
      <c r="V2618" s="5" t="s">
        <v>25796</v>
      </c>
      <c r="W2618" s="5" t="s">
        <v>72</v>
      </c>
      <c r="X2618" s="5" t="s">
        <v>72</v>
      </c>
      <c r="Y2618" s="4">
        <v>20</v>
      </c>
      <c r="Z2618" s="4">
        <v>4</v>
      </c>
      <c r="AA2618" s="4">
        <v>8</v>
      </c>
      <c r="AB2618" s="4">
        <v>1</v>
      </c>
      <c r="AC2618" s="4">
        <v>2</v>
      </c>
      <c r="AD2618" s="4">
        <v>5</v>
      </c>
      <c r="AE2618" s="4">
        <v>51</v>
      </c>
      <c r="AF2618" s="4">
        <v>0</v>
      </c>
      <c r="AG2618" s="4">
        <v>1</v>
      </c>
      <c r="AH2618" s="4">
        <v>5</v>
      </c>
      <c r="AI2618" s="4">
        <v>46</v>
      </c>
      <c r="AJ2618" s="4">
        <v>2</v>
      </c>
      <c r="AK2618" s="4">
        <v>6</v>
      </c>
      <c r="AL2618" s="4">
        <v>3</v>
      </c>
      <c r="AM2618" s="4">
        <v>37</v>
      </c>
      <c r="AN2618" s="4">
        <v>0</v>
      </c>
      <c r="AO2618" s="4">
        <v>0</v>
      </c>
      <c r="AP2618" s="4">
        <v>2</v>
      </c>
      <c r="AQ2618" s="4">
        <v>6</v>
      </c>
      <c r="AR2618" s="3" t="s">
        <v>65</v>
      </c>
      <c r="AS2618" s="3" t="s">
        <v>65</v>
      </c>
      <c r="AT2618" s="3" t="s">
        <v>209</v>
      </c>
      <c r="AU2618" s="6" t="str">
        <f>HYPERLINK("http://catalog.hathitrust.org/Record/004072777","HathiTrust Record")</f>
        <v>HathiTrust Record</v>
      </c>
      <c r="AV2618" s="6" t="str">
        <f>HYPERLINK("http://mcgill.on.worldcat.org/oclc/428074893","Catalog Record")</f>
        <v>Catalog Record</v>
      </c>
      <c r="AW2618" s="6" t="str">
        <f>HYPERLINK("http://www.worldcat.org/oclc/428074893","WorldCat Record")</f>
        <v>WorldCat Record</v>
      </c>
      <c r="AX2618" s="3" t="s">
        <v>25857</v>
      </c>
      <c r="AY2618" s="3" t="s">
        <v>25858</v>
      </c>
      <c r="AZ2618" s="3" t="s">
        <v>25859</v>
      </c>
      <c r="BA2618" s="3" t="s">
        <v>25859</v>
      </c>
      <c r="BB2618" s="3" t="s">
        <v>25860</v>
      </c>
      <c r="BC2618" s="3" t="s">
        <v>77</v>
      </c>
      <c r="BD2618" s="3" t="s">
        <v>78</v>
      </c>
      <c r="BE2618" s="3" t="s">
        <v>25861</v>
      </c>
      <c r="BF2618" s="3" t="s">
        <v>25860</v>
      </c>
      <c r="BG2618" s="3" t="s">
        <v>25862</v>
      </c>
    </row>
    <row r="2619" spans="1:59" ht="58" x14ac:dyDescent="0.35">
      <c r="A2619" s="2" t="s">
        <v>59</v>
      </c>
      <c r="B2619" s="2" t="s">
        <v>60</v>
      </c>
      <c r="C2619" s="2" t="s">
        <v>25863</v>
      </c>
      <c r="D2619" s="2" t="s">
        <v>25864</v>
      </c>
      <c r="E2619" s="2" t="s">
        <v>25865</v>
      </c>
      <c r="G2619" s="3" t="s">
        <v>65</v>
      </c>
      <c r="I2619" s="3" t="s">
        <v>65</v>
      </c>
      <c r="J2619" s="3" t="s">
        <v>65</v>
      </c>
      <c r="K2619" s="3" t="s">
        <v>66</v>
      </c>
      <c r="L2619" s="2" t="s">
        <v>25866</v>
      </c>
      <c r="M2619" s="2" t="s">
        <v>25867</v>
      </c>
      <c r="N2619" s="3" t="s">
        <v>176</v>
      </c>
      <c r="P2619" s="3" t="s">
        <v>140</v>
      </c>
      <c r="Q2619" s="2" t="s">
        <v>25868</v>
      </c>
      <c r="R2619" s="3" t="s">
        <v>71</v>
      </c>
      <c r="S2619" s="4">
        <v>0</v>
      </c>
      <c r="T2619" s="4">
        <v>0</v>
      </c>
      <c r="W2619" s="5" t="s">
        <v>72</v>
      </c>
      <c r="X2619" s="5" t="s">
        <v>72</v>
      </c>
      <c r="Y2619" s="4">
        <v>47</v>
      </c>
      <c r="Z2619" s="4">
        <v>6</v>
      </c>
      <c r="AA2619" s="4">
        <v>6</v>
      </c>
      <c r="AB2619" s="4">
        <v>1</v>
      </c>
      <c r="AC2619" s="4">
        <v>1</v>
      </c>
      <c r="AD2619" s="4">
        <v>37</v>
      </c>
      <c r="AE2619" s="4">
        <v>37</v>
      </c>
      <c r="AF2619" s="4">
        <v>0</v>
      </c>
      <c r="AG2619" s="4">
        <v>0</v>
      </c>
      <c r="AH2619" s="4">
        <v>35</v>
      </c>
      <c r="AI2619" s="4">
        <v>35</v>
      </c>
      <c r="AJ2619" s="4">
        <v>3</v>
      </c>
      <c r="AK2619" s="4">
        <v>3</v>
      </c>
      <c r="AL2619" s="4">
        <v>27</v>
      </c>
      <c r="AM2619" s="4">
        <v>27</v>
      </c>
      <c r="AN2619" s="4">
        <v>0</v>
      </c>
      <c r="AO2619" s="4">
        <v>0</v>
      </c>
      <c r="AP2619" s="4">
        <v>3</v>
      </c>
      <c r="AQ2619" s="4">
        <v>3</v>
      </c>
      <c r="AR2619" s="3" t="s">
        <v>65</v>
      </c>
      <c r="AS2619" s="3" t="s">
        <v>65</v>
      </c>
      <c r="AT2619" s="3" t="s">
        <v>65</v>
      </c>
      <c r="AV2619" s="6" t="str">
        <f>HYPERLINK("http://mcgill.on.worldcat.org/oclc/927413989","Catalog Record")</f>
        <v>Catalog Record</v>
      </c>
      <c r="AW2619" s="6" t="str">
        <f>HYPERLINK("http://www.worldcat.org/oclc/927413989","WorldCat Record")</f>
        <v>WorldCat Record</v>
      </c>
      <c r="AX2619" s="3" t="s">
        <v>25869</v>
      </c>
      <c r="AY2619" s="3" t="s">
        <v>25870</v>
      </c>
      <c r="AZ2619" s="3" t="s">
        <v>25871</v>
      </c>
      <c r="BA2619" s="3" t="s">
        <v>25871</v>
      </c>
      <c r="BB2619" s="3" t="s">
        <v>25872</v>
      </c>
      <c r="BC2619" s="3" t="s">
        <v>77</v>
      </c>
      <c r="BD2619" s="3" t="s">
        <v>78</v>
      </c>
      <c r="BE2619" s="3" t="s">
        <v>25873</v>
      </c>
      <c r="BF2619" s="3" t="s">
        <v>25872</v>
      </c>
      <c r="BG2619" s="3" t="s">
        <v>25874</v>
      </c>
    </row>
    <row r="2620" spans="1:59" ht="58" x14ac:dyDescent="0.35">
      <c r="A2620" s="2" t="s">
        <v>59</v>
      </c>
      <c r="B2620" s="2" t="s">
        <v>60</v>
      </c>
      <c r="C2620" s="2" t="s">
        <v>25875</v>
      </c>
      <c r="D2620" s="2" t="s">
        <v>25876</v>
      </c>
      <c r="E2620" s="2" t="s">
        <v>25877</v>
      </c>
      <c r="G2620" s="3" t="s">
        <v>65</v>
      </c>
      <c r="I2620" s="3" t="s">
        <v>65</v>
      </c>
      <c r="J2620" s="3" t="s">
        <v>65</v>
      </c>
      <c r="K2620" s="3" t="s">
        <v>66</v>
      </c>
      <c r="L2620" s="2" t="s">
        <v>25878</v>
      </c>
      <c r="M2620" s="2" t="s">
        <v>25879</v>
      </c>
      <c r="N2620" s="3" t="s">
        <v>113</v>
      </c>
      <c r="P2620" s="3" t="s">
        <v>69</v>
      </c>
      <c r="Q2620" s="2" t="s">
        <v>2245</v>
      </c>
      <c r="R2620" s="3" t="s">
        <v>71</v>
      </c>
      <c r="S2620" s="4">
        <v>0</v>
      </c>
      <c r="T2620" s="4">
        <v>0</v>
      </c>
      <c r="W2620" s="5" t="s">
        <v>72</v>
      </c>
      <c r="X2620" s="5" t="s">
        <v>72</v>
      </c>
      <c r="Y2620" s="4">
        <v>64</v>
      </c>
      <c r="Z2620" s="4">
        <v>7</v>
      </c>
      <c r="AA2620" s="4">
        <v>7</v>
      </c>
      <c r="AB2620" s="4">
        <v>1</v>
      </c>
      <c r="AC2620" s="4">
        <v>1</v>
      </c>
      <c r="AD2620" s="4">
        <v>36</v>
      </c>
      <c r="AE2620" s="4">
        <v>36</v>
      </c>
      <c r="AF2620" s="4">
        <v>0</v>
      </c>
      <c r="AG2620" s="4">
        <v>0</v>
      </c>
      <c r="AH2620" s="4">
        <v>36</v>
      </c>
      <c r="AI2620" s="4">
        <v>36</v>
      </c>
      <c r="AJ2620" s="4">
        <v>6</v>
      </c>
      <c r="AK2620" s="4">
        <v>6</v>
      </c>
      <c r="AL2620" s="4">
        <v>24</v>
      </c>
      <c r="AM2620" s="4">
        <v>24</v>
      </c>
      <c r="AN2620" s="4">
        <v>0</v>
      </c>
      <c r="AO2620" s="4">
        <v>0</v>
      </c>
      <c r="AP2620" s="4">
        <v>6</v>
      </c>
      <c r="AQ2620" s="4">
        <v>6</v>
      </c>
      <c r="AR2620" s="3" t="s">
        <v>65</v>
      </c>
      <c r="AS2620" s="3" t="s">
        <v>65</v>
      </c>
      <c r="AT2620" s="3" t="s">
        <v>65</v>
      </c>
      <c r="AV2620" s="6" t="str">
        <f>HYPERLINK("http://mcgill.on.worldcat.org/oclc/657205775","Catalog Record")</f>
        <v>Catalog Record</v>
      </c>
      <c r="AW2620" s="6" t="str">
        <f>HYPERLINK("http://www.worldcat.org/oclc/657205775","WorldCat Record")</f>
        <v>WorldCat Record</v>
      </c>
      <c r="AX2620" s="3" t="s">
        <v>25880</v>
      </c>
      <c r="AY2620" s="3" t="s">
        <v>25881</v>
      </c>
      <c r="AZ2620" s="3" t="s">
        <v>25882</v>
      </c>
      <c r="BA2620" s="3" t="s">
        <v>25882</v>
      </c>
      <c r="BB2620" s="3" t="s">
        <v>25883</v>
      </c>
      <c r="BC2620" s="3" t="s">
        <v>77</v>
      </c>
      <c r="BD2620" s="3" t="s">
        <v>78</v>
      </c>
      <c r="BE2620" s="3" t="s">
        <v>25884</v>
      </c>
      <c r="BF2620" s="3" t="s">
        <v>25883</v>
      </c>
      <c r="BG2620" s="3" t="s">
        <v>25885</v>
      </c>
    </row>
    <row r="2621" spans="1:59" ht="58" x14ac:dyDescent="0.35">
      <c r="A2621" s="2" t="s">
        <v>59</v>
      </c>
      <c r="B2621" s="2" t="s">
        <v>60</v>
      </c>
      <c r="C2621" s="2" t="s">
        <v>25886</v>
      </c>
      <c r="D2621" s="2" t="s">
        <v>25887</v>
      </c>
      <c r="E2621" s="2" t="s">
        <v>25888</v>
      </c>
      <c r="G2621" s="3" t="s">
        <v>65</v>
      </c>
      <c r="I2621" s="3" t="s">
        <v>65</v>
      </c>
      <c r="J2621" s="3" t="s">
        <v>65</v>
      </c>
      <c r="K2621" s="3" t="s">
        <v>66</v>
      </c>
      <c r="L2621" s="2" t="s">
        <v>25889</v>
      </c>
      <c r="M2621" s="2" t="s">
        <v>25890</v>
      </c>
      <c r="N2621" s="3" t="s">
        <v>86</v>
      </c>
      <c r="O2621" s="2" t="s">
        <v>25891</v>
      </c>
      <c r="P2621" s="3" t="s">
        <v>140</v>
      </c>
      <c r="Q2621" s="2" t="s">
        <v>25892</v>
      </c>
      <c r="R2621" s="3" t="s">
        <v>71</v>
      </c>
      <c r="S2621" s="4">
        <v>0</v>
      </c>
      <c r="T2621" s="4">
        <v>0</v>
      </c>
      <c r="W2621" s="5" t="s">
        <v>72</v>
      </c>
      <c r="X2621" s="5" t="s">
        <v>72</v>
      </c>
      <c r="Y2621" s="4">
        <v>64</v>
      </c>
      <c r="Z2621" s="4">
        <v>3</v>
      </c>
      <c r="AA2621" s="4">
        <v>5</v>
      </c>
      <c r="AB2621" s="4">
        <v>1</v>
      </c>
      <c r="AC2621" s="4">
        <v>2</v>
      </c>
      <c r="AD2621" s="4">
        <v>39</v>
      </c>
      <c r="AE2621" s="4">
        <v>41</v>
      </c>
      <c r="AF2621" s="4">
        <v>0</v>
      </c>
      <c r="AG2621" s="4">
        <v>1</v>
      </c>
      <c r="AH2621" s="4">
        <v>38</v>
      </c>
      <c r="AI2621" s="4">
        <v>39</v>
      </c>
      <c r="AJ2621" s="4">
        <v>1</v>
      </c>
      <c r="AK2621" s="4">
        <v>3</v>
      </c>
      <c r="AL2621" s="4">
        <v>30</v>
      </c>
      <c r="AM2621" s="4">
        <v>30</v>
      </c>
      <c r="AN2621" s="4">
        <v>0</v>
      </c>
      <c r="AO2621" s="4">
        <v>0</v>
      </c>
      <c r="AP2621" s="4">
        <v>1</v>
      </c>
      <c r="AQ2621" s="4">
        <v>2</v>
      </c>
      <c r="AR2621" s="3" t="s">
        <v>65</v>
      </c>
      <c r="AS2621" s="3" t="s">
        <v>65</v>
      </c>
      <c r="AT2621" s="3" t="s">
        <v>65</v>
      </c>
      <c r="AV2621" s="6" t="str">
        <f>HYPERLINK("http://mcgill.on.worldcat.org/oclc/1027636597","Catalog Record")</f>
        <v>Catalog Record</v>
      </c>
      <c r="AW2621" s="6" t="str">
        <f>HYPERLINK("http://www.worldcat.org/oclc/1027636597","WorldCat Record")</f>
        <v>WorldCat Record</v>
      </c>
      <c r="AX2621" s="3" t="s">
        <v>25893</v>
      </c>
      <c r="AY2621" s="3" t="s">
        <v>25894</v>
      </c>
      <c r="AZ2621" s="3" t="s">
        <v>25895</v>
      </c>
      <c r="BA2621" s="3" t="s">
        <v>25895</v>
      </c>
      <c r="BB2621" s="3" t="s">
        <v>25896</v>
      </c>
      <c r="BC2621" s="3" t="s">
        <v>77</v>
      </c>
      <c r="BD2621" s="3" t="s">
        <v>78</v>
      </c>
      <c r="BE2621" s="3" t="s">
        <v>25897</v>
      </c>
      <c r="BF2621" s="3" t="s">
        <v>25896</v>
      </c>
      <c r="BG2621" s="3" t="s">
        <v>25898</v>
      </c>
    </row>
    <row r="2622" spans="1:59" ht="58" x14ac:dyDescent="0.35">
      <c r="A2622" s="2" t="s">
        <v>59</v>
      </c>
      <c r="B2622" s="2" t="s">
        <v>60</v>
      </c>
      <c r="C2622" s="2" t="s">
        <v>25899</v>
      </c>
      <c r="D2622" s="2" t="s">
        <v>25900</v>
      </c>
      <c r="E2622" s="2" t="s">
        <v>20432</v>
      </c>
      <c r="G2622" s="3" t="s">
        <v>65</v>
      </c>
      <c r="I2622" s="3" t="s">
        <v>65</v>
      </c>
      <c r="J2622" s="3" t="s">
        <v>209</v>
      </c>
      <c r="K2622" s="3" t="s">
        <v>66</v>
      </c>
      <c r="L2622" s="2" t="s">
        <v>25901</v>
      </c>
      <c r="M2622" s="2" t="s">
        <v>25902</v>
      </c>
      <c r="N2622" s="3" t="s">
        <v>6681</v>
      </c>
      <c r="P2622" s="3" t="s">
        <v>140</v>
      </c>
      <c r="R2622" s="3" t="s">
        <v>71</v>
      </c>
      <c r="S2622" s="4">
        <v>3</v>
      </c>
      <c r="T2622" s="4">
        <v>3</v>
      </c>
      <c r="U2622" s="5" t="s">
        <v>25903</v>
      </c>
      <c r="V2622" s="5" t="s">
        <v>25903</v>
      </c>
      <c r="W2622" s="5" t="s">
        <v>72</v>
      </c>
      <c r="X2622" s="5" t="s">
        <v>72</v>
      </c>
      <c r="Y2622" s="4">
        <v>1</v>
      </c>
      <c r="Z2622" s="4">
        <v>1</v>
      </c>
      <c r="AA2622" s="4">
        <v>10</v>
      </c>
      <c r="AB2622" s="4">
        <v>1</v>
      </c>
      <c r="AC2622" s="4">
        <v>2</v>
      </c>
      <c r="AD2622" s="4">
        <v>0</v>
      </c>
      <c r="AE2622" s="4">
        <v>51</v>
      </c>
      <c r="AF2622" s="4">
        <v>0</v>
      </c>
      <c r="AG2622" s="4">
        <v>1</v>
      </c>
      <c r="AH2622" s="4">
        <v>0</v>
      </c>
      <c r="AI2622" s="4">
        <v>46</v>
      </c>
      <c r="AJ2622" s="4">
        <v>0</v>
      </c>
      <c r="AK2622" s="4">
        <v>7</v>
      </c>
      <c r="AL2622" s="4">
        <v>0</v>
      </c>
      <c r="AM2622" s="4">
        <v>31</v>
      </c>
      <c r="AN2622" s="4">
        <v>0</v>
      </c>
      <c r="AO2622" s="4">
        <v>5</v>
      </c>
      <c r="AP2622" s="4">
        <v>0</v>
      </c>
      <c r="AQ2622" s="4">
        <v>7</v>
      </c>
      <c r="AR2622" s="3" t="s">
        <v>65</v>
      </c>
      <c r="AS2622" s="3" t="s">
        <v>65</v>
      </c>
      <c r="AT2622" s="3" t="s">
        <v>65</v>
      </c>
      <c r="AV2622" s="6" t="str">
        <f>HYPERLINK("http://mcgill.on.worldcat.org/oclc/427212630","Catalog Record")</f>
        <v>Catalog Record</v>
      </c>
      <c r="AW2622" s="6" t="str">
        <f>HYPERLINK("http://www.worldcat.org/oclc/427212630","WorldCat Record")</f>
        <v>WorldCat Record</v>
      </c>
      <c r="AX2622" s="3" t="s">
        <v>25904</v>
      </c>
      <c r="AY2622" s="3" t="s">
        <v>25905</v>
      </c>
      <c r="AZ2622" s="3" t="s">
        <v>25906</v>
      </c>
      <c r="BA2622" s="3" t="s">
        <v>25906</v>
      </c>
      <c r="BB2622" s="3" t="s">
        <v>25907</v>
      </c>
      <c r="BC2622" s="3" t="s">
        <v>77</v>
      </c>
      <c r="BD2622" s="3" t="s">
        <v>78</v>
      </c>
      <c r="BF2622" s="3" t="s">
        <v>25907</v>
      </c>
      <c r="BG2622" s="3" t="s">
        <v>25908</v>
      </c>
    </row>
    <row r="2623" spans="1:59" ht="58" x14ac:dyDescent="0.35">
      <c r="A2623" s="2" t="s">
        <v>59</v>
      </c>
      <c r="B2623" s="2" t="s">
        <v>60</v>
      </c>
      <c r="C2623" s="2" t="s">
        <v>25909</v>
      </c>
      <c r="D2623" s="2" t="s">
        <v>25910</v>
      </c>
      <c r="E2623" s="2" t="s">
        <v>25911</v>
      </c>
      <c r="G2623" s="3" t="s">
        <v>65</v>
      </c>
      <c r="I2623" s="3" t="s">
        <v>65</v>
      </c>
      <c r="J2623" s="3" t="s">
        <v>65</v>
      </c>
      <c r="K2623" s="3" t="s">
        <v>66</v>
      </c>
      <c r="L2623" s="2" t="s">
        <v>25912</v>
      </c>
      <c r="M2623" s="2" t="s">
        <v>25913</v>
      </c>
      <c r="N2623" s="3" t="s">
        <v>126</v>
      </c>
      <c r="P2623" s="3" t="s">
        <v>140</v>
      </c>
      <c r="Q2623" s="2" t="s">
        <v>2269</v>
      </c>
      <c r="R2623" s="3" t="s">
        <v>71</v>
      </c>
      <c r="S2623" s="4">
        <v>0</v>
      </c>
      <c r="T2623" s="4">
        <v>0</v>
      </c>
      <c r="W2623" s="5" t="s">
        <v>72</v>
      </c>
      <c r="X2623" s="5" t="s">
        <v>72</v>
      </c>
      <c r="Y2623" s="4">
        <v>31</v>
      </c>
      <c r="Z2623" s="4">
        <v>3</v>
      </c>
      <c r="AA2623" s="4">
        <v>3</v>
      </c>
      <c r="AB2623" s="4">
        <v>1</v>
      </c>
      <c r="AC2623" s="4">
        <v>1</v>
      </c>
      <c r="AD2623" s="4">
        <v>19</v>
      </c>
      <c r="AE2623" s="4">
        <v>19</v>
      </c>
      <c r="AF2623" s="4">
        <v>0</v>
      </c>
      <c r="AG2623" s="4">
        <v>0</v>
      </c>
      <c r="AH2623" s="4">
        <v>18</v>
      </c>
      <c r="AI2623" s="4">
        <v>18</v>
      </c>
      <c r="AJ2623" s="4">
        <v>1</v>
      </c>
      <c r="AK2623" s="4">
        <v>1</v>
      </c>
      <c r="AL2623" s="4">
        <v>14</v>
      </c>
      <c r="AM2623" s="4">
        <v>14</v>
      </c>
      <c r="AN2623" s="4">
        <v>0</v>
      </c>
      <c r="AO2623" s="4">
        <v>0</v>
      </c>
      <c r="AP2623" s="4">
        <v>1</v>
      </c>
      <c r="AQ2623" s="4">
        <v>1</v>
      </c>
      <c r="AR2623" s="3" t="s">
        <v>65</v>
      </c>
      <c r="AS2623" s="3" t="s">
        <v>65</v>
      </c>
      <c r="AT2623" s="3" t="s">
        <v>65</v>
      </c>
      <c r="AV2623" s="6" t="str">
        <f>HYPERLINK("http://mcgill.on.worldcat.org/oclc/780944696","Catalog Record")</f>
        <v>Catalog Record</v>
      </c>
      <c r="AW2623" s="6" t="str">
        <f>HYPERLINK("http://www.worldcat.org/oclc/780944696","WorldCat Record")</f>
        <v>WorldCat Record</v>
      </c>
      <c r="AX2623" s="3" t="s">
        <v>25914</v>
      </c>
      <c r="AY2623" s="3" t="s">
        <v>25915</v>
      </c>
      <c r="AZ2623" s="3" t="s">
        <v>25916</v>
      </c>
      <c r="BA2623" s="3" t="s">
        <v>25916</v>
      </c>
      <c r="BB2623" s="3" t="s">
        <v>25917</v>
      </c>
      <c r="BC2623" s="3" t="s">
        <v>77</v>
      </c>
      <c r="BD2623" s="3" t="s">
        <v>78</v>
      </c>
      <c r="BE2623" s="3" t="s">
        <v>25918</v>
      </c>
      <c r="BF2623" s="3" t="s">
        <v>25917</v>
      </c>
      <c r="BG2623" s="3" t="s">
        <v>25919</v>
      </c>
    </row>
    <row r="2624" spans="1:59" ht="58" x14ac:dyDescent="0.35">
      <c r="A2624" s="2" t="s">
        <v>59</v>
      </c>
      <c r="B2624" s="2" t="s">
        <v>60</v>
      </c>
      <c r="C2624" s="2" t="s">
        <v>25920</v>
      </c>
      <c r="D2624" s="2" t="s">
        <v>25921</v>
      </c>
      <c r="E2624" s="2" t="s">
        <v>25922</v>
      </c>
      <c r="G2624" s="3" t="s">
        <v>65</v>
      </c>
      <c r="I2624" s="3" t="s">
        <v>65</v>
      </c>
      <c r="J2624" s="3" t="s">
        <v>65</v>
      </c>
      <c r="K2624" s="3" t="s">
        <v>66</v>
      </c>
      <c r="L2624" s="2" t="s">
        <v>25901</v>
      </c>
      <c r="M2624" s="2" t="s">
        <v>25923</v>
      </c>
      <c r="N2624" s="3" t="s">
        <v>214</v>
      </c>
      <c r="P2624" s="3" t="s">
        <v>140</v>
      </c>
      <c r="Q2624" s="2" t="s">
        <v>25924</v>
      </c>
      <c r="R2624" s="3" t="s">
        <v>71</v>
      </c>
      <c r="S2624" s="4">
        <v>2</v>
      </c>
      <c r="T2624" s="4">
        <v>2</v>
      </c>
      <c r="U2624" s="5" t="s">
        <v>25925</v>
      </c>
      <c r="V2624" s="5" t="s">
        <v>25925</v>
      </c>
      <c r="W2624" s="5" t="s">
        <v>72</v>
      </c>
      <c r="X2624" s="5" t="s">
        <v>72</v>
      </c>
      <c r="Y2624" s="4">
        <v>91</v>
      </c>
      <c r="Z2624" s="4">
        <v>9</v>
      </c>
      <c r="AA2624" s="4">
        <v>10</v>
      </c>
      <c r="AB2624" s="4">
        <v>2</v>
      </c>
      <c r="AC2624" s="4">
        <v>3</v>
      </c>
      <c r="AD2624" s="4">
        <v>50</v>
      </c>
      <c r="AE2624" s="4">
        <v>51</v>
      </c>
      <c r="AF2624" s="4">
        <v>1</v>
      </c>
      <c r="AG2624" s="4">
        <v>2</v>
      </c>
      <c r="AH2624" s="4">
        <v>46</v>
      </c>
      <c r="AI2624" s="4">
        <v>46</v>
      </c>
      <c r="AJ2624" s="4">
        <v>7</v>
      </c>
      <c r="AK2624" s="4">
        <v>8</v>
      </c>
      <c r="AL2624" s="4">
        <v>31</v>
      </c>
      <c r="AM2624" s="4">
        <v>31</v>
      </c>
      <c r="AN2624" s="4">
        <v>0</v>
      </c>
      <c r="AO2624" s="4">
        <v>0</v>
      </c>
      <c r="AP2624" s="4">
        <v>7</v>
      </c>
      <c r="AQ2624" s="4">
        <v>7</v>
      </c>
      <c r="AR2624" s="3" t="s">
        <v>65</v>
      </c>
      <c r="AS2624" s="3" t="s">
        <v>65</v>
      </c>
      <c r="AT2624" s="3" t="s">
        <v>209</v>
      </c>
      <c r="AU2624" s="6" t="str">
        <f>HYPERLINK("http://catalog.hathitrust.org/Record/006709909","HathiTrust Record")</f>
        <v>HathiTrust Record</v>
      </c>
      <c r="AV2624" s="6" t="str">
        <f>HYPERLINK("http://mcgill.on.worldcat.org/oclc/10416235","Catalog Record")</f>
        <v>Catalog Record</v>
      </c>
      <c r="AW2624" s="6" t="str">
        <f>HYPERLINK("http://www.worldcat.org/oclc/10416235","WorldCat Record")</f>
        <v>WorldCat Record</v>
      </c>
      <c r="AX2624" s="3" t="s">
        <v>25926</v>
      </c>
      <c r="AY2624" s="3" t="s">
        <v>25927</v>
      </c>
      <c r="AZ2624" s="3" t="s">
        <v>25928</v>
      </c>
      <c r="BA2624" s="3" t="s">
        <v>25928</v>
      </c>
      <c r="BB2624" s="3" t="s">
        <v>25929</v>
      </c>
      <c r="BC2624" s="3" t="s">
        <v>77</v>
      </c>
      <c r="BD2624" s="3" t="s">
        <v>78</v>
      </c>
      <c r="BF2624" s="3" t="s">
        <v>25929</v>
      </c>
      <c r="BG2624" s="3" t="s">
        <v>25930</v>
      </c>
    </row>
    <row r="2625" spans="1:59" ht="58" x14ac:dyDescent="0.35">
      <c r="A2625" s="2" t="s">
        <v>59</v>
      </c>
      <c r="B2625" s="2" t="s">
        <v>60</v>
      </c>
      <c r="C2625" s="2" t="s">
        <v>25931</v>
      </c>
      <c r="D2625" s="2" t="s">
        <v>25932</v>
      </c>
      <c r="E2625" s="2" t="s">
        <v>25933</v>
      </c>
      <c r="G2625" s="3" t="s">
        <v>65</v>
      </c>
      <c r="I2625" s="3" t="s">
        <v>65</v>
      </c>
      <c r="J2625" s="3" t="s">
        <v>65</v>
      </c>
      <c r="K2625" s="3" t="s">
        <v>66</v>
      </c>
      <c r="L2625" s="2" t="s">
        <v>25901</v>
      </c>
      <c r="M2625" s="2" t="s">
        <v>25934</v>
      </c>
      <c r="N2625" s="3" t="s">
        <v>214</v>
      </c>
      <c r="O2625" s="2" t="s">
        <v>654</v>
      </c>
      <c r="P2625" s="3" t="s">
        <v>140</v>
      </c>
      <c r="Q2625" s="2" t="s">
        <v>25935</v>
      </c>
      <c r="R2625" s="3" t="s">
        <v>71</v>
      </c>
      <c r="S2625" s="4">
        <v>4</v>
      </c>
      <c r="T2625" s="4">
        <v>4</v>
      </c>
      <c r="U2625" s="5" t="s">
        <v>1211</v>
      </c>
      <c r="V2625" s="5" t="s">
        <v>1211</v>
      </c>
      <c r="W2625" s="5" t="s">
        <v>72</v>
      </c>
      <c r="X2625" s="5" t="s">
        <v>72</v>
      </c>
      <c r="Y2625" s="4">
        <v>58</v>
      </c>
      <c r="Z2625" s="4">
        <v>4</v>
      </c>
      <c r="AA2625" s="4">
        <v>4</v>
      </c>
      <c r="AB2625" s="4">
        <v>1</v>
      </c>
      <c r="AC2625" s="4">
        <v>1</v>
      </c>
      <c r="AD2625" s="4">
        <v>33</v>
      </c>
      <c r="AE2625" s="4">
        <v>33</v>
      </c>
      <c r="AF2625" s="4">
        <v>0</v>
      </c>
      <c r="AG2625" s="4">
        <v>0</v>
      </c>
      <c r="AH2625" s="4">
        <v>32</v>
      </c>
      <c r="AI2625" s="4">
        <v>32</v>
      </c>
      <c r="AJ2625" s="4">
        <v>3</v>
      </c>
      <c r="AK2625" s="4">
        <v>3</v>
      </c>
      <c r="AL2625" s="4">
        <v>23</v>
      </c>
      <c r="AM2625" s="4">
        <v>23</v>
      </c>
      <c r="AN2625" s="4">
        <v>0</v>
      </c>
      <c r="AO2625" s="4">
        <v>0</v>
      </c>
      <c r="AP2625" s="4">
        <v>3</v>
      </c>
      <c r="AQ2625" s="4">
        <v>3</v>
      </c>
      <c r="AR2625" s="3" t="s">
        <v>65</v>
      </c>
      <c r="AS2625" s="3" t="s">
        <v>65</v>
      </c>
      <c r="AT2625" s="3" t="s">
        <v>209</v>
      </c>
      <c r="AU2625" s="6" t="str">
        <f>HYPERLINK("http://catalog.hathitrust.org/Record/006682416","HathiTrust Record")</f>
        <v>HathiTrust Record</v>
      </c>
      <c r="AV2625" s="6" t="str">
        <f>HYPERLINK("http://mcgill.on.worldcat.org/oclc/11370692","Catalog Record")</f>
        <v>Catalog Record</v>
      </c>
      <c r="AW2625" s="6" t="str">
        <f>HYPERLINK("http://www.worldcat.org/oclc/11370692","WorldCat Record")</f>
        <v>WorldCat Record</v>
      </c>
      <c r="AX2625" s="3" t="s">
        <v>25936</v>
      </c>
      <c r="AY2625" s="3" t="s">
        <v>25937</v>
      </c>
      <c r="AZ2625" s="3" t="s">
        <v>25938</v>
      </c>
      <c r="BA2625" s="3" t="s">
        <v>25938</v>
      </c>
      <c r="BB2625" s="3" t="s">
        <v>25939</v>
      </c>
      <c r="BC2625" s="3" t="s">
        <v>77</v>
      </c>
      <c r="BD2625" s="3" t="s">
        <v>78</v>
      </c>
      <c r="BF2625" s="3" t="s">
        <v>25939</v>
      </c>
      <c r="BG2625" s="3" t="s">
        <v>25940</v>
      </c>
    </row>
    <row r="2626" spans="1:59" ht="58" x14ac:dyDescent="0.35">
      <c r="A2626" s="2" t="s">
        <v>59</v>
      </c>
      <c r="B2626" s="2" t="s">
        <v>60</v>
      </c>
      <c r="C2626" s="2" t="s">
        <v>25941</v>
      </c>
      <c r="D2626" s="2" t="s">
        <v>25942</v>
      </c>
      <c r="E2626" s="2" t="s">
        <v>25943</v>
      </c>
      <c r="G2626" s="3" t="s">
        <v>65</v>
      </c>
      <c r="I2626" s="3" t="s">
        <v>65</v>
      </c>
      <c r="J2626" s="3" t="s">
        <v>65</v>
      </c>
      <c r="K2626" s="3" t="s">
        <v>66</v>
      </c>
      <c r="L2626" s="2" t="s">
        <v>25944</v>
      </c>
      <c r="M2626" s="2" t="s">
        <v>9779</v>
      </c>
      <c r="N2626" s="3" t="s">
        <v>126</v>
      </c>
      <c r="O2626" s="2" t="s">
        <v>365</v>
      </c>
      <c r="P2626" s="3" t="s">
        <v>140</v>
      </c>
      <c r="R2626" s="3" t="s">
        <v>71</v>
      </c>
      <c r="S2626" s="4">
        <v>0</v>
      </c>
      <c r="T2626" s="4">
        <v>0</v>
      </c>
      <c r="W2626" s="5" t="s">
        <v>72</v>
      </c>
      <c r="X2626" s="5" t="s">
        <v>72</v>
      </c>
      <c r="Y2626" s="4">
        <v>49</v>
      </c>
      <c r="Z2626" s="4">
        <v>5</v>
      </c>
      <c r="AA2626" s="4">
        <v>5</v>
      </c>
      <c r="AB2626" s="4">
        <v>1</v>
      </c>
      <c r="AC2626" s="4">
        <v>1</v>
      </c>
      <c r="AD2626" s="4">
        <v>38</v>
      </c>
      <c r="AE2626" s="4">
        <v>38</v>
      </c>
      <c r="AF2626" s="4">
        <v>0</v>
      </c>
      <c r="AG2626" s="4">
        <v>0</v>
      </c>
      <c r="AH2626" s="4">
        <v>37</v>
      </c>
      <c r="AI2626" s="4">
        <v>37</v>
      </c>
      <c r="AJ2626" s="4">
        <v>2</v>
      </c>
      <c r="AK2626" s="4">
        <v>2</v>
      </c>
      <c r="AL2626" s="4">
        <v>30</v>
      </c>
      <c r="AM2626" s="4">
        <v>30</v>
      </c>
      <c r="AN2626" s="4">
        <v>0</v>
      </c>
      <c r="AO2626" s="4">
        <v>0</v>
      </c>
      <c r="AP2626" s="4">
        <v>2</v>
      </c>
      <c r="AQ2626" s="4">
        <v>2</v>
      </c>
      <c r="AR2626" s="3" t="s">
        <v>65</v>
      </c>
      <c r="AS2626" s="3" t="s">
        <v>65</v>
      </c>
      <c r="AT2626" s="3" t="s">
        <v>65</v>
      </c>
      <c r="AV2626" s="6" t="str">
        <f>HYPERLINK("http://mcgill.on.worldcat.org/oclc/745970599","Catalog Record")</f>
        <v>Catalog Record</v>
      </c>
      <c r="AW2626" s="6" t="str">
        <f>HYPERLINK("http://www.worldcat.org/oclc/745970599","WorldCat Record")</f>
        <v>WorldCat Record</v>
      </c>
      <c r="AX2626" s="3" t="s">
        <v>25945</v>
      </c>
      <c r="AY2626" s="3" t="s">
        <v>25946</v>
      </c>
      <c r="AZ2626" s="3" t="s">
        <v>25947</v>
      </c>
      <c r="BA2626" s="3" t="s">
        <v>25947</v>
      </c>
      <c r="BB2626" s="3" t="s">
        <v>25948</v>
      </c>
      <c r="BC2626" s="3" t="s">
        <v>77</v>
      </c>
      <c r="BD2626" s="3" t="s">
        <v>78</v>
      </c>
      <c r="BE2626" s="3" t="s">
        <v>25949</v>
      </c>
      <c r="BF2626" s="3" t="s">
        <v>25948</v>
      </c>
      <c r="BG2626" s="3" t="s">
        <v>25950</v>
      </c>
    </row>
    <row r="2627" spans="1:59" ht="58" x14ac:dyDescent="0.35">
      <c r="A2627" s="2" t="s">
        <v>59</v>
      </c>
      <c r="B2627" s="2" t="s">
        <v>60</v>
      </c>
      <c r="C2627" s="2" t="s">
        <v>25951</v>
      </c>
      <c r="D2627" s="2" t="s">
        <v>25952</v>
      </c>
      <c r="E2627" s="2" t="s">
        <v>25953</v>
      </c>
      <c r="G2627" s="3" t="s">
        <v>65</v>
      </c>
      <c r="I2627" s="3" t="s">
        <v>65</v>
      </c>
      <c r="J2627" s="3" t="s">
        <v>65</v>
      </c>
      <c r="K2627" s="3" t="s">
        <v>66</v>
      </c>
      <c r="L2627" s="2" t="s">
        <v>25954</v>
      </c>
      <c r="M2627" s="2" t="s">
        <v>25955</v>
      </c>
      <c r="N2627" s="3" t="s">
        <v>152</v>
      </c>
      <c r="P2627" s="3" t="s">
        <v>140</v>
      </c>
      <c r="Q2627" s="2" t="s">
        <v>25956</v>
      </c>
      <c r="R2627" s="3" t="s">
        <v>71</v>
      </c>
      <c r="S2627" s="4">
        <v>0</v>
      </c>
      <c r="T2627" s="4">
        <v>0</v>
      </c>
      <c r="W2627" s="5" t="s">
        <v>72</v>
      </c>
      <c r="X2627" s="5" t="s">
        <v>72</v>
      </c>
      <c r="Y2627" s="4">
        <v>33</v>
      </c>
      <c r="Z2627" s="4">
        <v>3</v>
      </c>
      <c r="AA2627" s="4">
        <v>3</v>
      </c>
      <c r="AB2627" s="4">
        <v>1</v>
      </c>
      <c r="AC2627" s="4">
        <v>1</v>
      </c>
      <c r="AD2627" s="4">
        <v>24</v>
      </c>
      <c r="AE2627" s="4">
        <v>24</v>
      </c>
      <c r="AF2627" s="4">
        <v>0</v>
      </c>
      <c r="AG2627" s="4">
        <v>0</v>
      </c>
      <c r="AH2627" s="4">
        <v>23</v>
      </c>
      <c r="AI2627" s="4">
        <v>23</v>
      </c>
      <c r="AJ2627" s="4">
        <v>1</v>
      </c>
      <c r="AK2627" s="4">
        <v>1</v>
      </c>
      <c r="AL2627" s="4">
        <v>18</v>
      </c>
      <c r="AM2627" s="4">
        <v>18</v>
      </c>
      <c r="AN2627" s="4">
        <v>0</v>
      </c>
      <c r="AO2627" s="4">
        <v>0</v>
      </c>
      <c r="AP2627" s="4">
        <v>1</v>
      </c>
      <c r="AQ2627" s="4">
        <v>1</v>
      </c>
      <c r="AR2627" s="3" t="s">
        <v>65</v>
      </c>
      <c r="AS2627" s="3" t="s">
        <v>65</v>
      </c>
      <c r="AT2627" s="3" t="s">
        <v>65</v>
      </c>
      <c r="AV2627" s="6" t="str">
        <f>HYPERLINK("http://mcgill.on.worldcat.org/oclc/851371914","Catalog Record")</f>
        <v>Catalog Record</v>
      </c>
      <c r="AW2627" s="6" t="str">
        <f>HYPERLINK("http://www.worldcat.org/oclc/851371914","WorldCat Record")</f>
        <v>WorldCat Record</v>
      </c>
      <c r="AX2627" s="3" t="s">
        <v>25957</v>
      </c>
      <c r="AY2627" s="3" t="s">
        <v>25958</v>
      </c>
      <c r="AZ2627" s="3" t="s">
        <v>25959</v>
      </c>
      <c r="BA2627" s="3" t="s">
        <v>25959</v>
      </c>
      <c r="BB2627" s="3" t="s">
        <v>25960</v>
      </c>
      <c r="BC2627" s="3" t="s">
        <v>77</v>
      </c>
      <c r="BD2627" s="3" t="s">
        <v>78</v>
      </c>
      <c r="BE2627" s="3" t="s">
        <v>25961</v>
      </c>
      <c r="BF2627" s="3" t="s">
        <v>25960</v>
      </c>
      <c r="BG2627" s="3" t="s">
        <v>25962</v>
      </c>
    </row>
    <row r="2628" spans="1:59" ht="58" x14ac:dyDescent="0.35">
      <c r="A2628" s="2" t="s">
        <v>59</v>
      </c>
      <c r="B2628" s="2" t="s">
        <v>60</v>
      </c>
      <c r="C2628" s="2" t="s">
        <v>25963</v>
      </c>
      <c r="D2628" s="2" t="s">
        <v>25964</v>
      </c>
      <c r="E2628" s="2" t="s">
        <v>25965</v>
      </c>
      <c r="G2628" s="3" t="s">
        <v>65</v>
      </c>
      <c r="I2628" s="3" t="s">
        <v>65</v>
      </c>
      <c r="J2628" s="3" t="s">
        <v>65</v>
      </c>
      <c r="K2628" s="3" t="s">
        <v>66</v>
      </c>
      <c r="L2628" s="2" t="s">
        <v>25966</v>
      </c>
      <c r="M2628" s="2" t="s">
        <v>25967</v>
      </c>
      <c r="N2628" s="3" t="s">
        <v>139</v>
      </c>
      <c r="P2628" s="3" t="s">
        <v>140</v>
      </c>
      <c r="Q2628" s="2" t="s">
        <v>2269</v>
      </c>
      <c r="R2628" s="3" t="s">
        <v>71</v>
      </c>
      <c r="S2628" s="4">
        <v>0</v>
      </c>
      <c r="T2628" s="4">
        <v>0</v>
      </c>
      <c r="W2628" s="5" t="s">
        <v>72</v>
      </c>
      <c r="X2628" s="5" t="s">
        <v>72</v>
      </c>
      <c r="Y2628" s="4">
        <v>24</v>
      </c>
      <c r="Z2628" s="4">
        <v>2</v>
      </c>
      <c r="AA2628" s="4">
        <v>2</v>
      </c>
      <c r="AB2628" s="4">
        <v>1</v>
      </c>
      <c r="AC2628" s="4">
        <v>1</v>
      </c>
      <c r="AD2628" s="4">
        <v>20</v>
      </c>
      <c r="AE2628" s="4">
        <v>20</v>
      </c>
      <c r="AF2628" s="4">
        <v>0</v>
      </c>
      <c r="AG2628" s="4">
        <v>0</v>
      </c>
      <c r="AH2628" s="4">
        <v>19</v>
      </c>
      <c r="AI2628" s="4">
        <v>19</v>
      </c>
      <c r="AJ2628" s="4">
        <v>1</v>
      </c>
      <c r="AK2628" s="4">
        <v>1</v>
      </c>
      <c r="AL2628" s="4">
        <v>16</v>
      </c>
      <c r="AM2628" s="4">
        <v>16</v>
      </c>
      <c r="AN2628" s="4">
        <v>0</v>
      </c>
      <c r="AO2628" s="4">
        <v>0</v>
      </c>
      <c r="AP2628" s="4">
        <v>1</v>
      </c>
      <c r="AQ2628" s="4">
        <v>1</v>
      </c>
      <c r="AR2628" s="3" t="s">
        <v>65</v>
      </c>
      <c r="AS2628" s="3" t="s">
        <v>65</v>
      </c>
      <c r="AT2628" s="3" t="s">
        <v>65</v>
      </c>
      <c r="AV2628" s="6" t="str">
        <f>HYPERLINK("http://mcgill.on.worldcat.org/oclc/812250618","Catalog Record")</f>
        <v>Catalog Record</v>
      </c>
      <c r="AW2628" s="6" t="str">
        <f>HYPERLINK("http://www.worldcat.org/oclc/812250618","WorldCat Record")</f>
        <v>WorldCat Record</v>
      </c>
      <c r="AX2628" s="3" t="s">
        <v>25968</v>
      </c>
      <c r="AY2628" s="3" t="s">
        <v>25969</v>
      </c>
      <c r="AZ2628" s="3" t="s">
        <v>25970</v>
      </c>
      <c r="BA2628" s="3" t="s">
        <v>25970</v>
      </c>
      <c r="BB2628" s="3" t="s">
        <v>25971</v>
      </c>
      <c r="BC2628" s="3" t="s">
        <v>77</v>
      </c>
      <c r="BD2628" s="3" t="s">
        <v>78</v>
      </c>
      <c r="BE2628" s="3" t="s">
        <v>25972</v>
      </c>
      <c r="BF2628" s="3" t="s">
        <v>25971</v>
      </c>
      <c r="BG2628" s="3" t="s">
        <v>25973</v>
      </c>
    </row>
    <row r="2629" spans="1:59" ht="58" x14ac:dyDescent="0.35">
      <c r="A2629" s="2" t="s">
        <v>59</v>
      </c>
      <c r="B2629" s="2" t="s">
        <v>60</v>
      </c>
      <c r="C2629" s="2" t="s">
        <v>25974</v>
      </c>
      <c r="D2629" s="2" t="s">
        <v>25975</v>
      </c>
      <c r="E2629" s="2" t="s">
        <v>25976</v>
      </c>
      <c r="G2629" s="3" t="s">
        <v>65</v>
      </c>
      <c r="I2629" s="3" t="s">
        <v>65</v>
      </c>
      <c r="J2629" s="3" t="s">
        <v>65</v>
      </c>
      <c r="K2629" s="3" t="s">
        <v>66</v>
      </c>
      <c r="L2629" s="2" t="s">
        <v>25977</v>
      </c>
      <c r="M2629" s="2" t="s">
        <v>1270</v>
      </c>
      <c r="N2629" s="3" t="s">
        <v>139</v>
      </c>
      <c r="P2629" s="3" t="s">
        <v>140</v>
      </c>
      <c r="Q2629" s="2" t="s">
        <v>25978</v>
      </c>
      <c r="R2629" s="3" t="s">
        <v>71</v>
      </c>
      <c r="S2629" s="4">
        <v>0</v>
      </c>
      <c r="T2629" s="4">
        <v>0</v>
      </c>
      <c r="W2629" s="5" t="s">
        <v>72</v>
      </c>
      <c r="X2629" s="5" t="s">
        <v>72</v>
      </c>
      <c r="Y2629" s="4">
        <v>41</v>
      </c>
      <c r="Z2629" s="4">
        <v>5</v>
      </c>
      <c r="AA2629" s="4">
        <v>5</v>
      </c>
      <c r="AB2629" s="4">
        <v>1</v>
      </c>
      <c r="AC2629" s="4">
        <v>1</v>
      </c>
      <c r="AD2629" s="4">
        <v>28</v>
      </c>
      <c r="AE2629" s="4">
        <v>28</v>
      </c>
      <c r="AF2629" s="4">
        <v>0</v>
      </c>
      <c r="AG2629" s="4">
        <v>0</v>
      </c>
      <c r="AH2629" s="4">
        <v>27</v>
      </c>
      <c r="AI2629" s="4">
        <v>27</v>
      </c>
      <c r="AJ2629" s="4">
        <v>2</v>
      </c>
      <c r="AK2629" s="4">
        <v>2</v>
      </c>
      <c r="AL2629" s="4">
        <v>23</v>
      </c>
      <c r="AM2629" s="4">
        <v>23</v>
      </c>
      <c r="AN2629" s="4">
        <v>0</v>
      </c>
      <c r="AO2629" s="4">
        <v>0</v>
      </c>
      <c r="AP2629" s="4">
        <v>2</v>
      </c>
      <c r="AQ2629" s="4">
        <v>2</v>
      </c>
      <c r="AR2629" s="3" t="s">
        <v>65</v>
      </c>
      <c r="AS2629" s="3" t="s">
        <v>65</v>
      </c>
      <c r="AT2629" s="3" t="s">
        <v>65</v>
      </c>
      <c r="AV2629" s="6" t="str">
        <f>HYPERLINK("http://mcgill.on.worldcat.org/oclc/824351748","Catalog Record")</f>
        <v>Catalog Record</v>
      </c>
      <c r="AW2629" s="6" t="str">
        <f>HYPERLINK("http://www.worldcat.org/oclc/824351748","WorldCat Record")</f>
        <v>WorldCat Record</v>
      </c>
      <c r="AX2629" s="3" t="s">
        <v>25979</v>
      </c>
      <c r="AY2629" s="3" t="s">
        <v>25980</v>
      </c>
      <c r="AZ2629" s="3" t="s">
        <v>25981</v>
      </c>
      <c r="BA2629" s="3" t="s">
        <v>25981</v>
      </c>
      <c r="BB2629" s="3" t="s">
        <v>25982</v>
      </c>
      <c r="BC2629" s="3" t="s">
        <v>77</v>
      </c>
      <c r="BD2629" s="3" t="s">
        <v>78</v>
      </c>
      <c r="BE2629" s="3" t="s">
        <v>25983</v>
      </c>
      <c r="BF2629" s="3" t="s">
        <v>25982</v>
      </c>
      <c r="BG2629" s="3" t="s">
        <v>25984</v>
      </c>
    </row>
    <row r="2630" spans="1:59" ht="72.5" x14ac:dyDescent="0.35">
      <c r="A2630" s="2" t="s">
        <v>59</v>
      </c>
      <c r="B2630" s="2" t="s">
        <v>60</v>
      </c>
      <c r="C2630" s="2" t="s">
        <v>25985</v>
      </c>
      <c r="D2630" s="2" t="s">
        <v>25986</v>
      </c>
      <c r="E2630" s="2" t="s">
        <v>25987</v>
      </c>
      <c r="G2630" s="3" t="s">
        <v>65</v>
      </c>
      <c r="I2630" s="3" t="s">
        <v>65</v>
      </c>
      <c r="J2630" s="3" t="s">
        <v>65</v>
      </c>
      <c r="K2630" s="3" t="s">
        <v>66</v>
      </c>
      <c r="L2630" s="2" t="s">
        <v>25988</v>
      </c>
      <c r="M2630" s="2" t="s">
        <v>25989</v>
      </c>
      <c r="N2630" s="3" t="s">
        <v>525</v>
      </c>
      <c r="O2630" s="2" t="s">
        <v>25990</v>
      </c>
      <c r="P2630" s="3" t="s">
        <v>140</v>
      </c>
      <c r="Q2630" s="2" t="s">
        <v>25991</v>
      </c>
      <c r="R2630" s="3" t="s">
        <v>71</v>
      </c>
      <c r="S2630" s="4">
        <v>3</v>
      </c>
      <c r="T2630" s="4">
        <v>3</v>
      </c>
      <c r="U2630" s="5" t="s">
        <v>14031</v>
      </c>
      <c r="V2630" s="5" t="s">
        <v>14031</v>
      </c>
      <c r="W2630" s="5" t="s">
        <v>72</v>
      </c>
      <c r="X2630" s="5" t="s">
        <v>72</v>
      </c>
      <c r="Y2630" s="4">
        <v>19</v>
      </c>
      <c r="Z2630" s="4">
        <v>1</v>
      </c>
      <c r="AA2630" s="4">
        <v>4</v>
      </c>
      <c r="AB2630" s="4">
        <v>1</v>
      </c>
      <c r="AC2630" s="4">
        <v>1</v>
      </c>
      <c r="AD2630" s="4">
        <v>10</v>
      </c>
      <c r="AE2630" s="4">
        <v>13</v>
      </c>
      <c r="AF2630" s="4">
        <v>0</v>
      </c>
      <c r="AG2630" s="4">
        <v>0</v>
      </c>
      <c r="AH2630" s="4">
        <v>9</v>
      </c>
      <c r="AI2630" s="4">
        <v>12</v>
      </c>
      <c r="AJ2630" s="4">
        <v>0</v>
      </c>
      <c r="AK2630" s="4">
        <v>2</v>
      </c>
      <c r="AL2630" s="4">
        <v>9</v>
      </c>
      <c r="AM2630" s="4">
        <v>11</v>
      </c>
      <c r="AN2630" s="4">
        <v>0</v>
      </c>
      <c r="AO2630" s="4">
        <v>0</v>
      </c>
      <c r="AP2630" s="4">
        <v>0</v>
      </c>
      <c r="AQ2630" s="4">
        <v>2</v>
      </c>
      <c r="AR2630" s="3" t="s">
        <v>65</v>
      </c>
      <c r="AS2630" s="3" t="s">
        <v>65</v>
      </c>
      <c r="AT2630" s="3" t="s">
        <v>65</v>
      </c>
      <c r="AV2630" s="6" t="str">
        <f>HYPERLINK("http://mcgill.on.worldcat.org/oclc/57231141","Catalog Record")</f>
        <v>Catalog Record</v>
      </c>
      <c r="AW2630" s="6" t="str">
        <f>HYPERLINK("http://www.worldcat.org/oclc/57231141","WorldCat Record")</f>
        <v>WorldCat Record</v>
      </c>
      <c r="AX2630" s="3" t="s">
        <v>25992</v>
      </c>
      <c r="AY2630" s="3" t="s">
        <v>25993</v>
      </c>
      <c r="AZ2630" s="3" t="s">
        <v>25994</v>
      </c>
      <c r="BA2630" s="3" t="s">
        <v>25994</v>
      </c>
      <c r="BB2630" s="3" t="s">
        <v>25995</v>
      </c>
      <c r="BC2630" s="3" t="s">
        <v>77</v>
      </c>
      <c r="BD2630" s="3" t="s">
        <v>78</v>
      </c>
      <c r="BE2630" s="3" t="s">
        <v>25996</v>
      </c>
      <c r="BF2630" s="3" t="s">
        <v>25995</v>
      </c>
      <c r="BG2630" s="3" t="s">
        <v>25997</v>
      </c>
    </row>
    <row r="2631" spans="1:59" ht="58" x14ac:dyDescent="0.35">
      <c r="A2631" s="2" t="s">
        <v>59</v>
      </c>
      <c r="B2631" s="2" t="s">
        <v>60</v>
      </c>
      <c r="C2631" s="2" t="s">
        <v>25998</v>
      </c>
      <c r="D2631" s="2" t="s">
        <v>25999</v>
      </c>
      <c r="E2631" s="2" t="s">
        <v>26000</v>
      </c>
      <c r="G2631" s="3" t="s">
        <v>65</v>
      </c>
      <c r="I2631" s="3" t="s">
        <v>65</v>
      </c>
      <c r="J2631" s="3" t="s">
        <v>65</v>
      </c>
      <c r="K2631" s="3" t="s">
        <v>66</v>
      </c>
      <c r="L2631" s="2" t="s">
        <v>25988</v>
      </c>
      <c r="M2631" s="2" t="s">
        <v>26001</v>
      </c>
      <c r="N2631" s="3" t="s">
        <v>756</v>
      </c>
      <c r="O2631" s="2" t="s">
        <v>2438</v>
      </c>
      <c r="P2631" s="3" t="s">
        <v>69</v>
      </c>
      <c r="R2631" s="3" t="s">
        <v>71</v>
      </c>
      <c r="S2631" s="4">
        <v>12</v>
      </c>
      <c r="T2631" s="4">
        <v>12</v>
      </c>
      <c r="U2631" s="5" t="s">
        <v>9328</v>
      </c>
      <c r="V2631" s="5" t="s">
        <v>9328</v>
      </c>
      <c r="W2631" s="5" t="s">
        <v>72</v>
      </c>
      <c r="X2631" s="5" t="s">
        <v>72</v>
      </c>
      <c r="Y2631" s="4">
        <v>485</v>
      </c>
      <c r="Z2631" s="4">
        <v>16</v>
      </c>
      <c r="AA2631" s="4">
        <v>16</v>
      </c>
      <c r="AB2631" s="4">
        <v>1</v>
      </c>
      <c r="AC2631" s="4">
        <v>1</v>
      </c>
      <c r="AD2631" s="4">
        <v>64</v>
      </c>
      <c r="AE2631" s="4">
        <v>64</v>
      </c>
      <c r="AF2631" s="4">
        <v>0</v>
      </c>
      <c r="AG2631" s="4">
        <v>0</v>
      </c>
      <c r="AH2631" s="4">
        <v>58</v>
      </c>
      <c r="AI2631" s="4">
        <v>58</v>
      </c>
      <c r="AJ2631" s="4">
        <v>6</v>
      </c>
      <c r="AK2631" s="4">
        <v>6</v>
      </c>
      <c r="AL2631" s="4">
        <v>35</v>
      </c>
      <c r="AM2631" s="4">
        <v>35</v>
      </c>
      <c r="AN2631" s="4">
        <v>0</v>
      </c>
      <c r="AO2631" s="4">
        <v>0</v>
      </c>
      <c r="AP2631" s="4">
        <v>7</v>
      </c>
      <c r="AQ2631" s="4">
        <v>7</v>
      </c>
      <c r="AR2631" s="3" t="s">
        <v>65</v>
      </c>
      <c r="AS2631" s="3" t="s">
        <v>65</v>
      </c>
      <c r="AT2631" s="3" t="s">
        <v>65</v>
      </c>
      <c r="AV2631" s="6" t="str">
        <f>HYPERLINK("http://mcgill.on.worldcat.org/oclc/269884","Catalog Record")</f>
        <v>Catalog Record</v>
      </c>
      <c r="AW2631" s="6" t="str">
        <f>HYPERLINK("http://www.worldcat.org/oclc/269884","WorldCat Record")</f>
        <v>WorldCat Record</v>
      </c>
      <c r="AX2631" s="3" t="s">
        <v>26002</v>
      </c>
      <c r="AY2631" s="3" t="s">
        <v>26003</v>
      </c>
      <c r="AZ2631" s="3" t="s">
        <v>26004</v>
      </c>
      <c r="BA2631" s="3" t="s">
        <v>26004</v>
      </c>
      <c r="BB2631" s="3" t="s">
        <v>26005</v>
      </c>
      <c r="BC2631" s="3" t="s">
        <v>77</v>
      </c>
      <c r="BD2631" s="3" t="s">
        <v>78</v>
      </c>
      <c r="BF2631" s="3" t="s">
        <v>26005</v>
      </c>
      <c r="BG2631" s="3" t="s">
        <v>26006</v>
      </c>
    </row>
    <row r="2632" spans="1:59" ht="72.5" x14ac:dyDescent="0.35">
      <c r="A2632" s="2" t="s">
        <v>59</v>
      </c>
      <c r="B2632" s="2" t="s">
        <v>60</v>
      </c>
      <c r="C2632" s="2" t="s">
        <v>26007</v>
      </c>
      <c r="D2632" s="2" t="s">
        <v>26008</v>
      </c>
      <c r="E2632" s="2" t="s">
        <v>26009</v>
      </c>
      <c r="G2632" s="3" t="s">
        <v>65</v>
      </c>
      <c r="I2632" s="3" t="s">
        <v>65</v>
      </c>
      <c r="J2632" s="3" t="s">
        <v>65</v>
      </c>
      <c r="K2632" s="3" t="s">
        <v>66</v>
      </c>
      <c r="L2632" s="2" t="s">
        <v>25988</v>
      </c>
      <c r="M2632" s="2" t="s">
        <v>13219</v>
      </c>
      <c r="N2632" s="3" t="s">
        <v>364</v>
      </c>
      <c r="O2632" s="2" t="s">
        <v>26010</v>
      </c>
      <c r="P2632" s="3" t="s">
        <v>140</v>
      </c>
      <c r="Q2632" s="2" t="s">
        <v>25991</v>
      </c>
      <c r="R2632" s="3" t="s">
        <v>71</v>
      </c>
      <c r="S2632" s="4">
        <v>3</v>
      </c>
      <c r="T2632" s="4">
        <v>3</v>
      </c>
      <c r="U2632" s="5" t="s">
        <v>22853</v>
      </c>
      <c r="V2632" s="5" t="s">
        <v>22853</v>
      </c>
      <c r="W2632" s="5" t="s">
        <v>72</v>
      </c>
      <c r="X2632" s="5" t="s">
        <v>72</v>
      </c>
      <c r="Y2632" s="4">
        <v>9</v>
      </c>
      <c r="Z2632" s="4">
        <v>2</v>
      </c>
      <c r="AA2632" s="4">
        <v>4</v>
      </c>
      <c r="AB2632" s="4">
        <v>2</v>
      </c>
      <c r="AC2632" s="4">
        <v>3</v>
      </c>
      <c r="AD2632" s="4">
        <v>0</v>
      </c>
      <c r="AE2632" s="4">
        <v>12</v>
      </c>
      <c r="AF2632" s="4">
        <v>0</v>
      </c>
      <c r="AG2632" s="4">
        <v>1</v>
      </c>
      <c r="AH2632" s="4">
        <v>0</v>
      </c>
      <c r="AI2632" s="4">
        <v>9</v>
      </c>
      <c r="AJ2632" s="4">
        <v>0</v>
      </c>
      <c r="AK2632" s="4">
        <v>2</v>
      </c>
      <c r="AL2632" s="4">
        <v>0</v>
      </c>
      <c r="AM2632" s="4">
        <v>7</v>
      </c>
      <c r="AN2632" s="4">
        <v>0</v>
      </c>
      <c r="AO2632" s="4">
        <v>0</v>
      </c>
      <c r="AP2632" s="4">
        <v>0</v>
      </c>
      <c r="AQ2632" s="4">
        <v>2</v>
      </c>
      <c r="AR2632" s="3" t="s">
        <v>65</v>
      </c>
      <c r="AS2632" s="3" t="s">
        <v>65</v>
      </c>
      <c r="AT2632" s="3" t="s">
        <v>209</v>
      </c>
      <c r="AU2632" s="6" t="str">
        <f>HYPERLINK("http://catalog.hathitrust.org/Record/004198914","HathiTrust Record")</f>
        <v>HathiTrust Record</v>
      </c>
      <c r="AV2632" s="6" t="str">
        <f>HYPERLINK("http://mcgill.on.worldcat.org/oclc/428009698","Catalog Record")</f>
        <v>Catalog Record</v>
      </c>
      <c r="AW2632" s="6" t="str">
        <f>HYPERLINK("http://www.worldcat.org/oclc/428009698","WorldCat Record")</f>
        <v>WorldCat Record</v>
      </c>
      <c r="AX2632" s="3" t="s">
        <v>26011</v>
      </c>
      <c r="AY2632" s="3" t="s">
        <v>26012</v>
      </c>
      <c r="AZ2632" s="3" t="s">
        <v>26013</v>
      </c>
      <c r="BA2632" s="3" t="s">
        <v>26013</v>
      </c>
      <c r="BB2632" s="3" t="s">
        <v>26014</v>
      </c>
      <c r="BC2632" s="3" t="s">
        <v>77</v>
      </c>
      <c r="BD2632" s="3" t="s">
        <v>78</v>
      </c>
      <c r="BE2632" s="3" t="s">
        <v>26015</v>
      </c>
      <c r="BF2632" s="3" t="s">
        <v>26014</v>
      </c>
      <c r="BG2632" s="3" t="s">
        <v>26016</v>
      </c>
    </row>
    <row r="2633" spans="1:59" ht="72.5" x14ac:dyDescent="0.35">
      <c r="A2633" s="2" t="s">
        <v>59</v>
      </c>
      <c r="B2633" s="2" t="s">
        <v>60</v>
      </c>
      <c r="C2633" s="2" t="s">
        <v>26017</v>
      </c>
      <c r="D2633" s="2" t="s">
        <v>26018</v>
      </c>
      <c r="E2633" s="2" t="s">
        <v>26019</v>
      </c>
      <c r="G2633" s="3" t="s">
        <v>65</v>
      </c>
      <c r="I2633" s="3" t="s">
        <v>65</v>
      </c>
      <c r="J2633" s="3" t="s">
        <v>65</v>
      </c>
      <c r="K2633" s="3" t="s">
        <v>66</v>
      </c>
      <c r="L2633" s="2" t="s">
        <v>25988</v>
      </c>
      <c r="M2633" s="2" t="s">
        <v>26020</v>
      </c>
      <c r="N2633" s="3" t="s">
        <v>564</v>
      </c>
      <c r="P2633" s="3" t="s">
        <v>69</v>
      </c>
      <c r="R2633" s="3" t="s">
        <v>71</v>
      </c>
      <c r="S2633" s="4">
        <v>11</v>
      </c>
      <c r="T2633" s="4">
        <v>11</v>
      </c>
      <c r="U2633" s="5" t="s">
        <v>9328</v>
      </c>
      <c r="V2633" s="5" t="s">
        <v>9328</v>
      </c>
      <c r="W2633" s="5" t="s">
        <v>72</v>
      </c>
      <c r="X2633" s="5" t="s">
        <v>72</v>
      </c>
      <c r="Y2633" s="4">
        <v>394</v>
      </c>
      <c r="Z2633" s="4">
        <v>13</v>
      </c>
      <c r="AA2633" s="4">
        <v>16</v>
      </c>
      <c r="AB2633" s="4">
        <v>1</v>
      </c>
      <c r="AC2633" s="4">
        <v>3</v>
      </c>
      <c r="AD2633" s="4">
        <v>66</v>
      </c>
      <c r="AE2633" s="4">
        <v>68</v>
      </c>
      <c r="AF2633" s="4">
        <v>0</v>
      </c>
      <c r="AG2633" s="4">
        <v>0</v>
      </c>
      <c r="AH2633" s="4">
        <v>60</v>
      </c>
      <c r="AI2633" s="4">
        <v>62</v>
      </c>
      <c r="AJ2633" s="4">
        <v>5</v>
      </c>
      <c r="AK2633" s="4">
        <v>5</v>
      </c>
      <c r="AL2633" s="4">
        <v>38</v>
      </c>
      <c r="AM2633" s="4">
        <v>39</v>
      </c>
      <c r="AN2633" s="4">
        <v>0</v>
      </c>
      <c r="AO2633" s="4">
        <v>0</v>
      </c>
      <c r="AP2633" s="4">
        <v>7</v>
      </c>
      <c r="AQ2633" s="4">
        <v>7</v>
      </c>
      <c r="AR2633" s="3" t="s">
        <v>65</v>
      </c>
      <c r="AS2633" s="3" t="s">
        <v>65</v>
      </c>
      <c r="AT2633" s="3" t="s">
        <v>209</v>
      </c>
      <c r="AU2633" s="6" t="str">
        <f>HYPERLINK("http://catalog.hathitrust.org/Record/000002657","HathiTrust Record")</f>
        <v>HathiTrust Record</v>
      </c>
      <c r="AV2633" s="6" t="str">
        <f>HYPERLINK("http://mcgill.on.worldcat.org/oclc/178940","Catalog Record")</f>
        <v>Catalog Record</v>
      </c>
      <c r="AW2633" s="6" t="str">
        <f>HYPERLINK("http://www.worldcat.org/oclc/178940","WorldCat Record")</f>
        <v>WorldCat Record</v>
      </c>
      <c r="AX2633" s="3" t="s">
        <v>26021</v>
      </c>
      <c r="AY2633" s="3" t="s">
        <v>26022</v>
      </c>
      <c r="AZ2633" s="3" t="s">
        <v>26023</v>
      </c>
      <c r="BA2633" s="3" t="s">
        <v>26023</v>
      </c>
      <c r="BB2633" s="3" t="s">
        <v>26024</v>
      </c>
      <c r="BC2633" s="3" t="s">
        <v>77</v>
      </c>
      <c r="BD2633" s="3" t="s">
        <v>78</v>
      </c>
      <c r="BF2633" s="3" t="s">
        <v>26024</v>
      </c>
      <c r="BG2633" s="3" t="s">
        <v>26025</v>
      </c>
    </row>
    <row r="2634" spans="1:59" ht="72.5" x14ac:dyDescent="0.35">
      <c r="A2634" s="2" t="s">
        <v>59</v>
      </c>
      <c r="B2634" s="2" t="s">
        <v>60</v>
      </c>
      <c r="C2634" s="2" t="s">
        <v>26026</v>
      </c>
      <c r="D2634" s="2" t="s">
        <v>26027</v>
      </c>
      <c r="E2634" s="2" t="s">
        <v>26028</v>
      </c>
      <c r="G2634" s="3" t="s">
        <v>65</v>
      </c>
      <c r="I2634" s="3" t="s">
        <v>65</v>
      </c>
      <c r="J2634" s="3" t="s">
        <v>65</v>
      </c>
      <c r="K2634" s="3" t="s">
        <v>66</v>
      </c>
      <c r="L2634" s="2" t="s">
        <v>25988</v>
      </c>
      <c r="M2634" s="2" t="s">
        <v>26029</v>
      </c>
      <c r="N2634" s="3" t="s">
        <v>2979</v>
      </c>
      <c r="P2634" s="3" t="s">
        <v>69</v>
      </c>
      <c r="R2634" s="3" t="s">
        <v>71</v>
      </c>
      <c r="S2634" s="4">
        <v>6</v>
      </c>
      <c r="T2634" s="4">
        <v>6</v>
      </c>
      <c r="U2634" s="5" t="s">
        <v>9328</v>
      </c>
      <c r="V2634" s="5" t="s">
        <v>9328</v>
      </c>
      <c r="W2634" s="5" t="s">
        <v>72</v>
      </c>
      <c r="X2634" s="5" t="s">
        <v>72</v>
      </c>
      <c r="Y2634" s="4">
        <v>146</v>
      </c>
      <c r="Z2634" s="4">
        <v>2</v>
      </c>
      <c r="AA2634" s="4">
        <v>56</v>
      </c>
      <c r="AB2634" s="4">
        <v>1</v>
      </c>
      <c r="AC2634" s="4">
        <v>8</v>
      </c>
      <c r="AD2634" s="4">
        <v>29</v>
      </c>
      <c r="AE2634" s="4">
        <v>138</v>
      </c>
      <c r="AF2634" s="4">
        <v>0</v>
      </c>
      <c r="AG2634" s="4">
        <v>4</v>
      </c>
      <c r="AH2634" s="4">
        <v>27</v>
      </c>
      <c r="AI2634" s="4">
        <v>111</v>
      </c>
      <c r="AJ2634" s="4">
        <v>1</v>
      </c>
      <c r="AK2634" s="4">
        <v>20</v>
      </c>
      <c r="AL2634" s="4">
        <v>18</v>
      </c>
      <c r="AM2634" s="4">
        <v>61</v>
      </c>
      <c r="AN2634" s="4">
        <v>0</v>
      </c>
      <c r="AO2634" s="4">
        <v>1</v>
      </c>
      <c r="AP2634" s="4">
        <v>1</v>
      </c>
      <c r="AQ2634" s="4">
        <v>31</v>
      </c>
      <c r="AR2634" s="3" t="s">
        <v>65</v>
      </c>
      <c r="AS2634" s="3" t="s">
        <v>65</v>
      </c>
      <c r="AT2634" s="3" t="s">
        <v>65</v>
      </c>
      <c r="AV2634" s="6" t="str">
        <f>HYPERLINK("http://mcgill.on.worldcat.org/oclc/2198820","Catalog Record")</f>
        <v>Catalog Record</v>
      </c>
      <c r="AW2634" s="6" t="str">
        <f>HYPERLINK("http://www.worldcat.org/oclc/2198820","WorldCat Record")</f>
        <v>WorldCat Record</v>
      </c>
      <c r="AX2634" s="3" t="s">
        <v>26030</v>
      </c>
      <c r="AY2634" s="3" t="s">
        <v>26031</v>
      </c>
      <c r="AZ2634" s="3" t="s">
        <v>26032</v>
      </c>
      <c r="BA2634" s="3" t="s">
        <v>26032</v>
      </c>
      <c r="BB2634" s="3" t="s">
        <v>26033</v>
      </c>
      <c r="BC2634" s="3" t="s">
        <v>77</v>
      </c>
      <c r="BD2634" s="3" t="s">
        <v>78</v>
      </c>
      <c r="BF2634" s="3" t="s">
        <v>26033</v>
      </c>
      <c r="BG2634" s="3" t="s">
        <v>26034</v>
      </c>
    </row>
    <row r="2635" spans="1:59" ht="72.5" x14ac:dyDescent="0.35">
      <c r="A2635" s="2" t="s">
        <v>59</v>
      </c>
      <c r="B2635" s="2" t="s">
        <v>60</v>
      </c>
      <c r="C2635" s="2" t="s">
        <v>26035</v>
      </c>
      <c r="D2635" s="2" t="s">
        <v>26036</v>
      </c>
      <c r="E2635" s="2" t="s">
        <v>26037</v>
      </c>
      <c r="G2635" s="3" t="s">
        <v>65</v>
      </c>
      <c r="I2635" s="3" t="s">
        <v>65</v>
      </c>
      <c r="J2635" s="3" t="s">
        <v>65</v>
      </c>
      <c r="K2635" s="3" t="s">
        <v>66</v>
      </c>
      <c r="L2635" s="2" t="s">
        <v>26038</v>
      </c>
      <c r="M2635" s="2" t="s">
        <v>26039</v>
      </c>
      <c r="N2635" s="3" t="s">
        <v>1122</v>
      </c>
      <c r="O2635" s="2" t="s">
        <v>365</v>
      </c>
      <c r="P2635" s="3" t="s">
        <v>140</v>
      </c>
      <c r="R2635" s="3" t="s">
        <v>71</v>
      </c>
      <c r="S2635" s="4">
        <v>1</v>
      </c>
      <c r="T2635" s="4">
        <v>1</v>
      </c>
      <c r="U2635" s="5" t="s">
        <v>26040</v>
      </c>
      <c r="V2635" s="5" t="s">
        <v>26040</v>
      </c>
      <c r="W2635" s="5" t="s">
        <v>72</v>
      </c>
      <c r="X2635" s="5" t="s">
        <v>72</v>
      </c>
      <c r="Y2635" s="4">
        <v>18</v>
      </c>
      <c r="Z2635" s="4">
        <v>3</v>
      </c>
      <c r="AA2635" s="4">
        <v>3</v>
      </c>
      <c r="AB2635" s="4">
        <v>1</v>
      </c>
      <c r="AC2635" s="4">
        <v>1</v>
      </c>
      <c r="AD2635" s="4">
        <v>13</v>
      </c>
      <c r="AE2635" s="4">
        <v>13</v>
      </c>
      <c r="AF2635" s="4">
        <v>0</v>
      </c>
      <c r="AG2635" s="4">
        <v>0</v>
      </c>
      <c r="AH2635" s="4">
        <v>12</v>
      </c>
      <c r="AI2635" s="4">
        <v>12</v>
      </c>
      <c r="AJ2635" s="4">
        <v>1</v>
      </c>
      <c r="AK2635" s="4">
        <v>1</v>
      </c>
      <c r="AL2635" s="4">
        <v>10</v>
      </c>
      <c r="AM2635" s="4">
        <v>10</v>
      </c>
      <c r="AN2635" s="4">
        <v>0</v>
      </c>
      <c r="AO2635" s="4">
        <v>0</v>
      </c>
      <c r="AP2635" s="4">
        <v>1</v>
      </c>
      <c r="AQ2635" s="4">
        <v>1</v>
      </c>
      <c r="AR2635" s="3" t="s">
        <v>65</v>
      </c>
      <c r="AS2635" s="3" t="s">
        <v>65</v>
      </c>
      <c r="AT2635" s="3" t="s">
        <v>65</v>
      </c>
      <c r="AV2635" s="6" t="str">
        <f>HYPERLINK("http://mcgill.on.worldcat.org/oclc/620103530","Catalog Record")</f>
        <v>Catalog Record</v>
      </c>
      <c r="AW2635" s="6" t="str">
        <f>HYPERLINK("http://www.worldcat.org/oclc/620103530","WorldCat Record")</f>
        <v>WorldCat Record</v>
      </c>
      <c r="AX2635" s="3" t="s">
        <v>26041</v>
      </c>
      <c r="AY2635" s="3" t="s">
        <v>26042</v>
      </c>
      <c r="AZ2635" s="3" t="s">
        <v>26043</v>
      </c>
      <c r="BA2635" s="3" t="s">
        <v>26043</v>
      </c>
      <c r="BB2635" s="3" t="s">
        <v>26044</v>
      </c>
      <c r="BC2635" s="3" t="s">
        <v>77</v>
      </c>
      <c r="BD2635" s="3" t="s">
        <v>78</v>
      </c>
      <c r="BE2635" s="3" t="s">
        <v>26045</v>
      </c>
      <c r="BF2635" s="3" t="s">
        <v>26044</v>
      </c>
      <c r="BG2635" s="3" t="s">
        <v>26046</v>
      </c>
    </row>
    <row r="2636" spans="1:59" ht="72.5" x14ac:dyDescent="0.35">
      <c r="A2636" s="2" t="s">
        <v>59</v>
      </c>
      <c r="B2636" s="2" t="s">
        <v>60</v>
      </c>
      <c r="C2636" s="2" t="s">
        <v>26047</v>
      </c>
      <c r="D2636" s="2" t="s">
        <v>26048</v>
      </c>
      <c r="E2636" s="2" t="s">
        <v>26049</v>
      </c>
      <c r="G2636" s="3" t="s">
        <v>65</v>
      </c>
      <c r="I2636" s="3" t="s">
        <v>65</v>
      </c>
      <c r="J2636" s="3" t="s">
        <v>65</v>
      </c>
      <c r="K2636" s="3" t="s">
        <v>66</v>
      </c>
      <c r="L2636" s="2" t="s">
        <v>26050</v>
      </c>
      <c r="M2636" s="2" t="s">
        <v>26051</v>
      </c>
      <c r="N2636" s="3" t="s">
        <v>113</v>
      </c>
      <c r="P2636" s="3" t="s">
        <v>140</v>
      </c>
      <c r="Q2636" s="2" t="s">
        <v>26052</v>
      </c>
      <c r="R2636" s="3" t="s">
        <v>71</v>
      </c>
      <c r="S2636" s="4">
        <v>0</v>
      </c>
      <c r="T2636" s="4">
        <v>0</v>
      </c>
      <c r="W2636" s="5" t="s">
        <v>72</v>
      </c>
      <c r="X2636" s="5" t="s">
        <v>72</v>
      </c>
      <c r="Y2636" s="4">
        <v>28</v>
      </c>
      <c r="Z2636" s="4">
        <v>3</v>
      </c>
      <c r="AA2636" s="4">
        <v>3</v>
      </c>
      <c r="AB2636" s="4">
        <v>1</v>
      </c>
      <c r="AC2636" s="4">
        <v>1</v>
      </c>
      <c r="AD2636" s="4">
        <v>22</v>
      </c>
      <c r="AE2636" s="4">
        <v>22</v>
      </c>
      <c r="AF2636" s="4">
        <v>0</v>
      </c>
      <c r="AG2636" s="4">
        <v>0</v>
      </c>
      <c r="AH2636" s="4">
        <v>21</v>
      </c>
      <c r="AI2636" s="4">
        <v>21</v>
      </c>
      <c r="AJ2636" s="4">
        <v>1</v>
      </c>
      <c r="AK2636" s="4">
        <v>1</v>
      </c>
      <c r="AL2636" s="4">
        <v>17</v>
      </c>
      <c r="AM2636" s="4">
        <v>17</v>
      </c>
      <c r="AN2636" s="4">
        <v>0</v>
      </c>
      <c r="AO2636" s="4">
        <v>0</v>
      </c>
      <c r="AP2636" s="4">
        <v>1</v>
      </c>
      <c r="AQ2636" s="4">
        <v>1</v>
      </c>
      <c r="AR2636" s="3" t="s">
        <v>65</v>
      </c>
      <c r="AS2636" s="3" t="s">
        <v>65</v>
      </c>
      <c r="AT2636" s="3" t="s">
        <v>65</v>
      </c>
      <c r="AV2636" s="6" t="str">
        <f>HYPERLINK("http://mcgill.on.worldcat.org/oclc/652361503","Catalog Record")</f>
        <v>Catalog Record</v>
      </c>
      <c r="AW2636" s="6" t="str">
        <f>HYPERLINK("http://www.worldcat.org/oclc/652361503","WorldCat Record")</f>
        <v>WorldCat Record</v>
      </c>
      <c r="AX2636" s="3" t="s">
        <v>26053</v>
      </c>
      <c r="AY2636" s="3" t="s">
        <v>26054</v>
      </c>
      <c r="AZ2636" s="3" t="s">
        <v>26055</v>
      </c>
      <c r="BA2636" s="3" t="s">
        <v>26055</v>
      </c>
      <c r="BB2636" s="3" t="s">
        <v>26056</v>
      </c>
      <c r="BC2636" s="3" t="s">
        <v>77</v>
      </c>
      <c r="BD2636" s="3" t="s">
        <v>78</v>
      </c>
      <c r="BE2636" s="3" t="s">
        <v>26057</v>
      </c>
      <c r="BF2636" s="3" t="s">
        <v>26056</v>
      </c>
      <c r="BG2636" s="3" t="s">
        <v>26058</v>
      </c>
    </row>
    <row r="2637" spans="1:59" ht="72.5" x14ac:dyDescent="0.35">
      <c r="A2637" s="2" t="s">
        <v>59</v>
      </c>
      <c r="B2637" s="2" t="s">
        <v>60</v>
      </c>
      <c r="C2637" s="2" t="s">
        <v>26059</v>
      </c>
      <c r="D2637" s="2" t="s">
        <v>26060</v>
      </c>
      <c r="E2637" s="2" t="s">
        <v>26061</v>
      </c>
      <c r="G2637" s="3" t="s">
        <v>65</v>
      </c>
      <c r="I2637" s="3" t="s">
        <v>65</v>
      </c>
      <c r="J2637" s="3" t="s">
        <v>65</v>
      </c>
      <c r="K2637" s="3" t="s">
        <v>66</v>
      </c>
      <c r="L2637" s="2" t="s">
        <v>26062</v>
      </c>
      <c r="M2637" s="2" t="s">
        <v>26063</v>
      </c>
      <c r="N2637" s="3" t="s">
        <v>139</v>
      </c>
      <c r="O2637" s="2" t="s">
        <v>365</v>
      </c>
      <c r="P2637" s="3" t="s">
        <v>140</v>
      </c>
      <c r="Q2637" s="2" t="s">
        <v>26064</v>
      </c>
      <c r="R2637" s="3" t="s">
        <v>71</v>
      </c>
      <c r="S2637" s="4">
        <v>0</v>
      </c>
      <c r="T2637" s="4">
        <v>0</v>
      </c>
      <c r="W2637" s="5" t="s">
        <v>72</v>
      </c>
      <c r="X2637" s="5" t="s">
        <v>72</v>
      </c>
      <c r="Y2637" s="4">
        <v>21</v>
      </c>
      <c r="Z2637" s="4">
        <v>3</v>
      </c>
      <c r="AA2637" s="4">
        <v>3</v>
      </c>
      <c r="AB2637" s="4">
        <v>1</v>
      </c>
      <c r="AC2637" s="4">
        <v>1</v>
      </c>
      <c r="AD2637" s="4">
        <v>15</v>
      </c>
      <c r="AE2637" s="4">
        <v>15</v>
      </c>
      <c r="AF2637" s="4">
        <v>0</v>
      </c>
      <c r="AG2637" s="4">
        <v>0</v>
      </c>
      <c r="AH2637" s="4">
        <v>14</v>
      </c>
      <c r="AI2637" s="4">
        <v>14</v>
      </c>
      <c r="AJ2637" s="4">
        <v>1</v>
      </c>
      <c r="AK2637" s="4">
        <v>1</v>
      </c>
      <c r="AL2637" s="4">
        <v>12</v>
      </c>
      <c r="AM2637" s="4">
        <v>12</v>
      </c>
      <c r="AN2637" s="4">
        <v>0</v>
      </c>
      <c r="AO2637" s="4">
        <v>0</v>
      </c>
      <c r="AP2637" s="4">
        <v>1</v>
      </c>
      <c r="AQ2637" s="4">
        <v>1</v>
      </c>
      <c r="AR2637" s="3" t="s">
        <v>65</v>
      </c>
      <c r="AS2637" s="3" t="s">
        <v>65</v>
      </c>
      <c r="AT2637" s="3" t="s">
        <v>65</v>
      </c>
      <c r="AV2637" s="6" t="str">
        <f>HYPERLINK("http://mcgill.on.worldcat.org/oclc/783119674","Catalog Record")</f>
        <v>Catalog Record</v>
      </c>
      <c r="AW2637" s="6" t="str">
        <f>HYPERLINK("http://www.worldcat.org/oclc/783119674","WorldCat Record")</f>
        <v>WorldCat Record</v>
      </c>
      <c r="AX2637" s="3" t="s">
        <v>26065</v>
      </c>
      <c r="AY2637" s="3" t="s">
        <v>26066</v>
      </c>
      <c r="AZ2637" s="3" t="s">
        <v>26067</v>
      </c>
      <c r="BA2637" s="3" t="s">
        <v>26067</v>
      </c>
      <c r="BB2637" s="3" t="s">
        <v>26068</v>
      </c>
      <c r="BC2637" s="3" t="s">
        <v>77</v>
      </c>
      <c r="BD2637" s="3" t="s">
        <v>78</v>
      </c>
      <c r="BE2637" s="3" t="s">
        <v>26069</v>
      </c>
      <c r="BF2637" s="3" t="s">
        <v>26068</v>
      </c>
      <c r="BG2637" s="3" t="s">
        <v>26070</v>
      </c>
    </row>
    <row r="2638" spans="1:59" ht="58" x14ac:dyDescent="0.35">
      <c r="A2638" s="2" t="s">
        <v>59</v>
      </c>
      <c r="B2638" s="2" t="s">
        <v>60</v>
      </c>
      <c r="C2638" s="2" t="s">
        <v>26071</v>
      </c>
      <c r="D2638" s="2" t="s">
        <v>26072</v>
      </c>
      <c r="E2638" s="2" t="s">
        <v>26073</v>
      </c>
      <c r="G2638" s="3" t="s">
        <v>65</v>
      </c>
      <c r="I2638" s="3" t="s">
        <v>65</v>
      </c>
      <c r="J2638" s="3" t="s">
        <v>65</v>
      </c>
      <c r="K2638" s="3" t="s">
        <v>66</v>
      </c>
      <c r="L2638" s="2" t="s">
        <v>26074</v>
      </c>
      <c r="M2638" s="2" t="s">
        <v>26075</v>
      </c>
      <c r="N2638" s="3" t="s">
        <v>17632</v>
      </c>
      <c r="P2638" s="3" t="s">
        <v>140</v>
      </c>
      <c r="R2638" s="3" t="s">
        <v>71</v>
      </c>
      <c r="S2638" s="4">
        <v>1</v>
      </c>
      <c r="T2638" s="4">
        <v>1</v>
      </c>
      <c r="U2638" s="5" t="s">
        <v>9076</v>
      </c>
      <c r="V2638" s="5" t="s">
        <v>9076</v>
      </c>
      <c r="W2638" s="5" t="s">
        <v>72</v>
      </c>
      <c r="X2638" s="5" t="s">
        <v>72</v>
      </c>
      <c r="Y2638" s="4">
        <v>1</v>
      </c>
      <c r="Z2638" s="4">
        <v>1</v>
      </c>
      <c r="AA2638" s="4">
        <v>6</v>
      </c>
      <c r="AB2638" s="4">
        <v>1</v>
      </c>
      <c r="AC2638" s="4">
        <v>2</v>
      </c>
      <c r="AD2638" s="4">
        <v>0</v>
      </c>
      <c r="AE2638" s="4">
        <v>47</v>
      </c>
      <c r="AF2638" s="4">
        <v>0</v>
      </c>
      <c r="AG2638" s="4">
        <v>1</v>
      </c>
      <c r="AH2638" s="4">
        <v>0</v>
      </c>
      <c r="AI2638" s="4">
        <v>43</v>
      </c>
      <c r="AJ2638" s="4">
        <v>0</v>
      </c>
      <c r="AK2638" s="4">
        <v>5</v>
      </c>
      <c r="AL2638" s="4">
        <v>0</v>
      </c>
      <c r="AM2638" s="4">
        <v>32</v>
      </c>
      <c r="AN2638" s="4">
        <v>0</v>
      </c>
      <c r="AO2638" s="4">
        <v>0</v>
      </c>
      <c r="AP2638" s="4">
        <v>0</v>
      </c>
      <c r="AQ2638" s="4">
        <v>4</v>
      </c>
      <c r="AR2638" s="3" t="s">
        <v>65</v>
      </c>
      <c r="AS2638" s="3" t="s">
        <v>65</v>
      </c>
      <c r="AT2638" s="3" t="s">
        <v>65</v>
      </c>
      <c r="AV2638" s="6" t="str">
        <f>HYPERLINK("http://mcgill.on.worldcat.org/oclc/427509271","Catalog Record")</f>
        <v>Catalog Record</v>
      </c>
      <c r="AW2638" s="6" t="str">
        <f>HYPERLINK("http://www.worldcat.org/oclc/427509271","WorldCat Record")</f>
        <v>WorldCat Record</v>
      </c>
      <c r="AX2638" s="3" t="s">
        <v>26076</v>
      </c>
      <c r="AY2638" s="3" t="s">
        <v>26077</v>
      </c>
      <c r="AZ2638" s="3" t="s">
        <v>26078</v>
      </c>
      <c r="BA2638" s="3" t="s">
        <v>26078</v>
      </c>
      <c r="BB2638" s="3" t="s">
        <v>26079</v>
      </c>
      <c r="BC2638" s="3" t="s">
        <v>77</v>
      </c>
      <c r="BD2638" s="3" t="s">
        <v>78</v>
      </c>
      <c r="BF2638" s="3" t="s">
        <v>26079</v>
      </c>
      <c r="BG2638" s="3" t="s">
        <v>26080</v>
      </c>
    </row>
    <row r="2639" spans="1:59" ht="58" x14ac:dyDescent="0.35">
      <c r="A2639" s="2" t="s">
        <v>59</v>
      </c>
      <c r="B2639" s="2" t="s">
        <v>60</v>
      </c>
      <c r="C2639" s="2" t="s">
        <v>26081</v>
      </c>
      <c r="D2639" s="2" t="s">
        <v>26082</v>
      </c>
      <c r="E2639" s="2" t="s">
        <v>26083</v>
      </c>
      <c r="G2639" s="3" t="s">
        <v>65</v>
      </c>
      <c r="I2639" s="3" t="s">
        <v>65</v>
      </c>
      <c r="J2639" s="3" t="s">
        <v>65</v>
      </c>
      <c r="K2639" s="3" t="s">
        <v>66</v>
      </c>
      <c r="L2639" s="2" t="s">
        <v>26074</v>
      </c>
      <c r="M2639" s="2" t="s">
        <v>23331</v>
      </c>
      <c r="N2639" s="3" t="s">
        <v>1109</v>
      </c>
      <c r="O2639" s="2" t="s">
        <v>26084</v>
      </c>
      <c r="P2639" s="3" t="s">
        <v>140</v>
      </c>
      <c r="Q2639" s="2" t="s">
        <v>26085</v>
      </c>
      <c r="R2639" s="3" t="s">
        <v>71</v>
      </c>
      <c r="S2639" s="4">
        <v>5</v>
      </c>
      <c r="T2639" s="4">
        <v>5</v>
      </c>
      <c r="U2639" s="5" t="s">
        <v>9076</v>
      </c>
      <c r="V2639" s="5" t="s">
        <v>9076</v>
      </c>
      <c r="W2639" s="5" t="s">
        <v>72</v>
      </c>
      <c r="X2639" s="5" t="s">
        <v>72</v>
      </c>
      <c r="Y2639" s="4">
        <v>37</v>
      </c>
      <c r="Z2639" s="4">
        <v>7</v>
      </c>
      <c r="AA2639" s="4">
        <v>8</v>
      </c>
      <c r="AB2639" s="4">
        <v>1</v>
      </c>
      <c r="AC2639" s="4">
        <v>2</v>
      </c>
      <c r="AD2639" s="4">
        <v>26</v>
      </c>
      <c r="AE2639" s="4">
        <v>28</v>
      </c>
      <c r="AF2639" s="4">
        <v>0</v>
      </c>
      <c r="AG2639" s="4">
        <v>1</v>
      </c>
      <c r="AH2639" s="4">
        <v>24</v>
      </c>
      <c r="AI2639" s="4">
        <v>25</v>
      </c>
      <c r="AJ2639" s="4">
        <v>5</v>
      </c>
      <c r="AK2639" s="4">
        <v>6</v>
      </c>
      <c r="AL2639" s="4">
        <v>17</v>
      </c>
      <c r="AM2639" s="4">
        <v>18</v>
      </c>
      <c r="AN2639" s="4">
        <v>0</v>
      </c>
      <c r="AO2639" s="4">
        <v>0</v>
      </c>
      <c r="AP2639" s="4">
        <v>5</v>
      </c>
      <c r="AQ2639" s="4">
        <v>5</v>
      </c>
      <c r="AR2639" s="3" t="s">
        <v>65</v>
      </c>
      <c r="AS2639" s="3" t="s">
        <v>65</v>
      </c>
      <c r="AT2639" s="3" t="s">
        <v>209</v>
      </c>
      <c r="AU2639" s="6" t="str">
        <f>HYPERLINK("http://catalog.hathitrust.org/Record/000703676","HathiTrust Record")</f>
        <v>HathiTrust Record</v>
      </c>
      <c r="AV2639" s="6" t="str">
        <f>HYPERLINK("http://mcgill.on.worldcat.org/oclc/1951485","Catalog Record")</f>
        <v>Catalog Record</v>
      </c>
      <c r="AW2639" s="6" t="str">
        <f>HYPERLINK("http://www.worldcat.org/oclc/1951485","WorldCat Record")</f>
        <v>WorldCat Record</v>
      </c>
      <c r="AX2639" s="3" t="s">
        <v>26086</v>
      </c>
      <c r="AY2639" s="3" t="s">
        <v>26087</v>
      </c>
      <c r="AZ2639" s="3" t="s">
        <v>26088</v>
      </c>
      <c r="BA2639" s="3" t="s">
        <v>26088</v>
      </c>
      <c r="BB2639" s="3" t="s">
        <v>26089</v>
      </c>
      <c r="BC2639" s="3" t="s">
        <v>77</v>
      </c>
      <c r="BD2639" s="3" t="s">
        <v>106</v>
      </c>
      <c r="BF2639" s="3" t="s">
        <v>26089</v>
      </c>
      <c r="BG2639" s="3" t="s">
        <v>26090</v>
      </c>
    </row>
    <row r="2640" spans="1:59" ht="58" x14ac:dyDescent="0.35">
      <c r="A2640" s="2" t="s">
        <v>59</v>
      </c>
      <c r="B2640" s="2" t="s">
        <v>60</v>
      </c>
      <c r="C2640" s="2" t="s">
        <v>26091</v>
      </c>
      <c r="D2640" s="2" t="s">
        <v>26092</v>
      </c>
      <c r="E2640" s="2" t="s">
        <v>26093</v>
      </c>
      <c r="G2640" s="3" t="s">
        <v>65</v>
      </c>
      <c r="I2640" s="3" t="s">
        <v>65</v>
      </c>
      <c r="J2640" s="3" t="s">
        <v>65</v>
      </c>
      <c r="K2640" s="3" t="s">
        <v>66</v>
      </c>
      <c r="L2640" s="2" t="s">
        <v>26074</v>
      </c>
      <c r="M2640" s="2" t="s">
        <v>26094</v>
      </c>
      <c r="N2640" s="3" t="s">
        <v>26095</v>
      </c>
      <c r="P2640" s="3" t="s">
        <v>140</v>
      </c>
      <c r="R2640" s="3" t="s">
        <v>71</v>
      </c>
      <c r="S2640" s="4">
        <v>4</v>
      </c>
      <c r="T2640" s="4">
        <v>4</v>
      </c>
      <c r="U2640" s="5" t="s">
        <v>9076</v>
      </c>
      <c r="V2640" s="5" t="s">
        <v>9076</v>
      </c>
      <c r="W2640" s="5" t="s">
        <v>72</v>
      </c>
      <c r="X2640" s="5" t="s">
        <v>72</v>
      </c>
      <c r="Y2640" s="4">
        <v>1</v>
      </c>
      <c r="Z2640" s="4">
        <v>1</v>
      </c>
      <c r="AA2640" s="4">
        <v>1</v>
      </c>
      <c r="AB2640" s="4">
        <v>1</v>
      </c>
      <c r="AC2640" s="4">
        <v>1</v>
      </c>
      <c r="AD2640" s="4">
        <v>0</v>
      </c>
      <c r="AE2640" s="4">
        <v>0</v>
      </c>
      <c r="AF2640" s="4">
        <v>0</v>
      </c>
      <c r="AG2640" s="4">
        <v>0</v>
      </c>
      <c r="AH2640" s="4">
        <v>0</v>
      </c>
      <c r="AI2640" s="4">
        <v>0</v>
      </c>
      <c r="AJ2640" s="4">
        <v>0</v>
      </c>
      <c r="AK2640" s="4">
        <v>0</v>
      </c>
      <c r="AL2640" s="4">
        <v>0</v>
      </c>
      <c r="AM2640" s="4">
        <v>0</v>
      </c>
      <c r="AN2640" s="4">
        <v>0</v>
      </c>
      <c r="AO2640" s="4">
        <v>0</v>
      </c>
      <c r="AP2640" s="4">
        <v>0</v>
      </c>
      <c r="AQ2640" s="4">
        <v>0</v>
      </c>
      <c r="AR2640" s="3" t="s">
        <v>65</v>
      </c>
      <c r="AS2640" s="3" t="s">
        <v>65</v>
      </c>
      <c r="AT2640" s="3" t="s">
        <v>65</v>
      </c>
      <c r="AV2640" s="6" t="str">
        <f>HYPERLINK("http://mcgill.on.worldcat.org/oclc/61613313","Catalog Record")</f>
        <v>Catalog Record</v>
      </c>
      <c r="AW2640" s="6" t="str">
        <f>HYPERLINK("http://www.worldcat.org/oclc/61613313","WorldCat Record")</f>
        <v>WorldCat Record</v>
      </c>
      <c r="AX2640" s="3" t="s">
        <v>26096</v>
      </c>
      <c r="AY2640" s="3" t="s">
        <v>26097</v>
      </c>
      <c r="AZ2640" s="3" t="s">
        <v>26098</v>
      </c>
      <c r="BA2640" s="3" t="s">
        <v>26098</v>
      </c>
      <c r="BB2640" s="3" t="s">
        <v>26099</v>
      </c>
      <c r="BC2640" s="3" t="s">
        <v>77</v>
      </c>
      <c r="BD2640" s="3" t="s">
        <v>78</v>
      </c>
      <c r="BF2640" s="3" t="s">
        <v>26099</v>
      </c>
      <c r="BG2640" s="3" t="s">
        <v>26100</v>
      </c>
    </row>
    <row r="2641" spans="1:59" ht="58" x14ac:dyDescent="0.35">
      <c r="A2641" s="2" t="s">
        <v>59</v>
      </c>
      <c r="B2641" s="2" t="s">
        <v>60</v>
      </c>
      <c r="C2641" s="2" t="s">
        <v>26101</v>
      </c>
      <c r="D2641" s="2" t="s">
        <v>26102</v>
      </c>
      <c r="E2641" s="2" t="s">
        <v>26103</v>
      </c>
      <c r="G2641" s="3" t="s">
        <v>65</v>
      </c>
      <c r="I2641" s="3" t="s">
        <v>65</v>
      </c>
      <c r="J2641" s="3" t="s">
        <v>65</v>
      </c>
      <c r="K2641" s="3" t="s">
        <v>66</v>
      </c>
      <c r="L2641" s="2" t="s">
        <v>26104</v>
      </c>
      <c r="M2641" s="2" t="s">
        <v>26105</v>
      </c>
      <c r="N2641" s="3" t="s">
        <v>152</v>
      </c>
      <c r="P2641" s="3" t="s">
        <v>140</v>
      </c>
      <c r="R2641" s="3" t="s">
        <v>71</v>
      </c>
      <c r="S2641" s="4">
        <v>0</v>
      </c>
      <c r="T2641" s="4">
        <v>0</v>
      </c>
      <c r="W2641" s="5" t="s">
        <v>72</v>
      </c>
      <c r="X2641" s="5" t="s">
        <v>72</v>
      </c>
      <c r="Y2641" s="4">
        <v>18</v>
      </c>
      <c r="Z2641" s="4">
        <v>3</v>
      </c>
      <c r="AA2641" s="4">
        <v>3</v>
      </c>
      <c r="AB2641" s="4">
        <v>1</v>
      </c>
      <c r="AC2641" s="4">
        <v>1</v>
      </c>
      <c r="AD2641" s="4">
        <v>13</v>
      </c>
      <c r="AE2641" s="4">
        <v>13</v>
      </c>
      <c r="AF2641" s="4">
        <v>0</v>
      </c>
      <c r="AG2641" s="4">
        <v>0</v>
      </c>
      <c r="AH2641" s="4">
        <v>12</v>
      </c>
      <c r="AI2641" s="4">
        <v>12</v>
      </c>
      <c r="AJ2641" s="4">
        <v>1</v>
      </c>
      <c r="AK2641" s="4">
        <v>1</v>
      </c>
      <c r="AL2641" s="4">
        <v>11</v>
      </c>
      <c r="AM2641" s="4">
        <v>11</v>
      </c>
      <c r="AN2641" s="4">
        <v>0</v>
      </c>
      <c r="AO2641" s="4">
        <v>0</v>
      </c>
      <c r="AP2641" s="4">
        <v>1</v>
      </c>
      <c r="AQ2641" s="4">
        <v>1</v>
      </c>
      <c r="AR2641" s="3" t="s">
        <v>65</v>
      </c>
      <c r="AS2641" s="3" t="s">
        <v>65</v>
      </c>
      <c r="AT2641" s="3" t="s">
        <v>65</v>
      </c>
      <c r="AV2641" s="6" t="str">
        <f>HYPERLINK("http://mcgill.on.worldcat.org/oclc/842837401","Catalog Record")</f>
        <v>Catalog Record</v>
      </c>
      <c r="AW2641" s="6" t="str">
        <f>HYPERLINK("http://www.worldcat.org/oclc/842837401","WorldCat Record")</f>
        <v>WorldCat Record</v>
      </c>
      <c r="AX2641" s="3" t="s">
        <v>26106</v>
      </c>
      <c r="AY2641" s="3" t="s">
        <v>26107</v>
      </c>
      <c r="AZ2641" s="3" t="s">
        <v>26108</v>
      </c>
      <c r="BA2641" s="3" t="s">
        <v>26108</v>
      </c>
      <c r="BB2641" s="3" t="s">
        <v>26109</v>
      </c>
      <c r="BC2641" s="3" t="s">
        <v>77</v>
      </c>
      <c r="BD2641" s="3" t="s">
        <v>78</v>
      </c>
      <c r="BE2641" s="3" t="s">
        <v>26110</v>
      </c>
      <c r="BF2641" s="3" t="s">
        <v>26109</v>
      </c>
      <c r="BG2641" s="3" t="s">
        <v>26111</v>
      </c>
    </row>
    <row r="2642" spans="1:59" ht="58" x14ac:dyDescent="0.35">
      <c r="A2642" s="2" t="s">
        <v>59</v>
      </c>
      <c r="B2642" s="2" t="s">
        <v>60</v>
      </c>
      <c r="C2642" s="2" t="s">
        <v>26112</v>
      </c>
      <c r="D2642" s="2" t="s">
        <v>26113</v>
      </c>
      <c r="E2642" s="2" t="s">
        <v>26114</v>
      </c>
      <c r="G2642" s="3" t="s">
        <v>65</v>
      </c>
      <c r="I2642" s="3" t="s">
        <v>65</v>
      </c>
      <c r="J2642" s="3" t="s">
        <v>65</v>
      </c>
      <c r="K2642" s="3" t="s">
        <v>66</v>
      </c>
      <c r="L2642" s="2" t="s">
        <v>26074</v>
      </c>
      <c r="M2642" s="2" t="s">
        <v>26115</v>
      </c>
      <c r="N2642" s="3" t="s">
        <v>17632</v>
      </c>
      <c r="O2642" s="2" t="s">
        <v>26116</v>
      </c>
      <c r="P2642" s="3" t="s">
        <v>140</v>
      </c>
      <c r="Q2642" s="2" t="s">
        <v>26117</v>
      </c>
      <c r="R2642" s="3" t="s">
        <v>71</v>
      </c>
      <c r="S2642" s="4">
        <v>3</v>
      </c>
      <c r="T2642" s="4">
        <v>3</v>
      </c>
      <c r="U2642" s="5" t="s">
        <v>9076</v>
      </c>
      <c r="V2642" s="5" t="s">
        <v>9076</v>
      </c>
      <c r="W2642" s="5" t="s">
        <v>72</v>
      </c>
      <c r="X2642" s="5" t="s">
        <v>72</v>
      </c>
      <c r="Y2642" s="4">
        <v>16</v>
      </c>
      <c r="Z2642" s="4">
        <v>1</v>
      </c>
      <c r="AA2642" s="4">
        <v>1</v>
      </c>
      <c r="AB2642" s="4">
        <v>1</v>
      </c>
      <c r="AC2642" s="4">
        <v>1</v>
      </c>
      <c r="AD2642" s="4">
        <v>7</v>
      </c>
      <c r="AE2642" s="4">
        <v>7</v>
      </c>
      <c r="AF2642" s="4">
        <v>0</v>
      </c>
      <c r="AG2642" s="4">
        <v>0</v>
      </c>
      <c r="AH2642" s="4">
        <v>7</v>
      </c>
      <c r="AI2642" s="4">
        <v>7</v>
      </c>
      <c r="AJ2642" s="4">
        <v>0</v>
      </c>
      <c r="AK2642" s="4">
        <v>0</v>
      </c>
      <c r="AL2642" s="4">
        <v>5</v>
      </c>
      <c r="AM2642" s="4">
        <v>5</v>
      </c>
      <c r="AN2642" s="4">
        <v>0</v>
      </c>
      <c r="AO2642" s="4">
        <v>0</v>
      </c>
      <c r="AP2642" s="4">
        <v>0</v>
      </c>
      <c r="AQ2642" s="4">
        <v>0</v>
      </c>
      <c r="AR2642" s="3" t="s">
        <v>65</v>
      </c>
      <c r="AS2642" s="3" t="s">
        <v>65</v>
      </c>
      <c r="AT2642" s="3" t="s">
        <v>209</v>
      </c>
      <c r="AU2642" s="6" t="str">
        <f>HYPERLINK("http://catalog.hathitrust.org/Record/006648106","HathiTrust Record")</f>
        <v>HathiTrust Record</v>
      </c>
      <c r="AV2642" s="6" t="str">
        <f>HYPERLINK("http://mcgill.on.worldcat.org/oclc/10832165","Catalog Record")</f>
        <v>Catalog Record</v>
      </c>
      <c r="AW2642" s="6" t="str">
        <f>HYPERLINK("http://www.worldcat.org/oclc/10832165","WorldCat Record")</f>
        <v>WorldCat Record</v>
      </c>
      <c r="AX2642" s="3" t="s">
        <v>26118</v>
      </c>
      <c r="AY2642" s="3" t="s">
        <v>26119</v>
      </c>
      <c r="AZ2642" s="3" t="s">
        <v>26120</v>
      </c>
      <c r="BA2642" s="3" t="s">
        <v>26120</v>
      </c>
      <c r="BB2642" s="3" t="s">
        <v>26121</v>
      </c>
      <c r="BC2642" s="3" t="s">
        <v>77</v>
      </c>
      <c r="BD2642" s="3" t="s">
        <v>78</v>
      </c>
      <c r="BF2642" s="3" t="s">
        <v>26121</v>
      </c>
      <c r="BG2642" s="3" t="s">
        <v>26122</v>
      </c>
    </row>
    <row r="2643" spans="1:59" ht="58" x14ac:dyDescent="0.35">
      <c r="A2643" s="2" t="s">
        <v>59</v>
      </c>
      <c r="B2643" s="2" t="s">
        <v>60</v>
      </c>
      <c r="C2643" s="2" t="s">
        <v>26123</v>
      </c>
      <c r="D2643" s="2" t="s">
        <v>26124</v>
      </c>
      <c r="E2643" s="2" t="s">
        <v>26125</v>
      </c>
      <c r="G2643" s="3" t="s">
        <v>65</v>
      </c>
      <c r="I2643" s="3" t="s">
        <v>65</v>
      </c>
      <c r="J2643" s="3" t="s">
        <v>65</v>
      </c>
      <c r="K2643" s="3" t="s">
        <v>66</v>
      </c>
      <c r="L2643" s="2" t="s">
        <v>26126</v>
      </c>
      <c r="M2643" s="2" t="s">
        <v>26127</v>
      </c>
      <c r="N2643" s="3" t="s">
        <v>1173</v>
      </c>
      <c r="P2643" s="3" t="s">
        <v>69</v>
      </c>
      <c r="R2643" s="3" t="s">
        <v>71</v>
      </c>
      <c r="S2643" s="4">
        <v>3</v>
      </c>
      <c r="T2643" s="4">
        <v>3</v>
      </c>
      <c r="U2643" s="5" t="s">
        <v>26128</v>
      </c>
      <c r="V2643" s="5" t="s">
        <v>26128</v>
      </c>
      <c r="W2643" s="5" t="s">
        <v>72</v>
      </c>
      <c r="X2643" s="5" t="s">
        <v>72</v>
      </c>
      <c r="Y2643" s="4">
        <v>558</v>
      </c>
      <c r="Z2643" s="4">
        <v>24</v>
      </c>
      <c r="AA2643" s="4">
        <v>24</v>
      </c>
      <c r="AB2643" s="4">
        <v>1</v>
      </c>
      <c r="AC2643" s="4">
        <v>1</v>
      </c>
      <c r="AD2643" s="4">
        <v>100</v>
      </c>
      <c r="AE2643" s="4">
        <v>100</v>
      </c>
      <c r="AF2643" s="4">
        <v>0</v>
      </c>
      <c r="AG2643" s="4">
        <v>0</v>
      </c>
      <c r="AH2643" s="4">
        <v>86</v>
      </c>
      <c r="AI2643" s="4">
        <v>86</v>
      </c>
      <c r="AJ2643" s="4">
        <v>14</v>
      </c>
      <c r="AK2643" s="4">
        <v>14</v>
      </c>
      <c r="AL2643" s="4">
        <v>49</v>
      </c>
      <c r="AM2643" s="4">
        <v>49</v>
      </c>
      <c r="AN2643" s="4">
        <v>0</v>
      </c>
      <c r="AO2643" s="4">
        <v>0</v>
      </c>
      <c r="AP2643" s="4">
        <v>17</v>
      </c>
      <c r="AQ2643" s="4">
        <v>17</v>
      </c>
      <c r="AR2643" s="3" t="s">
        <v>65</v>
      </c>
      <c r="AS2643" s="3" t="s">
        <v>65</v>
      </c>
      <c r="AT2643" s="3" t="s">
        <v>209</v>
      </c>
      <c r="AU2643" s="6" t="str">
        <f>HYPERLINK("http://catalog.hathitrust.org/Record/001219302","HathiTrust Record")</f>
        <v>HathiTrust Record</v>
      </c>
      <c r="AV2643" s="6" t="str">
        <f>HYPERLINK("http://mcgill.on.worldcat.org/oclc/151775","Catalog Record")</f>
        <v>Catalog Record</v>
      </c>
      <c r="AW2643" s="6" t="str">
        <f>HYPERLINK("http://www.worldcat.org/oclc/151775","WorldCat Record")</f>
        <v>WorldCat Record</v>
      </c>
      <c r="AX2643" s="3" t="s">
        <v>26129</v>
      </c>
      <c r="AY2643" s="3" t="s">
        <v>26130</v>
      </c>
      <c r="AZ2643" s="3" t="s">
        <v>26131</v>
      </c>
      <c r="BA2643" s="3" t="s">
        <v>26131</v>
      </c>
      <c r="BB2643" s="3" t="s">
        <v>26132</v>
      </c>
      <c r="BC2643" s="3" t="s">
        <v>77</v>
      </c>
      <c r="BD2643" s="3" t="s">
        <v>78</v>
      </c>
      <c r="BF2643" s="3" t="s">
        <v>26132</v>
      </c>
      <c r="BG2643" s="3" t="s">
        <v>26133</v>
      </c>
    </row>
    <row r="2644" spans="1:59" ht="58" x14ac:dyDescent="0.35">
      <c r="A2644" s="2" t="s">
        <v>59</v>
      </c>
      <c r="B2644" s="2" t="s">
        <v>60</v>
      </c>
      <c r="C2644" s="2" t="s">
        <v>26134</v>
      </c>
      <c r="D2644" s="2" t="s">
        <v>26135</v>
      </c>
      <c r="E2644" s="2" t="s">
        <v>26136</v>
      </c>
      <c r="G2644" s="3" t="s">
        <v>65</v>
      </c>
      <c r="I2644" s="3" t="s">
        <v>65</v>
      </c>
      <c r="J2644" s="3" t="s">
        <v>65</v>
      </c>
      <c r="K2644" s="3" t="s">
        <v>66</v>
      </c>
      <c r="L2644" s="2" t="s">
        <v>26126</v>
      </c>
      <c r="M2644" s="2" t="s">
        <v>26137</v>
      </c>
      <c r="N2644" s="3" t="s">
        <v>139</v>
      </c>
      <c r="P2644" s="3" t="s">
        <v>140</v>
      </c>
      <c r="Q2644" s="2" t="s">
        <v>26138</v>
      </c>
      <c r="R2644" s="3" t="s">
        <v>71</v>
      </c>
      <c r="S2644" s="4">
        <v>0</v>
      </c>
      <c r="T2644" s="4">
        <v>0</v>
      </c>
      <c r="W2644" s="5" t="s">
        <v>72</v>
      </c>
      <c r="X2644" s="5" t="s">
        <v>72</v>
      </c>
      <c r="Y2644" s="4">
        <v>41</v>
      </c>
      <c r="Z2644" s="4">
        <v>4</v>
      </c>
      <c r="AA2644" s="4">
        <v>4</v>
      </c>
      <c r="AB2644" s="4">
        <v>1</v>
      </c>
      <c r="AC2644" s="4">
        <v>1</v>
      </c>
      <c r="AD2644" s="4">
        <v>27</v>
      </c>
      <c r="AE2644" s="4">
        <v>27</v>
      </c>
      <c r="AF2644" s="4">
        <v>0</v>
      </c>
      <c r="AG2644" s="4">
        <v>0</v>
      </c>
      <c r="AH2644" s="4">
        <v>27</v>
      </c>
      <c r="AI2644" s="4">
        <v>27</v>
      </c>
      <c r="AJ2644" s="4">
        <v>2</v>
      </c>
      <c r="AK2644" s="4">
        <v>2</v>
      </c>
      <c r="AL2644" s="4">
        <v>21</v>
      </c>
      <c r="AM2644" s="4">
        <v>21</v>
      </c>
      <c r="AN2644" s="4">
        <v>0</v>
      </c>
      <c r="AO2644" s="4">
        <v>0</v>
      </c>
      <c r="AP2644" s="4">
        <v>2</v>
      </c>
      <c r="AQ2644" s="4">
        <v>2</v>
      </c>
      <c r="AR2644" s="3" t="s">
        <v>65</v>
      </c>
      <c r="AS2644" s="3" t="s">
        <v>65</v>
      </c>
      <c r="AT2644" s="3" t="s">
        <v>65</v>
      </c>
      <c r="AV2644" s="6" t="str">
        <f>HYPERLINK("http://mcgill.on.worldcat.org/oclc/794362139","Catalog Record")</f>
        <v>Catalog Record</v>
      </c>
      <c r="AW2644" s="6" t="str">
        <f>HYPERLINK("http://www.worldcat.org/oclc/794362139","WorldCat Record")</f>
        <v>WorldCat Record</v>
      </c>
      <c r="AX2644" s="3" t="s">
        <v>26139</v>
      </c>
      <c r="AY2644" s="3" t="s">
        <v>26140</v>
      </c>
      <c r="AZ2644" s="3" t="s">
        <v>26141</v>
      </c>
      <c r="BA2644" s="3" t="s">
        <v>26141</v>
      </c>
      <c r="BB2644" s="3" t="s">
        <v>26142</v>
      </c>
      <c r="BC2644" s="3" t="s">
        <v>77</v>
      </c>
      <c r="BD2644" s="3" t="s">
        <v>78</v>
      </c>
      <c r="BE2644" s="3" t="s">
        <v>26143</v>
      </c>
      <c r="BF2644" s="3" t="s">
        <v>26142</v>
      </c>
      <c r="BG2644" s="3" t="s">
        <v>26144</v>
      </c>
    </row>
    <row r="2645" spans="1:59" ht="58" x14ac:dyDescent="0.35">
      <c r="A2645" s="2" t="s">
        <v>59</v>
      </c>
      <c r="B2645" s="2" t="s">
        <v>60</v>
      </c>
      <c r="C2645" s="2" t="s">
        <v>26145</v>
      </c>
      <c r="D2645" s="2" t="s">
        <v>26146</v>
      </c>
      <c r="E2645" s="2" t="s">
        <v>26147</v>
      </c>
      <c r="G2645" s="3" t="s">
        <v>65</v>
      </c>
      <c r="I2645" s="3" t="s">
        <v>65</v>
      </c>
      <c r="J2645" s="3" t="s">
        <v>65</v>
      </c>
      <c r="K2645" s="3" t="s">
        <v>66</v>
      </c>
      <c r="L2645" s="2" t="s">
        <v>26148</v>
      </c>
      <c r="M2645" s="2" t="s">
        <v>26149</v>
      </c>
      <c r="N2645" s="3" t="s">
        <v>392</v>
      </c>
      <c r="P2645" s="3" t="s">
        <v>69</v>
      </c>
      <c r="Q2645" s="2" t="s">
        <v>26150</v>
      </c>
      <c r="R2645" s="3" t="s">
        <v>71</v>
      </c>
      <c r="S2645" s="4">
        <v>1</v>
      </c>
      <c r="T2645" s="4">
        <v>1</v>
      </c>
      <c r="U2645" s="5" t="s">
        <v>26128</v>
      </c>
      <c r="V2645" s="5" t="s">
        <v>26128</v>
      </c>
      <c r="W2645" s="5" t="s">
        <v>72</v>
      </c>
      <c r="X2645" s="5" t="s">
        <v>72</v>
      </c>
      <c r="Y2645" s="4">
        <v>192</v>
      </c>
      <c r="Z2645" s="4">
        <v>10</v>
      </c>
      <c r="AA2645" s="4">
        <v>11</v>
      </c>
      <c r="AB2645" s="4">
        <v>1</v>
      </c>
      <c r="AC2645" s="4">
        <v>1</v>
      </c>
      <c r="AD2645" s="4">
        <v>65</v>
      </c>
      <c r="AE2645" s="4">
        <v>66</v>
      </c>
      <c r="AF2645" s="4">
        <v>0</v>
      </c>
      <c r="AG2645" s="4">
        <v>0</v>
      </c>
      <c r="AH2645" s="4">
        <v>60</v>
      </c>
      <c r="AI2645" s="4">
        <v>60</v>
      </c>
      <c r="AJ2645" s="4">
        <v>6</v>
      </c>
      <c r="AK2645" s="4">
        <v>7</v>
      </c>
      <c r="AL2645" s="4">
        <v>43</v>
      </c>
      <c r="AM2645" s="4">
        <v>43</v>
      </c>
      <c r="AN2645" s="4">
        <v>0</v>
      </c>
      <c r="AO2645" s="4">
        <v>0</v>
      </c>
      <c r="AP2645" s="4">
        <v>5</v>
      </c>
      <c r="AQ2645" s="4">
        <v>6</v>
      </c>
      <c r="AR2645" s="3" t="s">
        <v>65</v>
      </c>
      <c r="AS2645" s="3" t="s">
        <v>65</v>
      </c>
      <c r="AT2645" s="3" t="s">
        <v>209</v>
      </c>
      <c r="AU2645" s="6" t="str">
        <f>HYPERLINK("http://catalog.hathitrust.org/Record/002229508","HathiTrust Record")</f>
        <v>HathiTrust Record</v>
      </c>
      <c r="AV2645" s="6" t="str">
        <f>HYPERLINK("http://mcgill.on.worldcat.org/oclc/19917368","Catalog Record")</f>
        <v>Catalog Record</v>
      </c>
      <c r="AW2645" s="6" t="str">
        <f>HYPERLINK("http://www.worldcat.org/oclc/19917368","WorldCat Record")</f>
        <v>WorldCat Record</v>
      </c>
      <c r="AX2645" s="3" t="s">
        <v>26151</v>
      </c>
      <c r="AY2645" s="3" t="s">
        <v>26152</v>
      </c>
      <c r="AZ2645" s="3" t="s">
        <v>26153</v>
      </c>
      <c r="BA2645" s="3" t="s">
        <v>26153</v>
      </c>
      <c r="BB2645" s="3" t="s">
        <v>26154</v>
      </c>
      <c r="BC2645" s="3" t="s">
        <v>77</v>
      </c>
      <c r="BD2645" s="3" t="s">
        <v>78</v>
      </c>
      <c r="BE2645" s="3" t="s">
        <v>26155</v>
      </c>
      <c r="BF2645" s="3" t="s">
        <v>26154</v>
      </c>
      <c r="BG2645" s="3" t="s">
        <v>26156</v>
      </c>
    </row>
    <row r="2646" spans="1:59" ht="58" x14ac:dyDescent="0.35">
      <c r="A2646" s="2" t="s">
        <v>59</v>
      </c>
      <c r="B2646" s="2" t="s">
        <v>60</v>
      </c>
      <c r="C2646" s="2" t="s">
        <v>26157</v>
      </c>
      <c r="D2646" s="2" t="s">
        <v>26158</v>
      </c>
      <c r="E2646" s="2" t="s">
        <v>26159</v>
      </c>
      <c r="G2646" s="3" t="s">
        <v>65</v>
      </c>
      <c r="I2646" s="3" t="s">
        <v>65</v>
      </c>
      <c r="J2646" s="3" t="s">
        <v>65</v>
      </c>
      <c r="K2646" s="3" t="s">
        <v>66</v>
      </c>
      <c r="L2646" s="2" t="s">
        <v>26160</v>
      </c>
      <c r="M2646" s="2" t="s">
        <v>15181</v>
      </c>
      <c r="N2646" s="3" t="s">
        <v>113</v>
      </c>
      <c r="P2646" s="3" t="s">
        <v>140</v>
      </c>
      <c r="Q2646" s="2" t="s">
        <v>26161</v>
      </c>
      <c r="R2646" s="3" t="s">
        <v>71</v>
      </c>
      <c r="S2646" s="4">
        <v>0</v>
      </c>
      <c r="T2646" s="4">
        <v>0</v>
      </c>
      <c r="W2646" s="5" t="s">
        <v>72</v>
      </c>
      <c r="X2646" s="5" t="s">
        <v>72</v>
      </c>
      <c r="Y2646" s="4">
        <v>36</v>
      </c>
      <c r="Z2646" s="4">
        <v>3</v>
      </c>
      <c r="AA2646" s="4">
        <v>3</v>
      </c>
      <c r="AB2646" s="4">
        <v>1</v>
      </c>
      <c r="AC2646" s="4">
        <v>1</v>
      </c>
      <c r="AD2646" s="4">
        <v>27</v>
      </c>
      <c r="AE2646" s="4">
        <v>27</v>
      </c>
      <c r="AF2646" s="4">
        <v>0</v>
      </c>
      <c r="AG2646" s="4">
        <v>0</v>
      </c>
      <c r="AH2646" s="4">
        <v>27</v>
      </c>
      <c r="AI2646" s="4">
        <v>27</v>
      </c>
      <c r="AJ2646" s="4">
        <v>1</v>
      </c>
      <c r="AK2646" s="4">
        <v>1</v>
      </c>
      <c r="AL2646" s="4">
        <v>21</v>
      </c>
      <c r="AM2646" s="4">
        <v>21</v>
      </c>
      <c r="AN2646" s="4">
        <v>0</v>
      </c>
      <c r="AO2646" s="4">
        <v>0</v>
      </c>
      <c r="AP2646" s="4">
        <v>1</v>
      </c>
      <c r="AQ2646" s="4">
        <v>1</v>
      </c>
      <c r="AR2646" s="3" t="s">
        <v>65</v>
      </c>
      <c r="AS2646" s="3" t="s">
        <v>65</v>
      </c>
      <c r="AT2646" s="3" t="s">
        <v>65</v>
      </c>
      <c r="AV2646" s="6" t="str">
        <f>HYPERLINK("http://mcgill.on.worldcat.org/oclc/642806376","Catalog Record")</f>
        <v>Catalog Record</v>
      </c>
      <c r="AW2646" s="6" t="str">
        <f>HYPERLINK("http://www.worldcat.org/oclc/642806376","WorldCat Record")</f>
        <v>WorldCat Record</v>
      </c>
      <c r="AX2646" s="3" t="s">
        <v>26162</v>
      </c>
      <c r="AY2646" s="3" t="s">
        <v>26163</v>
      </c>
      <c r="AZ2646" s="3" t="s">
        <v>26164</v>
      </c>
      <c r="BA2646" s="3" t="s">
        <v>26164</v>
      </c>
      <c r="BB2646" s="3" t="s">
        <v>26165</v>
      </c>
      <c r="BC2646" s="3" t="s">
        <v>77</v>
      </c>
      <c r="BD2646" s="3" t="s">
        <v>78</v>
      </c>
      <c r="BE2646" s="3" t="s">
        <v>26166</v>
      </c>
      <c r="BF2646" s="3" t="s">
        <v>26165</v>
      </c>
      <c r="BG2646" s="3" t="s">
        <v>26167</v>
      </c>
    </row>
    <row r="2647" spans="1:59" ht="58" x14ac:dyDescent="0.35">
      <c r="A2647" s="2" t="s">
        <v>59</v>
      </c>
      <c r="B2647" s="2" t="s">
        <v>60</v>
      </c>
      <c r="C2647" s="2" t="s">
        <v>26168</v>
      </c>
      <c r="D2647" s="2" t="s">
        <v>26169</v>
      </c>
      <c r="E2647" s="2" t="s">
        <v>26170</v>
      </c>
      <c r="F2647" s="3" t="s">
        <v>245</v>
      </c>
      <c r="G2647" s="3" t="s">
        <v>209</v>
      </c>
      <c r="I2647" s="3" t="s">
        <v>65</v>
      </c>
      <c r="J2647" s="3" t="s">
        <v>65</v>
      </c>
      <c r="K2647" s="3" t="s">
        <v>66</v>
      </c>
      <c r="L2647" s="2" t="s">
        <v>26171</v>
      </c>
      <c r="M2647" s="2" t="s">
        <v>26172</v>
      </c>
      <c r="N2647" s="3" t="s">
        <v>176</v>
      </c>
      <c r="P2647" s="3" t="s">
        <v>140</v>
      </c>
      <c r="R2647" s="3" t="s">
        <v>71</v>
      </c>
      <c r="S2647" s="4">
        <v>0</v>
      </c>
      <c r="T2647" s="4">
        <v>0</v>
      </c>
      <c r="W2647" s="5" t="s">
        <v>72</v>
      </c>
      <c r="X2647" s="5" t="s">
        <v>72</v>
      </c>
      <c r="Y2647" s="4">
        <v>40</v>
      </c>
      <c r="Z2647" s="4">
        <v>4</v>
      </c>
      <c r="AA2647" s="4">
        <v>4</v>
      </c>
      <c r="AB2647" s="4">
        <v>1</v>
      </c>
      <c r="AC2647" s="4">
        <v>1</v>
      </c>
      <c r="AD2647" s="4">
        <v>26</v>
      </c>
      <c r="AE2647" s="4">
        <v>26</v>
      </c>
      <c r="AF2647" s="4">
        <v>0</v>
      </c>
      <c r="AG2647" s="4">
        <v>0</v>
      </c>
      <c r="AH2647" s="4">
        <v>25</v>
      </c>
      <c r="AI2647" s="4">
        <v>25</v>
      </c>
      <c r="AJ2647" s="4">
        <v>2</v>
      </c>
      <c r="AK2647" s="4">
        <v>2</v>
      </c>
      <c r="AL2647" s="4">
        <v>20</v>
      </c>
      <c r="AM2647" s="4">
        <v>20</v>
      </c>
      <c r="AN2647" s="4">
        <v>0</v>
      </c>
      <c r="AO2647" s="4">
        <v>0</v>
      </c>
      <c r="AP2647" s="4">
        <v>2</v>
      </c>
      <c r="AQ2647" s="4">
        <v>2</v>
      </c>
      <c r="AR2647" s="3" t="s">
        <v>65</v>
      </c>
      <c r="AS2647" s="3" t="s">
        <v>65</v>
      </c>
      <c r="AT2647" s="3" t="s">
        <v>65</v>
      </c>
      <c r="AV2647" s="6" t="str">
        <f>HYPERLINK("http://mcgill.on.worldcat.org/oclc/903598994","Catalog Record")</f>
        <v>Catalog Record</v>
      </c>
      <c r="AW2647" s="6" t="str">
        <f>HYPERLINK("http://www.worldcat.org/oclc/903598994","WorldCat Record")</f>
        <v>WorldCat Record</v>
      </c>
      <c r="AX2647" s="3" t="s">
        <v>26173</v>
      </c>
      <c r="AY2647" s="3" t="s">
        <v>26174</v>
      </c>
      <c r="AZ2647" s="3" t="s">
        <v>26175</v>
      </c>
      <c r="BA2647" s="3" t="s">
        <v>26175</v>
      </c>
      <c r="BB2647" s="3" t="s">
        <v>26176</v>
      </c>
      <c r="BC2647" s="3" t="s">
        <v>77</v>
      </c>
      <c r="BD2647" s="3" t="s">
        <v>78</v>
      </c>
      <c r="BE2647" s="3" t="s">
        <v>26177</v>
      </c>
      <c r="BF2647" s="3" t="s">
        <v>26176</v>
      </c>
      <c r="BG2647" s="3" t="s">
        <v>26178</v>
      </c>
    </row>
    <row r="2648" spans="1:59" ht="58" x14ac:dyDescent="0.35">
      <c r="A2648" s="2" t="s">
        <v>59</v>
      </c>
      <c r="B2648" s="2" t="s">
        <v>60</v>
      </c>
      <c r="C2648" s="2" t="s">
        <v>26168</v>
      </c>
      <c r="D2648" s="2" t="s">
        <v>26169</v>
      </c>
      <c r="E2648" s="2" t="s">
        <v>26170</v>
      </c>
      <c r="F2648" s="3" t="s">
        <v>258</v>
      </c>
      <c r="G2648" s="3" t="s">
        <v>209</v>
      </c>
      <c r="I2648" s="3" t="s">
        <v>65</v>
      </c>
      <c r="J2648" s="3" t="s">
        <v>65</v>
      </c>
      <c r="K2648" s="3" t="s">
        <v>66</v>
      </c>
      <c r="L2648" s="2" t="s">
        <v>26171</v>
      </c>
      <c r="M2648" s="2" t="s">
        <v>26172</v>
      </c>
      <c r="N2648" s="3" t="s">
        <v>176</v>
      </c>
      <c r="P2648" s="3" t="s">
        <v>140</v>
      </c>
      <c r="R2648" s="3" t="s">
        <v>71</v>
      </c>
      <c r="S2648" s="4">
        <v>0</v>
      </c>
      <c r="T2648" s="4">
        <v>0</v>
      </c>
      <c r="W2648" s="5" t="s">
        <v>72</v>
      </c>
      <c r="X2648" s="5" t="s">
        <v>72</v>
      </c>
      <c r="Y2648" s="4">
        <v>40</v>
      </c>
      <c r="Z2648" s="4">
        <v>4</v>
      </c>
      <c r="AA2648" s="4">
        <v>4</v>
      </c>
      <c r="AB2648" s="4">
        <v>1</v>
      </c>
      <c r="AC2648" s="4">
        <v>1</v>
      </c>
      <c r="AD2648" s="4">
        <v>26</v>
      </c>
      <c r="AE2648" s="4">
        <v>26</v>
      </c>
      <c r="AF2648" s="4">
        <v>0</v>
      </c>
      <c r="AG2648" s="4">
        <v>0</v>
      </c>
      <c r="AH2648" s="4">
        <v>25</v>
      </c>
      <c r="AI2648" s="4">
        <v>25</v>
      </c>
      <c r="AJ2648" s="4">
        <v>2</v>
      </c>
      <c r="AK2648" s="4">
        <v>2</v>
      </c>
      <c r="AL2648" s="4">
        <v>20</v>
      </c>
      <c r="AM2648" s="4">
        <v>20</v>
      </c>
      <c r="AN2648" s="4">
        <v>0</v>
      </c>
      <c r="AO2648" s="4">
        <v>0</v>
      </c>
      <c r="AP2648" s="4">
        <v>2</v>
      </c>
      <c r="AQ2648" s="4">
        <v>2</v>
      </c>
      <c r="AR2648" s="3" t="s">
        <v>65</v>
      </c>
      <c r="AS2648" s="3" t="s">
        <v>65</v>
      </c>
      <c r="AT2648" s="3" t="s">
        <v>65</v>
      </c>
      <c r="AV2648" s="6" t="str">
        <f>HYPERLINK("http://mcgill.on.worldcat.org/oclc/903598994","Catalog Record")</f>
        <v>Catalog Record</v>
      </c>
      <c r="AW2648" s="6" t="str">
        <f>HYPERLINK("http://www.worldcat.org/oclc/903598994","WorldCat Record")</f>
        <v>WorldCat Record</v>
      </c>
      <c r="AX2648" s="3" t="s">
        <v>26173</v>
      </c>
      <c r="AY2648" s="3" t="s">
        <v>26174</v>
      </c>
      <c r="AZ2648" s="3" t="s">
        <v>26175</v>
      </c>
      <c r="BA2648" s="3" t="s">
        <v>26175</v>
      </c>
      <c r="BB2648" s="3" t="s">
        <v>26179</v>
      </c>
      <c r="BC2648" s="3" t="s">
        <v>77</v>
      </c>
      <c r="BD2648" s="3" t="s">
        <v>78</v>
      </c>
      <c r="BE2648" s="3" t="s">
        <v>26177</v>
      </c>
      <c r="BF2648" s="3" t="s">
        <v>26179</v>
      </c>
      <c r="BG2648" s="3" t="s">
        <v>26180</v>
      </c>
    </row>
    <row r="2649" spans="1:59" ht="58" x14ac:dyDescent="0.35">
      <c r="A2649" s="2" t="s">
        <v>59</v>
      </c>
      <c r="B2649" s="2" t="s">
        <v>60</v>
      </c>
      <c r="C2649" s="2" t="s">
        <v>26181</v>
      </c>
      <c r="D2649" s="2" t="s">
        <v>26182</v>
      </c>
      <c r="E2649" s="2" t="s">
        <v>26183</v>
      </c>
      <c r="F2649" s="3" t="s">
        <v>26184</v>
      </c>
      <c r="G2649" s="3" t="s">
        <v>65</v>
      </c>
      <c r="I2649" s="3" t="s">
        <v>65</v>
      </c>
      <c r="J2649" s="3" t="s">
        <v>65</v>
      </c>
      <c r="K2649" s="3" t="s">
        <v>66</v>
      </c>
      <c r="L2649" s="2" t="s">
        <v>26185</v>
      </c>
      <c r="M2649" s="2" t="s">
        <v>22129</v>
      </c>
      <c r="N2649" s="3" t="s">
        <v>139</v>
      </c>
      <c r="P2649" s="3" t="s">
        <v>140</v>
      </c>
      <c r="Q2649" s="2" t="s">
        <v>26186</v>
      </c>
      <c r="R2649" s="3" t="s">
        <v>71</v>
      </c>
      <c r="S2649" s="4">
        <v>0</v>
      </c>
      <c r="T2649" s="4">
        <v>0</v>
      </c>
      <c r="W2649" s="5" t="s">
        <v>72</v>
      </c>
      <c r="X2649" s="5" t="s">
        <v>72</v>
      </c>
      <c r="Y2649" s="4">
        <v>32</v>
      </c>
      <c r="Z2649" s="4">
        <v>4</v>
      </c>
      <c r="AA2649" s="4">
        <v>4</v>
      </c>
      <c r="AB2649" s="4">
        <v>1</v>
      </c>
      <c r="AC2649" s="4">
        <v>1</v>
      </c>
      <c r="AD2649" s="4">
        <v>23</v>
      </c>
      <c r="AE2649" s="4">
        <v>23</v>
      </c>
      <c r="AF2649" s="4">
        <v>0</v>
      </c>
      <c r="AG2649" s="4">
        <v>0</v>
      </c>
      <c r="AH2649" s="4">
        <v>22</v>
      </c>
      <c r="AI2649" s="4">
        <v>22</v>
      </c>
      <c r="AJ2649" s="4">
        <v>2</v>
      </c>
      <c r="AK2649" s="4">
        <v>2</v>
      </c>
      <c r="AL2649" s="4">
        <v>17</v>
      </c>
      <c r="AM2649" s="4">
        <v>17</v>
      </c>
      <c r="AN2649" s="4">
        <v>0</v>
      </c>
      <c r="AO2649" s="4">
        <v>0</v>
      </c>
      <c r="AP2649" s="4">
        <v>2</v>
      </c>
      <c r="AQ2649" s="4">
        <v>2</v>
      </c>
      <c r="AR2649" s="3" t="s">
        <v>65</v>
      </c>
      <c r="AS2649" s="3" t="s">
        <v>65</v>
      </c>
      <c r="AT2649" s="3" t="s">
        <v>65</v>
      </c>
      <c r="AV2649" s="6" t="str">
        <f>HYPERLINK("http://mcgill.on.worldcat.org/oclc/827934497","Catalog Record")</f>
        <v>Catalog Record</v>
      </c>
      <c r="AW2649" s="6" t="str">
        <f>HYPERLINK("http://www.worldcat.org/oclc/827934497","WorldCat Record")</f>
        <v>WorldCat Record</v>
      </c>
      <c r="AX2649" s="3" t="s">
        <v>26187</v>
      </c>
      <c r="AY2649" s="3" t="s">
        <v>26188</v>
      </c>
      <c r="AZ2649" s="3" t="s">
        <v>26189</v>
      </c>
      <c r="BA2649" s="3" t="s">
        <v>26189</v>
      </c>
      <c r="BB2649" s="3" t="s">
        <v>26190</v>
      </c>
      <c r="BC2649" s="3" t="s">
        <v>77</v>
      </c>
      <c r="BD2649" s="3" t="s">
        <v>78</v>
      </c>
      <c r="BE2649" s="3" t="s">
        <v>26191</v>
      </c>
      <c r="BF2649" s="3" t="s">
        <v>26190</v>
      </c>
      <c r="BG2649" s="3" t="s">
        <v>26192</v>
      </c>
    </row>
    <row r="2650" spans="1:59" ht="58" x14ac:dyDescent="0.35">
      <c r="A2650" s="2" t="s">
        <v>59</v>
      </c>
      <c r="B2650" s="2" t="s">
        <v>60</v>
      </c>
      <c r="C2650" s="2" t="s">
        <v>26193</v>
      </c>
      <c r="D2650" s="2" t="s">
        <v>26194</v>
      </c>
      <c r="E2650" s="2" t="s">
        <v>26195</v>
      </c>
      <c r="G2650" s="3" t="s">
        <v>65</v>
      </c>
      <c r="I2650" s="3" t="s">
        <v>65</v>
      </c>
      <c r="J2650" s="3" t="s">
        <v>65</v>
      </c>
      <c r="K2650" s="3" t="s">
        <v>66</v>
      </c>
      <c r="M2650" s="2" t="s">
        <v>3780</v>
      </c>
      <c r="N2650" s="3" t="s">
        <v>113</v>
      </c>
      <c r="P2650" s="3" t="s">
        <v>140</v>
      </c>
      <c r="Q2650" s="2" t="s">
        <v>26196</v>
      </c>
      <c r="R2650" s="3" t="s">
        <v>71</v>
      </c>
      <c r="S2650" s="4">
        <v>0</v>
      </c>
      <c r="T2650" s="4">
        <v>0</v>
      </c>
      <c r="W2650" s="5" t="s">
        <v>72</v>
      </c>
      <c r="X2650" s="5" t="s">
        <v>72</v>
      </c>
      <c r="Y2650" s="4">
        <v>29</v>
      </c>
      <c r="Z2650" s="4">
        <v>1</v>
      </c>
      <c r="AA2650" s="4">
        <v>4</v>
      </c>
      <c r="AB2650" s="4">
        <v>1</v>
      </c>
      <c r="AC2650" s="4">
        <v>1</v>
      </c>
      <c r="AD2650" s="4">
        <v>19</v>
      </c>
      <c r="AE2650" s="4">
        <v>33</v>
      </c>
      <c r="AF2650" s="4">
        <v>0</v>
      </c>
      <c r="AG2650" s="4">
        <v>0</v>
      </c>
      <c r="AH2650" s="4">
        <v>18</v>
      </c>
      <c r="AI2650" s="4">
        <v>32</v>
      </c>
      <c r="AJ2650" s="4">
        <v>0</v>
      </c>
      <c r="AK2650" s="4">
        <v>2</v>
      </c>
      <c r="AL2650" s="4">
        <v>16</v>
      </c>
      <c r="AM2650" s="4">
        <v>27</v>
      </c>
      <c r="AN2650" s="4">
        <v>0</v>
      </c>
      <c r="AO2650" s="4">
        <v>0</v>
      </c>
      <c r="AP2650" s="4">
        <v>0</v>
      </c>
      <c r="AQ2650" s="4">
        <v>2</v>
      </c>
      <c r="AR2650" s="3" t="s">
        <v>65</v>
      </c>
      <c r="AS2650" s="3" t="s">
        <v>65</v>
      </c>
      <c r="AT2650" s="3" t="s">
        <v>65</v>
      </c>
      <c r="AV2650" s="6" t="str">
        <f>HYPERLINK("http://mcgill.on.worldcat.org/oclc/609530462","Catalog Record")</f>
        <v>Catalog Record</v>
      </c>
      <c r="AW2650" s="6" t="str">
        <f>HYPERLINK("http://www.worldcat.org/oclc/609530462","WorldCat Record")</f>
        <v>WorldCat Record</v>
      </c>
      <c r="AX2650" s="3" t="s">
        <v>26197</v>
      </c>
      <c r="AY2650" s="3" t="s">
        <v>26198</v>
      </c>
      <c r="AZ2650" s="3" t="s">
        <v>26199</v>
      </c>
      <c r="BA2650" s="3" t="s">
        <v>26199</v>
      </c>
      <c r="BB2650" s="3" t="s">
        <v>26200</v>
      </c>
      <c r="BC2650" s="3" t="s">
        <v>77</v>
      </c>
      <c r="BD2650" s="3" t="s">
        <v>78</v>
      </c>
      <c r="BE2650" s="3" t="s">
        <v>26201</v>
      </c>
      <c r="BF2650" s="3" t="s">
        <v>26200</v>
      </c>
      <c r="BG2650" s="3" t="s">
        <v>26202</v>
      </c>
    </row>
    <row r="2651" spans="1:59" ht="58" x14ac:dyDescent="0.35">
      <c r="A2651" s="2" t="s">
        <v>59</v>
      </c>
      <c r="B2651" s="2" t="s">
        <v>60</v>
      </c>
      <c r="C2651" s="2" t="s">
        <v>26203</v>
      </c>
      <c r="D2651" s="2" t="s">
        <v>26204</v>
      </c>
      <c r="E2651" s="2" t="s">
        <v>26205</v>
      </c>
      <c r="G2651" s="3" t="s">
        <v>65</v>
      </c>
      <c r="I2651" s="3" t="s">
        <v>65</v>
      </c>
      <c r="J2651" s="3" t="s">
        <v>65</v>
      </c>
      <c r="K2651" s="3" t="s">
        <v>66</v>
      </c>
      <c r="M2651" s="2" t="s">
        <v>22505</v>
      </c>
      <c r="N2651" s="3" t="s">
        <v>113</v>
      </c>
      <c r="P2651" s="3" t="s">
        <v>140</v>
      </c>
      <c r="Q2651" s="2" t="s">
        <v>26196</v>
      </c>
      <c r="R2651" s="3" t="s">
        <v>71</v>
      </c>
      <c r="S2651" s="4">
        <v>0</v>
      </c>
      <c r="T2651" s="4">
        <v>0</v>
      </c>
      <c r="W2651" s="5" t="s">
        <v>72</v>
      </c>
      <c r="X2651" s="5" t="s">
        <v>72</v>
      </c>
      <c r="Y2651" s="4">
        <v>40</v>
      </c>
      <c r="Z2651" s="4">
        <v>3</v>
      </c>
      <c r="AA2651" s="4">
        <v>3</v>
      </c>
      <c r="AB2651" s="4">
        <v>1</v>
      </c>
      <c r="AC2651" s="4">
        <v>1</v>
      </c>
      <c r="AD2651" s="4">
        <v>27</v>
      </c>
      <c r="AE2651" s="4">
        <v>27</v>
      </c>
      <c r="AF2651" s="4">
        <v>0</v>
      </c>
      <c r="AG2651" s="4">
        <v>0</v>
      </c>
      <c r="AH2651" s="4">
        <v>26</v>
      </c>
      <c r="AI2651" s="4">
        <v>26</v>
      </c>
      <c r="AJ2651" s="4">
        <v>1</v>
      </c>
      <c r="AK2651" s="4">
        <v>1</v>
      </c>
      <c r="AL2651" s="4">
        <v>21</v>
      </c>
      <c r="AM2651" s="4">
        <v>21</v>
      </c>
      <c r="AN2651" s="4">
        <v>0</v>
      </c>
      <c r="AO2651" s="4">
        <v>0</v>
      </c>
      <c r="AP2651" s="4">
        <v>1</v>
      </c>
      <c r="AQ2651" s="4">
        <v>1</v>
      </c>
      <c r="AR2651" s="3" t="s">
        <v>65</v>
      </c>
      <c r="AS2651" s="3" t="s">
        <v>65</v>
      </c>
      <c r="AT2651" s="3" t="s">
        <v>65</v>
      </c>
      <c r="AV2651" s="6" t="str">
        <f>HYPERLINK("http://mcgill.on.worldcat.org/oclc/631125813","Catalog Record")</f>
        <v>Catalog Record</v>
      </c>
      <c r="AW2651" s="6" t="str">
        <f>HYPERLINK("http://www.worldcat.org/oclc/631125813","WorldCat Record")</f>
        <v>WorldCat Record</v>
      </c>
      <c r="AX2651" s="3" t="s">
        <v>26206</v>
      </c>
      <c r="AY2651" s="3" t="s">
        <v>26207</v>
      </c>
      <c r="AZ2651" s="3" t="s">
        <v>26208</v>
      </c>
      <c r="BA2651" s="3" t="s">
        <v>26208</v>
      </c>
      <c r="BB2651" s="3" t="s">
        <v>26209</v>
      </c>
      <c r="BC2651" s="3" t="s">
        <v>77</v>
      </c>
      <c r="BD2651" s="3" t="s">
        <v>78</v>
      </c>
      <c r="BE2651" s="3" t="s">
        <v>26210</v>
      </c>
      <c r="BF2651" s="3" t="s">
        <v>26209</v>
      </c>
      <c r="BG2651" s="3" t="s">
        <v>26211</v>
      </c>
    </row>
    <row r="2652" spans="1:59" ht="58" x14ac:dyDescent="0.35">
      <c r="A2652" s="2" t="s">
        <v>59</v>
      </c>
      <c r="B2652" s="2" t="s">
        <v>60</v>
      </c>
      <c r="C2652" s="2" t="s">
        <v>26212</v>
      </c>
      <c r="D2652" s="2" t="s">
        <v>26213</v>
      </c>
      <c r="E2652" s="2" t="s">
        <v>26214</v>
      </c>
      <c r="G2652" s="3" t="s">
        <v>65</v>
      </c>
      <c r="I2652" s="3" t="s">
        <v>65</v>
      </c>
      <c r="J2652" s="3" t="s">
        <v>65</v>
      </c>
      <c r="K2652" s="3" t="s">
        <v>66</v>
      </c>
      <c r="L2652" s="2" t="s">
        <v>21992</v>
      </c>
      <c r="M2652" s="2" t="s">
        <v>26215</v>
      </c>
      <c r="N2652" s="3" t="s">
        <v>152</v>
      </c>
      <c r="P2652" s="3" t="s">
        <v>140</v>
      </c>
      <c r="Q2652" s="2" t="s">
        <v>7140</v>
      </c>
      <c r="R2652" s="3" t="s">
        <v>71</v>
      </c>
      <c r="S2652" s="4">
        <v>1</v>
      </c>
      <c r="T2652" s="4">
        <v>1</v>
      </c>
      <c r="U2652" s="5" t="s">
        <v>2341</v>
      </c>
      <c r="V2652" s="5" t="s">
        <v>2341</v>
      </c>
      <c r="W2652" s="5" t="s">
        <v>72</v>
      </c>
      <c r="X2652" s="5" t="s">
        <v>72</v>
      </c>
      <c r="Y2652" s="4">
        <v>40</v>
      </c>
      <c r="Z2652" s="4">
        <v>4</v>
      </c>
      <c r="AA2652" s="4">
        <v>4</v>
      </c>
      <c r="AB2652" s="4">
        <v>1</v>
      </c>
      <c r="AC2652" s="4">
        <v>1</v>
      </c>
      <c r="AD2652" s="4">
        <v>28</v>
      </c>
      <c r="AE2652" s="4">
        <v>29</v>
      </c>
      <c r="AF2652" s="4">
        <v>0</v>
      </c>
      <c r="AG2652" s="4">
        <v>0</v>
      </c>
      <c r="AH2652" s="4">
        <v>27</v>
      </c>
      <c r="AI2652" s="4">
        <v>28</v>
      </c>
      <c r="AJ2652" s="4">
        <v>2</v>
      </c>
      <c r="AK2652" s="4">
        <v>2</v>
      </c>
      <c r="AL2652" s="4">
        <v>21</v>
      </c>
      <c r="AM2652" s="4">
        <v>22</v>
      </c>
      <c r="AN2652" s="4">
        <v>0</v>
      </c>
      <c r="AO2652" s="4">
        <v>0</v>
      </c>
      <c r="AP2652" s="4">
        <v>2</v>
      </c>
      <c r="AQ2652" s="4">
        <v>2</v>
      </c>
      <c r="AR2652" s="3" t="s">
        <v>65</v>
      </c>
      <c r="AS2652" s="3" t="s">
        <v>65</v>
      </c>
      <c r="AT2652" s="3" t="s">
        <v>65</v>
      </c>
      <c r="AV2652" s="6" t="str">
        <f>HYPERLINK("http://mcgill.on.worldcat.org/oclc/848752201","Catalog Record")</f>
        <v>Catalog Record</v>
      </c>
      <c r="AW2652" s="6" t="str">
        <f>HYPERLINK("http://www.worldcat.org/oclc/848752201","WorldCat Record")</f>
        <v>WorldCat Record</v>
      </c>
      <c r="AX2652" s="3" t="s">
        <v>26216</v>
      </c>
      <c r="AY2652" s="3" t="s">
        <v>26217</v>
      </c>
      <c r="AZ2652" s="3" t="s">
        <v>26218</v>
      </c>
      <c r="BA2652" s="3" t="s">
        <v>26218</v>
      </c>
      <c r="BB2652" s="3" t="s">
        <v>26219</v>
      </c>
      <c r="BC2652" s="3" t="s">
        <v>77</v>
      </c>
      <c r="BD2652" s="3" t="s">
        <v>78</v>
      </c>
      <c r="BE2652" s="3" t="s">
        <v>26220</v>
      </c>
      <c r="BF2652" s="3" t="s">
        <v>26219</v>
      </c>
      <c r="BG2652" s="3" t="s">
        <v>26221</v>
      </c>
    </row>
    <row r="2653" spans="1:59" ht="58" x14ac:dyDescent="0.35">
      <c r="A2653" s="2" t="s">
        <v>59</v>
      </c>
      <c r="B2653" s="2" t="s">
        <v>60</v>
      </c>
      <c r="C2653" s="2" t="s">
        <v>26222</v>
      </c>
      <c r="D2653" s="2" t="s">
        <v>26223</v>
      </c>
      <c r="E2653" s="2" t="s">
        <v>26224</v>
      </c>
      <c r="G2653" s="3" t="s">
        <v>209</v>
      </c>
      <c r="I2653" s="3" t="s">
        <v>65</v>
      </c>
      <c r="J2653" s="3" t="s">
        <v>65</v>
      </c>
      <c r="K2653" s="3" t="s">
        <v>66</v>
      </c>
      <c r="L2653" s="2" t="s">
        <v>26148</v>
      </c>
      <c r="M2653" s="2" t="s">
        <v>26225</v>
      </c>
      <c r="N2653" s="3" t="s">
        <v>770</v>
      </c>
      <c r="O2653" s="2" t="s">
        <v>365</v>
      </c>
      <c r="P2653" s="3" t="s">
        <v>140</v>
      </c>
      <c r="Q2653" s="2" t="s">
        <v>26226</v>
      </c>
      <c r="R2653" s="3" t="s">
        <v>71</v>
      </c>
      <c r="S2653" s="4">
        <v>6</v>
      </c>
      <c r="T2653" s="4">
        <v>6</v>
      </c>
      <c r="U2653" s="5" t="s">
        <v>26227</v>
      </c>
      <c r="V2653" s="5" t="s">
        <v>26227</v>
      </c>
      <c r="W2653" s="5" t="s">
        <v>72</v>
      </c>
      <c r="X2653" s="5" t="s">
        <v>72</v>
      </c>
      <c r="Y2653" s="4">
        <v>64</v>
      </c>
      <c r="Z2653" s="4">
        <v>6</v>
      </c>
      <c r="AA2653" s="4">
        <v>6</v>
      </c>
      <c r="AB2653" s="4">
        <v>1</v>
      </c>
      <c r="AC2653" s="4">
        <v>1</v>
      </c>
      <c r="AD2653" s="4">
        <v>44</v>
      </c>
      <c r="AE2653" s="4">
        <v>44</v>
      </c>
      <c r="AF2653" s="4">
        <v>0</v>
      </c>
      <c r="AG2653" s="4">
        <v>0</v>
      </c>
      <c r="AH2653" s="4">
        <v>43</v>
      </c>
      <c r="AI2653" s="4">
        <v>43</v>
      </c>
      <c r="AJ2653" s="4">
        <v>4</v>
      </c>
      <c r="AK2653" s="4">
        <v>4</v>
      </c>
      <c r="AL2653" s="4">
        <v>33</v>
      </c>
      <c r="AM2653" s="4">
        <v>33</v>
      </c>
      <c r="AN2653" s="4">
        <v>0</v>
      </c>
      <c r="AO2653" s="4">
        <v>0</v>
      </c>
      <c r="AP2653" s="4">
        <v>4</v>
      </c>
      <c r="AQ2653" s="4">
        <v>4</v>
      </c>
      <c r="AR2653" s="3" t="s">
        <v>65</v>
      </c>
      <c r="AS2653" s="3" t="s">
        <v>65</v>
      </c>
      <c r="AT2653" s="3" t="s">
        <v>209</v>
      </c>
      <c r="AU2653" s="6" t="str">
        <f>HYPERLINK("http://catalog.hathitrust.org/Record/002534020","HathiTrust Record")</f>
        <v>HathiTrust Record</v>
      </c>
      <c r="AV2653" s="6" t="str">
        <f>HYPERLINK("http://mcgill.on.worldcat.org/oclc/24416568","Catalog Record")</f>
        <v>Catalog Record</v>
      </c>
      <c r="AW2653" s="6" t="str">
        <f>HYPERLINK("http://www.worldcat.org/oclc/24416568","WorldCat Record")</f>
        <v>WorldCat Record</v>
      </c>
      <c r="AX2653" s="3" t="s">
        <v>26228</v>
      </c>
      <c r="AY2653" s="3" t="s">
        <v>26229</v>
      </c>
      <c r="AZ2653" s="3" t="s">
        <v>26230</v>
      </c>
      <c r="BA2653" s="3" t="s">
        <v>26230</v>
      </c>
      <c r="BB2653" s="3" t="s">
        <v>26231</v>
      </c>
      <c r="BC2653" s="3" t="s">
        <v>77</v>
      </c>
      <c r="BD2653" s="3" t="s">
        <v>78</v>
      </c>
      <c r="BE2653" s="3" t="s">
        <v>26232</v>
      </c>
      <c r="BF2653" s="3" t="s">
        <v>26231</v>
      </c>
      <c r="BG2653" s="3" t="s">
        <v>26233</v>
      </c>
    </row>
    <row r="2654" spans="1:59" ht="72.5" x14ac:dyDescent="0.35">
      <c r="A2654" s="2" t="s">
        <v>59</v>
      </c>
      <c r="B2654" s="2" t="s">
        <v>60</v>
      </c>
      <c r="C2654" s="2" t="s">
        <v>26234</v>
      </c>
      <c r="D2654" s="2" t="s">
        <v>26235</v>
      </c>
      <c r="E2654" s="2" t="s">
        <v>26236</v>
      </c>
      <c r="G2654" s="3" t="s">
        <v>65</v>
      </c>
      <c r="I2654" s="3" t="s">
        <v>65</v>
      </c>
      <c r="J2654" s="3" t="s">
        <v>65</v>
      </c>
      <c r="K2654" s="3" t="s">
        <v>66</v>
      </c>
      <c r="L2654" s="2" t="s">
        <v>26237</v>
      </c>
      <c r="M2654" s="2" t="s">
        <v>26238</v>
      </c>
      <c r="N2654" s="3" t="s">
        <v>525</v>
      </c>
      <c r="P2654" s="3" t="s">
        <v>140</v>
      </c>
      <c r="Q2654" s="2" t="s">
        <v>4654</v>
      </c>
      <c r="R2654" s="3" t="s">
        <v>71</v>
      </c>
      <c r="S2654" s="4">
        <v>1</v>
      </c>
      <c r="T2654" s="4">
        <v>1</v>
      </c>
      <c r="U2654" s="5" t="s">
        <v>882</v>
      </c>
      <c r="V2654" s="5" t="s">
        <v>882</v>
      </c>
      <c r="W2654" s="5" t="s">
        <v>72</v>
      </c>
      <c r="X2654" s="5" t="s">
        <v>72</v>
      </c>
      <c r="Y2654" s="4">
        <v>43</v>
      </c>
      <c r="Z2654" s="4">
        <v>4</v>
      </c>
      <c r="AA2654" s="4">
        <v>4</v>
      </c>
      <c r="AB2654" s="4">
        <v>1</v>
      </c>
      <c r="AC2654" s="4">
        <v>1</v>
      </c>
      <c r="AD2654" s="4">
        <v>33</v>
      </c>
      <c r="AE2654" s="4">
        <v>33</v>
      </c>
      <c r="AF2654" s="4">
        <v>0</v>
      </c>
      <c r="AG2654" s="4">
        <v>0</v>
      </c>
      <c r="AH2654" s="4">
        <v>32</v>
      </c>
      <c r="AI2654" s="4">
        <v>32</v>
      </c>
      <c r="AJ2654" s="4">
        <v>2</v>
      </c>
      <c r="AK2654" s="4">
        <v>2</v>
      </c>
      <c r="AL2654" s="4">
        <v>25</v>
      </c>
      <c r="AM2654" s="4">
        <v>25</v>
      </c>
      <c r="AN2654" s="4">
        <v>0</v>
      </c>
      <c r="AO2654" s="4">
        <v>0</v>
      </c>
      <c r="AP2654" s="4">
        <v>2</v>
      </c>
      <c r="AQ2654" s="4">
        <v>2</v>
      </c>
      <c r="AR2654" s="3" t="s">
        <v>65</v>
      </c>
      <c r="AS2654" s="3" t="s">
        <v>65</v>
      </c>
      <c r="AT2654" s="3" t="s">
        <v>209</v>
      </c>
      <c r="AU2654" s="6" t="str">
        <f>HYPERLINK("http://catalog.hathitrust.org/Record/005018586","HathiTrust Record")</f>
        <v>HathiTrust Record</v>
      </c>
      <c r="AV2654" s="6" t="str">
        <f>HYPERLINK("http://mcgill.on.worldcat.org/oclc/60390745","Catalog Record")</f>
        <v>Catalog Record</v>
      </c>
      <c r="AW2654" s="6" t="str">
        <f>HYPERLINK("http://www.worldcat.org/oclc/60390745","WorldCat Record")</f>
        <v>WorldCat Record</v>
      </c>
      <c r="AX2654" s="3" t="s">
        <v>26239</v>
      </c>
      <c r="AY2654" s="3" t="s">
        <v>26240</v>
      </c>
      <c r="AZ2654" s="3" t="s">
        <v>26241</v>
      </c>
      <c r="BA2654" s="3" t="s">
        <v>26241</v>
      </c>
      <c r="BB2654" s="3" t="s">
        <v>26242</v>
      </c>
      <c r="BC2654" s="3" t="s">
        <v>77</v>
      </c>
      <c r="BD2654" s="3" t="s">
        <v>78</v>
      </c>
      <c r="BE2654" s="3" t="s">
        <v>26243</v>
      </c>
      <c r="BF2654" s="3" t="s">
        <v>26242</v>
      </c>
      <c r="BG2654" s="3" t="s">
        <v>26244</v>
      </c>
    </row>
    <row r="2655" spans="1:59" ht="58" x14ac:dyDescent="0.35">
      <c r="A2655" s="2" t="s">
        <v>59</v>
      </c>
      <c r="B2655" s="2" t="s">
        <v>60</v>
      </c>
      <c r="C2655" s="2" t="s">
        <v>26245</v>
      </c>
      <c r="D2655" s="2" t="s">
        <v>26246</v>
      </c>
      <c r="E2655" s="2" t="s">
        <v>26247</v>
      </c>
      <c r="G2655" s="3" t="s">
        <v>65</v>
      </c>
      <c r="I2655" s="3" t="s">
        <v>65</v>
      </c>
      <c r="J2655" s="3" t="s">
        <v>65</v>
      </c>
      <c r="K2655" s="3" t="s">
        <v>66</v>
      </c>
      <c r="L2655" s="2" t="s">
        <v>26237</v>
      </c>
      <c r="M2655" s="2" t="s">
        <v>26248</v>
      </c>
      <c r="N2655" s="3" t="s">
        <v>2750</v>
      </c>
      <c r="P2655" s="3" t="s">
        <v>140</v>
      </c>
      <c r="Q2655" s="2" t="s">
        <v>26249</v>
      </c>
      <c r="R2655" s="3" t="s">
        <v>71</v>
      </c>
      <c r="S2655" s="4">
        <v>4</v>
      </c>
      <c r="T2655" s="4">
        <v>4</v>
      </c>
      <c r="U2655" s="5" t="s">
        <v>26250</v>
      </c>
      <c r="V2655" s="5" t="s">
        <v>26250</v>
      </c>
      <c r="W2655" s="5" t="s">
        <v>72</v>
      </c>
      <c r="X2655" s="5" t="s">
        <v>72</v>
      </c>
      <c r="Y2655" s="4">
        <v>72</v>
      </c>
      <c r="Z2655" s="4">
        <v>9</v>
      </c>
      <c r="AA2655" s="4">
        <v>9</v>
      </c>
      <c r="AB2655" s="4">
        <v>2</v>
      </c>
      <c r="AC2655" s="4">
        <v>2</v>
      </c>
      <c r="AD2655" s="4">
        <v>38</v>
      </c>
      <c r="AE2655" s="4">
        <v>39</v>
      </c>
      <c r="AF2655" s="4">
        <v>1</v>
      </c>
      <c r="AG2655" s="4">
        <v>1</v>
      </c>
      <c r="AH2655" s="4">
        <v>32</v>
      </c>
      <c r="AI2655" s="4">
        <v>33</v>
      </c>
      <c r="AJ2655" s="4">
        <v>7</v>
      </c>
      <c r="AK2655" s="4">
        <v>7</v>
      </c>
      <c r="AL2655" s="4">
        <v>23</v>
      </c>
      <c r="AM2655" s="4">
        <v>24</v>
      </c>
      <c r="AN2655" s="4">
        <v>0</v>
      </c>
      <c r="AO2655" s="4">
        <v>0</v>
      </c>
      <c r="AP2655" s="4">
        <v>7</v>
      </c>
      <c r="AQ2655" s="4">
        <v>7</v>
      </c>
      <c r="AR2655" s="3" t="s">
        <v>65</v>
      </c>
      <c r="AS2655" s="3" t="s">
        <v>65</v>
      </c>
      <c r="AT2655" s="3" t="s">
        <v>209</v>
      </c>
      <c r="AU2655" s="6" t="str">
        <f>HYPERLINK("http://catalog.hathitrust.org/Record/002988510","HathiTrust Record")</f>
        <v>HathiTrust Record</v>
      </c>
      <c r="AV2655" s="6" t="str">
        <f>HYPERLINK("http://mcgill.on.worldcat.org/oclc/2495620","Catalog Record")</f>
        <v>Catalog Record</v>
      </c>
      <c r="AW2655" s="6" t="str">
        <f>HYPERLINK("http://www.worldcat.org/oclc/2495620","WorldCat Record")</f>
        <v>WorldCat Record</v>
      </c>
      <c r="AX2655" s="3" t="s">
        <v>26251</v>
      </c>
      <c r="AY2655" s="3" t="s">
        <v>26252</v>
      </c>
      <c r="AZ2655" s="3" t="s">
        <v>26253</v>
      </c>
      <c r="BA2655" s="3" t="s">
        <v>26253</v>
      </c>
      <c r="BB2655" s="3" t="s">
        <v>26254</v>
      </c>
      <c r="BC2655" s="3" t="s">
        <v>77</v>
      </c>
      <c r="BD2655" s="3" t="s">
        <v>106</v>
      </c>
      <c r="BF2655" s="3" t="s">
        <v>26254</v>
      </c>
      <c r="BG2655" s="3" t="s">
        <v>26255</v>
      </c>
    </row>
    <row r="2656" spans="1:59" ht="58" x14ac:dyDescent="0.35">
      <c r="A2656" s="2" t="s">
        <v>59</v>
      </c>
      <c r="B2656" s="2" t="s">
        <v>60</v>
      </c>
      <c r="C2656" s="2" t="s">
        <v>26256</v>
      </c>
      <c r="D2656" s="2" t="s">
        <v>26257</v>
      </c>
      <c r="E2656" s="2" t="s">
        <v>26258</v>
      </c>
      <c r="G2656" s="3" t="s">
        <v>65</v>
      </c>
      <c r="I2656" s="3" t="s">
        <v>65</v>
      </c>
      <c r="J2656" s="3" t="s">
        <v>65</v>
      </c>
      <c r="K2656" s="3" t="s">
        <v>66</v>
      </c>
      <c r="L2656" s="2" t="s">
        <v>26259</v>
      </c>
      <c r="M2656" s="2" t="s">
        <v>10397</v>
      </c>
      <c r="N2656" s="3" t="s">
        <v>176</v>
      </c>
      <c r="P2656" s="3" t="s">
        <v>140</v>
      </c>
      <c r="Q2656" s="2" t="s">
        <v>26260</v>
      </c>
      <c r="R2656" s="3" t="s">
        <v>71</v>
      </c>
      <c r="S2656" s="4">
        <v>0</v>
      </c>
      <c r="T2656" s="4">
        <v>0</v>
      </c>
      <c r="W2656" s="5" t="s">
        <v>72</v>
      </c>
      <c r="X2656" s="5" t="s">
        <v>72</v>
      </c>
      <c r="Y2656" s="4">
        <v>34</v>
      </c>
      <c r="Z2656" s="4">
        <v>3</v>
      </c>
      <c r="AA2656" s="4">
        <v>3</v>
      </c>
      <c r="AB2656" s="4">
        <v>1</v>
      </c>
      <c r="AC2656" s="4">
        <v>1</v>
      </c>
      <c r="AD2656" s="4">
        <v>25</v>
      </c>
      <c r="AE2656" s="4">
        <v>25</v>
      </c>
      <c r="AF2656" s="4">
        <v>0</v>
      </c>
      <c r="AG2656" s="4">
        <v>0</v>
      </c>
      <c r="AH2656" s="4">
        <v>24</v>
      </c>
      <c r="AI2656" s="4">
        <v>24</v>
      </c>
      <c r="AJ2656" s="4">
        <v>1</v>
      </c>
      <c r="AK2656" s="4">
        <v>1</v>
      </c>
      <c r="AL2656" s="4">
        <v>20</v>
      </c>
      <c r="AM2656" s="4">
        <v>20</v>
      </c>
      <c r="AN2656" s="4">
        <v>0</v>
      </c>
      <c r="AO2656" s="4">
        <v>0</v>
      </c>
      <c r="AP2656" s="4">
        <v>1</v>
      </c>
      <c r="AQ2656" s="4">
        <v>1</v>
      </c>
      <c r="AR2656" s="3" t="s">
        <v>65</v>
      </c>
      <c r="AS2656" s="3" t="s">
        <v>65</v>
      </c>
      <c r="AT2656" s="3" t="s">
        <v>65</v>
      </c>
      <c r="AV2656" s="6" t="str">
        <f>HYPERLINK("http://mcgill.on.worldcat.org/oclc/913218071","Catalog Record")</f>
        <v>Catalog Record</v>
      </c>
      <c r="AW2656" s="6" t="str">
        <f>HYPERLINK("http://www.worldcat.org/oclc/913218071","WorldCat Record")</f>
        <v>WorldCat Record</v>
      </c>
      <c r="AX2656" s="3" t="s">
        <v>26261</v>
      </c>
      <c r="AY2656" s="3" t="s">
        <v>26262</v>
      </c>
      <c r="AZ2656" s="3" t="s">
        <v>26263</v>
      </c>
      <c r="BA2656" s="3" t="s">
        <v>26263</v>
      </c>
      <c r="BB2656" s="3" t="s">
        <v>26264</v>
      </c>
      <c r="BC2656" s="3" t="s">
        <v>77</v>
      </c>
      <c r="BD2656" s="3" t="s">
        <v>78</v>
      </c>
      <c r="BE2656" s="3" t="s">
        <v>26265</v>
      </c>
      <c r="BF2656" s="3" t="s">
        <v>26264</v>
      </c>
      <c r="BG2656" s="3" t="s">
        <v>26266</v>
      </c>
    </row>
    <row r="2657" spans="1:59" ht="58" x14ac:dyDescent="0.35">
      <c r="A2657" s="2" t="s">
        <v>59</v>
      </c>
      <c r="B2657" s="2" t="s">
        <v>60</v>
      </c>
      <c r="C2657" s="2" t="s">
        <v>26267</v>
      </c>
      <c r="D2657" s="2" t="s">
        <v>26268</v>
      </c>
      <c r="E2657" s="2" t="s">
        <v>26269</v>
      </c>
      <c r="G2657" s="3" t="s">
        <v>65</v>
      </c>
      <c r="I2657" s="3" t="s">
        <v>65</v>
      </c>
      <c r="J2657" s="3" t="s">
        <v>65</v>
      </c>
      <c r="K2657" s="3" t="s">
        <v>66</v>
      </c>
      <c r="L2657" s="2" t="s">
        <v>26237</v>
      </c>
      <c r="M2657" s="2" t="s">
        <v>26270</v>
      </c>
      <c r="N2657" s="3" t="s">
        <v>525</v>
      </c>
      <c r="P2657" s="3" t="s">
        <v>140</v>
      </c>
      <c r="Q2657" s="2" t="s">
        <v>4654</v>
      </c>
      <c r="R2657" s="3" t="s">
        <v>71</v>
      </c>
      <c r="S2657" s="4">
        <v>1</v>
      </c>
      <c r="T2657" s="4">
        <v>1</v>
      </c>
      <c r="U2657" s="5" t="s">
        <v>26271</v>
      </c>
      <c r="V2657" s="5" t="s">
        <v>26271</v>
      </c>
      <c r="W2657" s="5" t="s">
        <v>72</v>
      </c>
      <c r="X2657" s="5" t="s">
        <v>72</v>
      </c>
      <c r="Y2657" s="4">
        <v>48</v>
      </c>
      <c r="Z2657" s="4">
        <v>5</v>
      </c>
      <c r="AA2657" s="4">
        <v>5</v>
      </c>
      <c r="AB2657" s="4">
        <v>2</v>
      </c>
      <c r="AC2657" s="4">
        <v>2</v>
      </c>
      <c r="AD2657" s="4">
        <v>38</v>
      </c>
      <c r="AE2657" s="4">
        <v>38</v>
      </c>
      <c r="AF2657" s="4">
        <v>1</v>
      </c>
      <c r="AG2657" s="4">
        <v>1</v>
      </c>
      <c r="AH2657" s="4">
        <v>35</v>
      </c>
      <c r="AI2657" s="4">
        <v>35</v>
      </c>
      <c r="AJ2657" s="4">
        <v>3</v>
      </c>
      <c r="AK2657" s="4">
        <v>3</v>
      </c>
      <c r="AL2657" s="4">
        <v>27</v>
      </c>
      <c r="AM2657" s="4">
        <v>27</v>
      </c>
      <c r="AN2657" s="4">
        <v>0</v>
      </c>
      <c r="AO2657" s="4">
        <v>0</v>
      </c>
      <c r="AP2657" s="4">
        <v>3</v>
      </c>
      <c r="AQ2657" s="4">
        <v>3</v>
      </c>
      <c r="AR2657" s="3" t="s">
        <v>65</v>
      </c>
      <c r="AS2657" s="3" t="s">
        <v>65</v>
      </c>
      <c r="AT2657" s="3" t="s">
        <v>209</v>
      </c>
      <c r="AU2657" s="6" t="str">
        <f>HYPERLINK("http://catalog.hathitrust.org/Record/004764944","HathiTrust Record")</f>
        <v>HathiTrust Record</v>
      </c>
      <c r="AV2657" s="6" t="str">
        <f>HYPERLINK("http://mcgill.on.worldcat.org/oclc/56122035","Catalog Record")</f>
        <v>Catalog Record</v>
      </c>
      <c r="AW2657" s="6" t="str">
        <f>HYPERLINK("http://www.worldcat.org/oclc/56122035","WorldCat Record")</f>
        <v>WorldCat Record</v>
      </c>
      <c r="AX2657" s="3" t="s">
        <v>26272</v>
      </c>
      <c r="AY2657" s="3" t="s">
        <v>26273</v>
      </c>
      <c r="AZ2657" s="3" t="s">
        <v>26274</v>
      </c>
      <c r="BA2657" s="3" t="s">
        <v>26274</v>
      </c>
      <c r="BB2657" s="3" t="s">
        <v>26275</v>
      </c>
      <c r="BC2657" s="3" t="s">
        <v>77</v>
      </c>
      <c r="BD2657" s="3" t="s">
        <v>78</v>
      </c>
      <c r="BE2657" s="3" t="s">
        <v>26276</v>
      </c>
      <c r="BF2657" s="3" t="s">
        <v>26275</v>
      </c>
      <c r="BG2657" s="3" t="s">
        <v>26277</v>
      </c>
    </row>
    <row r="2658" spans="1:59" ht="58" x14ac:dyDescent="0.35">
      <c r="A2658" s="2" t="s">
        <v>59</v>
      </c>
      <c r="B2658" s="2" t="s">
        <v>60</v>
      </c>
      <c r="C2658" s="2" t="s">
        <v>26278</v>
      </c>
      <c r="D2658" s="2" t="s">
        <v>26279</v>
      </c>
      <c r="E2658" s="2" t="s">
        <v>26280</v>
      </c>
      <c r="G2658" s="3" t="s">
        <v>65</v>
      </c>
      <c r="I2658" s="3" t="s">
        <v>65</v>
      </c>
      <c r="J2658" s="3" t="s">
        <v>65</v>
      </c>
      <c r="K2658" s="3" t="s">
        <v>66</v>
      </c>
      <c r="L2658" s="2" t="s">
        <v>26237</v>
      </c>
      <c r="M2658" s="2" t="s">
        <v>26281</v>
      </c>
      <c r="N2658" s="3" t="s">
        <v>1967</v>
      </c>
      <c r="P2658" s="3" t="s">
        <v>140</v>
      </c>
      <c r="Q2658" s="2" t="s">
        <v>26282</v>
      </c>
      <c r="R2658" s="3" t="s">
        <v>71</v>
      </c>
      <c r="S2658" s="4">
        <v>1</v>
      </c>
      <c r="T2658" s="4">
        <v>1</v>
      </c>
      <c r="U2658" s="5" t="s">
        <v>882</v>
      </c>
      <c r="V2658" s="5" t="s">
        <v>882</v>
      </c>
      <c r="W2658" s="5" t="s">
        <v>72</v>
      </c>
      <c r="X2658" s="5" t="s">
        <v>72</v>
      </c>
      <c r="Y2658" s="4">
        <v>60</v>
      </c>
      <c r="Z2658" s="4">
        <v>6</v>
      </c>
      <c r="AA2658" s="4">
        <v>6</v>
      </c>
      <c r="AB2658" s="4">
        <v>2</v>
      </c>
      <c r="AC2658" s="4">
        <v>2</v>
      </c>
      <c r="AD2658" s="4">
        <v>37</v>
      </c>
      <c r="AE2658" s="4">
        <v>37</v>
      </c>
      <c r="AF2658" s="4">
        <v>1</v>
      </c>
      <c r="AG2658" s="4">
        <v>1</v>
      </c>
      <c r="AH2658" s="4">
        <v>34</v>
      </c>
      <c r="AI2658" s="4">
        <v>34</v>
      </c>
      <c r="AJ2658" s="4">
        <v>4</v>
      </c>
      <c r="AK2658" s="4">
        <v>4</v>
      </c>
      <c r="AL2658" s="4">
        <v>28</v>
      </c>
      <c r="AM2658" s="4">
        <v>28</v>
      </c>
      <c r="AN2658" s="4">
        <v>0</v>
      </c>
      <c r="AO2658" s="4">
        <v>0</v>
      </c>
      <c r="AP2658" s="4">
        <v>4</v>
      </c>
      <c r="AQ2658" s="4">
        <v>4</v>
      </c>
      <c r="AR2658" s="3" t="s">
        <v>65</v>
      </c>
      <c r="AS2658" s="3" t="s">
        <v>65</v>
      </c>
      <c r="AT2658" s="3" t="s">
        <v>209</v>
      </c>
      <c r="AU2658" s="6" t="str">
        <f>HYPERLINK("http://catalog.hathitrust.org/Record/004332959","HathiTrust Record")</f>
        <v>HathiTrust Record</v>
      </c>
      <c r="AV2658" s="6" t="str">
        <f>HYPERLINK("http://mcgill.on.worldcat.org/oclc/52442564","Catalog Record")</f>
        <v>Catalog Record</v>
      </c>
      <c r="AW2658" s="6" t="str">
        <f>HYPERLINK("http://www.worldcat.org/oclc/52442564","WorldCat Record")</f>
        <v>WorldCat Record</v>
      </c>
      <c r="AX2658" s="3" t="s">
        <v>26283</v>
      </c>
      <c r="AY2658" s="3" t="s">
        <v>26284</v>
      </c>
      <c r="AZ2658" s="3" t="s">
        <v>26285</v>
      </c>
      <c r="BA2658" s="3" t="s">
        <v>26285</v>
      </c>
      <c r="BB2658" s="3" t="s">
        <v>26286</v>
      </c>
      <c r="BC2658" s="3" t="s">
        <v>77</v>
      </c>
      <c r="BD2658" s="3" t="s">
        <v>78</v>
      </c>
      <c r="BE2658" s="3" t="s">
        <v>26287</v>
      </c>
      <c r="BF2658" s="3" t="s">
        <v>26286</v>
      </c>
      <c r="BG2658" s="3" t="s">
        <v>26288</v>
      </c>
    </row>
    <row r="2659" spans="1:59" ht="58" x14ac:dyDescent="0.35">
      <c r="A2659" s="2" t="s">
        <v>59</v>
      </c>
      <c r="B2659" s="2" t="s">
        <v>60</v>
      </c>
      <c r="C2659" s="2" t="s">
        <v>26289</v>
      </c>
      <c r="D2659" s="2" t="s">
        <v>26290</v>
      </c>
      <c r="E2659" s="2" t="s">
        <v>26291</v>
      </c>
      <c r="G2659" s="3" t="s">
        <v>65</v>
      </c>
      <c r="I2659" s="3" t="s">
        <v>65</v>
      </c>
      <c r="J2659" s="3" t="s">
        <v>65</v>
      </c>
      <c r="K2659" s="3" t="s">
        <v>66</v>
      </c>
      <c r="L2659" s="2" t="s">
        <v>26292</v>
      </c>
      <c r="M2659" s="2" t="s">
        <v>26293</v>
      </c>
      <c r="N2659" s="3" t="s">
        <v>364</v>
      </c>
      <c r="P2659" s="3" t="s">
        <v>140</v>
      </c>
      <c r="Q2659" s="2" t="s">
        <v>26294</v>
      </c>
      <c r="R2659" s="3" t="s">
        <v>71</v>
      </c>
      <c r="S2659" s="4">
        <v>2</v>
      </c>
      <c r="T2659" s="4">
        <v>2</v>
      </c>
      <c r="U2659" s="5" t="s">
        <v>882</v>
      </c>
      <c r="V2659" s="5" t="s">
        <v>882</v>
      </c>
      <c r="W2659" s="5" t="s">
        <v>72</v>
      </c>
      <c r="X2659" s="5" t="s">
        <v>72</v>
      </c>
      <c r="Y2659" s="4">
        <v>79</v>
      </c>
      <c r="Z2659" s="4">
        <v>7</v>
      </c>
      <c r="AA2659" s="4">
        <v>7</v>
      </c>
      <c r="AB2659" s="4">
        <v>2</v>
      </c>
      <c r="AC2659" s="4">
        <v>2</v>
      </c>
      <c r="AD2659" s="4">
        <v>42</v>
      </c>
      <c r="AE2659" s="4">
        <v>42</v>
      </c>
      <c r="AF2659" s="4">
        <v>0</v>
      </c>
      <c r="AG2659" s="4">
        <v>0</v>
      </c>
      <c r="AH2659" s="4">
        <v>40</v>
      </c>
      <c r="AI2659" s="4">
        <v>40</v>
      </c>
      <c r="AJ2659" s="4">
        <v>4</v>
      </c>
      <c r="AK2659" s="4">
        <v>4</v>
      </c>
      <c r="AL2659" s="4">
        <v>30</v>
      </c>
      <c r="AM2659" s="4">
        <v>30</v>
      </c>
      <c r="AN2659" s="4">
        <v>0</v>
      </c>
      <c r="AO2659" s="4">
        <v>0</v>
      </c>
      <c r="AP2659" s="4">
        <v>4</v>
      </c>
      <c r="AQ2659" s="4">
        <v>4</v>
      </c>
      <c r="AR2659" s="3" t="s">
        <v>65</v>
      </c>
      <c r="AS2659" s="3" t="s">
        <v>65</v>
      </c>
      <c r="AT2659" s="3" t="s">
        <v>209</v>
      </c>
      <c r="AU2659" s="6" t="str">
        <f>HYPERLINK("http://catalog.hathitrust.org/Record/004176664","HathiTrust Record")</f>
        <v>HathiTrust Record</v>
      </c>
      <c r="AV2659" s="6" t="str">
        <f>HYPERLINK("http://mcgill.on.worldcat.org/oclc/46682687","Catalog Record")</f>
        <v>Catalog Record</v>
      </c>
      <c r="AW2659" s="6" t="str">
        <f>HYPERLINK("http://www.worldcat.org/oclc/46682687","WorldCat Record")</f>
        <v>WorldCat Record</v>
      </c>
      <c r="AX2659" s="3" t="s">
        <v>26295</v>
      </c>
      <c r="AY2659" s="3" t="s">
        <v>26296</v>
      </c>
      <c r="AZ2659" s="3" t="s">
        <v>26297</v>
      </c>
      <c r="BA2659" s="3" t="s">
        <v>26297</v>
      </c>
      <c r="BB2659" s="3" t="s">
        <v>26298</v>
      </c>
      <c r="BC2659" s="3" t="s">
        <v>77</v>
      </c>
      <c r="BD2659" s="3" t="s">
        <v>78</v>
      </c>
      <c r="BE2659" s="3" t="s">
        <v>26299</v>
      </c>
      <c r="BF2659" s="3" t="s">
        <v>26298</v>
      </c>
      <c r="BG2659" s="3" t="s">
        <v>26300</v>
      </c>
    </row>
    <row r="2660" spans="1:59" ht="58" x14ac:dyDescent="0.35">
      <c r="A2660" s="2" t="s">
        <v>59</v>
      </c>
      <c r="B2660" s="2" t="s">
        <v>60</v>
      </c>
      <c r="C2660" s="2" t="s">
        <v>26301</v>
      </c>
      <c r="D2660" s="2" t="s">
        <v>26302</v>
      </c>
      <c r="E2660" s="2" t="s">
        <v>26303</v>
      </c>
      <c r="G2660" s="3" t="s">
        <v>65</v>
      </c>
      <c r="I2660" s="3" t="s">
        <v>65</v>
      </c>
      <c r="J2660" s="3" t="s">
        <v>65</v>
      </c>
      <c r="K2660" s="3" t="s">
        <v>66</v>
      </c>
      <c r="L2660" s="2" t="s">
        <v>26304</v>
      </c>
      <c r="M2660" s="2" t="s">
        <v>26305</v>
      </c>
      <c r="N2660" s="3" t="s">
        <v>113</v>
      </c>
      <c r="P2660" s="3" t="s">
        <v>140</v>
      </c>
      <c r="Q2660" s="2" t="s">
        <v>26306</v>
      </c>
      <c r="R2660" s="3" t="s">
        <v>71</v>
      </c>
      <c r="S2660" s="4">
        <v>0</v>
      </c>
      <c r="T2660" s="4">
        <v>0</v>
      </c>
      <c r="W2660" s="5" t="s">
        <v>72</v>
      </c>
      <c r="X2660" s="5" t="s">
        <v>72</v>
      </c>
      <c r="Y2660" s="4">
        <v>23</v>
      </c>
      <c r="Z2660" s="4">
        <v>1</v>
      </c>
      <c r="AA2660" s="4">
        <v>1</v>
      </c>
      <c r="AB2660" s="4">
        <v>1</v>
      </c>
      <c r="AC2660" s="4">
        <v>1</v>
      </c>
      <c r="AD2660" s="4">
        <v>18</v>
      </c>
      <c r="AE2660" s="4">
        <v>18</v>
      </c>
      <c r="AF2660" s="4">
        <v>0</v>
      </c>
      <c r="AG2660" s="4">
        <v>0</v>
      </c>
      <c r="AH2660" s="4">
        <v>17</v>
      </c>
      <c r="AI2660" s="4">
        <v>17</v>
      </c>
      <c r="AJ2660" s="4">
        <v>0</v>
      </c>
      <c r="AK2660" s="4">
        <v>0</v>
      </c>
      <c r="AL2660" s="4">
        <v>12</v>
      </c>
      <c r="AM2660" s="4">
        <v>12</v>
      </c>
      <c r="AN2660" s="4">
        <v>0</v>
      </c>
      <c r="AO2660" s="4">
        <v>0</v>
      </c>
      <c r="AP2660" s="4">
        <v>0</v>
      </c>
      <c r="AQ2660" s="4">
        <v>0</v>
      </c>
      <c r="AR2660" s="3" t="s">
        <v>65</v>
      </c>
      <c r="AS2660" s="3" t="s">
        <v>65</v>
      </c>
      <c r="AT2660" s="3" t="s">
        <v>65</v>
      </c>
      <c r="AV2660" s="6" t="str">
        <f>HYPERLINK("http://mcgill.on.worldcat.org/oclc/709663839","Catalog Record")</f>
        <v>Catalog Record</v>
      </c>
      <c r="AW2660" s="6" t="str">
        <f>HYPERLINK("http://www.worldcat.org/oclc/709663839","WorldCat Record")</f>
        <v>WorldCat Record</v>
      </c>
      <c r="AX2660" s="3" t="s">
        <v>26307</v>
      </c>
      <c r="AY2660" s="3" t="s">
        <v>26308</v>
      </c>
      <c r="AZ2660" s="3" t="s">
        <v>26309</v>
      </c>
      <c r="BA2660" s="3" t="s">
        <v>26309</v>
      </c>
      <c r="BB2660" s="3" t="s">
        <v>26310</v>
      </c>
      <c r="BC2660" s="3" t="s">
        <v>77</v>
      </c>
      <c r="BD2660" s="3" t="s">
        <v>78</v>
      </c>
      <c r="BE2660" s="3" t="s">
        <v>26311</v>
      </c>
      <c r="BF2660" s="3" t="s">
        <v>26310</v>
      </c>
      <c r="BG2660" s="3" t="s">
        <v>26312</v>
      </c>
    </row>
    <row r="2661" spans="1:59" ht="58" x14ac:dyDescent="0.35">
      <c r="A2661" s="2" t="s">
        <v>59</v>
      </c>
      <c r="B2661" s="2" t="s">
        <v>60</v>
      </c>
      <c r="C2661" s="2" t="s">
        <v>26313</v>
      </c>
      <c r="D2661" s="2" t="s">
        <v>26314</v>
      </c>
      <c r="E2661" s="2" t="s">
        <v>26315</v>
      </c>
      <c r="G2661" s="3" t="s">
        <v>65</v>
      </c>
      <c r="I2661" s="3" t="s">
        <v>65</v>
      </c>
      <c r="J2661" s="3" t="s">
        <v>65</v>
      </c>
      <c r="K2661" s="3" t="s">
        <v>66</v>
      </c>
      <c r="L2661" s="2" t="s">
        <v>26316</v>
      </c>
      <c r="M2661" s="2" t="s">
        <v>7928</v>
      </c>
      <c r="N2661" s="3" t="s">
        <v>139</v>
      </c>
      <c r="O2661" s="2" t="s">
        <v>526</v>
      </c>
      <c r="P2661" s="3" t="s">
        <v>69</v>
      </c>
      <c r="Q2661" s="2" t="s">
        <v>527</v>
      </c>
      <c r="R2661" s="3" t="s">
        <v>71</v>
      </c>
      <c r="S2661" s="4">
        <v>0</v>
      </c>
      <c r="T2661" s="4">
        <v>0</v>
      </c>
      <c r="W2661" s="5" t="s">
        <v>72</v>
      </c>
      <c r="X2661" s="5" t="s">
        <v>72</v>
      </c>
      <c r="Y2661" s="4">
        <v>122</v>
      </c>
      <c r="Z2661" s="4">
        <v>14</v>
      </c>
      <c r="AA2661" s="4">
        <v>14</v>
      </c>
      <c r="AB2661" s="4">
        <v>1</v>
      </c>
      <c r="AC2661" s="4">
        <v>1</v>
      </c>
      <c r="AD2661" s="4">
        <v>62</v>
      </c>
      <c r="AE2661" s="4">
        <v>62</v>
      </c>
      <c r="AF2661" s="4">
        <v>0</v>
      </c>
      <c r="AG2661" s="4">
        <v>0</v>
      </c>
      <c r="AH2661" s="4">
        <v>57</v>
      </c>
      <c r="AI2661" s="4">
        <v>57</v>
      </c>
      <c r="AJ2661" s="4">
        <v>10</v>
      </c>
      <c r="AK2661" s="4">
        <v>10</v>
      </c>
      <c r="AL2661" s="4">
        <v>37</v>
      </c>
      <c r="AM2661" s="4">
        <v>37</v>
      </c>
      <c r="AN2661" s="4">
        <v>0</v>
      </c>
      <c r="AO2661" s="4">
        <v>0</v>
      </c>
      <c r="AP2661" s="4">
        <v>11</v>
      </c>
      <c r="AQ2661" s="4">
        <v>11</v>
      </c>
      <c r="AR2661" s="3" t="s">
        <v>65</v>
      </c>
      <c r="AS2661" s="3" t="s">
        <v>65</v>
      </c>
      <c r="AT2661" s="3" t="s">
        <v>65</v>
      </c>
      <c r="AV2661" s="6" t="str">
        <f>HYPERLINK("http://mcgill.on.worldcat.org/oclc/785068358","Catalog Record")</f>
        <v>Catalog Record</v>
      </c>
      <c r="AW2661" s="6" t="str">
        <f>HYPERLINK("http://www.worldcat.org/oclc/785068358","WorldCat Record")</f>
        <v>WorldCat Record</v>
      </c>
      <c r="AX2661" s="3" t="s">
        <v>26317</v>
      </c>
      <c r="AY2661" s="3" t="s">
        <v>26318</v>
      </c>
      <c r="AZ2661" s="3" t="s">
        <v>26319</v>
      </c>
      <c r="BA2661" s="3" t="s">
        <v>26319</v>
      </c>
      <c r="BB2661" s="3" t="s">
        <v>26320</v>
      </c>
      <c r="BC2661" s="3" t="s">
        <v>77</v>
      </c>
      <c r="BD2661" s="3" t="s">
        <v>78</v>
      </c>
      <c r="BE2661" s="3" t="s">
        <v>26321</v>
      </c>
      <c r="BF2661" s="3" t="s">
        <v>26320</v>
      </c>
      <c r="BG2661" s="3" t="s">
        <v>26322</v>
      </c>
    </row>
    <row r="2662" spans="1:59" ht="72.5" x14ac:dyDescent="0.35">
      <c r="A2662" s="2" t="s">
        <v>59</v>
      </c>
      <c r="B2662" s="2" t="s">
        <v>60</v>
      </c>
      <c r="C2662" s="2" t="s">
        <v>26323</v>
      </c>
      <c r="D2662" s="2" t="s">
        <v>26324</v>
      </c>
      <c r="E2662" s="2" t="s">
        <v>26325</v>
      </c>
      <c r="G2662" s="3" t="s">
        <v>65</v>
      </c>
      <c r="I2662" s="3" t="s">
        <v>65</v>
      </c>
      <c r="J2662" s="3" t="s">
        <v>65</v>
      </c>
      <c r="K2662" s="3" t="s">
        <v>66</v>
      </c>
      <c r="L2662" s="2" t="s">
        <v>26326</v>
      </c>
      <c r="M2662" s="2" t="s">
        <v>26327</v>
      </c>
      <c r="N2662" s="3" t="s">
        <v>139</v>
      </c>
      <c r="P2662" s="3" t="s">
        <v>140</v>
      </c>
      <c r="Q2662" s="2" t="s">
        <v>26328</v>
      </c>
      <c r="R2662" s="3" t="s">
        <v>71</v>
      </c>
      <c r="S2662" s="4">
        <v>0</v>
      </c>
      <c r="T2662" s="4">
        <v>0</v>
      </c>
      <c r="W2662" s="5" t="s">
        <v>72</v>
      </c>
      <c r="X2662" s="5" t="s">
        <v>72</v>
      </c>
      <c r="Y2662" s="4">
        <v>26</v>
      </c>
      <c r="Z2662" s="4">
        <v>3</v>
      </c>
      <c r="AA2662" s="4">
        <v>3</v>
      </c>
      <c r="AB2662" s="4">
        <v>1</v>
      </c>
      <c r="AC2662" s="4">
        <v>1</v>
      </c>
      <c r="AD2662" s="4">
        <v>17</v>
      </c>
      <c r="AE2662" s="4">
        <v>19</v>
      </c>
      <c r="AF2662" s="4">
        <v>0</v>
      </c>
      <c r="AG2662" s="4">
        <v>0</v>
      </c>
      <c r="AH2662" s="4">
        <v>16</v>
      </c>
      <c r="AI2662" s="4">
        <v>18</v>
      </c>
      <c r="AJ2662" s="4">
        <v>1</v>
      </c>
      <c r="AK2662" s="4">
        <v>1</v>
      </c>
      <c r="AL2662" s="4">
        <v>16</v>
      </c>
      <c r="AM2662" s="4">
        <v>16</v>
      </c>
      <c r="AN2662" s="4">
        <v>0</v>
      </c>
      <c r="AO2662" s="4">
        <v>0</v>
      </c>
      <c r="AP2662" s="4">
        <v>1</v>
      </c>
      <c r="AQ2662" s="4">
        <v>1</v>
      </c>
      <c r="AR2662" s="3" t="s">
        <v>65</v>
      </c>
      <c r="AS2662" s="3" t="s">
        <v>65</v>
      </c>
      <c r="AT2662" s="3" t="s">
        <v>65</v>
      </c>
      <c r="AV2662" s="6" t="str">
        <f>HYPERLINK("http://mcgill.on.worldcat.org/oclc/834494772","Catalog Record")</f>
        <v>Catalog Record</v>
      </c>
      <c r="AW2662" s="6" t="str">
        <f>HYPERLINK("http://www.worldcat.org/oclc/834494772","WorldCat Record")</f>
        <v>WorldCat Record</v>
      </c>
      <c r="AX2662" s="3" t="s">
        <v>26329</v>
      </c>
      <c r="AY2662" s="3" t="s">
        <v>26330</v>
      </c>
      <c r="AZ2662" s="3" t="s">
        <v>26331</v>
      </c>
      <c r="BA2662" s="3" t="s">
        <v>26331</v>
      </c>
      <c r="BB2662" s="3" t="s">
        <v>26332</v>
      </c>
      <c r="BC2662" s="3" t="s">
        <v>77</v>
      </c>
      <c r="BD2662" s="3" t="s">
        <v>78</v>
      </c>
      <c r="BE2662" s="3" t="s">
        <v>26333</v>
      </c>
      <c r="BF2662" s="3" t="s">
        <v>26332</v>
      </c>
      <c r="BG2662" s="3" t="s">
        <v>26334</v>
      </c>
    </row>
    <row r="2663" spans="1:59" ht="58" x14ac:dyDescent="0.35">
      <c r="A2663" s="2" t="s">
        <v>59</v>
      </c>
      <c r="B2663" s="2" t="s">
        <v>60</v>
      </c>
      <c r="C2663" s="2" t="s">
        <v>26335</v>
      </c>
      <c r="D2663" s="2" t="s">
        <v>26336</v>
      </c>
      <c r="E2663" s="2" t="s">
        <v>26337</v>
      </c>
      <c r="G2663" s="3" t="s">
        <v>65</v>
      </c>
      <c r="I2663" s="3" t="s">
        <v>65</v>
      </c>
      <c r="J2663" s="3" t="s">
        <v>65</v>
      </c>
      <c r="K2663" s="3" t="s">
        <v>66</v>
      </c>
      <c r="L2663" s="2" t="s">
        <v>26338</v>
      </c>
      <c r="M2663" s="2" t="s">
        <v>26339</v>
      </c>
      <c r="N2663" s="3" t="s">
        <v>126</v>
      </c>
      <c r="P2663" s="3" t="s">
        <v>140</v>
      </c>
      <c r="Q2663" s="2" t="s">
        <v>26340</v>
      </c>
      <c r="R2663" s="3" t="s">
        <v>71</v>
      </c>
      <c r="S2663" s="4">
        <v>0</v>
      </c>
      <c r="T2663" s="4">
        <v>0</v>
      </c>
      <c r="W2663" s="5" t="s">
        <v>72</v>
      </c>
      <c r="X2663" s="5" t="s">
        <v>72</v>
      </c>
      <c r="Y2663" s="4">
        <v>50</v>
      </c>
      <c r="Z2663" s="4">
        <v>5</v>
      </c>
      <c r="AA2663" s="4">
        <v>5</v>
      </c>
      <c r="AB2663" s="4">
        <v>1</v>
      </c>
      <c r="AC2663" s="4">
        <v>1</v>
      </c>
      <c r="AD2663" s="4">
        <v>33</v>
      </c>
      <c r="AE2663" s="4">
        <v>33</v>
      </c>
      <c r="AF2663" s="4">
        <v>0</v>
      </c>
      <c r="AG2663" s="4">
        <v>0</v>
      </c>
      <c r="AH2663" s="4">
        <v>32</v>
      </c>
      <c r="AI2663" s="4">
        <v>32</v>
      </c>
      <c r="AJ2663" s="4">
        <v>3</v>
      </c>
      <c r="AK2663" s="4">
        <v>3</v>
      </c>
      <c r="AL2663" s="4">
        <v>24</v>
      </c>
      <c r="AM2663" s="4">
        <v>24</v>
      </c>
      <c r="AN2663" s="4">
        <v>0</v>
      </c>
      <c r="AO2663" s="4">
        <v>0</v>
      </c>
      <c r="AP2663" s="4">
        <v>3</v>
      </c>
      <c r="AQ2663" s="4">
        <v>3</v>
      </c>
      <c r="AR2663" s="3" t="s">
        <v>65</v>
      </c>
      <c r="AS2663" s="3" t="s">
        <v>65</v>
      </c>
      <c r="AT2663" s="3" t="s">
        <v>65</v>
      </c>
      <c r="AV2663" s="6" t="str">
        <f>HYPERLINK("http://mcgill.on.worldcat.org/oclc/745970924","Catalog Record")</f>
        <v>Catalog Record</v>
      </c>
      <c r="AW2663" s="6" t="str">
        <f>HYPERLINK("http://www.worldcat.org/oclc/745970924","WorldCat Record")</f>
        <v>WorldCat Record</v>
      </c>
      <c r="AX2663" s="3" t="s">
        <v>26341</v>
      </c>
      <c r="AY2663" s="3" t="s">
        <v>26342</v>
      </c>
      <c r="AZ2663" s="3" t="s">
        <v>26343</v>
      </c>
      <c r="BA2663" s="3" t="s">
        <v>26343</v>
      </c>
      <c r="BB2663" s="3" t="s">
        <v>26344</v>
      </c>
      <c r="BC2663" s="3" t="s">
        <v>77</v>
      </c>
      <c r="BD2663" s="3" t="s">
        <v>78</v>
      </c>
      <c r="BE2663" s="3" t="s">
        <v>26345</v>
      </c>
      <c r="BF2663" s="3" t="s">
        <v>26344</v>
      </c>
      <c r="BG2663" s="3" t="s">
        <v>26346</v>
      </c>
    </row>
    <row r="2664" spans="1:59" ht="58" x14ac:dyDescent="0.35">
      <c r="A2664" s="2" t="s">
        <v>59</v>
      </c>
      <c r="B2664" s="2" t="s">
        <v>60</v>
      </c>
      <c r="C2664" s="2" t="s">
        <v>26347</v>
      </c>
      <c r="D2664" s="2" t="s">
        <v>26348</v>
      </c>
      <c r="E2664" s="2" t="s">
        <v>26349</v>
      </c>
      <c r="G2664" s="3" t="s">
        <v>65</v>
      </c>
      <c r="I2664" s="3" t="s">
        <v>65</v>
      </c>
      <c r="J2664" s="3" t="s">
        <v>65</v>
      </c>
      <c r="K2664" s="3" t="s">
        <v>66</v>
      </c>
      <c r="L2664" s="2" t="s">
        <v>26350</v>
      </c>
      <c r="M2664" s="2" t="s">
        <v>26351</v>
      </c>
      <c r="N2664" s="3" t="s">
        <v>2210</v>
      </c>
      <c r="O2664" s="2" t="s">
        <v>365</v>
      </c>
      <c r="P2664" s="3" t="s">
        <v>140</v>
      </c>
      <c r="Q2664" s="2" t="s">
        <v>26352</v>
      </c>
      <c r="R2664" s="3" t="s">
        <v>71</v>
      </c>
      <c r="S2664" s="4">
        <v>1</v>
      </c>
      <c r="T2664" s="4">
        <v>1</v>
      </c>
      <c r="U2664" s="5" t="s">
        <v>882</v>
      </c>
      <c r="V2664" s="5" t="s">
        <v>882</v>
      </c>
      <c r="W2664" s="5" t="s">
        <v>72</v>
      </c>
      <c r="X2664" s="5" t="s">
        <v>72</v>
      </c>
      <c r="Y2664" s="4">
        <v>51</v>
      </c>
      <c r="Z2664" s="4">
        <v>4</v>
      </c>
      <c r="AA2664" s="4">
        <v>4</v>
      </c>
      <c r="AB2664" s="4">
        <v>1</v>
      </c>
      <c r="AC2664" s="4">
        <v>1</v>
      </c>
      <c r="AD2664" s="4">
        <v>30</v>
      </c>
      <c r="AE2664" s="4">
        <v>30</v>
      </c>
      <c r="AF2664" s="4">
        <v>0</v>
      </c>
      <c r="AG2664" s="4">
        <v>0</v>
      </c>
      <c r="AH2664" s="4">
        <v>29</v>
      </c>
      <c r="AI2664" s="4">
        <v>29</v>
      </c>
      <c r="AJ2664" s="4">
        <v>2</v>
      </c>
      <c r="AK2664" s="4">
        <v>2</v>
      </c>
      <c r="AL2664" s="4">
        <v>24</v>
      </c>
      <c r="AM2664" s="4">
        <v>24</v>
      </c>
      <c r="AN2664" s="4">
        <v>0</v>
      </c>
      <c r="AO2664" s="4">
        <v>0</v>
      </c>
      <c r="AP2664" s="4">
        <v>2</v>
      </c>
      <c r="AQ2664" s="4">
        <v>2</v>
      </c>
      <c r="AR2664" s="3" t="s">
        <v>65</v>
      </c>
      <c r="AS2664" s="3" t="s">
        <v>65</v>
      </c>
      <c r="AT2664" s="3" t="s">
        <v>209</v>
      </c>
      <c r="AU2664" s="6" t="str">
        <f>HYPERLINK("http://catalog.hathitrust.org/Record/004291773","HathiTrust Record")</f>
        <v>HathiTrust Record</v>
      </c>
      <c r="AV2664" s="6" t="str">
        <f>HYPERLINK("http://mcgill.on.worldcat.org/oclc/52086658","Catalog Record")</f>
        <v>Catalog Record</v>
      </c>
      <c r="AW2664" s="6" t="str">
        <f>HYPERLINK("http://www.worldcat.org/oclc/52086658","WorldCat Record")</f>
        <v>WorldCat Record</v>
      </c>
      <c r="AX2664" s="3" t="s">
        <v>26353</v>
      </c>
      <c r="AY2664" s="3" t="s">
        <v>26354</v>
      </c>
      <c r="AZ2664" s="3" t="s">
        <v>26355</v>
      </c>
      <c r="BA2664" s="3" t="s">
        <v>26355</v>
      </c>
      <c r="BB2664" s="3" t="s">
        <v>26356</v>
      </c>
      <c r="BC2664" s="3" t="s">
        <v>77</v>
      </c>
      <c r="BD2664" s="3" t="s">
        <v>78</v>
      </c>
      <c r="BE2664" s="3" t="s">
        <v>26357</v>
      </c>
      <c r="BF2664" s="3" t="s">
        <v>26356</v>
      </c>
      <c r="BG2664" s="3" t="s">
        <v>26358</v>
      </c>
    </row>
    <row r="2665" spans="1:59" ht="72.5" x14ac:dyDescent="0.35">
      <c r="A2665" s="2" t="s">
        <v>59</v>
      </c>
      <c r="B2665" s="2" t="s">
        <v>60</v>
      </c>
      <c r="C2665" s="2" t="s">
        <v>26359</v>
      </c>
      <c r="D2665" s="2" t="s">
        <v>26360</v>
      </c>
      <c r="E2665" s="2" t="s">
        <v>26361</v>
      </c>
      <c r="G2665" s="3" t="s">
        <v>65</v>
      </c>
      <c r="I2665" s="3" t="s">
        <v>65</v>
      </c>
      <c r="J2665" s="3" t="s">
        <v>65</v>
      </c>
      <c r="K2665" s="3" t="s">
        <v>66</v>
      </c>
      <c r="L2665" s="2" t="s">
        <v>26362</v>
      </c>
      <c r="M2665" s="2" t="s">
        <v>26363</v>
      </c>
      <c r="N2665" s="3" t="s">
        <v>2818</v>
      </c>
      <c r="O2665" s="2" t="s">
        <v>26116</v>
      </c>
      <c r="P2665" s="3" t="s">
        <v>140</v>
      </c>
      <c r="R2665" s="3" t="s">
        <v>71</v>
      </c>
      <c r="S2665" s="4">
        <v>2</v>
      </c>
      <c r="T2665" s="4">
        <v>2</v>
      </c>
      <c r="U2665" s="5" t="s">
        <v>6089</v>
      </c>
      <c r="V2665" s="5" t="s">
        <v>6089</v>
      </c>
      <c r="W2665" s="5" t="s">
        <v>72</v>
      </c>
      <c r="X2665" s="5" t="s">
        <v>72</v>
      </c>
      <c r="Y2665" s="4">
        <v>3</v>
      </c>
      <c r="Z2665" s="4">
        <v>1</v>
      </c>
      <c r="AA2665" s="4">
        <v>15</v>
      </c>
      <c r="AB2665" s="4">
        <v>1</v>
      </c>
      <c r="AC2665" s="4">
        <v>3</v>
      </c>
      <c r="AD2665" s="4">
        <v>1</v>
      </c>
      <c r="AE2665" s="4">
        <v>65</v>
      </c>
      <c r="AF2665" s="4">
        <v>0</v>
      </c>
      <c r="AG2665" s="4">
        <v>2</v>
      </c>
      <c r="AH2665" s="4">
        <v>1</v>
      </c>
      <c r="AI2665" s="4">
        <v>56</v>
      </c>
      <c r="AJ2665" s="4">
        <v>0</v>
      </c>
      <c r="AK2665" s="4">
        <v>10</v>
      </c>
      <c r="AL2665" s="4">
        <v>1</v>
      </c>
      <c r="AM2665" s="4">
        <v>39</v>
      </c>
      <c r="AN2665" s="4">
        <v>0</v>
      </c>
      <c r="AO2665" s="4">
        <v>0</v>
      </c>
      <c r="AP2665" s="4">
        <v>0</v>
      </c>
      <c r="AQ2665" s="4">
        <v>10</v>
      </c>
      <c r="AR2665" s="3" t="s">
        <v>65</v>
      </c>
      <c r="AS2665" s="3" t="s">
        <v>65</v>
      </c>
      <c r="AT2665" s="3" t="s">
        <v>65</v>
      </c>
      <c r="AV2665" s="6" t="str">
        <f>HYPERLINK("http://mcgill.on.worldcat.org/oclc/77607440","Catalog Record")</f>
        <v>Catalog Record</v>
      </c>
      <c r="AW2665" s="6" t="str">
        <f>HYPERLINK("http://www.worldcat.org/oclc/77607440","WorldCat Record")</f>
        <v>WorldCat Record</v>
      </c>
      <c r="AX2665" s="3" t="s">
        <v>26364</v>
      </c>
      <c r="AY2665" s="3" t="s">
        <v>26365</v>
      </c>
      <c r="AZ2665" s="3" t="s">
        <v>26366</v>
      </c>
      <c r="BA2665" s="3" t="s">
        <v>26366</v>
      </c>
      <c r="BB2665" s="3" t="s">
        <v>26367</v>
      </c>
      <c r="BC2665" s="3" t="s">
        <v>77</v>
      </c>
      <c r="BD2665" s="3" t="s">
        <v>78</v>
      </c>
      <c r="BF2665" s="3" t="s">
        <v>26367</v>
      </c>
      <c r="BG2665" s="3" t="s">
        <v>26368</v>
      </c>
    </row>
    <row r="2666" spans="1:59" ht="72.5" x14ac:dyDescent="0.35">
      <c r="A2666" s="2" t="s">
        <v>59</v>
      </c>
      <c r="B2666" s="2" t="s">
        <v>60</v>
      </c>
      <c r="C2666" s="2" t="s">
        <v>26369</v>
      </c>
      <c r="D2666" s="2" t="s">
        <v>26370</v>
      </c>
      <c r="E2666" s="2" t="s">
        <v>26371</v>
      </c>
      <c r="G2666" s="3" t="s">
        <v>65</v>
      </c>
      <c r="I2666" s="3" t="s">
        <v>65</v>
      </c>
      <c r="J2666" s="3" t="s">
        <v>65</v>
      </c>
      <c r="K2666" s="3" t="s">
        <v>66</v>
      </c>
      <c r="L2666" s="2" t="s">
        <v>26372</v>
      </c>
      <c r="M2666" s="2" t="s">
        <v>26373</v>
      </c>
      <c r="N2666" s="3" t="s">
        <v>6681</v>
      </c>
      <c r="P2666" s="3" t="s">
        <v>140</v>
      </c>
      <c r="Q2666" s="2" t="s">
        <v>26374</v>
      </c>
      <c r="R2666" s="3" t="s">
        <v>71</v>
      </c>
      <c r="S2666" s="4">
        <v>9</v>
      </c>
      <c r="T2666" s="4">
        <v>9</v>
      </c>
      <c r="U2666" s="5" t="s">
        <v>26375</v>
      </c>
      <c r="V2666" s="5" t="s">
        <v>26375</v>
      </c>
      <c r="W2666" s="5" t="s">
        <v>72</v>
      </c>
      <c r="X2666" s="5" t="s">
        <v>72</v>
      </c>
      <c r="Y2666" s="4">
        <v>4</v>
      </c>
      <c r="Z2666" s="4">
        <v>1</v>
      </c>
      <c r="AA2666" s="4">
        <v>1</v>
      </c>
      <c r="AB2666" s="4">
        <v>1</v>
      </c>
      <c r="AC2666" s="4">
        <v>1</v>
      </c>
      <c r="AD2666" s="4">
        <v>1</v>
      </c>
      <c r="AE2666" s="4">
        <v>1</v>
      </c>
      <c r="AF2666" s="4">
        <v>0</v>
      </c>
      <c r="AG2666" s="4">
        <v>0</v>
      </c>
      <c r="AH2666" s="4">
        <v>1</v>
      </c>
      <c r="AI2666" s="4">
        <v>1</v>
      </c>
      <c r="AJ2666" s="4">
        <v>0</v>
      </c>
      <c r="AK2666" s="4">
        <v>0</v>
      </c>
      <c r="AL2666" s="4">
        <v>1</v>
      </c>
      <c r="AM2666" s="4">
        <v>1</v>
      </c>
      <c r="AN2666" s="4">
        <v>0</v>
      </c>
      <c r="AO2666" s="4">
        <v>0</v>
      </c>
      <c r="AP2666" s="4">
        <v>0</v>
      </c>
      <c r="AQ2666" s="4">
        <v>0</v>
      </c>
      <c r="AR2666" s="3" t="s">
        <v>65</v>
      </c>
      <c r="AS2666" s="3" t="s">
        <v>65</v>
      </c>
      <c r="AT2666" s="3" t="s">
        <v>65</v>
      </c>
      <c r="AV2666" s="6" t="str">
        <f>HYPERLINK("http://mcgill.on.worldcat.org/oclc/61577524","Catalog Record")</f>
        <v>Catalog Record</v>
      </c>
      <c r="AW2666" s="6" t="str">
        <f>HYPERLINK("http://www.worldcat.org/oclc/61577524","WorldCat Record")</f>
        <v>WorldCat Record</v>
      </c>
      <c r="AX2666" s="3" t="s">
        <v>26376</v>
      </c>
      <c r="AY2666" s="3" t="s">
        <v>26377</v>
      </c>
      <c r="AZ2666" s="3" t="s">
        <v>26378</v>
      </c>
      <c r="BA2666" s="3" t="s">
        <v>26378</v>
      </c>
      <c r="BB2666" s="3" t="s">
        <v>26379</v>
      </c>
      <c r="BC2666" s="3" t="s">
        <v>77</v>
      </c>
      <c r="BD2666" s="3" t="s">
        <v>78</v>
      </c>
      <c r="BF2666" s="3" t="s">
        <v>26379</v>
      </c>
      <c r="BG2666" s="3" t="s">
        <v>26380</v>
      </c>
    </row>
    <row r="2667" spans="1:59" ht="72.5" x14ac:dyDescent="0.35">
      <c r="A2667" s="2" t="s">
        <v>59</v>
      </c>
      <c r="B2667" s="2" t="s">
        <v>60</v>
      </c>
      <c r="C2667" s="2" t="s">
        <v>26381</v>
      </c>
      <c r="D2667" s="2" t="s">
        <v>26382</v>
      </c>
      <c r="E2667" s="2" t="s">
        <v>26383</v>
      </c>
      <c r="G2667" s="3" t="s">
        <v>65</v>
      </c>
      <c r="I2667" s="3" t="s">
        <v>65</v>
      </c>
      <c r="J2667" s="3" t="s">
        <v>65</v>
      </c>
      <c r="K2667" s="3" t="s">
        <v>66</v>
      </c>
      <c r="L2667" s="2" t="s">
        <v>26384</v>
      </c>
      <c r="M2667" s="2" t="s">
        <v>26385</v>
      </c>
      <c r="N2667" s="3" t="s">
        <v>2460</v>
      </c>
      <c r="P2667" s="3" t="s">
        <v>69</v>
      </c>
      <c r="Q2667" s="2" t="s">
        <v>26386</v>
      </c>
      <c r="R2667" s="3" t="s">
        <v>71</v>
      </c>
      <c r="S2667" s="4">
        <v>26</v>
      </c>
      <c r="T2667" s="4">
        <v>26</v>
      </c>
      <c r="U2667" s="5" t="s">
        <v>909</v>
      </c>
      <c r="V2667" s="5" t="s">
        <v>909</v>
      </c>
      <c r="W2667" s="5" t="s">
        <v>72</v>
      </c>
      <c r="X2667" s="5" t="s">
        <v>72</v>
      </c>
      <c r="Y2667" s="4">
        <v>446</v>
      </c>
      <c r="Z2667" s="4">
        <v>15</v>
      </c>
      <c r="AA2667" s="4">
        <v>25</v>
      </c>
      <c r="AB2667" s="4">
        <v>1</v>
      </c>
      <c r="AC2667" s="4">
        <v>2</v>
      </c>
      <c r="AD2667" s="4">
        <v>102</v>
      </c>
      <c r="AE2667" s="4">
        <v>111</v>
      </c>
      <c r="AF2667" s="4">
        <v>0</v>
      </c>
      <c r="AG2667" s="4">
        <v>0</v>
      </c>
      <c r="AH2667" s="4">
        <v>93</v>
      </c>
      <c r="AI2667" s="4">
        <v>99</v>
      </c>
      <c r="AJ2667" s="4">
        <v>9</v>
      </c>
      <c r="AK2667" s="4">
        <v>13</v>
      </c>
      <c r="AL2667" s="4">
        <v>53</v>
      </c>
      <c r="AM2667" s="4">
        <v>55</v>
      </c>
      <c r="AN2667" s="4">
        <v>0</v>
      </c>
      <c r="AO2667" s="4">
        <v>0</v>
      </c>
      <c r="AP2667" s="4">
        <v>11</v>
      </c>
      <c r="AQ2667" s="4">
        <v>16</v>
      </c>
      <c r="AR2667" s="3" t="s">
        <v>65</v>
      </c>
      <c r="AS2667" s="3" t="s">
        <v>65</v>
      </c>
      <c r="AT2667" s="3" t="s">
        <v>209</v>
      </c>
      <c r="AU2667" s="6" t="str">
        <f>HYPERLINK("http://catalog.hathitrust.org/Record/001085064","HathiTrust Record")</f>
        <v>HathiTrust Record</v>
      </c>
      <c r="AV2667" s="6" t="str">
        <f>HYPERLINK("http://mcgill.on.worldcat.org/oclc/17733255","Catalog Record")</f>
        <v>Catalog Record</v>
      </c>
      <c r="AW2667" s="6" t="str">
        <f>HYPERLINK("http://www.worldcat.org/oclc/17733255","WorldCat Record")</f>
        <v>WorldCat Record</v>
      </c>
      <c r="AX2667" s="3" t="s">
        <v>26387</v>
      </c>
      <c r="AY2667" s="3" t="s">
        <v>26388</v>
      </c>
      <c r="AZ2667" s="3" t="s">
        <v>26389</v>
      </c>
      <c r="BA2667" s="3" t="s">
        <v>26389</v>
      </c>
      <c r="BB2667" s="3" t="s">
        <v>26390</v>
      </c>
      <c r="BC2667" s="3" t="s">
        <v>77</v>
      </c>
      <c r="BD2667" s="3" t="s">
        <v>78</v>
      </c>
      <c r="BE2667" s="3" t="s">
        <v>26391</v>
      </c>
      <c r="BF2667" s="3" t="s">
        <v>26390</v>
      </c>
      <c r="BG2667" s="3" t="s">
        <v>26392</v>
      </c>
    </row>
    <row r="2668" spans="1:59" ht="72.5" x14ac:dyDescent="0.35">
      <c r="A2668" s="2" t="s">
        <v>59</v>
      </c>
      <c r="B2668" s="2" t="s">
        <v>60</v>
      </c>
      <c r="C2668" s="2" t="s">
        <v>26393</v>
      </c>
      <c r="D2668" s="2" t="s">
        <v>26394</v>
      </c>
      <c r="E2668" s="2" t="s">
        <v>26395</v>
      </c>
      <c r="G2668" s="3" t="s">
        <v>65</v>
      </c>
      <c r="I2668" s="3" t="s">
        <v>65</v>
      </c>
      <c r="J2668" s="3" t="s">
        <v>65</v>
      </c>
      <c r="K2668" s="3" t="s">
        <v>66</v>
      </c>
      <c r="L2668" s="2" t="s">
        <v>26396</v>
      </c>
      <c r="M2668" s="2" t="s">
        <v>26397</v>
      </c>
      <c r="N2668" s="3" t="s">
        <v>113</v>
      </c>
      <c r="P2668" s="3" t="s">
        <v>69</v>
      </c>
      <c r="R2668" s="3" t="s">
        <v>71</v>
      </c>
      <c r="S2668" s="4">
        <v>2</v>
      </c>
      <c r="T2668" s="4">
        <v>2</v>
      </c>
      <c r="U2668" s="5" t="s">
        <v>26398</v>
      </c>
      <c r="V2668" s="5" t="s">
        <v>26398</v>
      </c>
      <c r="W2668" s="5" t="s">
        <v>72</v>
      </c>
      <c r="X2668" s="5" t="s">
        <v>72</v>
      </c>
      <c r="Y2668" s="4">
        <v>44</v>
      </c>
      <c r="Z2668" s="4">
        <v>11</v>
      </c>
      <c r="AA2668" s="4">
        <v>76</v>
      </c>
      <c r="AB2668" s="4">
        <v>1</v>
      </c>
      <c r="AC2668" s="4">
        <v>14</v>
      </c>
      <c r="AD2668" s="4">
        <v>30</v>
      </c>
      <c r="AE2668" s="4">
        <v>89</v>
      </c>
      <c r="AF2668" s="4">
        <v>0</v>
      </c>
      <c r="AG2668" s="4">
        <v>8</v>
      </c>
      <c r="AH2668" s="4">
        <v>27</v>
      </c>
      <c r="AI2668" s="4">
        <v>57</v>
      </c>
      <c r="AJ2668" s="4">
        <v>9</v>
      </c>
      <c r="AK2668" s="4">
        <v>20</v>
      </c>
      <c r="AL2668" s="4">
        <v>16</v>
      </c>
      <c r="AM2668" s="4">
        <v>29</v>
      </c>
      <c r="AN2668" s="4">
        <v>5</v>
      </c>
      <c r="AO2668" s="4">
        <v>5</v>
      </c>
      <c r="AP2668" s="4">
        <v>9</v>
      </c>
      <c r="AQ2668" s="4">
        <v>40</v>
      </c>
      <c r="AR2668" s="3" t="s">
        <v>65</v>
      </c>
      <c r="AS2668" s="3" t="s">
        <v>65</v>
      </c>
      <c r="AT2668" s="3" t="s">
        <v>209</v>
      </c>
      <c r="AU2668" s="6" t="str">
        <f>HYPERLINK("http://catalog.hathitrust.org/Record/011228927","HathiTrust Record")</f>
        <v>HathiTrust Record</v>
      </c>
      <c r="AV2668" s="6" t="str">
        <f>HYPERLINK("http://mcgill.on.worldcat.org/oclc/651075136","Catalog Record")</f>
        <v>Catalog Record</v>
      </c>
      <c r="AW2668" s="6" t="str">
        <f>HYPERLINK("http://www.worldcat.org/oclc/651075136","WorldCat Record")</f>
        <v>WorldCat Record</v>
      </c>
      <c r="AX2668" s="3" t="s">
        <v>26399</v>
      </c>
      <c r="AY2668" s="3" t="s">
        <v>26400</v>
      </c>
      <c r="AZ2668" s="3" t="s">
        <v>26401</v>
      </c>
      <c r="BA2668" s="3" t="s">
        <v>26401</v>
      </c>
      <c r="BB2668" s="3" t="s">
        <v>26402</v>
      </c>
      <c r="BC2668" s="3" t="s">
        <v>77</v>
      </c>
      <c r="BD2668" s="3" t="s">
        <v>78</v>
      </c>
      <c r="BE2668" s="3" t="s">
        <v>26403</v>
      </c>
      <c r="BF2668" s="3" t="s">
        <v>26402</v>
      </c>
      <c r="BG2668" s="3" t="s">
        <v>26404</v>
      </c>
    </row>
    <row r="2669" spans="1:59" ht="58" x14ac:dyDescent="0.35">
      <c r="A2669" s="2" t="s">
        <v>59</v>
      </c>
      <c r="B2669" s="2" t="s">
        <v>60</v>
      </c>
      <c r="C2669" s="2" t="s">
        <v>26405</v>
      </c>
      <c r="D2669" s="2" t="s">
        <v>26406</v>
      </c>
      <c r="E2669" s="2" t="s">
        <v>26407</v>
      </c>
      <c r="G2669" s="3" t="s">
        <v>65</v>
      </c>
      <c r="I2669" s="3" t="s">
        <v>65</v>
      </c>
      <c r="J2669" s="3" t="s">
        <v>65</v>
      </c>
      <c r="K2669" s="3" t="s">
        <v>66</v>
      </c>
      <c r="L2669" s="2" t="s">
        <v>26408</v>
      </c>
      <c r="M2669" s="2" t="s">
        <v>26409</v>
      </c>
      <c r="N2669" s="3" t="s">
        <v>3385</v>
      </c>
      <c r="O2669" s="2" t="s">
        <v>26410</v>
      </c>
      <c r="P2669" s="3" t="s">
        <v>140</v>
      </c>
      <c r="Q2669" s="2" t="s">
        <v>6617</v>
      </c>
      <c r="R2669" s="3" t="s">
        <v>71</v>
      </c>
      <c r="S2669" s="4">
        <v>2</v>
      </c>
      <c r="T2669" s="4">
        <v>2</v>
      </c>
      <c r="U2669" s="5" t="s">
        <v>26411</v>
      </c>
      <c r="V2669" s="5" t="s">
        <v>26411</v>
      </c>
      <c r="W2669" s="5" t="s">
        <v>72</v>
      </c>
      <c r="X2669" s="5" t="s">
        <v>72</v>
      </c>
      <c r="Y2669" s="4">
        <v>79</v>
      </c>
      <c r="Z2669" s="4">
        <v>6</v>
      </c>
      <c r="AA2669" s="4">
        <v>8</v>
      </c>
      <c r="AB2669" s="4">
        <v>1</v>
      </c>
      <c r="AC2669" s="4">
        <v>2</v>
      </c>
      <c r="AD2669" s="4">
        <v>36</v>
      </c>
      <c r="AE2669" s="4">
        <v>44</v>
      </c>
      <c r="AF2669" s="4">
        <v>0</v>
      </c>
      <c r="AG2669" s="4">
        <v>1</v>
      </c>
      <c r="AH2669" s="4">
        <v>34</v>
      </c>
      <c r="AI2669" s="4">
        <v>41</v>
      </c>
      <c r="AJ2669" s="4">
        <v>4</v>
      </c>
      <c r="AK2669" s="4">
        <v>6</v>
      </c>
      <c r="AL2669" s="4">
        <v>24</v>
      </c>
      <c r="AM2669" s="4">
        <v>30</v>
      </c>
      <c r="AN2669" s="4">
        <v>0</v>
      </c>
      <c r="AO2669" s="4">
        <v>0</v>
      </c>
      <c r="AP2669" s="4">
        <v>4</v>
      </c>
      <c r="AQ2669" s="4">
        <v>5</v>
      </c>
      <c r="AR2669" s="3" t="s">
        <v>65</v>
      </c>
      <c r="AS2669" s="3" t="s">
        <v>65</v>
      </c>
      <c r="AT2669" s="3" t="s">
        <v>209</v>
      </c>
      <c r="AU2669" s="6" t="str">
        <f>HYPERLINK("http://catalog.hathitrust.org/Record/004036651","HathiTrust Record")</f>
        <v>HathiTrust Record</v>
      </c>
      <c r="AV2669" s="6" t="str">
        <f>HYPERLINK("http://mcgill.on.worldcat.org/oclc/41179380","Catalog Record")</f>
        <v>Catalog Record</v>
      </c>
      <c r="AW2669" s="6" t="str">
        <f>HYPERLINK("http://www.worldcat.org/oclc/41179380","WorldCat Record")</f>
        <v>WorldCat Record</v>
      </c>
      <c r="AX2669" s="3" t="s">
        <v>26412</v>
      </c>
      <c r="AY2669" s="3" t="s">
        <v>26413</v>
      </c>
      <c r="AZ2669" s="3" t="s">
        <v>26414</v>
      </c>
      <c r="BA2669" s="3" t="s">
        <v>26414</v>
      </c>
      <c r="BB2669" s="3" t="s">
        <v>26415</v>
      </c>
      <c r="BC2669" s="3" t="s">
        <v>77</v>
      </c>
      <c r="BD2669" s="3" t="s">
        <v>78</v>
      </c>
      <c r="BE2669" s="3" t="s">
        <v>26416</v>
      </c>
      <c r="BF2669" s="3" t="s">
        <v>26415</v>
      </c>
      <c r="BG2669" s="3" t="s">
        <v>26417</v>
      </c>
    </row>
    <row r="2670" spans="1:59" ht="58" x14ac:dyDescent="0.35">
      <c r="A2670" s="2" t="s">
        <v>59</v>
      </c>
      <c r="B2670" s="2" t="s">
        <v>60</v>
      </c>
      <c r="C2670" s="2" t="s">
        <v>26418</v>
      </c>
      <c r="D2670" s="2" t="s">
        <v>26419</v>
      </c>
      <c r="E2670" s="2" t="s">
        <v>26420</v>
      </c>
      <c r="G2670" s="3" t="s">
        <v>65</v>
      </c>
      <c r="I2670" s="3" t="s">
        <v>65</v>
      </c>
      <c r="J2670" s="3" t="s">
        <v>209</v>
      </c>
      <c r="K2670" s="3" t="s">
        <v>66</v>
      </c>
      <c r="L2670" s="2" t="s">
        <v>26408</v>
      </c>
      <c r="M2670" s="2" t="s">
        <v>26421</v>
      </c>
      <c r="N2670" s="3" t="s">
        <v>11262</v>
      </c>
      <c r="P2670" s="3" t="s">
        <v>140</v>
      </c>
      <c r="R2670" s="3" t="s">
        <v>71</v>
      </c>
      <c r="S2670" s="4">
        <v>1</v>
      </c>
      <c r="T2670" s="4">
        <v>1</v>
      </c>
      <c r="U2670" s="5" t="s">
        <v>26422</v>
      </c>
      <c r="V2670" s="5" t="s">
        <v>26422</v>
      </c>
      <c r="W2670" s="5" t="s">
        <v>72</v>
      </c>
      <c r="X2670" s="5" t="s">
        <v>72</v>
      </c>
      <c r="Y2670" s="4">
        <v>1</v>
      </c>
      <c r="Z2670" s="4">
        <v>1</v>
      </c>
      <c r="AA2670" s="4">
        <v>12</v>
      </c>
      <c r="AB2670" s="4">
        <v>1</v>
      </c>
      <c r="AC2670" s="4">
        <v>2</v>
      </c>
      <c r="AD2670" s="4">
        <v>0</v>
      </c>
      <c r="AE2670" s="4">
        <v>60</v>
      </c>
      <c r="AF2670" s="4">
        <v>0</v>
      </c>
      <c r="AG2670" s="4">
        <v>1</v>
      </c>
      <c r="AH2670" s="4">
        <v>0</v>
      </c>
      <c r="AI2670" s="4">
        <v>55</v>
      </c>
      <c r="AJ2670" s="4">
        <v>0</v>
      </c>
      <c r="AK2670" s="4">
        <v>9</v>
      </c>
      <c r="AL2670" s="4">
        <v>0</v>
      </c>
      <c r="AM2670" s="4">
        <v>35</v>
      </c>
      <c r="AN2670" s="4">
        <v>0</v>
      </c>
      <c r="AO2670" s="4">
        <v>0</v>
      </c>
      <c r="AP2670" s="4">
        <v>0</v>
      </c>
      <c r="AQ2670" s="4">
        <v>9</v>
      </c>
      <c r="AR2670" s="3" t="s">
        <v>65</v>
      </c>
      <c r="AS2670" s="3" t="s">
        <v>65</v>
      </c>
      <c r="AT2670" s="3" t="s">
        <v>65</v>
      </c>
      <c r="AV2670" s="6" t="str">
        <f>HYPERLINK("http://mcgill.on.worldcat.org/oclc/61591614","Catalog Record")</f>
        <v>Catalog Record</v>
      </c>
      <c r="AW2670" s="6" t="str">
        <f>HYPERLINK("http://www.worldcat.org/oclc/61591614","WorldCat Record")</f>
        <v>WorldCat Record</v>
      </c>
      <c r="AX2670" s="3" t="s">
        <v>26423</v>
      </c>
      <c r="AY2670" s="3" t="s">
        <v>26424</v>
      </c>
      <c r="AZ2670" s="3" t="s">
        <v>26425</v>
      </c>
      <c r="BA2670" s="3" t="s">
        <v>26425</v>
      </c>
      <c r="BB2670" s="3" t="s">
        <v>26426</v>
      </c>
      <c r="BC2670" s="3" t="s">
        <v>77</v>
      </c>
      <c r="BD2670" s="3" t="s">
        <v>78</v>
      </c>
      <c r="BF2670" s="3" t="s">
        <v>26426</v>
      </c>
      <c r="BG2670" s="3" t="s">
        <v>26427</v>
      </c>
    </row>
    <row r="2671" spans="1:59" ht="72.5" x14ac:dyDescent="0.35">
      <c r="A2671" s="2" t="s">
        <v>59</v>
      </c>
      <c r="B2671" s="2" t="s">
        <v>60</v>
      </c>
      <c r="C2671" s="2" t="s">
        <v>26428</v>
      </c>
      <c r="D2671" s="2" t="s">
        <v>26429</v>
      </c>
      <c r="E2671" s="2" t="s">
        <v>26430</v>
      </c>
      <c r="G2671" s="3" t="s">
        <v>65</v>
      </c>
      <c r="I2671" s="3" t="s">
        <v>65</v>
      </c>
      <c r="J2671" s="3" t="s">
        <v>65</v>
      </c>
      <c r="K2671" s="3" t="s">
        <v>66</v>
      </c>
      <c r="M2671" s="2" t="s">
        <v>26431</v>
      </c>
      <c r="N2671" s="3" t="s">
        <v>126</v>
      </c>
      <c r="P2671" s="3" t="s">
        <v>140</v>
      </c>
      <c r="Q2671" s="2" t="s">
        <v>24361</v>
      </c>
      <c r="R2671" s="3" t="s">
        <v>71</v>
      </c>
      <c r="S2671" s="4">
        <v>0</v>
      </c>
      <c r="T2671" s="4">
        <v>0</v>
      </c>
      <c r="W2671" s="5" t="s">
        <v>72</v>
      </c>
      <c r="X2671" s="5" t="s">
        <v>72</v>
      </c>
      <c r="Y2671" s="4">
        <v>32</v>
      </c>
      <c r="Z2671" s="4">
        <v>4</v>
      </c>
      <c r="AA2671" s="4">
        <v>4</v>
      </c>
      <c r="AB2671" s="4">
        <v>1</v>
      </c>
      <c r="AC2671" s="4">
        <v>1</v>
      </c>
      <c r="AD2671" s="4">
        <v>21</v>
      </c>
      <c r="AE2671" s="4">
        <v>21</v>
      </c>
      <c r="AF2671" s="4">
        <v>0</v>
      </c>
      <c r="AG2671" s="4">
        <v>0</v>
      </c>
      <c r="AH2671" s="4">
        <v>20</v>
      </c>
      <c r="AI2671" s="4">
        <v>20</v>
      </c>
      <c r="AJ2671" s="4">
        <v>2</v>
      </c>
      <c r="AK2671" s="4">
        <v>2</v>
      </c>
      <c r="AL2671" s="4">
        <v>14</v>
      </c>
      <c r="AM2671" s="4">
        <v>14</v>
      </c>
      <c r="AN2671" s="4">
        <v>0</v>
      </c>
      <c r="AO2671" s="4">
        <v>0</v>
      </c>
      <c r="AP2671" s="4">
        <v>2</v>
      </c>
      <c r="AQ2671" s="4">
        <v>2</v>
      </c>
      <c r="AR2671" s="3" t="s">
        <v>65</v>
      </c>
      <c r="AS2671" s="3" t="s">
        <v>65</v>
      </c>
      <c r="AT2671" s="3" t="s">
        <v>65</v>
      </c>
      <c r="AV2671" s="6" t="str">
        <f>HYPERLINK("http://mcgill.on.worldcat.org/oclc/903942283","Catalog Record")</f>
        <v>Catalog Record</v>
      </c>
      <c r="AW2671" s="6" t="str">
        <f>HYPERLINK("http://www.worldcat.org/oclc/903942283","WorldCat Record")</f>
        <v>WorldCat Record</v>
      </c>
      <c r="AX2671" s="3" t="s">
        <v>26432</v>
      </c>
      <c r="AY2671" s="3" t="s">
        <v>26433</v>
      </c>
      <c r="AZ2671" s="3" t="s">
        <v>26434</v>
      </c>
      <c r="BA2671" s="3" t="s">
        <v>26434</v>
      </c>
      <c r="BB2671" s="3" t="s">
        <v>26435</v>
      </c>
      <c r="BC2671" s="3" t="s">
        <v>77</v>
      </c>
      <c r="BD2671" s="3" t="s">
        <v>78</v>
      </c>
      <c r="BE2671" s="3" t="s">
        <v>26436</v>
      </c>
      <c r="BF2671" s="3" t="s">
        <v>26435</v>
      </c>
      <c r="BG2671" s="3" t="s">
        <v>26437</v>
      </c>
    </row>
    <row r="2672" spans="1:59" ht="58" x14ac:dyDescent="0.35">
      <c r="A2672" s="2" t="s">
        <v>59</v>
      </c>
      <c r="B2672" s="2" t="s">
        <v>60</v>
      </c>
      <c r="C2672" s="2" t="s">
        <v>26438</v>
      </c>
      <c r="D2672" s="2" t="s">
        <v>26439</v>
      </c>
      <c r="E2672" s="2" t="s">
        <v>26440</v>
      </c>
      <c r="G2672" s="3" t="s">
        <v>65</v>
      </c>
      <c r="I2672" s="3" t="s">
        <v>65</v>
      </c>
      <c r="J2672" s="3" t="s">
        <v>65</v>
      </c>
      <c r="K2672" s="3" t="s">
        <v>66</v>
      </c>
      <c r="L2672" s="2" t="s">
        <v>26441</v>
      </c>
      <c r="M2672" s="2" t="s">
        <v>26442</v>
      </c>
      <c r="N2672" s="3" t="s">
        <v>176</v>
      </c>
      <c r="P2672" s="3" t="s">
        <v>140</v>
      </c>
      <c r="Q2672" s="2" t="s">
        <v>26443</v>
      </c>
      <c r="R2672" s="3" t="s">
        <v>71</v>
      </c>
      <c r="S2672" s="4">
        <v>0</v>
      </c>
      <c r="T2672" s="4">
        <v>0</v>
      </c>
      <c r="W2672" s="5" t="s">
        <v>72</v>
      </c>
      <c r="X2672" s="5" t="s">
        <v>72</v>
      </c>
      <c r="Y2672" s="4">
        <v>42</v>
      </c>
      <c r="Z2672" s="4">
        <v>4</v>
      </c>
      <c r="AA2672" s="4">
        <v>4</v>
      </c>
      <c r="AB2672" s="4">
        <v>1</v>
      </c>
      <c r="AC2672" s="4">
        <v>1</v>
      </c>
      <c r="AD2672" s="4">
        <v>32</v>
      </c>
      <c r="AE2672" s="4">
        <v>32</v>
      </c>
      <c r="AF2672" s="4">
        <v>0</v>
      </c>
      <c r="AG2672" s="4">
        <v>0</v>
      </c>
      <c r="AH2672" s="4">
        <v>31</v>
      </c>
      <c r="AI2672" s="4">
        <v>31</v>
      </c>
      <c r="AJ2672" s="4">
        <v>2</v>
      </c>
      <c r="AK2672" s="4">
        <v>2</v>
      </c>
      <c r="AL2672" s="4">
        <v>26</v>
      </c>
      <c r="AM2672" s="4">
        <v>26</v>
      </c>
      <c r="AN2672" s="4">
        <v>0</v>
      </c>
      <c r="AO2672" s="4">
        <v>0</v>
      </c>
      <c r="AP2672" s="4">
        <v>2</v>
      </c>
      <c r="AQ2672" s="4">
        <v>2</v>
      </c>
      <c r="AR2672" s="3" t="s">
        <v>65</v>
      </c>
      <c r="AS2672" s="3" t="s">
        <v>65</v>
      </c>
      <c r="AT2672" s="3" t="s">
        <v>65</v>
      </c>
      <c r="AV2672" s="6" t="str">
        <f>HYPERLINK("http://mcgill.on.worldcat.org/oclc/921144864","Catalog Record")</f>
        <v>Catalog Record</v>
      </c>
      <c r="AW2672" s="6" t="str">
        <f>HYPERLINK("http://www.worldcat.org/oclc/921144864","WorldCat Record")</f>
        <v>WorldCat Record</v>
      </c>
      <c r="AX2672" s="3" t="s">
        <v>26444</v>
      </c>
      <c r="AY2672" s="3" t="s">
        <v>26445</v>
      </c>
      <c r="AZ2672" s="3" t="s">
        <v>26446</v>
      </c>
      <c r="BA2672" s="3" t="s">
        <v>26446</v>
      </c>
      <c r="BB2672" s="3" t="s">
        <v>26447</v>
      </c>
      <c r="BC2672" s="3" t="s">
        <v>77</v>
      </c>
      <c r="BD2672" s="3" t="s">
        <v>78</v>
      </c>
      <c r="BE2672" s="3" t="s">
        <v>26448</v>
      </c>
      <c r="BF2672" s="3" t="s">
        <v>26447</v>
      </c>
      <c r="BG2672" s="3" t="s">
        <v>26449</v>
      </c>
    </row>
    <row r="2673" spans="1:59" ht="58" x14ac:dyDescent="0.35">
      <c r="A2673" s="2" t="s">
        <v>59</v>
      </c>
      <c r="B2673" s="2" t="s">
        <v>60</v>
      </c>
      <c r="C2673" s="2" t="s">
        <v>26450</v>
      </c>
      <c r="D2673" s="2" t="s">
        <v>26451</v>
      </c>
      <c r="E2673" s="2" t="s">
        <v>26452</v>
      </c>
      <c r="G2673" s="3" t="s">
        <v>65</v>
      </c>
      <c r="I2673" s="3" t="s">
        <v>65</v>
      </c>
      <c r="J2673" s="3" t="s">
        <v>65</v>
      </c>
      <c r="K2673" s="3" t="s">
        <v>66</v>
      </c>
      <c r="L2673" s="2" t="s">
        <v>15833</v>
      </c>
      <c r="M2673" s="2" t="s">
        <v>26453</v>
      </c>
      <c r="N2673" s="3" t="s">
        <v>68</v>
      </c>
      <c r="P2673" s="3" t="s">
        <v>140</v>
      </c>
      <c r="Q2673" s="2" t="s">
        <v>26454</v>
      </c>
      <c r="R2673" s="3" t="s">
        <v>71</v>
      </c>
      <c r="S2673" s="4">
        <v>0</v>
      </c>
      <c r="T2673" s="4">
        <v>0</v>
      </c>
      <c r="W2673" s="5" t="s">
        <v>72</v>
      </c>
      <c r="X2673" s="5" t="s">
        <v>72</v>
      </c>
      <c r="Y2673" s="4">
        <v>32</v>
      </c>
      <c r="Z2673" s="4">
        <v>2</v>
      </c>
      <c r="AA2673" s="4">
        <v>2</v>
      </c>
      <c r="AB2673" s="4">
        <v>1</v>
      </c>
      <c r="AC2673" s="4">
        <v>1</v>
      </c>
      <c r="AD2673" s="4">
        <v>27</v>
      </c>
      <c r="AE2673" s="4">
        <v>27</v>
      </c>
      <c r="AF2673" s="4">
        <v>0</v>
      </c>
      <c r="AG2673" s="4">
        <v>0</v>
      </c>
      <c r="AH2673" s="4">
        <v>26</v>
      </c>
      <c r="AI2673" s="4">
        <v>26</v>
      </c>
      <c r="AJ2673" s="4">
        <v>1</v>
      </c>
      <c r="AK2673" s="4">
        <v>1</v>
      </c>
      <c r="AL2673" s="4">
        <v>21</v>
      </c>
      <c r="AM2673" s="4">
        <v>21</v>
      </c>
      <c r="AN2673" s="4">
        <v>0</v>
      </c>
      <c r="AO2673" s="4">
        <v>0</v>
      </c>
      <c r="AP2673" s="4">
        <v>1</v>
      </c>
      <c r="AQ2673" s="4">
        <v>1</v>
      </c>
      <c r="AR2673" s="3" t="s">
        <v>65</v>
      </c>
      <c r="AS2673" s="3" t="s">
        <v>65</v>
      </c>
      <c r="AT2673" s="3" t="s">
        <v>65</v>
      </c>
      <c r="AV2673" s="6" t="str">
        <f>HYPERLINK("http://mcgill.on.worldcat.org/oclc/954436239","Catalog Record")</f>
        <v>Catalog Record</v>
      </c>
      <c r="AW2673" s="6" t="str">
        <f>HYPERLINK("http://www.worldcat.org/oclc/954436239","WorldCat Record")</f>
        <v>WorldCat Record</v>
      </c>
      <c r="AX2673" s="3" t="s">
        <v>26455</v>
      </c>
      <c r="AY2673" s="3" t="s">
        <v>26456</v>
      </c>
      <c r="AZ2673" s="3" t="s">
        <v>26457</v>
      </c>
      <c r="BA2673" s="3" t="s">
        <v>26457</v>
      </c>
      <c r="BB2673" s="3" t="s">
        <v>26458</v>
      </c>
      <c r="BC2673" s="3" t="s">
        <v>77</v>
      </c>
      <c r="BD2673" s="3" t="s">
        <v>78</v>
      </c>
      <c r="BE2673" s="3" t="s">
        <v>26459</v>
      </c>
      <c r="BF2673" s="3" t="s">
        <v>26458</v>
      </c>
      <c r="BG2673" s="3" t="s">
        <v>26460</v>
      </c>
    </row>
    <row r="2674" spans="1:59" ht="58" x14ac:dyDescent="0.35">
      <c r="A2674" s="2" t="s">
        <v>59</v>
      </c>
      <c r="B2674" s="2" t="s">
        <v>60</v>
      </c>
      <c r="C2674" s="2" t="s">
        <v>26461</v>
      </c>
      <c r="D2674" s="2" t="s">
        <v>26462</v>
      </c>
      <c r="E2674" s="2" t="s">
        <v>26463</v>
      </c>
      <c r="G2674" s="3" t="s">
        <v>65</v>
      </c>
      <c r="I2674" s="3" t="s">
        <v>65</v>
      </c>
      <c r="J2674" s="3" t="s">
        <v>65</v>
      </c>
      <c r="K2674" s="3" t="s">
        <v>66</v>
      </c>
      <c r="L2674" s="2" t="s">
        <v>26464</v>
      </c>
      <c r="M2674" s="2" t="s">
        <v>26465</v>
      </c>
      <c r="N2674" s="3" t="s">
        <v>113</v>
      </c>
      <c r="P2674" s="3" t="s">
        <v>140</v>
      </c>
      <c r="Q2674" s="2" t="s">
        <v>26466</v>
      </c>
      <c r="R2674" s="3" t="s">
        <v>71</v>
      </c>
      <c r="S2674" s="4">
        <v>0</v>
      </c>
      <c r="T2674" s="4">
        <v>0</v>
      </c>
      <c r="W2674" s="5" t="s">
        <v>72</v>
      </c>
      <c r="X2674" s="5" t="s">
        <v>72</v>
      </c>
      <c r="Y2674" s="4">
        <v>49</v>
      </c>
      <c r="Z2674" s="4">
        <v>5</v>
      </c>
      <c r="AA2674" s="4">
        <v>5</v>
      </c>
      <c r="AB2674" s="4">
        <v>1</v>
      </c>
      <c r="AC2674" s="4">
        <v>1</v>
      </c>
      <c r="AD2674" s="4">
        <v>35</v>
      </c>
      <c r="AE2674" s="4">
        <v>35</v>
      </c>
      <c r="AF2674" s="4">
        <v>0</v>
      </c>
      <c r="AG2674" s="4">
        <v>0</v>
      </c>
      <c r="AH2674" s="4">
        <v>34</v>
      </c>
      <c r="AI2674" s="4">
        <v>34</v>
      </c>
      <c r="AJ2674" s="4">
        <v>3</v>
      </c>
      <c r="AK2674" s="4">
        <v>3</v>
      </c>
      <c r="AL2674" s="4">
        <v>27</v>
      </c>
      <c r="AM2674" s="4">
        <v>27</v>
      </c>
      <c r="AN2674" s="4">
        <v>0</v>
      </c>
      <c r="AO2674" s="4">
        <v>0</v>
      </c>
      <c r="AP2674" s="4">
        <v>3</v>
      </c>
      <c r="AQ2674" s="4">
        <v>3</v>
      </c>
      <c r="AR2674" s="3" t="s">
        <v>65</v>
      </c>
      <c r="AS2674" s="3" t="s">
        <v>65</v>
      </c>
      <c r="AT2674" s="3" t="s">
        <v>65</v>
      </c>
      <c r="AV2674" s="6" t="str">
        <f>HYPERLINK("http://mcgill.on.worldcat.org/oclc/642806045","Catalog Record")</f>
        <v>Catalog Record</v>
      </c>
      <c r="AW2674" s="6" t="str">
        <f>HYPERLINK("http://www.worldcat.org/oclc/642806045","WorldCat Record")</f>
        <v>WorldCat Record</v>
      </c>
      <c r="AX2674" s="3" t="s">
        <v>26467</v>
      </c>
      <c r="AY2674" s="3" t="s">
        <v>26468</v>
      </c>
      <c r="AZ2674" s="3" t="s">
        <v>26469</v>
      </c>
      <c r="BA2674" s="3" t="s">
        <v>26469</v>
      </c>
      <c r="BB2674" s="3" t="s">
        <v>26470</v>
      </c>
      <c r="BC2674" s="3" t="s">
        <v>77</v>
      </c>
      <c r="BD2674" s="3" t="s">
        <v>78</v>
      </c>
      <c r="BE2674" s="3" t="s">
        <v>26471</v>
      </c>
      <c r="BF2674" s="3" t="s">
        <v>26470</v>
      </c>
      <c r="BG2674" s="3" t="s">
        <v>26472</v>
      </c>
    </row>
    <row r="2675" spans="1:59" ht="58" x14ac:dyDescent="0.35">
      <c r="A2675" s="2" t="s">
        <v>59</v>
      </c>
      <c r="B2675" s="2" t="s">
        <v>60</v>
      </c>
      <c r="C2675" s="2" t="s">
        <v>26473</v>
      </c>
      <c r="D2675" s="2" t="s">
        <v>26474</v>
      </c>
      <c r="E2675" s="2" t="s">
        <v>26475</v>
      </c>
      <c r="G2675" s="3" t="s">
        <v>65</v>
      </c>
      <c r="I2675" s="3" t="s">
        <v>65</v>
      </c>
      <c r="J2675" s="3" t="s">
        <v>65</v>
      </c>
      <c r="K2675" s="3" t="s">
        <v>66</v>
      </c>
      <c r="L2675" s="2" t="s">
        <v>26476</v>
      </c>
      <c r="M2675" s="2" t="s">
        <v>26477</v>
      </c>
      <c r="N2675" s="3" t="s">
        <v>1895</v>
      </c>
      <c r="P2675" s="3" t="s">
        <v>140</v>
      </c>
      <c r="Q2675" s="2" t="s">
        <v>26478</v>
      </c>
      <c r="R2675" s="3" t="s">
        <v>71</v>
      </c>
      <c r="S2675" s="4">
        <v>1</v>
      </c>
      <c r="T2675" s="4">
        <v>1</v>
      </c>
      <c r="U2675" s="5" t="s">
        <v>18123</v>
      </c>
      <c r="V2675" s="5" t="s">
        <v>18123</v>
      </c>
      <c r="W2675" s="5" t="s">
        <v>72</v>
      </c>
      <c r="X2675" s="5" t="s">
        <v>72</v>
      </c>
      <c r="Y2675" s="4">
        <v>77</v>
      </c>
      <c r="Z2675" s="4">
        <v>6</v>
      </c>
      <c r="AA2675" s="4">
        <v>6</v>
      </c>
      <c r="AB2675" s="4">
        <v>2</v>
      </c>
      <c r="AC2675" s="4">
        <v>2</v>
      </c>
      <c r="AD2675" s="4">
        <v>42</v>
      </c>
      <c r="AE2675" s="4">
        <v>42</v>
      </c>
      <c r="AF2675" s="4">
        <v>1</v>
      </c>
      <c r="AG2675" s="4">
        <v>1</v>
      </c>
      <c r="AH2675" s="4">
        <v>40</v>
      </c>
      <c r="AI2675" s="4">
        <v>40</v>
      </c>
      <c r="AJ2675" s="4">
        <v>4</v>
      </c>
      <c r="AK2675" s="4">
        <v>4</v>
      </c>
      <c r="AL2675" s="4">
        <v>30</v>
      </c>
      <c r="AM2675" s="4">
        <v>30</v>
      </c>
      <c r="AN2675" s="4">
        <v>0</v>
      </c>
      <c r="AO2675" s="4">
        <v>0</v>
      </c>
      <c r="AP2675" s="4">
        <v>4</v>
      </c>
      <c r="AQ2675" s="4">
        <v>4</v>
      </c>
      <c r="AR2675" s="3" t="s">
        <v>65</v>
      </c>
      <c r="AS2675" s="3" t="s">
        <v>65</v>
      </c>
      <c r="AT2675" s="3" t="s">
        <v>209</v>
      </c>
      <c r="AU2675" s="6" t="str">
        <f>HYPERLINK("http://catalog.hathitrust.org/Record/003313963","HathiTrust Record")</f>
        <v>HathiTrust Record</v>
      </c>
      <c r="AV2675" s="6" t="str">
        <f>HYPERLINK("http://mcgill.on.worldcat.org/oclc/39797592","Catalog Record")</f>
        <v>Catalog Record</v>
      </c>
      <c r="AW2675" s="6" t="str">
        <f>HYPERLINK("http://www.worldcat.org/oclc/39797592","WorldCat Record")</f>
        <v>WorldCat Record</v>
      </c>
      <c r="AX2675" s="3" t="s">
        <v>26479</v>
      </c>
      <c r="AY2675" s="3" t="s">
        <v>26480</v>
      </c>
      <c r="AZ2675" s="3" t="s">
        <v>26481</v>
      </c>
      <c r="BA2675" s="3" t="s">
        <v>26481</v>
      </c>
      <c r="BB2675" s="3" t="s">
        <v>26482</v>
      </c>
      <c r="BC2675" s="3" t="s">
        <v>77</v>
      </c>
      <c r="BD2675" s="3" t="s">
        <v>78</v>
      </c>
      <c r="BE2675" s="3" t="s">
        <v>26483</v>
      </c>
      <c r="BF2675" s="3" t="s">
        <v>26482</v>
      </c>
      <c r="BG2675" s="3" t="s">
        <v>26484</v>
      </c>
    </row>
    <row r="2676" spans="1:59" ht="58" x14ac:dyDescent="0.35">
      <c r="A2676" s="2" t="s">
        <v>59</v>
      </c>
      <c r="B2676" s="2" t="s">
        <v>60</v>
      </c>
      <c r="C2676" s="2" t="s">
        <v>26485</v>
      </c>
      <c r="D2676" s="2" t="s">
        <v>26486</v>
      </c>
      <c r="E2676" s="2" t="s">
        <v>26487</v>
      </c>
      <c r="G2676" s="3" t="s">
        <v>65</v>
      </c>
      <c r="I2676" s="3" t="s">
        <v>65</v>
      </c>
      <c r="J2676" s="3" t="s">
        <v>65</v>
      </c>
      <c r="K2676" s="3" t="s">
        <v>66</v>
      </c>
      <c r="L2676" s="2" t="s">
        <v>26476</v>
      </c>
      <c r="M2676" s="2" t="s">
        <v>26488</v>
      </c>
      <c r="N2676" s="3" t="s">
        <v>139</v>
      </c>
      <c r="P2676" s="3" t="s">
        <v>140</v>
      </c>
      <c r="Q2676" s="2" t="s">
        <v>26489</v>
      </c>
      <c r="R2676" s="3" t="s">
        <v>71</v>
      </c>
      <c r="S2676" s="4">
        <v>0</v>
      </c>
      <c r="T2676" s="4">
        <v>0</v>
      </c>
      <c r="W2676" s="5" t="s">
        <v>72</v>
      </c>
      <c r="X2676" s="5" t="s">
        <v>72</v>
      </c>
      <c r="Y2676" s="4">
        <v>34</v>
      </c>
      <c r="Z2676" s="4">
        <v>4</v>
      </c>
      <c r="AA2676" s="4">
        <v>4</v>
      </c>
      <c r="AB2676" s="4">
        <v>1</v>
      </c>
      <c r="AC2676" s="4">
        <v>1</v>
      </c>
      <c r="AD2676" s="4">
        <v>22</v>
      </c>
      <c r="AE2676" s="4">
        <v>22</v>
      </c>
      <c r="AF2676" s="4">
        <v>0</v>
      </c>
      <c r="AG2676" s="4">
        <v>0</v>
      </c>
      <c r="AH2676" s="4">
        <v>22</v>
      </c>
      <c r="AI2676" s="4">
        <v>22</v>
      </c>
      <c r="AJ2676" s="4">
        <v>2</v>
      </c>
      <c r="AK2676" s="4">
        <v>2</v>
      </c>
      <c r="AL2676" s="4">
        <v>15</v>
      </c>
      <c r="AM2676" s="4">
        <v>15</v>
      </c>
      <c r="AN2676" s="4">
        <v>0</v>
      </c>
      <c r="AO2676" s="4">
        <v>0</v>
      </c>
      <c r="AP2676" s="4">
        <v>2</v>
      </c>
      <c r="AQ2676" s="4">
        <v>2</v>
      </c>
      <c r="AR2676" s="3" t="s">
        <v>65</v>
      </c>
      <c r="AS2676" s="3" t="s">
        <v>65</v>
      </c>
      <c r="AT2676" s="3" t="s">
        <v>65</v>
      </c>
      <c r="AV2676" s="6" t="str">
        <f>HYPERLINK("http://mcgill.on.worldcat.org/oclc/779253179","Catalog Record")</f>
        <v>Catalog Record</v>
      </c>
      <c r="AW2676" s="6" t="str">
        <f>HYPERLINK("http://www.worldcat.org/oclc/779253179","WorldCat Record")</f>
        <v>WorldCat Record</v>
      </c>
      <c r="AX2676" s="3" t="s">
        <v>26490</v>
      </c>
      <c r="AY2676" s="3" t="s">
        <v>26491</v>
      </c>
      <c r="AZ2676" s="3" t="s">
        <v>26492</v>
      </c>
      <c r="BA2676" s="3" t="s">
        <v>26492</v>
      </c>
      <c r="BB2676" s="3" t="s">
        <v>26493</v>
      </c>
      <c r="BC2676" s="3" t="s">
        <v>77</v>
      </c>
      <c r="BD2676" s="3" t="s">
        <v>78</v>
      </c>
      <c r="BE2676" s="3" t="s">
        <v>26494</v>
      </c>
      <c r="BF2676" s="3" t="s">
        <v>26493</v>
      </c>
      <c r="BG2676" s="3" t="s">
        <v>26495</v>
      </c>
    </row>
    <row r="2677" spans="1:59" ht="72.5" x14ac:dyDescent="0.35">
      <c r="A2677" s="2" t="s">
        <v>59</v>
      </c>
      <c r="B2677" s="2" t="s">
        <v>60</v>
      </c>
      <c r="C2677" s="2" t="s">
        <v>26496</v>
      </c>
      <c r="D2677" s="2" t="s">
        <v>26497</v>
      </c>
      <c r="E2677" s="2" t="s">
        <v>26498</v>
      </c>
      <c r="G2677" s="3" t="s">
        <v>65</v>
      </c>
      <c r="I2677" s="3" t="s">
        <v>65</v>
      </c>
      <c r="J2677" s="3" t="s">
        <v>65</v>
      </c>
      <c r="K2677" s="3" t="s">
        <v>66</v>
      </c>
      <c r="M2677" s="2" t="s">
        <v>26499</v>
      </c>
      <c r="N2677" s="3" t="s">
        <v>176</v>
      </c>
      <c r="P2677" s="3" t="s">
        <v>140</v>
      </c>
      <c r="R2677" s="3" t="s">
        <v>71</v>
      </c>
      <c r="S2677" s="4">
        <v>0</v>
      </c>
      <c r="T2677" s="4">
        <v>0</v>
      </c>
      <c r="W2677" s="5" t="s">
        <v>72</v>
      </c>
      <c r="X2677" s="5" t="s">
        <v>72</v>
      </c>
      <c r="Y2677" s="4">
        <v>25</v>
      </c>
      <c r="Z2677" s="4">
        <v>1</v>
      </c>
      <c r="AA2677" s="4">
        <v>1</v>
      </c>
      <c r="AB2677" s="4">
        <v>1</v>
      </c>
      <c r="AC2677" s="4">
        <v>1</v>
      </c>
      <c r="AD2677" s="4">
        <v>17</v>
      </c>
      <c r="AE2677" s="4">
        <v>17</v>
      </c>
      <c r="AF2677" s="4">
        <v>0</v>
      </c>
      <c r="AG2677" s="4">
        <v>0</v>
      </c>
      <c r="AH2677" s="4">
        <v>16</v>
      </c>
      <c r="AI2677" s="4">
        <v>16</v>
      </c>
      <c r="AJ2677" s="4">
        <v>0</v>
      </c>
      <c r="AK2677" s="4">
        <v>0</v>
      </c>
      <c r="AL2677" s="4">
        <v>12</v>
      </c>
      <c r="AM2677" s="4">
        <v>12</v>
      </c>
      <c r="AN2677" s="4">
        <v>0</v>
      </c>
      <c r="AO2677" s="4">
        <v>0</v>
      </c>
      <c r="AP2677" s="4">
        <v>0</v>
      </c>
      <c r="AQ2677" s="4">
        <v>0</v>
      </c>
      <c r="AR2677" s="3" t="s">
        <v>65</v>
      </c>
      <c r="AS2677" s="3" t="s">
        <v>65</v>
      </c>
      <c r="AT2677" s="3" t="s">
        <v>65</v>
      </c>
      <c r="AV2677" s="6" t="str">
        <f>HYPERLINK("http://mcgill.on.worldcat.org/oclc/908024647","Catalog Record")</f>
        <v>Catalog Record</v>
      </c>
      <c r="AW2677" s="6" t="str">
        <f>HYPERLINK("http://www.worldcat.org/oclc/908024647","WorldCat Record")</f>
        <v>WorldCat Record</v>
      </c>
      <c r="AX2677" s="3" t="s">
        <v>26500</v>
      </c>
      <c r="AY2677" s="3" t="s">
        <v>26501</v>
      </c>
      <c r="AZ2677" s="3" t="s">
        <v>26502</v>
      </c>
      <c r="BA2677" s="3" t="s">
        <v>26502</v>
      </c>
      <c r="BB2677" s="3" t="s">
        <v>26503</v>
      </c>
      <c r="BC2677" s="3" t="s">
        <v>77</v>
      </c>
      <c r="BD2677" s="3" t="s">
        <v>78</v>
      </c>
      <c r="BE2677" s="3" t="s">
        <v>26504</v>
      </c>
      <c r="BF2677" s="3" t="s">
        <v>26503</v>
      </c>
      <c r="BG2677" s="3" t="s">
        <v>26505</v>
      </c>
    </row>
    <row r="2678" spans="1:59" ht="58" x14ac:dyDescent="0.35">
      <c r="A2678" s="2" t="s">
        <v>59</v>
      </c>
      <c r="B2678" s="2" t="s">
        <v>60</v>
      </c>
      <c r="C2678" s="2" t="s">
        <v>26506</v>
      </c>
      <c r="D2678" s="2" t="s">
        <v>26507</v>
      </c>
      <c r="E2678" s="2" t="s">
        <v>26508</v>
      </c>
      <c r="G2678" s="3" t="s">
        <v>65</v>
      </c>
      <c r="I2678" s="3" t="s">
        <v>65</v>
      </c>
      <c r="J2678" s="3" t="s">
        <v>65</v>
      </c>
      <c r="K2678" s="3" t="s">
        <v>66</v>
      </c>
      <c r="L2678" s="2" t="s">
        <v>26509</v>
      </c>
      <c r="M2678" s="2" t="s">
        <v>26510</v>
      </c>
      <c r="N2678" s="3" t="s">
        <v>126</v>
      </c>
      <c r="P2678" s="3" t="s">
        <v>140</v>
      </c>
      <c r="Q2678" s="2" t="s">
        <v>26511</v>
      </c>
      <c r="R2678" s="3" t="s">
        <v>71</v>
      </c>
      <c r="S2678" s="4">
        <v>0</v>
      </c>
      <c r="T2678" s="4">
        <v>0</v>
      </c>
      <c r="W2678" s="5" t="s">
        <v>72</v>
      </c>
      <c r="X2678" s="5" t="s">
        <v>72</v>
      </c>
      <c r="Y2678" s="4">
        <v>26</v>
      </c>
      <c r="Z2678" s="4">
        <v>2</v>
      </c>
      <c r="AA2678" s="4">
        <v>4</v>
      </c>
      <c r="AB2678" s="4">
        <v>1</v>
      </c>
      <c r="AC2678" s="4">
        <v>1</v>
      </c>
      <c r="AD2678" s="4">
        <v>19</v>
      </c>
      <c r="AE2678" s="4">
        <v>20</v>
      </c>
      <c r="AF2678" s="4">
        <v>0</v>
      </c>
      <c r="AG2678" s="4">
        <v>0</v>
      </c>
      <c r="AH2678" s="4">
        <v>18</v>
      </c>
      <c r="AI2678" s="4">
        <v>19</v>
      </c>
      <c r="AJ2678" s="4">
        <v>1</v>
      </c>
      <c r="AK2678" s="4">
        <v>2</v>
      </c>
      <c r="AL2678" s="4">
        <v>15</v>
      </c>
      <c r="AM2678" s="4">
        <v>16</v>
      </c>
      <c r="AN2678" s="4">
        <v>0</v>
      </c>
      <c r="AO2678" s="4">
        <v>0</v>
      </c>
      <c r="AP2678" s="4">
        <v>1</v>
      </c>
      <c r="AQ2678" s="4">
        <v>2</v>
      </c>
      <c r="AR2678" s="3" t="s">
        <v>65</v>
      </c>
      <c r="AS2678" s="3" t="s">
        <v>65</v>
      </c>
      <c r="AT2678" s="3" t="s">
        <v>65</v>
      </c>
      <c r="AV2678" s="6" t="str">
        <f>HYPERLINK("http://mcgill.on.worldcat.org/oclc/727359917","Catalog Record")</f>
        <v>Catalog Record</v>
      </c>
      <c r="AW2678" s="6" t="str">
        <f>HYPERLINK("http://www.worldcat.org/oclc/727359917","WorldCat Record")</f>
        <v>WorldCat Record</v>
      </c>
      <c r="AX2678" s="3" t="s">
        <v>26512</v>
      </c>
      <c r="AY2678" s="3" t="s">
        <v>26513</v>
      </c>
      <c r="AZ2678" s="3" t="s">
        <v>26514</v>
      </c>
      <c r="BA2678" s="3" t="s">
        <v>26514</v>
      </c>
      <c r="BB2678" s="3" t="s">
        <v>26515</v>
      </c>
      <c r="BC2678" s="3" t="s">
        <v>5567</v>
      </c>
      <c r="BD2678" s="3" t="s">
        <v>78</v>
      </c>
      <c r="BE2678" s="3" t="s">
        <v>26516</v>
      </c>
      <c r="BF2678" s="3" t="s">
        <v>26515</v>
      </c>
      <c r="BG2678" s="3" t="s">
        <v>26517</v>
      </c>
    </row>
    <row r="2679" spans="1:59" ht="58" x14ac:dyDescent="0.35">
      <c r="A2679" s="2" t="s">
        <v>59</v>
      </c>
      <c r="B2679" s="2" t="s">
        <v>60</v>
      </c>
      <c r="C2679" s="2" t="s">
        <v>26518</v>
      </c>
      <c r="D2679" s="2" t="s">
        <v>26519</v>
      </c>
      <c r="E2679" s="2" t="s">
        <v>26520</v>
      </c>
      <c r="G2679" s="3" t="s">
        <v>65</v>
      </c>
      <c r="I2679" s="3" t="s">
        <v>65</v>
      </c>
      <c r="J2679" s="3" t="s">
        <v>65</v>
      </c>
      <c r="K2679" s="3" t="s">
        <v>66</v>
      </c>
      <c r="L2679" s="2" t="s">
        <v>26521</v>
      </c>
      <c r="M2679" s="2" t="s">
        <v>26522</v>
      </c>
      <c r="N2679" s="3" t="s">
        <v>164</v>
      </c>
      <c r="O2679" s="2" t="s">
        <v>235</v>
      </c>
      <c r="P2679" s="3" t="s">
        <v>140</v>
      </c>
      <c r="Q2679" s="2" t="s">
        <v>26523</v>
      </c>
      <c r="R2679" s="3" t="s">
        <v>71</v>
      </c>
      <c r="S2679" s="4">
        <v>0</v>
      </c>
      <c r="T2679" s="4">
        <v>0</v>
      </c>
      <c r="W2679" s="5" t="s">
        <v>72</v>
      </c>
      <c r="X2679" s="5" t="s">
        <v>72</v>
      </c>
      <c r="Y2679" s="4">
        <v>38</v>
      </c>
      <c r="Z2679" s="4">
        <v>4</v>
      </c>
      <c r="AA2679" s="4">
        <v>4</v>
      </c>
      <c r="AB2679" s="4">
        <v>1</v>
      </c>
      <c r="AC2679" s="4">
        <v>1</v>
      </c>
      <c r="AD2679" s="4">
        <v>25</v>
      </c>
      <c r="AE2679" s="4">
        <v>25</v>
      </c>
      <c r="AF2679" s="4">
        <v>0</v>
      </c>
      <c r="AG2679" s="4">
        <v>0</v>
      </c>
      <c r="AH2679" s="4">
        <v>24</v>
      </c>
      <c r="AI2679" s="4">
        <v>24</v>
      </c>
      <c r="AJ2679" s="4">
        <v>2</v>
      </c>
      <c r="AK2679" s="4">
        <v>2</v>
      </c>
      <c r="AL2679" s="4">
        <v>19</v>
      </c>
      <c r="AM2679" s="4">
        <v>19</v>
      </c>
      <c r="AN2679" s="4">
        <v>0</v>
      </c>
      <c r="AO2679" s="4">
        <v>0</v>
      </c>
      <c r="AP2679" s="4">
        <v>2</v>
      </c>
      <c r="AQ2679" s="4">
        <v>2</v>
      </c>
      <c r="AR2679" s="3" t="s">
        <v>65</v>
      </c>
      <c r="AS2679" s="3" t="s">
        <v>65</v>
      </c>
      <c r="AT2679" s="3" t="s">
        <v>65</v>
      </c>
      <c r="AV2679" s="6" t="str">
        <f>HYPERLINK("http://mcgill.on.worldcat.org/oclc/902638958","Catalog Record")</f>
        <v>Catalog Record</v>
      </c>
      <c r="AW2679" s="6" t="str">
        <f>HYPERLINK("http://www.worldcat.org/oclc/902638958","WorldCat Record")</f>
        <v>WorldCat Record</v>
      </c>
      <c r="AX2679" s="3" t="s">
        <v>26524</v>
      </c>
      <c r="AY2679" s="3" t="s">
        <v>26525</v>
      </c>
      <c r="AZ2679" s="3" t="s">
        <v>26526</v>
      </c>
      <c r="BA2679" s="3" t="s">
        <v>26526</v>
      </c>
      <c r="BB2679" s="3" t="s">
        <v>26527</v>
      </c>
      <c r="BC2679" s="3" t="s">
        <v>77</v>
      </c>
      <c r="BD2679" s="3" t="s">
        <v>78</v>
      </c>
      <c r="BE2679" s="3" t="s">
        <v>26528</v>
      </c>
      <c r="BF2679" s="3" t="s">
        <v>26527</v>
      </c>
      <c r="BG2679" s="3" t="s">
        <v>26529</v>
      </c>
    </row>
    <row r="2680" spans="1:59" ht="58" x14ac:dyDescent="0.35">
      <c r="A2680" s="2" t="s">
        <v>59</v>
      </c>
      <c r="B2680" s="2" t="s">
        <v>60</v>
      </c>
      <c r="C2680" s="2" t="s">
        <v>26530</v>
      </c>
      <c r="D2680" s="2" t="s">
        <v>26531</v>
      </c>
      <c r="E2680" s="2" t="s">
        <v>26532</v>
      </c>
      <c r="G2680" s="3" t="s">
        <v>65</v>
      </c>
      <c r="I2680" s="3" t="s">
        <v>65</v>
      </c>
      <c r="J2680" s="3" t="s">
        <v>65</v>
      </c>
      <c r="K2680" s="3" t="s">
        <v>66</v>
      </c>
      <c r="L2680" s="2" t="s">
        <v>26533</v>
      </c>
      <c r="M2680" s="2" t="s">
        <v>26534</v>
      </c>
      <c r="N2680" s="3" t="s">
        <v>113</v>
      </c>
      <c r="P2680" s="3" t="s">
        <v>140</v>
      </c>
      <c r="R2680" s="3" t="s">
        <v>71</v>
      </c>
      <c r="S2680" s="4">
        <v>0</v>
      </c>
      <c r="T2680" s="4">
        <v>0</v>
      </c>
      <c r="W2680" s="5" t="s">
        <v>72</v>
      </c>
      <c r="X2680" s="5" t="s">
        <v>72</v>
      </c>
      <c r="Y2680" s="4">
        <v>43</v>
      </c>
      <c r="Z2680" s="4">
        <v>3</v>
      </c>
      <c r="AA2680" s="4">
        <v>3</v>
      </c>
      <c r="AB2680" s="4">
        <v>1</v>
      </c>
      <c r="AC2680" s="4">
        <v>1</v>
      </c>
      <c r="AD2680" s="4">
        <v>33</v>
      </c>
      <c r="AE2680" s="4">
        <v>33</v>
      </c>
      <c r="AF2680" s="4">
        <v>0</v>
      </c>
      <c r="AG2680" s="4">
        <v>0</v>
      </c>
      <c r="AH2680" s="4">
        <v>32</v>
      </c>
      <c r="AI2680" s="4">
        <v>32</v>
      </c>
      <c r="AJ2680" s="4">
        <v>1</v>
      </c>
      <c r="AK2680" s="4">
        <v>1</v>
      </c>
      <c r="AL2680" s="4">
        <v>26</v>
      </c>
      <c r="AM2680" s="4">
        <v>26</v>
      </c>
      <c r="AN2680" s="4">
        <v>0</v>
      </c>
      <c r="AO2680" s="4">
        <v>0</v>
      </c>
      <c r="AP2680" s="4">
        <v>1</v>
      </c>
      <c r="AQ2680" s="4">
        <v>1</v>
      </c>
      <c r="AR2680" s="3" t="s">
        <v>65</v>
      </c>
      <c r="AS2680" s="3" t="s">
        <v>65</v>
      </c>
      <c r="AT2680" s="3" t="s">
        <v>65</v>
      </c>
      <c r="AV2680" s="6" t="str">
        <f>HYPERLINK("http://mcgill.on.worldcat.org/oclc/607970989","Catalog Record")</f>
        <v>Catalog Record</v>
      </c>
      <c r="AW2680" s="6" t="str">
        <f>HYPERLINK("http://www.worldcat.org/oclc/607970989","WorldCat Record")</f>
        <v>WorldCat Record</v>
      </c>
      <c r="AX2680" s="3" t="s">
        <v>26535</v>
      </c>
      <c r="AY2680" s="3" t="s">
        <v>26536</v>
      </c>
      <c r="AZ2680" s="3" t="s">
        <v>26537</v>
      </c>
      <c r="BA2680" s="3" t="s">
        <v>26537</v>
      </c>
      <c r="BB2680" s="3" t="s">
        <v>26538</v>
      </c>
      <c r="BC2680" s="3" t="s">
        <v>77</v>
      </c>
      <c r="BD2680" s="3" t="s">
        <v>78</v>
      </c>
      <c r="BE2680" s="3" t="s">
        <v>26539</v>
      </c>
      <c r="BF2680" s="3" t="s">
        <v>26538</v>
      </c>
      <c r="BG2680" s="3" t="s">
        <v>26540</v>
      </c>
    </row>
    <row r="2681" spans="1:59" ht="58" x14ac:dyDescent="0.35">
      <c r="A2681" s="2" t="s">
        <v>59</v>
      </c>
      <c r="B2681" s="2" t="s">
        <v>60</v>
      </c>
      <c r="C2681" s="2" t="s">
        <v>26541</v>
      </c>
      <c r="D2681" s="2" t="s">
        <v>26542</v>
      </c>
      <c r="E2681" s="2" t="s">
        <v>26543</v>
      </c>
      <c r="G2681" s="3" t="s">
        <v>65</v>
      </c>
      <c r="I2681" s="3" t="s">
        <v>65</v>
      </c>
      <c r="J2681" s="3" t="s">
        <v>65</v>
      </c>
      <c r="K2681" s="3" t="s">
        <v>66</v>
      </c>
      <c r="L2681" s="2" t="s">
        <v>26544</v>
      </c>
      <c r="M2681" s="2" t="s">
        <v>13673</v>
      </c>
      <c r="N2681" s="3" t="s">
        <v>176</v>
      </c>
      <c r="P2681" s="3" t="s">
        <v>140</v>
      </c>
      <c r="Q2681" s="2" t="s">
        <v>26545</v>
      </c>
      <c r="R2681" s="3" t="s">
        <v>71</v>
      </c>
      <c r="S2681" s="4">
        <v>0</v>
      </c>
      <c r="T2681" s="4">
        <v>0</v>
      </c>
      <c r="W2681" s="5" t="s">
        <v>72</v>
      </c>
      <c r="X2681" s="5" t="s">
        <v>72</v>
      </c>
      <c r="Y2681" s="4">
        <v>41</v>
      </c>
      <c r="Z2681" s="4">
        <v>4</v>
      </c>
      <c r="AA2681" s="4">
        <v>4</v>
      </c>
      <c r="AB2681" s="4">
        <v>1</v>
      </c>
      <c r="AC2681" s="4">
        <v>1</v>
      </c>
      <c r="AD2681" s="4">
        <v>28</v>
      </c>
      <c r="AE2681" s="4">
        <v>29</v>
      </c>
      <c r="AF2681" s="4">
        <v>0</v>
      </c>
      <c r="AG2681" s="4">
        <v>0</v>
      </c>
      <c r="AH2681" s="4">
        <v>27</v>
      </c>
      <c r="AI2681" s="4">
        <v>28</v>
      </c>
      <c r="AJ2681" s="4">
        <v>2</v>
      </c>
      <c r="AK2681" s="4">
        <v>2</v>
      </c>
      <c r="AL2681" s="4">
        <v>22</v>
      </c>
      <c r="AM2681" s="4">
        <v>23</v>
      </c>
      <c r="AN2681" s="4">
        <v>0</v>
      </c>
      <c r="AO2681" s="4">
        <v>0</v>
      </c>
      <c r="AP2681" s="4">
        <v>2</v>
      </c>
      <c r="AQ2681" s="4">
        <v>2</v>
      </c>
      <c r="AR2681" s="3" t="s">
        <v>65</v>
      </c>
      <c r="AS2681" s="3" t="s">
        <v>65</v>
      </c>
      <c r="AT2681" s="3" t="s">
        <v>65</v>
      </c>
      <c r="AV2681" s="6" t="str">
        <f>HYPERLINK("http://mcgill.on.worldcat.org/oclc/908335868","Catalog Record")</f>
        <v>Catalog Record</v>
      </c>
      <c r="AW2681" s="6" t="str">
        <f>HYPERLINK("http://www.worldcat.org/oclc/908335868","WorldCat Record")</f>
        <v>WorldCat Record</v>
      </c>
      <c r="AX2681" s="3" t="s">
        <v>26546</v>
      </c>
      <c r="AY2681" s="3" t="s">
        <v>26547</v>
      </c>
      <c r="AZ2681" s="3" t="s">
        <v>26548</v>
      </c>
      <c r="BA2681" s="3" t="s">
        <v>26548</v>
      </c>
      <c r="BB2681" s="3" t="s">
        <v>26549</v>
      </c>
      <c r="BC2681" s="3" t="s">
        <v>77</v>
      </c>
      <c r="BD2681" s="3" t="s">
        <v>78</v>
      </c>
      <c r="BE2681" s="3" t="s">
        <v>26550</v>
      </c>
      <c r="BF2681" s="3" t="s">
        <v>26549</v>
      </c>
      <c r="BG2681" s="3" t="s">
        <v>26551</v>
      </c>
    </row>
    <row r="2682" spans="1:59" ht="58" x14ac:dyDescent="0.35">
      <c r="A2682" s="2" t="s">
        <v>59</v>
      </c>
      <c r="B2682" s="2" t="s">
        <v>60</v>
      </c>
      <c r="C2682" s="2" t="s">
        <v>26552</v>
      </c>
      <c r="D2682" s="2" t="s">
        <v>26553</v>
      </c>
      <c r="E2682" s="2" t="s">
        <v>26554</v>
      </c>
      <c r="G2682" s="3" t="s">
        <v>65</v>
      </c>
      <c r="I2682" s="3" t="s">
        <v>65</v>
      </c>
      <c r="J2682" s="3" t="s">
        <v>65</v>
      </c>
      <c r="K2682" s="3" t="s">
        <v>66</v>
      </c>
      <c r="L2682" s="2" t="s">
        <v>26555</v>
      </c>
      <c r="M2682" s="2" t="s">
        <v>26556</v>
      </c>
      <c r="N2682" s="3" t="s">
        <v>152</v>
      </c>
      <c r="P2682" s="3" t="s">
        <v>69</v>
      </c>
      <c r="R2682" s="3" t="s">
        <v>71</v>
      </c>
      <c r="S2682" s="4">
        <v>1</v>
      </c>
      <c r="T2682" s="4">
        <v>1</v>
      </c>
      <c r="U2682" s="5" t="s">
        <v>882</v>
      </c>
      <c r="V2682" s="5" t="s">
        <v>882</v>
      </c>
      <c r="W2682" s="5" t="s">
        <v>72</v>
      </c>
      <c r="X2682" s="5" t="s">
        <v>72</v>
      </c>
      <c r="Y2682" s="4">
        <v>38</v>
      </c>
      <c r="Z2682" s="4">
        <v>3</v>
      </c>
      <c r="AA2682" s="4">
        <v>10</v>
      </c>
      <c r="AB2682" s="4">
        <v>1</v>
      </c>
      <c r="AC2682" s="4">
        <v>1</v>
      </c>
      <c r="AD2682" s="4">
        <v>12</v>
      </c>
      <c r="AE2682" s="4">
        <v>40</v>
      </c>
      <c r="AF2682" s="4">
        <v>0</v>
      </c>
      <c r="AG2682" s="4">
        <v>0</v>
      </c>
      <c r="AH2682" s="4">
        <v>11</v>
      </c>
      <c r="AI2682" s="4">
        <v>39</v>
      </c>
      <c r="AJ2682" s="4">
        <v>1</v>
      </c>
      <c r="AK2682" s="4">
        <v>5</v>
      </c>
      <c r="AL2682" s="4">
        <v>7</v>
      </c>
      <c r="AM2682" s="4">
        <v>26</v>
      </c>
      <c r="AN2682" s="4">
        <v>0</v>
      </c>
      <c r="AO2682" s="4">
        <v>0</v>
      </c>
      <c r="AP2682" s="4">
        <v>1</v>
      </c>
      <c r="AQ2682" s="4">
        <v>5</v>
      </c>
      <c r="AR2682" s="3" t="s">
        <v>65</v>
      </c>
      <c r="AS2682" s="3" t="s">
        <v>65</v>
      </c>
      <c r="AT2682" s="3" t="s">
        <v>65</v>
      </c>
      <c r="AV2682" s="6" t="str">
        <f>HYPERLINK("http://mcgill.on.worldcat.org/oclc/788236109","Catalog Record")</f>
        <v>Catalog Record</v>
      </c>
      <c r="AW2682" s="6" t="str">
        <f>HYPERLINK("http://www.worldcat.org/oclc/788236109","WorldCat Record")</f>
        <v>WorldCat Record</v>
      </c>
      <c r="AX2682" s="3" t="s">
        <v>26557</v>
      </c>
      <c r="AY2682" s="3" t="s">
        <v>26558</v>
      </c>
      <c r="AZ2682" s="3" t="s">
        <v>26559</v>
      </c>
      <c r="BA2682" s="3" t="s">
        <v>26559</v>
      </c>
      <c r="BB2682" s="3" t="s">
        <v>26560</v>
      </c>
      <c r="BC2682" s="3" t="s">
        <v>77</v>
      </c>
      <c r="BD2682" s="3" t="s">
        <v>78</v>
      </c>
      <c r="BE2682" s="3" t="s">
        <v>26561</v>
      </c>
      <c r="BF2682" s="3" t="s">
        <v>26560</v>
      </c>
      <c r="BG2682" s="3" t="s">
        <v>26562</v>
      </c>
    </row>
    <row r="2683" spans="1:59" ht="58" x14ac:dyDescent="0.35">
      <c r="A2683" s="2" t="s">
        <v>59</v>
      </c>
      <c r="B2683" s="2" t="s">
        <v>60</v>
      </c>
      <c r="C2683" s="2" t="s">
        <v>26563</v>
      </c>
      <c r="D2683" s="2" t="s">
        <v>26564</v>
      </c>
      <c r="E2683" s="2" t="s">
        <v>26565</v>
      </c>
      <c r="G2683" s="3" t="s">
        <v>65</v>
      </c>
      <c r="I2683" s="3" t="s">
        <v>65</v>
      </c>
      <c r="J2683" s="3" t="s">
        <v>65</v>
      </c>
      <c r="K2683" s="3" t="s">
        <v>66</v>
      </c>
      <c r="L2683" s="2" t="s">
        <v>26555</v>
      </c>
      <c r="M2683" s="2" t="s">
        <v>24433</v>
      </c>
      <c r="N2683" s="3" t="s">
        <v>552</v>
      </c>
      <c r="O2683" s="2" t="s">
        <v>6616</v>
      </c>
      <c r="P2683" s="3" t="s">
        <v>140</v>
      </c>
      <c r="Q2683" s="2" t="s">
        <v>6617</v>
      </c>
      <c r="R2683" s="3" t="s">
        <v>71</v>
      </c>
      <c r="S2683" s="4">
        <v>9</v>
      </c>
      <c r="T2683" s="4">
        <v>9</v>
      </c>
      <c r="U2683" s="5" t="s">
        <v>3793</v>
      </c>
      <c r="V2683" s="5" t="s">
        <v>3793</v>
      </c>
      <c r="W2683" s="5" t="s">
        <v>72</v>
      </c>
      <c r="X2683" s="5" t="s">
        <v>72</v>
      </c>
      <c r="Y2683" s="4">
        <v>74</v>
      </c>
      <c r="Z2683" s="4">
        <v>4</v>
      </c>
      <c r="AA2683" s="4">
        <v>4</v>
      </c>
      <c r="AB2683" s="4">
        <v>1</v>
      </c>
      <c r="AC2683" s="4">
        <v>1</v>
      </c>
      <c r="AD2683" s="4">
        <v>28</v>
      </c>
      <c r="AE2683" s="4">
        <v>29</v>
      </c>
      <c r="AF2683" s="4">
        <v>0</v>
      </c>
      <c r="AG2683" s="4">
        <v>0</v>
      </c>
      <c r="AH2683" s="4">
        <v>26</v>
      </c>
      <c r="AI2683" s="4">
        <v>27</v>
      </c>
      <c r="AJ2683" s="4">
        <v>2</v>
      </c>
      <c r="AK2683" s="4">
        <v>2</v>
      </c>
      <c r="AL2683" s="4">
        <v>22</v>
      </c>
      <c r="AM2683" s="4">
        <v>23</v>
      </c>
      <c r="AN2683" s="4">
        <v>0</v>
      </c>
      <c r="AO2683" s="4">
        <v>0</v>
      </c>
      <c r="AP2683" s="4">
        <v>2</v>
      </c>
      <c r="AQ2683" s="4">
        <v>2</v>
      </c>
      <c r="AR2683" s="3" t="s">
        <v>65</v>
      </c>
      <c r="AS2683" s="3" t="s">
        <v>65</v>
      </c>
      <c r="AT2683" s="3" t="s">
        <v>209</v>
      </c>
      <c r="AU2683" s="6" t="str">
        <f>HYPERLINK("http://catalog.hathitrust.org/Record/003962239","HathiTrust Record")</f>
        <v>HathiTrust Record</v>
      </c>
      <c r="AV2683" s="6" t="str">
        <f>HYPERLINK("http://mcgill.on.worldcat.org/oclc/37935963","Catalog Record")</f>
        <v>Catalog Record</v>
      </c>
      <c r="AW2683" s="6" t="str">
        <f>HYPERLINK("http://www.worldcat.org/oclc/37935963","WorldCat Record")</f>
        <v>WorldCat Record</v>
      </c>
      <c r="AX2683" s="3" t="s">
        <v>26566</v>
      </c>
      <c r="AY2683" s="3" t="s">
        <v>26567</v>
      </c>
      <c r="AZ2683" s="3" t="s">
        <v>26568</v>
      </c>
      <c r="BA2683" s="3" t="s">
        <v>26568</v>
      </c>
      <c r="BB2683" s="3" t="s">
        <v>26569</v>
      </c>
      <c r="BC2683" s="3" t="s">
        <v>77</v>
      </c>
      <c r="BD2683" s="3" t="s">
        <v>78</v>
      </c>
      <c r="BE2683" s="3" t="s">
        <v>26570</v>
      </c>
      <c r="BF2683" s="3" t="s">
        <v>26569</v>
      </c>
      <c r="BG2683" s="3" t="s">
        <v>26571</v>
      </c>
    </row>
    <row r="2684" spans="1:59" ht="72.5" x14ac:dyDescent="0.35">
      <c r="A2684" s="2" t="s">
        <v>59</v>
      </c>
      <c r="B2684" s="2" t="s">
        <v>60</v>
      </c>
      <c r="C2684" s="2" t="s">
        <v>26572</v>
      </c>
      <c r="D2684" s="2" t="s">
        <v>26573</v>
      </c>
      <c r="E2684" s="2" t="s">
        <v>26574</v>
      </c>
      <c r="G2684" s="3" t="s">
        <v>65</v>
      </c>
      <c r="I2684" s="3" t="s">
        <v>65</v>
      </c>
      <c r="J2684" s="3" t="s">
        <v>65</v>
      </c>
      <c r="K2684" s="3" t="s">
        <v>66</v>
      </c>
      <c r="L2684" s="2" t="s">
        <v>26575</v>
      </c>
      <c r="M2684" s="2" t="s">
        <v>26576</v>
      </c>
      <c r="N2684" s="3" t="s">
        <v>86</v>
      </c>
      <c r="P2684" s="3" t="s">
        <v>69</v>
      </c>
      <c r="Q2684" s="2" t="s">
        <v>25392</v>
      </c>
      <c r="R2684" s="3" t="s">
        <v>71</v>
      </c>
      <c r="S2684" s="4">
        <v>1</v>
      </c>
      <c r="T2684" s="4">
        <v>1</v>
      </c>
      <c r="U2684" s="5" t="s">
        <v>26577</v>
      </c>
      <c r="V2684" s="5" t="s">
        <v>26577</v>
      </c>
      <c r="W2684" s="5" t="s">
        <v>72</v>
      </c>
      <c r="X2684" s="5" t="s">
        <v>72</v>
      </c>
      <c r="Y2684" s="4">
        <v>124</v>
      </c>
      <c r="Z2684" s="4">
        <v>5</v>
      </c>
      <c r="AA2684" s="4">
        <v>5</v>
      </c>
      <c r="AB2684" s="4">
        <v>1</v>
      </c>
      <c r="AC2684" s="4">
        <v>1</v>
      </c>
      <c r="AD2684" s="4">
        <v>25</v>
      </c>
      <c r="AE2684" s="4">
        <v>25</v>
      </c>
      <c r="AF2684" s="4">
        <v>0</v>
      </c>
      <c r="AG2684" s="4">
        <v>0</v>
      </c>
      <c r="AH2684" s="4">
        <v>24</v>
      </c>
      <c r="AI2684" s="4">
        <v>24</v>
      </c>
      <c r="AJ2684" s="4">
        <v>2</v>
      </c>
      <c r="AK2684" s="4">
        <v>2</v>
      </c>
      <c r="AL2684" s="4">
        <v>16</v>
      </c>
      <c r="AM2684" s="4">
        <v>16</v>
      </c>
      <c r="AN2684" s="4">
        <v>0</v>
      </c>
      <c r="AO2684" s="4">
        <v>0</v>
      </c>
      <c r="AP2684" s="4">
        <v>2</v>
      </c>
      <c r="AQ2684" s="4">
        <v>2</v>
      </c>
      <c r="AR2684" s="3" t="s">
        <v>65</v>
      </c>
      <c r="AS2684" s="3" t="s">
        <v>65</v>
      </c>
      <c r="AT2684" s="3" t="s">
        <v>65</v>
      </c>
      <c r="AV2684" s="6" t="str">
        <f>HYPERLINK("http://mcgill.on.worldcat.org/oclc/991367928","Catalog Record")</f>
        <v>Catalog Record</v>
      </c>
      <c r="AW2684" s="6" t="str">
        <f>HYPERLINK("http://www.worldcat.org/oclc/991367928","WorldCat Record")</f>
        <v>WorldCat Record</v>
      </c>
      <c r="AX2684" s="3" t="s">
        <v>26578</v>
      </c>
      <c r="AY2684" s="3" t="s">
        <v>26579</v>
      </c>
      <c r="AZ2684" s="3" t="s">
        <v>26580</v>
      </c>
      <c r="BA2684" s="3" t="s">
        <v>26580</v>
      </c>
      <c r="BB2684" s="3" t="s">
        <v>26581</v>
      </c>
      <c r="BC2684" s="3" t="s">
        <v>77</v>
      </c>
      <c r="BD2684" s="3" t="s">
        <v>78</v>
      </c>
      <c r="BE2684" s="3" t="s">
        <v>26582</v>
      </c>
      <c r="BF2684" s="3" t="s">
        <v>26581</v>
      </c>
      <c r="BG2684" s="3" t="s">
        <v>26583</v>
      </c>
    </row>
    <row r="2685" spans="1:59" ht="72.5" x14ac:dyDescent="0.35">
      <c r="A2685" s="2" t="s">
        <v>59</v>
      </c>
      <c r="B2685" s="2" t="s">
        <v>60</v>
      </c>
      <c r="C2685" s="2" t="s">
        <v>26584</v>
      </c>
      <c r="D2685" s="2" t="s">
        <v>26585</v>
      </c>
      <c r="E2685" s="2" t="s">
        <v>26586</v>
      </c>
      <c r="G2685" s="3" t="s">
        <v>65</v>
      </c>
      <c r="I2685" s="3" t="s">
        <v>65</v>
      </c>
      <c r="J2685" s="3" t="s">
        <v>65</v>
      </c>
      <c r="K2685" s="3" t="s">
        <v>66</v>
      </c>
      <c r="L2685" s="2" t="s">
        <v>26555</v>
      </c>
      <c r="M2685" s="2" t="s">
        <v>26587</v>
      </c>
      <c r="N2685" s="3" t="s">
        <v>4688</v>
      </c>
      <c r="P2685" s="3" t="s">
        <v>140</v>
      </c>
      <c r="Q2685" s="2" t="s">
        <v>26588</v>
      </c>
      <c r="R2685" s="3" t="s">
        <v>71</v>
      </c>
      <c r="S2685" s="4">
        <v>2</v>
      </c>
      <c r="T2685" s="4">
        <v>2</v>
      </c>
      <c r="U2685" s="5" t="s">
        <v>26577</v>
      </c>
      <c r="V2685" s="5" t="s">
        <v>26577</v>
      </c>
      <c r="W2685" s="5" t="s">
        <v>72</v>
      </c>
      <c r="X2685" s="5" t="s">
        <v>72</v>
      </c>
      <c r="Y2685" s="4">
        <v>62</v>
      </c>
      <c r="Z2685" s="4">
        <v>8</v>
      </c>
      <c r="AA2685" s="4">
        <v>8</v>
      </c>
      <c r="AB2685" s="4">
        <v>2</v>
      </c>
      <c r="AC2685" s="4">
        <v>2</v>
      </c>
      <c r="AD2685" s="4">
        <v>39</v>
      </c>
      <c r="AE2685" s="4">
        <v>39</v>
      </c>
      <c r="AF2685" s="4">
        <v>0</v>
      </c>
      <c r="AG2685" s="4">
        <v>0</v>
      </c>
      <c r="AH2685" s="4">
        <v>37</v>
      </c>
      <c r="AI2685" s="4">
        <v>37</v>
      </c>
      <c r="AJ2685" s="4">
        <v>5</v>
      </c>
      <c r="AK2685" s="4">
        <v>5</v>
      </c>
      <c r="AL2685" s="4">
        <v>26</v>
      </c>
      <c r="AM2685" s="4">
        <v>26</v>
      </c>
      <c r="AN2685" s="4">
        <v>0</v>
      </c>
      <c r="AO2685" s="4">
        <v>0</v>
      </c>
      <c r="AP2685" s="4">
        <v>5</v>
      </c>
      <c r="AQ2685" s="4">
        <v>5</v>
      </c>
      <c r="AR2685" s="3" t="s">
        <v>65</v>
      </c>
      <c r="AS2685" s="3" t="s">
        <v>65</v>
      </c>
      <c r="AT2685" s="3" t="s">
        <v>65</v>
      </c>
      <c r="AV2685" s="6" t="str">
        <f>HYPERLINK("http://mcgill.on.worldcat.org/oclc/13870483","Catalog Record")</f>
        <v>Catalog Record</v>
      </c>
      <c r="AW2685" s="6" t="str">
        <f>HYPERLINK("http://www.worldcat.org/oclc/13870483","WorldCat Record")</f>
        <v>WorldCat Record</v>
      </c>
      <c r="AX2685" s="3" t="s">
        <v>26589</v>
      </c>
      <c r="AY2685" s="3" t="s">
        <v>26590</v>
      </c>
      <c r="AZ2685" s="3" t="s">
        <v>26591</v>
      </c>
      <c r="BA2685" s="3" t="s">
        <v>26591</v>
      </c>
      <c r="BB2685" s="3" t="s">
        <v>26592</v>
      </c>
      <c r="BC2685" s="3" t="s">
        <v>77</v>
      </c>
      <c r="BD2685" s="3" t="s">
        <v>78</v>
      </c>
      <c r="BE2685" s="3" t="s">
        <v>26593</v>
      </c>
      <c r="BF2685" s="3" t="s">
        <v>26592</v>
      </c>
      <c r="BG2685" s="3" t="s">
        <v>26594</v>
      </c>
    </row>
    <row r="2686" spans="1:59" ht="58" x14ac:dyDescent="0.35">
      <c r="A2686" s="2" t="s">
        <v>59</v>
      </c>
      <c r="B2686" s="2" t="s">
        <v>60</v>
      </c>
      <c r="C2686" s="2" t="s">
        <v>26595</v>
      </c>
      <c r="D2686" s="2" t="s">
        <v>26596</v>
      </c>
      <c r="E2686" s="2" t="s">
        <v>26597</v>
      </c>
      <c r="G2686" s="3" t="s">
        <v>65</v>
      </c>
      <c r="I2686" s="3" t="s">
        <v>65</v>
      </c>
      <c r="J2686" s="3" t="s">
        <v>65</v>
      </c>
      <c r="K2686" s="3" t="s">
        <v>66</v>
      </c>
      <c r="L2686" s="2" t="s">
        <v>26555</v>
      </c>
      <c r="M2686" s="2" t="s">
        <v>26598</v>
      </c>
      <c r="N2686" s="3" t="s">
        <v>2979</v>
      </c>
      <c r="O2686" s="2" t="s">
        <v>21374</v>
      </c>
      <c r="P2686" s="3" t="s">
        <v>140</v>
      </c>
      <c r="Q2686" s="2" t="s">
        <v>26599</v>
      </c>
      <c r="R2686" s="3" t="s">
        <v>71</v>
      </c>
      <c r="S2686" s="4">
        <v>7</v>
      </c>
      <c r="T2686" s="4">
        <v>7</v>
      </c>
      <c r="U2686" s="5" t="s">
        <v>930</v>
      </c>
      <c r="V2686" s="5" t="s">
        <v>930</v>
      </c>
      <c r="W2686" s="5" t="s">
        <v>72</v>
      </c>
      <c r="X2686" s="5" t="s">
        <v>72</v>
      </c>
      <c r="Y2686" s="4">
        <v>47</v>
      </c>
      <c r="Z2686" s="4">
        <v>2</v>
      </c>
      <c r="AA2686" s="4">
        <v>24</v>
      </c>
      <c r="AB2686" s="4">
        <v>1</v>
      </c>
      <c r="AC2686" s="4">
        <v>5</v>
      </c>
      <c r="AD2686" s="4">
        <v>28</v>
      </c>
      <c r="AE2686" s="4">
        <v>90</v>
      </c>
      <c r="AF2686" s="4">
        <v>0</v>
      </c>
      <c r="AG2686" s="4">
        <v>3</v>
      </c>
      <c r="AH2686" s="4">
        <v>27</v>
      </c>
      <c r="AI2686" s="4">
        <v>80</v>
      </c>
      <c r="AJ2686" s="4">
        <v>0</v>
      </c>
      <c r="AK2686" s="4">
        <v>14</v>
      </c>
      <c r="AL2686" s="4">
        <v>17</v>
      </c>
      <c r="AM2686" s="4">
        <v>48</v>
      </c>
      <c r="AN2686" s="4">
        <v>0</v>
      </c>
      <c r="AO2686" s="4">
        <v>0</v>
      </c>
      <c r="AP2686" s="4">
        <v>1</v>
      </c>
      <c r="AQ2686" s="4">
        <v>14</v>
      </c>
      <c r="AR2686" s="3" t="s">
        <v>65</v>
      </c>
      <c r="AS2686" s="3" t="s">
        <v>65</v>
      </c>
      <c r="AT2686" s="3" t="s">
        <v>209</v>
      </c>
      <c r="AU2686" s="6" t="str">
        <f>HYPERLINK("http://catalog.hathitrust.org/Record/001219401","HathiTrust Record")</f>
        <v>HathiTrust Record</v>
      </c>
      <c r="AV2686" s="6" t="str">
        <f>HYPERLINK("http://mcgill.on.worldcat.org/oclc/2234731","Catalog Record")</f>
        <v>Catalog Record</v>
      </c>
      <c r="AW2686" s="6" t="str">
        <f>HYPERLINK("http://www.worldcat.org/oclc/2234731","WorldCat Record")</f>
        <v>WorldCat Record</v>
      </c>
      <c r="AX2686" s="3" t="s">
        <v>26600</v>
      </c>
      <c r="AY2686" s="3" t="s">
        <v>26601</v>
      </c>
      <c r="AZ2686" s="3" t="s">
        <v>26602</v>
      </c>
      <c r="BA2686" s="3" t="s">
        <v>26602</v>
      </c>
      <c r="BB2686" s="3" t="s">
        <v>26603</v>
      </c>
      <c r="BC2686" s="3" t="s">
        <v>77</v>
      </c>
      <c r="BD2686" s="3" t="s">
        <v>78</v>
      </c>
      <c r="BF2686" s="3" t="s">
        <v>26603</v>
      </c>
      <c r="BG2686" s="3" t="s">
        <v>26604</v>
      </c>
    </row>
    <row r="2687" spans="1:59" ht="58" x14ac:dyDescent="0.35">
      <c r="A2687" s="2" t="s">
        <v>59</v>
      </c>
      <c r="B2687" s="2" t="s">
        <v>60</v>
      </c>
      <c r="C2687" s="2" t="s">
        <v>26605</v>
      </c>
      <c r="D2687" s="2" t="s">
        <v>26606</v>
      </c>
      <c r="E2687" s="2" t="s">
        <v>26607</v>
      </c>
      <c r="G2687" s="3" t="s">
        <v>65</v>
      </c>
      <c r="I2687" s="3" t="s">
        <v>65</v>
      </c>
      <c r="J2687" s="3" t="s">
        <v>209</v>
      </c>
      <c r="K2687" s="3" t="s">
        <v>66</v>
      </c>
      <c r="L2687" s="2" t="s">
        <v>26555</v>
      </c>
      <c r="M2687" s="2" t="s">
        <v>26608</v>
      </c>
      <c r="N2687" s="3" t="s">
        <v>2460</v>
      </c>
      <c r="P2687" s="3" t="s">
        <v>69</v>
      </c>
      <c r="R2687" s="3" t="s">
        <v>71</v>
      </c>
      <c r="S2687" s="4">
        <v>14</v>
      </c>
      <c r="T2687" s="4">
        <v>14</v>
      </c>
      <c r="U2687" s="5" t="s">
        <v>26609</v>
      </c>
      <c r="V2687" s="5" t="s">
        <v>26609</v>
      </c>
      <c r="W2687" s="5" t="s">
        <v>72</v>
      </c>
      <c r="X2687" s="5" t="s">
        <v>72</v>
      </c>
      <c r="Y2687" s="4">
        <v>89</v>
      </c>
      <c r="Z2687" s="4">
        <v>5</v>
      </c>
      <c r="AA2687" s="4">
        <v>25</v>
      </c>
      <c r="AB2687" s="4">
        <v>1</v>
      </c>
      <c r="AC2687" s="4">
        <v>5</v>
      </c>
      <c r="AD2687" s="4">
        <v>46</v>
      </c>
      <c r="AE2687" s="4">
        <v>102</v>
      </c>
      <c r="AF2687" s="4">
        <v>0</v>
      </c>
      <c r="AG2687" s="4">
        <v>1</v>
      </c>
      <c r="AH2687" s="4">
        <v>43</v>
      </c>
      <c r="AI2687" s="4">
        <v>89</v>
      </c>
      <c r="AJ2687" s="4">
        <v>4</v>
      </c>
      <c r="AK2687" s="4">
        <v>13</v>
      </c>
      <c r="AL2687" s="4">
        <v>30</v>
      </c>
      <c r="AM2687" s="4">
        <v>54</v>
      </c>
      <c r="AN2687" s="4">
        <v>0</v>
      </c>
      <c r="AO2687" s="4">
        <v>0</v>
      </c>
      <c r="AP2687" s="4">
        <v>4</v>
      </c>
      <c r="AQ2687" s="4">
        <v>14</v>
      </c>
      <c r="AR2687" s="3" t="s">
        <v>65</v>
      </c>
      <c r="AS2687" s="3" t="s">
        <v>65</v>
      </c>
      <c r="AT2687" s="3" t="s">
        <v>209</v>
      </c>
      <c r="AU2687" s="6" t="str">
        <f>HYPERLINK("http://catalog.hathitrust.org/Record/006211106","HathiTrust Record")</f>
        <v>HathiTrust Record</v>
      </c>
      <c r="AV2687" s="6" t="str">
        <f>HYPERLINK("http://mcgill.on.worldcat.org/oclc/17980531","Catalog Record")</f>
        <v>Catalog Record</v>
      </c>
      <c r="AW2687" s="6" t="str">
        <f>HYPERLINK("http://www.worldcat.org/oclc/17980531","WorldCat Record")</f>
        <v>WorldCat Record</v>
      </c>
      <c r="AX2687" s="3" t="s">
        <v>26610</v>
      </c>
      <c r="AY2687" s="3" t="s">
        <v>26611</v>
      </c>
      <c r="AZ2687" s="3" t="s">
        <v>26612</v>
      </c>
      <c r="BA2687" s="3" t="s">
        <v>26612</v>
      </c>
      <c r="BB2687" s="3" t="s">
        <v>26613</v>
      </c>
      <c r="BC2687" s="3" t="s">
        <v>77</v>
      </c>
      <c r="BD2687" s="3" t="s">
        <v>78</v>
      </c>
      <c r="BE2687" s="3" t="s">
        <v>26614</v>
      </c>
      <c r="BF2687" s="3" t="s">
        <v>26613</v>
      </c>
      <c r="BG2687" s="3" t="s">
        <v>26615</v>
      </c>
    </row>
    <row r="2688" spans="1:59" ht="58" x14ac:dyDescent="0.35">
      <c r="A2688" s="2" t="s">
        <v>59</v>
      </c>
      <c r="B2688" s="2" t="s">
        <v>60</v>
      </c>
      <c r="C2688" s="2" t="s">
        <v>26616</v>
      </c>
      <c r="D2688" s="2" t="s">
        <v>26617</v>
      </c>
      <c r="E2688" s="2" t="s">
        <v>26618</v>
      </c>
      <c r="G2688" s="3" t="s">
        <v>65</v>
      </c>
      <c r="I2688" s="3" t="s">
        <v>65</v>
      </c>
      <c r="J2688" s="3" t="s">
        <v>65</v>
      </c>
      <c r="K2688" s="3" t="s">
        <v>66</v>
      </c>
      <c r="M2688" s="2" t="s">
        <v>26619</v>
      </c>
      <c r="N2688" s="3" t="s">
        <v>86</v>
      </c>
      <c r="P2688" s="3" t="s">
        <v>616</v>
      </c>
      <c r="Q2688" s="2" t="s">
        <v>26620</v>
      </c>
      <c r="R2688" s="3" t="s">
        <v>71</v>
      </c>
      <c r="S2688" s="4">
        <v>0</v>
      </c>
      <c r="T2688" s="4">
        <v>0</v>
      </c>
      <c r="W2688" s="5" t="s">
        <v>72</v>
      </c>
      <c r="X2688" s="5" t="s">
        <v>72</v>
      </c>
      <c r="Y2688" s="4">
        <v>34</v>
      </c>
      <c r="Z2688" s="4">
        <v>3</v>
      </c>
      <c r="AA2688" s="4">
        <v>3</v>
      </c>
      <c r="AB2688" s="4">
        <v>1</v>
      </c>
      <c r="AC2688" s="4">
        <v>1</v>
      </c>
      <c r="AD2688" s="4">
        <v>25</v>
      </c>
      <c r="AE2688" s="4">
        <v>25</v>
      </c>
      <c r="AF2688" s="4">
        <v>0</v>
      </c>
      <c r="AG2688" s="4">
        <v>0</v>
      </c>
      <c r="AH2688" s="4">
        <v>23</v>
      </c>
      <c r="AI2688" s="4">
        <v>23</v>
      </c>
      <c r="AJ2688" s="4">
        <v>2</v>
      </c>
      <c r="AK2688" s="4">
        <v>2</v>
      </c>
      <c r="AL2688" s="4">
        <v>21</v>
      </c>
      <c r="AM2688" s="4">
        <v>21</v>
      </c>
      <c r="AN2688" s="4">
        <v>0</v>
      </c>
      <c r="AO2688" s="4">
        <v>0</v>
      </c>
      <c r="AP2688" s="4">
        <v>2</v>
      </c>
      <c r="AQ2688" s="4">
        <v>2</v>
      </c>
      <c r="AR2688" s="3" t="s">
        <v>65</v>
      </c>
      <c r="AS2688" s="3" t="s">
        <v>65</v>
      </c>
      <c r="AT2688" s="3" t="s">
        <v>65</v>
      </c>
      <c r="AV2688" s="6" t="str">
        <f>HYPERLINK("http://mcgill.on.worldcat.org/oclc/1052116138","Catalog Record")</f>
        <v>Catalog Record</v>
      </c>
      <c r="AW2688" s="6" t="str">
        <f>HYPERLINK("http://www.worldcat.org/oclc/1052116138","WorldCat Record")</f>
        <v>WorldCat Record</v>
      </c>
      <c r="AX2688" s="3" t="s">
        <v>26621</v>
      </c>
      <c r="AY2688" s="3" t="s">
        <v>26622</v>
      </c>
      <c r="AZ2688" s="3" t="s">
        <v>26623</v>
      </c>
      <c r="BA2688" s="3" t="s">
        <v>26623</v>
      </c>
      <c r="BB2688" s="3" t="s">
        <v>26624</v>
      </c>
      <c r="BC2688" s="3" t="s">
        <v>77</v>
      </c>
      <c r="BD2688" s="3" t="s">
        <v>78</v>
      </c>
      <c r="BE2688" s="3" t="s">
        <v>26625</v>
      </c>
      <c r="BF2688" s="3" t="s">
        <v>26624</v>
      </c>
      <c r="BG2688" s="3" t="s">
        <v>26626</v>
      </c>
    </row>
    <row r="2689" spans="1:59" ht="58" x14ac:dyDescent="0.35">
      <c r="A2689" s="2" t="s">
        <v>59</v>
      </c>
      <c r="B2689" s="2" t="s">
        <v>60</v>
      </c>
      <c r="C2689" s="2" t="s">
        <v>26627</v>
      </c>
      <c r="D2689" s="2" t="s">
        <v>26628</v>
      </c>
      <c r="E2689" s="2" t="s">
        <v>26629</v>
      </c>
      <c r="G2689" s="3" t="s">
        <v>65</v>
      </c>
      <c r="I2689" s="3" t="s">
        <v>65</v>
      </c>
      <c r="J2689" s="3" t="s">
        <v>65</v>
      </c>
      <c r="K2689" s="3" t="s">
        <v>66</v>
      </c>
      <c r="L2689" s="2" t="s">
        <v>26630</v>
      </c>
      <c r="M2689" s="2" t="s">
        <v>26631</v>
      </c>
      <c r="N2689" s="3" t="s">
        <v>3994</v>
      </c>
      <c r="P2689" s="3" t="s">
        <v>140</v>
      </c>
      <c r="Q2689" s="2" t="s">
        <v>26632</v>
      </c>
      <c r="R2689" s="3" t="s">
        <v>71</v>
      </c>
      <c r="S2689" s="4">
        <v>5</v>
      </c>
      <c r="T2689" s="4">
        <v>5</v>
      </c>
      <c r="U2689" s="5" t="s">
        <v>3793</v>
      </c>
      <c r="V2689" s="5" t="s">
        <v>3793</v>
      </c>
      <c r="W2689" s="5" t="s">
        <v>72</v>
      </c>
      <c r="X2689" s="5" t="s">
        <v>72</v>
      </c>
      <c r="Y2689" s="4">
        <v>89</v>
      </c>
      <c r="Z2689" s="4">
        <v>13</v>
      </c>
      <c r="AA2689" s="4">
        <v>13</v>
      </c>
      <c r="AB2689" s="4">
        <v>1</v>
      </c>
      <c r="AC2689" s="4">
        <v>1</v>
      </c>
      <c r="AD2689" s="4">
        <v>43</v>
      </c>
      <c r="AE2689" s="4">
        <v>52</v>
      </c>
      <c r="AF2689" s="4">
        <v>0</v>
      </c>
      <c r="AG2689" s="4">
        <v>0</v>
      </c>
      <c r="AH2689" s="4">
        <v>39</v>
      </c>
      <c r="AI2689" s="4">
        <v>48</v>
      </c>
      <c r="AJ2689" s="4">
        <v>7</v>
      </c>
      <c r="AK2689" s="4">
        <v>7</v>
      </c>
      <c r="AL2689" s="4">
        <v>26</v>
      </c>
      <c r="AM2689" s="4">
        <v>31</v>
      </c>
      <c r="AN2689" s="4">
        <v>0</v>
      </c>
      <c r="AO2689" s="4">
        <v>4</v>
      </c>
      <c r="AP2689" s="4">
        <v>8</v>
      </c>
      <c r="AQ2689" s="4">
        <v>8</v>
      </c>
      <c r="AR2689" s="3" t="s">
        <v>65</v>
      </c>
      <c r="AS2689" s="3" t="s">
        <v>65</v>
      </c>
      <c r="AT2689" s="3" t="s">
        <v>65</v>
      </c>
      <c r="AV2689" s="6" t="str">
        <f>HYPERLINK("http://mcgill.on.worldcat.org/oclc/1312806","Catalog Record")</f>
        <v>Catalog Record</v>
      </c>
      <c r="AW2689" s="6" t="str">
        <f>HYPERLINK("http://www.worldcat.org/oclc/1312806","WorldCat Record")</f>
        <v>WorldCat Record</v>
      </c>
      <c r="AX2689" s="3" t="s">
        <v>26633</v>
      </c>
      <c r="AY2689" s="3" t="s">
        <v>26634</v>
      </c>
      <c r="AZ2689" s="3" t="s">
        <v>26635</v>
      </c>
      <c r="BA2689" s="3" t="s">
        <v>26635</v>
      </c>
      <c r="BB2689" s="3" t="s">
        <v>26636</v>
      </c>
      <c r="BC2689" s="3" t="s">
        <v>77</v>
      </c>
      <c r="BD2689" s="3" t="s">
        <v>78</v>
      </c>
      <c r="BF2689" s="3" t="s">
        <v>26636</v>
      </c>
      <c r="BG2689" s="3" t="s">
        <v>26637</v>
      </c>
    </row>
    <row r="2690" spans="1:59" ht="58" x14ac:dyDescent="0.35">
      <c r="A2690" s="2" t="s">
        <v>59</v>
      </c>
      <c r="B2690" s="2" t="s">
        <v>60</v>
      </c>
      <c r="C2690" s="2" t="s">
        <v>26638</v>
      </c>
      <c r="D2690" s="2" t="s">
        <v>26639</v>
      </c>
      <c r="E2690" s="2" t="s">
        <v>26640</v>
      </c>
      <c r="G2690" s="3" t="s">
        <v>65</v>
      </c>
      <c r="I2690" s="3" t="s">
        <v>65</v>
      </c>
      <c r="J2690" s="3" t="s">
        <v>65</v>
      </c>
      <c r="K2690" s="3" t="s">
        <v>66</v>
      </c>
      <c r="L2690" s="2" t="s">
        <v>21736</v>
      </c>
      <c r="M2690" s="2" t="s">
        <v>26641</v>
      </c>
      <c r="N2690" s="3" t="s">
        <v>955</v>
      </c>
      <c r="O2690" s="2" t="s">
        <v>365</v>
      </c>
      <c r="P2690" s="3" t="s">
        <v>140</v>
      </c>
      <c r="Q2690" s="2" t="s">
        <v>26642</v>
      </c>
      <c r="R2690" s="3" t="s">
        <v>71</v>
      </c>
      <c r="S2690" s="4">
        <v>4</v>
      </c>
      <c r="T2690" s="4">
        <v>4</v>
      </c>
      <c r="U2690" s="5" t="s">
        <v>3793</v>
      </c>
      <c r="V2690" s="5" t="s">
        <v>3793</v>
      </c>
      <c r="W2690" s="5" t="s">
        <v>72</v>
      </c>
      <c r="X2690" s="5" t="s">
        <v>72</v>
      </c>
      <c r="Y2690" s="4">
        <v>87</v>
      </c>
      <c r="Z2690" s="4">
        <v>10</v>
      </c>
      <c r="AA2690" s="4">
        <v>10</v>
      </c>
      <c r="AB2690" s="4">
        <v>1</v>
      </c>
      <c r="AC2690" s="4">
        <v>1</v>
      </c>
      <c r="AD2690" s="4">
        <v>37</v>
      </c>
      <c r="AE2690" s="4">
        <v>41</v>
      </c>
      <c r="AF2690" s="4">
        <v>0</v>
      </c>
      <c r="AG2690" s="4">
        <v>0</v>
      </c>
      <c r="AH2690" s="4">
        <v>34</v>
      </c>
      <c r="AI2690" s="4">
        <v>38</v>
      </c>
      <c r="AJ2690" s="4">
        <v>7</v>
      </c>
      <c r="AK2690" s="4">
        <v>7</v>
      </c>
      <c r="AL2690" s="4">
        <v>24</v>
      </c>
      <c r="AM2690" s="4">
        <v>25</v>
      </c>
      <c r="AN2690" s="4">
        <v>0</v>
      </c>
      <c r="AO2690" s="4">
        <v>0</v>
      </c>
      <c r="AP2690" s="4">
        <v>7</v>
      </c>
      <c r="AQ2690" s="4">
        <v>7</v>
      </c>
      <c r="AR2690" s="3" t="s">
        <v>65</v>
      </c>
      <c r="AS2690" s="3" t="s">
        <v>65</v>
      </c>
      <c r="AT2690" s="3" t="s">
        <v>65</v>
      </c>
      <c r="AV2690" s="6" t="str">
        <f>HYPERLINK("http://mcgill.on.worldcat.org/oclc/7352045","Catalog Record")</f>
        <v>Catalog Record</v>
      </c>
      <c r="AW2690" s="6" t="str">
        <f>HYPERLINK("http://www.worldcat.org/oclc/7352045","WorldCat Record")</f>
        <v>WorldCat Record</v>
      </c>
      <c r="AX2690" s="3" t="s">
        <v>26643</v>
      </c>
      <c r="AY2690" s="3" t="s">
        <v>26644</v>
      </c>
      <c r="AZ2690" s="3" t="s">
        <v>26645</v>
      </c>
      <c r="BA2690" s="3" t="s">
        <v>26645</v>
      </c>
      <c r="BB2690" s="3" t="s">
        <v>26646</v>
      </c>
      <c r="BC2690" s="3" t="s">
        <v>77</v>
      </c>
      <c r="BD2690" s="3" t="s">
        <v>78</v>
      </c>
      <c r="BF2690" s="3" t="s">
        <v>26646</v>
      </c>
      <c r="BG2690" s="3" t="s">
        <v>26647</v>
      </c>
    </row>
    <row r="2691" spans="1:59" ht="58" x14ac:dyDescent="0.35">
      <c r="A2691" s="2" t="s">
        <v>59</v>
      </c>
      <c r="B2691" s="2" t="s">
        <v>60</v>
      </c>
      <c r="C2691" s="2" t="s">
        <v>26648</v>
      </c>
      <c r="D2691" s="2" t="s">
        <v>26649</v>
      </c>
      <c r="E2691" s="2" t="s">
        <v>26650</v>
      </c>
      <c r="G2691" s="3" t="s">
        <v>65</v>
      </c>
      <c r="I2691" s="3" t="s">
        <v>65</v>
      </c>
      <c r="J2691" s="3" t="s">
        <v>65</v>
      </c>
      <c r="K2691" s="3" t="s">
        <v>66</v>
      </c>
      <c r="L2691" s="2" t="s">
        <v>26651</v>
      </c>
      <c r="M2691" s="2" t="s">
        <v>26652</v>
      </c>
      <c r="N2691" s="3" t="s">
        <v>1944</v>
      </c>
      <c r="P2691" s="3" t="s">
        <v>69</v>
      </c>
      <c r="Q2691" s="2" t="s">
        <v>26653</v>
      </c>
      <c r="R2691" s="3" t="s">
        <v>71</v>
      </c>
      <c r="S2691" s="4">
        <v>2</v>
      </c>
      <c r="T2691" s="4">
        <v>2</v>
      </c>
      <c r="U2691" s="5" t="s">
        <v>3793</v>
      </c>
      <c r="V2691" s="5" t="s">
        <v>3793</v>
      </c>
      <c r="W2691" s="5" t="s">
        <v>72</v>
      </c>
      <c r="X2691" s="5" t="s">
        <v>72</v>
      </c>
      <c r="Y2691" s="4">
        <v>57</v>
      </c>
      <c r="Z2691" s="4">
        <v>5</v>
      </c>
      <c r="AA2691" s="4">
        <v>5</v>
      </c>
      <c r="AB2691" s="4">
        <v>2</v>
      </c>
      <c r="AC2691" s="4">
        <v>2</v>
      </c>
      <c r="AD2691" s="4">
        <v>25</v>
      </c>
      <c r="AE2691" s="4">
        <v>25</v>
      </c>
      <c r="AF2691" s="4">
        <v>0</v>
      </c>
      <c r="AG2691" s="4">
        <v>0</v>
      </c>
      <c r="AH2691" s="4">
        <v>24</v>
      </c>
      <c r="AI2691" s="4">
        <v>24</v>
      </c>
      <c r="AJ2691" s="4">
        <v>2</v>
      </c>
      <c r="AK2691" s="4">
        <v>2</v>
      </c>
      <c r="AL2691" s="4">
        <v>20</v>
      </c>
      <c r="AM2691" s="4">
        <v>20</v>
      </c>
      <c r="AN2691" s="4">
        <v>0</v>
      </c>
      <c r="AO2691" s="4">
        <v>0</v>
      </c>
      <c r="AP2691" s="4">
        <v>2</v>
      </c>
      <c r="AQ2691" s="4">
        <v>2</v>
      </c>
      <c r="AR2691" s="3" t="s">
        <v>65</v>
      </c>
      <c r="AS2691" s="3" t="s">
        <v>65</v>
      </c>
      <c r="AT2691" s="3" t="s">
        <v>65</v>
      </c>
      <c r="AV2691" s="6" t="str">
        <f>HYPERLINK("http://mcgill.on.worldcat.org/oclc/45741470","Catalog Record")</f>
        <v>Catalog Record</v>
      </c>
      <c r="AW2691" s="6" t="str">
        <f>HYPERLINK("http://www.worldcat.org/oclc/45741470","WorldCat Record")</f>
        <v>WorldCat Record</v>
      </c>
      <c r="AX2691" s="3" t="s">
        <v>26654</v>
      </c>
      <c r="AY2691" s="3" t="s">
        <v>26655</v>
      </c>
      <c r="AZ2691" s="3" t="s">
        <v>26656</v>
      </c>
      <c r="BA2691" s="3" t="s">
        <v>26656</v>
      </c>
      <c r="BB2691" s="3" t="s">
        <v>26657</v>
      </c>
      <c r="BC2691" s="3" t="s">
        <v>77</v>
      </c>
      <c r="BD2691" s="3" t="s">
        <v>78</v>
      </c>
      <c r="BE2691" s="3" t="s">
        <v>26658</v>
      </c>
      <c r="BF2691" s="3" t="s">
        <v>26657</v>
      </c>
      <c r="BG2691" s="3" t="s">
        <v>26659</v>
      </c>
    </row>
    <row r="2692" spans="1:59" ht="58" x14ac:dyDescent="0.35">
      <c r="A2692" s="2" t="s">
        <v>59</v>
      </c>
      <c r="B2692" s="2" t="s">
        <v>60</v>
      </c>
      <c r="C2692" s="2" t="s">
        <v>26660</v>
      </c>
      <c r="D2692" s="2" t="s">
        <v>26661</v>
      </c>
      <c r="E2692" s="2" t="s">
        <v>26662</v>
      </c>
      <c r="G2692" s="3" t="s">
        <v>65</v>
      </c>
      <c r="I2692" s="3" t="s">
        <v>65</v>
      </c>
      <c r="J2692" s="3" t="s">
        <v>65</v>
      </c>
      <c r="K2692" s="3" t="s">
        <v>66</v>
      </c>
      <c r="M2692" s="2" t="s">
        <v>26663</v>
      </c>
      <c r="N2692" s="3" t="s">
        <v>831</v>
      </c>
      <c r="P2692" s="3" t="s">
        <v>140</v>
      </c>
      <c r="Q2692" s="2" t="s">
        <v>26664</v>
      </c>
      <c r="R2692" s="3" t="s">
        <v>71</v>
      </c>
      <c r="S2692" s="4">
        <v>3</v>
      </c>
      <c r="T2692" s="4">
        <v>3</v>
      </c>
      <c r="U2692" s="5" t="s">
        <v>3793</v>
      </c>
      <c r="V2692" s="5" t="s">
        <v>3793</v>
      </c>
      <c r="W2692" s="5" t="s">
        <v>72</v>
      </c>
      <c r="X2692" s="5" t="s">
        <v>72</v>
      </c>
      <c r="Y2692" s="4">
        <v>34</v>
      </c>
      <c r="Z2692" s="4">
        <v>4</v>
      </c>
      <c r="AA2692" s="4">
        <v>4</v>
      </c>
      <c r="AB2692" s="4">
        <v>1</v>
      </c>
      <c r="AC2692" s="4">
        <v>1</v>
      </c>
      <c r="AD2692" s="4">
        <v>21</v>
      </c>
      <c r="AE2692" s="4">
        <v>21</v>
      </c>
      <c r="AF2692" s="4">
        <v>0</v>
      </c>
      <c r="AG2692" s="4">
        <v>0</v>
      </c>
      <c r="AH2692" s="4">
        <v>20</v>
      </c>
      <c r="AI2692" s="4">
        <v>20</v>
      </c>
      <c r="AJ2692" s="4">
        <v>2</v>
      </c>
      <c r="AK2692" s="4">
        <v>2</v>
      </c>
      <c r="AL2692" s="4">
        <v>16</v>
      </c>
      <c r="AM2692" s="4">
        <v>16</v>
      </c>
      <c r="AN2692" s="4">
        <v>0</v>
      </c>
      <c r="AO2692" s="4">
        <v>0</v>
      </c>
      <c r="AP2692" s="4">
        <v>2</v>
      </c>
      <c r="AQ2692" s="4">
        <v>2</v>
      </c>
      <c r="AR2692" s="3" t="s">
        <v>65</v>
      </c>
      <c r="AS2692" s="3" t="s">
        <v>65</v>
      </c>
      <c r="AT2692" s="3" t="s">
        <v>65</v>
      </c>
      <c r="AV2692" s="6" t="str">
        <f>HYPERLINK("http://mcgill.on.worldcat.org/oclc/9325847","Catalog Record")</f>
        <v>Catalog Record</v>
      </c>
      <c r="AW2692" s="6" t="str">
        <f>HYPERLINK("http://www.worldcat.org/oclc/9325847","WorldCat Record")</f>
        <v>WorldCat Record</v>
      </c>
      <c r="AX2692" s="3" t="s">
        <v>26665</v>
      </c>
      <c r="AY2692" s="3" t="s">
        <v>26666</v>
      </c>
      <c r="AZ2692" s="3" t="s">
        <v>26667</v>
      </c>
      <c r="BA2692" s="3" t="s">
        <v>26667</v>
      </c>
      <c r="BB2692" s="3" t="s">
        <v>26668</v>
      </c>
      <c r="BC2692" s="3" t="s">
        <v>77</v>
      </c>
      <c r="BD2692" s="3" t="s">
        <v>78</v>
      </c>
      <c r="BF2692" s="3" t="s">
        <v>26668</v>
      </c>
      <c r="BG2692" s="3" t="s">
        <v>26669</v>
      </c>
    </row>
    <row r="2693" spans="1:59" ht="58" x14ac:dyDescent="0.35">
      <c r="A2693" s="2" t="s">
        <v>59</v>
      </c>
      <c r="B2693" s="2" t="s">
        <v>60</v>
      </c>
      <c r="C2693" s="2" t="s">
        <v>26670</v>
      </c>
      <c r="D2693" s="2" t="s">
        <v>26671</v>
      </c>
      <c r="E2693" s="2" t="s">
        <v>26672</v>
      </c>
      <c r="G2693" s="3" t="s">
        <v>65</v>
      </c>
      <c r="I2693" s="3" t="s">
        <v>65</v>
      </c>
      <c r="J2693" s="3" t="s">
        <v>65</v>
      </c>
      <c r="K2693" s="3" t="s">
        <v>66</v>
      </c>
      <c r="L2693" s="2" t="s">
        <v>26673</v>
      </c>
      <c r="M2693" s="2" t="s">
        <v>26674</v>
      </c>
      <c r="N2693" s="3" t="s">
        <v>7187</v>
      </c>
      <c r="P2693" s="3" t="s">
        <v>140</v>
      </c>
      <c r="Q2693" s="2" t="s">
        <v>26675</v>
      </c>
      <c r="R2693" s="3" t="s">
        <v>71</v>
      </c>
      <c r="S2693" s="4">
        <v>8</v>
      </c>
      <c r="T2693" s="4">
        <v>8</v>
      </c>
      <c r="U2693" s="5" t="s">
        <v>3793</v>
      </c>
      <c r="V2693" s="5" t="s">
        <v>3793</v>
      </c>
      <c r="W2693" s="5" t="s">
        <v>72</v>
      </c>
      <c r="X2693" s="5" t="s">
        <v>72</v>
      </c>
      <c r="Y2693" s="4">
        <v>81</v>
      </c>
      <c r="Z2693" s="4">
        <v>6</v>
      </c>
      <c r="AA2693" s="4">
        <v>7</v>
      </c>
      <c r="AB2693" s="4">
        <v>1</v>
      </c>
      <c r="AC2693" s="4">
        <v>1</v>
      </c>
      <c r="AD2693" s="4">
        <v>37</v>
      </c>
      <c r="AE2693" s="4">
        <v>38</v>
      </c>
      <c r="AF2693" s="4">
        <v>0</v>
      </c>
      <c r="AG2693" s="4">
        <v>0</v>
      </c>
      <c r="AH2693" s="4">
        <v>34</v>
      </c>
      <c r="AI2693" s="4">
        <v>35</v>
      </c>
      <c r="AJ2693" s="4">
        <v>4</v>
      </c>
      <c r="AK2693" s="4">
        <v>5</v>
      </c>
      <c r="AL2693" s="4">
        <v>26</v>
      </c>
      <c r="AM2693" s="4">
        <v>26</v>
      </c>
      <c r="AN2693" s="4">
        <v>0</v>
      </c>
      <c r="AO2693" s="4">
        <v>0</v>
      </c>
      <c r="AP2693" s="4">
        <v>4</v>
      </c>
      <c r="AQ2693" s="4">
        <v>5</v>
      </c>
      <c r="AR2693" s="3" t="s">
        <v>65</v>
      </c>
      <c r="AS2693" s="3" t="s">
        <v>65</v>
      </c>
      <c r="AT2693" s="3" t="s">
        <v>65</v>
      </c>
      <c r="AV2693" s="6" t="str">
        <f>HYPERLINK("http://mcgill.on.worldcat.org/oclc/3840790","Catalog Record")</f>
        <v>Catalog Record</v>
      </c>
      <c r="AW2693" s="6" t="str">
        <f>HYPERLINK("http://www.worldcat.org/oclc/3840790","WorldCat Record")</f>
        <v>WorldCat Record</v>
      </c>
      <c r="AX2693" s="3" t="s">
        <v>26676</v>
      </c>
      <c r="AY2693" s="3" t="s">
        <v>26677</v>
      </c>
      <c r="AZ2693" s="3" t="s">
        <v>26678</v>
      </c>
      <c r="BA2693" s="3" t="s">
        <v>26678</v>
      </c>
      <c r="BB2693" s="3" t="s">
        <v>26679</v>
      </c>
      <c r="BC2693" s="3" t="s">
        <v>77</v>
      </c>
      <c r="BD2693" s="3" t="s">
        <v>78</v>
      </c>
      <c r="BF2693" s="3" t="s">
        <v>26679</v>
      </c>
      <c r="BG2693" s="3" t="s">
        <v>26680</v>
      </c>
    </row>
    <row r="2694" spans="1:59" ht="58" x14ac:dyDescent="0.35">
      <c r="A2694" s="2" t="s">
        <v>59</v>
      </c>
      <c r="B2694" s="2" t="s">
        <v>60</v>
      </c>
      <c r="C2694" s="2" t="s">
        <v>26681</v>
      </c>
      <c r="D2694" s="2" t="s">
        <v>26682</v>
      </c>
      <c r="E2694" s="2" t="s">
        <v>26683</v>
      </c>
      <c r="G2694" s="3" t="s">
        <v>65</v>
      </c>
      <c r="I2694" s="3" t="s">
        <v>65</v>
      </c>
      <c r="J2694" s="3" t="s">
        <v>65</v>
      </c>
      <c r="K2694" s="3" t="s">
        <v>66</v>
      </c>
      <c r="L2694" s="2" t="s">
        <v>26684</v>
      </c>
      <c r="M2694" s="2" t="s">
        <v>26685</v>
      </c>
      <c r="N2694" s="3" t="s">
        <v>5130</v>
      </c>
      <c r="P2694" s="3" t="s">
        <v>140</v>
      </c>
      <c r="Q2694" s="2" t="s">
        <v>26686</v>
      </c>
      <c r="R2694" s="3" t="s">
        <v>71</v>
      </c>
      <c r="S2694" s="4">
        <v>1</v>
      </c>
      <c r="T2694" s="4">
        <v>1</v>
      </c>
      <c r="U2694" s="5" t="s">
        <v>3793</v>
      </c>
      <c r="V2694" s="5" t="s">
        <v>3793</v>
      </c>
      <c r="W2694" s="5" t="s">
        <v>72</v>
      </c>
      <c r="X2694" s="5" t="s">
        <v>72</v>
      </c>
      <c r="Y2694" s="4">
        <v>12</v>
      </c>
      <c r="Z2694" s="4">
        <v>3</v>
      </c>
      <c r="AA2694" s="4">
        <v>3</v>
      </c>
      <c r="AB2694" s="4">
        <v>1</v>
      </c>
      <c r="AC2694" s="4">
        <v>1</v>
      </c>
      <c r="AD2694" s="4">
        <v>9</v>
      </c>
      <c r="AE2694" s="4">
        <v>9</v>
      </c>
      <c r="AF2694" s="4">
        <v>0</v>
      </c>
      <c r="AG2694" s="4">
        <v>0</v>
      </c>
      <c r="AH2694" s="4">
        <v>8</v>
      </c>
      <c r="AI2694" s="4">
        <v>8</v>
      </c>
      <c r="AJ2694" s="4">
        <v>1</v>
      </c>
      <c r="AK2694" s="4">
        <v>1</v>
      </c>
      <c r="AL2694" s="4">
        <v>7</v>
      </c>
      <c r="AM2694" s="4">
        <v>7</v>
      </c>
      <c r="AN2694" s="4">
        <v>0</v>
      </c>
      <c r="AO2694" s="4">
        <v>0</v>
      </c>
      <c r="AP2694" s="4">
        <v>1</v>
      </c>
      <c r="AQ2694" s="4">
        <v>1</v>
      </c>
      <c r="AR2694" s="3" t="s">
        <v>65</v>
      </c>
      <c r="AS2694" s="3" t="s">
        <v>65</v>
      </c>
      <c r="AT2694" s="3" t="s">
        <v>65</v>
      </c>
      <c r="AV2694" s="6" t="str">
        <f>HYPERLINK("http://mcgill.on.worldcat.org/oclc/4918840","Catalog Record")</f>
        <v>Catalog Record</v>
      </c>
      <c r="AW2694" s="6" t="str">
        <f>HYPERLINK("http://www.worldcat.org/oclc/4918840","WorldCat Record")</f>
        <v>WorldCat Record</v>
      </c>
      <c r="AX2694" s="3" t="s">
        <v>26687</v>
      </c>
      <c r="AY2694" s="3" t="s">
        <v>26688</v>
      </c>
      <c r="AZ2694" s="3" t="s">
        <v>26689</v>
      </c>
      <c r="BA2694" s="3" t="s">
        <v>26689</v>
      </c>
      <c r="BB2694" s="3" t="s">
        <v>26690</v>
      </c>
      <c r="BC2694" s="3" t="s">
        <v>77</v>
      </c>
      <c r="BD2694" s="3" t="s">
        <v>78</v>
      </c>
      <c r="BF2694" s="3" t="s">
        <v>26690</v>
      </c>
      <c r="BG2694" s="3" t="s">
        <v>26691</v>
      </c>
    </row>
    <row r="2695" spans="1:59" ht="58" x14ac:dyDescent="0.35">
      <c r="A2695" s="2" t="s">
        <v>59</v>
      </c>
      <c r="B2695" s="2" t="s">
        <v>60</v>
      </c>
      <c r="C2695" s="2" t="s">
        <v>26692</v>
      </c>
      <c r="D2695" s="2" t="s">
        <v>26693</v>
      </c>
      <c r="E2695" s="2" t="s">
        <v>26694</v>
      </c>
      <c r="G2695" s="3" t="s">
        <v>65</v>
      </c>
      <c r="I2695" s="3" t="s">
        <v>65</v>
      </c>
      <c r="J2695" s="3" t="s">
        <v>65</v>
      </c>
      <c r="K2695" s="3" t="s">
        <v>66</v>
      </c>
      <c r="L2695" s="2" t="s">
        <v>26695</v>
      </c>
      <c r="M2695" s="2" t="s">
        <v>26696</v>
      </c>
      <c r="N2695" s="3" t="s">
        <v>955</v>
      </c>
      <c r="P2695" s="3" t="s">
        <v>140</v>
      </c>
      <c r="R2695" s="3" t="s">
        <v>71</v>
      </c>
      <c r="S2695" s="4">
        <v>4</v>
      </c>
      <c r="T2695" s="4">
        <v>4</v>
      </c>
      <c r="U2695" s="5" t="s">
        <v>3793</v>
      </c>
      <c r="V2695" s="5" t="s">
        <v>3793</v>
      </c>
      <c r="W2695" s="5" t="s">
        <v>72</v>
      </c>
      <c r="X2695" s="5" t="s">
        <v>72</v>
      </c>
      <c r="Y2695" s="4">
        <v>7</v>
      </c>
      <c r="Z2695" s="4">
        <v>3</v>
      </c>
      <c r="AA2695" s="4">
        <v>3</v>
      </c>
      <c r="AB2695" s="4">
        <v>1</v>
      </c>
      <c r="AC2695" s="4">
        <v>1</v>
      </c>
      <c r="AD2695" s="4">
        <v>3</v>
      </c>
      <c r="AE2695" s="4">
        <v>3</v>
      </c>
      <c r="AF2695" s="4">
        <v>0</v>
      </c>
      <c r="AG2695" s="4">
        <v>0</v>
      </c>
      <c r="AH2695" s="4">
        <v>3</v>
      </c>
      <c r="AI2695" s="4">
        <v>3</v>
      </c>
      <c r="AJ2695" s="4">
        <v>2</v>
      </c>
      <c r="AK2695" s="4">
        <v>2</v>
      </c>
      <c r="AL2695" s="4">
        <v>1</v>
      </c>
      <c r="AM2695" s="4">
        <v>1</v>
      </c>
      <c r="AN2695" s="4">
        <v>3</v>
      </c>
      <c r="AO2695" s="4">
        <v>3</v>
      </c>
      <c r="AP2695" s="4">
        <v>2</v>
      </c>
      <c r="AQ2695" s="4">
        <v>2</v>
      </c>
      <c r="AR2695" s="3" t="s">
        <v>65</v>
      </c>
      <c r="AS2695" s="3" t="s">
        <v>65</v>
      </c>
      <c r="AT2695" s="3" t="s">
        <v>209</v>
      </c>
      <c r="AU2695" s="6" t="str">
        <f>HYPERLINK("http://catalog.hathitrust.org/Record/101859660","HathiTrust Record")</f>
        <v>HathiTrust Record</v>
      </c>
      <c r="AV2695" s="6" t="str">
        <f>HYPERLINK("http://mcgill.on.worldcat.org/oclc/13319348","Catalog Record")</f>
        <v>Catalog Record</v>
      </c>
      <c r="AW2695" s="6" t="str">
        <f>HYPERLINK("http://www.worldcat.org/oclc/13319348","WorldCat Record")</f>
        <v>WorldCat Record</v>
      </c>
      <c r="AX2695" s="3" t="s">
        <v>26697</v>
      </c>
      <c r="AY2695" s="3" t="s">
        <v>26698</v>
      </c>
      <c r="AZ2695" s="3" t="s">
        <v>26699</v>
      </c>
      <c r="BA2695" s="3" t="s">
        <v>26699</v>
      </c>
      <c r="BB2695" s="3" t="s">
        <v>26700</v>
      </c>
      <c r="BC2695" s="3" t="s">
        <v>77</v>
      </c>
      <c r="BD2695" s="3" t="s">
        <v>78</v>
      </c>
      <c r="BF2695" s="3" t="s">
        <v>26700</v>
      </c>
      <c r="BG2695" s="3" t="s">
        <v>26701</v>
      </c>
    </row>
    <row r="2696" spans="1:59" ht="58" x14ac:dyDescent="0.35">
      <c r="A2696" s="2" t="s">
        <v>59</v>
      </c>
      <c r="B2696" s="2" t="s">
        <v>60</v>
      </c>
      <c r="C2696" s="2" t="s">
        <v>26702</v>
      </c>
      <c r="D2696" s="2" t="s">
        <v>26703</v>
      </c>
      <c r="E2696" s="2" t="s">
        <v>26704</v>
      </c>
      <c r="G2696" s="3" t="s">
        <v>65</v>
      </c>
      <c r="I2696" s="3" t="s">
        <v>65</v>
      </c>
      <c r="J2696" s="3" t="s">
        <v>65</v>
      </c>
      <c r="K2696" s="3" t="s">
        <v>66</v>
      </c>
      <c r="L2696" s="2" t="s">
        <v>26705</v>
      </c>
      <c r="M2696" s="2" t="s">
        <v>17351</v>
      </c>
      <c r="N2696" s="3" t="s">
        <v>126</v>
      </c>
      <c r="P2696" s="3" t="s">
        <v>69</v>
      </c>
      <c r="R2696" s="3" t="s">
        <v>71</v>
      </c>
      <c r="S2696" s="4">
        <v>0</v>
      </c>
      <c r="T2696" s="4">
        <v>0</v>
      </c>
      <c r="W2696" s="5" t="s">
        <v>72</v>
      </c>
      <c r="X2696" s="5" t="s">
        <v>72</v>
      </c>
      <c r="Y2696" s="4">
        <v>52</v>
      </c>
      <c r="Z2696" s="4">
        <v>7</v>
      </c>
      <c r="AA2696" s="4">
        <v>7</v>
      </c>
      <c r="AB2696" s="4">
        <v>1</v>
      </c>
      <c r="AC2696" s="4">
        <v>1</v>
      </c>
      <c r="AD2696" s="4">
        <v>35</v>
      </c>
      <c r="AE2696" s="4">
        <v>35</v>
      </c>
      <c r="AF2696" s="4">
        <v>0</v>
      </c>
      <c r="AG2696" s="4">
        <v>0</v>
      </c>
      <c r="AH2696" s="4">
        <v>33</v>
      </c>
      <c r="AI2696" s="4">
        <v>33</v>
      </c>
      <c r="AJ2696" s="4">
        <v>5</v>
      </c>
      <c r="AK2696" s="4">
        <v>5</v>
      </c>
      <c r="AL2696" s="4">
        <v>22</v>
      </c>
      <c r="AM2696" s="4">
        <v>22</v>
      </c>
      <c r="AN2696" s="4">
        <v>0</v>
      </c>
      <c r="AO2696" s="4">
        <v>0</v>
      </c>
      <c r="AP2696" s="4">
        <v>5</v>
      </c>
      <c r="AQ2696" s="4">
        <v>5</v>
      </c>
      <c r="AR2696" s="3" t="s">
        <v>65</v>
      </c>
      <c r="AS2696" s="3" t="s">
        <v>65</v>
      </c>
      <c r="AT2696" s="3" t="s">
        <v>65</v>
      </c>
      <c r="AV2696" s="6" t="str">
        <f>HYPERLINK("http://mcgill.on.worldcat.org/oclc/727610611","Catalog Record")</f>
        <v>Catalog Record</v>
      </c>
      <c r="AW2696" s="6" t="str">
        <f>HYPERLINK("http://www.worldcat.org/oclc/727610611","WorldCat Record")</f>
        <v>WorldCat Record</v>
      </c>
      <c r="AX2696" s="3" t="s">
        <v>26706</v>
      </c>
      <c r="AY2696" s="3" t="s">
        <v>26707</v>
      </c>
      <c r="AZ2696" s="3" t="s">
        <v>26708</v>
      </c>
      <c r="BA2696" s="3" t="s">
        <v>26708</v>
      </c>
      <c r="BB2696" s="3" t="s">
        <v>26709</v>
      </c>
      <c r="BC2696" s="3" t="s">
        <v>77</v>
      </c>
      <c r="BD2696" s="3" t="s">
        <v>78</v>
      </c>
      <c r="BE2696" s="3" t="s">
        <v>26710</v>
      </c>
      <c r="BF2696" s="3" t="s">
        <v>26709</v>
      </c>
      <c r="BG2696" s="3" t="s">
        <v>26711</v>
      </c>
    </row>
    <row r="2697" spans="1:59" ht="58" x14ac:dyDescent="0.35">
      <c r="A2697" s="2" t="s">
        <v>59</v>
      </c>
      <c r="B2697" s="2" t="s">
        <v>60</v>
      </c>
      <c r="C2697" s="2" t="s">
        <v>26712</v>
      </c>
      <c r="D2697" s="2" t="s">
        <v>26713</v>
      </c>
      <c r="E2697" s="2" t="s">
        <v>26714</v>
      </c>
      <c r="G2697" s="3" t="s">
        <v>65</v>
      </c>
      <c r="I2697" s="3" t="s">
        <v>65</v>
      </c>
      <c r="J2697" s="3" t="s">
        <v>65</v>
      </c>
      <c r="K2697" s="3" t="s">
        <v>66</v>
      </c>
      <c r="L2697" s="2" t="s">
        <v>4090</v>
      </c>
      <c r="M2697" s="2" t="s">
        <v>26715</v>
      </c>
      <c r="N2697" s="3" t="s">
        <v>1967</v>
      </c>
      <c r="P2697" s="3" t="s">
        <v>140</v>
      </c>
      <c r="Q2697" s="2" t="s">
        <v>26716</v>
      </c>
      <c r="R2697" s="3" t="s">
        <v>71</v>
      </c>
      <c r="S2697" s="4">
        <v>1</v>
      </c>
      <c r="T2697" s="4">
        <v>1</v>
      </c>
      <c r="U2697" s="5" t="s">
        <v>20508</v>
      </c>
      <c r="V2697" s="5" t="s">
        <v>20508</v>
      </c>
      <c r="W2697" s="5" t="s">
        <v>72</v>
      </c>
      <c r="X2697" s="5" t="s">
        <v>72</v>
      </c>
      <c r="Y2697" s="4">
        <v>30</v>
      </c>
      <c r="Z2697" s="4">
        <v>4</v>
      </c>
      <c r="AA2697" s="4">
        <v>4</v>
      </c>
      <c r="AB2697" s="4">
        <v>2</v>
      </c>
      <c r="AC2697" s="4">
        <v>2</v>
      </c>
      <c r="AD2697" s="4">
        <v>16</v>
      </c>
      <c r="AE2697" s="4">
        <v>16</v>
      </c>
      <c r="AF2697" s="4">
        <v>1</v>
      </c>
      <c r="AG2697" s="4">
        <v>1</v>
      </c>
      <c r="AH2697" s="4">
        <v>14</v>
      </c>
      <c r="AI2697" s="4">
        <v>14</v>
      </c>
      <c r="AJ2697" s="4">
        <v>2</v>
      </c>
      <c r="AK2697" s="4">
        <v>2</v>
      </c>
      <c r="AL2697" s="4">
        <v>13</v>
      </c>
      <c r="AM2697" s="4">
        <v>13</v>
      </c>
      <c r="AN2697" s="4">
        <v>0</v>
      </c>
      <c r="AO2697" s="4">
        <v>0</v>
      </c>
      <c r="AP2697" s="4">
        <v>2</v>
      </c>
      <c r="AQ2697" s="4">
        <v>2</v>
      </c>
      <c r="AR2697" s="3" t="s">
        <v>65</v>
      </c>
      <c r="AS2697" s="3" t="s">
        <v>65</v>
      </c>
      <c r="AT2697" s="3" t="s">
        <v>65</v>
      </c>
      <c r="AV2697" s="6" t="str">
        <f>HYPERLINK("http://mcgill.on.worldcat.org/oclc/54089048","Catalog Record")</f>
        <v>Catalog Record</v>
      </c>
      <c r="AW2697" s="6" t="str">
        <f>HYPERLINK("http://www.worldcat.org/oclc/54089048","WorldCat Record")</f>
        <v>WorldCat Record</v>
      </c>
      <c r="AX2697" s="3" t="s">
        <v>26717</v>
      </c>
      <c r="AY2697" s="3" t="s">
        <v>26718</v>
      </c>
      <c r="AZ2697" s="3" t="s">
        <v>26719</v>
      </c>
      <c r="BA2697" s="3" t="s">
        <v>26719</v>
      </c>
      <c r="BB2697" s="3" t="s">
        <v>26720</v>
      </c>
      <c r="BC2697" s="3" t="s">
        <v>77</v>
      </c>
      <c r="BD2697" s="3" t="s">
        <v>78</v>
      </c>
      <c r="BE2697" s="3" t="s">
        <v>26721</v>
      </c>
      <c r="BF2697" s="3" t="s">
        <v>26720</v>
      </c>
      <c r="BG2697" s="3" t="s">
        <v>26722</v>
      </c>
    </row>
    <row r="2698" spans="1:59" ht="58" x14ac:dyDescent="0.35">
      <c r="A2698" s="2" t="s">
        <v>59</v>
      </c>
      <c r="B2698" s="2" t="s">
        <v>60</v>
      </c>
      <c r="C2698" s="2" t="s">
        <v>26723</v>
      </c>
      <c r="D2698" s="2" t="s">
        <v>26724</v>
      </c>
      <c r="E2698" s="2" t="s">
        <v>26725</v>
      </c>
      <c r="G2698" s="3" t="s">
        <v>65</v>
      </c>
      <c r="I2698" s="3" t="s">
        <v>65</v>
      </c>
      <c r="J2698" s="3" t="s">
        <v>65</v>
      </c>
      <c r="K2698" s="3" t="s">
        <v>66</v>
      </c>
      <c r="L2698" s="2" t="s">
        <v>4090</v>
      </c>
      <c r="M2698" s="2" t="s">
        <v>26726</v>
      </c>
      <c r="N2698" s="3" t="s">
        <v>152</v>
      </c>
      <c r="O2698" s="2" t="s">
        <v>26727</v>
      </c>
      <c r="P2698" s="3" t="s">
        <v>140</v>
      </c>
      <c r="Q2698" s="2" t="s">
        <v>26728</v>
      </c>
      <c r="R2698" s="3" t="s">
        <v>71</v>
      </c>
      <c r="S2698" s="4">
        <v>0</v>
      </c>
      <c r="T2698" s="4">
        <v>0</v>
      </c>
      <c r="W2698" s="5" t="s">
        <v>72</v>
      </c>
      <c r="X2698" s="5" t="s">
        <v>72</v>
      </c>
      <c r="Y2698" s="4">
        <v>58</v>
      </c>
      <c r="Z2698" s="4">
        <v>5</v>
      </c>
      <c r="AA2698" s="4">
        <v>5</v>
      </c>
      <c r="AB2698" s="4">
        <v>1</v>
      </c>
      <c r="AC2698" s="4">
        <v>1</v>
      </c>
      <c r="AD2698" s="4">
        <v>39</v>
      </c>
      <c r="AE2698" s="4">
        <v>39</v>
      </c>
      <c r="AF2698" s="4">
        <v>0</v>
      </c>
      <c r="AG2698" s="4">
        <v>0</v>
      </c>
      <c r="AH2698" s="4">
        <v>38</v>
      </c>
      <c r="AI2698" s="4">
        <v>38</v>
      </c>
      <c r="AJ2698" s="4">
        <v>2</v>
      </c>
      <c r="AK2698" s="4">
        <v>2</v>
      </c>
      <c r="AL2698" s="4">
        <v>30</v>
      </c>
      <c r="AM2698" s="4">
        <v>30</v>
      </c>
      <c r="AN2698" s="4">
        <v>0</v>
      </c>
      <c r="AO2698" s="4">
        <v>0</v>
      </c>
      <c r="AP2698" s="4">
        <v>2</v>
      </c>
      <c r="AQ2698" s="4">
        <v>2</v>
      </c>
      <c r="AR2698" s="3" t="s">
        <v>65</v>
      </c>
      <c r="AS2698" s="3" t="s">
        <v>65</v>
      </c>
      <c r="AT2698" s="3" t="s">
        <v>65</v>
      </c>
      <c r="AV2698" s="6" t="str">
        <f>HYPERLINK("http://mcgill.on.worldcat.org/oclc/843753578","Catalog Record")</f>
        <v>Catalog Record</v>
      </c>
      <c r="AW2698" s="6" t="str">
        <f>HYPERLINK("http://www.worldcat.org/oclc/843753578","WorldCat Record")</f>
        <v>WorldCat Record</v>
      </c>
      <c r="AX2698" s="3" t="s">
        <v>26729</v>
      </c>
      <c r="AY2698" s="3" t="s">
        <v>26730</v>
      </c>
      <c r="AZ2698" s="3" t="s">
        <v>26731</v>
      </c>
      <c r="BA2698" s="3" t="s">
        <v>26731</v>
      </c>
      <c r="BB2698" s="3" t="s">
        <v>26732</v>
      </c>
      <c r="BC2698" s="3" t="s">
        <v>77</v>
      </c>
      <c r="BD2698" s="3" t="s">
        <v>78</v>
      </c>
      <c r="BE2698" s="3" t="s">
        <v>26733</v>
      </c>
      <c r="BF2698" s="3" t="s">
        <v>26732</v>
      </c>
      <c r="BG2698" s="3" t="s">
        <v>26734</v>
      </c>
    </row>
    <row r="2699" spans="1:59" ht="116" x14ac:dyDescent="0.35">
      <c r="A2699" s="2" t="s">
        <v>59</v>
      </c>
      <c r="B2699" s="2" t="s">
        <v>60</v>
      </c>
      <c r="C2699" s="2" t="s">
        <v>26735</v>
      </c>
      <c r="D2699" s="2" t="s">
        <v>26736</v>
      </c>
      <c r="E2699" s="2" t="s">
        <v>26737</v>
      </c>
      <c r="G2699" s="3" t="s">
        <v>65</v>
      </c>
      <c r="I2699" s="3" t="s">
        <v>65</v>
      </c>
      <c r="J2699" s="3" t="s">
        <v>65</v>
      </c>
      <c r="K2699" s="3" t="s">
        <v>66</v>
      </c>
      <c r="M2699" s="2" t="s">
        <v>26738</v>
      </c>
      <c r="N2699" s="3" t="s">
        <v>126</v>
      </c>
      <c r="P2699" s="3" t="s">
        <v>140</v>
      </c>
      <c r="Q2699" s="2" t="s">
        <v>26739</v>
      </c>
      <c r="R2699" s="3" t="s">
        <v>71</v>
      </c>
      <c r="S2699" s="4">
        <v>0</v>
      </c>
      <c r="T2699" s="4">
        <v>0</v>
      </c>
      <c r="W2699" s="5" t="s">
        <v>72</v>
      </c>
      <c r="X2699" s="5" t="s">
        <v>72</v>
      </c>
      <c r="Y2699" s="4">
        <v>41</v>
      </c>
      <c r="Z2699" s="4">
        <v>1</v>
      </c>
      <c r="AA2699" s="4">
        <v>4</v>
      </c>
      <c r="AB2699" s="4">
        <v>1</v>
      </c>
      <c r="AC2699" s="4">
        <v>1</v>
      </c>
      <c r="AD2699" s="4">
        <v>19</v>
      </c>
      <c r="AE2699" s="4">
        <v>31</v>
      </c>
      <c r="AF2699" s="4">
        <v>0</v>
      </c>
      <c r="AG2699" s="4">
        <v>0</v>
      </c>
      <c r="AH2699" s="4">
        <v>18</v>
      </c>
      <c r="AI2699" s="4">
        <v>30</v>
      </c>
      <c r="AJ2699" s="4">
        <v>0</v>
      </c>
      <c r="AK2699" s="4">
        <v>2</v>
      </c>
      <c r="AL2699" s="4">
        <v>16</v>
      </c>
      <c r="AM2699" s="4">
        <v>23</v>
      </c>
      <c r="AN2699" s="4">
        <v>0</v>
      </c>
      <c r="AO2699" s="4">
        <v>0</v>
      </c>
      <c r="AP2699" s="4">
        <v>0</v>
      </c>
      <c r="AQ2699" s="4">
        <v>2</v>
      </c>
      <c r="AR2699" s="3" t="s">
        <v>65</v>
      </c>
      <c r="AS2699" s="3" t="s">
        <v>65</v>
      </c>
      <c r="AT2699" s="3" t="s">
        <v>65</v>
      </c>
      <c r="AV2699" s="6" t="str">
        <f>HYPERLINK("http://mcgill.on.worldcat.org/oclc/773015606","Catalog Record")</f>
        <v>Catalog Record</v>
      </c>
      <c r="AW2699" s="6" t="str">
        <f>HYPERLINK("http://www.worldcat.org/oclc/773015606","WorldCat Record")</f>
        <v>WorldCat Record</v>
      </c>
      <c r="AX2699" s="3" t="s">
        <v>26740</v>
      </c>
      <c r="AY2699" s="3" t="s">
        <v>26741</v>
      </c>
      <c r="AZ2699" s="3" t="s">
        <v>26742</v>
      </c>
      <c r="BA2699" s="3" t="s">
        <v>26742</v>
      </c>
      <c r="BB2699" s="3" t="s">
        <v>26743</v>
      </c>
      <c r="BC2699" s="3" t="s">
        <v>77</v>
      </c>
      <c r="BD2699" s="3" t="s">
        <v>78</v>
      </c>
      <c r="BE2699" s="3" t="s">
        <v>26744</v>
      </c>
      <c r="BF2699" s="3" t="s">
        <v>26743</v>
      </c>
      <c r="BG2699" s="3" t="s">
        <v>26745</v>
      </c>
    </row>
    <row r="2700" spans="1:59" ht="58" x14ac:dyDescent="0.35">
      <c r="A2700" s="2" t="s">
        <v>59</v>
      </c>
      <c r="B2700" s="2" t="s">
        <v>60</v>
      </c>
      <c r="C2700" s="2" t="s">
        <v>26746</v>
      </c>
      <c r="D2700" s="2" t="s">
        <v>26747</v>
      </c>
      <c r="E2700" s="2" t="s">
        <v>26748</v>
      </c>
      <c r="G2700" s="3" t="s">
        <v>65</v>
      </c>
      <c r="I2700" s="3" t="s">
        <v>65</v>
      </c>
      <c r="J2700" s="3" t="s">
        <v>65</v>
      </c>
      <c r="K2700" s="3" t="s">
        <v>66</v>
      </c>
      <c r="L2700" s="2" t="s">
        <v>26749</v>
      </c>
      <c r="M2700" s="2" t="s">
        <v>26750</v>
      </c>
      <c r="N2700" s="3" t="s">
        <v>113</v>
      </c>
      <c r="P2700" s="3" t="s">
        <v>140</v>
      </c>
      <c r="R2700" s="3" t="s">
        <v>71</v>
      </c>
      <c r="S2700" s="4">
        <v>0</v>
      </c>
      <c r="T2700" s="4">
        <v>0</v>
      </c>
      <c r="W2700" s="5" t="s">
        <v>72</v>
      </c>
      <c r="X2700" s="5" t="s">
        <v>72</v>
      </c>
      <c r="Y2700" s="4">
        <v>24</v>
      </c>
      <c r="Z2700" s="4">
        <v>4</v>
      </c>
      <c r="AA2700" s="4">
        <v>4</v>
      </c>
      <c r="AB2700" s="4">
        <v>1</v>
      </c>
      <c r="AC2700" s="4">
        <v>1</v>
      </c>
      <c r="AD2700" s="4">
        <v>16</v>
      </c>
      <c r="AE2700" s="4">
        <v>16</v>
      </c>
      <c r="AF2700" s="4">
        <v>0</v>
      </c>
      <c r="AG2700" s="4">
        <v>0</v>
      </c>
      <c r="AH2700" s="4">
        <v>16</v>
      </c>
      <c r="AI2700" s="4">
        <v>16</v>
      </c>
      <c r="AJ2700" s="4">
        <v>2</v>
      </c>
      <c r="AK2700" s="4">
        <v>2</v>
      </c>
      <c r="AL2700" s="4">
        <v>11</v>
      </c>
      <c r="AM2700" s="4">
        <v>11</v>
      </c>
      <c r="AN2700" s="4">
        <v>0</v>
      </c>
      <c r="AO2700" s="4">
        <v>0</v>
      </c>
      <c r="AP2700" s="4">
        <v>2</v>
      </c>
      <c r="AQ2700" s="4">
        <v>2</v>
      </c>
      <c r="AR2700" s="3" t="s">
        <v>65</v>
      </c>
      <c r="AS2700" s="3" t="s">
        <v>65</v>
      </c>
      <c r="AT2700" s="3" t="s">
        <v>65</v>
      </c>
      <c r="AV2700" s="6" t="str">
        <f>HYPERLINK("http://mcgill.on.worldcat.org/oclc/701795800","Catalog Record")</f>
        <v>Catalog Record</v>
      </c>
      <c r="AW2700" s="6" t="str">
        <f>HYPERLINK("http://www.worldcat.org/oclc/701795800","WorldCat Record")</f>
        <v>WorldCat Record</v>
      </c>
      <c r="AX2700" s="3" t="s">
        <v>26751</v>
      </c>
      <c r="AY2700" s="3" t="s">
        <v>26752</v>
      </c>
      <c r="AZ2700" s="3" t="s">
        <v>26753</v>
      </c>
      <c r="BA2700" s="3" t="s">
        <v>26753</v>
      </c>
      <c r="BB2700" s="3" t="s">
        <v>26754</v>
      </c>
      <c r="BC2700" s="3" t="s">
        <v>77</v>
      </c>
      <c r="BD2700" s="3" t="s">
        <v>78</v>
      </c>
      <c r="BF2700" s="3" t="s">
        <v>26754</v>
      </c>
      <c r="BG2700" s="3" t="s">
        <v>26755</v>
      </c>
    </row>
    <row r="2701" spans="1:59" ht="58" x14ac:dyDescent="0.35">
      <c r="A2701" s="2" t="s">
        <v>59</v>
      </c>
      <c r="B2701" s="2" t="s">
        <v>60</v>
      </c>
      <c r="C2701" s="2" t="s">
        <v>26756</v>
      </c>
      <c r="D2701" s="2" t="s">
        <v>26757</v>
      </c>
      <c r="E2701" s="2" t="s">
        <v>26758</v>
      </c>
      <c r="G2701" s="3" t="s">
        <v>65</v>
      </c>
      <c r="I2701" s="3" t="s">
        <v>65</v>
      </c>
      <c r="J2701" s="3" t="s">
        <v>65</v>
      </c>
      <c r="K2701" s="3" t="s">
        <v>66</v>
      </c>
      <c r="M2701" s="2" t="s">
        <v>26759</v>
      </c>
      <c r="N2701" s="3" t="s">
        <v>164</v>
      </c>
      <c r="P2701" s="3" t="s">
        <v>140</v>
      </c>
      <c r="Q2701" s="2" t="s">
        <v>26760</v>
      </c>
      <c r="R2701" s="3" t="s">
        <v>71</v>
      </c>
      <c r="S2701" s="4">
        <v>0</v>
      </c>
      <c r="T2701" s="4">
        <v>0</v>
      </c>
      <c r="W2701" s="5" t="s">
        <v>72</v>
      </c>
      <c r="X2701" s="5" t="s">
        <v>72</v>
      </c>
      <c r="Y2701" s="4">
        <v>36</v>
      </c>
      <c r="Z2701" s="4">
        <v>4</v>
      </c>
      <c r="AA2701" s="4">
        <v>4</v>
      </c>
      <c r="AB2701" s="4">
        <v>1</v>
      </c>
      <c r="AC2701" s="4">
        <v>1</v>
      </c>
      <c r="AD2701" s="4">
        <v>25</v>
      </c>
      <c r="AE2701" s="4">
        <v>25</v>
      </c>
      <c r="AF2701" s="4">
        <v>0</v>
      </c>
      <c r="AG2701" s="4">
        <v>0</v>
      </c>
      <c r="AH2701" s="4">
        <v>24</v>
      </c>
      <c r="AI2701" s="4">
        <v>24</v>
      </c>
      <c r="AJ2701" s="4">
        <v>2</v>
      </c>
      <c r="AK2701" s="4">
        <v>2</v>
      </c>
      <c r="AL2701" s="4">
        <v>18</v>
      </c>
      <c r="AM2701" s="4">
        <v>18</v>
      </c>
      <c r="AN2701" s="4">
        <v>0</v>
      </c>
      <c r="AO2701" s="4">
        <v>0</v>
      </c>
      <c r="AP2701" s="4">
        <v>2</v>
      </c>
      <c r="AQ2701" s="4">
        <v>2</v>
      </c>
      <c r="AR2701" s="3" t="s">
        <v>65</v>
      </c>
      <c r="AS2701" s="3" t="s">
        <v>65</v>
      </c>
      <c r="AT2701" s="3" t="s">
        <v>65</v>
      </c>
      <c r="AV2701" s="6" t="str">
        <f>HYPERLINK("http://mcgill.on.worldcat.org/oclc/904251443","Catalog Record")</f>
        <v>Catalog Record</v>
      </c>
      <c r="AW2701" s="6" t="str">
        <f>HYPERLINK("http://www.worldcat.org/oclc/904251443","WorldCat Record")</f>
        <v>WorldCat Record</v>
      </c>
      <c r="AX2701" s="3" t="s">
        <v>26761</v>
      </c>
      <c r="AY2701" s="3" t="s">
        <v>26762</v>
      </c>
      <c r="AZ2701" s="3" t="s">
        <v>26763</v>
      </c>
      <c r="BA2701" s="3" t="s">
        <v>26763</v>
      </c>
      <c r="BB2701" s="3" t="s">
        <v>26764</v>
      </c>
      <c r="BC2701" s="3" t="s">
        <v>77</v>
      </c>
      <c r="BD2701" s="3" t="s">
        <v>78</v>
      </c>
      <c r="BE2701" s="3" t="s">
        <v>26765</v>
      </c>
      <c r="BF2701" s="3" t="s">
        <v>26764</v>
      </c>
      <c r="BG2701" s="3" t="s">
        <v>26766</v>
      </c>
    </row>
    <row r="2702" spans="1:59" ht="72.5" x14ac:dyDescent="0.35">
      <c r="A2702" s="2" t="s">
        <v>59</v>
      </c>
      <c r="B2702" s="2" t="s">
        <v>60</v>
      </c>
      <c r="C2702" s="2" t="s">
        <v>26767</v>
      </c>
      <c r="D2702" s="2" t="s">
        <v>26768</v>
      </c>
      <c r="E2702" s="2" t="s">
        <v>26769</v>
      </c>
      <c r="G2702" s="3" t="s">
        <v>65</v>
      </c>
      <c r="I2702" s="3" t="s">
        <v>65</v>
      </c>
      <c r="J2702" s="3" t="s">
        <v>209</v>
      </c>
      <c r="K2702" s="3" t="s">
        <v>66</v>
      </c>
      <c r="L2702" s="2" t="s">
        <v>26770</v>
      </c>
      <c r="M2702" s="2" t="s">
        <v>26771</v>
      </c>
      <c r="N2702" s="3" t="s">
        <v>1109</v>
      </c>
      <c r="O2702" s="2" t="s">
        <v>26772</v>
      </c>
      <c r="P2702" s="3" t="s">
        <v>140</v>
      </c>
      <c r="Q2702" s="2" t="s">
        <v>26773</v>
      </c>
      <c r="R2702" s="3" t="s">
        <v>71</v>
      </c>
      <c r="S2702" s="4">
        <v>2</v>
      </c>
      <c r="T2702" s="4">
        <v>2</v>
      </c>
      <c r="U2702" s="5" t="s">
        <v>1097</v>
      </c>
      <c r="V2702" s="5" t="s">
        <v>1097</v>
      </c>
      <c r="W2702" s="5" t="s">
        <v>72</v>
      </c>
      <c r="X2702" s="5" t="s">
        <v>72</v>
      </c>
      <c r="Y2702" s="4">
        <v>24</v>
      </c>
      <c r="Z2702" s="4">
        <v>2</v>
      </c>
      <c r="AA2702" s="4">
        <v>16</v>
      </c>
      <c r="AB2702" s="4">
        <v>1</v>
      </c>
      <c r="AC2702" s="4">
        <v>4</v>
      </c>
      <c r="AD2702" s="4">
        <v>10</v>
      </c>
      <c r="AE2702" s="4">
        <v>70</v>
      </c>
      <c r="AF2702" s="4">
        <v>0</v>
      </c>
      <c r="AG2702" s="4">
        <v>3</v>
      </c>
      <c r="AH2702" s="4">
        <v>9</v>
      </c>
      <c r="AI2702" s="4">
        <v>63</v>
      </c>
      <c r="AJ2702" s="4">
        <v>1</v>
      </c>
      <c r="AK2702" s="4">
        <v>9</v>
      </c>
      <c r="AL2702" s="4">
        <v>4</v>
      </c>
      <c r="AM2702" s="4">
        <v>40</v>
      </c>
      <c r="AN2702" s="4">
        <v>0</v>
      </c>
      <c r="AO2702" s="4">
        <v>0</v>
      </c>
      <c r="AP2702" s="4">
        <v>1</v>
      </c>
      <c r="AQ2702" s="4">
        <v>9</v>
      </c>
      <c r="AR2702" s="3" t="s">
        <v>65</v>
      </c>
      <c r="AS2702" s="3" t="s">
        <v>65</v>
      </c>
      <c r="AT2702" s="3" t="s">
        <v>65</v>
      </c>
      <c r="AV2702" s="6" t="str">
        <f>HYPERLINK("http://mcgill.on.worldcat.org/oclc/2518667","Catalog Record")</f>
        <v>Catalog Record</v>
      </c>
      <c r="AW2702" s="6" t="str">
        <f>HYPERLINK("http://www.worldcat.org/oclc/2518667","WorldCat Record")</f>
        <v>WorldCat Record</v>
      </c>
      <c r="AX2702" s="3" t="s">
        <v>26774</v>
      </c>
      <c r="AY2702" s="3" t="s">
        <v>26775</v>
      </c>
      <c r="AZ2702" s="3" t="s">
        <v>26776</v>
      </c>
      <c r="BA2702" s="3" t="s">
        <v>26776</v>
      </c>
      <c r="BB2702" s="3" t="s">
        <v>26777</v>
      </c>
      <c r="BC2702" s="3" t="s">
        <v>77</v>
      </c>
      <c r="BD2702" s="3" t="s">
        <v>78</v>
      </c>
      <c r="BF2702" s="3" t="s">
        <v>26777</v>
      </c>
      <c r="BG2702" s="3" t="s">
        <v>26778</v>
      </c>
    </row>
    <row r="2703" spans="1:59" ht="58" x14ac:dyDescent="0.35">
      <c r="A2703" s="2" t="s">
        <v>59</v>
      </c>
      <c r="B2703" s="2" t="s">
        <v>60</v>
      </c>
      <c r="C2703" s="2" t="s">
        <v>26779</v>
      </c>
      <c r="D2703" s="2" t="s">
        <v>26780</v>
      </c>
      <c r="E2703" s="2" t="s">
        <v>26781</v>
      </c>
      <c r="G2703" s="3" t="s">
        <v>65</v>
      </c>
      <c r="I2703" s="3" t="s">
        <v>65</v>
      </c>
      <c r="J2703" s="3" t="s">
        <v>65</v>
      </c>
      <c r="K2703" s="3" t="s">
        <v>66</v>
      </c>
      <c r="L2703" s="2" t="s">
        <v>26782</v>
      </c>
      <c r="M2703" s="2" t="s">
        <v>26783</v>
      </c>
      <c r="N2703" s="3" t="s">
        <v>1196</v>
      </c>
      <c r="P2703" s="3" t="s">
        <v>140</v>
      </c>
      <c r="Q2703" s="2" t="s">
        <v>26784</v>
      </c>
      <c r="R2703" s="3" t="s">
        <v>71</v>
      </c>
      <c r="S2703" s="4">
        <v>2</v>
      </c>
      <c r="T2703" s="4">
        <v>2</v>
      </c>
      <c r="U2703" s="5" t="s">
        <v>2048</v>
      </c>
      <c r="V2703" s="5" t="s">
        <v>2048</v>
      </c>
      <c r="W2703" s="5" t="s">
        <v>72</v>
      </c>
      <c r="X2703" s="5" t="s">
        <v>72</v>
      </c>
      <c r="Y2703" s="4">
        <v>43</v>
      </c>
      <c r="Z2703" s="4">
        <v>4</v>
      </c>
      <c r="AA2703" s="4">
        <v>4</v>
      </c>
      <c r="AB2703" s="4">
        <v>1</v>
      </c>
      <c r="AC2703" s="4">
        <v>1</v>
      </c>
      <c r="AD2703" s="4">
        <v>36</v>
      </c>
      <c r="AE2703" s="4">
        <v>36</v>
      </c>
      <c r="AF2703" s="4">
        <v>0</v>
      </c>
      <c r="AG2703" s="4">
        <v>0</v>
      </c>
      <c r="AH2703" s="4">
        <v>35</v>
      </c>
      <c r="AI2703" s="4">
        <v>35</v>
      </c>
      <c r="AJ2703" s="4">
        <v>2</v>
      </c>
      <c r="AK2703" s="4">
        <v>2</v>
      </c>
      <c r="AL2703" s="4">
        <v>28</v>
      </c>
      <c r="AM2703" s="4">
        <v>28</v>
      </c>
      <c r="AN2703" s="4">
        <v>0</v>
      </c>
      <c r="AO2703" s="4">
        <v>0</v>
      </c>
      <c r="AP2703" s="4">
        <v>2</v>
      </c>
      <c r="AQ2703" s="4">
        <v>2</v>
      </c>
      <c r="AR2703" s="3" t="s">
        <v>65</v>
      </c>
      <c r="AS2703" s="3" t="s">
        <v>65</v>
      </c>
      <c r="AT2703" s="3" t="s">
        <v>209</v>
      </c>
      <c r="AU2703" s="6" t="str">
        <f>HYPERLINK("http://catalog.hathitrust.org/Record/005038280","HathiTrust Record")</f>
        <v>HathiTrust Record</v>
      </c>
      <c r="AV2703" s="6" t="str">
        <f>HYPERLINK("http://mcgill.on.worldcat.org/oclc/61107875","Catalog Record")</f>
        <v>Catalog Record</v>
      </c>
      <c r="AW2703" s="6" t="str">
        <f>HYPERLINK("http://www.worldcat.org/oclc/61107875","WorldCat Record")</f>
        <v>WorldCat Record</v>
      </c>
      <c r="AX2703" s="3" t="s">
        <v>26785</v>
      </c>
      <c r="AY2703" s="3" t="s">
        <v>26786</v>
      </c>
      <c r="AZ2703" s="3" t="s">
        <v>26787</v>
      </c>
      <c r="BA2703" s="3" t="s">
        <v>26787</v>
      </c>
      <c r="BB2703" s="3" t="s">
        <v>26788</v>
      </c>
      <c r="BC2703" s="3" t="s">
        <v>77</v>
      </c>
      <c r="BD2703" s="3" t="s">
        <v>78</v>
      </c>
      <c r="BE2703" s="3" t="s">
        <v>26789</v>
      </c>
      <c r="BF2703" s="3" t="s">
        <v>26788</v>
      </c>
      <c r="BG2703" s="3" t="s">
        <v>26790</v>
      </c>
    </row>
    <row r="2704" spans="1:59" ht="58" x14ac:dyDescent="0.35">
      <c r="A2704" s="2" t="s">
        <v>59</v>
      </c>
      <c r="B2704" s="2" t="s">
        <v>60</v>
      </c>
      <c r="C2704" s="2" t="s">
        <v>26791</v>
      </c>
      <c r="D2704" s="2" t="s">
        <v>26792</v>
      </c>
      <c r="E2704" s="2" t="s">
        <v>26793</v>
      </c>
      <c r="G2704" s="3" t="s">
        <v>65</v>
      </c>
      <c r="I2704" s="3" t="s">
        <v>65</v>
      </c>
      <c r="J2704" s="3" t="s">
        <v>65</v>
      </c>
      <c r="K2704" s="3" t="s">
        <v>66</v>
      </c>
      <c r="L2704" s="2" t="s">
        <v>26782</v>
      </c>
      <c r="M2704" s="2" t="s">
        <v>26794</v>
      </c>
      <c r="N2704" s="3" t="s">
        <v>1967</v>
      </c>
      <c r="P2704" s="3" t="s">
        <v>140</v>
      </c>
      <c r="Q2704" s="2" t="s">
        <v>26795</v>
      </c>
      <c r="R2704" s="3" t="s">
        <v>71</v>
      </c>
      <c r="S2704" s="4">
        <v>2</v>
      </c>
      <c r="T2704" s="4">
        <v>2</v>
      </c>
      <c r="U2704" s="5" t="s">
        <v>2048</v>
      </c>
      <c r="V2704" s="5" t="s">
        <v>2048</v>
      </c>
      <c r="W2704" s="5" t="s">
        <v>72</v>
      </c>
      <c r="X2704" s="5" t="s">
        <v>72</v>
      </c>
      <c r="Y2704" s="4">
        <v>39</v>
      </c>
      <c r="Z2704" s="4">
        <v>4</v>
      </c>
      <c r="AA2704" s="4">
        <v>4</v>
      </c>
      <c r="AB2704" s="4">
        <v>1</v>
      </c>
      <c r="AC2704" s="4">
        <v>1</v>
      </c>
      <c r="AD2704" s="4">
        <v>27</v>
      </c>
      <c r="AE2704" s="4">
        <v>27</v>
      </c>
      <c r="AF2704" s="4">
        <v>0</v>
      </c>
      <c r="AG2704" s="4">
        <v>0</v>
      </c>
      <c r="AH2704" s="4">
        <v>26</v>
      </c>
      <c r="AI2704" s="4">
        <v>26</v>
      </c>
      <c r="AJ2704" s="4">
        <v>2</v>
      </c>
      <c r="AK2704" s="4">
        <v>2</v>
      </c>
      <c r="AL2704" s="4">
        <v>20</v>
      </c>
      <c r="AM2704" s="4">
        <v>20</v>
      </c>
      <c r="AN2704" s="4">
        <v>0</v>
      </c>
      <c r="AO2704" s="4">
        <v>0</v>
      </c>
      <c r="AP2704" s="4">
        <v>2</v>
      </c>
      <c r="AQ2704" s="4">
        <v>2</v>
      </c>
      <c r="AR2704" s="3" t="s">
        <v>65</v>
      </c>
      <c r="AS2704" s="3" t="s">
        <v>65</v>
      </c>
      <c r="AT2704" s="3" t="s">
        <v>209</v>
      </c>
      <c r="AU2704" s="6" t="str">
        <f>HYPERLINK("http://catalog.hathitrust.org/Record/003872693","HathiTrust Record")</f>
        <v>HathiTrust Record</v>
      </c>
      <c r="AV2704" s="6" t="str">
        <f>HYPERLINK("http://mcgill.on.worldcat.org/oclc/52442617","Catalog Record")</f>
        <v>Catalog Record</v>
      </c>
      <c r="AW2704" s="6" t="str">
        <f>HYPERLINK("http://www.worldcat.org/oclc/52442617","WorldCat Record")</f>
        <v>WorldCat Record</v>
      </c>
      <c r="AX2704" s="3" t="s">
        <v>26796</v>
      </c>
      <c r="AY2704" s="3" t="s">
        <v>26797</v>
      </c>
      <c r="AZ2704" s="3" t="s">
        <v>26798</v>
      </c>
      <c r="BA2704" s="3" t="s">
        <v>26798</v>
      </c>
      <c r="BB2704" s="3" t="s">
        <v>26799</v>
      </c>
      <c r="BC2704" s="3" t="s">
        <v>77</v>
      </c>
      <c r="BD2704" s="3" t="s">
        <v>78</v>
      </c>
      <c r="BE2704" s="3" t="s">
        <v>26800</v>
      </c>
      <c r="BF2704" s="3" t="s">
        <v>26799</v>
      </c>
      <c r="BG2704" s="3" t="s">
        <v>26801</v>
      </c>
    </row>
    <row r="2705" spans="1:59" ht="58" x14ac:dyDescent="0.35">
      <c r="A2705" s="2" t="s">
        <v>59</v>
      </c>
      <c r="B2705" s="2" t="s">
        <v>60</v>
      </c>
      <c r="C2705" s="2" t="s">
        <v>26802</v>
      </c>
      <c r="D2705" s="2" t="s">
        <v>26803</v>
      </c>
      <c r="E2705" s="2" t="s">
        <v>26804</v>
      </c>
      <c r="G2705" s="3" t="s">
        <v>65</v>
      </c>
      <c r="I2705" s="3" t="s">
        <v>65</v>
      </c>
      <c r="J2705" s="3" t="s">
        <v>65</v>
      </c>
      <c r="K2705" s="3" t="s">
        <v>66</v>
      </c>
      <c r="L2705" s="2" t="s">
        <v>26782</v>
      </c>
      <c r="M2705" s="2" t="s">
        <v>26805</v>
      </c>
      <c r="N2705" s="3" t="s">
        <v>364</v>
      </c>
      <c r="P2705" s="3" t="s">
        <v>140</v>
      </c>
      <c r="Q2705" s="2" t="s">
        <v>26795</v>
      </c>
      <c r="R2705" s="3" t="s">
        <v>71</v>
      </c>
      <c r="S2705" s="4">
        <v>3</v>
      </c>
      <c r="T2705" s="4">
        <v>3</v>
      </c>
      <c r="U2705" s="5" t="s">
        <v>2048</v>
      </c>
      <c r="V2705" s="5" t="s">
        <v>2048</v>
      </c>
      <c r="W2705" s="5" t="s">
        <v>72</v>
      </c>
      <c r="X2705" s="5" t="s">
        <v>72</v>
      </c>
      <c r="Y2705" s="4">
        <v>42</v>
      </c>
      <c r="Z2705" s="4">
        <v>6</v>
      </c>
      <c r="AA2705" s="4">
        <v>6</v>
      </c>
      <c r="AB2705" s="4">
        <v>2</v>
      </c>
      <c r="AC2705" s="4">
        <v>2</v>
      </c>
      <c r="AD2705" s="4">
        <v>32</v>
      </c>
      <c r="AE2705" s="4">
        <v>32</v>
      </c>
      <c r="AF2705" s="4">
        <v>0</v>
      </c>
      <c r="AG2705" s="4">
        <v>0</v>
      </c>
      <c r="AH2705" s="4">
        <v>31</v>
      </c>
      <c r="AI2705" s="4">
        <v>31</v>
      </c>
      <c r="AJ2705" s="4">
        <v>3</v>
      </c>
      <c r="AK2705" s="4">
        <v>3</v>
      </c>
      <c r="AL2705" s="4">
        <v>24</v>
      </c>
      <c r="AM2705" s="4">
        <v>24</v>
      </c>
      <c r="AN2705" s="4">
        <v>0</v>
      </c>
      <c r="AO2705" s="4">
        <v>0</v>
      </c>
      <c r="AP2705" s="4">
        <v>3</v>
      </c>
      <c r="AQ2705" s="4">
        <v>3</v>
      </c>
      <c r="AR2705" s="3" t="s">
        <v>65</v>
      </c>
      <c r="AS2705" s="3" t="s">
        <v>65</v>
      </c>
      <c r="AT2705" s="3" t="s">
        <v>209</v>
      </c>
      <c r="AU2705" s="6" t="str">
        <f>HYPERLINK("http://catalog.hathitrust.org/Record/004218493","HathiTrust Record")</f>
        <v>HathiTrust Record</v>
      </c>
      <c r="AV2705" s="6" t="str">
        <f>HYPERLINK("http://mcgill.on.worldcat.org/oclc/48192219","Catalog Record")</f>
        <v>Catalog Record</v>
      </c>
      <c r="AW2705" s="6" t="str">
        <f>HYPERLINK("http://www.worldcat.org/oclc/48192219","WorldCat Record")</f>
        <v>WorldCat Record</v>
      </c>
      <c r="AX2705" s="3" t="s">
        <v>26806</v>
      </c>
      <c r="AY2705" s="3" t="s">
        <v>26807</v>
      </c>
      <c r="AZ2705" s="3" t="s">
        <v>26808</v>
      </c>
      <c r="BA2705" s="3" t="s">
        <v>26808</v>
      </c>
      <c r="BB2705" s="3" t="s">
        <v>26809</v>
      </c>
      <c r="BC2705" s="3" t="s">
        <v>77</v>
      </c>
      <c r="BD2705" s="3" t="s">
        <v>78</v>
      </c>
      <c r="BE2705" s="3" t="s">
        <v>26810</v>
      </c>
      <c r="BF2705" s="3" t="s">
        <v>26809</v>
      </c>
      <c r="BG2705" s="3" t="s">
        <v>26811</v>
      </c>
    </row>
    <row r="2706" spans="1:59" ht="58" x14ac:dyDescent="0.35">
      <c r="A2706" s="2" t="s">
        <v>59</v>
      </c>
      <c r="B2706" s="2" t="s">
        <v>60</v>
      </c>
      <c r="C2706" s="2" t="s">
        <v>26812</v>
      </c>
      <c r="D2706" s="2" t="s">
        <v>26813</v>
      </c>
      <c r="E2706" s="2" t="s">
        <v>26814</v>
      </c>
      <c r="G2706" s="3" t="s">
        <v>65</v>
      </c>
      <c r="I2706" s="3" t="s">
        <v>65</v>
      </c>
      <c r="J2706" s="3" t="s">
        <v>65</v>
      </c>
      <c r="K2706" s="3" t="s">
        <v>66</v>
      </c>
      <c r="L2706" s="2" t="s">
        <v>26782</v>
      </c>
      <c r="M2706" s="2" t="s">
        <v>26815</v>
      </c>
      <c r="N2706" s="3" t="s">
        <v>139</v>
      </c>
      <c r="O2706" s="2" t="s">
        <v>235</v>
      </c>
      <c r="P2706" s="3" t="s">
        <v>140</v>
      </c>
      <c r="Q2706" s="2" t="s">
        <v>26816</v>
      </c>
      <c r="R2706" s="3" t="s">
        <v>71</v>
      </c>
      <c r="S2706" s="4">
        <v>0</v>
      </c>
      <c r="T2706" s="4">
        <v>0</v>
      </c>
      <c r="W2706" s="5" t="s">
        <v>72</v>
      </c>
      <c r="X2706" s="5" t="s">
        <v>72</v>
      </c>
      <c r="Y2706" s="4">
        <v>58</v>
      </c>
      <c r="Z2706" s="4">
        <v>6</v>
      </c>
      <c r="AA2706" s="4">
        <v>6</v>
      </c>
      <c r="AB2706" s="4">
        <v>1</v>
      </c>
      <c r="AC2706" s="4">
        <v>1</v>
      </c>
      <c r="AD2706" s="4">
        <v>40</v>
      </c>
      <c r="AE2706" s="4">
        <v>40</v>
      </c>
      <c r="AF2706" s="4">
        <v>0</v>
      </c>
      <c r="AG2706" s="4">
        <v>0</v>
      </c>
      <c r="AH2706" s="4">
        <v>39</v>
      </c>
      <c r="AI2706" s="4">
        <v>39</v>
      </c>
      <c r="AJ2706" s="4">
        <v>3</v>
      </c>
      <c r="AK2706" s="4">
        <v>3</v>
      </c>
      <c r="AL2706" s="4">
        <v>31</v>
      </c>
      <c r="AM2706" s="4">
        <v>31</v>
      </c>
      <c r="AN2706" s="4">
        <v>0</v>
      </c>
      <c r="AO2706" s="4">
        <v>0</v>
      </c>
      <c r="AP2706" s="4">
        <v>3</v>
      </c>
      <c r="AQ2706" s="4">
        <v>3</v>
      </c>
      <c r="AR2706" s="3" t="s">
        <v>65</v>
      </c>
      <c r="AS2706" s="3" t="s">
        <v>65</v>
      </c>
      <c r="AT2706" s="3" t="s">
        <v>65</v>
      </c>
      <c r="AV2706" s="6" t="str">
        <f>HYPERLINK("http://mcgill.on.worldcat.org/oclc/815378574","Catalog Record")</f>
        <v>Catalog Record</v>
      </c>
      <c r="AW2706" s="6" t="str">
        <f>HYPERLINK("http://www.worldcat.org/oclc/815378574","WorldCat Record")</f>
        <v>WorldCat Record</v>
      </c>
      <c r="AX2706" s="3" t="s">
        <v>26817</v>
      </c>
      <c r="AY2706" s="3" t="s">
        <v>26818</v>
      </c>
      <c r="AZ2706" s="3" t="s">
        <v>26819</v>
      </c>
      <c r="BA2706" s="3" t="s">
        <v>26819</v>
      </c>
      <c r="BB2706" s="3" t="s">
        <v>26820</v>
      </c>
      <c r="BC2706" s="3" t="s">
        <v>77</v>
      </c>
      <c r="BD2706" s="3" t="s">
        <v>78</v>
      </c>
      <c r="BE2706" s="3" t="s">
        <v>26821</v>
      </c>
      <c r="BF2706" s="3" t="s">
        <v>26820</v>
      </c>
      <c r="BG2706" s="3" t="s">
        <v>26822</v>
      </c>
    </row>
    <row r="2707" spans="1:59" ht="58" x14ac:dyDescent="0.35">
      <c r="A2707" s="2" t="s">
        <v>59</v>
      </c>
      <c r="B2707" s="2" t="s">
        <v>60</v>
      </c>
      <c r="C2707" s="2" t="s">
        <v>26823</v>
      </c>
      <c r="D2707" s="2" t="s">
        <v>26824</v>
      </c>
      <c r="E2707" s="2" t="s">
        <v>26825</v>
      </c>
      <c r="G2707" s="3" t="s">
        <v>65</v>
      </c>
      <c r="I2707" s="3" t="s">
        <v>65</v>
      </c>
      <c r="J2707" s="3" t="s">
        <v>65</v>
      </c>
      <c r="K2707" s="3" t="s">
        <v>66</v>
      </c>
      <c r="L2707" s="2" t="s">
        <v>26826</v>
      </c>
      <c r="M2707" s="2" t="s">
        <v>26827</v>
      </c>
      <c r="N2707" s="3" t="s">
        <v>2210</v>
      </c>
      <c r="P2707" s="3" t="s">
        <v>140</v>
      </c>
      <c r="Q2707" s="2" t="s">
        <v>26828</v>
      </c>
      <c r="R2707" s="3" t="s">
        <v>71</v>
      </c>
      <c r="S2707" s="4">
        <v>3</v>
      </c>
      <c r="T2707" s="4">
        <v>3</v>
      </c>
      <c r="U2707" s="5" t="s">
        <v>26829</v>
      </c>
      <c r="V2707" s="5" t="s">
        <v>26829</v>
      </c>
      <c r="W2707" s="5" t="s">
        <v>72</v>
      </c>
      <c r="X2707" s="5" t="s">
        <v>72</v>
      </c>
      <c r="Y2707" s="4">
        <v>6</v>
      </c>
      <c r="Z2707" s="4">
        <v>1</v>
      </c>
      <c r="AA2707" s="4">
        <v>4</v>
      </c>
      <c r="AB2707" s="4">
        <v>1</v>
      </c>
      <c r="AC2707" s="4">
        <v>1</v>
      </c>
      <c r="AD2707" s="4">
        <v>1</v>
      </c>
      <c r="AE2707" s="4">
        <v>31</v>
      </c>
      <c r="AF2707" s="4">
        <v>0</v>
      </c>
      <c r="AG2707" s="4">
        <v>0</v>
      </c>
      <c r="AH2707" s="4">
        <v>1</v>
      </c>
      <c r="AI2707" s="4">
        <v>30</v>
      </c>
      <c r="AJ2707" s="4">
        <v>0</v>
      </c>
      <c r="AK2707" s="4">
        <v>2</v>
      </c>
      <c r="AL2707" s="4">
        <v>0</v>
      </c>
      <c r="AM2707" s="4">
        <v>23</v>
      </c>
      <c r="AN2707" s="4">
        <v>0</v>
      </c>
      <c r="AO2707" s="4">
        <v>0</v>
      </c>
      <c r="AP2707" s="4">
        <v>0</v>
      </c>
      <c r="AQ2707" s="4">
        <v>2</v>
      </c>
      <c r="AR2707" s="3" t="s">
        <v>65</v>
      </c>
      <c r="AS2707" s="3" t="s">
        <v>65</v>
      </c>
      <c r="AT2707" s="3" t="s">
        <v>209</v>
      </c>
      <c r="AU2707" s="6" t="str">
        <f>HYPERLINK("http://catalog.hathitrust.org/Record/004303294","HathiTrust Record")</f>
        <v>HathiTrust Record</v>
      </c>
      <c r="AV2707" s="6" t="str">
        <f>HYPERLINK("http://mcgill.on.worldcat.org/oclc/427516949","Catalog Record")</f>
        <v>Catalog Record</v>
      </c>
      <c r="AW2707" s="6" t="str">
        <f>HYPERLINK("http://www.worldcat.org/oclc/427516949","WorldCat Record")</f>
        <v>WorldCat Record</v>
      </c>
      <c r="AX2707" s="3" t="s">
        <v>26830</v>
      </c>
      <c r="AY2707" s="3" t="s">
        <v>26831</v>
      </c>
      <c r="AZ2707" s="3" t="s">
        <v>26832</v>
      </c>
      <c r="BA2707" s="3" t="s">
        <v>26832</v>
      </c>
      <c r="BB2707" s="3" t="s">
        <v>26833</v>
      </c>
      <c r="BC2707" s="3" t="s">
        <v>77</v>
      </c>
      <c r="BD2707" s="3" t="s">
        <v>78</v>
      </c>
      <c r="BE2707" s="3" t="s">
        <v>26834</v>
      </c>
      <c r="BF2707" s="3" t="s">
        <v>26833</v>
      </c>
      <c r="BG2707" s="3" t="s">
        <v>26835</v>
      </c>
    </row>
    <row r="2708" spans="1:59" ht="58" x14ac:dyDescent="0.35">
      <c r="A2708" s="2" t="s">
        <v>59</v>
      </c>
      <c r="B2708" s="2" t="s">
        <v>60</v>
      </c>
      <c r="C2708" s="2" t="s">
        <v>26836</v>
      </c>
      <c r="D2708" s="2" t="s">
        <v>26837</v>
      </c>
      <c r="E2708" s="2" t="s">
        <v>26838</v>
      </c>
      <c r="G2708" s="3" t="s">
        <v>65</v>
      </c>
      <c r="I2708" s="3" t="s">
        <v>65</v>
      </c>
      <c r="J2708" s="3" t="s">
        <v>65</v>
      </c>
      <c r="K2708" s="3" t="s">
        <v>66</v>
      </c>
      <c r="L2708" s="2" t="s">
        <v>26826</v>
      </c>
      <c r="M2708" s="2" t="s">
        <v>26839</v>
      </c>
      <c r="N2708" s="3" t="s">
        <v>2210</v>
      </c>
      <c r="P2708" s="3" t="s">
        <v>140</v>
      </c>
      <c r="Q2708" s="2" t="s">
        <v>26840</v>
      </c>
      <c r="R2708" s="3" t="s">
        <v>71</v>
      </c>
      <c r="S2708" s="4">
        <v>3</v>
      </c>
      <c r="T2708" s="4">
        <v>3</v>
      </c>
      <c r="U2708" s="5" t="s">
        <v>2048</v>
      </c>
      <c r="V2708" s="5" t="s">
        <v>2048</v>
      </c>
      <c r="W2708" s="5" t="s">
        <v>72</v>
      </c>
      <c r="X2708" s="5" t="s">
        <v>72</v>
      </c>
      <c r="Y2708" s="4">
        <v>23</v>
      </c>
      <c r="Z2708" s="4">
        <v>4</v>
      </c>
      <c r="AA2708" s="4">
        <v>5</v>
      </c>
      <c r="AB2708" s="4">
        <v>1</v>
      </c>
      <c r="AC2708" s="4">
        <v>1</v>
      </c>
      <c r="AD2708" s="4">
        <v>2</v>
      </c>
      <c r="AE2708" s="4">
        <v>30</v>
      </c>
      <c r="AF2708" s="4">
        <v>0</v>
      </c>
      <c r="AG2708" s="4">
        <v>0</v>
      </c>
      <c r="AH2708" s="4">
        <v>2</v>
      </c>
      <c r="AI2708" s="4">
        <v>28</v>
      </c>
      <c r="AJ2708" s="4">
        <v>2</v>
      </c>
      <c r="AK2708" s="4">
        <v>2</v>
      </c>
      <c r="AL2708" s="4">
        <v>1</v>
      </c>
      <c r="AM2708" s="4">
        <v>22</v>
      </c>
      <c r="AN2708" s="4">
        <v>0</v>
      </c>
      <c r="AO2708" s="4">
        <v>0</v>
      </c>
      <c r="AP2708" s="4">
        <v>2</v>
      </c>
      <c r="AQ2708" s="4">
        <v>2</v>
      </c>
      <c r="AR2708" s="3" t="s">
        <v>65</v>
      </c>
      <c r="AS2708" s="3" t="s">
        <v>65</v>
      </c>
      <c r="AT2708" s="3" t="s">
        <v>209</v>
      </c>
      <c r="AU2708" s="6" t="str">
        <f>HYPERLINK("http://catalog.hathitrust.org/Record/004263465","HathiTrust Record")</f>
        <v>HathiTrust Record</v>
      </c>
      <c r="AV2708" s="6" t="str">
        <f>HYPERLINK("http://mcgill.on.worldcat.org/oclc/428092900","Catalog Record")</f>
        <v>Catalog Record</v>
      </c>
      <c r="AW2708" s="6" t="str">
        <f>HYPERLINK("http://www.worldcat.org/oclc/428092900","WorldCat Record")</f>
        <v>WorldCat Record</v>
      </c>
      <c r="AX2708" s="3" t="s">
        <v>26841</v>
      </c>
      <c r="AY2708" s="3" t="s">
        <v>26842</v>
      </c>
      <c r="AZ2708" s="3" t="s">
        <v>26843</v>
      </c>
      <c r="BA2708" s="3" t="s">
        <v>26843</v>
      </c>
      <c r="BB2708" s="3" t="s">
        <v>26844</v>
      </c>
      <c r="BC2708" s="3" t="s">
        <v>77</v>
      </c>
      <c r="BD2708" s="3" t="s">
        <v>78</v>
      </c>
      <c r="BE2708" s="3" t="s">
        <v>26845</v>
      </c>
      <c r="BF2708" s="3" t="s">
        <v>26844</v>
      </c>
      <c r="BG2708" s="3" t="s">
        <v>26846</v>
      </c>
    </row>
    <row r="2709" spans="1:59" ht="58" x14ac:dyDescent="0.35">
      <c r="A2709" s="2" t="s">
        <v>59</v>
      </c>
      <c r="B2709" s="2" t="s">
        <v>60</v>
      </c>
      <c r="C2709" s="2" t="s">
        <v>26847</v>
      </c>
      <c r="D2709" s="2" t="s">
        <v>26848</v>
      </c>
      <c r="E2709" s="2" t="s">
        <v>26849</v>
      </c>
      <c r="G2709" s="3" t="s">
        <v>65</v>
      </c>
      <c r="I2709" s="3" t="s">
        <v>65</v>
      </c>
      <c r="J2709" s="3" t="s">
        <v>65</v>
      </c>
      <c r="K2709" s="3" t="s">
        <v>66</v>
      </c>
      <c r="L2709" s="2" t="s">
        <v>26850</v>
      </c>
      <c r="M2709" s="2" t="s">
        <v>26851</v>
      </c>
      <c r="N2709" s="3" t="s">
        <v>139</v>
      </c>
      <c r="P2709" s="3" t="s">
        <v>140</v>
      </c>
      <c r="Q2709" s="2" t="s">
        <v>26852</v>
      </c>
      <c r="R2709" s="3" t="s">
        <v>71</v>
      </c>
      <c r="S2709" s="4">
        <v>1</v>
      </c>
      <c r="T2709" s="4">
        <v>1</v>
      </c>
      <c r="U2709" s="5" t="s">
        <v>26829</v>
      </c>
      <c r="V2709" s="5" t="s">
        <v>26829</v>
      </c>
      <c r="W2709" s="5" t="s">
        <v>72</v>
      </c>
      <c r="X2709" s="5" t="s">
        <v>72</v>
      </c>
      <c r="Y2709" s="4">
        <v>7</v>
      </c>
      <c r="Z2709" s="4">
        <v>1</v>
      </c>
      <c r="AA2709" s="4">
        <v>3</v>
      </c>
      <c r="AB2709" s="4">
        <v>1</v>
      </c>
      <c r="AC2709" s="4">
        <v>1</v>
      </c>
      <c r="AD2709" s="4">
        <v>4</v>
      </c>
      <c r="AE2709" s="4">
        <v>7</v>
      </c>
      <c r="AF2709" s="4">
        <v>0</v>
      </c>
      <c r="AG2709" s="4">
        <v>0</v>
      </c>
      <c r="AH2709" s="4">
        <v>3</v>
      </c>
      <c r="AI2709" s="4">
        <v>6</v>
      </c>
      <c r="AJ2709" s="4">
        <v>0</v>
      </c>
      <c r="AK2709" s="4">
        <v>1</v>
      </c>
      <c r="AL2709" s="4">
        <v>4</v>
      </c>
      <c r="AM2709" s="4">
        <v>7</v>
      </c>
      <c r="AN2709" s="4">
        <v>0</v>
      </c>
      <c r="AO2709" s="4">
        <v>0</v>
      </c>
      <c r="AP2709" s="4">
        <v>0</v>
      </c>
      <c r="AQ2709" s="4">
        <v>1</v>
      </c>
      <c r="AR2709" s="3" t="s">
        <v>65</v>
      </c>
      <c r="AS2709" s="3" t="s">
        <v>65</v>
      </c>
      <c r="AT2709" s="3" t="s">
        <v>65</v>
      </c>
      <c r="AV2709" s="6" t="str">
        <f>HYPERLINK("http://mcgill.on.worldcat.org/oclc/805053691","Catalog Record")</f>
        <v>Catalog Record</v>
      </c>
      <c r="AW2709" s="6" t="str">
        <f>HYPERLINK("http://www.worldcat.org/oclc/805053691","WorldCat Record")</f>
        <v>WorldCat Record</v>
      </c>
      <c r="AX2709" s="3" t="s">
        <v>26853</v>
      </c>
      <c r="AY2709" s="3" t="s">
        <v>26854</v>
      </c>
      <c r="AZ2709" s="3" t="s">
        <v>26855</v>
      </c>
      <c r="BA2709" s="3" t="s">
        <v>26855</v>
      </c>
      <c r="BB2709" s="3" t="s">
        <v>26856</v>
      </c>
      <c r="BC2709" s="3" t="s">
        <v>77</v>
      </c>
      <c r="BD2709" s="3" t="s">
        <v>78</v>
      </c>
      <c r="BE2709" s="3" t="s">
        <v>26857</v>
      </c>
      <c r="BF2709" s="3" t="s">
        <v>26856</v>
      </c>
      <c r="BG2709" s="3" t="s">
        <v>26858</v>
      </c>
    </row>
    <row r="2710" spans="1:59" ht="58" x14ac:dyDescent="0.35">
      <c r="A2710" s="2" t="s">
        <v>59</v>
      </c>
      <c r="B2710" s="2" t="s">
        <v>60</v>
      </c>
      <c r="C2710" s="2" t="s">
        <v>26859</v>
      </c>
      <c r="D2710" s="2" t="s">
        <v>26860</v>
      </c>
      <c r="E2710" s="2" t="s">
        <v>26861</v>
      </c>
      <c r="G2710" s="3" t="s">
        <v>65</v>
      </c>
      <c r="I2710" s="3" t="s">
        <v>65</v>
      </c>
      <c r="J2710" s="3" t="s">
        <v>65</v>
      </c>
      <c r="K2710" s="3" t="s">
        <v>66</v>
      </c>
      <c r="L2710" s="2" t="s">
        <v>26782</v>
      </c>
      <c r="M2710" s="2" t="s">
        <v>26862</v>
      </c>
      <c r="N2710" s="3" t="s">
        <v>525</v>
      </c>
      <c r="O2710" s="2" t="s">
        <v>26116</v>
      </c>
      <c r="P2710" s="3" t="s">
        <v>140</v>
      </c>
      <c r="Q2710" s="2" t="s">
        <v>26795</v>
      </c>
      <c r="R2710" s="3" t="s">
        <v>71</v>
      </c>
      <c r="S2710" s="4">
        <v>1</v>
      </c>
      <c r="T2710" s="4">
        <v>1</v>
      </c>
      <c r="U2710" s="5" t="s">
        <v>2048</v>
      </c>
      <c r="V2710" s="5" t="s">
        <v>2048</v>
      </c>
      <c r="W2710" s="5" t="s">
        <v>72</v>
      </c>
      <c r="X2710" s="5" t="s">
        <v>72</v>
      </c>
      <c r="Y2710" s="4">
        <v>41</v>
      </c>
      <c r="Z2710" s="4">
        <v>4</v>
      </c>
      <c r="AA2710" s="4">
        <v>4</v>
      </c>
      <c r="AB2710" s="4">
        <v>1</v>
      </c>
      <c r="AC2710" s="4">
        <v>1</v>
      </c>
      <c r="AD2710" s="4">
        <v>31</v>
      </c>
      <c r="AE2710" s="4">
        <v>31</v>
      </c>
      <c r="AF2710" s="4">
        <v>0</v>
      </c>
      <c r="AG2710" s="4">
        <v>0</v>
      </c>
      <c r="AH2710" s="4">
        <v>30</v>
      </c>
      <c r="AI2710" s="4">
        <v>30</v>
      </c>
      <c r="AJ2710" s="4">
        <v>2</v>
      </c>
      <c r="AK2710" s="4">
        <v>2</v>
      </c>
      <c r="AL2710" s="4">
        <v>24</v>
      </c>
      <c r="AM2710" s="4">
        <v>24</v>
      </c>
      <c r="AN2710" s="4">
        <v>0</v>
      </c>
      <c r="AO2710" s="4">
        <v>0</v>
      </c>
      <c r="AP2710" s="4">
        <v>2</v>
      </c>
      <c r="AQ2710" s="4">
        <v>2</v>
      </c>
      <c r="AR2710" s="3" t="s">
        <v>65</v>
      </c>
      <c r="AS2710" s="3" t="s">
        <v>65</v>
      </c>
      <c r="AT2710" s="3" t="s">
        <v>209</v>
      </c>
      <c r="AU2710" s="6" t="str">
        <f>HYPERLINK("http://catalog.hathitrust.org/Record/004950150","HathiTrust Record")</f>
        <v>HathiTrust Record</v>
      </c>
      <c r="AV2710" s="6" t="str">
        <f>HYPERLINK("http://mcgill.on.worldcat.org/oclc/57184413","Catalog Record")</f>
        <v>Catalog Record</v>
      </c>
      <c r="AW2710" s="6" t="str">
        <f>HYPERLINK("http://www.worldcat.org/oclc/57184413","WorldCat Record")</f>
        <v>WorldCat Record</v>
      </c>
      <c r="AX2710" s="3" t="s">
        <v>26863</v>
      </c>
      <c r="AY2710" s="3" t="s">
        <v>26864</v>
      </c>
      <c r="AZ2710" s="3" t="s">
        <v>26865</v>
      </c>
      <c r="BA2710" s="3" t="s">
        <v>26865</v>
      </c>
      <c r="BB2710" s="3" t="s">
        <v>26866</v>
      </c>
      <c r="BC2710" s="3" t="s">
        <v>77</v>
      </c>
      <c r="BD2710" s="3" t="s">
        <v>78</v>
      </c>
      <c r="BE2710" s="3" t="s">
        <v>26867</v>
      </c>
      <c r="BF2710" s="3" t="s">
        <v>26866</v>
      </c>
      <c r="BG2710" s="3" t="s">
        <v>26868</v>
      </c>
    </row>
    <row r="2711" spans="1:59" ht="72.5" x14ac:dyDescent="0.35">
      <c r="A2711" s="2" t="s">
        <v>59</v>
      </c>
      <c r="B2711" s="2" t="s">
        <v>60</v>
      </c>
      <c r="C2711" s="2" t="s">
        <v>26869</v>
      </c>
      <c r="D2711" s="2" t="s">
        <v>26870</v>
      </c>
      <c r="E2711" s="2" t="s">
        <v>26871</v>
      </c>
      <c r="G2711" s="3" t="s">
        <v>65</v>
      </c>
      <c r="I2711" s="3" t="s">
        <v>65</v>
      </c>
      <c r="J2711" s="3" t="s">
        <v>65</v>
      </c>
      <c r="K2711" s="3" t="s">
        <v>66</v>
      </c>
      <c r="L2711" s="2" t="s">
        <v>26872</v>
      </c>
      <c r="M2711" s="2" t="s">
        <v>26873</v>
      </c>
      <c r="N2711" s="3" t="s">
        <v>221</v>
      </c>
      <c r="P2711" s="3" t="s">
        <v>69</v>
      </c>
      <c r="R2711" s="3" t="s">
        <v>71</v>
      </c>
      <c r="S2711" s="4">
        <v>3</v>
      </c>
      <c r="T2711" s="4">
        <v>3</v>
      </c>
      <c r="U2711" s="5" t="s">
        <v>24707</v>
      </c>
      <c r="V2711" s="5" t="s">
        <v>24707</v>
      </c>
      <c r="W2711" s="5" t="s">
        <v>72</v>
      </c>
      <c r="X2711" s="5" t="s">
        <v>72</v>
      </c>
      <c r="Y2711" s="4">
        <v>277</v>
      </c>
      <c r="Z2711" s="4">
        <v>16</v>
      </c>
      <c r="AA2711" s="4">
        <v>20</v>
      </c>
      <c r="AB2711" s="4">
        <v>1</v>
      </c>
      <c r="AC2711" s="4">
        <v>3</v>
      </c>
      <c r="AD2711" s="4">
        <v>81</v>
      </c>
      <c r="AE2711" s="4">
        <v>82</v>
      </c>
      <c r="AF2711" s="4">
        <v>0</v>
      </c>
      <c r="AG2711" s="4">
        <v>0</v>
      </c>
      <c r="AH2711" s="4">
        <v>76</v>
      </c>
      <c r="AI2711" s="4">
        <v>77</v>
      </c>
      <c r="AJ2711" s="4">
        <v>10</v>
      </c>
      <c r="AK2711" s="4">
        <v>10</v>
      </c>
      <c r="AL2711" s="4">
        <v>44</v>
      </c>
      <c r="AM2711" s="4">
        <v>44</v>
      </c>
      <c r="AN2711" s="4">
        <v>0</v>
      </c>
      <c r="AO2711" s="4">
        <v>0</v>
      </c>
      <c r="AP2711" s="4">
        <v>10</v>
      </c>
      <c r="AQ2711" s="4">
        <v>10</v>
      </c>
      <c r="AR2711" s="3" t="s">
        <v>65</v>
      </c>
      <c r="AS2711" s="3" t="s">
        <v>65</v>
      </c>
      <c r="AT2711" s="3" t="s">
        <v>209</v>
      </c>
      <c r="AU2711" s="6" t="str">
        <f>HYPERLINK("http://catalog.hathitrust.org/Record/007148467","HathiTrust Record")</f>
        <v>HathiTrust Record</v>
      </c>
      <c r="AV2711" s="6" t="str">
        <f>HYPERLINK("http://mcgill.on.worldcat.org/oclc/81150542","Catalog Record")</f>
        <v>Catalog Record</v>
      </c>
      <c r="AW2711" s="6" t="str">
        <f>HYPERLINK("http://www.worldcat.org/oclc/81150542","WorldCat Record")</f>
        <v>WorldCat Record</v>
      </c>
      <c r="AX2711" s="3" t="s">
        <v>26874</v>
      </c>
      <c r="AY2711" s="3" t="s">
        <v>26875</v>
      </c>
      <c r="AZ2711" s="3" t="s">
        <v>26876</v>
      </c>
      <c r="BA2711" s="3" t="s">
        <v>26876</v>
      </c>
      <c r="BB2711" s="3" t="s">
        <v>26877</v>
      </c>
      <c r="BC2711" s="3" t="s">
        <v>77</v>
      </c>
      <c r="BD2711" s="3" t="s">
        <v>78</v>
      </c>
      <c r="BE2711" s="3" t="s">
        <v>26878</v>
      </c>
      <c r="BF2711" s="3" t="s">
        <v>26877</v>
      </c>
      <c r="BG2711" s="3" t="s">
        <v>26879</v>
      </c>
    </row>
    <row r="2712" spans="1:59" ht="58" x14ac:dyDescent="0.35">
      <c r="A2712" s="2" t="s">
        <v>59</v>
      </c>
      <c r="B2712" s="2" t="s">
        <v>60</v>
      </c>
      <c r="C2712" s="2" t="s">
        <v>26880</v>
      </c>
      <c r="D2712" s="2" t="s">
        <v>26881</v>
      </c>
      <c r="E2712" s="2" t="s">
        <v>26882</v>
      </c>
      <c r="G2712" s="3" t="s">
        <v>65</v>
      </c>
      <c r="I2712" s="3" t="s">
        <v>65</v>
      </c>
      <c r="J2712" s="3" t="s">
        <v>65</v>
      </c>
      <c r="K2712" s="3" t="s">
        <v>66</v>
      </c>
      <c r="L2712" s="2" t="s">
        <v>26872</v>
      </c>
      <c r="M2712" s="2" t="s">
        <v>26883</v>
      </c>
      <c r="N2712" s="3" t="s">
        <v>392</v>
      </c>
      <c r="O2712" s="2" t="s">
        <v>26884</v>
      </c>
      <c r="P2712" s="3" t="s">
        <v>69</v>
      </c>
      <c r="R2712" s="3" t="s">
        <v>71</v>
      </c>
      <c r="S2712" s="4">
        <v>14</v>
      </c>
      <c r="T2712" s="4">
        <v>14</v>
      </c>
      <c r="U2712" s="5" t="s">
        <v>24707</v>
      </c>
      <c r="V2712" s="5" t="s">
        <v>24707</v>
      </c>
      <c r="W2712" s="5" t="s">
        <v>72</v>
      </c>
      <c r="X2712" s="5" t="s">
        <v>72</v>
      </c>
      <c r="Y2712" s="4">
        <v>196</v>
      </c>
      <c r="Z2712" s="4">
        <v>8</v>
      </c>
      <c r="AA2712" s="4">
        <v>10</v>
      </c>
      <c r="AB2712" s="4">
        <v>1</v>
      </c>
      <c r="AC2712" s="4">
        <v>1</v>
      </c>
      <c r="AD2712" s="4">
        <v>70</v>
      </c>
      <c r="AE2712" s="4">
        <v>71</v>
      </c>
      <c r="AF2712" s="4">
        <v>0</v>
      </c>
      <c r="AG2712" s="4">
        <v>0</v>
      </c>
      <c r="AH2712" s="4">
        <v>66</v>
      </c>
      <c r="AI2712" s="4">
        <v>67</v>
      </c>
      <c r="AJ2712" s="4">
        <v>6</v>
      </c>
      <c r="AK2712" s="4">
        <v>7</v>
      </c>
      <c r="AL2712" s="4">
        <v>42</v>
      </c>
      <c r="AM2712" s="4">
        <v>43</v>
      </c>
      <c r="AN2712" s="4">
        <v>3</v>
      </c>
      <c r="AO2712" s="4">
        <v>3</v>
      </c>
      <c r="AP2712" s="4">
        <v>6</v>
      </c>
      <c r="AQ2712" s="4">
        <v>7</v>
      </c>
      <c r="AR2712" s="3" t="s">
        <v>65</v>
      </c>
      <c r="AS2712" s="3" t="s">
        <v>65</v>
      </c>
      <c r="AT2712" s="3" t="s">
        <v>209</v>
      </c>
      <c r="AU2712" s="6" t="str">
        <f>HYPERLINK("http://catalog.hathitrust.org/Record/001950064","HathiTrust Record")</f>
        <v>HathiTrust Record</v>
      </c>
      <c r="AV2712" s="6" t="str">
        <f>HYPERLINK("http://mcgill.on.worldcat.org/oclc/21114340","Catalog Record")</f>
        <v>Catalog Record</v>
      </c>
      <c r="AW2712" s="6" t="str">
        <f>HYPERLINK("http://www.worldcat.org/oclc/21114340","WorldCat Record")</f>
        <v>WorldCat Record</v>
      </c>
      <c r="AX2712" s="3" t="s">
        <v>26885</v>
      </c>
      <c r="AY2712" s="3" t="s">
        <v>26886</v>
      </c>
      <c r="AZ2712" s="3" t="s">
        <v>26887</v>
      </c>
      <c r="BA2712" s="3" t="s">
        <v>26887</v>
      </c>
      <c r="BB2712" s="3" t="s">
        <v>26888</v>
      </c>
      <c r="BC2712" s="3" t="s">
        <v>77</v>
      </c>
      <c r="BD2712" s="3" t="s">
        <v>78</v>
      </c>
      <c r="BE2712" s="3" t="s">
        <v>26889</v>
      </c>
      <c r="BF2712" s="3" t="s">
        <v>26888</v>
      </c>
      <c r="BG2712" s="3" t="s">
        <v>26890</v>
      </c>
    </row>
    <row r="2713" spans="1:59" ht="58" x14ac:dyDescent="0.35">
      <c r="A2713" s="2" t="s">
        <v>59</v>
      </c>
      <c r="B2713" s="2" t="s">
        <v>60</v>
      </c>
      <c r="C2713" s="2" t="s">
        <v>26891</v>
      </c>
      <c r="D2713" s="2" t="s">
        <v>26892</v>
      </c>
      <c r="E2713" s="2" t="s">
        <v>26893</v>
      </c>
      <c r="G2713" s="3" t="s">
        <v>65</v>
      </c>
      <c r="I2713" s="3" t="s">
        <v>65</v>
      </c>
      <c r="J2713" s="3" t="s">
        <v>65</v>
      </c>
      <c r="K2713" s="3" t="s">
        <v>66</v>
      </c>
      <c r="L2713" s="2" t="s">
        <v>26872</v>
      </c>
      <c r="M2713" s="2" t="s">
        <v>26894</v>
      </c>
      <c r="N2713" s="3" t="s">
        <v>863</v>
      </c>
      <c r="O2713" s="2" t="s">
        <v>17363</v>
      </c>
      <c r="P2713" s="3" t="s">
        <v>140</v>
      </c>
      <c r="Q2713" s="2" t="s">
        <v>26895</v>
      </c>
      <c r="R2713" s="3" t="s">
        <v>71</v>
      </c>
      <c r="S2713" s="4">
        <v>9</v>
      </c>
      <c r="T2713" s="4">
        <v>9</v>
      </c>
      <c r="U2713" s="5" t="s">
        <v>26896</v>
      </c>
      <c r="V2713" s="5" t="s">
        <v>26896</v>
      </c>
      <c r="W2713" s="5" t="s">
        <v>72</v>
      </c>
      <c r="X2713" s="5" t="s">
        <v>72</v>
      </c>
      <c r="Y2713" s="4">
        <v>13</v>
      </c>
      <c r="Z2713" s="4">
        <v>1</v>
      </c>
      <c r="AA2713" s="4">
        <v>3</v>
      </c>
      <c r="AB2713" s="4">
        <v>1</v>
      </c>
      <c r="AC2713" s="4">
        <v>1</v>
      </c>
      <c r="AD2713" s="4">
        <v>4</v>
      </c>
      <c r="AE2713" s="4">
        <v>14</v>
      </c>
      <c r="AF2713" s="4">
        <v>0</v>
      </c>
      <c r="AG2713" s="4">
        <v>0</v>
      </c>
      <c r="AH2713" s="4">
        <v>4</v>
      </c>
      <c r="AI2713" s="4">
        <v>13</v>
      </c>
      <c r="AJ2713" s="4">
        <v>0</v>
      </c>
      <c r="AK2713" s="4">
        <v>1</v>
      </c>
      <c r="AL2713" s="4">
        <v>4</v>
      </c>
      <c r="AM2713" s="4">
        <v>12</v>
      </c>
      <c r="AN2713" s="4">
        <v>0</v>
      </c>
      <c r="AO2713" s="4">
        <v>0</v>
      </c>
      <c r="AP2713" s="4">
        <v>0</v>
      </c>
      <c r="AQ2713" s="4">
        <v>1</v>
      </c>
      <c r="AR2713" s="3" t="s">
        <v>65</v>
      </c>
      <c r="AS2713" s="3" t="s">
        <v>65</v>
      </c>
      <c r="AT2713" s="3" t="s">
        <v>65</v>
      </c>
      <c r="AV2713" s="6" t="str">
        <f>HYPERLINK("http://mcgill.on.worldcat.org/oclc/29286302","Catalog Record")</f>
        <v>Catalog Record</v>
      </c>
      <c r="AW2713" s="6" t="str">
        <f>HYPERLINK("http://www.worldcat.org/oclc/29286302","WorldCat Record")</f>
        <v>WorldCat Record</v>
      </c>
      <c r="AX2713" s="3" t="s">
        <v>26897</v>
      </c>
      <c r="AY2713" s="3" t="s">
        <v>26898</v>
      </c>
      <c r="AZ2713" s="3" t="s">
        <v>26899</v>
      </c>
      <c r="BA2713" s="3" t="s">
        <v>26899</v>
      </c>
      <c r="BB2713" s="3" t="s">
        <v>26900</v>
      </c>
      <c r="BC2713" s="3" t="s">
        <v>77</v>
      </c>
      <c r="BD2713" s="3" t="s">
        <v>78</v>
      </c>
      <c r="BF2713" s="3" t="s">
        <v>26900</v>
      </c>
      <c r="BG2713" s="3" t="s">
        <v>26901</v>
      </c>
    </row>
    <row r="2714" spans="1:59" ht="58" x14ac:dyDescent="0.35">
      <c r="A2714" s="2" t="s">
        <v>59</v>
      </c>
      <c r="B2714" s="2" t="s">
        <v>60</v>
      </c>
      <c r="C2714" s="2" t="s">
        <v>26902</v>
      </c>
      <c r="D2714" s="2" t="s">
        <v>26903</v>
      </c>
      <c r="E2714" s="2" t="s">
        <v>26904</v>
      </c>
      <c r="G2714" s="3" t="s">
        <v>65</v>
      </c>
      <c r="I2714" s="3" t="s">
        <v>65</v>
      </c>
      <c r="J2714" s="3" t="s">
        <v>65</v>
      </c>
      <c r="K2714" s="3" t="s">
        <v>66</v>
      </c>
      <c r="L2714" s="2" t="s">
        <v>26872</v>
      </c>
      <c r="M2714" s="2" t="s">
        <v>26905</v>
      </c>
      <c r="N2714" s="3" t="s">
        <v>2460</v>
      </c>
      <c r="P2714" s="3" t="s">
        <v>140</v>
      </c>
      <c r="Q2714" s="2" t="s">
        <v>26906</v>
      </c>
      <c r="R2714" s="3" t="s">
        <v>71</v>
      </c>
      <c r="S2714" s="4">
        <v>6</v>
      </c>
      <c r="T2714" s="4">
        <v>6</v>
      </c>
      <c r="U2714" s="5" t="s">
        <v>26896</v>
      </c>
      <c r="V2714" s="5" t="s">
        <v>26896</v>
      </c>
      <c r="W2714" s="5" t="s">
        <v>72</v>
      </c>
      <c r="X2714" s="5" t="s">
        <v>72</v>
      </c>
      <c r="Y2714" s="4">
        <v>47</v>
      </c>
      <c r="Z2714" s="4">
        <v>5</v>
      </c>
      <c r="AA2714" s="4">
        <v>7</v>
      </c>
      <c r="AB2714" s="4">
        <v>1</v>
      </c>
      <c r="AC2714" s="4">
        <v>2</v>
      </c>
      <c r="AD2714" s="4">
        <v>21</v>
      </c>
      <c r="AE2714" s="4">
        <v>31</v>
      </c>
      <c r="AF2714" s="4">
        <v>0</v>
      </c>
      <c r="AG2714" s="4">
        <v>1</v>
      </c>
      <c r="AH2714" s="4">
        <v>19</v>
      </c>
      <c r="AI2714" s="4">
        <v>27</v>
      </c>
      <c r="AJ2714" s="4">
        <v>3</v>
      </c>
      <c r="AK2714" s="4">
        <v>5</v>
      </c>
      <c r="AL2714" s="4">
        <v>16</v>
      </c>
      <c r="AM2714" s="4">
        <v>22</v>
      </c>
      <c r="AN2714" s="4">
        <v>0</v>
      </c>
      <c r="AO2714" s="4">
        <v>0</v>
      </c>
      <c r="AP2714" s="4">
        <v>3</v>
      </c>
      <c r="AQ2714" s="4">
        <v>4</v>
      </c>
      <c r="AR2714" s="3" t="s">
        <v>65</v>
      </c>
      <c r="AS2714" s="3" t="s">
        <v>65</v>
      </c>
      <c r="AT2714" s="3" t="s">
        <v>65</v>
      </c>
      <c r="AV2714" s="6" t="str">
        <f>HYPERLINK("http://mcgill.on.worldcat.org/oclc/20126953","Catalog Record")</f>
        <v>Catalog Record</v>
      </c>
      <c r="AW2714" s="6" t="str">
        <f>HYPERLINK("http://www.worldcat.org/oclc/20126953","WorldCat Record")</f>
        <v>WorldCat Record</v>
      </c>
      <c r="AX2714" s="3" t="s">
        <v>26907</v>
      </c>
      <c r="AY2714" s="3" t="s">
        <v>26908</v>
      </c>
      <c r="AZ2714" s="3" t="s">
        <v>26909</v>
      </c>
      <c r="BA2714" s="3" t="s">
        <v>26909</v>
      </c>
      <c r="BB2714" s="3" t="s">
        <v>26910</v>
      </c>
      <c r="BC2714" s="3" t="s">
        <v>77</v>
      </c>
      <c r="BD2714" s="3" t="s">
        <v>78</v>
      </c>
      <c r="BF2714" s="3" t="s">
        <v>26910</v>
      </c>
      <c r="BG2714" s="3" t="s">
        <v>26911</v>
      </c>
    </row>
    <row r="2715" spans="1:59" ht="58" x14ac:dyDescent="0.35">
      <c r="A2715" s="2" t="s">
        <v>59</v>
      </c>
      <c r="B2715" s="2" t="s">
        <v>60</v>
      </c>
      <c r="C2715" s="2" t="s">
        <v>26912</v>
      </c>
      <c r="D2715" s="2" t="s">
        <v>26913</v>
      </c>
      <c r="E2715" s="2" t="s">
        <v>26914</v>
      </c>
      <c r="G2715" s="3" t="s">
        <v>65</v>
      </c>
      <c r="I2715" s="3" t="s">
        <v>65</v>
      </c>
      <c r="J2715" s="3" t="s">
        <v>65</v>
      </c>
      <c r="K2715" s="3" t="s">
        <v>66</v>
      </c>
      <c r="L2715" s="2" t="s">
        <v>26915</v>
      </c>
      <c r="M2715" s="2" t="s">
        <v>26916</v>
      </c>
      <c r="N2715" s="3" t="s">
        <v>1109</v>
      </c>
      <c r="P2715" s="3" t="s">
        <v>7374</v>
      </c>
      <c r="Q2715" s="2" t="s">
        <v>26917</v>
      </c>
      <c r="R2715" s="3" t="s">
        <v>71</v>
      </c>
      <c r="S2715" s="4">
        <v>3</v>
      </c>
      <c r="T2715" s="4">
        <v>3</v>
      </c>
      <c r="U2715" s="5" t="s">
        <v>13650</v>
      </c>
      <c r="V2715" s="5" t="s">
        <v>13650</v>
      </c>
      <c r="W2715" s="5" t="s">
        <v>72</v>
      </c>
      <c r="X2715" s="5" t="s">
        <v>72</v>
      </c>
      <c r="Y2715" s="4">
        <v>32</v>
      </c>
      <c r="Z2715" s="4">
        <v>3</v>
      </c>
      <c r="AA2715" s="4">
        <v>3</v>
      </c>
      <c r="AB2715" s="4">
        <v>1</v>
      </c>
      <c r="AC2715" s="4">
        <v>1</v>
      </c>
      <c r="AD2715" s="4">
        <v>20</v>
      </c>
      <c r="AE2715" s="4">
        <v>20</v>
      </c>
      <c r="AF2715" s="4">
        <v>0</v>
      </c>
      <c r="AG2715" s="4">
        <v>0</v>
      </c>
      <c r="AH2715" s="4">
        <v>18</v>
      </c>
      <c r="AI2715" s="4">
        <v>18</v>
      </c>
      <c r="AJ2715" s="4">
        <v>2</v>
      </c>
      <c r="AK2715" s="4">
        <v>2</v>
      </c>
      <c r="AL2715" s="4">
        <v>15</v>
      </c>
      <c r="AM2715" s="4">
        <v>15</v>
      </c>
      <c r="AN2715" s="4">
        <v>0</v>
      </c>
      <c r="AO2715" s="4">
        <v>0</v>
      </c>
      <c r="AP2715" s="4">
        <v>2</v>
      </c>
      <c r="AQ2715" s="4">
        <v>2</v>
      </c>
      <c r="AR2715" s="3" t="s">
        <v>65</v>
      </c>
      <c r="AS2715" s="3" t="s">
        <v>65</v>
      </c>
      <c r="AT2715" s="3" t="s">
        <v>65</v>
      </c>
      <c r="AV2715" s="6" t="str">
        <f>HYPERLINK("http://mcgill.on.worldcat.org/oclc/1930990","Catalog Record")</f>
        <v>Catalog Record</v>
      </c>
      <c r="AW2715" s="6" t="str">
        <f>HYPERLINK("http://www.worldcat.org/oclc/1930990","WorldCat Record")</f>
        <v>WorldCat Record</v>
      </c>
      <c r="AX2715" s="3" t="s">
        <v>26918</v>
      </c>
      <c r="AY2715" s="3" t="s">
        <v>26919</v>
      </c>
      <c r="AZ2715" s="3" t="s">
        <v>26920</v>
      </c>
      <c r="BA2715" s="3" t="s">
        <v>26920</v>
      </c>
      <c r="BB2715" s="3" t="s">
        <v>26921</v>
      </c>
      <c r="BC2715" s="3" t="s">
        <v>77</v>
      </c>
      <c r="BD2715" s="3" t="s">
        <v>78</v>
      </c>
      <c r="BF2715" s="3" t="s">
        <v>26921</v>
      </c>
      <c r="BG2715" s="3" t="s">
        <v>26922</v>
      </c>
    </row>
    <row r="2716" spans="1:59" ht="58" x14ac:dyDescent="0.35">
      <c r="A2716" s="2" t="s">
        <v>59</v>
      </c>
      <c r="B2716" s="2" t="s">
        <v>60</v>
      </c>
      <c r="C2716" s="2" t="s">
        <v>26923</v>
      </c>
      <c r="D2716" s="2" t="s">
        <v>26924</v>
      </c>
      <c r="E2716" s="2" t="s">
        <v>26925</v>
      </c>
      <c r="G2716" s="3" t="s">
        <v>65</v>
      </c>
      <c r="I2716" s="3" t="s">
        <v>65</v>
      </c>
      <c r="J2716" s="3" t="s">
        <v>65</v>
      </c>
      <c r="K2716" s="3" t="s">
        <v>66</v>
      </c>
      <c r="L2716" s="2" t="s">
        <v>26915</v>
      </c>
      <c r="M2716" s="2" t="s">
        <v>26926</v>
      </c>
      <c r="N2716" s="3" t="s">
        <v>2460</v>
      </c>
      <c r="P2716" s="3" t="s">
        <v>140</v>
      </c>
      <c r="Q2716" s="2" t="s">
        <v>26927</v>
      </c>
      <c r="R2716" s="3" t="s">
        <v>71</v>
      </c>
      <c r="S2716" s="4">
        <v>12</v>
      </c>
      <c r="T2716" s="4">
        <v>12</v>
      </c>
      <c r="U2716" s="5" t="s">
        <v>19227</v>
      </c>
      <c r="V2716" s="5" t="s">
        <v>19227</v>
      </c>
      <c r="W2716" s="5" t="s">
        <v>72</v>
      </c>
      <c r="X2716" s="5" t="s">
        <v>72</v>
      </c>
      <c r="Y2716" s="4">
        <v>39</v>
      </c>
      <c r="Z2716" s="4">
        <v>4</v>
      </c>
      <c r="AA2716" s="4">
        <v>4</v>
      </c>
      <c r="AB2716" s="4">
        <v>1</v>
      </c>
      <c r="AC2716" s="4">
        <v>1</v>
      </c>
      <c r="AD2716" s="4">
        <v>21</v>
      </c>
      <c r="AE2716" s="4">
        <v>25</v>
      </c>
      <c r="AF2716" s="4">
        <v>0</v>
      </c>
      <c r="AG2716" s="4">
        <v>0</v>
      </c>
      <c r="AH2716" s="4">
        <v>20</v>
      </c>
      <c r="AI2716" s="4">
        <v>23</v>
      </c>
      <c r="AJ2716" s="4">
        <v>2</v>
      </c>
      <c r="AK2716" s="4">
        <v>2</v>
      </c>
      <c r="AL2716" s="4">
        <v>18</v>
      </c>
      <c r="AM2716" s="4">
        <v>21</v>
      </c>
      <c r="AN2716" s="4">
        <v>0</v>
      </c>
      <c r="AO2716" s="4">
        <v>0</v>
      </c>
      <c r="AP2716" s="4">
        <v>2</v>
      </c>
      <c r="AQ2716" s="4">
        <v>2</v>
      </c>
      <c r="AR2716" s="3" t="s">
        <v>65</v>
      </c>
      <c r="AS2716" s="3" t="s">
        <v>65</v>
      </c>
      <c r="AT2716" s="3" t="s">
        <v>65</v>
      </c>
      <c r="AV2716" s="6" t="str">
        <f>HYPERLINK("http://mcgill.on.worldcat.org/oclc/20769111","Catalog Record")</f>
        <v>Catalog Record</v>
      </c>
      <c r="AW2716" s="6" t="str">
        <f>HYPERLINK("http://www.worldcat.org/oclc/20769111","WorldCat Record")</f>
        <v>WorldCat Record</v>
      </c>
      <c r="AX2716" s="3" t="s">
        <v>26928</v>
      </c>
      <c r="AY2716" s="3" t="s">
        <v>26929</v>
      </c>
      <c r="AZ2716" s="3" t="s">
        <v>26930</v>
      </c>
      <c r="BA2716" s="3" t="s">
        <v>26930</v>
      </c>
      <c r="BB2716" s="3" t="s">
        <v>26931</v>
      </c>
      <c r="BC2716" s="3" t="s">
        <v>77</v>
      </c>
      <c r="BD2716" s="3" t="s">
        <v>78</v>
      </c>
      <c r="BF2716" s="3" t="s">
        <v>26931</v>
      </c>
      <c r="BG2716" s="3" t="s">
        <v>26932</v>
      </c>
    </row>
    <row r="2717" spans="1:59" ht="58" x14ac:dyDescent="0.35">
      <c r="A2717" s="2" t="s">
        <v>59</v>
      </c>
      <c r="B2717" s="2" t="s">
        <v>60</v>
      </c>
      <c r="C2717" s="2" t="s">
        <v>26933</v>
      </c>
      <c r="D2717" s="2" t="s">
        <v>26934</v>
      </c>
      <c r="E2717" s="2" t="s">
        <v>26935</v>
      </c>
      <c r="G2717" s="3" t="s">
        <v>65</v>
      </c>
      <c r="I2717" s="3" t="s">
        <v>65</v>
      </c>
      <c r="J2717" s="3" t="s">
        <v>65</v>
      </c>
      <c r="K2717" s="3" t="s">
        <v>66</v>
      </c>
      <c r="L2717" s="2" t="s">
        <v>26936</v>
      </c>
      <c r="M2717" s="2" t="s">
        <v>26937</v>
      </c>
      <c r="N2717" s="3" t="s">
        <v>188</v>
      </c>
      <c r="P2717" s="3" t="s">
        <v>140</v>
      </c>
      <c r="Q2717" s="2" t="s">
        <v>26938</v>
      </c>
      <c r="R2717" s="3" t="s">
        <v>71</v>
      </c>
      <c r="S2717" s="4">
        <v>0</v>
      </c>
      <c r="T2717" s="4">
        <v>0</v>
      </c>
      <c r="W2717" s="5" t="s">
        <v>72</v>
      </c>
      <c r="X2717" s="5" t="s">
        <v>72</v>
      </c>
      <c r="Y2717" s="4">
        <v>36</v>
      </c>
      <c r="Z2717" s="4">
        <v>1</v>
      </c>
      <c r="AA2717" s="4">
        <v>1</v>
      </c>
      <c r="AB2717" s="4">
        <v>1</v>
      </c>
      <c r="AC2717" s="4">
        <v>1</v>
      </c>
      <c r="AD2717" s="4">
        <v>21</v>
      </c>
      <c r="AE2717" s="4">
        <v>21</v>
      </c>
      <c r="AF2717" s="4">
        <v>0</v>
      </c>
      <c r="AG2717" s="4">
        <v>0</v>
      </c>
      <c r="AH2717" s="4">
        <v>20</v>
      </c>
      <c r="AI2717" s="4">
        <v>20</v>
      </c>
      <c r="AJ2717" s="4">
        <v>0</v>
      </c>
      <c r="AK2717" s="4">
        <v>0</v>
      </c>
      <c r="AL2717" s="4">
        <v>17</v>
      </c>
      <c r="AM2717" s="4">
        <v>17</v>
      </c>
      <c r="AN2717" s="4">
        <v>0</v>
      </c>
      <c r="AO2717" s="4">
        <v>0</v>
      </c>
      <c r="AP2717" s="4">
        <v>0</v>
      </c>
      <c r="AQ2717" s="4">
        <v>0</v>
      </c>
      <c r="AR2717" s="3" t="s">
        <v>65</v>
      </c>
      <c r="AS2717" s="3" t="s">
        <v>65</v>
      </c>
      <c r="AT2717" s="3" t="s">
        <v>65</v>
      </c>
      <c r="AV2717" s="6" t="str">
        <f>HYPERLINK("http://mcgill.on.worldcat.org/oclc/1001500662","Catalog Record")</f>
        <v>Catalog Record</v>
      </c>
      <c r="AW2717" s="6" t="str">
        <f>HYPERLINK("http://www.worldcat.org/oclc/1001500662","WorldCat Record")</f>
        <v>WorldCat Record</v>
      </c>
      <c r="AX2717" s="3" t="s">
        <v>26939</v>
      </c>
      <c r="AY2717" s="3" t="s">
        <v>26940</v>
      </c>
      <c r="AZ2717" s="3" t="s">
        <v>26941</v>
      </c>
      <c r="BA2717" s="3" t="s">
        <v>26941</v>
      </c>
      <c r="BB2717" s="3" t="s">
        <v>26942</v>
      </c>
      <c r="BC2717" s="3" t="s">
        <v>77</v>
      </c>
      <c r="BD2717" s="3" t="s">
        <v>78</v>
      </c>
      <c r="BE2717" s="3" t="s">
        <v>26943</v>
      </c>
      <c r="BF2717" s="3" t="s">
        <v>26942</v>
      </c>
      <c r="BG2717" s="3" t="s">
        <v>26944</v>
      </c>
    </row>
    <row r="2718" spans="1:59" ht="58" x14ac:dyDescent="0.35">
      <c r="A2718" s="2" t="s">
        <v>59</v>
      </c>
      <c r="B2718" s="2" t="s">
        <v>60</v>
      </c>
      <c r="C2718" s="2" t="s">
        <v>26945</v>
      </c>
      <c r="D2718" s="2" t="s">
        <v>26946</v>
      </c>
      <c r="E2718" s="2" t="s">
        <v>26947</v>
      </c>
      <c r="G2718" s="3" t="s">
        <v>65</v>
      </c>
      <c r="I2718" s="3" t="s">
        <v>65</v>
      </c>
      <c r="J2718" s="3" t="s">
        <v>65</v>
      </c>
      <c r="K2718" s="3" t="s">
        <v>66</v>
      </c>
      <c r="L2718" s="2" t="s">
        <v>2925</v>
      </c>
      <c r="M2718" s="2" t="s">
        <v>26948</v>
      </c>
      <c r="N2718" s="3" t="s">
        <v>139</v>
      </c>
      <c r="P2718" s="3" t="s">
        <v>140</v>
      </c>
      <c r="Q2718" s="2" t="s">
        <v>26949</v>
      </c>
      <c r="R2718" s="3" t="s">
        <v>71</v>
      </c>
      <c r="S2718" s="4">
        <v>1</v>
      </c>
      <c r="T2718" s="4">
        <v>1</v>
      </c>
      <c r="U2718" s="5" t="s">
        <v>24390</v>
      </c>
      <c r="V2718" s="5" t="s">
        <v>24390</v>
      </c>
      <c r="W2718" s="5" t="s">
        <v>72</v>
      </c>
      <c r="X2718" s="5" t="s">
        <v>72</v>
      </c>
      <c r="Y2718" s="4">
        <v>31</v>
      </c>
      <c r="Z2718" s="4">
        <v>3</v>
      </c>
      <c r="AA2718" s="4">
        <v>3</v>
      </c>
      <c r="AB2718" s="4">
        <v>1</v>
      </c>
      <c r="AC2718" s="4">
        <v>1</v>
      </c>
      <c r="AD2718" s="4">
        <v>21</v>
      </c>
      <c r="AE2718" s="4">
        <v>21</v>
      </c>
      <c r="AF2718" s="4">
        <v>0</v>
      </c>
      <c r="AG2718" s="4">
        <v>0</v>
      </c>
      <c r="AH2718" s="4">
        <v>20</v>
      </c>
      <c r="AI2718" s="4">
        <v>20</v>
      </c>
      <c r="AJ2718" s="4">
        <v>1</v>
      </c>
      <c r="AK2718" s="4">
        <v>1</v>
      </c>
      <c r="AL2718" s="4">
        <v>17</v>
      </c>
      <c r="AM2718" s="4">
        <v>17</v>
      </c>
      <c r="AN2718" s="4">
        <v>0</v>
      </c>
      <c r="AO2718" s="4">
        <v>0</v>
      </c>
      <c r="AP2718" s="4">
        <v>1</v>
      </c>
      <c r="AQ2718" s="4">
        <v>1</v>
      </c>
      <c r="AR2718" s="3" t="s">
        <v>65</v>
      </c>
      <c r="AS2718" s="3" t="s">
        <v>65</v>
      </c>
      <c r="AT2718" s="3" t="s">
        <v>65</v>
      </c>
      <c r="AV2718" s="6" t="str">
        <f>HYPERLINK("http://mcgill.on.worldcat.org/oclc/794703525","Catalog Record")</f>
        <v>Catalog Record</v>
      </c>
      <c r="AW2718" s="6" t="str">
        <f>HYPERLINK("http://www.worldcat.org/oclc/794703525","WorldCat Record")</f>
        <v>WorldCat Record</v>
      </c>
      <c r="AX2718" s="3" t="s">
        <v>26950</v>
      </c>
      <c r="AY2718" s="3" t="s">
        <v>26951</v>
      </c>
      <c r="AZ2718" s="3" t="s">
        <v>26952</v>
      </c>
      <c r="BA2718" s="3" t="s">
        <v>26952</v>
      </c>
      <c r="BB2718" s="3" t="s">
        <v>26953</v>
      </c>
      <c r="BC2718" s="3" t="s">
        <v>77</v>
      </c>
      <c r="BD2718" s="3" t="s">
        <v>78</v>
      </c>
      <c r="BE2718" s="3" t="s">
        <v>26954</v>
      </c>
      <c r="BF2718" s="3" t="s">
        <v>26953</v>
      </c>
      <c r="BG2718" s="3" t="s">
        <v>26955</v>
      </c>
    </row>
    <row r="2719" spans="1:59" ht="72.5" x14ac:dyDescent="0.35">
      <c r="A2719" s="2" t="s">
        <v>59</v>
      </c>
      <c r="B2719" s="2" t="s">
        <v>60</v>
      </c>
      <c r="C2719" s="2" t="s">
        <v>26956</v>
      </c>
      <c r="D2719" s="2" t="s">
        <v>26957</v>
      </c>
      <c r="E2719" s="2" t="s">
        <v>26958</v>
      </c>
      <c r="F2719" s="3" t="s">
        <v>258</v>
      </c>
      <c r="G2719" s="3" t="s">
        <v>209</v>
      </c>
      <c r="I2719" s="3" t="s">
        <v>65</v>
      </c>
      <c r="J2719" s="3" t="s">
        <v>65</v>
      </c>
      <c r="K2719" s="3" t="s">
        <v>66</v>
      </c>
      <c r="L2719" s="2" t="s">
        <v>26959</v>
      </c>
      <c r="M2719" s="2" t="s">
        <v>13821</v>
      </c>
      <c r="N2719" s="3" t="s">
        <v>1085</v>
      </c>
      <c r="O2719" s="2" t="s">
        <v>365</v>
      </c>
      <c r="P2719" s="3" t="s">
        <v>140</v>
      </c>
      <c r="Q2719" s="2" t="s">
        <v>6617</v>
      </c>
      <c r="R2719" s="3" t="s">
        <v>71</v>
      </c>
      <c r="S2719" s="4">
        <v>0</v>
      </c>
      <c r="T2719" s="4">
        <v>6</v>
      </c>
      <c r="V2719" s="5" t="s">
        <v>1369</v>
      </c>
      <c r="W2719" s="5" t="s">
        <v>72</v>
      </c>
      <c r="X2719" s="5" t="s">
        <v>72</v>
      </c>
      <c r="Y2719" s="4">
        <v>59</v>
      </c>
      <c r="Z2719" s="4">
        <v>6</v>
      </c>
      <c r="AA2719" s="4">
        <v>6</v>
      </c>
      <c r="AB2719" s="4">
        <v>2</v>
      </c>
      <c r="AC2719" s="4">
        <v>2</v>
      </c>
      <c r="AD2719" s="4">
        <v>35</v>
      </c>
      <c r="AE2719" s="4">
        <v>35</v>
      </c>
      <c r="AF2719" s="4">
        <v>1</v>
      </c>
      <c r="AG2719" s="4">
        <v>1</v>
      </c>
      <c r="AH2719" s="4">
        <v>34</v>
      </c>
      <c r="AI2719" s="4">
        <v>34</v>
      </c>
      <c r="AJ2719" s="4">
        <v>3</v>
      </c>
      <c r="AK2719" s="4">
        <v>3</v>
      </c>
      <c r="AL2719" s="4">
        <v>25</v>
      </c>
      <c r="AM2719" s="4">
        <v>25</v>
      </c>
      <c r="AN2719" s="4">
        <v>0</v>
      </c>
      <c r="AO2719" s="4">
        <v>0</v>
      </c>
      <c r="AP2719" s="4">
        <v>3</v>
      </c>
      <c r="AQ2719" s="4">
        <v>3</v>
      </c>
      <c r="AR2719" s="3" t="s">
        <v>65</v>
      </c>
      <c r="AS2719" s="3" t="s">
        <v>65</v>
      </c>
      <c r="AT2719" s="3" t="s">
        <v>209</v>
      </c>
      <c r="AU2719" s="6" t="str">
        <f>HYPERLINK("http://catalog.hathitrust.org/Record/007474737","HathiTrust Record")</f>
        <v>HathiTrust Record</v>
      </c>
      <c r="AV2719" s="6" t="str">
        <f>HYPERLINK("http://mcgill.on.worldcat.org/oclc/36438954","Catalog Record")</f>
        <v>Catalog Record</v>
      </c>
      <c r="AW2719" s="6" t="str">
        <f>HYPERLINK("http://www.worldcat.org/oclc/36438954","WorldCat Record")</f>
        <v>WorldCat Record</v>
      </c>
      <c r="AX2719" s="3" t="s">
        <v>26960</v>
      </c>
      <c r="AY2719" s="3" t="s">
        <v>26961</v>
      </c>
      <c r="AZ2719" s="3" t="s">
        <v>26962</v>
      </c>
      <c r="BA2719" s="3" t="s">
        <v>26962</v>
      </c>
      <c r="BB2719" s="3" t="s">
        <v>26963</v>
      </c>
      <c r="BC2719" s="3" t="s">
        <v>77</v>
      </c>
      <c r="BD2719" s="3" t="s">
        <v>78</v>
      </c>
      <c r="BE2719" s="3" t="s">
        <v>26964</v>
      </c>
      <c r="BF2719" s="3" t="s">
        <v>26963</v>
      </c>
      <c r="BG2719" s="3" t="s">
        <v>26965</v>
      </c>
    </row>
    <row r="2720" spans="1:59" ht="72.5" x14ac:dyDescent="0.35">
      <c r="A2720" s="2" t="s">
        <v>59</v>
      </c>
      <c r="B2720" s="2" t="s">
        <v>60</v>
      </c>
      <c r="C2720" s="2" t="s">
        <v>26956</v>
      </c>
      <c r="D2720" s="2" t="s">
        <v>26957</v>
      </c>
      <c r="E2720" s="2" t="s">
        <v>26958</v>
      </c>
      <c r="F2720" s="3" t="s">
        <v>245</v>
      </c>
      <c r="G2720" s="3" t="s">
        <v>209</v>
      </c>
      <c r="I2720" s="3" t="s">
        <v>65</v>
      </c>
      <c r="J2720" s="3" t="s">
        <v>65</v>
      </c>
      <c r="K2720" s="3" t="s">
        <v>66</v>
      </c>
      <c r="L2720" s="2" t="s">
        <v>26959</v>
      </c>
      <c r="M2720" s="2" t="s">
        <v>13821</v>
      </c>
      <c r="N2720" s="3" t="s">
        <v>1085</v>
      </c>
      <c r="O2720" s="2" t="s">
        <v>365</v>
      </c>
      <c r="P2720" s="3" t="s">
        <v>140</v>
      </c>
      <c r="Q2720" s="2" t="s">
        <v>6617</v>
      </c>
      <c r="R2720" s="3" t="s">
        <v>71</v>
      </c>
      <c r="S2720" s="4">
        <v>6</v>
      </c>
      <c r="T2720" s="4">
        <v>6</v>
      </c>
      <c r="U2720" s="5" t="s">
        <v>1369</v>
      </c>
      <c r="V2720" s="5" t="s">
        <v>1369</v>
      </c>
      <c r="W2720" s="5" t="s">
        <v>72</v>
      </c>
      <c r="X2720" s="5" t="s">
        <v>72</v>
      </c>
      <c r="Y2720" s="4">
        <v>59</v>
      </c>
      <c r="Z2720" s="4">
        <v>6</v>
      </c>
      <c r="AA2720" s="4">
        <v>6</v>
      </c>
      <c r="AB2720" s="4">
        <v>2</v>
      </c>
      <c r="AC2720" s="4">
        <v>2</v>
      </c>
      <c r="AD2720" s="4">
        <v>35</v>
      </c>
      <c r="AE2720" s="4">
        <v>35</v>
      </c>
      <c r="AF2720" s="4">
        <v>1</v>
      </c>
      <c r="AG2720" s="4">
        <v>1</v>
      </c>
      <c r="AH2720" s="4">
        <v>34</v>
      </c>
      <c r="AI2720" s="4">
        <v>34</v>
      </c>
      <c r="AJ2720" s="4">
        <v>3</v>
      </c>
      <c r="AK2720" s="4">
        <v>3</v>
      </c>
      <c r="AL2720" s="4">
        <v>25</v>
      </c>
      <c r="AM2720" s="4">
        <v>25</v>
      </c>
      <c r="AN2720" s="4">
        <v>0</v>
      </c>
      <c r="AO2720" s="4">
        <v>0</v>
      </c>
      <c r="AP2720" s="4">
        <v>3</v>
      </c>
      <c r="AQ2720" s="4">
        <v>3</v>
      </c>
      <c r="AR2720" s="3" t="s">
        <v>65</v>
      </c>
      <c r="AS2720" s="3" t="s">
        <v>65</v>
      </c>
      <c r="AT2720" s="3" t="s">
        <v>209</v>
      </c>
      <c r="AU2720" s="6" t="str">
        <f>HYPERLINK("http://catalog.hathitrust.org/Record/007474737","HathiTrust Record")</f>
        <v>HathiTrust Record</v>
      </c>
      <c r="AV2720" s="6" t="str">
        <f>HYPERLINK("http://mcgill.on.worldcat.org/oclc/36438954","Catalog Record")</f>
        <v>Catalog Record</v>
      </c>
      <c r="AW2720" s="6" t="str">
        <f>HYPERLINK("http://www.worldcat.org/oclc/36438954","WorldCat Record")</f>
        <v>WorldCat Record</v>
      </c>
      <c r="AX2720" s="3" t="s">
        <v>26960</v>
      </c>
      <c r="AY2720" s="3" t="s">
        <v>26961</v>
      </c>
      <c r="AZ2720" s="3" t="s">
        <v>26962</v>
      </c>
      <c r="BA2720" s="3" t="s">
        <v>26962</v>
      </c>
      <c r="BB2720" s="3" t="s">
        <v>26966</v>
      </c>
      <c r="BC2720" s="3" t="s">
        <v>77</v>
      </c>
      <c r="BD2720" s="3" t="s">
        <v>78</v>
      </c>
      <c r="BE2720" s="3" t="s">
        <v>26964</v>
      </c>
      <c r="BF2720" s="3" t="s">
        <v>26966</v>
      </c>
      <c r="BG2720" s="3" t="s">
        <v>26967</v>
      </c>
    </row>
    <row r="2721" spans="1:59" ht="72.5" x14ac:dyDescent="0.35">
      <c r="A2721" s="2" t="s">
        <v>59</v>
      </c>
      <c r="B2721" s="2" t="s">
        <v>60</v>
      </c>
      <c r="C2721" s="2" t="s">
        <v>26968</v>
      </c>
      <c r="D2721" s="2" t="s">
        <v>26969</v>
      </c>
      <c r="E2721" s="2" t="s">
        <v>26970</v>
      </c>
      <c r="G2721" s="3" t="s">
        <v>65</v>
      </c>
      <c r="I2721" s="3" t="s">
        <v>65</v>
      </c>
      <c r="J2721" s="3" t="s">
        <v>209</v>
      </c>
      <c r="K2721" s="3" t="s">
        <v>66</v>
      </c>
      <c r="L2721" s="2" t="s">
        <v>26959</v>
      </c>
      <c r="M2721" s="2" t="s">
        <v>26971</v>
      </c>
      <c r="N2721" s="3" t="s">
        <v>770</v>
      </c>
      <c r="O2721" s="2" t="s">
        <v>26972</v>
      </c>
      <c r="P2721" s="3" t="s">
        <v>140</v>
      </c>
      <c r="Q2721" s="2" t="s">
        <v>7116</v>
      </c>
      <c r="R2721" s="3" t="s">
        <v>71</v>
      </c>
      <c r="S2721" s="4">
        <v>9</v>
      </c>
      <c r="T2721" s="4">
        <v>9</v>
      </c>
      <c r="U2721" s="5" t="s">
        <v>22561</v>
      </c>
      <c r="V2721" s="5" t="s">
        <v>22561</v>
      </c>
      <c r="W2721" s="5" t="s">
        <v>72</v>
      </c>
      <c r="X2721" s="5" t="s">
        <v>72</v>
      </c>
      <c r="Y2721" s="4">
        <v>12</v>
      </c>
      <c r="Z2721" s="4">
        <v>1</v>
      </c>
      <c r="AA2721" s="4">
        <v>23</v>
      </c>
      <c r="AB2721" s="4">
        <v>1</v>
      </c>
      <c r="AC2721" s="4">
        <v>4</v>
      </c>
      <c r="AD2721" s="4">
        <v>5</v>
      </c>
      <c r="AE2721" s="4">
        <v>99</v>
      </c>
      <c r="AF2721" s="4">
        <v>0</v>
      </c>
      <c r="AG2721" s="4">
        <v>2</v>
      </c>
      <c r="AH2721" s="4">
        <v>5</v>
      </c>
      <c r="AI2721" s="4">
        <v>87</v>
      </c>
      <c r="AJ2721" s="4">
        <v>0</v>
      </c>
      <c r="AK2721" s="4">
        <v>14</v>
      </c>
      <c r="AL2721" s="4">
        <v>3</v>
      </c>
      <c r="AM2721" s="4">
        <v>57</v>
      </c>
      <c r="AN2721" s="4">
        <v>0</v>
      </c>
      <c r="AO2721" s="4">
        <v>0</v>
      </c>
      <c r="AP2721" s="4">
        <v>0</v>
      </c>
      <c r="AQ2721" s="4">
        <v>15</v>
      </c>
      <c r="AR2721" s="3" t="s">
        <v>65</v>
      </c>
      <c r="AS2721" s="3" t="s">
        <v>65</v>
      </c>
      <c r="AT2721" s="3" t="s">
        <v>209</v>
      </c>
      <c r="AU2721" s="6" t="str">
        <f>HYPERLINK("http://catalog.hathitrust.org/Record/007964183","HathiTrust Record")</f>
        <v>HathiTrust Record</v>
      </c>
      <c r="AV2721" s="6" t="str">
        <f>HYPERLINK("http://mcgill.on.worldcat.org/oclc/24597435","Catalog Record")</f>
        <v>Catalog Record</v>
      </c>
      <c r="AW2721" s="6" t="str">
        <f>HYPERLINK("http://www.worldcat.org/oclc/24597435","WorldCat Record")</f>
        <v>WorldCat Record</v>
      </c>
      <c r="AX2721" s="3" t="s">
        <v>26973</v>
      </c>
      <c r="AY2721" s="3" t="s">
        <v>26974</v>
      </c>
      <c r="AZ2721" s="3" t="s">
        <v>26975</v>
      </c>
      <c r="BA2721" s="3" t="s">
        <v>26975</v>
      </c>
      <c r="BB2721" s="3" t="s">
        <v>26976</v>
      </c>
      <c r="BC2721" s="3" t="s">
        <v>77</v>
      </c>
      <c r="BD2721" s="3" t="s">
        <v>78</v>
      </c>
      <c r="BE2721" s="3" t="s">
        <v>26977</v>
      </c>
      <c r="BF2721" s="3" t="s">
        <v>26976</v>
      </c>
      <c r="BG2721" s="3" t="s">
        <v>26978</v>
      </c>
    </row>
    <row r="2722" spans="1:59" ht="72.5" x14ac:dyDescent="0.35">
      <c r="A2722" s="2" t="s">
        <v>59</v>
      </c>
      <c r="B2722" s="2" t="s">
        <v>60</v>
      </c>
      <c r="C2722" s="2" t="s">
        <v>26979</v>
      </c>
      <c r="D2722" s="2" t="s">
        <v>26980</v>
      </c>
      <c r="E2722" s="2" t="s">
        <v>26970</v>
      </c>
      <c r="G2722" s="3" t="s">
        <v>65</v>
      </c>
      <c r="I2722" s="3" t="s">
        <v>65</v>
      </c>
      <c r="J2722" s="3" t="s">
        <v>209</v>
      </c>
      <c r="K2722" s="3" t="s">
        <v>66</v>
      </c>
      <c r="L2722" s="2" t="s">
        <v>26959</v>
      </c>
      <c r="M2722" s="2" t="s">
        <v>26981</v>
      </c>
      <c r="N2722" s="3" t="s">
        <v>1196</v>
      </c>
      <c r="P2722" s="3" t="s">
        <v>140</v>
      </c>
      <c r="Q2722" s="2" t="s">
        <v>26982</v>
      </c>
      <c r="R2722" s="3" t="s">
        <v>71</v>
      </c>
      <c r="S2722" s="4">
        <v>3</v>
      </c>
      <c r="T2722" s="4">
        <v>3</v>
      </c>
      <c r="U2722" s="5" t="s">
        <v>26983</v>
      </c>
      <c r="V2722" s="5" t="s">
        <v>26983</v>
      </c>
      <c r="W2722" s="5" t="s">
        <v>72</v>
      </c>
      <c r="X2722" s="5" t="s">
        <v>72</v>
      </c>
      <c r="Y2722" s="4">
        <v>11</v>
      </c>
      <c r="Z2722" s="4">
        <v>1</v>
      </c>
      <c r="AA2722" s="4">
        <v>23</v>
      </c>
      <c r="AB2722" s="4">
        <v>1</v>
      </c>
      <c r="AC2722" s="4">
        <v>4</v>
      </c>
      <c r="AD2722" s="4">
        <v>4</v>
      </c>
      <c r="AE2722" s="4">
        <v>99</v>
      </c>
      <c r="AF2722" s="4">
        <v>0</v>
      </c>
      <c r="AG2722" s="4">
        <v>2</v>
      </c>
      <c r="AH2722" s="4">
        <v>4</v>
      </c>
      <c r="AI2722" s="4">
        <v>87</v>
      </c>
      <c r="AJ2722" s="4">
        <v>0</v>
      </c>
      <c r="AK2722" s="4">
        <v>14</v>
      </c>
      <c r="AL2722" s="4">
        <v>3</v>
      </c>
      <c r="AM2722" s="4">
        <v>57</v>
      </c>
      <c r="AN2722" s="4">
        <v>0</v>
      </c>
      <c r="AO2722" s="4">
        <v>0</v>
      </c>
      <c r="AP2722" s="4">
        <v>0</v>
      </c>
      <c r="AQ2722" s="4">
        <v>15</v>
      </c>
      <c r="AR2722" s="3" t="s">
        <v>65</v>
      </c>
      <c r="AS2722" s="3" t="s">
        <v>65</v>
      </c>
      <c r="AT2722" s="3" t="s">
        <v>65</v>
      </c>
      <c r="AV2722" s="6" t="str">
        <f>HYPERLINK("http://mcgill.on.worldcat.org/oclc/144642613","Catalog Record")</f>
        <v>Catalog Record</v>
      </c>
      <c r="AW2722" s="6" t="str">
        <f>HYPERLINK("http://www.worldcat.org/oclc/144642613","WorldCat Record")</f>
        <v>WorldCat Record</v>
      </c>
      <c r="AX2722" s="3" t="s">
        <v>26973</v>
      </c>
      <c r="AY2722" s="3" t="s">
        <v>26984</v>
      </c>
      <c r="AZ2722" s="3" t="s">
        <v>26985</v>
      </c>
      <c r="BA2722" s="3" t="s">
        <v>26985</v>
      </c>
      <c r="BB2722" s="3" t="s">
        <v>26986</v>
      </c>
      <c r="BC2722" s="3" t="s">
        <v>77</v>
      </c>
      <c r="BD2722" s="3" t="s">
        <v>78</v>
      </c>
      <c r="BE2722" s="3" t="s">
        <v>26987</v>
      </c>
      <c r="BF2722" s="3" t="s">
        <v>26986</v>
      </c>
      <c r="BG2722" s="3" t="s">
        <v>26988</v>
      </c>
    </row>
    <row r="2723" spans="1:59" ht="72.5" x14ac:dyDescent="0.35">
      <c r="A2723" s="2" t="s">
        <v>59</v>
      </c>
      <c r="B2723" s="2" t="s">
        <v>60</v>
      </c>
      <c r="C2723" s="2" t="s">
        <v>26989</v>
      </c>
      <c r="D2723" s="2" t="s">
        <v>26990</v>
      </c>
      <c r="E2723" s="2" t="s">
        <v>26991</v>
      </c>
      <c r="G2723" s="3" t="s">
        <v>65</v>
      </c>
      <c r="I2723" s="3" t="s">
        <v>65</v>
      </c>
      <c r="J2723" s="3" t="s">
        <v>65</v>
      </c>
      <c r="K2723" s="3" t="s">
        <v>66</v>
      </c>
      <c r="L2723" s="2" t="s">
        <v>26959</v>
      </c>
      <c r="M2723" s="2" t="s">
        <v>26992</v>
      </c>
      <c r="N2723" s="3" t="s">
        <v>139</v>
      </c>
      <c r="O2723" s="2" t="s">
        <v>526</v>
      </c>
      <c r="P2723" s="3" t="s">
        <v>69</v>
      </c>
      <c r="R2723" s="3" t="s">
        <v>71</v>
      </c>
      <c r="S2723" s="4">
        <v>0</v>
      </c>
      <c r="T2723" s="4">
        <v>0</v>
      </c>
      <c r="W2723" s="5" t="s">
        <v>72</v>
      </c>
      <c r="X2723" s="5" t="s">
        <v>72</v>
      </c>
      <c r="Y2723" s="4">
        <v>288</v>
      </c>
      <c r="Z2723" s="4">
        <v>13</v>
      </c>
      <c r="AA2723" s="4">
        <v>13</v>
      </c>
      <c r="AB2723" s="4">
        <v>1</v>
      </c>
      <c r="AC2723" s="4">
        <v>1</v>
      </c>
      <c r="AD2723" s="4">
        <v>68</v>
      </c>
      <c r="AE2723" s="4">
        <v>68</v>
      </c>
      <c r="AF2723" s="4">
        <v>0</v>
      </c>
      <c r="AG2723" s="4">
        <v>0</v>
      </c>
      <c r="AH2723" s="4">
        <v>65</v>
      </c>
      <c r="AI2723" s="4">
        <v>65</v>
      </c>
      <c r="AJ2723" s="4">
        <v>7</v>
      </c>
      <c r="AK2723" s="4">
        <v>7</v>
      </c>
      <c r="AL2723" s="4">
        <v>39</v>
      </c>
      <c r="AM2723" s="4">
        <v>39</v>
      </c>
      <c r="AN2723" s="4">
        <v>0</v>
      </c>
      <c r="AO2723" s="4">
        <v>0</v>
      </c>
      <c r="AP2723" s="4">
        <v>7</v>
      </c>
      <c r="AQ2723" s="4">
        <v>7</v>
      </c>
      <c r="AR2723" s="3" t="s">
        <v>65</v>
      </c>
      <c r="AS2723" s="3" t="s">
        <v>65</v>
      </c>
      <c r="AT2723" s="3" t="s">
        <v>65</v>
      </c>
      <c r="AV2723" s="6" t="str">
        <f>HYPERLINK("http://mcgill.on.worldcat.org/oclc/738350061","Catalog Record")</f>
        <v>Catalog Record</v>
      </c>
      <c r="AW2723" s="6" t="str">
        <f>HYPERLINK("http://www.worldcat.org/oclc/738350061","WorldCat Record")</f>
        <v>WorldCat Record</v>
      </c>
      <c r="AX2723" s="3" t="s">
        <v>26993</v>
      </c>
      <c r="AY2723" s="3" t="s">
        <v>26994</v>
      </c>
      <c r="AZ2723" s="3" t="s">
        <v>26995</v>
      </c>
      <c r="BA2723" s="3" t="s">
        <v>26995</v>
      </c>
      <c r="BB2723" s="3" t="s">
        <v>26996</v>
      </c>
      <c r="BC2723" s="3" t="s">
        <v>77</v>
      </c>
      <c r="BD2723" s="3" t="s">
        <v>78</v>
      </c>
      <c r="BE2723" s="3" t="s">
        <v>26997</v>
      </c>
      <c r="BF2723" s="3" t="s">
        <v>26996</v>
      </c>
      <c r="BG2723" s="3" t="s">
        <v>26998</v>
      </c>
    </row>
    <row r="2724" spans="1:59" ht="72.5" x14ac:dyDescent="0.35">
      <c r="A2724" s="2" t="s">
        <v>59</v>
      </c>
      <c r="B2724" s="2" t="s">
        <v>60</v>
      </c>
      <c r="C2724" s="2" t="s">
        <v>26999</v>
      </c>
      <c r="D2724" s="2" t="s">
        <v>27000</v>
      </c>
      <c r="E2724" s="2" t="s">
        <v>27001</v>
      </c>
      <c r="G2724" s="3" t="s">
        <v>65</v>
      </c>
      <c r="I2724" s="3" t="s">
        <v>65</v>
      </c>
      <c r="J2724" s="3" t="s">
        <v>65</v>
      </c>
      <c r="K2724" s="3" t="s">
        <v>66</v>
      </c>
      <c r="L2724" s="2" t="s">
        <v>26959</v>
      </c>
      <c r="M2724" s="2" t="s">
        <v>27002</v>
      </c>
      <c r="N2724" s="3" t="s">
        <v>126</v>
      </c>
      <c r="P2724" s="3" t="s">
        <v>140</v>
      </c>
      <c r="Q2724" s="2" t="s">
        <v>27003</v>
      </c>
      <c r="R2724" s="3" t="s">
        <v>71</v>
      </c>
      <c r="S2724" s="4">
        <v>0</v>
      </c>
      <c r="T2724" s="4">
        <v>0</v>
      </c>
      <c r="W2724" s="5" t="s">
        <v>72</v>
      </c>
      <c r="X2724" s="5" t="s">
        <v>72</v>
      </c>
      <c r="Y2724" s="4">
        <v>40</v>
      </c>
      <c r="Z2724" s="4">
        <v>4</v>
      </c>
      <c r="AA2724" s="4">
        <v>4</v>
      </c>
      <c r="AB2724" s="4">
        <v>1</v>
      </c>
      <c r="AC2724" s="4">
        <v>1</v>
      </c>
      <c r="AD2724" s="4">
        <v>29</v>
      </c>
      <c r="AE2724" s="4">
        <v>29</v>
      </c>
      <c r="AF2724" s="4">
        <v>0</v>
      </c>
      <c r="AG2724" s="4">
        <v>0</v>
      </c>
      <c r="AH2724" s="4">
        <v>28</v>
      </c>
      <c r="AI2724" s="4">
        <v>28</v>
      </c>
      <c r="AJ2724" s="4">
        <v>2</v>
      </c>
      <c r="AK2724" s="4">
        <v>2</v>
      </c>
      <c r="AL2724" s="4">
        <v>22</v>
      </c>
      <c r="AM2724" s="4">
        <v>22</v>
      </c>
      <c r="AN2724" s="4">
        <v>0</v>
      </c>
      <c r="AO2724" s="4">
        <v>0</v>
      </c>
      <c r="AP2724" s="4">
        <v>2</v>
      </c>
      <c r="AQ2724" s="4">
        <v>2</v>
      </c>
      <c r="AR2724" s="3" t="s">
        <v>65</v>
      </c>
      <c r="AS2724" s="3" t="s">
        <v>65</v>
      </c>
      <c r="AT2724" s="3" t="s">
        <v>65</v>
      </c>
      <c r="AV2724" s="6" t="str">
        <f>HYPERLINK("http://mcgill.on.worldcat.org/oclc/744284120","Catalog Record")</f>
        <v>Catalog Record</v>
      </c>
      <c r="AW2724" s="6" t="str">
        <f>HYPERLINK("http://www.worldcat.org/oclc/744284120","WorldCat Record")</f>
        <v>WorldCat Record</v>
      </c>
      <c r="AX2724" s="3" t="s">
        <v>27004</v>
      </c>
      <c r="AY2724" s="3" t="s">
        <v>27005</v>
      </c>
      <c r="AZ2724" s="3" t="s">
        <v>27006</v>
      </c>
      <c r="BA2724" s="3" t="s">
        <v>27006</v>
      </c>
      <c r="BB2724" s="3" t="s">
        <v>27007</v>
      </c>
      <c r="BC2724" s="3" t="s">
        <v>77</v>
      </c>
      <c r="BD2724" s="3" t="s">
        <v>78</v>
      </c>
      <c r="BE2724" s="3" t="s">
        <v>27008</v>
      </c>
      <c r="BF2724" s="3" t="s">
        <v>27007</v>
      </c>
      <c r="BG2724" s="3" t="s">
        <v>27009</v>
      </c>
    </row>
    <row r="2725" spans="1:59" ht="72.5" x14ac:dyDescent="0.35">
      <c r="A2725" s="2" t="s">
        <v>59</v>
      </c>
      <c r="B2725" s="2" t="s">
        <v>60</v>
      </c>
      <c r="C2725" s="2" t="s">
        <v>27010</v>
      </c>
      <c r="D2725" s="2" t="s">
        <v>27011</v>
      </c>
      <c r="E2725" s="2" t="s">
        <v>27012</v>
      </c>
      <c r="G2725" s="3" t="s">
        <v>65</v>
      </c>
      <c r="I2725" s="3" t="s">
        <v>65</v>
      </c>
      <c r="J2725" s="3" t="s">
        <v>65</v>
      </c>
      <c r="K2725" s="3" t="s">
        <v>66</v>
      </c>
      <c r="L2725" s="2" t="s">
        <v>27013</v>
      </c>
      <c r="M2725" s="2" t="s">
        <v>27014</v>
      </c>
      <c r="N2725" s="3" t="s">
        <v>126</v>
      </c>
      <c r="O2725" s="2" t="s">
        <v>379</v>
      </c>
      <c r="P2725" s="3" t="s">
        <v>140</v>
      </c>
      <c r="Q2725" s="2" t="s">
        <v>27015</v>
      </c>
      <c r="R2725" s="3" t="s">
        <v>71</v>
      </c>
      <c r="S2725" s="4">
        <v>0</v>
      </c>
      <c r="T2725" s="4">
        <v>0</v>
      </c>
      <c r="W2725" s="5" t="s">
        <v>72</v>
      </c>
      <c r="X2725" s="5" t="s">
        <v>72</v>
      </c>
      <c r="Y2725" s="4">
        <v>35</v>
      </c>
      <c r="Z2725" s="4">
        <v>5</v>
      </c>
      <c r="AA2725" s="4">
        <v>5</v>
      </c>
      <c r="AB2725" s="4">
        <v>1</v>
      </c>
      <c r="AC2725" s="4">
        <v>1</v>
      </c>
      <c r="AD2725" s="4">
        <v>25</v>
      </c>
      <c r="AE2725" s="4">
        <v>25</v>
      </c>
      <c r="AF2725" s="4">
        <v>0</v>
      </c>
      <c r="AG2725" s="4">
        <v>0</v>
      </c>
      <c r="AH2725" s="4">
        <v>24</v>
      </c>
      <c r="AI2725" s="4">
        <v>24</v>
      </c>
      <c r="AJ2725" s="4">
        <v>3</v>
      </c>
      <c r="AK2725" s="4">
        <v>3</v>
      </c>
      <c r="AL2725" s="4">
        <v>18</v>
      </c>
      <c r="AM2725" s="4">
        <v>18</v>
      </c>
      <c r="AN2725" s="4">
        <v>0</v>
      </c>
      <c r="AO2725" s="4">
        <v>0</v>
      </c>
      <c r="AP2725" s="4">
        <v>3</v>
      </c>
      <c r="AQ2725" s="4">
        <v>3</v>
      </c>
      <c r="AR2725" s="3" t="s">
        <v>65</v>
      </c>
      <c r="AS2725" s="3" t="s">
        <v>65</v>
      </c>
      <c r="AT2725" s="3" t="s">
        <v>65</v>
      </c>
      <c r="AV2725" s="6" t="str">
        <f>HYPERLINK("http://mcgill.on.worldcat.org/oclc/760054026","Catalog Record")</f>
        <v>Catalog Record</v>
      </c>
      <c r="AW2725" s="6" t="str">
        <f>HYPERLINK("http://www.worldcat.org/oclc/760054026","WorldCat Record")</f>
        <v>WorldCat Record</v>
      </c>
      <c r="AX2725" s="3" t="s">
        <v>27016</v>
      </c>
      <c r="AY2725" s="3" t="s">
        <v>27017</v>
      </c>
      <c r="AZ2725" s="3" t="s">
        <v>27018</v>
      </c>
      <c r="BA2725" s="3" t="s">
        <v>27018</v>
      </c>
      <c r="BB2725" s="3" t="s">
        <v>27019</v>
      </c>
      <c r="BC2725" s="3" t="s">
        <v>77</v>
      </c>
      <c r="BD2725" s="3" t="s">
        <v>78</v>
      </c>
      <c r="BE2725" s="3" t="s">
        <v>27020</v>
      </c>
      <c r="BF2725" s="3" t="s">
        <v>27019</v>
      </c>
      <c r="BG2725" s="3" t="s">
        <v>27021</v>
      </c>
    </row>
    <row r="2726" spans="1:59" ht="72.5" x14ac:dyDescent="0.35">
      <c r="A2726" s="2" t="s">
        <v>59</v>
      </c>
      <c r="B2726" s="2" t="s">
        <v>60</v>
      </c>
      <c r="C2726" s="2" t="s">
        <v>27022</v>
      </c>
      <c r="D2726" s="2" t="s">
        <v>27023</v>
      </c>
      <c r="E2726" s="2" t="s">
        <v>27024</v>
      </c>
      <c r="G2726" s="3" t="s">
        <v>65</v>
      </c>
      <c r="I2726" s="3" t="s">
        <v>65</v>
      </c>
      <c r="J2726" s="3" t="s">
        <v>65</v>
      </c>
      <c r="K2726" s="3" t="s">
        <v>66</v>
      </c>
      <c r="L2726" s="2" t="s">
        <v>27025</v>
      </c>
      <c r="M2726" s="2" t="s">
        <v>27026</v>
      </c>
      <c r="N2726" s="3" t="s">
        <v>139</v>
      </c>
      <c r="P2726" s="3" t="s">
        <v>140</v>
      </c>
      <c r="Q2726" s="2" t="s">
        <v>27027</v>
      </c>
      <c r="R2726" s="3" t="s">
        <v>71</v>
      </c>
      <c r="S2726" s="4">
        <v>0</v>
      </c>
      <c r="T2726" s="4">
        <v>0</v>
      </c>
      <c r="W2726" s="5" t="s">
        <v>72</v>
      </c>
      <c r="X2726" s="5" t="s">
        <v>72</v>
      </c>
      <c r="Y2726" s="4">
        <v>26</v>
      </c>
      <c r="Z2726" s="4">
        <v>4</v>
      </c>
      <c r="AA2726" s="4">
        <v>4</v>
      </c>
      <c r="AB2726" s="4">
        <v>1</v>
      </c>
      <c r="AC2726" s="4">
        <v>1</v>
      </c>
      <c r="AD2726" s="4">
        <v>18</v>
      </c>
      <c r="AE2726" s="4">
        <v>18</v>
      </c>
      <c r="AF2726" s="4">
        <v>0</v>
      </c>
      <c r="AG2726" s="4">
        <v>0</v>
      </c>
      <c r="AH2726" s="4">
        <v>17</v>
      </c>
      <c r="AI2726" s="4">
        <v>17</v>
      </c>
      <c r="AJ2726" s="4">
        <v>2</v>
      </c>
      <c r="AK2726" s="4">
        <v>2</v>
      </c>
      <c r="AL2726" s="4">
        <v>15</v>
      </c>
      <c r="AM2726" s="4">
        <v>15</v>
      </c>
      <c r="AN2726" s="4">
        <v>0</v>
      </c>
      <c r="AO2726" s="4">
        <v>0</v>
      </c>
      <c r="AP2726" s="4">
        <v>2</v>
      </c>
      <c r="AQ2726" s="4">
        <v>2</v>
      </c>
      <c r="AR2726" s="3" t="s">
        <v>65</v>
      </c>
      <c r="AS2726" s="3" t="s">
        <v>65</v>
      </c>
      <c r="AT2726" s="3" t="s">
        <v>65</v>
      </c>
      <c r="AV2726" s="6" t="str">
        <f>HYPERLINK("http://mcgill.on.worldcat.org/oclc/815378828","Catalog Record")</f>
        <v>Catalog Record</v>
      </c>
      <c r="AW2726" s="6" t="str">
        <f>HYPERLINK("http://www.worldcat.org/oclc/815378828","WorldCat Record")</f>
        <v>WorldCat Record</v>
      </c>
      <c r="AX2726" s="3" t="s">
        <v>27028</v>
      </c>
      <c r="AY2726" s="3" t="s">
        <v>27029</v>
      </c>
      <c r="AZ2726" s="3" t="s">
        <v>27030</v>
      </c>
      <c r="BA2726" s="3" t="s">
        <v>27030</v>
      </c>
      <c r="BB2726" s="3" t="s">
        <v>27031</v>
      </c>
      <c r="BC2726" s="3" t="s">
        <v>77</v>
      </c>
      <c r="BD2726" s="3" t="s">
        <v>78</v>
      </c>
      <c r="BE2726" s="3" t="s">
        <v>27032</v>
      </c>
      <c r="BF2726" s="3" t="s">
        <v>27031</v>
      </c>
      <c r="BG2726" s="3" t="s">
        <v>27033</v>
      </c>
    </row>
    <row r="2727" spans="1:59" ht="72.5" x14ac:dyDescent="0.35">
      <c r="A2727" s="2" t="s">
        <v>59</v>
      </c>
      <c r="B2727" s="2" t="s">
        <v>60</v>
      </c>
      <c r="C2727" s="2" t="s">
        <v>27034</v>
      </c>
      <c r="D2727" s="2" t="s">
        <v>27035</v>
      </c>
      <c r="E2727" s="2" t="s">
        <v>27036</v>
      </c>
      <c r="G2727" s="3" t="s">
        <v>65</v>
      </c>
      <c r="I2727" s="3" t="s">
        <v>65</v>
      </c>
      <c r="J2727" s="3" t="s">
        <v>65</v>
      </c>
      <c r="K2727" s="3" t="s">
        <v>66</v>
      </c>
      <c r="L2727" s="2" t="s">
        <v>26959</v>
      </c>
      <c r="M2727" s="2" t="s">
        <v>27037</v>
      </c>
      <c r="N2727" s="3" t="s">
        <v>863</v>
      </c>
      <c r="P2727" s="3" t="s">
        <v>69</v>
      </c>
      <c r="R2727" s="3" t="s">
        <v>71</v>
      </c>
      <c r="S2727" s="4">
        <v>13</v>
      </c>
      <c r="T2727" s="4">
        <v>13</v>
      </c>
      <c r="U2727" s="5" t="s">
        <v>865</v>
      </c>
      <c r="V2727" s="5" t="s">
        <v>865</v>
      </c>
      <c r="W2727" s="5" t="s">
        <v>72</v>
      </c>
      <c r="X2727" s="5" t="s">
        <v>72</v>
      </c>
      <c r="Y2727" s="4">
        <v>426</v>
      </c>
      <c r="Z2727" s="4">
        <v>18</v>
      </c>
      <c r="AA2727" s="4">
        <v>19</v>
      </c>
      <c r="AB2727" s="4">
        <v>1</v>
      </c>
      <c r="AC2727" s="4">
        <v>1</v>
      </c>
      <c r="AD2727" s="4">
        <v>90</v>
      </c>
      <c r="AE2727" s="4">
        <v>97</v>
      </c>
      <c r="AF2727" s="4">
        <v>0</v>
      </c>
      <c r="AG2727" s="4">
        <v>0</v>
      </c>
      <c r="AH2727" s="4">
        <v>83</v>
      </c>
      <c r="AI2727" s="4">
        <v>88</v>
      </c>
      <c r="AJ2727" s="4">
        <v>11</v>
      </c>
      <c r="AK2727" s="4">
        <v>11</v>
      </c>
      <c r="AL2727" s="4">
        <v>48</v>
      </c>
      <c r="AM2727" s="4">
        <v>52</v>
      </c>
      <c r="AN2727" s="4">
        <v>0</v>
      </c>
      <c r="AO2727" s="4">
        <v>0</v>
      </c>
      <c r="AP2727" s="4">
        <v>13</v>
      </c>
      <c r="AQ2727" s="4">
        <v>14</v>
      </c>
      <c r="AR2727" s="3" t="s">
        <v>65</v>
      </c>
      <c r="AS2727" s="3" t="s">
        <v>65</v>
      </c>
      <c r="AT2727" s="3" t="s">
        <v>65</v>
      </c>
      <c r="AV2727" s="6" t="str">
        <f>HYPERLINK("http://mcgill.on.worldcat.org/oclc/27069497","Catalog Record")</f>
        <v>Catalog Record</v>
      </c>
      <c r="AW2727" s="6" t="str">
        <f>HYPERLINK("http://www.worldcat.org/oclc/27069497","WorldCat Record")</f>
        <v>WorldCat Record</v>
      </c>
      <c r="AX2727" s="3" t="s">
        <v>27038</v>
      </c>
      <c r="AY2727" s="3" t="s">
        <v>27039</v>
      </c>
      <c r="AZ2727" s="3" t="s">
        <v>27040</v>
      </c>
      <c r="BA2727" s="3" t="s">
        <v>27040</v>
      </c>
      <c r="BB2727" s="3" t="s">
        <v>27041</v>
      </c>
      <c r="BC2727" s="3" t="s">
        <v>77</v>
      </c>
      <c r="BD2727" s="3" t="s">
        <v>78</v>
      </c>
      <c r="BE2727" s="3" t="s">
        <v>27042</v>
      </c>
      <c r="BF2727" s="3" t="s">
        <v>27041</v>
      </c>
      <c r="BG2727" s="3" t="s">
        <v>27043</v>
      </c>
    </row>
    <row r="2728" spans="1:59" ht="72.5" x14ac:dyDescent="0.35">
      <c r="A2728" s="2" t="s">
        <v>59</v>
      </c>
      <c r="B2728" s="2" t="s">
        <v>60</v>
      </c>
      <c r="C2728" s="2" t="s">
        <v>27044</v>
      </c>
      <c r="D2728" s="2" t="s">
        <v>27045</v>
      </c>
      <c r="E2728" s="2" t="s">
        <v>27046</v>
      </c>
      <c r="G2728" s="3" t="s">
        <v>65</v>
      </c>
      <c r="I2728" s="3" t="s">
        <v>65</v>
      </c>
      <c r="J2728" s="3" t="s">
        <v>65</v>
      </c>
      <c r="K2728" s="3" t="s">
        <v>66</v>
      </c>
      <c r="L2728" s="2" t="s">
        <v>27047</v>
      </c>
      <c r="M2728" s="2" t="s">
        <v>27048</v>
      </c>
      <c r="N2728" s="3" t="s">
        <v>139</v>
      </c>
      <c r="P2728" s="3" t="s">
        <v>140</v>
      </c>
      <c r="Q2728" s="2" t="s">
        <v>17443</v>
      </c>
      <c r="R2728" s="3" t="s">
        <v>71</v>
      </c>
      <c r="S2728" s="4">
        <v>0</v>
      </c>
      <c r="T2728" s="4">
        <v>0</v>
      </c>
      <c r="W2728" s="5" t="s">
        <v>72</v>
      </c>
      <c r="X2728" s="5" t="s">
        <v>72</v>
      </c>
      <c r="Y2728" s="4">
        <v>55</v>
      </c>
      <c r="Z2728" s="4">
        <v>5</v>
      </c>
      <c r="AA2728" s="4">
        <v>5</v>
      </c>
      <c r="AB2728" s="4">
        <v>1</v>
      </c>
      <c r="AC2728" s="4">
        <v>1</v>
      </c>
      <c r="AD2728" s="4">
        <v>40</v>
      </c>
      <c r="AE2728" s="4">
        <v>40</v>
      </c>
      <c r="AF2728" s="4">
        <v>0</v>
      </c>
      <c r="AG2728" s="4">
        <v>0</v>
      </c>
      <c r="AH2728" s="4">
        <v>39</v>
      </c>
      <c r="AI2728" s="4">
        <v>39</v>
      </c>
      <c r="AJ2728" s="4">
        <v>3</v>
      </c>
      <c r="AK2728" s="4">
        <v>3</v>
      </c>
      <c r="AL2728" s="4">
        <v>30</v>
      </c>
      <c r="AM2728" s="4">
        <v>30</v>
      </c>
      <c r="AN2728" s="4">
        <v>0</v>
      </c>
      <c r="AO2728" s="4">
        <v>0</v>
      </c>
      <c r="AP2728" s="4">
        <v>3</v>
      </c>
      <c r="AQ2728" s="4">
        <v>3</v>
      </c>
      <c r="AR2728" s="3" t="s">
        <v>65</v>
      </c>
      <c r="AS2728" s="3" t="s">
        <v>65</v>
      </c>
      <c r="AT2728" s="3" t="s">
        <v>65</v>
      </c>
      <c r="AV2728" s="6" t="str">
        <f>HYPERLINK("http://mcgill.on.worldcat.org/oclc/796779878","Catalog Record")</f>
        <v>Catalog Record</v>
      </c>
      <c r="AW2728" s="6" t="str">
        <f>HYPERLINK("http://www.worldcat.org/oclc/796779878","WorldCat Record")</f>
        <v>WorldCat Record</v>
      </c>
      <c r="AX2728" s="3" t="s">
        <v>27049</v>
      </c>
      <c r="AY2728" s="3" t="s">
        <v>27050</v>
      </c>
      <c r="AZ2728" s="3" t="s">
        <v>27051</v>
      </c>
      <c r="BA2728" s="3" t="s">
        <v>27051</v>
      </c>
      <c r="BB2728" s="3" t="s">
        <v>27052</v>
      </c>
      <c r="BC2728" s="3" t="s">
        <v>77</v>
      </c>
      <c r="BD2728" s="3" t="s">
        <v>78</v>
      </c>
      <c r="BE2728" s="3" t="s">
        <v>27053</v>
      </c>
      <c r="BF2728" s="3" t="s">
        <v>27052</v>
      </c>
      <c r="BG2728" s="3" t="s">
        <v>27054</v>
      </c>
    </row>
    <row r="2729" spans="1:59" ht="72.5" x14ac:dyDescent="0.35">
      <c r="A2729" s="2" t="s">
        <v>59</v>
      </c>
      <c r="B2729" s="2" t="s">
        <v>60</v>
      </c>
      <c r="C2729" s="2" t="s">
        <v>27055</v>
      </c>
      <c r="D2729" s="2" t="s">
        <v>27056</v>
      </c>
      <c r="E2729" s="2" t="s">
        <v>27057</v>
      </c>
      <c r="G2729" s="3" t="s">
        <v>65</v>
      </c>
      <c r="I2729" s="3" t="s">
        <v>65</v>
      </c>
      <c r="J2729" s="3" t="s">
        <v>65</v>
      </c>
      <c r="K2729" s="3" t="s">
        <v>66</v>
      </c>
      <c r="L2729" s="2" t="s">
        <v>27058</v>
      </c>
      <c r="M2729" s="2" t="s">
        <v>27059</v>
      </c>
      <c r="N2729" s="3" t="s">
        <v>139</v>
      </c>
      <c r="P2729" s="3" t="s">
        <v>140</v>
      </c>
      <c r="Q2729" s="2" t="s">
        <v>27060</v>
      </c>
      <c r="R2729" s="3" t="s">
        <v>71</v>
      </c>
      <c r="S2729" s="4">
        <v>0</v>
      </c>
      <c r="T2729" s="4">
        <v>0</v>
      </c>
      <c r="U2729" s="5" t="s">
        <v>2061</v>
      </c>
      <c r="V2729" s="5" t="s">
        <v>2061</v>
      </c>
      <c r="W2729" s="5" t="s">
        <v>72</v>
      </c>
      <c r="X2729" s="5" t="s">
        <v>72</v>
      </c>
      <c r="Y2729" s="4">
        <v>20</v>
      </c>
      <c r="Z2729" s="4">
        <v>1</v>
      </c>
      <c r="AA2729" s="4">
        <v>1</v>
      </c>
      <c r="AB2729" s="4">
        <v>1</v>
      </c>
      <c r="AC2729" s="4">
        <v>1</v>
      </c>
      <c r="AD2729" s="4">
        <v>15</v>
      </c>
      <c r="AE2729" s="4">
        <v>15</v>
      </c>
      <c r="AF2729" s="4">
        <v>0</v>
      </c>
      <c r="AG2729" s="4">
        <v>0</v>
      </c>
      <c r="AH2729" s="4">
        <v>14</v>
      </c>
      <c r="AI2729" s="4">
        <v>14</v>
      </c>
      <c r="AJ2729" s="4">
        <v>0</v>
      </c>
      <c r="AK2729" s="4">
        <v>0</v>
      </c>
      <c r="AL2729" s="4">
        <v>12</v>
      </c>
      <c r="AM2729" s="4">
        <v>12</v>
      </c>
      <c r="AN2729" s="4">
        <v>0</v>
      </c>
      <c r="AO2729" s="4">
        <v>0</v>
      </c>
      <c r="AP2729" s="4">
        <v>0</v>
      </c>
      <c r="AQ2729" s="4">
        <v>0</v>
      </c>
      <c r="AR2729" s="3" t="s">
        <v>65</v>
      </c>
      <c r="AS2729" s="3" t="s">
        <v>65</v>
      </c>
      <c r="AT2729" s="3" t="s">
        <v>65</v>
      </c>
      <c r="AV2729" s="6" t="str">
        <f>HYPERLINK("http://mcgill.on.worldcat.org/oclc/841181363","Catalog Record")</f>
        <v>Catalog Record</v>
      </c>
      <c r="AW2729" s="6" t="str">
        <f>HYPERLINK("http://www.worldcat.org/oclc/841181363","WorldCat Record")</f>
        <v>WorldCat Record</v>
      </c>
      <c r="AX2729" s="3" t="s">
        <v>27061</v>
      </c>
      <c r="AY2729" s="3" t="s">
        <v>27062</v>
      </c>
      <c r="AZ2729" s="3" t="s">
        <v>27063</v>
      </c>
      <c r="BA2729" s="3" t="s">
        <v>27063</v>
      </c>
      <c r="BB2729" s="3" t="s">
        <v>27064</v>
      </c>
      <c r="BC2729" s="3" t="s">
        <v>77</v>
      </c>
      <c r="BD2729" s="3" t="s">
        <v>78</v>
      </c>
      <c r="BE2729" s="3" t="s">
        <v>27065</v>
      </c>
      <c r="BF2729" s="3" t="s">
        <v>27064</v>
      </c>
      <c r="BG2729" s="3" t="s">
        <v>27066</v>
      </c>
    </row>
    <row r="2730" spans="1:59" ht="72.5" x14ac:dyDescent="0.35">
      <c r="A2730" s="2" t="s">
        <v>59</v>
      </c>
      <c r="B2730" s="2" t="s">
        <v>60</v>
      </c>
      <c r="C2730" s="2" t="s">
        <v>27067</v>
      </c>
      <c r="D2730" s="2" t="s">
        <v>27068</v>
      </c>
      <c r="E2730" s="2" t="s">
        <v>27069</v>
      </c>
      <c r="G2730" s="3" t="s">
        <v>65</v>
      </c>
      <c r="I2730" s="3" t="s">
        <v>65</v>
      </c>
      <c r="J2730" s="3" t="s">
        <v>65</v>
      </c>
      <c r="K2730" s="3" t="s">
        <v>66</v>
      </c>
      <c r="L2730" s="2" t="s">
        <v>27070</v>
      </c>
      <c r="M2730" s="2" t="s">
        <v>3173</v>
      </c>
      <c r="N2730" s="3" t="s">
        <v>126</v>
      </c>
      <c r="O2730" s="2" t="s">
        <v>654</v>
      </c>
      <c r="P2730" s="3" t="s">
        <v>140</v>
      </c>
      <c r="Q2730" s="2" t="s">
        <v>27071</v>
      </c>
      <c r="R2730" s="3" t="s">
        <v>71</v>
      </c>
      <c r="S2730" s="4">
        <v>0</v>
      </c>
      <c r="T2730" s="4">
        <v>0</v>
      </c>
      <c r="W2730" s="5" t="s">
        <v>72</v>
      </c>
      <c r="X2730" s="5" t="s">
        <v>72</v>
      </c>
      <c r="Y2730" s="4">
        <v>25</v>
      </c>
      <c r="Z2730" s="4">
        <v>3</v>
      </c>
      <c r="AA2730" s="4">
        <v>3</v>
      </c>
      <c r="AB2730" s="4">
        <v>1</v>
      </c>
      <c r="AC2730" s="4">
        <v>1</v>
      </c>
      <c r="AD2730" s="4">
        <v>21</v>
      </c>
      <c r="AE2730" s="4">
        <v>21</v>
      </c>
      <c r="AF2730" s="4">
        <v>0</v>
      </c>
      <c r="AG2730" s="4">
        <v>0</v>
      </c>
      <c r="AH2730" s="4">
        <v>19</v>
      </c>
      <c r="AI2730" s="4">
        <v>19</v>
      </c>
      <c r="AJ2730" s="4">
        <v>2</v>
      </c>
      <c r="AK2730" s="4">
        <v>2</v>
      </c>
      <c r="AL2730" s="4">
        <v>15</v>
      </c>
      <c r="AM2730" s="4">
        <v>15</v>
      </c>
      <c r="AN2730" s="4">
        <v>0</v>
      </c>
      <c r="AO2730" s="4">
        <v>0</v>
      </c>
      <c r="AP2730" s="4">
        <v>2</v>
      </c>
      <c r="AQ2730" s="4">
        <v>2</v>
      </c>
      <c r="AR2730" s="3" t="s">
        <v>65</v>
      </c>
      <c r="AS2730" s="3" t="s">
        <v>65</v>
      </c>
      <c r="AT2730" s="3" t="s">
        <v>65</v>
      </c>
      <c r="AV2730" s="6" t="str">
        <f>HYPERLINK("http://mcgill.on.worldcat.org/oclc/721864080","Catalog Record")</f>
        <v>Catalog Record</v>
      </c>
      <c r="AW2730" s="6" t="str">
        <f>HYPERLINK("http://www.worldcat.org/oclc/721864080","WorldCat Record")</f>
        <v>WorldCat Record</v>
      </c>
      <c r="AX2730" s="3" t="s">
        <v>27072</v>
      </c>
      <c r="AY2730" s="3" t="s">
        <v>27073</v>
      </c>
      <c r="AZ2730" s="3" t="s">
        <v>27074</v>
      </c>
      <c r="BA2730" s="3" t="s">
        <v>27074</v>
      </c>
      <c r="BB2730" s="3" t="s">
        <v>27075</v>
      </c>
      <c r="BC2730" s="3" t="s">
        <v>77</v>
      </c>
      <c r="BD2730" s="3" t="s">
        <v>78</v>
      </c>
      <c r="BE2730" s="3" t="s">
        <v>27076</v>
      </c>
      <c r="BF2730" s="3" t="s">
        <v>27075</v>
      </c>
      <c r="BG2730" s="3" t="s">
        <v>27077</v>
      </c>
    </row>
    <row r="2731" spans="1:59" ht="72.5" x14ac:dyDescent="0.35">
      <c r="A2731" s="2" t="s">
        <v>59</v>
      </c>
      <c r="B2731" s="2" t="s">
        <v>60</v>
      </c>
      <c r="C2731" s="2" t="s">
        <v>27078</v>
      </c>
      <c r="D2731" s="2" t="s">
        <v>27079</v>
      </c>
      <c r="E2731" s="2" t="s">
        <v>27080</v>
      </c>
      <c r="G2731" s="3" t="s">
        <v>65</v>
      </c>
      <c r="I2731" s="3" t="s">
        <v>65</v>
      </c>
      <c r="J2731" s="3" t="s">
        <v>65</v>
      </c>
      <c r="K2731" s="3" t="s">
        <v>66</v>
      </c>
      <c r="L2731" s="2" t="s">
        <v>27081</v>
      </c>
      <c r="M2731" s="2" t="s">
        <v>27082</v>
      </c>
      <c r="N2731" s="3" t="s">
        <v>164</v>
      </c>
      <c r="O2731" s="2" t="s">
        <v>235</v>
      </c>
      <c r="P2731" s="3" t="s">
        <v>140</v>
      </c>
      <c r="Q2731" s="2" t="s">
        <v>27083</v>
      </c>
      <c r="R2731" s="3" t="s">
        <v>71</v>
      </c>
      <c r="S2731" s="4">
        <v>0</v>
      </c>
      <c r="T2731" s="4">
        <v>0</v>
      </c>
      <c r="W2731" s="5" t="s">
        <v>72</v>
      </c>
      <c r="X2731" s="5" t="s">
        <v>72</v>
      </c>
      <c r="Y2731" s="4">
        <v>38</v>
      </c>
      <c r="Z2731" s="4">
        <v>4</v>
      </c>
      <c r="AA2731" s="4">
        <v>4</v>
      </c>
      <c r="AB2731" s="4">
        <v>1</v>
      </c>
      <c r="AC2731" s="4">
        <v>1</v>
      </c>
      <c r="AD2731" s="4">
        <v>25</v>
      </c>
      <c r="AE2731" s="4">
        <v>25</v>
      </c>
      <c r="AF2731" s="4">
        <v>0</v>
      </c>
      <c r="AG2731" s="4">
        <v>0</v>
      </c>
      <c r="AH2731" s="4">
        <v>25</v>
      </c>
      <c r="AI2731" s="4">
        <v>25</v>
      </c>
      <c r="AJ2731" s="4">
        <v>2</v>
      </c>
      <c r="AK2731" s="4">
        <v>2</v>
      </c>
      <c r="AL2731" s="4">
        <v>19</v>
      </c>
      <c r="AM2731" s="4">
        <v>19</v>
      </c>
      <c r="AN2731" s="4">
        <v>0</v>
      </c>
      <c r="AO2731" s="4">
        <v>0</v>
      </c>
      <c r="AP2731" s="4">
        <v>2</v>
      </c>
      <c r="AQ2731" s="4">
        <v>2</v>
      </c>
      <c r="AR2731" s="3" t="s">
        <v>65</v>
      </c>
      <c r="AS2731" s="3" t="s">
        <v>65</v>
      </c>
      <c r="AT2731" s="3" t="s">
        <v>65</v>
      </c>
      <c r="AV2731" s="6" t="str">
        <f>HYPERLINK("http://mcgill.on.worldcat.org/oclc/902638943","Catalog Record")</f>
        <v>Catalog Record</v>
      </c>
      <c r="AW2731" s="6" t="str">
        <f>HYPERLINK("http://www.worldcat.org/oclc/902638943","WorldCat Record")</f>
        <v>WorldCat Record</v>
      </c>
      <c r="AX2731" s="3" t="s">
        <v>27084</v>
      </c>
      <c r="AY2731" s="3" t="s">
        <v>27085</v>
      </c>
      <c r="AZ2731" s="3" t="s">
        <v>27086</v>
      </c>
      <c r="BA2731" s="3" t="s">
        <v>27086</v>
      </c>
      <c r="BB2731" s="3" t="s">
        <v>27087</v>
      </c>
      <c r="BC2731" s="3" t="s">
        <v>77</v>
      </c>
      <c r="BD2731" s="3" t="s">
        <v>78</v>
      </c>
      <c r="BE2731" s="3" t="s">
        <v>27088</v>
      </c>
      <c r="BF2731" s="3" t="s">
        <v>27087</v>
      </c>
      <c r="BG2731" s="3" t="s">
        <v>27089</v>
      </c>
    </row>
    <row r="2732" spans="1:59" ht="72.5" x14ac:dyDescent="0.35">
      <c r="A2732" s="2" t="s">
        <v>59</v>
      </c>
      <c r="B2732" s="2" t="s">
        <v>60</v>
      </c>
      <c r="C2732" s="2" t="s">
        <v>27090</v>
      </c>
      <c r="D2732" s="2" t="s">
        <v>27091</v>
      </c>
      <c r="E2732" s="2" t="s">
        <v>27092</v>
      </c>
      <c r="G2732" s="3" t="s">
        <v>65</v>
      </c>
      <c r="I2732" s="3" t="s">
        <v>65</v>
      </c>
      <c r="J2732" s="3" t="s">
        <v>65</v>
      </c>
      <c r="K2732" s="3" t="s">
        <v>66</v>
      </c>
      <c r="L2732" s="2" t="s">
        <v>18496</v>
      </c>
      <c r="M2732" s="2" t="s">
        <v>27093</v>
      </c>
      <c r="N2732" s="3" t="s">
        <v>152</v>
      </c>
      <c r="P2732" s="3" t="s">
        <v>140</v>
      </c>
      <c r="Q2732" s="2" t="s">
        <v>27094</v>
      </c>
      <c r="R2732" s="3" t="s">
        <v>71</v>
      </c>
      <c r="S2732" s="4">
        <v>0</v>
      </c>
      <c r="T2732" s="4">
        <v>0</v>
      </c>
      <c r="W2732" s="5" t="s">
        <v>72</v>
      </c>
      <c r="X2732" s="5" t="s">
        <v>72</v>
      </c>
      <c r="Y2732" s="4">
        <v>24</v>
      </c>
      <c r="Z2732" s="4">
        <v>3</v>
      </c>
      <c r="AA2732" s="4">
        <v>3</v>
      </c>
      <c r="AB2732" s="4">
        <v>1</v>
      </c>
      <c r="AC2732" s="4">
        <v>1</v>
      </c>
      <c r="AD2732" s="4">
        <v>14</v>
      </c>
      <c r="AE2732" s="4">
        <v>14</v>
      </c>
      <c r="AF2732" s="4">
        <v>0</v>
      </c>
      <c r="AG2732" s="4">
        <v>0</v>
      </c>
      <c r="AH2732" s="4">
        <v>13</v>
      </c>
      <c r="AI2732" s="4">
        <v>13</v>
      </c>
      <c r="AJ2732" s="4">
        <v>1</v>
      </c>
      <c r="AK2732" s="4">
        <v>1</v>
      </c>
      <c r="AL2732" s="4">
        <v>12</v>
      </c>
      <c r="AM2732" s="4">
        <v>12</v>
      </c>
      <c r="AN2732" s="4">
        <v>0</v>
      </c>
      <c r="AO2732" s="4">
        <v>0</v>
      </c>
      <c r="AP2732" s="4">
        <v>1</v>
      </c>
      <c r="AQ2732" s="4">
        <v>1</v>
      </c>
      <c r="AR2732" s="3" t="s">
        <v>65</v>
      </c>
      <c r="AS2732" s="3" t="s">
        <v>65</v>
      </c>
      <c r="AT2732" s="3" t="s">
        <v>65</v>
      </c>
      <c r="AV2732" s="6" t="str">
        <f>HYPERLINK("http://mcgill.on.worldcat.org/oclc/839273825","Catalog Record")</f>
        <v>Catalog Record</v>
      </c>
      <c r="AW2732" s="6" t="str">
        <f>HYPERLINK("http://www.worldcat.org/oclc/839273825","WorldCat Record")</f>
        <v>WorldCat Record</v>
      </c>
      <c r="AX2732" s="3" t="s">
        <v>27095</v>
      </c>
      <c r="AY2732" s="3" t="s">
        <v>27096</v>
      </c>
      <c r="AZ2732" s="3" t="s">
        <v>27097</v>
      </c>
      <c r="BA2732" s="3" t="s">
        <v>27097</v>
      </c>
      <c r="BB2732" s="3" t="s">
        <v>27098</v>
      </c>
      <c r="BC2732" s="3" t="s">
        <v>77</v>
      </c>
      <c r="BD2732" s="3" t="s">
        <v>78</v>
      </c>
      <c r="BE2732" s="3" t="s">
        <v>27099</v>
      </c>
      <c r="BF2732" s="3" t="s">
        <v>27098</v>
      </c>
      <c r="BG2732" s="3" t="s">
        <v>27100</v>
      </c>
    </row>
    <row r="2733" spans="1:59" ht="72.5" x14ac:dyDescent="0.35">
      <c r="A2733" s="2" t="s">
        <v>59</v>
      </c>
      <c r="B2733" s="2" t="s">
        <v>60</v>
      </c>
      <c r="C2733" s="2" t="s">
        <v>27101</v>
      </c>
      <c r="D2733" s="2" t="s">
        <v>27102</v>
      </c>
      <c r="E2733" s="2" t="s">
        <v>27103</v>
      </c>
      <c r="G2733" s="3" t="s">
        <v>65</v>
      </c>
      <c r="I2733" s="3" t="s">
        <v>65</v>
      </c>
      <c r="J2733" s="3" t="s">
        <v>65</v>
      </c>
      <c r="K2733" s="3" t="s">
        <v>66</v>
      </c>
      <c r="L2733" s="2" t="s">
        <v>27104</v>
      </c>
      <c r="M2733" s="2" t="s">
        <v>27105</v>
      </c>
      <c r="N2733" s="3" t="s">
        <v>139</v>
      </c>
      <c r="P2733" s="3" t="s">
        <v>140</v>
      </c>
      <c r="R2733" s="3" t="s">
        <v>71</v>
      </c>
      <c r="S2733" s="4">
        <v>0</v>
      </c>
      <c r="T2733" s="4">
        <v>0</v>
      </c>
      <c r="W2733" s="5" t="s">
        <v>72</v>
      </c>
      <c r="X2733" s="5" t="s">
        <v>72</v>
      </c>
      <c r="Y2733" s="4">
        <v>33</v>
      </c>
      <c r="Z2733" s="4">
        <v>4</v>
      </c>
      <c r="AA2733" s="4">
        <v>4</v>
      </c>
      <c r="AB2733" s="4">
        <v>1</v>
      </c>
      <c r="AC2733" s="4">
        <v>1</v>
      </c>
      <c r="AD2733" s="4">
        <v>25</v>
      </c>
      <c r="AE2733" s="4">
        <v>25</v>
      </c>
      <c r="AF2733" s="4">
        <v>0</v>
      </c>
      <c r="AG2733" s="4">
        <v>0</v>
      </c>
      <c r="AH2733" s="4">
        <v>24</v>
      </c>
      <c r="AI2733" s="4">
        <v>24</v>
      </c>
      <c r="AJ2733" s="4">
        <v>2</v>
      </c>
      <c r="AK2733" s="4">
        <v>2</v>
      </c>
      <c r="AL2733" s="4">
        <v>21</v>
      </c>
      <c r="AM2733" s="4">
        <v>21</v>
      </c>
      <c r="AN2733" s="4">
        <v>0</v>
      </c>
      <c r="AO2733" s="4">
        <v>0</v>
      </c>
      <c r="AP2733" s="4">
        <v>2</v>
      </c>
      <c r="AQ2733" s="4">
        <v>2</v>
      </c>
      <c r="AR2733" s="3" t="s">
        <v>65</v>
      </c>
      <c r="AS2733" s="3" t="s">
        <v>65</v>
      </c>
      <c r="AT2733" s="3" t="s">
        <v>65</v>
      </c>
      <c r="AV2733" s="6" t="str">
        <f>HYPERLINK("http://mcgill.on.worldcat.org/oclc/795156439","Catalog Record")</f>
        <v>Catalog Record</v>
      </c>
      <c r="AW2733" s="6" t="str">
        <f>HYPERLINK("http://www.worldcat.org/oclc/795156439","WorldCat Record")</f>
        <v>WorldCat Record</v>
      </c>
      <c r="AX2733" s="3" t="s">
        <v>27106</v>
      </c>
      <c r="AY2733" s="3" t="s">
        <v>27107</v>
      </c>
      <c r="AZ2733" s="3" t="s">
        <v>27108</v>
      </c>
      <c r="BA2733" s="3" t="s">
        <v>27108</v>
      </c>
      <c r="BB2733" s="3" t="s">
        <v>27109</v>
      </c>
      <c r="BC2733" s="3" t="s">
        <v>77</v>
      </c>
      <c r="BD2733" s="3" t="s">
        <v>78</v>
      </c>
      <c r="BE2733" s="3" t="s">
        <v>27110</v>
      </c>
      <c r="BF2733" s="3" t="s">
        <v>27109</v>
      </c>
      <c r="BG2733" s="3" t="s">
        <v>27111</v>
      </c>
    </row>
    <row r="2734" spans="1:59" ht="101.5" x14ac:dyDescent="0.35">
      <c r="A2734" s="2" t="s">
        <v>59</v>
      </c>
      <c r="B2734" s="2" t="s">
        <v>60</v>
      </c>
      <c r="C2734" s="2" t="s">
        <v>27112</v>
      </c>
      <c r="D2734" s="2" t="s">
        <v>27113</v>
      </c>
      <c r="E2734" s="2" t="s">
        <v>27114</v>
      </c>
      <c r="G2734" s="3" t="s">
        <v>65</v>
      </c>
      <c r="I2734" s="3" t="s">
        <v>65</v>
      </c>
      <c r="J2734" s="3" t="s">
        <v>65</v>
      </c>
      <c r="K2734" s="3" t="s">
        <v>66</v>
      </c>
      <c r="M2734" s="2" t="s">
        <v>27115</v>
      </c>
      <c r="N2734" s="3" t="s">
        <v>126</v>
      </c>
      <c r="P2734" s="3" t="s">
        <v>140</v>
      </c>
      <c r="Q2734" s="2" t="s">
        <v>27116</v>
      </c>
      <c r="R2734" s="3" t="s">
        <v>71</v>
      </c>
      <c r="S2734" s="4">
        <v>0</v>
      </c>
      <c r="T2734" s="4">
        <v>0</v>
      </c>
      <c r="W2734" s="5" t="s">
        <v>72</v>
      </c>
      <c r="X2734" s="5" t="s">
        <v>72</v>
      </c>
      <c r="Y2734" s="4">
        <v>45</v>
      </c>
      <c r="Z2734" s="4">
        <v>3</v>
      </c>
      <c r="AA2734" s="4">
        <v>3</v>
      </c>
      <c r="AB2734" s="4">
        <v>1</v>
      </c>
      <c r="AC2734" s="4">
        <v>1</v>
      </c>
      <c r="AD2734" s="4">
        <v>28</v>
      </c>
      <c r="AE2734" s="4">
        <v>28</v>
      </c>
      <c r="AF2734" s="4">
        <v>0</v>
      </c>
      <c r="AG2734" s="4">
        <v>0</v>
      </c>
      <c r="AH2734" s="4">
        <v>27</v>
      </c>
      <c r="AI2734" s="4">
        <v>27</v>
      </c>
      <c r="AJ2734" s="4">
        <v>1</v>
      </c>
      <c r="AK2734" s="4">
        <v>1</v>
      </c>
      <c r="AL2734" s="4">
        <v>23</v>
      </c>
      <c r="AM2734" s="4">
        <v>23</v>
      </c>
      <c r="AN2734" s="4">
        <v>0</v>
      </c>
      <c r="AO2734" s="4">
        <v>0</v>
      </c>
      <c r="AP2734" s="4">
        <v>1</v>
      </c>
      <c r="AQ2734" s="4">
        <v>1</v>
      </c>
      <c r="AR2734" s="3" t="s">
        <v>65</v>
      </c>
      <c r="AS2734" s="3" t="s">
        <v>65</v>
      </c>
      <c r="AT2734" s="3" t="s">
        <v>65</v>
      </c>
      <c r="AV2734" s="6" t="str">
        <f>HYPERLINK("http://mcgill.on.worldcat.org/oclc/773016805","Catalog Record")</f>
        <v>Catalog Record</v>
      </c>
      <c r="AW2734" s="6" t="str">
        <f>HYPERLINK("http://www.worldcat.org/oclc/773016805","WorldCat Record")</f>
        <v>WorldCat Record</v>
      </c>
      <c r="AX2734" s="3" t="s">
        <v>27117</v>
      </c>
      <c r="AY2734" s="3" t="s">
        <v>27118</v>
      </c>
      <c r="AZ2734" s="3" t="s">
        <v>27119</v>
      </c>
      <c r="BA2734" s="3" t="s">
        <v>27119</v>
      </c>
      <c r="BB2734" s="3" t="s">
        <v>27120</v>
      </c>
      <c r="BC2734" s="3" t="s">
        <v>77</v>
      </c>
      <c r="BD2734" s="3" t="s">
        <v>78</v>
      </c>
      <c r="BE2734" s="3" t="s">
        <v>27121</v>
      </c>
      <c r="BF2734" s="3" t="s">
        <v>27120</v>
      </c>
      <c r="BG2734" s="3" t="s">
        <v>27122</v>
      </c>
    </row>
    <row r="2735" spans="1:59" ht="72.5" x14ac:dyDescent="0.35">
      <c r="A2735" s="2" t="s">
        <v>59</v>
      </c>
      <c r="B2735" s="2" t="s">
        <v>60</v>
      </c>
      <c r="C2735" s="2" t="s">
        <v>27123</v>
      </c>
      <c r="D2735" s="2" t="s">
        <v>27124</v>
      </c>
      <c r="E2735" s="2" t="s">
        <v>27125</v>
      </c>
      <c r="G2735" s="3" t="s">
        <v>65</v>
      </c>
      <c r="I2735" s="3" t="s">
        <v>65</v>
      </c>
      <c r="J2735" s="3" t="s">
        <v>65</v>
      </c>
      <c r="K2735" s="3" t="s">
        <v>66</v>
      </c>
      <c r="L2735" s="2" t="s">
        <v>27126</v>
      </c>
      <c r="M2735" s="2" t="s">
        <v>5746</v>
      </c>
      <c r="N2735" s="3" t="s">
        <v>139</v>
      </c>
      <c r="O2735" s="2" t="s">
        <v>365</v>
      </c>
      <c r="P2735" s="3" t="s">
        <v>140</v>
      </c>
      <c r="Q2735" s="2" t="s">
        <v>27127</v>
      </c>
      <c r="R2735" s="3" t="s">
        <v>71</v>
      </c>
      <c r="S2735" s="4">
        <v>0</v>
      </c>
      <c r="T2735" s="4">
        <v>0</v>
      </c>
      <c r="W2735" s="5" t="s">
        <v>72</v>
      </c>
      <c r="X2735" s="5" t="s">
        <v>72</v>
      </c>
      <c r="Y2735" s="4">
        <v>40</v>
      </c>
      <c r="Z2735" s="4">
        <v>4</v>
      </c>
      <c r="AA2735" s="4">
        <v>4</v>
      </c>
      <c r="AB2735" s="4">
        <v>1</v>
      </c>
      <c r="AC2735" s="4">
        <v>1</v>
      </c>
      <c r="AD2735" s="4">
        <v>28</v>
      </c>
      <c r="AE2735" s="4">
        <v>28</v>
      </c>
      <c r="AF2735" s="4">
        <v>0</v>
      </c>
      <c r="AG2735" s="4">
        <v>0</v>
      </c>
      <c r="AH2735" s="4">
        <v>27</v>
      </c>
      <c r="AI2735" s="4">
        <v>27</v>
      </c>
      <c r="AJ2735" s="4">
        <v>2</v>
      </c>
      <c r="AK2735" s="4">
        <v>2</v>
      </c>
      <c r="AL2735" s="4">
        <v>22</v>
      </c>
      <c r="AM2735" s="4">
        <v>22</v>
      </c>
      <c r="AN2735" s="4">
        <v>0</v>
      </c>
      <c r="AO2735" s="4">
        <v>0</v>
      </c>
      <c r="AP2735" s="4">
        <v>2</v>
      </c>
      <c r="AQ2735" s="4">
        <v>2</v>
      </c>
      <c r="AR2735" s="3" t="s">
        <v>65</v>
      </c>
      <c r="AS2735" s="3" t="s">
        <v>65</v>
      </c>
      <c r="AT2735" s="3" t="s">
        <v>65</v>
      </c>
      <c r="AV2735" s="6" t="str">
        <f>HYPERLINK("http://mcgill.on.worldcat.org/oclc/795156269","Catalog Record")</f>
        <v>Catalog Record</v>
      </c>
      <c r="AW2735" s="6" t="str">
        <f>HYPERLINK("http://www.worldcat.org/oclc/795156269","WorldCat Record")</f>
        <v>WorldCat Record</v>
      </c>
      <c r="AX2735" s="3" t="s">
        <v>27128</v>
      </c>
      <c r="AY2735" s="3" t="s">
        <v>27129</v>
      </c>
      <c r="AZ2735" s="3" t="s">
        <v>27130</v>
      </c>
      <c r="BA2735" s="3" t="s">
        <v>27130</v>
      </c>
      <c r="BB2735" s="3" t="s">
        <v>27131</v>
      </c>
      <c r="BC2735" s="3" t="s">
        <v>77</v>
      </c>
      <c r="BD2735" s="3" t="s">
        <v>78</v>
      </c>
      <c r="BE2735" s="3" t="s">
        <v>27132</v>
      </c>
      <c r="BF2735" s="3" t="s">
        <v>27131</v>
      </c>
      <c r="BG2735" s="3" t="s">
        <v>27133</v>
      </c>
    </row>
    <row r="2736" spans="1:59" ht="72.5" x14ac:dyDescent="0.35">
      <c r="A2736" s="2" t="s">
        <v>59</v>
      </c>
      <c r="B2736" s="2" t="s">
        <v>60</v>
      </c>
      <c r="C2736" s="2" t="s">
        <v>27134</v>
      </c>
      <c r="D2736" s="2" t="s">
        <v>27135</v>
      </c>
      <c r="E2736" s="2" t="s">
        <v>27136</v>
      </c>
      <c r="G2736" s="3" t="s">
        <v>65</v>
      </c>
      <c r="I2736" s="3" t="s">
        <v>65</v>
      </c>
      <c r="J2736" s="3" t="s">
        <v>65</v>
      </c>
      <c r="K2736" s="3" t="s">
        <v>66</v>
      </c>
      <c r="L2736" s="2" t="s">
        <v>27137</v>
      </c>
      <c r="M2736" s="2" t="s">
        <v>5024</v>
      </c>
      <c r="N2736" s="3" t="s">
        <v>152</v>
      </c>
      <c r="P2736" s="3" t="s">
        <v>69</v>
      </c>
      <c r="Q2736" s="2" t="s">
        <v>1197</v>
      </c>
      <c r="R2736" s="3" t="s">
        <v>71</v>
      </c>
      <c r="S2736" s="4">
        <v>0</v>
      </c>
      <c r="T2736" s="4">
        <v>0</v>
      </c>
      <c r="W2736" s="5" t="s">
        <v>72</v>
      </c>
      <c r="X2736" s="5" t="s">
        <v>72</v>
      </c>
      <c r="Y2736" s="4">
        <v>132</v>
      </c>
      <c r="Z2736" s="4">
        <v>20</v>
      </c>
      <c r="AA2736" s="4">
        <v>25</v>
      </c>
      <c r="AB2736" s="4">
        <v>1</v>
      </c>
      <c r="AC2736" s="4">
        <v>2</v>
      </c>
      <c r="AD2736" s="4">
        <v>77</v>
      </c>
      <c r="AE2736" s="4">
        <v>81</v>
      </c>
      <c r="AF2736" s="4">
        <v>0</v>
      </c>
      <c r="AG2736" s="4">
        <v>0</v>
      </c>
      <c r="AH2736" s="4">
        <v>65</v>
      </c>
      <c r="AI2736" s="4">
        <v>67</v>
      </c>
      <c r="AJ2736" s="4">
        <v>14</v>
      </c>
      <c r="AK2736" s="4">
        <v>16</v>
      </c>
      <c r="AL2736" s="4">
        <v>47</v>
      </c>
      <c r="AM2736" s="4">
        <v>47</v>
      </c>
      <c r="AN2736" s="4">
        <v>0</v>
      </c>
      <c r="AO2736" s="4">
        <v>0</v>
      </c>
      <c r="AP2736" s="4">
        <v>15</v>
      </c>
      <c r="AQ2736" s="4">
        <v>19</v>
      </c>
      <c r="AR2736" s="3" t="s">
        <v>209</v>
      </c>
      <c r="AS2736" s="3" t="s">
        <v>65</v>
      </c>
      <c r="AT2736" s="3" t="s">
        <v>65</v>
      </c>
      <c r="AV2736" s="6" t="str">
        <f>HYPERLINK("http://mcgill.on.worldcat.org/oclc/842208917","Catalog Record")</f>
        <v>Catalog Record</v>
      </c>
      <c r="AW2736" s="6" t="str">
        <f>HYPERLINK("http://www.worldcat.org/oclc/842208917","WorldCat Record")</f>
        <v>WorldCat Record</v>
      </c>
      <c r="AX2736" s="3" t="s">
        <v>27138</v>
      </c>
      <c r="AY2736" s="3" t="s">
        <v>27139</v>
      </c>
      <c r="AZ2736" s="3" t="s">
        <v>27140</v>
      </c>
      <c r="BA2736" s="3" t="s">
        <v>27140</v>
      </c>
      <c r="BB2736" s="3" t="s">
        <v>27141</v>
      </c>
      <c r="BC2736" s="3" t="s">
        <v>77</v>
      </c>
      <c r="BD2736" s="3" t="s">
        <v>78</v>
      </c>
      <c r="BE2736" s="3" t="s">
        <v>27142</v>
      </c>
      <c r="BF2736" s="3" t="s">
        <v>27141</v>
      </c>
      <c r="BG2736" s="3" t="s">
        <v>27143</v>
      </c>
    </row>
    <row r="2737" spans="1:59" ht="72.5" x14ac:dyDescent="0.35">
      <c r="A2737" s="2" t="s">
        <v>59</v>
      </c>
      <c r="B2737" s="2" t="s">
        <v>60</v>
      </c>
      <c r="C2737" s="2" t="s">
        <v>27144</v>
      </c>
      <c r="D2737" s="2" t="s">
        <v>27145</v>
      </c>
      <c r="E2737" s="2" t="s">
        <v>27146</v>
      </c>
      <c r="G2737" s="3" t="s">
        <v>65</v>
      </c>
      <c r="I2737" s="3" t="s">
        <v>65</v>
      </c>
      <c r="J2737" s="3" t="s">
        <v>65</v>
      </c>
      <c r="K2737" s="3" t="s">
        <v>66</v>
      </c>
      <c r="L2737" s="2" t="s">
        <v>27147</v>
      </c>
      <c r="M2737" s="2" t="s">
        <v>27148</v>
      </c>
      <c r="N2737" s="3" t="s">
        <v>126</v>
      </c>
      <c r="O2737" s="2" t="s">
        <v>365</v>
      </c>
      <c r="P2737" s="3" t="s">
        <v>140</v>
      </c>
      <c r="Q2737" s="2" t="s">
        <v>27149</v>
      </c>
      <c r="R2737" s="3" t="s">
        <v>71</v>
      </c>
      <c r="S2737" s="4">
        <v>0</v>
      </c>
      <c r="T2737" s="4">
        <v>0</v>
      </c>
      <c r="W2737" s="5" t="s">
        <v>72</v>
      </c>
      <c r="X2737" s="5" t="s">
        <v>72</v>
      </c>
      <c r="Y2737" s="4">
        <v>57</v>
      </c>
      <c r="Z2737" s="4">
        <v>6</v>
      </c>
      <c r="AA2737" s="4">
        <v>6</v>
      </c>
      <c r="AB2737" s="4">
        <v>1</v>
      </c>
      <c r="AC2737" s="4">
        <v>1</v>
      </c>
      <c r="AD2737" s="4">
        <v>39</v>
      </c>
      <c r="AE2737" s="4">
        <v>39</v>
      </c>
      <c r="AF2737" s="4">
        <v>0</v>
      </c>
      <c r="AG2737" s="4">
        <v>0</v>
      </c>
      <c r="AH2737" s="4">
        <v>38</v>
      </c>
      <c r="AI2737" s="4">
        <v>38</v>
      </c>
      <c r="AJ2737" s="4">
        <v>4</v>
      </c>
      <c r="AK2737" s="4">
        <v>4</v>
      </c>
      <c r="AL2737" s="4">
        <v>28</v>
      </c>
      <c r="AM2737" s="4">
        <v>28</v>
      </c>
      <c r="AN2737" s="4">
        <v>0</v>
      </c>
      <c r="AO2737" s="4">
        <v>0</v>
      </c>
      <c r="AP2737" s="4">
        <v>4</v>
      </c>
      <c r="AQ2737" s="4">
        <v>4</v>
      </c>
      <c r="AR2737" s="3" t="s">
        <v>65</v>
      </c>
      <c r="AS2737" s="3" t="s">
        <v>65</v>
      </c>
      <c r="AT2737" s="3" t="s">
        <v>65</v>
      </c>
      <c r="AV2737" s="6" t="str">
        <f>HYPERLINK("http://mcgill.on.worldcat.org/oclc/755700468","Catalog Record")</f>
        <v>Catalog Record</v>
      </c>
      <c r="AW2737" s="6" t="str">
        <f>HYPERLINK("http://www.worldcat.org/oclc/755700468","WorldCat Record")</f>
        <v>WorldCat Record</v>
      </c>
      <c r="AX2737" s="3" t="s">
        <v>27150</v>
      </c>
      <c r="AY2737" s="3" t="s">
        <v>27151</v>
      </c>
      <c r="AZ2737" s="3" t="s">
        <v>27152</v>
      </c>
      <c r="BA2737" s="3" t="s">
        <v>27152</v>
      </c>
      <c r="BB2737" s="3" t="s">
        <v>27153</v>
      </c>
      <c r="BC2737" s="3" t="s">
        <v>77</v>
      </c>
      <c r="BD2737" s="3" t="s">
        <v>78</v>
      </c>
      <c r="BE2737" s="3" t="s">
        <v>27154</v>
      </c>
      <c r="BF2737" s="3" t="s">
        <v>27153</v>
      </c>
      <c r="BG2737" s="3" t="s">
        <v>27155</v>
      </c>
    </row>
    <row r="2738" spans="1:59" ht="72.5" x14ac:dyDescent="0.35">
      <c r="A2738" s="2" t="s">
        <v>59</v>
      </c>
      <c r="B2738" s="2" t="s">
        <v>60</v>
      </c>
      <c r="C2738" s="2" t="s">
        <v>27156</v>
      </c>
      <c r="D2738" s="2" t="s">
        <v>27157</v>
      </c>
      <c r="E2738" s="2" t="s">
        <v>27158</v>
      </c>
      <c r="G2738" s="3" t="s">
        <v>65</v>
      </c>
      <c r="I2738" s="3" t="s">
        <v>65</v>
      </c>
      <c r="J2738" s="3" t="s">
        <v>65</v>
      </c>
      <c r="K2738" s="3" t="s">
        <v>66</v>
      </c>
      <c r="L2738" s="2" t="s">
        <v>27159</v>
      </c>
      <c r="M2738" s="2" t="s">
        <v>18312</v>
      </c>
      <c r="N2738" s="3" t="s">
        <v>126</v>
      </c>
      <c r="O2738" s="2" t="s">
        <v>365</v>
      </c>
      <c r="P2738" s="3" t="s">
        <v>140</v>
      </c>
      <c r="Q2738" s="2" t="s">
        <v>565</v>
      </c>
      <c r="R2738" s="3" t="s">
        <v>71</v>
      </c>
      <c r="S2738" s="4">
        <v>0</v>
      </c>
      <c r="T2738" s="4">
        <v>0</v>
      </c>
      <c r="W2738" s="5" t="s">
        <v>72</v>
      </c>
      <c r="X2738" s="5" t="s">
        <v>72</v>
      </c>
      <c r="Y2738" s="4">
        <v>27</v>
      </c>
      <c r="Z2738" s="4">
        <v>4</v>
      </c>
      <c r="AA2738" s="4">
        <v>4</v>
      </c>
      <c r="AB2738" s="4">
        <v>1</v>
      </c>
      <c r="AC2738" s="4">
        <v>1</v>
      </c>
      <c r="AD2738" s="4">
        <v>18</v>
      </c>
      <c r="AE2738" s="4">
        <v>18</v>
      </c>
      <c r="AF2738" s="4">
        <v>0</v>
      </c>
      <c r="AG2738" s="4">
        <v>0</v>
      </c>
      <c r="AH2738" s="4">
        <v>18</v>
      </c>
      <c r="AI2738" s="4">
        <v>18</v>
      </c>
      <c r="AJ2738" s="4">
        <v>2</v>
      </c>
      <c r="AK2738" s="4">
        <v>2</v>
      </c>
      <c r="AL2738" s="4">
        <v>14</v>
      </c>
      <c r="AM2738" s="4">
        <v>14</v>
      </c>
      <c r="AN2738" s="4">
        <v>0</v>
      </c>
      <c r="AO2738" s="4">
        <v>0</v>
      </c>
      <c r="AP2738" s="4">
        <v>2</v>
      </c>
      <c r="AQ2738" s="4">
        <v>2</v>
      </c>
      <c r="AR2738" s="3" t="s">
        <v>65</v>
      </c>
      <c r="AS2738" s="3" t="s">
        <v>65</v>
      </c>
      <c r="AT2738" s="3" t="s">
        <v>65</v>
      </c>
      <c r="AV2738" s="6" t="str">
        <f>HYPERLINK("http://mcgill.on.worldcat.org/oclc/729344684","Catalog Record")</f>
        <v>Catalog Record</v>
      </c>
      <c r="AW2738" s="6" t="str">
        <f>HYPERLINK("http://www.worldcat.org/oclc/729344684","WorldCat Record")</f>
        <v>WorldCat Record</v>
      </c>
      <c r="AX2738" s="3" t="s">
        <v>27160</v>
      </c>
      <c r="AY2738" s="3" t="s">
        <v>27161</v>
      </c>
      <c r="AZ2738" s="3" t="s">
        <v>27162</v>
      </c>
      <c r="BA2738" s="3" t="s">
        <v>27162</v>
      </c>
      <c r="BB2738" s="3" t="s">
        <v>27163</v>
      </c>
      <c r="BC2738" s="3" t="s">
        <v>77</v>
      </c>
      <c r="BD2738" s="3" t="s">
        <v>78</v>
      </c>
      <c r="BE2738" s="3" t="s">
        <v>27164</v>
      </c>
      <c r="BF2738" s="3" t="s">
        <v>27163</v>
      </c>
      <c r="BG2738" s="3" t="s">
        <v>27165</v>
      </c>
    </row>
    <row r="2739" spans="1:59" ht="72.5" x14ac:dyDescent="0.35">
      <c r="A2739" s="2" t="s">
        <v>59</v>
      </c>
      <c r="B2739" s="2" t="s">
        <v>60</v>
      </c>
      <c r="C2739" s="2" t="s">
        <v>27166</v>
      </c>
      <c r="D2739" s="2" t="s">
        <v>27167</v>
      </c>
      <c r="E2739" s="2" t="s">
        <v>27168</v>
      </c>
      <c r="G2739" s="3" t="s">
        <v>65</v>
      </c>
      <c r="I2739" s="3" t="s">
        <v>65</v>
      </c>
      <c r="J2739" s="3" t="s">
        <v>65</v>
      </c>
      <c r="K2739" s="3" t="s">
        <v>66</v>
      </c>
      <c r="L2739" s="2" t="s">
        <v>27169</v>
      </c>
      <c r="M2739" s="2" t="s">
        <v>27170</v>
      </c>
      <c r="N2739" s="3" t="s">
        <v>139</v>
      </c>
      <c r="P2739" s="3" t="s">
        <v>140</v>
      </c>
      <c r="R2739" s="3" t="s">
        <v>71</v>
      </c>
      <c r="S2739" s="4">
        <v>0</v>
      </c>
      <c r="T2739" s="4">
        <v>0</v>
      </c>
      <c r="W2739" s="5" t="s">
        <v>72</v>
      </c>
      <c r="X2739" s="5" t="s">
        <v>72</v>
      </c>
      <c r="Y2739" s="4">
        <v>34</v>
      </c>
      <c r="Z2739" s="4">
        <v>3</v>
      </c>
      <c r="AA2739" s="4">
        <v>3</v>
      </c>
      <c r="AB2739" s="4">
        <v>1</v>
      </c>
      <c r="AC2739" s="4">
        <v>1</v>
      </c>
      <c r="AD2739" s="4">
        <v>25</v>
      </c>
      <c r="AE2739" s="4">
        <v>26</v>
      </c>
      <c r="AF2739" s="4">
        <v>0</v>
      </c>
      <c r="AG2739" s="4">
        <v>0</v>
      </c>
      <c r="AH2739" s="4">
        <v>24</v>
      </c>
      <c r="AI2739" s="4">
        <v>25</v>
      </c>
      <c r="AJ2739" s="4">
        <v>1</v>
      </c>
      <c r="AK2739" s="4">
        <v>1</v>
      </c>
      <c r="AL2739" s="4">
        <v>20</v>
      </c>
      <c r="AM2739" s="4">
        <v>21</v>
      </c>
      <c r="AN2739" s="4">
        <v>0</v>
      </c>
      <c r="AO2739" s="4">
        <v>0</v>
      </c>
      <c r="AP2739" s="4">
        <v>1</v>
      </c>
      <c r="AQ2739" s="4">
        <v>1</v>
      </c>
      <c r="AR2739" s="3" t="s">
        <v>65</v>
      </c>
      <c r="AS2739" s="3" t="s">
        <v>65</v>
      </c>
      <c r="AT2739" s="3" t="s">
        <v>65</v>
      </c>
      <c r="AV2739" s="6" t="str">
        <f>HYPERLINK("http://mcgill.on.worldcat.org/oclc/911267404","Catalog Record")</f>
        <v>Catalog Record</v>
      </c>
      <c r="AW2739" s="6" t="str">
        <f>HYPERLINK("http://www.worldcat.org/oclc/911267404","WorldCat Record")</f>
        <v>WorldCat Record</v>
      </c>
      <c r="AX2739" s="3" t="s">
        <v>27171</v>
      </c>
      <c r="AY2739" s="3" t="s">
        <v>27172</v>
      </c>
      <c r="AZ2739" s="3" t="s">
        <v>27173</v>
      </c>
      <c r="BA2739" s="3" t="s">
        <v>27173</v>
      </c>
      <c r="BB2739" s="3" t="s">
        <v>27174</v>
      </c>
      <c r="BC2739" s="3" t="s">
        <v>77</v>
      </c>
      <c r="BD2739" s="3" t="s">
        <v>78</v>
      </c>
      <c r="BE2739" s="3" t="s">
        <v>27175</v>
      </c>
      <c r="BF2739" s="3" t="s">
        <v>27174</v>
      </c>
      <c r="BG2739" s="3" t="s">
        <v>27176</v>
      </c>
    </row>
    <row r="2740" spans="1:59" ht="72.5" x14ac:dyDescent="0.35">
      <c r="A2740" s="2" t="s">
        <v>59</v>
      </c>
      <c r="B2740" s="2" t="s">
        <v>60</v>
      </c>
      <c r="C2740" s="2" t="s">
        <v>27177</v>
      </c>
      <c r="D2740" s="2" t="s">
        <v>27178</v>
      </c>
      <c r="E2740" s="2" t="s">
        <v>27179</v>
      </c>
      <c r="G2740" s="3" t="s">
        <v>65</v>
      </c>
      <c r="I2740" s="3" t="s">
        <v>65</v>
      </c>
      <c r="J2740" s="3" t="s">
        <v>65</v>
      </c>
      <c r="K2740" s="3" t="s">
        <v>66</v>
      </c>
      <c r="L2740" s="2" t="s">
        <v>21310</v>
      </c>
      <c r="M2740" s="2" t="s">
        <v>2256</v>
      </c>
      <c r="N2740" s="3" t="s">
        <v>126</v>
      </c>
      <c r="O2740" s="2" t="s">
        <v>654</v>
      </c>
      <c r="P2740" s="3" t="s">
        <v>140</v>
      </c>
      <c r="Q2740" s="2" t="s">
        <v>21311</v>
      </c>
      <c r="R2740" s="3" t="s">
        <v>71</v>
      </c>
      <c r="S2740" s="4">
        <v>0</v>
      </c>
      <c r="T2740" s="4">
        <v>0</v>
      </c>
      <c r="W2740" s="5" t="s">
        <v>72</v>
      </c>
      <c r="X2740" s="5" t="s">
        <v>72</v>
      </c>
      <c r="Y2740" s="4">
        <v>21</v>
      </c>
      <c r="Z2740" s="4">
        <v>2</v>
      </c>
      <c r="AA2740" s="4">
        <v>2</v>
      </c>
      <c r="AB2740" s="4">
        <v>1</v>
      </c>
      <c r="AC2740" s="4">
        <v>1</v>
      </c>
      <c r="AD2740" s="4">
        <v>16</v>
      </c>
      <c r="AE2740" s="4">
        <v>16</v>
      </c>
      <c r="AF2740" s="4">
        <v>0</v>
      </c>
      <c r="AG2740" s="4">
        <v>0</v>
      </c>
      <c r="AH2740" s="4">
        <v>16</v>
      </c>
      <c r="AI2740" s="4">
        <v>16</v>
      </c>
      <c r="AJ2740" s="4">
        <v>1</v>
      </c>
      <c r="AK2740" s="4">
        <v>1</v>
      </c>
      <c r="AL2740" s="4">
        <v>10</v>
      </c>
      <c r="AM2740" s="4">
        <v>10</v>
      </c>
      <c r="AN2740" s="4">
        <v>0</v>
      </c>
      <c r="AO2740" s="4">
        <v>0</v>
      </c>
      <c r="AP2740" s="4">
        <v>1</v>
      </c>
      <c r="AQ2740" s="4">
        <v>1</v>
      </c>
      <c r="AR2740" s="3" t="s">
        <v>65</v>
      </c>
      <c r="AS2740" s="3" t="s">
        <v>65</v>
      </c>
      <c r="AT2740" s="3" t="s">
        <v>65</v>
      </c>
      <c r="AV2740" s="6" t="str">
        <f>HYPERLINK("http://mcgill.on.worldcat.org/oclc/760053796","Catalog Record")</f>
        <v>Catalog Record</v>
      </c>
      <c r="AW2740" s="6" t="str">
        <f>HYPERLINK("http://www.worldcat.org/oclc/760053796","WorldCat Record")</f>
        <v>WorldCat Record</v>
      </c>
      <c r="AX2740" s="3" t="s">
        <v>27180</v>
      </c>
      <c r="AY2740" s="3" t="s">
        <v>27181</v>
      </c>
      <c r="AZ2740" s="3" t="s">
        <v>27182</v>
      </c>
      <c r="BA2740" s="3" t="s">
        <v>27182</v>
      </c>
      <c r="BB2740" s="3" t="s">
        <v>27183</v>
      </c>
      <c r="BC2740" s="3" t="s">
        <v>77</v>
      </c>
      <c r="BD2740" s="3" t="s">
        <v>78</v>
      </c>
      <c r="BE2740" s="3" t="s">
        <v>27184</v>
      </c>
      <c r="BF2740" s="3" t="s">
        <v>27183</v>
      </c>
      <c r="BG2740" s="3" t="s">
        <v>27185</v>
      </c>
    </row>
    <row r="2741" spans="1:59" ht="72.5" x14ac:dyDescent="0.35">
      <c r="A2741" s="2" t="s">
        <v>59</v>
      </c>
      <c r="B2741" s="2" t="s">
        <v>60</v>
      </c>
      <c r="C2741" s="2" t="s">
        <v>27186</v>
      </c>
      <c r="D2741" s="2" t="s">
        <v>27187</v>
      </c>
      <c r="E2741" s="2" t="s">
        <v>27188</v>
      </c>
      <c r="G2741" s="3" t="s">
        <v>65</v>
      </c>
      <c r="I2741" s="3" t="s">
        <v>65</v>
      </c>
      <c r="J2741" s="3" t="s">
        <v>65</v>
      </c>
      <c r="K2741" s="3" t="s">
        <v>66</v>
      </c>
      <c r="L2741" s="2" t="s">
        <v>27189</v>
      </c>
      <c r="M2741" s="2" t="s">
        <v>27190</v>
      </c>
      <c r="N2741" s="3" t="s">
        <v>126</v>
      </c>
      <c r="O2741" s="2" t="s">
        <v>379</v>
      </c>
      <c r="P2741" s="3" t="s">
        <v>140</v>
      </c>
      <c r="Q2741" s="2" t="s">
        <v>6283</v>
      </c>
      <c r="R2741" s="3" t="s">
        <v>71</v>
      </c>
      <c r="S2741" s="4">
        <v>0</v>
      </c>
      <c r="T2741" s="4">
        <v>0</v>
      </c>
      <c r="W2741" s="5" t="s">
        <v>72</v>
      </c>
      <c r="X2741" s="5" t="s">
        <v>72</v>
      </c>
      <c r="Y2741" s="4">
        <v>41</v>
      </c>
      <c r="Z2741" s="4">
        <v>5</v>
      </c>
      <c r="AA2741" s="4">
        <v>5</v>
      </c>
      <c r="AB2741" s="4">
        <v>1</v>
      </c>
      <c r="AC2741" s="4">
        <v>1</v>
      </c>
      <c r="AD2741" s="4">
        <v>31</v>
      </c>
      <c r="AE2741" s="4">
        <v>31</v>
      </c>
      <c r="AF2741" s="4">
        <v>0</v>
      </c>
      <c r="AG2741" s="4">
        <v>0</v>
      </c>
      <c r="AH2741" s="4">
        <v>29</v>
      </c>
      <c r="AI2741" s="4">
        <v>29</v>
      </c>
      <c r="AJ2741" s="4">
        <v>3</v>
      </c>
      <c r="AK2741" s="4">
        <v>3</v>
      </c>
      <c r="AL2741" s="4">
        <v>22</v>
      </c>
      <c r="AM2741" s="4">
        <v>22</v>
      </c>
      <c r="AN2741" s="4">
        <v>0</v>
      </c>
      <c r="AO2741" s="4">
        <v>0</v>
      </c>
      <c r="AP2741" s="4">
        <v>3</v>
      </c>
      <c r="AQ2741" s="4">
        <v>3</v>
      </c>
      <c r="AR2741" s="3" t="s">
        <v>65</v>
      </c>
      <c r="AS2741" s="3" t="s">
        <v>65</v>
      </c>
      <c r="AT2741" s="3" t="s">
        <v>65</v>
      </c>
      <c r="AV2741" s="6" t="str">
        <f>HYPERLINK("http://mcgill.on.worldcat.org/oclc/719413235","Catalog Record")</f>
        <v>Catalog Record</v>
      </c>
      <c r="AW2741" s="6" t="str">
        <f>HYPERLINK("http://www.worldcat.org/oclc/719413235","WorldCat Record")</f>
        <v>WorldCat Record</v>
      </c>
      <c r="AX2741" s="3" t="s">
        <v>27191</v>
      </c>
      <c r="AY2741" s="3" t="s">
        <v>27192</v>
      </c>
      <c r="AZ2741" s="3" t="s">
        <v>27193</v>
      </c>
      <c r="BA2741" s="3" t="s">
        <v>27193</v>
      </c>
      <c r="BB2741" s="3" t="s">
        <v>27194</v>
      </c>
      <c r="BC2741" s="3" t="s">
        <v>77</v>
      </c>
      <c r="BD2741" s="3" t="s">
        <v>78</v>
      </c>
      <c r="BE2741" s="3" t="s">
        <v>27195</v>
      </c>
      <c r="BF2741" s="3" t="s">
        <v>27194</v>
      </c>
      <c r="BG2741" s="3" t="s">
        <v>27196</v>
      </c>
    </row>
    <row r="2742" spans="1:59" ht="72.5" x14ac:dyDescent="0.35">
      <c r="A2742" s="2" t="s">
        <v>59</v>
      </c>
      <c r="B2742" s="2" t="s">
        <v>60</v>
      </c>
      <c r="C2742" s="2" t="s">
        <v>27197</v>
      </c>
      <c r="D2742" s="2" t="s">
        <v>27198</v>
      </c>
      <c r="E2742" s="2" t="s">
        <v>27199</v>
      </c>
      <c r="G2742" s="3" t="s">
        <v>65</v>
      </c>
      <c r="I2742" s="3" t="s">
        <v>65</v>
      </c>
      <c r="J2742" s="3" t="s">
        <v>65</v>
      </c>
      <c r="K2742" s="3" t="s">
        <v>66</v>
      </c>
      <c r="L2742" s="2" t="s">
        <v>27200</v>
      </c>
      <c r="M2742" s="2" t="s">
        <v>27201</v>
      </c>
      <c r="N2742" s="3" t="s">
        <v>126</v>
      </c>
      <c r="P2742" s="3" t="s">
        <v>140</v>
      </c>
      <c r="Q2742" s="2" t="s">
        <v>22494</v>
      </c>
      <c r="R2742" s="3" t="s">
        <v>71</v>
      </c>
      <c r="S2742" s="4">
        <v>0</v>
      </c>
      <c r="T2742" s="4">
        <v>0</v>
      </c>
      <c r="W2742" s="5" t="s">
        <v>72</v>
      </c>
      <c r="X2742" s="5" t="s">
        <v>72</v>
      </c>
      <c r="Y2742" s="4">
        <v>38</v>
      </c>
      <c r="Z2742" s="4">
        <v>4</v>
      </c>
      <c r="AA2742" s="4">
        <v>4</v>
      </c>
      <c r="AB2742" s="4">
        <v>1</v>
      </c>
      <c r="AC2742" s="4">
        <v>1</v>
      </c>
      <c r="AD2742" s="4">
        <v>29</v>
      </c>
      <c r="AE2742" s="4">
        <v>29</v>
      </c>
      <c r="AF2742" s="4">
        <v>0</v>
      </c>
      <c r="AG2742" s="4">
        <v>0</v>
      </c>
      <c r="AH2742" s="4">
        <v>28</v>
      </c>
      <c r="AI2742" s="4">
        <v>28</v>
      </c>
      <c r="AJ2742" s="4">
        <v>2</v>
      </c>
      <c r="AK2742" s="4">
        <v>2</v>
      </c>
      <c r="AL2742" s="4">
        <v>21</v>
      </c>
      <c r="AM2742" s="4">
        <v>21</v>
      </c>
      <c r="AN2742" s="4">
        <v>0</v>
      </c>
      <c r="AO2742" s="4">
        <v>0</v>
      </c>
      <c r="AP2742" s="4">
        <v>2</v>
      </c>
      <c r="AQ2742" s="4">
        <v>2</v>
      </c>
      <c r="AR2742" s="3" t="s">
        <v>65</v>
      </c>
      <c r="AS2742" s="3" t="s">
        <v>65</v>
      </c>
      <c r="AT2742" s="3" t="s">
        <v>65</v>
      </c>
      <c r="AV2742" s="6" t="str">
        <f>HYPERLINK("http://mcgill.on.worldcat.org/oclc/755700321","Catalog Record")</f>
        <v>Catalog Record</v>
      </c>
      <c r="AW2742" s="6" t="str">
        <f>HYPERLINK("http://www.worldcat.org/oclc/755700321","WorldCat Record")</f>
        <v>WorldCat Record</v>
      </c>
      <c r="AX2742" s="3" t="s">
        <v>27202</v>
      </c>
      <c r="AY2742" s="3" t="s">
        <v>27203</v>
      </c>
      <c r="AZ2742" s="3" t="s">
        <v>27204</v>
      </c>
      <c r="BA2742" s="3" t="s">
        <v>27204</v>
      </c>
      <c r="BB2742" s="3" t="s">
        <v>27205</v>
      </c>
      <c r="BC2742" s="3" t="s">
        <v>77</v>
      </c>
      <c r="BD2742" s="3" t="s">
        <v>78</v>
      </c>
      <c r="BE2742" s="3" t="s">
        <v>27206</v>
      </c>
      <c r="BF2742" s="3" t="s">
        <v>27205</v>
      </c>
      <c r="BG2742" s="3" t="s">
        <v>27207</v>
      </c>
    </row>
    <row r="2743" spans="1:59" ht="72.5" x14ac:dyDescent="0.35">
      <c r="A2743" s="2" t="s">
        <v>59</v>
      </c>
      <c r="B2743" s="2" t="s">
        <v>60</v>
      </c>
      <c r="C2743" s="2" t="s">
        <v>27208</v>
      </c>
      <c r="D2743" s="2" t="s">
        <v>27209</v>
      </c>
      <c r="E2743" s="2" t="s">
        <v>27210</v>
      </c>
      <c r="G2743" s="3" t="s">
        <v>65</v>
      </c>
      <c r="I2743" s="3" t="s">
        <v>65</v>
      </c>
      <c r="J2743" s="3" t="s">
        <v>65</v>
      </c>
      <c r="K2743" s="3" t="s">
        <v>66</v>
      </c>
      <c r="L2743" s="2" t="s">
        <v>27211</v>
      </c>
      <c r="M2743" s="2" t="s">
        <v>1409</v>
      </c>
      <c r="N2743" s="3" t="s">
        <v>176</v>
      </c>
      <c r="O2743" s="2" t="s">
        <v>1410</v>
      </c>
      <c r="P2743" s="3" t="s">
        <v>140</v>
      </c>
      <c r="Q2743" s="2" t="s">
        <v>27212</v>
      </c>
      <c r="R2743" s="3" t="s">
        <v>71</v>
      </c>
      <c r="S2743" s="4">
        <v>0</v>
      </c>
      <c r="T2743" s="4">
        <v>0</v>
      </c>
      <c r="W2743" s="5" t="s">
        <v>72</v>
      </c>
      <c r="X2743" s="5" t="s">
        <v>72</v>
      </c>
      <c r="Y2743" s="4">
        <v>46</v>
      </c>
      <c r="Z2743" s="4">
        <v>4</v>
      </c>
      <c r="AA2743" s="4">
        <v>4</v>
      </c>
      <c r="AB2743" s="4">
        <v>1</v>
      </c>
      <c r="AC2743" s="4">
        <v>1</v>
      </c>
      <c r="AD2743" s="4">
        <v>33</v>
      </c>
      <c r="AE2743" s="4">
        <v>33</v>
      </c>
      <c r="AF2743" s="4">
        <v>0</v>
      </c>
      <c r="AG2743" s="4">
        <v>0</v>
      </c>
      <c r="AH2743" s="4">
        <v>32</v>
      </c>
      <c r="AI2743" s="4">
        <v>32</v>
      </c>
      <c r="AJ2743" s="4">
        <v>2</v>
      </c>
      <c r="AK2743" s="4">
        <v>2</v>
      </c>
      <c r="AL2743" s="4">
        <v>24</v>
      </c>
      <c r="AM2743" s="4">
        <v>24</v>
      </c>
      <c r="AN2743" s="4">
        <v>0</v>
      </c>
      <c r="AO2743" s="4">
        <v>0</v>
      </c>
      <c r="AP2743" s="4">
        <v>2</v>
      </c>
      <c r="AQ2743" s="4">
        <v>2</v>
      </c>
      <c r="AR2743" s="3" t="s">
        <v>65</v>
      </c>
      <c r="AS2743" s="3" t="s">
        <v>65</v>
      </c>
      <c r="AT2743" s="3" t="s">
        <v>65</v>
      </c>
      <c r="AV2743" s="6" t="str">
        <f>HYPERLINK("http://mcgill.on.worldcat.org/oclc/908024588","Catalog Record")</f>
        <v>Catalog Record</v>
      </c>
      <c r="AW2743" s="6" t="str">
        <f>HYPERLINK("http://www.worldcat.org/oclc/908024588","WorldCat Record")</f>
        <v>WorldCat Record</v>
      </c>
      <c r="AX2743" s="3" t="s">
        <v>27213</v>
      </c>
      <c r="AY2743" s="3" t="s">
        <v>27214</v>
      </c>
      <c r="AZ2743" s="3" t="s">
        <v>27215</v>
      </c>
      <c r="BA2743" s="3" t="s">
        <v>27215</v>
      </c>
      <c r="BB2743" s="3" t="s">
        <v>27216</v>
      </c>
      <c r="BC2743" s="3" t="s">
        <v>77</v>
      </c>
      <c r="BD2743" s="3" t="s">
        <v>78</v>
      </c>
      <c r="BE2743" s="3" t="s">
        <v>27217</v>
      </c>
      <c r="BF2743" s="3" t="s">
        <v>27216</v>
      </c>
      <c r="BG2743" s="3" t="s">
        <v>27218</v>
      </c>
    </row>
    <row r="2744" spans="1:59" ht="72.5" x14ac:dyDescent="0.35">
      <c r="A2744" s="2" t="s">
        <v>59</v>
      </c>
      <c r="B2744" s="2" t="s">
        <v>60</v>
      </c>
      <c r="C2744" s="2" t="s">
        <v>27219</v>
      </c>
      <c r="D2744" s="2" t="s">
        <v>27220</v>
      </c>
      <c r="E2744" s="2" t="s">
        <v>27221</v>
      </c>
      <c r="G2744" s="3" t="s">
        <v>65</v>
      </c>
      <c r="I2744" s="3" t="s">
        <v>65</v>
      </c>
      <c r="J2744" s="3" t="s">
        <v>65</v>
      </c>
      <c r="K2744" s="3" t="s">
        <v>66</v>
      </c>
      <c r="L2744" s="2" t="s">
        <v>27222</v>
      </c>
      <c r="M2744" s="2" t="s">
        <v>19778</v>
      </c>
      <c r="N2744" s="3" t="s">
        <v>176</v>
      </c>
      <c r="P2744" s="3" t="s">
        <v>140</v>
      </c>
      <c r="Q2744" s="2" t="s">
        <v>27223</v>
      </c>
      <c r="R2744" s="3" t="s">
        <v>71</v>
      </c>
      <c r="S2744" s="4">
        <v>0</v>
      </c>
      <c r="T2744" s="4">
        <v>0</v>
      </c>
      <c r="W2744" s="5" t="s">
        <v>72</v>
      </c>
      <c r="X2744" s="5" t="s">
        <v>72</v>
      </c>
      <c r="Y2744" s="4">
        <v>49</v>
      </c>
      <c r="Z2744" s="4">
        <v>4</v>
      </c>
      <c r="AA2744" s="4">
        <v>4</v>
      </c>
      <c r="AB2744" s="4">
        <v>1</v>
      </c>
      <c r="AC2744" s="4">
        <v>1</v>
      </c>
      <c r="AD2744" s="4">
        <v>37</v>
      </c>
      <c r="AE2744" s="4">
        <v>37</v>
      </c>
      <c r="AF2744" s="4">
        <v>0</v>
      </c>
      <c r="AG2744" s="4">
        <v>0</v>
      </c>
      <c r="AH2744" s="4">
        <v>36</v>
      </c>
      <c r="AI2744" s="4">
        <v>36</v>
      </c>
      <c r="AJ2744" s="4">
        <v>2</v>
      </c>
      <c r="AK2744" s="4">
        <v>2</v>
      </c>
      <c r="AL2744" s="4">
        <v>29</v>
      </c>
      <c r="AM2744" s="4">
        <v>29</v>
      </c>
      <c r="AN2744" s="4">
        <v>0</v>
      </c>
      <c r="AO2744" s="4">
        <v>0</v>
      </c>
      <c r="AP2744" s="4">
        <v>2</v>
      </c>
      <c r="AQ2744" s="4">
        <v>2</v>
      </c>
      <c r="AR2744" s="3" t="s">
        <v>65</v>
      </c>
      <c r="AS2744" s="3" t="s">
        <v>65</v>
      </c>
      <c r="AT2744" s="3" t="s">
        <v>65</v>
      </c>
      <c r="AV2744" s="6" t="str">
        <f>HYPERLINK("http://mcgill.on.worldcat.org/oclc/908335757","Catalog Record")</f>
        <v>Catalog Record</v>
      </c>
      <c r="AW2744" s="6" t="str">
        <f>HYPERLINK("http://www.worldcat.org/oclc/908335757","WorldCat Record")</f>
        <v>WorldCat Record</v>
      </c>
      <c r="AX2744" s="3" t="s">
        <v>27224</v>
      </c>
      <c r="AY2744" s="3" t="s">
        <v>27225</v>
      </c>
      <c r="AZ2744" s="3" t="s">
        <v>27226</v>
      </c>
      <c r="BA2744" s="3" t="s">
        <v>27226</v>
      </c>
      <c r="BB2744" s="3" t="s">
        <v>27227</v>
      </c>
      <c r="BC2744" s="3" t="s">
        <v>77</v>
      </c>
      <c r="BD2744" s="3" t="s">
        <v>78</v>
      </c>
      <c r="BE2744" s="3" t="s">
        <v>27228</v>
      </c>
      <c r="BF2744" s="3" t="s">
        <v>27227</v>
      </c>
      <c r="BG2744" s="3" t="s">
        <v>27229</v>
      </c>
    </row>
    <row r="2745" spans="1:59" ht="72.5" x14ac:dyDescent="0.35">
      <c r="A2745" s="2" t="s">
        <v>59</v>
      </c>
      <c r="B2745" s="2" t="s">
        <v>60</v>
      </c>
      <c r="C2745" s="2" t="s">
        <v>27230</v>
      </c>
      <c r="D2745" s="2" t="s">
        <v>27231</v>
      </c>
      <c r="E2745" s="2" t="s">
        <v>27232</v>
      </c>
      <c r="G2745" s="3" t="s">
        <v>65</v>
      </c>
      <c r="I2745" s="3" t="s">
        <v>65</v>
      </c>
      <c r="J2745" s="3" t="s">
        <v>65</v>
      </c>
      <c r="K2745" s="3" t="s">
        <v>66</v>
      </c>
      <c r="L2745" s="2" t="s">
        <v>27233</v>
      </c>
      <c r="M2745" s="2" t="s">
        <v>27234</v>
      </c>
      <c r="N2745" s="3" t="s">
        <v>19083</v>
      </c>
      <c r="O2745" s="2" t="s">
        <v>27235</v>
      </c>
      <c r="P2745" s="3" t="s">
        <v>69</v>
      </c>
      <c r="R2745" s="3" t="s">
        <v>71</v>
      </c>
      <c r="S2745" s="4">
        <v>5</v>
      </c>
      <c r="T2745" s="4">
        <v>5</v>
      </c>
      <c r="U2745" s="5" t="s">
        <v>5132</v>
      </c>
      <c r="V2745" s="5" t="s">
        <v>5132</v>
      </c>
      <c r="W2745" s="5" t="s">
        <v>72</v>
      </c>
      <c r="X2745" s="5" t="s">
        <v>72</v>
      </c>
      <c r="Y2745" s="4">
        <v>127</v>
      </c>
      <c r="Z2745" s="4">
        <v>6</v>
      </c>
      <c r="AA2745" s="4">
        <v>6</v>
      </c>
      <c r="AB2745" s="4">
        <v>1</v>
      </c>
      <c r="AC2745" s="4">
        <v>1</v>
      </c>
      <c r="AD2745" s="4">
        <v>50</v>
      </c>
      <c r="AE2745" s="4">
        <v>50</v>
      </c>
      <c r="AF2745" s="4">
        <v>0</v>
      </c>
      <c r="AG2745" s="4">
        <v>0</v>
      </c>
      <c r="AH2745" s="4">
        <v>46</v>
      </c>
      <c r="AI2745" s="4">
        <v>46</v>
      </c>
      <c r="AJ2745" s="4">
        <v>3</v>
      </c>
      <c r="AK2745" s="4">
        <v>3</v>
      </c>
      <c r="AL2745" s="4">
        <v>34</v>
      </c>
      <c r="AM2745" s="4">
        <v>34</v>
      </c>
      <c r="AN2745" s="4">
        <v>0</v>
      </c>
      <c r="AO2745" s="4">
        <v>0</v>
      </c>
      <c r="AP2745" s="4">
        <v>4</v>
      </c>
      <c r="AQ2745" s="4">
        <v>4</v>
      </c>
      <c r="AR2745" s="3" t="s">
        <v>65</v>
      </c>
      <c r="AS2745" s="3" t="s">
        <v>65</v>
      </c>
      <c r="AT2745" s="3" t="s">
        <v>65</v>
      </c>
      <c r="AV2745" s="6" t="str">
        <f>HYPERLINK("http://mcgill.on.worldcat.org/oclc/1739533","Catalog Record")</f>
        <v>Catalog Record</v>
      </c>
      <c r="AW2745" s="6" t="str">
        <f>HYPERLINK("http://www.worldcat.org/oclc/1739533","WorldCat Record")</f>
        <v>WorldCat Record</v>
      </c>
      <c r="AX2745" s="3" t="s">
        <v>27236</v>
      </c>
      <c r="AY2745" s="3" t="s">
        <v>27237</v>
      </c>
      <c r="AZ2745" s="3" t="s">
        <v>27238</v>
      </c>
      <c r="BA2745" s="3" t="s">
        <v>27238</v>
      </c>
      <c r="BB2745" s="3" t="s">
        <v>27239</v>
      </c>
      <c r="BC2745" s="3" t="s">
        <v>77</v>
      </c>
      <c r="BD2745" s="3" t="s">
        <v>78</v>
      </c>
      <c r="BF2745" s="3" t="s">
        <v>27239</v>
      </c>
      <c r="BG2745" s="3" t="s">
        <v>27240</v>
      </c>
    </row>
    <row r="2746" spans="1:59" ht="58" x14ac:dyDescent="0.35">
      <c r="A2746" s="2" t="s">
        <v>59</v>
      </c>
      <c r="B2746" s="2" t="s">
        <v>60</v>
      </c>
      <c r="C2746" s="2" t="s">
        <v>27241</v>
      </c>
      <c r="D2746" s="2" t="s">
        <v>27242</v>
      </c>
      <c r="E2746" s="2" t="s">
        <v>27243</v>
      </c>
      <c r="G2746" s="3" t="s">
        <v>65</v>
      </c>
      <c r="I2746" s="3" t="s">
        <v>65</v>
      </c>
      <c r="J2746" s="3" t="s">
        <v>209</v>
      </c>
      <c r="K2746" s="3" t="s">
        <v>66</v>
      </c>
      <c r="L2746" s="2" t="s">
        <v>27233</v>
      </c>
      <c r="M2746" s="2" t="s">
        <v>27244</v>
      </c>
      <c r="N2746" s="3" t="s">
        <v>564</v>
      </c>
      <c r="P2746" s="3" t="s">
        <v>140</v>
      </c>
      <c r="R2746" s="3" t="s">
        <v>71</v>
      </c>
      <c r="S2746" s="4">
        <v>8</v>
      </c>
      <c r="T2746" s="4">
        <v>8</v>
      </c>
      <c r="U2746" s="5" t="s">
        <v>27245</v>
      </c>
      <c r="V2746" s="5" t="s">
        <v>27245</v>
      </c>
      <c r="W2746" s="5" t="s">
        <v>72</v>
      </c>
      <c r="X2746" s="5" t="s">
        <v>72</v>
      </c>
      <c r="Y2746" s="4">
        <v>98</v>
      </c>
      <c r="Z2746" s="4">
        <v>2</v>
      </c>
      <c r="AA2746" s="4">
        <v>17</v>
      </c>
      <c r="AB2746" s="4">
        <v>1</v>
      </c>
      <c r="AC2746" s="4">
        <v>3</v>
      </c>
      <c r="AD2746" s="4">
        <v>44</v>
      </c>
      <c r="AE2746" s="4">
        <v>81</v>
      </c>
      <c r="AF2746" s="4">
        <v>0</v>
      </c>
      <c r="AG2746" s="4">
        <v>1</v>
      </c>
      <c r="AH2746" s="4">
        <v>42</v>
      </c>
      <c r="AI2746" s="4">
        <v>74</v>
      </c>
      <c r="AJ2746" s="4">
        <v>1</v>
      </c>
      <c r="AK2746" s="4">
        <v>10</v>
      </c>
      <c r="AL2746" s="4">
        <v>29</v>
      </c>
      <c r="AM2746" s="4">
        <v>47</v>
      </c>
      <c r="AN2746" s="4">
        <v>0</v>
      </c>
      <c r="AO2746" s="4">
        <v>4</v>
      </c>
      <c r="AP2746" s="4">
        <v>1</v>
      </c>
      <c r="AQ2746" s="4">
        <v>10</v>
      </c>
      <c r="AR2746" s="3" t="s">
        <v>65</v>
      </c>
      <c r="AS2746" s="3" t="s">
        <v>65</v>
      </c>
      <c r="AT2746" s="3" t="s">
        <v>209</v>
      </c>
      <c r="AU2746" s="6" t="str">
        <f>HYPERLINK("http://catalog.hathitrust.org/Record/001806312","HathiTrust Record")</f>
        <v>HathiTrust Record</v>
      </c>
      <c r="AV2746" s="6" t="str">
        <f>HYPERLINK("http://mcgill.on.worldcat.org/oclc/543573","Catalog Record")</f>
        <v>Catalog Record</v>
      </c>
      <c r="AW2746" s="6" t="str">
        <f>HYPERLINK("http://www.worldcat.org/oclc/543573","WorldCat Record")</f>
        <v>WorldCat Record</v>
      </c>
      <c r="AX2746" s="3" t="s">
        <v>27246</v>
      </c>
      <c r="AY2746" s="3" t="s">
        <v>27247</v>
      </c>
      <c r="AZ2746" s="3" t="s">
        <v>27248</v>
      </c>
      <c r="BA2746" s="3" t="s">
        <v>27248</v>
      </c>
      <c r="BB2746" s="3" t="s">
        <v>27249</v>
      </c>
      <c r="BC2746" s="3" t="s">
        <v>77</v>
      </c>
      <c r="BD2746" s="3" t="s">
        <v>106</v>
      </c>
      <c r="BE2746" s="3" t="s">
        <v>27250</v>
      </c>
      <c r="BF2746" s="3" t="s">
        <v>27249</v>
      </c>
      <c r="BG2746" s="3" t="s">
        <v>27251</v>
      </c>
    </row>
    <row r="2747" spans="1:59" ht="58" x14ac:dyDescent="0.35">
      <c r="A2747" s="2" t="s">
        <v>59</v>
      </c>
      <c r="B2747" s="2" t="s">
        <v>60</v>
      </c>
      <c r="C2747" s="2" t="s">
        <v>27252</v>
      </c>
      <c r="D2747" s="2" t="s">
        <v>27253</v>
      </c>
      <c r="E2747" s="2" t="s">
        <v>27254</v>
      </c>
      <c r="G2747" s="3" t="s">
        <v>65</v>
      </c>
      <c r="I2747" s="3" t="s">
        <v>65</v>
      </c>
      <c r="J2747" s="3" t="s">
        <v>65</v>
      </c>
      <c r="K2747" s="3" t="s">
        <v>66</v>
      </c>
      <c r="L2747" s="2" t="s">
        <v>27255</v>
      </c>
      <c r="M2747" s="2" t="s">
        <v>27256</v>
      </c>
      <c r="N2747" s="3" t="s">
        <v>942</v>
      </c>
      <c r="O2747" s="2" t="s">
        <v>22240</v>
      </c>
      <c r="P2747" s="3" t="s">
        <v>69</v>
      </c>
      <c r="Q2747" s="2" t="s">
        <v>27257</v>
      </c>
      <c r="R2747" s="3" t="s">
        <v>71</v>
      </c>
      <c r="S2747" s="4">
        <v>4</v>
      </c>
      <c r="T2747" s="4">
        <v>4</v>
      </c>
      <c r="U2747" s="5" t="s">
        <v>27258</v>
      </c>
      <c r="V2747" s="5" t="s">
        <v>27258</v>
      </c>
      <c r="W2747" s="5" t="s">
        <v>72</v>
      </c>
      <c r="X2747" s="5" t="s">
        <v>72</v>
      </c>
      <c r="Y2747" s="4">
        <v>310</v>
      </c>
      <c r="Z2747" s="4">
        <v>7</v>
      </c>
      <c r="AA2747" s="4">
        <v>26</v>
      </c>
      <c r="AB2747" s="4">
        <v>1</v>
      </c>
      <c r="AC2747" s="4">
        <v>5</v>
      </c>
      <c r="AD2747" s="4">
        <v>77</v>
      </c>
      <c r="AE2747" s="4">
        <v>113</v>
      </c>
      <c r="AF2747" s="4">
        <v>0</v>
      </c>
      <c r="AG2747" s="4">
        <v>1</v>
      </c>
      <c r="AH2747" s="4">
        <v>71</v>
      </c>
      <c r="AI2747" s="4">
        <v>100</v>
      </c>
      <c r="AJ2747" s="4">
        <v>5</v>
      </c>
      <c r="AK2747" s="4">
        <v>15</v>
      </c>
      <c r="AL2747" s="4">
        <v>45</v>
      </c>
      <c r="AM2747" s="4">
        <v>59</v>
      </c>
      <c r="AN2747" s="4">
        <v>0</v>
      </c>
      <c r="AO2747" s="4">
        <v>0</v>
      </c>
      <c r="AP2747" s="4">
        <v>5</v>
      </c>
      <c r="AQ2747" s="4">
        <v>15</v>
      </c>
      <c r="AR2747" s="3" t="s">
        <v>65</v>
      </c>
      <c r="AS2747" s="3" t="s">
        <v>65</v>
      </c>
      <c r="AT2747" s="3" t="s">
        <v>209</v>
      </c>
      <c r="AU2747" s="6" t="str">
        <f>HYPERLINK("http://catalog.hathitrust.org/Record/001219540","HathiTrust Record")</f>
        <v>HathiTrust Record</v>
      </c>
      <c r="AV2747" s="6" t="str">
        <f>HYPERLINK("http://mcgill.on.worldcat.org/oclc/344442","Catalog Record")</f>
        <v>Catalog Record</v>
      </c>
      <c r="AW2747" s="6" t="str">
        <f>HYPERLINK("http://www.worldcat.org/oclc/344442","WorldCat Record")</f>
        <v>WorldCat Record</v>
      </c>
      <c r="AX2747" s="3" t="s">
        <v>27259</v>
      </c>
      <c r="AY2747" s="3" t="s">
        <v>27260</v>
      </c>
      <c r="AZ2747" s="3" t="s">
        <v>27261</v>
      </c>
      <c r="BA2747" s="3" t="s">
        <v>27261</v>
      </c>
      <c r="BB2747" s="3" t="s">
        <v>27262</v>
      </c>
      <c r="BC2747" s="3" t="s">
        <v>77</v>
      </c>
      <c r="BD2747" s="3" t="s">
        <v>78</v>
      </c>
      <c r="BF2747" s="3" t="s">
        <v>27262</v>
      </c>
      <c r="BG2747" s="3" t="s">
        <v>27263</v>
      </c>
    </row>
    <row r="2748" spans="1:59" ht="58" x14ac:dyDescent="0.35">
      <c r="A2748" s="2" t="s">
        <v>59</v>
      </c>
      <c r="B2748" s="2" t="s">
        <v>60</v>
      </c>
      <c r="C2748" s="2" t="s">
        <v>27264</v>
      </c>
      <c r="D2748" s="2" t="s">
        <v>27265</v>
      </c>
      <c r="E2748" s="2" t="s">
        <v>27243</v>
      </c>
      <c r="G2748" s="3" t="s">
        <v>65</v>
      </c>
      <c r="I2748" s="3" t="s">
        <v>65</v>
      </c>
      <c r="J2748" s="3" t="s">
        <v>209</v>
      </c>
      <c r="K2748" s="3" t="s">
        <v>66</v>
      </c>
      <c r="L2748" s="2" t="s">
        <v>27233</v>
      </c>
      <c r="M2748" s="2" t="s">
        <v>27266</v>
      </c>
      <c r="N2748" s="3" t="s">
        <v>756</v>
      </c>
      <c r="O2748" s="2" t="s">
        <v>27267</v>
      </c>
      <c r="P2748" s="3" t="s">
        <v>140</v>
      </c>
      <c r="R2748" s="3" t="s">
        <v>71</v>
      </c>
      <c r="S2748" s="4">
        <v>3</v>
      </c>
      <c r="T2748" s="4">
        <v>3</v>
      </c>
      <c r="U2748" s="5" t="s">
        <v>27268</v>
      </c>
      <c r="V2748" s="5" t="s">
        <v>27268</v>
      </c>
      <c r="W2748" s="5" t="s">
        <v>72</v>
      </c>
      <c r="X2748" s="5" t="s">
        <v>72</v>
      </c>
      <c r="Y2748" s="4">
        <v>22</v>
      </c>
      <c r="Z2748" s="4">
        <v>2</v>
      </c>
      <c r="AA2748" s="4">
        <v>17</v>
      </c>
      <c r="AB2748" s="4">
        <v>1</v>
      </c>
      <c r="AC2748" s="4">
        <v>3</v>
      </c>
      <c r="AD2748" s="4">
        <v>5</v>
      </c>
      <c r="AE2748" s="4">
        <v>81</v>
      </c>
      <c r="AF2748" s="4">
        <v>0</v>
      </c>
      <c r="AG2748" s="4">
        <v>1</v>
      </c>
      <c r="AH2748" s="4">
        <v>4</v>
      </c>
      <c r="AI2748" s="4">
        <v>74</v>
      </c>
      <c r="AJ2748" s="4">
        <v>1</v>
      </c>
      <c r="AK2748" s="4">
        <v>10</v>
      </c>
      <c r="AL2748" s="4">
        <v>3</v>
      </c>
      <c r="AM2748" s="4">
        <v>47</v>
      </c>
      <c r="AN2748" s="4">
        <v>0</v>
      </c>
      <c r="AO2748" s="4">
        <v>4</v>
      </c>
      <c r="AP2748" s="4">
        <v>1</v>
      </c>
      <c r="AQ2748" s="4">
        <v>10</v>
      </c>
      <c r="AR2748" s="3" t="s">
        <v>65</v>
      </c>
      <c r="AS2748" s="3" t="s">
        <v>65</v>
      </c>
      <c r="AT2748" s="3" t="s">
        <v>65</v>
      </c>
      <c r="AV2748" s="6" t="str">
        <f>HYPERLINK("http://mcgill.on.worldcat.org/oclc/185845","Catalog Record")</f>
        <v>Catalog Record</v>
      </c>
      <c r="AW2748" s="6" t="str">
        <f>HYPERLINK("http://www.worldcat.org/oclc/185845","WorldCat Record")</f>
        <v>WorldCat Record</v>
      </c>
      <c r="AX2748" s="3" t="s">
        <v>27246</v>
      </c>
      <c r="AY2748" s="3" t="s">
        <v>27269</v>
      </c>
      <c r="AZ2748" s="3" t="s">
        <v>27270</v>
      </c>
      <c r="BA2748" s="3" t="s">
        <v>27270</v>
      </c>
      <c r="BB2748" s="3" t="s">
        <v>27271</v>
      </c>
      <c r="BC2748" s="3" t="s">
        <v>77</v>
      </c>
      <c r="BD2748" s="3" t="s">
        <v>78</v>
      </c>
      <c r="BF2748" s="3" t="s">
        <v>27271</v>
      </c>
      <c r="BG2748" s="3" t="s">
        <v>27272</v>
      </c>
    </row>
    <row r="2749" spans="1:59" ht="72.5" x14ac:dyDescent="0.35">
      <c r="A2749" s="2" t="s">
        <v>59</v>
      </c>
      <c r="B2749" s="2" t="s">
        <v>60</v>
      </c>
      <c r="C2749" s="2" t="s">
        <v>27273</v>
      </c>
      <c r="D2749" s="2" t="s">
        <v>27274</v>
      </c>
      <c r="E2749" s="2" t="s">
        <v>27275</v>
      </c>
      <c r="G2749" s="3" t="s">
        <v>65</v>
      </c>
      <c r="I2749" s="3" t="s">
        <v>65</v>
      </c>
      <c r="J2749" s="3" t="s">
        <v>65</v>
      </c>
      <c r="K2749" s="3" t="s">
        <v>66</v>
      </c>
      <c r="L2749" s="2" t="s">
        <v>27276</v>
      </c>
      <c r="M2749" s="2" t="s">
        <v>15181</v>
      </c>
      <c r="N2749" s="3" t="s">
        <v>113</v>
      </c>
      <c r="P2749" s="3" t="s">
        <v>140</v>
      </c>
      <c r="Q2749" s="2" t="s">
        <v>27277</v>
      </c>
      <c r="R2749" s="3" t="s">
        <v>71</v>
      </c>
      <c r="S2749" s="4">
        <v>0</v>
      </c>
      <c r="T2749" s="4">
        <v>0</v>
      </c>
      <c r="W2749" s="5" t="s">
        <v>72</v>
      </c>
      <c r="X2749" s="5" t="s">
        <v>72</v>
      </c>
      <c r="Y2749" s="4">
        <v>52</v>
      </c>
      <c r="Z2749" s="4">
        <v>6</v>
      </c>
      <c r="AA2749" s="4">
        <v>6</v>
      </c>
      <c r="AB2749" s="4">
        <v>1</v>
      </c>
      <c r="AC2749" s="4">
        <v>1</v>
      </c>
      <c r="AD2749" s="4">
        <v>37</v>
      </c>
      <c r="AE2749" s="4">
        <v>37</v>
      </c>
      <c r="AF2749" s="4">
        <v>0</v>
      </c>
      <c r="AG2749" s="4">
        <v>0</v>
      </c>
      <c r="AH2749" s="4">
        <v>36</v>
      </c>
      <c r="AI2749" s="4">
        <v>36</v>
      </c>
      <c r="AJ2749" s="4">
        <v>3</v>
      </c>
      <c r="AK2749" s="4">
        <v>3</v>
      </c>
      <c r="AL2749" s="4">
        <v>27</v>
      </c>
      <c r="AM2749" s="4">
        <v>27</v>
      </c>
      <c r="AN2749" s="4">
        <v>0</v>
      </c>
      <c r="AO2749" s="4">
        <v>0</v>
      </c>
      <c r="AP2749" s="4">
        <v>3</v>
      </c>
      <c r="AQ2749" s="4">
        <v>3</v>
      </c>
      <c r="AR2749" s="3" t="s">
        <v>65</v>
      </c>
      <c r="AS2749" s="3" t="s">
        <v>65</v>
      </c>
      <c r="AT2749" s="3" t="s">
        <v>65</v>
      </c>
      <c r="AV2749" s="6" t="str">
        <f>HYPERLINK("http://mcgill.on.worldcat.org/oclc/650438505","Catalog Record")</f>
        <v>Catalog Record</v>
      </c>
      <c r="AW2749" s="6" t="str">
        <f>HYPERLINK("http://www.worldcat.org/oclc/650438505","WorldCat Record")</f>
        <v>WorldCat Record</v>
      </c>
      <c r="AX2749" s="3" t="s">
        <v>27278</v>
      </c>
      <c r="AY2749" s="3" t="s">
        <v>27279</v>
      </c>
      <c r="AZ2749" s="3" t="s">
        <v>27280</v>
      </c>
      <c r="BA2749" s="3" t="s">
        <v>27280</v>
      </c>
      <c r="BB2749" s="3" t="s">
        <v>27281</v>
      </c>
      <c r="BC2749" s="3" t="s">
        <v>77</v>
      </c>
      <c r="BD2749" s="3" t="s">
        <v>78</v>
      </c>
      <c r="BE2749" s="3" t="s">
        <v>27282</v>
      </c>
      <c r="BF2749" s="3" t="s">
        <v>27281</v>
      </c>
      <c r="BG2749" s="3" t="s">
        <v>27283</v>
      </c>
    </row>
    <row r="2750" spans="1:59" ht="72.5" x14ac:dyDescent="0.35">
      <c r="A2750" s="2" t="s">
        <v>59</v>
      </c>
      <c r="B2750" s="2" t="s">
        <v>60</v>
      </c>
      <c r="C2750" s="2" t="s">
        <v>27284</v>
      </c>
      <c r="D2750" s="2" t="s">
        <v>27285</v>
      </c>
      <c r="E2750" s="2" t="s">
        <v>27286</v>
      </c>
      <c r="G2750" s="3" t="s">
        <v>65</v>
      </c>
      <c r="I2750" s="3" t="s">
        <v>65</v>
      </c>
      <c r="J2750" s="3" t="s">
        <v>65</v>
      </c>
      <c r="K2750" s="3" t="s">
        <v>66</v>
      </c>
      <c r="L2750" s="2" t="s">
        <v>27255</v>
      </c>
      <c r="M2750" s="2" t="s">
        <v>27287</v>
      </c>
      <c r="N2750" s="3" t="s">
        <v>5439</v>
      </c>
      <c r="O2750" s="2" t="s">
        <v>27288</v>
      </c>
      <c r="P2750" s="3" t="s">
        <v>140</v>
      </c>
      <c r="R2750" s="3" t="s">
        <v>71</v>
      </c>
      <c r="S2750" s="4">
        <v>3</v>
      </c>
      <c r="T2750" s="4">
        <v>3</v>
      </c>
      <c r="U2750" s="5" t="s">
        <v>23274</v>
      </c>
      <c r="V2750" s="5" t="s">
        <v>23274</v>
      </c>
      <c r="W2750" s="5" t="s">
        <v>72</v>
      </c>
      <c r="X2750" s="5" t="s">
        <v>72</v>
      </c>
      <c r="Y2750" s="4">
        <v>62</v>
      </c>
      <c r="Z2750" s="4">
        <v>7</v>
      </c>
      <c r="AA2750" s="4">
        <v>17</v>
      </c>
      <c r="AB2750" s="4">
        <v>1</v>
      </c>
      <c r="AC2750" s="4">
        <v>3</v>
      </c>
      <c r="AD2750" s="4">
        <v>30</v>
      </c>
      <c r="AE2750" s="4">
        <v>83</v>
      </c>
      <c r="AF2750" s="4">
        <v>0</v>
      </c>
      <c r="AG2750" s="4">
        <v>2</v>
      </c>
      <c r="AH2750" s="4">
        <v>27</v>
      </c>
      <c r="AI2750" s="4">
        <v>76</v>
      </c>
      <c r="AJ2750" s="4">
        <v>3</v>
      </c>
      <c r="AK2750" s="4">
        <v>10</v>
      </c>
      <c r="AL2750" s="4">
        <v>20</v>
      </c>
      <c r="AM2750" s="4">
        <v>51</v>
      </c>
      <c r="AN2750" s="4">
        <v>0</v>
      </c>
      <c r="AO2750" s="4">
        <v>0</v>
      </c>
      <c r="AP2750" s="4">
        <v>2</v>
      </c>
      <c r="AQ2750" s="4">
        <v>8</v>
      </c>
      <c r="AR2750" s="3" t="s">
        <v>65</v>
      </c>
      <c r="AS2750" s="3" t="s">
        <v>65</v>
      </c>
      <c r="AT2750" s="3" t="s">
        <v>209</v>
      </c>
      <c r="AU2750" s="6" t="str">
        <f>HYPERLINK("http://catalog.hathitrust.org/Record/001806314","HathiTrust Record")</f>
        <v>HathiTrust Record</v>
      </c>
      <c r="AV2750" s="6" t="str">
        <f>HYPERLINK("http://mcgill.on.worldcat.org/oclc/4673737","Catalog Record")</f>
        <v>Catalog Record</v>
      </c>
      <c r="AW2750" s="6" t="str">
        <f>HYPERLINK("http://www.worldcat.org/oclc/4673737","WorldCat Record")</f>
        <v>WorldCat Record</v>
      </c>
      <c r="AX2750" s="3" t="s">
        <v>27289</v>
      </c>
      <c r="AY2750" s="3" t="s">
        <v>27290</v>
      </c>
      <c r="AZ2750" s="3" t="s">
        <v>27291</v>
      </c>
      <c r="BA2750" s="3" t="s">
        <v>27291</v>
      </c>
      <c r="BB2750" s="3" t="s">
        <v>27292</v>
      </c>
      <c r="BC2750" s="3" t="s">
        <v>77</v>
      </c>
      <c r="BD2750" s="3" t="s">
        <v>78</v>
      </c>
      <c r="BF2750" s="3" t="s">
        <v>27292</v>
      </c>
      <c r="BG2750" s="3" t="s">
        <v>27293</v>
      </c>
    </row>
    <row r="2751" spans="1:59" ht="58" x14ac:dyDescent="0.35">
      <c r="A2751" s="2" t="s">
        <v>59</v>
      </c>
      <c r="B2751" s="2" t="s">
        <v>60</v>
      </c>
      <c r="C2751" s="2" t="s">
        <v>27294</v>
      </c>
      <c r="D2751" s="2" t="s">
        <v>27295</v>
      </c>
      <c r="E2751" s="2" t="s">
        <v>27296</v>
      </c>
      <c r="G2751" s="3" t="s">
        <v>65</v>
      </c>
      <c r="I2751" s="3" t="s">
        <v>65</v>
      </c>
      <c r="J2751" s="3" t="s">
        <v>65</v>
      </c>
      <c r="K2751" s="3" t="s">
        <v>66</v>
      </c>
      <c r="L2751" s="2" t="s">
        <v>27233</v>
      </c>
      <c r="M2751" s="2" t="s">
        <v>24959</v>
      </c>
      <c r="N2751" s="3" t="s">
        <v>3994</v>
      </c>
      <c r="P2751" s="3" t="s">
        <v>140</v>
      </c>
      <c r="R2751" s="3" t="s">
        <v>71</v>
      </c>
      <c r="S2751" s="4">
        <v>1</v>
      </c>
      <c r="T2751" s="4">
        <v>1</v>
      </c>
      <c r="U2751" s="5" t="s">
        <v>930</v>
      </c>
      <c r="V2751" s="5" t="s">
        <v>930</v>
      </c>
      <c r="W2751" s="5" t="s">
        <v>72</v>
      </c>
      <c r="X2751" s="5" t="s">
        <v>72</v>
      </c>
      <c r="Y2751" s="4">
        <v>108</v>
      </c>
      <c r="Z2751" s="4">
        <v>8</v>
      </c>
      <c r="AA2751" s="4">
        <v>13</v>
      </c>
      <c r="AB2751" s="4">
        <v>1</v>
      </c>
      <c r="AC2751" s="4">
        <v>1</v>
      </c>
      <c r="AD2751" s="4">
        <v>46</v>
      </c>
      <c r="AE2751" s="4">
        <v>70</v>
      </c>
      <c r="AF2751" s="4">
        <v>0</v>
      </c>
      <c r="AG2751" s="4">
        <v>0</v>
      </c>
      <c r="AH2751" s="4">
        <v>41</v>
      </c>
      <c r="AI2751" s="4">
        <v>64</v>
      </c>
      <c r="AJ2751" s="4">
        <v>5</v>
      </c>
      <c r="AK2751" s="4">
        <v>8</v>
      </c>
      <c r="AL2751" s="4">
        <v>31</v>
      </c>
      <c r="AM2751" s="4">
        <v>43</v>
      </c>
      <c r="AN2751" s="4">
        <v>0</v>
      </c>
      <c r="AO2751" s="4">
        <v>0</v>
      </c>
      <c r="AP2751" s="4">
        <v>5</v>
      </c>
      <c r="AQ2751" s="4">
        <v>9</v>
      </c>
      <c r="AR2751" s="3" t="s">
        <v>65</v>
      </c>
      <c r="AS2751" s="3" t="s">
        <v>65</v>
      </c>
      <c r="AT2751" s="3" t="s">
        <v>65</v>
      </c>
      <c r="AV2751" s="6" t="str">
        <f>HYPERLINK("http://mcgill.on.worldcat.org/oclc/1985871","Catalog Record")</f>
        <v>Catalog Record</v>
      </c>
      <c r="AW2751" s="6" t="str">
        <f>HYPERLINK("http://www.worldcat.org/oclc/1985871","WorldCat Record")</f>
        <v>WorldCat Record</v>
      </c>
      <c r="AX2751" s="3" t="s">
        <v>27297</v>
      </c>
      <c r="AY2751" s="3" t="s">
        <v>27298</v>
      </c>
      <c r="AZ2751" s="3" t="s">
        <v>27299</v>
      </c>
      <c r="BA2751" s="3" t="s">
        <v>27299</v>
      </c>
      <c r="BB2751" s="3" t="s">
        <v>27300</v>
      </c>
      <c r="BC2751" s="3" t="s">
        <v>77</v>
      </c>
      <c r="BD2751" s="3" t="s">
        <v>78</v>
      </c>
      <c r="BF2751" s="3" t="s">
        <v>27300</v>
      </c>
      <c r="BG2751" s="3" t="s">
        <v>27301</v>
      </c>
    </row>
    <row r="2752" spans="1:59" ht="58" x14ac:dyDescent="0.35">
      <c r="A2752" s="2" t="s">
        <v>59</v>
      </c>
      <c r="B2752" s="2" t="s">
        <v>60</v>
      </c>
      <c r="C2752" s="2" t="s">
        <v>27302</v>
      </c>
      <c r="D2752" s="2" t="s">
        <v>27303</v>
      </c>
      <c r="E2752" s="2" t="s">
        <v>27304</v>
      </c>
      <c r="G2752" s="3" t="s">
        <v>65</v>
      </c>
      <c r="I2752" s="3" t="s">
        <v>65</v>
      </c>
      <c r="J2752" s="3" t="s">
        <v>65</v>
      </c>
      <c r="K2752" s="3" t="s">
        <v>66</v>
      </c>
      <c r="L2752" s="2" t="s">
        <v>27255</v>
      </c>
      <c r="M2752" s="2" t="s">
        <v>27305</v>
      </c>
      <c r="N2752" s="3" t="s">
        <v>1109</v>
      </c>
      <c r="P2752" s="3" t="s">
        <v>140</v>
      </c>
      <c r="Q2752" s="2" t="s">
        <v>27306</v>
      </c>
      <c r="R2752" s="3" t="s">
        <v>71</v>
      </c>
      <c r="S2752" s="4">
        <v>11</v>
      </c>
      <c r="T2752" s="4">
        <v>11</v>
      </c>
      <c r="U2752" s="5" t="s">
        <v>27307</v>
      </c>
      <c r="V2752" s="5" t="s">
        <v>27307</v>
      </c>
      <c r="W2752" s="5" t="s">
        <v>72</v>
      </c>
      <c r="X2752" s="5" t="s">
        <v>72</v>
      </c>
      <c r="Y2752" s="4">
        <v>270</v>
      </c>
      <c r="Z2752" s="4">
        <v>14</v>
      </c>
      <c r="AA2752" s="4">
        <v>23</v>
      </c>
      <c r="AB2752" s="4">
        <v>2</v>
      </c>
      <c r="AC2752" s="4">
        <v>5</v>
      </c>
      <c r="AD2752" s="4">
        <v>81</v>
      </c>
      <c r="AE2752" s="4">
        <v>98</v>
      </c>
      <c r="AF2752" s="4">
        <v>1</v>
      </c>
      <c r="AG2752" s="4">
        <v>3</v>
      </c>
      <c r="AH2752" s="4">
        <v>76</v>
      </c>
      <c r="AI2752" s="4">
        <v>90</v>
      </c>
      <c r="AJ2752" s="4">
        <v>10</v>
      </c>
      <c r="AK2752" s="4">
        <v>15</v>
      </c>
      <c r="AL2752" s="4">
        <v>48</v>
      </c>
      <c r="AM2752" s="4">
        <v>53</v>
      </c>
      <c r="AN2752" s="4">
        <v>2</v>
      </c>
      <c r="AO2752" s="4">
        <v>2</v>
      </c>
      <c r="AP2752" s="4">
        <v>10</v>
      </c>
      <c r="AQ2752" s="4">
        <v>15</v>
      </c>
      <c r="AR2752" s="3" t="s">
        <v>65</v>
      </c>
      <c r="AS2752" s="3" t="s">
        <v>65</v>
      </c>
      <c r="AT2752" s="3" t="s">
        <v>209</v>
      </c>
      <c r="AU2752" s="6" t="str">
        <f>HYPERLINK("http://catalog.hathitrust.org/Record/000021231","HathiTrust Record")</f>
        <v>HathiTrust Record</v>
      </c>
      <c r="AV2752" s="6" t="str">
        <f>HYPERLINK("http://mcgill.on.worldcat.org/oclc/3356145","Catalog Record")</f>
        <v>Catalog Record</v>
      </c>
      <c r="AW2752" s="6" t="str">
        <f>HYPERLINK("http://www.worldcat.org/oclc/3356145","WorldCat Record")</f>
        <v>WorldCat Record</v>
      </c>
      <c r="AX2752" s="3" t="s">
        <v>27308</v>
      </c>
      <c r="AY2752" s="3" t="s">
        <v>27309</v>
      </c>
      <c r="AZ2752" s="3" t="s">
        <v>27310</v>
      </c>
      <c r="BA2752" s="3" t="s">
        <v>27310</v>
      </c>
      <c r="BB2752" s="3" t="s">
        <v>27311</v>
      </c>
      <c r="BC2752" s="3" t="s">
        <v>77</v>
      </c>
      <c r="BD2752" s="3" t="s">
        <v>78</v>
      </c>
      <c r="BF2752" s="3" t="s">
        <v>27311</v>
      </c>
      <c r="BG2752" s="3" t="s">
        <v>27312</v>
      </c>
    </row>
    <row r="2753" spans="1:59" ht="72.5" x14ac:dyDescent="0.35">
      <c r="A2753" s="2" t="s">
        <v>59</v>
      </c>
      <c r="B2753" s="2" t="s">
        <v>60</v>
      </c>
      <c r="C2753" s="2" t="s">
        <v>27313</v>
      </c>
      <c r="D2753" s="2" t="s">
        <v>27314</v>
      </c>
      <c r="E2753" s="2" t="s">
        <v>27315</v>
      </c>
      <c r="G2753" s="3" t="s">
        <v>65</v>
      </c>
      <c r="I2753" s="3" t="s">
        <v>65</v>
      </c>
      <c r="J2753" s="3" t="s">
        <v>209</v>
      </c>
      <c r="K2753" s="3" t="s">
        <v>66</v>
      </c>
      <c r="L2753" s="2" t="s">
        <v>27233</v>
      </c>
      <c r="M2753" s="2" t="s">
        <v>27316</v>
      </c>
      <c r="N2753" s="3" t="s">
        <v>221</v>
      </c>
      <c r="P2753" s="3" t="s">
        <v>69</v>
      </c>
      <c r="R2753" s="3" t="s">
        <v>71</v>
      </c>
      <c r="S2753" s="4">
        <v>9</v>
      </c>
      <c r="T2753" s="4">
        <v>9</v>
      </c>
      <c r="U2753" s="5" t="s">
        <v>27317</v>
      </c>
      <c r="V2753" s="5" t="s">
        <v>27317</v>
      </c>
      <c r="W2753" s="5" t="s">
        <v>72</v>
      </c>
      <c r="X2753" s="5" t="s">
        <v>72</v>
      </c>
      <c r="Y2753" s="4">
        <v>7</v>
      </c>
      <c r="Z2753" s="4">
        <v>2</v>
      </c>
      <c r="AA2753" s="4">
        <v>59</v>
      </c>
      <c r="AB2753" s="4">
        <v>2</v>
      </c>
      <c r="AC2753" s="4">
        <v>10</v>
      </c>
      <c r="AD2753" s="4">
        <v>0</v>
      </c>
      <c r="AE2753" s="4">
        <v>134</v>
      </c>
      <c r="AF2753" s="4">
        <v>0</v>
      </c>
      <c r="AG2753" s="4">
        <v>3</v>
      </c>
      <c r="AH2753" s="4">
        <v>0</v>
      </c>
      <c r="AI2753" s="4">
        <v>105</v>
      </c>
      <c r="AJ2753" s="4">
        <v>0</v>
      </c>
      <c r="AK2753" s="4">
        <v>22</v>
      </c>
      <c r="AL2753" s="4">
        <v>0</v>
      </c>
      <c r="AM2753" s="4">
        <v>59</v>
      </c>
      <c r="AN2753" s="4">
        <v>0</v>
      </c>
      <c r="AO2753" s="4">
        <v>0</v>
      </c>
      <c r="AP2753" s="4">
        <v>0</v>
      </c>
      <c r="AQ2753" s="4">
        <v>33</v>
      </c>
      <c r="AR2753" s="3" t="s">
        <v>65</v>
      </c>
      <c r="AS2753" s="3" t="s">
        <v>65</v>
      </c>
      <c r="AT2753" s="3" t="s">
        <v>65</v>
      </c>
      <c r="AV2753" s="6" t="str">
        <f>HYPERLINK("http://mcgill.on.worldcat.org/oclc/436840467","Catalog Record")</f>
        <v>Catalog Record</v>
      </c>
      <c r="AW2753" s="6" t="str">
        <f>HYPERLINK("http://www.worldcat.org/oclc/436840467","WorldCat Record")</f>
        <v>WorldCat Record</v>
      </c>
      <c r="AX2753" s="3" t="s">
        <v>27318</v>
      </c>
      <c r="AY2753" s="3" t="s">
        <v>27319</v>
      </c>
      <c r="AZ2753" s="3" t="s">
        <v>27320</v>
      </c>
      <c r="BA2753" s="3" t="s">
        <v>27320</v>
      </c>
      <c r="BB2753" s="3" t="s">
        <v>27321</v>
      </c>
      <c r="BC2753" s="3" t="s">
        <v>77</v>
      </c>
      <c r="BD2753" s="3" t="s">
        <v>106</v>
      </c>
      <c r="BE2753" s="3" t="s">
        <v>27322</v>
      </c>
      <c r="BF2753" s="3" t="s">
        <v>27321</v>
      </c>
      <c r="BG2753" s="3" t="s">
        <v>27323</v>
      </c>
    </row>
    <row r="2754" spans="1:59" ht="72.5" x14ac:dyDescent="0.35">
      <c r="A2754" s="2" t="s">
        <v>59</v>
      </c>
      <c r="B2754" s="2" t="s">
        <v>60</v>
      </c>
      <c r="C2754" s="2" t="s">
        <v>27324</v>
      </c>
      <c r="D2754" s="2" t="s">
        <v>27325</v>
      </c>
      <c r="E2754" s="2" t="s">
        <v>27326</v>
      </c>
      <c r="G2754" s="3" t="s">
        <v>65</v>
      </c>
      <c r="I2754" s="3" t="s">
        <v>65</v>
      </c>
      <c r="J2754" s="3" t="s">
        <v>65</v>
      </c>
      <c r="K2754" s="3" t="s">
        <v>66</v>
      </c>
      <c r="L2754" s="2" t="s">
        <v>27327</v>
      </c>
      <c r="M2754" s="2" t="s">
        <v>1270</v>
      </c>
      <c r="N2754" s="3" t="s">
        <v>139</v>
      </c>
      <c r="P2754" s="3" t="s">
        <v>140</v>
      </c>
      <c r="Q2754" s="2" t="s">
        <v>27328</v>
      </c>
      <c r="R2754" s="3" t="s">
        <v>71</v>
      </c>
      <c r="S2754" s="4">
        <v>0</v>
      </c>
      <c r="T2754" s="4">
        <v>0</v>
      </c>
      <c r="W2754" s="5" t="s">
        <v>72</v>
      </c>
      <c r="X2754" s="5" t="s">
        <v>72</v>
      </c>
      <c r="Y2754" s="4">
        <v>41</v>
      </c>
      <c r="Z2754" s="4">
        <v>3</v>
      </c>
      <c r="AA2754" s="4">
        <v>3</v>
      </c>
      <c r="AB2754" s="4">
        <v>1</v>
      </c>
      <c r="AC2754" s="4">
        <v>1</v>
      </c>
      <c r="AD2754" s="4">
        <v>21</v>
      </c>
      <c r="AE2754" s="4">
        <v>21</v>
      </c>
      <c r="AF2754" s="4">
        <v>0</v>
      </c>
      <c r="AG2754" s="4">
        <v>0</v>
      </c>
      <c r="AH2754" s="4">
        <v>20</v>
      </c>
      <c r="AI2754" s="4">
        <v>20</v>
      </c>
      <c r="AJ2754" s="4">
        <v>1</v>
      </c>
      <c r="AK2754" s="4">
        <v>1</v>
      </c>
      <c r="AL2754" s="4">
        <v>18</v>
      </c>
      <c r="AM2754" s="4">
        <v>18</v>
      </c>
      <c r="AN2754" s="4">
        <v>0</v>
      </c>
      <c r="AO2754" s="4">
        <v>0</v>
      </c>
      <c r="AP2754" s="4">
        <v>1</v>
      </c>
      <c r="AQ2754" s="4">
        <v>1</v>
      </c>
      <c r="AR2754" s="3" t="s">
        <v>65</v>
      </c>
      <c r="AS2754" s="3" t="s">
        <v>65</v>
      </c>
      <c r="AT2754" s="3" t="s">
        <v>65</v>
      </c>
      <c r="AV2754" s="6" t="str">
        <f>HYPERLINK("http://mcgill.on.worldcat.org/oclc/823206890","Catalog Record")</f>
        <v>Catalog Record</v>
      </c>
      <c r="AW2754" s="6" t="str">
        <f>HYPERLINK("http://www.worldcat.org/oclc/823206890","WorldCat Record")</f>
        <v>WorldCat Record</v>
      </c>
      <c r="AX2754" s="3" t="s">
        <v>27329</v>
      </c>
      <c r="AY2754" s="3" t="s">
        <v>27330</v>
      </c>
      <c r="AZ2754" s="3" t="s">
        <v>27331</v>
      </c>
      <c r="BA2754" s="3" t="s">
        <v>27331</v>
      </c>
      <c r="BB2754" s="3" t="s">
        <v>27332</v>
      </c>
      <c r="BC2754" s="3" t="s">
        <v>77</v>
      </c>
      <c r="BD2754" s="3" t="s">
        <v>78</v>
      </c>
      <c r="BE2754" s="3" t="s">
        <v>27333</v>
      </c>
      <c r="BF2754" s="3" t="s">
        <v>27332</v>
      </c>
      <c r="BG2754" s="3" t="s">
        <v>27334</v>
      </c>
    </row>
    <row r="2755" spans="1:59" ht="72.5" x14ac:dyDescent="0.35">
      <c r="A2755" s="2" t="s">
        <v>59</v>
      </c>
      <c r="B2755" s="2" t="s">
        <v>60</v>
      </c>
      <c r="C2755" s="2" t="s">
        <v>27335</v>
      </c>
      <c r="D2755" s="2" t="s">
        <v>27336</v>
      </c>
      <c r="E2755" s="2" t="s">
        <v>27337</v>
      </c>
      <c r="G2755" s="3" t="s">
        <v>65</v>
      </c>
      <c r="I2755" s="3" t="s">
        <v>65</v>
      </c>
      <c r="J2755" s="3" t="s">
        <v>65</v>
      </c>
      <c r="K2755" s="3" t="s">
        <v>66</v>
      </c>
      <c r="L2755" s="2" t="s">
        <v>27233</v>
      </c>
      <c r="M2755" s="2" t="s">
        <v>27338</v>
      </c>
      <c r="N2755" s="3" t="s">
        <v>139</v>
      </c>
      <c r="P2755" s="3" t="s">
        <v>140</v>
      </c>
      <c r="R2755" s="3" t="s">
        <v>71</v>
      </c>
      <c r="S2755" s="4">
        <v>0</v>
      </c>
      <c r="T2755" s="4">
        <v>0</v>
      </c>
      <c r="W2755" s="5" t="s">
        <v>72</v>
      </c>
      <c r="X2755" s="5" t="s">
        <v>72</v>
      </c>
      <c r="Y2755" s="4">
        <v>41</v>
      </c>
      <c r="Z2755" s="4">
        <v>5</v>
      </c>
      <c r="AA2755" s="4">
        <v>5</v>
      </c>
      <c r="AB2755" s="4">
        <v>1</v>
      </c>
      <c r="AC2755" s="4">
        <v>1</v>
      </c>
      <c r="AD2755" s="4">
        <v>23</v>
      </c>
      <c r="AE2755" s="4">
        <v>23</v>
      </c>
      <c r="AF2755" s="4">
        <v>0</v>
      </c>
      <c r="AG2755" s="4">
        <v>0</v>
      </c>
      <c r="AH2755" s="4">
        <v>22</v>
      </c>
      <c r="AI2755" s="4">
        <v>22</v>
      </c>
      <c r="AJ2755" s="4">
        <v>2</v>
      </c>
      <c r="AK2755" s="4">
        <v>2</v>
      </c>
      <c r="AL2755" s="4">
        <v>18</v>
      </c>
      <c r="AM2755" s="4">
        <v>18</v>
      </c>
      <c r="AN2755" s="4">
        <v>0</v>
      </c>
      <c r="AO2755" s="4">
        <v>0</v>
      </c>
      <c r="AP2755" s="4">
        <v>2</v>
      </c>
      <c r="AQ2755" s="4">
        <v>2</v>
      </c>
      <c r="AR2755" s="3" t="s">
        <v>65</v>
      </c>
      <c r="AS2755" s="3" t="s">
        <v>65</v>
      </c>
      <c r="AT2755" s="3" t="s">
        <v>65</v>
      </c>
      <c r="AV2755" s="6" t="str">
        <f>HYPERLINK("http://mcgill.on.worldcat.org/oclc/827227901","Catalog Record")</f>
        <v>Catalog Record</v>
      </c>
      <c r="AW2755" s="6" t="str">
        <f>HYPERLINK("http://www.worldcat.org/oclc/827227901","WorldCat Record")</f>
        <v>WorldCat Record</v>
      </c>
      <c r="AX2755" s="3" t="s">
        <v>27339</v>
      </c>
      <c r="AY2755" s="3" t="s">
        <v>27340</v>
      </c>
      <c r="AZ2755" s="3" t="s">
        <v>27341</v>
      </c>
      <c r="BA2755" s="3" t="s">
        <v>27341</v>
      </c>
      <c r="BB2755" s="3" t="s">
        <v>27342</v>
      </c>
      <c r="BC2755" s="3" t="s">
        <v>77</v>
      </c>
      <c r="BD2755" s="3" t="s">
        <v>78</v>
      </c>
      <c r="BE2755" s="3" t="s">
        <v>27343</v>
      </c>
      <c r="BF2755" s="3" t="s">
        <v>27342</v>
      </c>
      <c r="BG2755" s="3" t="s">
        <v>27344</v>
      </c>
    </row>
    <row r="2756" spans="1:59" ht="72.5" x14ac:dyDescent="0.35">
      <c r="A2756" s="2" t="s">
        <v>59</v>
      </c>
      <c r="B2756" s="2" t="s">
        <v>60</v>
      </c>
      <c r="C2756" s="2" t="s">
        <v>27345</v>
      </c>
      <c r="D2756" s="2" t="s">
        <v>27346</v>
      </c>
      <c r="E2756" s="2" t="s">
        <v>27347</v>
      </c>
      <c r="G2756" s="3" t="s">
        <v>65</v>
      </c>
      <c r="I2756" s="3" t="s">
        <v>65</v>
      </c>
      <c r="J2756" s="3" t="s">
        <v>65</v>
      </c>
      <c r="K2756" s="3" t="s">
        <v>66</v>
      </c>
      <c r="M2756" s="2" t="s">
        <v>27348</v>
      </c>
      <c r="N2756" s="3" t="s">
        <v>176</v>
      </c>
      <c r="P2756" s="3" t="s">
        <v>69</v>
      </c>
      <c r="R2756" s="3" t="s">
        <v>71</v>
      </c>
      <c r="S2756" s="4">
        <v>1</v>
      </c>
      <c r="T2756" s="4">
        <v>1</v>
      </c>
      <c r="W2756" s="5" t="s">
        <v>72</v>
      </c>
      <c r="X2756" s="5" t="s">
        <v>72</v>
      </c>
      <c r="Y2756" s="4">
        <v>103</v>
      </c>
      <c r="Z2756" s="4">
        <v>11</v>
      </c>
      <c r="AA2756" s="4">
        <v>27</v>
      </c>
      <c r="AB2756" s="4">
        <v>1</v>
      </c>
      <c r="AC2756" s="4">
        <v>3</v>
      </c>
      <c r="AD2756" s="4">
        <v>49</v>
      </c>
      <c r="AE2756" s="4">
        <v>75</v>
      </c>
      <c r="AF2756" s="4">
        <v>0</v>
      </c>
      <c r="AG2756" s="4">
        <v>0</v>
      </c>
      <c r="AH2756" s="4">
        <v>47</v>
      </c>
      <c r="AI2756" s="4">
        <v>66</v>
      </c>
      <c r="AJ2756" s="4">
        <v>6</v>
      </c>
      <c r="AK2756" s="4">
        <v>11</v>
      </c>
      <c r="AL2756" s="4">
        <v>33</v>
      </c>
      <c r="AM2756" s="4">
        <v>40</v>
      </c>
      <c r="AN2756" s="4">
        <v>0</v>
      </c>
      <c r="AO2756" s="4">
        <v>0</v>
      </c>
      <c r="AP2756" s="4">
        <v>6</v>
      </c>
      <c r="AQ2756" s="4">
        <v>16</v>
      </c>
      <c r="AR2756" s="3" t="s">
        <v>65</v>
      </c>
      <c r="AS2756" s="3" t="s">
        <v>65</v>
      </c>
      <c r="AT2756" s="3" t="s">
        <v>65</v>
      </c>
      <c r="AV2756" s="6" t="str">
        <f>HYPERLINK("http://mcgill.on.worldcat.org/oclc/892304587","Catalog Record")</f>
        <v>Catalog Record</v>
      </c>
      <c r="AW2756" s="6" t="str">
        <f>HYPERLINK("http://www.worldcat.org/oclc/892304587","WorldCat Record")</f>
        <v>WorldCat Record</v>
      </c>
      <c r="AX2756" s="3" t="s">
        <v>27349</v>
      </c>
      <c r="AY2756" s="3" t="s">
        <v>27350</v>
      </c>
      <c r="AZ2756" s="3" t="s">
        <v>27351</v>
      </c>
      <c r="BA2756" s="3" t="s">
        <v>27351</v>
      </c>
      <c r="BB2756" s="3" t="s">
        <v>27352</v>
      </c>
      <c r="BC2756" s="3" t="s">
        <v>77</v>
      </c>
      <c r="BD2756" s="3" t="s">
        <v>106</v>
      </c>
      <c r="BE2756" s="3" t="s">
        <v>27353</v>
      </c>
      <c r="BF2756" s="3" t="s">
        <v>27352</v>
      </c>
      <c r="BG2756" s="3" t="s">
        <v>27354</v>
      </c>
    </row>
    <row r="2757" spans="1:59" ht="72.5" x14ac:dyDescent="0.35">
      <c r="A2757" s="2" t="s">
        <v>59</v>
      </c>
      <c r="B2757" s="2" t="s">
        <v>60</v>
      </c>
      <c r="C2757" s="2" t="s">
        <v>27355</v>
      </c>
      <c r="D2757" s="2" t="s">
        <v>27356</v>
      </c>
      <c r="E2757" s="2" t="s">
        <v>27357</v>
      </c>
      <c r="G2757" s="3" t="s">
        <v>65</v>
      </c>
      <c r="I2757" s="3" t="s">
        <v>65</v>
      </c>
      <c r="J2757" s="3" t="s">
        <v>65</v>
      </c>
      <c r="K2757" s="3" t="s">
        <v>66</v>
      </c>
      <c r="M2757" s="2" t="s">
        <v>27358</v>
      </c>
      <c r="N2757" s="3" t="s">
        <v>126</v>
      </c>
      <c r="P2757" s="3" t="s">
        <v>140</v>
      </c>
      <c r="Q2757" s="2" t="s">
        <v>27359</v>
      </c>
      <c r="R2757" s="3" t="s">
        <v>71</v>
      </c>
      <c r="S2757" s="4">
        <v>1</v>
      </c>
      <c r="T2757" s="4">
        <v>1</v>
      </c>
      <c r="U2757" s="5" t="s">
        <v>27360</v>
      </c>
      <c r="V2757" s="5" t="s">
        <v>27360</v>
      </c>
      <c r="W2757" s="5" t="s">
        <v>72</v>
      </c>
      <c r="X2757" s="5" t="s">
        <v>72</v>
      </c>
      <c r="Y2757" s="4">
        <v>26</v>
      </c>
      <c r="Z2757" s="4">
        <v>4</v>
      </c>
      <c r="AA2757" s="4">
        <v>4</v>
      </c>
      <c r="AB2757" s="4">
        <v>1</v>
      </c>
      <c r="AC2757" s="4">
        <v>1</v>
      </c>
      <c r="AD2757" s="4">
        <v>19</v>
      </c>
      <c r="AE2757" s="4">
        <v>19</v>
      </c>
      <c r="AF2757" s="4">
        <v>0</v>
      </c>
      <c r="AG2757" s="4">
        <v>0</v>
      </c>
      <c r="AH2757" s="4">
        <v>18</v>
      </c>
      <c r="AI2757" s="4">
        <v>18</v>
      </c>
      <c r="AJ2757" s="4">
        <v>2</v>
      </c>
      <c r="AK2757" s="4">
        <v>2</v>
      </c>
      <c r="AL2757" s="4">
        <v>13</v>
      </c>
      <c r="AM2757" s="4">
        <v>13</v>
      </c>
      <c r="AN2757" s="4">
        <v>0</v>
      </c>
      <c r="AO2757" s="4">
        <v>0</v>
      </c>
      <c r="AP2757" s="4">
        <v>2</v>
      </c>
      <c r="AQ2757" s="4">
        <v>2</v>
      </c>
      <c r="AR2757" s="3" t="s">
        <v>65</v>
      </c>
      <c r="AS2757" s="3" t="s">
        <v>65</v>
      </c>
      <c r="AT2757" s="3" t="s">
        <v>65</v>
      </c>
      <c r="AV2757" s="6" t="str">
        <f>HYPERLINK("http://mcgill.on.worldcat.org/oclc/706409985","Catalog Record")</f>
        <v>Catalog Record</v>
      </c>
      <c r="AW2757" s="6" t="str">
        <f>HYPERLINK("http://www.worldcat.org/oclc/706409985","WorldCat Record")</f>
        <v>WorldCat Record</v>
      </c>
      <c r="AX2757" s="3" t="s">
        <v>27361</v>
      </c>
      <c r="AY2757" s="3" t="s">
        <v>27362</v>
      </c>
      <c r="AZ2757" s="3" t="s">
        <v>27363</v>
      </c>
      <c r="BA2757" s="3" t="s">
        <v>27363</v>
      </c>
      <c r="BB2757" s="3" t="s">
        <v>27364</v>
      </c>
      <c r="BC2757" s="3" t="s">
        <v>77</v>
      </c>
      <c r="BD2757" s="3" t="s">
        <v>78</v>
      </c>
      <c r="BE2757" s="3" t="s">
        <v>27365</v>
      </c>
      <c r="BF2757" s="3" t="s">
        <v>27364</v>
      </c>
      <c r="BG2757" s="3" t="s">
        <v>27366</v>
      </c>
    </row>
    <row r="2758" spans="1:59" ht="72.5" x14ac:dyDescent="0.35">
      <c r="A2758" s="2" t="s">
        <v>59</v>
      </c>
      <c r="B2758" s="2" t="s">
        <v>60</v>
      </c>
      <c r="C2758" s="2" t="s">
        <v>27367</v>
      </c>
      <c r="D2758" s="2" t="s">
        <v>27368</v>
      </c>
      <c r="E2758" s="2" t="s">
        <v>27369</v>
      </c>
      <c r="G2758" s="3" t="s">
        <v>65</v>
      </c>
      <c r="I2758" s="3" t="s">
        <v>65</v>
      </c>
      <c r="J2758" s="3" t="s">
        <v>65</v>
      </c>
      <c r="K2758" s="3" t="s">
        <v>66</v>
      </c>
      <c r="L2758" s="2" t="s">
        <v>27370</v>
      </c>
      <c r="M2758" s="2" t="s">
        <v>4921</v>
      </c>
      <c r="N2758" s="3" t="s">
        <v>139</v>
      </c>
      <c r="P2758" s="3" t="s">
        <v>140</v>
      </c>
      <c r="Q2758" s="2" t="s">
        <v>27371</v>
      </c>
      <c r="R2758" s="3" t="s">
        <v>71</v>
      </c>
      <c r="S2758" s="4">
        <v>0</v>
      </c>
      <c r="T2758" s="4">
        <v>0</v>
      </c>
      <c r="W2758" s="5" t="s">
        <v>72</v>
      </c>
      <c r="X2758" s="5" t="s">
        <v>72</v>
      </c>
      <c r="Y2758" s="4">
        <v>19</v>
      </c>
      <c r="Z2758" s="4">
        <v>1</v>
      </c>
      <c r="AA2758" s="4">
        <v>5</v>
      </c>
      <c r="AB2758" s="4">
        <v>1</v>
      </c>
      <c r="AC2758" s="4">
        <v>1</v>
      </c>
      <c r="AD2758" s="4">
        <v>2</v>
      </c>
      <c r="AE2758" s="4">
        <v>38</v>
      </c>
      <c r="AF2758" s="4">
        <v>0</v>
      </c>
      <c r="AG2758" s="4">
        <v>0</v>
      </c>
      <c r="AH2758" s="4">
        <v>2</v>
      </c>
      <c r="AI2758" s="4">
        <v>37</v>
      </c>
      <c r="AJ2758" s="4">
        <v>0</v>
      </c>
      <c r="AK2758" s="4">
        <v>2</v>
      </c>
      <c r="AL2758" s="4">
        <v>2</v>
      </c>
      <c r="AM2758" s="4">
        <v>30</v>
      </c>
      <c r="AN2758" s="4">
        <v>0</v>
      </c>
      <c r="AO2758" s="4">
        <v>0</v>
      </c>
      <c r="AP2758" s="4">
        <v>0</v>
      </c>
      <c r="AQ2758" s="4">
        <v>2</v>
      </c>
      <c r="AR2758" s="3" t="s">
        <v>65</v>
      </c>
      <c r="AS2758" s="3" t="s">
        <v>65</v>
      </c>
      <c r="AT2758" s="3" t="s">
        <v>65</v>
      </c>
      <c r="AV2758" s="6" t="str">
        <f>HYPERLINK("http://mcgill.on.worldcat.org/oclc/794639684","Catalog Record")</f>
        <v>Catalog Record</v>
      </c>
      <c r="AW2758" s="6" t="str">
        <f>HYPERLINK("http://www.worldcat.org/oclc/794639684","WorldCat Record")</f>
        <v>WorldCat Record</v>
      </c>
      <c r="AX2758" s="3" t="s">
        <v>27372</v>
      </c>
      <c r="AY2758" s="3" t="s">
        <v>27373</v>
      </c>
      <c r="AZ2758" s="3" t="s">
        <v>27374</v>
      </c>
      <c r="BA2758" s="3" t="s">
        <v>27374</v>
      </c>
      <c r="BB2758" s="3" t="s">
        <v>27375</v>
      </c>
      <c r="BC2758" s="3" t="s">
        <v>77</v>
      </c>
      <c r="BD2758" s="3" t="s">
        <v>78</v>
      </c>
      <c r="BE2758" s="3" t="s">
        <v>27376</v>
      </c>
      <c r="BF2758" s="3" t="s">
        <v>27375</v>
      </c>
      <c r="BG2758" s="3" t="s">
        <v>27377</v>
      </c>
    </row>
    <row r="2759" spans="1:59" ht="72.5" x14ac:dyDescent="0.35">
      <c r="A2759" s="2" t="s">
        <v>59</v>
      </c>
      <c r="B2759" s="2" t="s">
        <v>60</v>
      </c>
      <c r="C2759" s="2" t="s">
        <v>27378</v>
      </c>
      <c r="D2759" s="2" t="s">
        <v>27379</v>
      </c>
      <c r="E2759" s="2" t="s">
        <v>27380</v>
      </c>
      <c r="G2759" s="3" t="s">
        <v>65</v>
      </c>
      <c r="I2759" s="3" t="s">
        <v>65</v>
      </c>
      <c r="J2759" s="3" t="s">
        <v>65</v>
      </c>
      <c r="K2759" s="3" t="s">
        <v>66</v>
      </c>
      <c r="M2759" s="2" t="s">
        <v>27381</v>
      </c>
      <c r="N2759" s="3" t="s">
        <v>176</v>
      </c>
      <c r="O2759" s="2" t="s">
        <v>235</v>
      </c>
      <c r="P2759" s="3" t="s">
        <v>140</v>
      </c>
      <c r="Q2759" s="2" t="s">
        <v>27382</v>
      </c>
      <c r="R2759" s="3" t="s">
        <v>71</v>
      </c>
      <c r="S2759" s="4">
        <v>0</v>
      </c>
      <c r="T2759" s="4">
        <v>0</v>
      </c>
      <c r="W2759" s="5" t="s">
        <v>72</v>
      </c>
      <c r="X2759" s="5" t="s">
        <v>72</v>
      </c>
      <c r="Y2759" s="4">
        <v>41</v>
      </c>
      <c r="Z2759" s="4">
        <v>3</v>
      </c>
      <c r="AA2759" s="4">
        <v>3</v>
      </c>
      <c r="AB2759" s="4">
        <v>1</v>
      </c>
      <c r="AC2759" s="4">
        <v>1</v>
      </c>
      <c r="AD2759" s="4">
        <v>28</v>
      </c>
      <c r="AE2759" s="4">
        <v>28</v>
      </c>
      <c r="AF2759" s="4">
        <v>0</v>
      </c>
      <c r="AG2759" s="4">
        <v>0</v>
      </c>
      <c r="AH2759" s="4">
        <v>27</v>
      </c>
      <c r="AI2759" s="4">
        <v>27</v>
      </c>
      <c r="AJ2759" s="4">
        <v>1</v>
      </c>
      <c r="AK2759" s="4">
        <v>1</v>
      </c>
      <c r="AL2759" s="4">
        <v>22</v>
      </c>
      <c r="AM2759" s="4">
        <v>22</v>
      </c>
      <c r="AN2759" s="4">
        <v>0</v>
      </c>
      <c r="AO2759" s="4">
        <v>0</v>
      </c>
      <c r="AP2759" s="4">
        <v>1</v>
      </c>
      <c r="AQ2759" s="4">
        <v>1</v>
      </c>
      <c r="AR2759" s="3" t="s">
        <v>65</v>
      </c>
      <c r="AS2759" s="3" t="s">
        <v>65</v>
      </c>
      <c r="AT2759" s="3" t="s">
        <v>65</v>
      </c>
      <c r="AV2759" s="6" t="str">
        <f>HYPERLINK("http://mcgill.on.worldcat.org/oclc/907638824","Catalog Record")</f>
        <v>Catalog Record</v>
      </c>
      <c r="AW2759" s="6" t="str">
        <f>HYPERLINK("http://www.worldcat.org/oclc/907638824","WorldCat Record")</f>
        <v>WorldCat Record</v>
      </c>
      <c r="AX2759" s="3" t="s">
        <v>27383</v>
      </c>
      <c r="AY2759" s="3" t="s">
        <v>27384</v>
      </c>
      <c r="AZ2759" s="3" t="s">
        <v>27385</v>
      </c>
      <c r="BA2759" s="3" t="s">
        <v>27385</v>
      </c>
      <c r="BB2759" s="3" t="s">
        <v>27386</v>
      </c>
      <c r="BC2759" s="3" t="s">
        <v>77</v>
      </c>
      <c r="BD2759" s="3" t="s">
        <v>78</v>
      </c>
      <c r="BE2759" s="3" t="s">
        <v>27387</v>
      </c>
      <c r="BF2759" s="3" t="s">
        <v>27386</v>
      </c>
      <c r="BG2759" s="3" t="s">
        <v>27388</v>
      </c>
    </row>
    <row r="2760" spans="1:59" ht="72.5" x14ac:dyDescent="0.35">
      <c r="A2760" s="2" t="s">
        <v>59</v>
      </c>
      <c r="B2760" s="2" t="s">
        <v>60</v>
      </c>
      <c r="C2760" s="2" t="s">
        <v>27389</v>
      </c>
      <c r="D2760" s="2" t="s">
        <v>27390</v>
      </c>
      <c r="E2760" s="2" t="s">
        <v>27391</v>
      </c>
      <c r="G2760" s="3" t="s">
        <v>65</v>
      </c>
      <c r="I2760" s="3" t="s">
        <v>65</v>
      </c>
      <c r="J2760" s="3" t="s">
        <v>65</v>
      </c>
      <c r="K2760" s="3" t="s">
        <v>66</v>
      </c>
      <c r="L2760" s="2" t="s">
        <v>27392</v>
      </c>
      <c r="M2760" s="2" t="s">
        <v>27393</v>
      </c>
      <c r="N2760" s="3" t="s">
        <v>152</v>
      </c>
      <c r="P2760" s="3" t="s">
        <v>140</v>
      </c>
      <c r="Q2760" s="2" t="s">
        <v>27394</v>
      </c>
      <c r="R2760" s="3" t="s">
        <v>71</v>
      </c>
      <c r="S2760" s="4">
        <v>0</v>
      </c>
      <c r="T2760" s="4">
        <v>0</v>
      </c>
      <c r="W2760" s="5" t="s">
        <v>72</v>
      </c>
      <c r="X2760" s="5" t="s">
        <v>72</v>
      </c>
      <c r="Y2760" s="4">
        <v>41</v>
      </c>
      <c r="Z2760" s="4">
        <v>4</v>
      </c>
      <c r="AA2760" s="4">
        <v>4</v>
      </c>
      <c r="AB2760" s="4">
        <v>1</v>
      </c>
      <c r="AC2760" s="4">
        <v>1</v>
      </c>
      <c r="AD2760" s="4">
        <v>26</v>
      </c>
      <c r="AE2760" s="4">
        <v>26</v>
      </c>
      <c r="AF2760" s="4">
        <v>0</v>
      </c>
      <c r="AG2760" s="4">
        <v>0</v>
      </c>
      <c r="AH2760" s="4">
        <v>25</v>
      </c>
      <c r="AI2760" s="4">
        <v>25</v>
      </c>
      <c r="AJ2760" s="4">
        <v>1</v>
      </c>
      <c r="AK2760" s="4">
        <v>1</v>
      </c>
      <c r="AL2760" s="4">
        <v>22</v>
      </c>
      <c r="AM2760" s="4">
        <v>22</v>
      </c>
      <c r="AN2760" s="4">
        <v>0</v>
      </c>
      <c r="AO2760" s="4">
        <v>0</v>
      </c>
      <c r="AP2760" s="4">
        <v>1</v>
      </c>
      <c r="AQ2760" s="4">
        <v>1</v>
      </c>
      <c r="AR2760" s="3" t="s">
        <v>65</v>
      </c>
      <c r="AS2760" s="3" t="s">
        <v>65</v>
      </c>
      <c r="AT2760" s="3" t="s">
        <v>65</v>
      </c>
      <c r="AV2760" s="6" t="str">
        <f>HYPERLINK("http://mcgill.on.worldcat.org/oclc/818724638","Catalog Record")</f>
        <v>Catalog Record</v>
      </c>
      <c r="AW2760" s="6" t="str">
        <f>HYPERLINK("http://www.worldcat.org/oclc/818724638","WorldCat Record")</f>
        <v>WorldCat Record</v>
      </c>
      <c r="AX2760" s="3" t="s">
        <v>27395</v>
      </c>
      <c r="AY2760" s="3" t="s">
        <v>27396</v>
      </c>
      <c r="AZ2760" s="3" t="s">
        <v>27397</v>
      </c>
      <c r="BA2760" s="3" t="s">
        <v>27397</v>
      </c>
      <c r="BB2760" s="3" t="s">
        <v>27398</v>
      </c>
      <c r="BC2760" s="3" t="s">
        <v>77</v>
      </c>
      <c r="BD2760" s="3" t="s">
        <v>78</v>
      </c>
      <c r="BE2760" s="3" t="s">
        <v>27399</v>
      </c>
      <c r="BF2760" s="3" t="s">
        <v>27398</v>
      </c>
      <c r="BG2760" s="3" t="s">
        <v>27400</v>
      </c>
    </row>
    <row r="2761" spans="1:59" ht="58" x14ac:dyDescent="0.35">
      <c r="A2761" s="2" t="s">
        <v>59</v>
      </c>
      <c r="B2761" s="2" t="s">
        <v>60</v>
      </c>
      <c r="C2761" s="2" t="s">
        <v>27401</v>
      </c>
      <c r="D2761" s="2" t="s">
        <v>27402</v>
      </c>
      <c r="E2761" s="2" t="s">
        <v>27403</v>
      </c>
      <c r="F2761" s="3" t="s">
        <v>258</v>
      </c>
      <c r="G2761" s="3" t="s">
        <v>209</v>
      </c>
      <c r="I2761" s="3" t="s">
        <v>65</v>
      </c>
      <c r="J2761" s="3" t="s">
        <v>65</v>
      </c>
      <c r="K2761" s="3" t="s">
        <v>66</v>
      </c>
      <c r="L2761" s="2" t="s">
        <v>27233</v>
      </c>
      <c r="M2761" s="2" t="s">
        <v>27404</v>
      </c>
      <c r="N2761" s="3" t="s">
        <v>2460</v>
      </c>
      <c r="O2761" s="2" t="s">
        <v>8201</v>
      </c>
      <c r="P2761" s="3" t="s">
        <v>140</v>
      </c>
      <c r="Q2761" s="2" t="s">
        <v>7116</v>
      </c>
      <c r="R2761" s="3" t="s">
        <v>71</v>
      </c>
      <c r="S2761" s="4">
        <v>3</v>
      </c>
      <c r="T2761" s="4">
        <v>7</v>
      </c>
      <c r="U2761" s="5" t="s">
        <v>5831</v>
      </c>
      <c r="V2761" s="5" t="s">
        <v>5831</v>
      </c>
      <c r="W2761" s="5" t="s">
        <v>72</v>
      </c>
      <c r="X2761" s="5" t="s">
        <v>72</v>
      </c>
      <c r="Y2761" s="4">
        <v>121</v>
      </c>
      <c r="Z2761" s="4">
        <v>10</v>
      </c>
      <c r="AA2761" s="4">
        <v>13</v>
      </c>
      <c r="AB2761" s="4">
        <v>1</v>
      </c>
      <c r="AC2761" s="4">
        <v>1</v>
      </c>
      <c r="AD2761" s="4">
        <v>60</v>
      </c>
      <c r="AE2761" s="4">
        <v>64</v>
      </c>
      <c r="AF2761" s="4">
        <v>0</v>
      </c>
      <c r="AG2761" s="4">
        <v>0</v>
      </c>
      <c r="AH2761" s="4">
        <v>56</v>
      </c>
      <c r="AI2761" s="4">
        <v>59</v>
      </c>
      <c r="AJ2761" s="4">
        <v>7</v>
      </c>
      <c r="AK2761" s="4">
        <v>9</v>
      </c>
      <c r="AL2761" s="4">
        <v>40</v>
      </c>
      <c r="AM2761" s="4">
        <v>42</v>
      </c>
      <c r="AN2761" s="4">
        <v>0</v>
      </c>
      <c r="AO2761" s="4">
        <v>0</v>
      </c>
      <c r="AP2761" s="4">
        <v>7</v>
      </c>
      <c r="AQ2761" s="4">
        <v>9</v>
      </c>
      <c r="AR2761" s="3" t="s">
        <v>65</v>
      </c>
      <c r="AS2761" s="3" t="s">
        <v>65</v>
      </c>
      <c r="AT2761" s="3" t="s">
        <v>209</v>
      </c>
      <c r="AU2761" s="6" t="str">
        <f>HYPERLINK("http://catalog.hathitrust.org/Record/001537237","HathiTrust Record")</f>
        <v>HathiTrust Record</v>
      </c>
      <c r="AV2761" s="6" t="str">
        <f>HYPERLINK("http://mcgill.on.worldcat.org/oclc/20431179","Catalog Record")</f>
        <v>Catalog Record</v>
      </c>
      <c r="AW2761" s="6" t="str">
        <f>HYPERLINK("http://www.worldcat.org/oclc/20431179","WorldCat Record")</f>
        <v>WorldCat Record</v>
      </c>
      <c r="AX2761" s="3" t="s">
        <v>27405</v>
      </c>
      <c r="AY2761" s="3" t="s">
        <v>27406</v>
      </c>
      <c r="AZ2761" s="3" t="s">
        <v>27407</v>
      </c>
      <c r="BA2761" s="3" t="s">
        <v>27407</v>
      </c>
      <c r="BB2761" s="3" t="s">
        <v>27408</v>
      </c>
      <c r="BC2761" s="3" t="s">
        <v>77</v>
      </c>
      <c r="BD2761" s="3" t="s">
        <v>78</v>
      </c>
      <c r="BE2761" s="3" t="s">
        <v>27409</v>
      </c>
      <c r="BF2761" s="3" t="s">
        <v>27408</v>
      </c>
      <c r="BG2761" s="3" t="s">
        <v>27410</v>
      </c>
    </row>
    <row r="2762" spans="1:59" ht="58" x14ac:dyDescent="0.35">
      <c r="A2762" s="2" t="s">
        <v>59</v>
      </c>
      <c r="B2762" s="2" t="s">
        <v>60</v>
      </c>
      <c r="C2762" s="2" t="s">
        <v>27401</v>
      </c>
      <c r="D2762" s="2" t="s">
        <v>27402</v>
      </c>
      <c r="E2762" s="2" t="s">
        <v>27403</v>
      </c>
      <c r="F2762" s="3" t="s">
        <v>245</v>
      </c>
      <c r="G2762" s="3" t="s">
        <v>209</v>
      </c>
      <c r="I2762" s="3" t="s">
        <v>65</v>
      </c>
      <c r="J2762" s="3" t="s">
        <v>65</v>
      </c>
      <c r="K2762" s="3" t="s">
        <v>66</v>
      </c>
      <c r="L2762" s="2" t="s">
        <v>27233</v>
      </c>
      <c r="M2762" s="2" t="s">
        <v>27404</v>
      </c>
      <c r="N2762" s="3" t="s">
        <v>2460</v>
      </c>
      <c r="O2762" s="2" t="s">
        <v>8201</v>
      </c>
      <c r="P2762" s="3" t="s">
        <v>140</v>
      </c>
      <c r="Q2762" s="2" t="s">
        <v>7116</v>
      </c>
      <c r="R2762" s="3" t="s">
        <v>71</v>
      </c>
      <c r="S2762" s="4">
        <v>4</v>
      </c>
      <c r="T2762" s="4">
        <v>7</v>
      </c>
      <c r="U2762" s="5" t="s">
        <v>27411</v>
      </c>
      <c r="V2762" s="5" t="s">
        <v>5831</v>
      </c>
      <c r="W2762" s="5" t="s">
        <v>72</v>
      </c>
      <c r="X2762" s="5" t="s">
        <v>72</v>
      </c>
      <c r="Y2762" s="4">
        <v>121</v>
      </c>
      <c r="Z2762" s="4">
        <v>10</v>
      </c>
      <c r="AA2762" s="4">
        <v>13</v>
      </c>
      <c r="AB2762" s="4">
        <v>1</v>
      </c>
      <c r="AC2762" s="4">
        <v>1</v>
      </c>
      <c r="AD2762" s="4">
        <v>60</v>
      </c>
      <c r="AE2762" s="4">
        <v>64</v>
      </c>
      <c r="AF2762" s="4">
        <v>0</v>
      </c>
      <c r="AG2762" s="4">
        <v>0</v>
      </c>
      <c r="AH2762" s="4">
        <v>56</v>
      </c>
      <c r="AI2762" s="4">
        <v>59</v>
      </c>
      <c r="AJ2762" s="4">
        <v>7</v>
      </c>
      <c r="AK2762" s="4">
        <v>9</v>
      </c>
      <c r="AL2762" s="4">
        <v>40</v>
      </c>
      <c r="AM2762" s="4">
        <v>42</v>
      </c>
      <c r="AN2762" s="4">
        <v>0</v>
      </c>
      <c r="AO2762" s="4">
        <v>0</v>
      </c>
      <c r="AP2762" s="4">
        <v>7</v>
      </c>
      <c r="AQ2762" s="4">
        <v>9</v>
      </c>
      <c r="AR2762" s="3" t="s">
        <v>65</v>
      </c>
      <c r="AS2762" s="3" t="s">
        <v>65</v>
      </c>
      <c r="AT2762" s="3" t="s">
        <v>209</v>
      </c>
      <c r="AU2762" s="6" t="str">
        <f>HYPERLINK("http://catalog.hathitrust.org/Record/001537237","HathiTrust Record")</f>
        <v>HathiTrust Record</v>
      </c>
      <c r="AV2762" s="6" t="str">
        <f>HYPERLINK("http://mcgill.on.worldcat.org/oclc/20431179","Catalog Record")</f>
        <v>Catalog Record</v>
      </c>
      <c r="AW2762" s="6" t="str">
        <f>HYPERLINK("http://www.worldcat.org/oclc/20431179","WorldCat Record")</f>
        <v>WorldCat Record</v>
      </c>
      <c r="AX2762" s="3" t="s">
        <v>27405</v>
      </c>
      <c r="AY2762" s="3" t="s">
        <v>27406</v>
      </c>
      <c r="AZ2762" s="3" t="s">
        <v>27407</v>
      </c>
      <c r="BA2762" s="3" t="s">
        <v>27407</v>
      </c>
      <c r="BB2762" s="3" t="s">
        <v>27412</v>
      </c>
      <c r="BC2762" s="3" t="s">
        <v>77</v>
      </c>
      <c r="BD2762" s="3" t="s">
        <v>78</v>
      </c>
      <c r="BE2762" s="3" t="s">
        <v>27409</v>
      </c>
      <c r="BF2762" s="3" t="s">
        <v>27412</v>
      </c>
      <c r="BG2762" s="3" t="s">
        <v>27413</v>
      </c>
    </row>
    <row r="2763" spans="1:59" ht="58" x14ac:dyDescent="0.35">
      <c r="A2763" s="2" t="s">
        <v>59</v>
      </c>
      <c r="B2763" s="2" t="s">
        <v>60</v>
      </c>
      <c r="C2763" s="2" t="s">
        <v>27414</v>
      </c>
      <c r="D2763" s="2" t="s">
        <v>27415</v>
      </c>
      <c r="E2763" s="2" t="s">
        <v>27416</v>
      </c>
      <c r="G2763" s="3" t="s">
        <v>65</v>
      </c>
      <c r="I2763" s="3" t="s">
        <v>65</v>
      </c>
      <c r="J2763" s="3" t="s">
        <v>65</v>
      </c>
      <c r="K2763" s="3" t="s">
        <v>66</v>
      </c>
      <c r="L2763" s="2" t="s">
        <v>27417</v>
      </c>
      <c r="M2763" s="2" t="s">
        <v>27418</v>
      </c>
      <c r="N2763" s="3" t="s">
        <v>479</v>
      </c>
      <c r="O2763" s="2" t="s">
        <v>27419</v>
      </c>
      <c r="P2763" s="3" t="s">
        <v>140</v>
      </c>
      <c r="Q2763" s="2" t="s">
        <v>27420</v>
      </c>
      <c r="R2763" s="3" t="s">
        <v>71</v>
      </c>
      <c r="S2763" s="4">
        <v>1</v>
      </c>
      <c r="T2763" s="4">
        <v>1</v>
      </c>
      <c r="U2763" s="5" t="s">
        <v>27421</v>
      </c>
      <c r="V2763" s="5" t="s">
        <v>27421</v>
      </c>
      <c r="W2763" s="5" t="s">
        <v>72</v>
      </c>
      <c r="X2763" s="5" t="s">
        <v>72</v>
      </c>
      <c r="Y2763" s="4">
        <v>5</v>
      </c>
      <c r="Z2763" s="4">
        <v>2</v>
      </c>
      <c r="AA2763" s="4">
        <v>3</v>
      </c>
      <c r="AB2763" s="4">
        <v>2</v>
      </c>
      <c r="AC2763" s="4">
        <v>2</v>
      </c>
      <c r="AD2763" s="4">
        <v>0</v>
      </c>
      <c r="AE2763" s="4">
        <v>6</v>
      </c>
      <c r="AF2763" s="4">
        <v>0</v>
      </c>
      <c r="AG2763" s="4">
        <v>0</v>
      </c>
      <c r="AH2763" s="4">
        <v>0</v>
      </c>
      <c r="AI2763" s="4">
        <v>5</v>
      </c>
      <c r="AJ2763" s="4">
        <v>0</v>
      </c>
      <c r="AK2763" s="4">
        <v>1</v>
      </c>
      <c r="AL2763" s="4">
        <v>0</v>
      </c>
      <c r="AM2763" s="4">
        <v>1</v>
      </c>
      <c r="AN2763" s="4">
        <v>0</v>
      </c>
      <c r="AO2763" s="4">
        <v>0</v>
      </c>
      <c r="AP2763" s="4">
        <v>0</v>
      </c>
      <c r="AQ2763" s="4">
        <v>1</v>
      </c>
      <c r="AR2763" s="3" t="s">
        <v>65</v>
      </c>
      <c r="AS2763" s="3" t="s">
        <v>65</v>
      </c>
      <c r="AT2763" s="3" t="s">
        <v>65</v>
      </c>
      <c r="AV2763" s="6" t="str">
        <f>HYPERLINK("http://mcgill.on.worldcat.org/oclc/498126932","Catalog Record")</f>
        <v>Catalog Record</v>
      </c>
      <c r="AW2763" s="6" t="str">
        <f>HYPERLINK("http://www.worldcat.org/oclc/498126932","WorldCat Record")</f>
        <v>WorldCat Record</v>
      </c>
      <c r="AX2763" s="3" t="s">
        <v>27422</v>
      </c>
      <c r="AY2763" s="3" t="s">
        <v>27423</v>
      </c>
      <c r="AZ2763" s="3" t="s">
        <v>27424</v>
      </c>
      <c r="BA2763" s="3" t="s">
        <v>27424</v>
      </c>
      <c r="BB2763" s="3" t="s">
        <v>27425</v>
      </c>
      <c r="BC2763" s="3" t="s">
        <v>77</v>
      </c>
      <c r="BD2763" s="3" t="s">
        <v>78</v>
      </c>
      <c r="BE2763" s="3" t="s">
        <v>27426</v>
      </c>
      <c r="BF2763" s="3" t="s">
        <v>27425</v>
      </c>
      <c r="BG2763" s="3" t="s">
        <v>27427</v>
      </c>
    </row>
    <row r="2764" spans="1:59" ht="72.5" x14ac:dyDescent="0.35">
      <c r="A2764" s="2" t="s">
        <v>59</v>
      </c>
      <c r="B2764" s="2" t="s">
        <v>60</v>
      </c>
      <c r="C2764" s="2" t="s">
        <v>27428</v>
      </c>
      <c r="D2764" s="2" t="s">
        <v>27429</v>
      </c>
      <c r="E2764" s="2" t="s">
        <v>27430</v>
      </c>
      <c r="G2764" s="3" t="s">
        <v>65</v>
      </c>
      <c r="I2764" s="3" t="s">
        <v>65</v>
      </c>
      <c r="J2764" s="3" t="s">
        <v>65</v>
      </c>
      <c r="K2764" s="3" t="s">
        <v>66</v>
      </c>
      <c r="L2764" s="2" t="s">
        <v>27417</v>
      </c>
      <c r="M2764" s="2" t="s">
        <v>27431</v>
      </c>
      <c r="N2764" s="3" t="s">
        <v>126</v>
      </c>
      <c r="P2764" s="3" t="s">
        <v>69</v>
      </c>
      <c r="R2764" s="3" t="s">
        <v>71</v>
      </c>
      <c r="S2764" s="4">
        <v>1</v>
      </c>
      <c r="T2764" s="4">
        <v>1</v>
      </c>
      <c r="U2764" s="5" t="s">
        <v>27268</v>
      </c>
      <c r="V2764" s="5" t="s">
        <v>27268</v>
      </c>
      <c r="W2764" s="5" t="s">
        <v>72</v>
      </c>
      <c r="X2764" s="5" t="s">
        <v>72</v>
      </c>
      <c r="Y2764" s="4">
        <v>227</v>
      </c>
      <c r="Z2764" s="4">
        <v>13</v>
      </c>
      <c r="AA2764" s="4">
        <v>14</v>
      </c>
      <c r="AB2764" s="4">
        <v>1</v>
      </c>
      <c r="AC2764" s="4">
        <v>2</v>
      </c>
      <c r="AD2764" s="4">
        <v>59</v>
      </c>
      <c r="AE2764" s="4">
        <v>59</v>
      </c>
      <c r="AF2764" s="4">
        <v>0</v>
      </c>
      <c r="AG2764" s="4">
        <v>0</v>
      </c>
      <c r="AH2764" s="4">
        <v>56</v>
      </c>
      <c r="AI2764" s="4">
        <v>56</v>
      </c>
      <c r="AJ2764" s="4">
        <v>8</v>
      </c>
      <c r="AK2764" s="4">
        <v>8</v>
      </c>
      <c r="AL2764" s="4">
        <v>35</v>
      </c>
      <c r="AM2764" s="4">
        <v>35</v>
      </c>
      <c r="AN2764" s="4">
        <v>0</v>
      </c>
      <c r="AO2764" s="4">
        <v>0</v>
      </c>
      <c r="AP2764" s="4">
        <v>8</v>
      </c>
      <c r="AQ2764" s="4">
        <v>8</v>
      </c>
      <c r="AR2764" s="3" t="s">
        <v>65</v>
      </c>
      <c r="AS2764" s="3" t="s">
        <v>65</v>
      </c>
      <c r="AT2764" s="3" t="s">
        <v>65</v>
      </c>
      <c r="AV2764" s="6" t="str">
        <f>HYPERLINK("http://mcgill.on.worldcat.org/oclc/692288183","Catalog Record")</f>
        <v>Catalog Record</v>
      </c>
      <c r="AW2764" s="6" t="str">
        <f>HYPERLINK("http://www.worldcat.org/oclc/692288183","WorldCat Record")</f>
        <v>WorldCat Record</v>
      </c>
      <c r="AX2764" s="3" t="s">
        <v>27432</v>
      </c>
      <c r="AY2764" s="3" t="s">
        <v>27433</v>
      </c>
      <c r="AZ2764" s="3" t="s">
        <v>27434</v>
      </c>
      <c r="BA2764" s="3" t="s">
        <v>27434</v>
      </c>
      <c r="BB2764" s="3" t="s">
        <v>27435</v>
      </c>
      <c r="BC2764" s="3" t="s">
        <v>77</v>
      </c>
      <c r="BD2764" s="3" t="s">
        <v>78</v>
      </c>
      <c r="BE2764" s="3" t="s">
        <v>27436</v>
      </c>
      <c r="BF2764" s="3" t="s">
        <v>27435</v>
      </c>
      <c r="BG2764" s="3" t="s">
        <v>27437</v>
      </c>
    </row>
    <row r="2765" spans="1:59" ht="58" x14ac:dyDescent="0.35">
      <c r="A2765" s="2" t="s">
        <v>59</v>
      </c>
      <c r="B2765" s="2" t="s">
        <v>60</v>
      </c>
      <c r="C2765" s="2" t="s">
        <v>27438</v>
      </c>
      <c r="D2765" s="2" t="s">
        <v>27439</v>
      </c>
      <c r="E2765" s="2" t="s">
        <v>27440</v>
      </c>
      <c r="G2765" s="3" t="s">
        <v>65</v>
      </c>
      <c r="I2765" s="3" t="s">
        <v>65</v>
      </c>
      <c r="J2765" s="3" t="s">
        <v>209</v>
      </c>
      <c r="K2765" s="3" t="s">
        <v>66</v>
      </c>
      <c r="L2765" s="2" t="s">
        <v>27417</v>
      </c>
      <c r="M2765" s="2" t="s">
        <v>27441</v>
      </c>
      <c r="N2765" s="3" t="s">
        <v>1944</v>
      </c>
      <c r="O2765" s="2" t="s">
        <v>526</v>
      </c>
      <c r="P2765" s="3" t="s">
        <v>69</v>
      </c>
      <c r="R2765" s="3" t="s">
        <v>71</v>
      </c>
      <c r="S2765" s="4">
        <v>6</v>
      </c>
      <c r="T2765" s="4">
        <v>6</v>
      </c>
      <c r="U2765" s="5" t="s">
        <v>27442</v>
      </c>
      <c r="V2765" s="5" t="s">
        <v>27442</v>
      </c>
      <c r="W2765" s="5" t="s">
        <v>72</v>
      </c>
      <c r="X2765" s="5" t="s">
        <v>72</v>
      </c>
      <c r="Y2765" s="4">
        <v>236</v>
      </c>
      <c r="Z2765" s="4">
        <v>17</v>
      </c>
      <c r="AA2765" s="4">
        <v>37</v>
      </c>
      <c r="AB2765" s="4">
        <v>2</v>
      </c>
      <c r="AC2765" s="4">
        <v>3</v>
      </c>
      <c r="AD2765" s="4">
        <v>58</v>
      </c>
      <c r="AE2765" s="4">
        <v>118</v>
      </c>
      <c r="AF2765" s="4">
        <v>0</v>
      </c>
      <c r="AG2765" s="4">
        <v>1</v>
      </c>
      <c r="AH2765" s="4">
        <v>55</v>
      </c>
      <c r="AI2765" s="4">
        <v>103</v>
      </c>
      <c r="AJ2765" s="4">
        <v>6</v>
      </c>
      <c r="AK2765" s="4">
        <v>17</v>
      </c>
      <c r="AL2765" s="4">
        <v>34</v>
      </c>
      <c r="AM2765" s="4">
        <v>54</v>
      </c>
      <c r="AN2765" s="4">
        <v>0</v>
      </c>
      <c r="AO2765" s="4">
        <v>0</v>
      </c>
      <c r="AP2765" s="4">
        <v>6</v>
      </c>
      <c r="AQ2765" s="4">
        <v>21</v>
      </c>
      <c r="AR2765" s="3" t="s">
        <v>65</v>
      </c>
      <c r="AS2765" s="3" t="s">
        <v>65</v>
      </c>
      <c r="AT2765" s="3" t="s">
        <v>209</v>
      </c>
      <c r="AU2765" s="6" t="str">
        <f>HYPERLINK("http://catalog.hathitrust.org/Record/004130848","HathiTrust Record")</f>
        <v>HathiTrust Record</v>
      </c>
      <c r="AV2765" s="6" t="str">
        <f>HYPERLINK("http://mcgill.on.worldcat.org/oclc/44270501","Catalog Record")</f>
        <v>Catalog Record</v>
      </c>
      <c r="AW2765" s="6" t="str">
        <f>HYPERLINK("http://www.worldcat.org/oclc/44270501","WorldCat Record")</f>
        <v>WorldCat Record</v>
      </c>
      <c r="AX2765" s="3" t="s">
        <v>27443</v>
      </c>
      <c r="AY2765" s="3" t="s">
        <v>27444</v>
      </c>
      <c r="AZ2765" s="3" t="s">
        <v>27445</v>
      </c>
      <c r="BA2765" s="3" t="s">
        <v>27445</v>
      </c>
      <c r="BB2765" s="3" t="s">
        <v>27446</v>
      </c>
      <c r="BC2765" s="3" t="s">
        <v>77</v>
      </c>
      <c r="BD2765" s="3" t="s">
        <v>106</v>
      </c>
      <c r="BE2765" s="3" t="s">
        <v>27447</v>
      </c>
      <c r="BF2765" s="3" t="s">
        <v>27446</v>
      </c>
      <c r="BG2765" s="3" t="s">
        <v>27448</v>
      </c>
    </row>
    <row r="2766" spans="1:59" ht="58" x14ac:dyDescent="0.35">
      <c r="A2766" s="2" t="s">
        <v>59</v>
      </c>
      <c r="B2766" s="2" t="s">
        <v>60</v>
      </c>
      <c r="C2766" s="2" t="s">
        <v>27449</v>
      </c>
      <c r="D2766" s="2" t="s">
        <v>27450</v>
      </c>
      <c r="E2766" s="2" t="s">
        <v>27451</v>
      </c>
      <c r="G2766" s="3" t="s">
        <v>65</v>
      </c>
      <c r="I2766" s="3" t="s">
        <v>65</v>
      </c>
      <c r="J2766" s="3" t="s">
        <v>65</v>
      </c>
      <c r="K2766" s="3" t="s">
        <v>66</v>
      </c>
      <c r="L2766" s="2" t="s">
        <v>27417</v>
      </c>
      <c r="M2766" s="2" t="s">
        <v>27452</v>
      </c>
      <c r="N2766" s="3" t="s">
        <v>113</v>
      </c>
      <c r="O2766" s="2" t="s">
        <v>27453</v>
      </c>
      <c r="P2766" s="3" t="s">
        <v>140</v>
      </c>
      <c r="Q2766" s="2" t="s">
        <v>27454</v>
      </c>
      <c r="R2766" s="3" t="s">
        <v>71</v>
      </c>
      <c r="S2766" s="4">
        <v>0</v>
      </c>
      <c r="T2766" s="4">
        <v>0</v>
      </c>
      <c r="W2766" s="5" t="s">
        <v>72</v>
      </c>
      <c r="X2766" s="5" t="s">
        <v>72</v>
      </c>
      <c r="Y2766" s="4">
        <v>62</v>
      </c>
      <c r="Z2766" s="4">
        <v>5</v>
      </c>
      <c r="AA2766" s="4">
        <v>5</v>
      </c>
      <c r="AB2766" s="4">
        <v>1</v>
      </c>
      <c r="AC2766" s="4">
        <v>1</v>
      </c>
      <c r="AD2766" s="4">
        <v>44</v>
      </c>
      <c r="AE2766" s="4">
        <v>44</v>
      </c>
      <c r="AF2766" s="4">
        <v>0</v>
      </c>
      <c r="AG2766" s="4">
        <v>0</v>
      </c>
      <c r="AH2766" s="4">
        <v>43</v>
      </c>
      <c r="AI2766" s="4">
        <v>43</v>
      </c>
      <c r="AJ2766" s="4">
        <v>2</v>
      </c>
      <c r="AK2766" s="4">
        <v>2</v>
      </c>
      <c r="AL2766" s="4">
        <v>33</v>
      </c>
      <c r="AM2766" s="4">
        <v>33</v>
      </c>
      <c r="AN2766" s="4">
        <v>5</v>
      </c>
      <c r="AO2766" s="4">
        <v>5</v>
      </c>
      <c r="AP2766" s="4">
        <v>2</v>
      </c>
      <c r="AQ2766" s="4">
        <v>2</v>
      </c>
      <c r="AR2766" s="3" t="s">
        <v>65</v>
      </c>
      <c r="AS2766" s="3" t="s">
        <v>65</v>
      </c>
      <c r="AT2766" s="3" t="s">
        <v>209</v>
      </c>
      <c r="AU2766" s="6" t="str">
        <f>HYPERLINK("http://catalog.hathitrust.org/Record/011228971","HathiTrust Record")</f>
        <v>HathiTrust Record</v>
      </c>
      <c r="AV2766" s="6" t="str">
        <f>HYPERLINK("http://mcgill.on.worldcat.org/oclc/669909238","Catalog Record")</f>
        <v>Catalog Record</v>
      </c>
      <c r="AW2766" s="6" t="str">
        <f>HYPERLINK("http://www.worldcat.org/oclc/669909238","WorldCat Record")</f>
        <v>WorldCat Record</v>
      </c>
      <c r="AX2766" s="3" t="s">
        <v>27455</v>
      </c>
      <c r="AY2766" s="3" t="s">
        <v>27456</v>
      </c>
      <c r="AZ2766" s="3" t="s">
        <v>27457</v>
      </c>
      <c r="BA2766" s="3" t="s">
        <v>27457</v>
      </c>
      <c r="BB2766" s="3" t="s">
        <v>27458</v>
      </c>
      <c r="BC2766" s="3" t="s">
        <v>77</v>
      </c>
      <c r="BD2766" s="3" t="s">
        <v>78</v>
      </c>
      <c r="BE2766" s="3" t="s">
        <v>27459</v>
      </c>
      <c r="BF2766" s="3" t="s">
        <v>27458</v>
      </c>
      <c r="BG2766" s="3" t="s">
        <v>27460</v>
      </c>
    </row>
    <row r="2767" spans="1:59" ht="72.5" x14ac:dyDescent="0.35">
      <c r="A2767" s="2" t="s">
        <v>59</v>
      </c>
      <c r="B2767" s="2" t="s">
        <v>60</v>
      </c>
      <c r="C2767" s="2" t="s">
        <v>27461</v>
      </c>
      <c r="D2767" s="2" t="s">
        <v>27462</v>
      </c>
      <c r="E2767" s="2" t="s">
        <v>27463</v>
      </c>
      <c r="G2767" s="3" t="s">
        <v>65</v>
      </c>
      <c r="I2767" s="3" t="s">
        <v>65</v>
      </c>
      <c r="J2767" s="3" t="s">
        <v>65</v>
      </c>
      <c r="K2767" s="3" t="s">
        <v>66</v>
      </c>
      <c r="L2767" s="2" t="s">
        <v>27464</v>
      </c>
      <c r="M2767" s="2" t="s">
        <v>27465</v>
      </c>
      <c r="N2767" s="3" t="s">
        <v>176</v>
      </c>
      <c r="O2767" s="2" t="s">
        <v>27466</v>
      </c>
      <c r="P2767" s="3" t="s">
        <v>140</v>
      </c>
      <c r="Q2767" s="2" t="s">
        <v>27467</v>
      </c>
      <c r="R2767" s="3" t="s">
        <v>71</v>
      </c>
      <c r="S2767" s="4">
        <v>0</v>
      </c>
      <c r="T2767" s="4">
        <v>0</v>
      </c>
      <c r="W2767" s="5" t="s">
        <v>72</v>
      </c>
      <c r="X2767" s="5" t="s">
        <v>72</v>
      </c>
      <c r="Y2767" s="4">
        <v>43</v>
      </c>
      <c r="Z2767" s="4">
        <v>5</v>
      </c>
      <c r="AA2767" s="4">
        <v>5</v>
      </c>
      <c r="AB2767" s="4">
        <v>1</v>
      </c>
      <c r="AC2767" s="4">
        <v>1</v>
      </c>
      <c r="AD2767" s="4">
        <v>32</v>
      </c>
      <c r="AE2767" s="4">
        <v>33</v>
      </c>
      <c r="AF2767" s="4">
        <v>0</v>
      </c>
      <c r="AG2767" s="4">
        <v>0</v>
      </c>
      <c r="AH2767" s="4">
        <v>31</v>
      </c>
      <c r="AI2767" s="4">
        <v>32</v>
      </c>
      <c r="AJ2767" s="4">
        <v>2</v>
      </c>
      <c r="AK2767" s="4">
        <v>2</v>
      </c>
      <c r="AL2767" s="4">
        <v>24</v>
      </c>
      <c r="AM2767" s="4">
        <v>25</v>
      </c>
      <c r="AN2767" s="4">
        <v>0</v>
      </c>
      <c r="AO2767" s="4">
        <v>0</v>
      </c>
      <c r="AP2767" s="4">
        <v>2</v>
      </c>
      <c r="AQ2767" s="4">
        <v>2</v>
      </c>
      <c r="AR2767" s="3" t="s">
        <v>65</v>
      </c>
      <c r="AS2767" s="3" t="s">
        <v>65</v>
      </c>
      <c r="AT2767" s="3" t="s">
        <v>65</v>
      </c>
      <c r="AV2767" s="6" t="str">
        <f>HYPERLINK("http://mcgill.on.worldcat.org/oclc/932174972","Catalog Record")</f>
        <v>Catalog Record</v>
      </c>
      <c r="AW2767" s="6" t="str">
        <f>HYPERLINK("http://www.worldcat.org/oclc/932174972","WorldCat Record")</f>
        <v>WorldCat Record</v>
      </c>
      <c r="AX2767" s="3" t="s">
        <v>27468</v>
      </c>
      <c r="AY2767" s="3" t="s">
        <v>27469</v>
      </c>
      <c r="AZ2767" s="3" t="s">
        <v>27470</v>
      </c>
      <c r="BA2767" s="3" t="s">
        <v>27470</v>
      </c>
      <c r="BB2767" s="3" t="s">
        <v>27471</v>
      </c>
      <c r="BC2767" s="3" t="s">
        <v>77</v>
      </c>
      <c r="BD2767" s="3" t="s">
        <v>78</v>
      </c>
      <c r="BE2767" s="3" t="s">
        <v>27472</v>
      </c>
      <c r="BF2767" s="3" t="s">
        <v>27471</v>
      </c>
      <c r="BG2767" s="3" t="s">
        <v>27473</v>
      </c>
    </row>
    <row r="2768" spans="1:59" ht="72.5" x14ac:dyDescent="0.35">
      <c r="A2768" s="2" t="s">
        <v>59</v>
      </c>
      <c r="B2768" s="2" t="s">
        <v>60</v>
      </c>
      <c r="C2768" s="2" t="s">
        <v>27474</v>
      </c>
      <c r="D2768" s="2" t="s">
        <v>27475</v>
      </c>
      <c r="E2768" s="2" t="s">
        <v>27476</v>
      </c>
      <c r="G2768" s="3" t="s">
        <v>65</v>
      </c>
      <c r="I2768" s="3" t="s">
        <v>65</v>
      </c>
      <c r="J2768" s="3" t="s">
        <v>65</v>
      </c>
      <c r="K2768" s="3" t="s">
        <v>66</v>
      </c>
      <c r="L2768" s="2" t="s">
        <v>27477</v>
      </c>
      <c r="M2768" s="2" t="s">
        <v>27478</v>
      </c>
      <c r="N2768" s="3" t="s">
        <v>113</v>
      </c>
      <c r="P2768" s="3" t="s">
        <v>616</v>
      </c>
      <c r="Q2768" s="2" t="s">
        <v>27479</v>
      </c>
      <c r="R2768" s="3" t="s">
        <v>71</v>
      </c>
      <c r="S2768" s="4">
        <v>0</v>
      </c>
      <c r="T2768" s="4">
        <v>0</v>
      </c>
      <c r="W2768" s="5" t="s">
        <v>72</v>
      </c>
      <c r="X2768" s="5" t="s">
        <v>72</v>
      </c>
      <c r="Y2768" s="4">
        <v>60</v>
      </c>
      <c r="Z2768" s="4">
        <v>5</v>
      </c>
      <c r="AA2768" s="4">
        <v>9</v>
      </c>
      <c r="AB2768" s="4">
        <v>1</v>
      </c>
      <c r="AC2768" s="4">
        <v>5</v>
      </c>
      <c r="AD2768" s="4">
        <v>32</v>
      </c>
      <c r="AE2768" s="4">
        <v>35</v>
      </c>
      <c r="AF2768" s="4">
        <v>0</v>
      </c>
      <c r="AG2768" s="4">
        <v>3</v>
      </c>
      <c r="AH2768" s="4">
        <v>30</v>
      </c>
      <c r="AI2768" s="4">
        <v>31</v>
      </c>
      <c r="AJ2768" s="4">
        <v>2</v>
      </c>
      <c r="AK2768" s="4">
        <v>5</v>
      </c>
      <c r="AL2768" s="4">
        <v>23</v>
      </c>
      <c r="AM2768" s="4">
        <v>23</v>
      </c>
      <c r="AN2768" s="4">
        <v>0</v>
      </c>
      <c r="AO2768" s="4">
        <v>0</v>
      </c>
      <c r="AP2768" s="4">
        <v>3</v>
      </c>
      <c r="AQ2768" s="4">
        <v>5</v>
      </c>
      <c r="AR2768" s="3" t="s">
        <v>65</v>
      </c>
      <c r="AS2768" s="3" t="s">
        <v>65</v>
      </c>
      <c r="AT2768" s="3" t="s">
        <v>65</v>
      </c>
      <c r="AV2768" s="6" t="str">
        <f>HYPERLINK("http://mcgill.on.worldcat.org/oclc/503242733","Catalog Record")</f>
        <v>Catalog Record</v>
      </c>
      <c r="AW2768" s="6" t="str">
        <f>HYPERLINK("http://www.worldcat.org/oclc/503242733","WorldCat Record")</f>
        <v>WorldCat Record</v>
      </c>
      <c r="AX2768" s="3" t="s">
        <v>27480</v>
      </c>
      <c r="AY2768" s="3" t="s">
        <v>27481</v>
      </c>
      <c r="AZ2768" s="3" t="s">
        <v>27482</v>
      </c>
      <c r="BA2768" s="3" t="s">
        <v>27482</v>
      </c>
      <c r="BB2768" s="3" t="s">
        <v>27483</v>
      </c>
      <c r="BC2768" s="3" t="s">
        <v>77</v>
      </c>
      <c r="BD2768" s="3" t="s">
        <v>78</v>
      </c>
      <c r="BE2768" s="3" t="s">
        <v>27484</v>
      </c>
      <c r="BF2768" s="3" t="s">
        <v>27483</v>
      </c>
      <c r="BG2768" s="3" t="s">
        <v>27485</v>
      </c>
    </row>
    <row r="2769" spans="1:59" ht="58" x14ac:dyDescent="0.35">
      <c r="A2769" s="2" t="s">
        <v>59</v>
      </c>
      <c r="B2769" s="2" t="s">
        <v>60</v>
      </c>
      <c r="C2769" s="2" t="s">
        <v>27486</v>
      </c>
      <c r="D2769" s="2" t="s">
        <v>27487</v>
      </c>
      <c r="E2769" s="2" t="s">
        <v>27488</v>
      </c>
      <c r="G2769" s="3" t="s">
        <v>65</v>
      </c>
      <c r="I2769" s="3" t="s">
        <v>65</v>
      </c>
      <c r="J2769" s="3" t="s">
        <v>65</v>
      </c>
      <c r="K2769" s="3" t="s">
        <v>66</v>
      </c>
      <c r="L2769" s="2" t="s">
        <v>27489</v>
      </c>
      <c r="M2769" s="2" t="s">
        <v>27490</v>
      </c>
      <c r="N2769" s="3" t="s">
        <v>164</v>
      </c>
      <c r="P2769" s="3" t="s">
        <v>140</v>
      </c>
      <c r="Q2769" s="2" t="s">
        <v>27491</v>
      </c>
      <c r="R2769" s="3" t="s">
        <v>71</v>
      </c>
      <c r="S2769" s="4">
        <v>0</v>
      </c>
      <c r="T2769" s="4">
        <v>0</v>
      </c>
      <c r="W2769" s="5" t="s">
        <v>72</v>
      </c>
      <c r="X2769" s="5" t="s">
        <v>72</v>
      </c>
      <c r="Y2769" s="4">
        <v>53</v>
      </c>
      <c r="Z2769" s="4">
        <v>5</v>
      </c>
      <c r="AA2769" s="4">
        <v>5</v>
      </c>
      <c r="AB2769" s="4">
        <v>1</v>
      </c>
      <c r="AC2769" s="4">
        <v>1</v>
      </c>
      <c r="AD2769" s="4">
        <v>39</v>
      </c>
      <c r="AE2769" s="4">
        <v>39</v>
      </c>
      <c r="AF2769" s="4">
        <v>0</v>
      </c>
      <c r="AG2769" s="4">
        <v>0</v>
      </c>
      <c r="AH2769" s="4">
        <v>38</v>
      </c>
      <c r="AI2769" s="4">
        <v>38</v>
      </c>
      <c r="AJ2769" s="4">
        <v>2</v>
      </c>
      <c r="AK2769" s="4">
        <v>2</v>
      </c>
      <c r="AL2769" s="4">
        <v>30</v>
      </c>
      <c r="AM2769" s="4">
        <v>30</v>
      </c>
      <c r="AN2769" s="4">
        <v>0</v>
      </c>
      <c r="AO2769" s="4">
        <v>0</v>
      </c>
      <c r="AP2769" s="4">
        <v>2</v>
      </c>
      <c r="AQ2769" s="4">
        <v>2</v>
      </c>
      <c r="AR2769" s="3" t="s">
        <v>65</v>
      </c>
      <c r="AS2769" s="3" t="s">
        <v>65</v>
      </c>
      <c r="AT2769" s="3" t="s">
        <v>65</v>
      </c>
      <c r="AV2769" s="6" t="str">
        <f>HYPERLINK("http://mcgill.on.worldcat.org/oclc/881381612","Catalog Record")</f>
        <v>Catalog Record</v>
      </c>
      <c r="AW2769" s="6" t="str">
        <f>HYPERLINK("http://www.worldcat.org/oclc/881381612","WorldCat Record")</f>
        <v>WorldCat Record</v>
      </c>
      <c r="AX2769" s="3" t="s">
        <v>27492</v>
      </c>
      <c r="AY2769" s="3" t="s">
        <v>27493</v>
      </c>
      <c r="AZ2769" s="3" t="s">
        <v>27494</v>
      </c>
      <c r="BA2769" s="3" t="s">
        <v>27494</v>
      </c>
      <c r="BB2769" s="3" t="s">
        <v>27495</v>
      </c>
      <c r="BC2769" s="3" t="s">
        <v>77</v>
      </c>
      <c r="BD2769" s="3" t="s">
        <v>78</v>
      </c>
      <c r="BE2769" s="3" t="s">
        <v>27496</v>
      </c>
      <c r="BF2769" s="3" t="s">
        <v>27495</v>
      </c>
      <c r="BG2769" s="3" t="s">
        <v>27497</v>
      </c>
    </row>
    <row r="2770" spans="1:59" ht="58" x14ac:dyDescent="0.35">
      <c r="A2770" s="2" t="s">
        <v>59</v>
      </c>
      <c r="B2770" s="2" t="s">
        <v>60</v>
      </c>
      <c r="C2770" s="2" t="s">
        <v>27498</v>
      </c>
      <c r="D2770" s="2" t="s">
        <v>27499</v>
      </c>
      <c r="E2770" s="2" t="s">
        <v>27500</v>
      </c>
      <c r="G2770" s="3" t="s">
        <v>65</v>
      </c>
      <c r="I2770" s="3" t="s">
        <v>65</v>
      </c>
      <c r="J2770" s="3" t="s">
        <v>65</v>
      </c>
      <c r="K2770" s="3" t="s">
        <v>66</v>
      </c>
      <c r="L2770" s="2" t="s">
        <v>27501</v>
      </c>
      <c r="M2770" s="2" t="s">
        <v>27502</v>
      </c>
      <c r="N2770" s="3" t="s">
        <v>942</v>
      </c>
      <c r="P2770" s="3" t="s">
        <v>140</v>
      </c>
      <c r="Q2770" s="2" t="s">
        <v>21346</v>
      </c>
      <c r="R2770" s="3" t="s">
        <v>71</v>
      </c>
      <c r="S2770" s="4">
        <v>2</v>
      </c>
      <c r="T2770" s="4">
        <v>2</v>
      </c>
      <c r="U2770" s="5" t="s">
        <v>27503</v>
      </c>
      <c r="V2770" s="5" t="s">
        <v>27503</v>
      </c>
      <c r="W2770" s="5" t="s">
        <v>72</v>
      </c>
      <c r="X2770" s="5" t="s">
        <v>72</v>
      </c>
      <c r="Y2770" s="4">
        <v>52</v>
      </c>
      <c r="Z2770" s="4">
        <v>2</v>
      </c>
      <c r="AA2770" s="4">
        <v>8</v>
      </c>
      <c r="AB2770" s="4">
        <v>1</v>
      </c>
      <c r="AC2770" s="4">
        <v>1</v>
      </c>
      <c r="AD2770" s="4">
        <v>26</v>
      </c>
      <c r="AE2770" s="4">
        <v>46</v>
      </c>
      <c r="AF2770" s="4">
        <v>0</v>
      </c>
      <c r="AG2770" s="4">
        <v>0</v>
      </c>
      <c r="AH2770" s="4">
        <v>24</v>
      </c>
      <c r="AI2770" s="4">
        <v>43</v>
      </c>
      <c r="AJ2770" s="4">
        <v>1</v>
      </c>
      <c r="AK2770" s="4">
        <v>5</v>
      </c>
      <c r="AL2770" s="4">
        <v>20</v>
      </c>
      <c r="AM2770" s="4">
        <v>29</v>
      </c>
      <c r="AN2770" s="4">
        <v>0</v>
      </c>
      <c r="AO2770" s="4">
        <v>0</v>
      </c>
      <c r="AP2770" s="4">
        <v>1</v>
      </c>
      <c r="AQ2770" s="4">
        <v>5</v>
      </c>
      <c r="AR2770" s="3" t="s">
        <v>65</v>
      </c>
      <c r="AS2770" s="3" t="s">
        <v>65</v>
      </c>
      <c r="AT2770" s="3" t="s">
        <v>209</v>
      </c>
      <c r="AU2770" s="6" t="str">
        <f>HYPERLINK("http://catalog.hathitrust.org/Record/006712113","HathiTrust Record")</f>
        <v>HathiTrust Record</v>
      </c>
      <c r="AV2770" s="6" t="str">
        <f>HYPERLINK("http://mcgill.on.worldcat.org/oclc/7854567","Catalog Record")</f>
        <v>Catalog Record</v>
      </c>
      <c r="AW2770" s="6" t="str">
        <f>HYPERLINK("http://www.worldcat.org/oclc/7854567","WorldCat Record")</f>
        <v>WorldCat Record</v>
      </c>
      <c r="AX2770" s="3" t="s">
        <v>27504</v>
      </c>
      <c r="AY2770" s="3" t="s">
        <v>27505</v>
      </c>
      <c r="AZ2770" s="3" t="s">
        <v>27506</v>
      </c>
      <c r="BA2770" s="3" t="s">
        <v>27506</v>
      </c>
      <c r="BB2770" s="3" t="s">
        <v>27507</v>
      </c>
      <c r="BC2770" s="3" t="s">
        <v>77</v>
      </c>
      <c r="BD2770" s="3" t="s">
        <v>78</v>
      </c>
      <c r="BF2770" s="3" t="s">
        <v>27507</v>
      </c>
      <c r="BG2770" s="3" t="s">
        <v>27508</v>
      </c>
    </row>
    <row r="2771" spans="1:59" ht="58" x14ac:dyDescent="0.35">
      <c r="A2771" s="2" t="s">
        <v>59</v>
      </c>
      <c r="B2771" s="2" t="s">
        <v>60</v>
      </c>
      <c r="C2771" s="2" t="s">
        <v>27509</v>
      </c>
      <c r="D2771" s="2" t="s">
        <v>27510</v>
      </c>
      <c r="E2771" s="2" t="s">
        <v>27511</v>
      </c>
      <c r="G2771" s="3" t="s">
        <v>65</v>
      </c>
      <c r="I2771" s="3" t="s">
        <v>65</v>
      </c>
      <c r="J2771" s="3" t="s">
        <v>65</v>
      </c>
      <c r="K2771" s="3" t="s">
        <v>66</v>
      </c>
      <c r="L2771" s="2" t="s">
        <v>27512</v>
      </c>
      <c r="M2771" s="2" t="s">
        <v>27513</v>
      </c>
      <c r="N2771" s="3" t="s">
        <v>2750</v>
      </c>
      <c r="P2771" s="3" t="s">
        <v>140</v>
      </c>
      <c r="Q2771" s="2" t="s">
        <v>27514</v>
      </c>
      <c r="R2771" s="3" t="s">
        <v>71</v>
      </c>
      <c r="S2771" s="4">
        <v>1</v>
      </c>
      <c r="T2771" s="4">
        <v>1</v>
      </c>
      <c r="U2771" s="5" t="s">
        <v>3450</v>
      </c>
      <c r="V2771" s="5" t="s">
        <v>3450</v>
      </c>
      <c r="W2771" s="5" t="s">
        <v>72</v>
      </c>
      <c r="X2771" s="5" t="s">
        <v>72</v>
      </c>
      <c r="Y2771" s="4">
        <v>51</v>
      </c>
      <c r="Z2771" s="4">
        <v>7</v>
      </c>
      <c r="AA2771" s="4">
        <v>7</v>
      </c>
      <c r="AB2771" s="4">
        <v>1</v>
      </c>
      <c r="AC2771" s="4">
        <v>1</v>
      </c>
      <c r="AD2771" s="4">
        <v>39</v>
      </c>
      <c r="AE2771" s="4">
        <v>39</v>
      </c>
      <c r="AF2771" s="4">
        <v>0</v>
      </c>
      <c r="AG2771" s="4">
        <v>0</v>
      </c>
      <c r="AH2771" s="4">
        <v>38</v>
      </c>
      <c r="AI2771" s="4">
        <v>38</v>
      </c>
      <c r="AJ2771" s="4">
        <v>5</v>
      </c>
      <c r="AK2771" s="4">
        <v>5</v>
      </c>
      <c r="AL2771" s="4">
        <v>26</v>
      </c>
      <c r="AM2771" s="4">
        <v>26</v>
      </c>
      <c r="AN2771" s="4">
        <v>0</v>
      </c>
      <c r="AO2771" s="4">
        <v>0</v>
      </c>
      <c r="AP2771" s="4">
        <v>5</v>
      </c>
      <c r="AQ2771" s="4">
        <v>5</v>
      </c>
      <c r="AR2771" s="3" t="s">
        <v>65</v>
      </c>
      <c r="AS2771" s="3" t="s">
        <v>65</v>
      </c>
      <c r="AT2771" s="3" t="s">
        <v>209</v>
      </c>
      <c r="AU2771" s="6" t="str">
        <f>HYPERLINK("http://catalog.hathitrust.org/Record/000684274","HathiTrust Record")</f>
        <v>HathiTrust Record</v>
      </c>
      <c r="AV2771" s="6" t="str">
        <f>HYPERLINK("http://mcgill.on.worldcat.org/oclc/2096286","Catalog Record")</f>
        <v>Catalog Record</v>
      </c>
      <c r="AW2771" s="6" t="str">
        <f>HYPERLINK("http://www.worldcat.org/oclc/2096286","WorldCat Record")</f>
        <v>WorldCat Record</v>
      </c>
      <c r="AX2771" s="3" t="s">
        <v>27515</v>
      </c>
      <c r="AY2771" s="3" t="s">
        <v>27516</v>
      </c>
      <c r="AZ2771" s="3" t="s">
        <v>27517</v>
      </c>
      <c r="BA2771" s="3" t="s">
        <v>27517</v>
      </c>
      <c r="BB2771" s="3" t="s">
        <v>27518</v>
      </c>
      <c r="BC2771" s="3" t="s">
        <v>77</v>
      </c>
      <c r="BD2771" s="3" t="s">
        <v>78</v>
      </c>
      <c r="BF2771" s="3" t="s">
        <v>27518</v>
      </c>
      <c r="BG2771" s="3" t="s">
        <v>27519</v>
      </c>
    </row>
    <row r="2772" spans="1:59" ht="58" x14ac:dyDescent="0.35">
      <c r="A2772" s="2" t="s">
        <v>59</v>
      </c>
      <c r="B2772" s="2" t="s">
        <v>60</v>
      </c>
      <c r="C2772" s="2" t="s">
        <v>27520</v>
      </c>
      <c r="D2772" s="2" t="s">
        <v>27521</v>
      </c>
      <c r="E2772" s="2" t="s">
        <v>27522</v>
      </c>
      <c r="G2772" s="3" t="s">
        <v>65</v>
      </c>
      <c r="I2772" s="3" t="s">
        <v>65</v>
      </c>
      <c r="J2772" s="3" t="s">
        <v>65</v>
      </c>
      <c r="K2772" s="3" t="s">
        <v>66</v>
      </c>
      <c r="L2772" s="2" t="s">
        <v>27523</v>
      </c>
      <c r="M2772" s="2" t="s">
        <v>27524</v>
      </c>
      <c r="N2772" s="3" t="s">
        <v>2750</v>
      </c>
      <c r="P2772" s="3" t="s">
        <v>140</v>
      </c>
      <c r="Q2772" s="2" t="s">
        <v>27525</v>
      </c>
      <c r="R2772" s="3" t="s">
        <v>71</v>
      </c>
      <c r="S2772" s="4">
        <v>1</v>
      </c>
      <c r="T2772" s="4">
        <v>1</v>
      </c>
      <c r="U2772" s="5" t="s">
        <v>27526</v>
      </c>
      <c r="V2772" s="5" t="s">
        <v>27526</v>
      </c>
      <c r="W2772" s="5" t="s">
        <v>72</v>
      </c>
      <c r="X2772" s="5" t="s">
        <v>72</v>
      </c>
      <c r="Y2772" s="4">
        <v>50</v>
      </c>
      <c r="Z2772" s="4">
        <v>8</v>
      </c>
      <c r="AA2772" s="4">
        <v>8</v>
      </c>
      <c r="AB2772" s="4">
        <v>1</v>
      </c>
      <c r="AC2772" s="4">
        <v>1</v>
      </c>
      <c r="AD2772" s="4">
        <v>18</v>
      </c>
      <c r="AE2772" s="4">
        <v>26</v>
      </c>
      <c r="AF2772" s="4">
        <v>0</v>
      </c>
      <c r="AG2772" s="4">
        <v>0</v>
      </c>
      <c r="AH2772" s="4">
        <v>17</v>
      </c>
      <c r="AI2772" s="4">
        <v>23</v>
      </c>
      <c r="AJ2772" s="4">
        <v>3</v>
      </c>
      <c r="AK2772" s="4">
        <v>3</v>
      </c>
      <c r="AL2772" s="4">
        <v>12</v>
      </c>
      <c r="AM2772" s="4">
        <v>19</v>
      </c>
      <c r="AN2772" s="4">
        <v>2</v>
      </c>
      <c r="AO2772" s="4">
        <v>2</v>
      </c>
      <c r="AP2772" s="4">
        <v>3</v>
      </c>
      <c r="AQ2772" s="4">
        <v>3</v>
      </c>
      <c r="AR2772" s="3" t="s">
        <v>65</v>
      </c>
      <c r="AS2772" s="3" t="s">
        <v>65</v>
      </c>
      <c r="AT2772" s="3" t="s">
        <v>209</v>
      </c>
      <c r="AU2772" s="6" t="str">
        <f>HYPERLINK("http://catalog.hathitrust.org/Record/006712114","HathiTrust Record")</f>
        <v>HathiTrust Record</v>
      </c>
      <c r="AV2772" s="6" t="str">
        <f>HYPERLINK("http://mcgill.on.worldcat.org/oclc/10441072","Catalog Record")</f>
        <v>Catalog Record</v>
      </c>
      <c r="AW2772" s="6" t="str">
        <f>HYPERLINK("http://www.worldcat.org/oclc/10441072","WorldCat Record")</f>
        <v>WorldCat Record</v>
      </c>
      <c r="AX2772" s="3" t="s">
        <v>27527</v>
      </c>
      <c r="AY2772" s="3" t="s">
        <v>27528</v>
      </c>
      <c r="AZ2772" s="3" t="s">
        <v>27529</v>
      </c>
      <c r="BA2772" s="3" t="s">
        <v>27529</v>
      </c>
      <c r="BB2772" s="3" t="s">
        <v>27530</v>
      </c>
      <c r="BC2772" s="3" t="s">
        <v>77</v>
      </c>
      <c r="BD2772" s="3" t="s">
        <v>78</v>
      </c>
      <c r="BF2772" s="3" t="s">
        <v>27530</v>
      </c>
      <c r="BG2772" s="3" t="s">
        <v>27531</v>
      </c>
    </row>
    <row r="2773" spans="1:59" ht="72.5" x14ac:dyDescent="0.35">
      <c r="A2773" s="2" t="s">
        <v>59</v>
      </c>
      <c r="B2773" s="2" t="s">
        <v>60</v>
      </c>
      <c r="C2773" s="2" t="s">
        <v>27532</v>
      </c>
      <c r="D2773" s="2" t="s">
        <v>27533</v>
      </c>
      <c r="E2773" s="2" t="s">
        <v>27534</v>
      </c>
      <c r="G2773" s="3" t="s">
        <v>65</v>
      </c>
      <c r="I2773" s="3" t="s">
        <v>65</v>
      </c>
      <c r="J2773" s="3" t="s">
        <v>65</v>
      </c>
      <c r="K2773" s="3" t="s">
        <v>66</v>
      </c>
      <c r="L2773" s="2" t="s">
        <v>27535</v>
      </c>
      <c r="M2773" s="2" t="s">
        <v>7139</v>
      </c>
      <c r="N2773" s="3" t="s">
        <v>126</v>
      </c>
      <c r="P2773" s="3" t="s">
        <v>140</v>
      </c>
      <c r="Q2773" s="2" t="s">
        <v>27536</v>
      </c>
      <c r="R2773" s="3" t="s">
        <v>71</v>
      </c>
      <c r="S2773" s="4">
        <v>0</v>
      </c>
      <c r="T2773" s="4">
        <v>0</v>
      </c>
      <c r="W2773" s="5" t="s">
        <v>72</v>
      </c>
      <c r="X2773" s="5" t="s">
        <v>72</v>
      </c>
      <c r="Y2773" s="4">
        <v>40</v>
      </c>
      <c r="Z2773" s="4">
        <v>4</v>
      </c>
      <c r="AA2773" s="4">
        <v>4</v>
      </c>
      <c r="AB2773" s="4">
        <v>1</v>
      </c>
      <c r="AC2773" s="4">
        <v>1</v>
      </c>
      <c r="AD2773" s="4">
        <v>28</v>
      </c>
      <c r="AE2773" s="4">
        <v>28</v>
      </c>
      <c r="AF2773" s="4">
        <v>0</v>
      </c>
      <c r="AG2773" s="4">
        <v>0</v>
      </c>
      <c r="AH2773" s="4">
        <v>27</v>
      </c>
      <c r="AI2773" s="4">
        <v>27</v>
      </c>
      <c r="AJ2773" s="4">
        <v>2</v>
      </c>
      <c r="AK2773" s="4">
        <v>2</v>
      </c>
      <c r="AL2773" s="4">
        <v>21</v>
      </c>
      <c r="AM2773" s="4">
        <v>21</v>
      </c>
      <c r="AN2773" s="4">
        <v>0</v>
      </c>
      <c r="AO2773" s="4">
        <v>0</v>
      </c>
      <c r="AP2773" s="4">
        <v>2</v>
      </c>
      <c r="AQ2773" s="4">
        <v>2</v>
      </c>
      <c r="AR2773" s="3" t="s">
        <v>65</v>
      </c>
      <c r="AS2773" s="3" t="s">
        <v>65</v>
      </c>
      <c r="AT2773" s="3" t="s">
        <v>65</v>
      </c>
      <c r="AV2773" s="6" t="str">
        <f>HYPERLINK("http://mcgill.on.worldcat.org/oclc/741557569","Catalog Record")</f>
        <v>Catalog Record</v>
      </c>
      <c r="AW2773" s="6" t="str">
        <f>HYPERLINK("http://www.worldcat.org/oclc/741557569","WorldCat Record")</f>
        <v>WorldCat Record</v>
      </c>
      <c r="AX2773" s="3" t="s">
        <v>27537</v>
      </c>
      <c r="AY2773" s="3" t="s">
        <v>27538</v>
      </c>
      <c r="AZ2773" s="3" t="s">
        <v>27539</v>
      </c>
      <c r="BA2773" s="3" t="s">
        <v>27539</v>
      </c>
      <c r="BB2773" s="3" t="s">
        <v>27540</v>
      </c>
      <c r="BC2773" s="3" t="s">
        <v>77</v>
      </c>
      <c r="BD2773" s="3" t="s">
        <v>78</v>
      </c>
      <c r="BE2773" s="3" t="s">
        <v>27541</v>
      </c>
      <c r="BF2773" s="3" t="s">
        <v>27540</v>
      </c>
      <c r="BG2773" s="3" t="s">
        <v>27542</v>
      </c>
    </row>
    <row r="2774" spans="1:59" ht="72.5" x14ac:dyDescent="0.35">
      <c r="A2774" s="2" t="s">
        <v>59</v>
      </c>
      <c r="B2774" s="2" t="s">
        <v>60</v>
      </c>
      <c r="C2774" s="2" t="s">
        <v>27543</v>
      </c>
      <c r="D2774" s="2" t="s">
        <v>27544</v>
      </c>
      <c r="E2774" s="2" t="s">
        <v>27545</v>
      </c>
      <c r="G2774" s="3" t="s">
        <v>65</v>
      </c>
      <c r="I2774" s="3" t="s">
        <v>65</v>
      </c>
      <c r="J2774" s="3" t="s">
        <v>65</v>
      </c>
      <c r="K2774" s="3" t="s">
        <v>66</v>
      </c>
      <c r="L2774" s="2" t="s">
        <v>27546</v>
      </c>
      <c r="M2774" s="2" t="s">
        <v>27547</v>
      </c>
      <c r="N2774" s="3" t="s">
        <v>126</v>
      </c>
      <c r="P2774" s="3" t="s">
        <v>140</v>
      </c>
      <c r="Q2774" s="2" t="s">
        <v>27548</v>
      </c>
      <c r="R2774" s="3" t="s">
        <v>71</v>
      </c>
      <c r="S2774" s="4">
        <v>0</v>
      </c>
      <c r="T2774" s="4">
        <v>0</v>
      </c>
      <c r="W2774" s="5" t="s">
        <v>72</v>
      </c>
      <c r="X2774" s="5" t="s">
        <v>72</v>
      </c>
      <c r="Y2774" s="4">
        <v>33</v>
      </c>
      <c r="Z2774" s="4">
        <v>4</v>
      </c>
      <c r="AA2774" s="4">
        <v>4</v>
      </c>
      <c r="AB2774" s="4">
        <v>1</v>
      </c>
      <c r="AC2774" s="4">
        <v>1</v>
      </c>
      <c r="AD2774" s="4">
        <v>24</v>
      </c>
      <c r="AE2774" s="4">
        <v>24</v>
      </c>
      <c r="AF2774" s="4">
        <v>0</v>
      </c>
      <c r="AG2774" s="4">
        <v>0</v>
      </c>
      <c r="AH2774" s="4">
        <v>23</v>
      </c>
      <c r="AI2774" s="4">
        <v>23</v>
      </c>
      <c r="AJ2774" s="4">
        <v>2</v>
      </c>
      <c r="AK2774" s="4">
        <v>2</v>
      </c>
      <c r="AL2774" s="4">
        <v>16</v>
      </c>
      <c r="AM2774" s="4">
        <v>16</v>
      </c>
      <c r="AN2774" s="4">
        <v>0</v>
      </c>
      <c r="AO2774" s="4">
        <v>0</v>
      </c>
      <c r="AP2774" s="4">
        <v>2</v>
      </c>
      <c r="AQ2774" s="4">
        <v>2</v>
      </c>
      <c r="AR2774" s="3" t="s">
        <v>65</v>
      </c>
      <c r="AS2774" s="3" t="s">
        <v>65</v>
      </c>
      <c r="AT2774" s="3" t="s">
        <v>65</v>
      </c>
      <c r="AV2774" s="6" t="str">
        <f>HYPERLINK("http://mcgill.on.worldcat.org/oclc/760053940","Catalog Record")</f>
        <v>Catalog Record</v>
      </c>
      <c r="AW2774" s="6" t="str">
        <f>HYPERLINK("http://www.worldcat.org/oclc/760053940","WorldCat Record")</f>
        <v>WorldCat Record</v>
      </c>
      <c r="AX2774" s="3" t="s">
        <v>27549</v>
      </c>
      <c r="AY2774" s="3" t="s">
        <v>27550</v>
      </c>
      <c r="AZ2774" s="3" t="s">
        <v>27551</v>
      </c>
      <c r="BA2774" s="3" t="s">
        <v>27551</v>
      </c>
      <c r="BB2774" s="3" t="s">
        <v>27552</v>
      </c>
      <c r="BC2774" s="3" t="s">
        <v>77</v>
      </c>
      <c r="BD2774" s="3" t="s">
        <v>78</v>
      </c>
      <c r="BE2774" s="3" t="s">
        <v>27553</v>
      </c>
      <c r="BF2774" s="3" t="s">
        <v>27552</v>
      </c>
      <c r="BG2774" s="3" t="s">
        <v>27554</v>
      </c>
    </row>
    <row r="2775" spans="1:59" ht="58" x14ac:dyDescent="0.35">
      <c r="A2775" s="2" t="s">
        <v>59</v>
      </c>
      <c r="B2775" s="2" t="s">
        <v>60</v>
      </c>
      <c r="C2775" s="2" t="s">
        <v>27555</v>
      </c>
      <c r="D2775" s="2" t="s">
        <v>27556</v>
      </c>
      <c r="E2775" s="2" t="s">
        <v>27557</v>
      </c>
      <c r="G2775" s="3" t="s">
        <v>65</v>
      </c>
      <c r="I2775" s="3" t="s">
        <v>65</v>
      </c>
      <c r="J2775" s="3" t="s">
        <v>65</v>
      </c>
      <c r="K2775" s="3" t="s">
        <v>66</v>
      </c>
      <c r="L2775" s="2" t="s">
        <v>27558</v>
      </c>
      <c r="M2775" s="2" t="s">
        <v>17351</v>
      </c>
      <c r="N2775" s="3" t="s">
        <v>126</v>
      </c>
      <c r="P2775" s="3" t="s">
        <v>69</v>
      </c>
      <c r="R2775" s="3" t="s">
        <v>71</v>
      </c>
      <c r="S2775" s="4">
        <v>0</v>
      </c>
      <c r="T2775" s="4">
        <v>0</v>
      </c>
      <c r="W2775" s="5" t="s">
        <v>72</v>
      </c>
      <c r="X2775" s="5" t="s">
        <v>72</v>
      </c>
      <c r="Y2775" s="4">
        <v>60</v>
      </c>
      <c r="Z2775" s="4">
        <v>5</v>
      </c>
      <c r="AA2775" s="4">
        <v>7</v>
      </c>
      <c r="AB2775" s="4">
        <v>1</v>
      </c>
      <c r="AC2775" s="4">
        <v>1</v>
      </c>
      <c r="AD2775" s="4">
        <v>38</v>
      </c>
      <c r="AE2775" s="4">
        <v>39</v>
      </c>
      <c r="AF2775" s="4">
        <v>0</v>
      </c>
      <c r="AG2775" s="4">
        <v>0</v>
      </c>
      <c r="AH2775" s="4">
        <v>36</v>
      </c>
      <c r="AI2775" s="4">
        <v>37</v>
      </c>
      <c r="AJ2775" s="4">
        <v>4</v>
      </c>
      <c r="AK2775" s="4">
        <v>5</v>
      </c>
      <c r="AL2775" s="4">
        <v>25</v>
      </c>
      <c r="AM2775" s="4">
        <v>26</v>
      </c>
      <c r="AN2775" s="4">
        <v>0</v>
      </c>
      <c r="AO2775" s="4">
        <v>0</v>
      </c>
      <c r="AP2775" s="4">
        <v>4</v>
      </c>
      <c r="AQ2775" s="4">
        <v>5</v>
      </c>
      <c r="AR2775" s="3" t="s">
        <v>65</v>
      </c>
      <c r="AS2775" s="3" t="s">
        <v>65</v>
      </c>
      <c r="AT2775" s="3" t="s">
        <v>65</v>
      </c>
      <c r="AV2775" s="6" t="str">
        <f>HYPERLINK("http://mcgill.on.worldcat.org/oclc/668990487","Catalog Record")</f>
        <v>Catalog Record</v>
      </c>
      <c r="AW2775" s="6" t="str">
        <f>HYPERLINK("http://www.worldcat.org/oclc/668990487","WorldCat Record")</f>
        <v>WorldCat Record</v>
      </c>
      <c r="AX2775" s="3" t="s">
        <v>27559</v>
      </c>
      <c r="AY2775" s="3" t="s">
        <v>27560</v>
      </c>
      <c r="AZ2775" s="3" t="s">
        <v>27561</v>
      </c>
      <c r="BA2775" s="3" t="s">
        <v>27561</v>
      </c>
      <c r="BB2775" s="3" t="s">
        <v>27562</v>
      </c>
      <c r="BC2775" s="3" t="s">
        <v>77</v>
      </c>
      <c r="BD2775" s="3" t="s">
        <v>78</v>
      </c>
      <c r="BE2775" s="3" t="s">
        <v>27563</v>
      </c>
      <c r="BF2775" s="3" t="s">
        <v>27562</v>
      </c>
      <c r="BG2775" s="3" t="s">
        <v>27564</v>
      </c>
    </row>
    <row r="2776" spans="1:59" ht="58" x14ac:dyDescent="0.35">
      <c r="A2776" s="2" t="s">
        <v>59</v>
      </c>
      <c r="B2776" s="2" t="s">
        <v>60</v>
      </c>
      <c r="C2776" s="2" t="s">
        <v>27565</v>
      </c>
      <c r="D2776" s="2" t="s">
        <v>27566</v>
      </c>
      <c r="E2776" s="2" t="s">
        <v>27567</v>
      </c>
      <c r="G2776" s="3" t="s">
        <v>65</v>
      </c>
      <c r="I2776" s="3" t="s">
        <v>65</v>
      </c>
      <c r="J2776" s="3" t="s">
        <v>65</v>
      </c>
      <c r="K2776" s="3" t="s">
        <v>66</v>
      </c>
      <c r="L2776" s="2" t="s">
        <v>27568</v>
      </c>
      <c r="M2776" s="2" t="s">
        <v>27569</v>
      </c>
      <c r="N2776" s="3" t="s">
        <v>906</v>
      </c>
      <c r="P2776" s="3" t="s">
        <v>140</v>
      </c>
      <c r="R2776" s="3" t="s">
        <v>71</v>
      </c>
      <c r="S2776" s="4">
        <v>1</v>
      </c>
      <c r="T2776" s="4">
        <v>1</v>
      </c>
      <c r="U2776" s="5" t="s">
        <v>27570</v>
      </c>
      <c r="V2776" s="5" t="s">
        <v>27570</v>
      </c>
      <c r="W2776" s="5" t="s">
        <v>72</v>
      </c>
      <c r="X2776" s="5" t="s">
        <v>72</v>
      </c>
      <c r="Y2776" s="4">
        <v>55</v>
      </c>
      <c r="Z2776" s="4">
        <v>6</v>
      </c>
      <c r="AA2776" s="4">
        <v>6</v>
      </c>
      <c r="AB2776" s="4">
        <v>1</v>
      </c>
      <c r="AC2776" s="4">
        <v>1</v>
      </c>
      <c r="AD2776" s="4">
        <v>25</v>
      </c>
      <c r="AE2776" s="4">
        <v>25</v>
      </c>
      <c r="AF2776" s="4">
        <v>0</v>
      </c>
      <c r="AG2776" s="4">
        <v>0</v>
      </c>
      <c r="AH2776" s="4">
        <v>24</v>
      </c>
      <c r="AI2776" s="4">
        <v>24</v>
      </c>
      <c r="AJ2776" s="4">
        <v>4</v>
      </c>
      <c r="AK2776" s="4">
        <v>4</v>
      </c>
      <c r="AL2776" s="4">
        <v>17</v>
      </c>
      <c r="AM2776" s="4">
        <v>17</v>
      </c>
      <c r="AN2776" s="4">
        <v>0</v>
      </c>
      <c r="AO2776" s="4">
        <v>0</v>
      </c>
      <c r="AP2776" s="4">
        <v>4</v>
      </c>
      <c r="AQ2776" s="4">
        <v>4</v>
      </c>
      <c r="AR2776" s="3" t="s">
        <v>65</v>
      </c>
      <c r="AS2776" s="3" t="s">
        <v>65</v>
      </c>
      <c r="AT2776" s="3" t="s">
        <v>65</v>
      </c>
      <c r="AV2776" s="6" t="str">
        <f>HYPERLINK("http://mcgill.on.worldcat.org/oclc/5960824","Catalog Record")</f>
        <v>Catalog Record</v>
      </c>
      <c r="AW2776" s="6" t="str">
        <f>HYPERLINK("http://www.worldcat.org/oclc/5960824","WorldCat Record")</f>
        <v>WorldCat Record</v>
      </c>
      <c r="AX2776" s="3" t="s">
        <v>27571</v>
      </c>
      <c r="AY2776" s="3" t="s">
        <v>27572</v>
      </c>
      <c r="AZ2776" s="3" t="s">
        <v>27573</v>
      </c>
      <c r="BA2776" s="3" t="s">
        <v>27573</v>
      </c>
      <c r="BB2776" s="3" t="s">
        <v>27574</v>
      </c>
      <c r="BC2776" s="3" t="s">
        <v>77</v>
      </c>
      <c r="BD2776" s="3" t="s">
        <v>78</v>
      </c>
      <c r="BE2776" s="3" t="s">
        <v>27575</v>
      </c>
      <c r="BF2776" s="3" t="s">
        <v>27574</v>
      </c>
      <c r="BG2776" s="3" t="s">
        <v>27576</v>
      </c>
    </row>
    <row r="2777" spans="1:59" ht="58" x14ac:dyDescent="0.35">
      <c r="A2777" s="2" t="s">
        <v>59</v>
      </c>
      <c r="B2777" s="2" t="s">
        <v>60</v>
      </c>
      <c r="C2777" s="2" t="s">
        <v>27577</v>
      </c>
      <c r="D2777" s="2" t="s">
        <v>27578</v>
      </c>
      <c r="E2777" s="2" t="s">
        <v>27579</v>
      </c>
      <c r="G2777" s="3" t="s">
        <v>65</v>
      </c>
      <c r="I2777" s="3" t="s">
        <v>65</v>
      </c>
      <c r="J2777" s="3" t="s">
        <v>65</v>
      </c>
      <c r="K2777" s="3" t="s">
        <v>66</v>
      </c>
      <c r="L2777" s="2" t="s">
        <v>27568</v>
      </c>
      <c r="M2777" s="2" t="s">
        <v>27580</v>
      </c>
      <c r="N2777" s="3" t="s">
        <v>2377</v>
      </c>
      <c r="O2777" s="2" t="s">
        <v>365</v>
      </c>
      <c r="P2777" s="3" t="s">
        <v>140</v>
      </c>
      <c r="Q2777" s="2" t="s">
        <v>19681</v>
      </c>
      <c r="R2777" s="3" t="s">
        <v>71</v>
      </c>
      <c r="S2777" s="4">
        <v>5</v>
      </c>
      <c r="T2777" s="4">
        <v>5</v>
      </c>
      <c r="U2777" s="5" t="s">
        <v>1871</v>
      </c>
      <c r="V2777" s="5" t="s">
        <v>1871</v>
      </c>
      <c r="W2777" s="5" t="s">
        <v>72</v>
      </c>
      <c r="X2777" s="5" t="s">
        <v>72</v>
      </c>
      <c r="Y2777" s="4">
        <v>22</v>
      </c>
      <c r="Z2777" s="4">
        <v>3</v>
      </c>
      <c r="AA2777" s="4">
        <v>3</v>
      </c>
      <c r="AB2777" s="4">
        <v>1</v>
      </c>
      <c r="AC2777" s="4">
        <v>1</v>
      </c>
      <c r="AD2777" s="4">
        <v>13</v>
      </c>
      <c r="AE2777" s="4">
        <v>13</v>
      </c>
      <c r="AF2777" s="4">
        <v>0</v>
      </c>
      <c r="AG2777" s="4">
        <v>0</v>
      </c>
      <c r="AH2777" s="4">
        <v>12</v>
      </c>
      <c r="AI2777" s="4">
        <v>12</v>
      </c>
      <c r="AJ2777" s="4">
        <v>1</v>
      </c>
      <c r="AK2777" s="4">
        <v>1</v>
      </c>
      <c r="AL2777" s="4">
        <v>10</v>
      </c>
      <c r="AM2777" s="4">
        <v>10</v>
      </c>
      <c r="AN2777" s="4">
        <v>0</v>
      </c>
      <c r="AO2777" s="4">
        <v>0</v>
      </c>
      <c r="AP2777" s="4">
        <v>1</v>
      </c>
      <c r="AQ2777" s="4">
        <v>1</v>
      </c>
      <c r="AR2777" s="3" t="s">
        <v>65</v>
      </c>
      <c r="AS2777" s="3" t="s">
        <v>65</v>
      </c>
      <c r="AT2777" s="3" t="s">
        <v>65</v>
      </c>
      <c r="AV2777" s="6" t="str">
        <f>HYPERLINK("http://mcgill.on.worldcat.org/oclc/29575419","Catalog Record")</f>
        <v>Catalog Record</v>
      </c>
      <c r="AW2777" s="6" t="str">
        <f>HYPERLINK("http://www.worldcat.org/oclc/29575419","WorldCat Record")</f>
        <v>WorldCat Record</v>
      </c>
      <c r="AX2777" s="3" t="s">
        <v>27581</v>
      </c>
      <c r="AY2777" s="3" t="s">
        <v>27582</v>
      </c>
      <c r="AZ2777" s="3" t="s">
        <v>27583</v>
      </c>
      <c r="BA2777" s="3" t="s">
        <v>27583</v>
      </c>
      <c r="BB2777" s="3" t="s">
        <v>27584</v>
      </c>
      <c r="BC2777" s="3" t="s">
        <v>77</v>
      </c>
      <c r="BD2777" s="3" t="s">
        <v>78</v>
      </c>
      <c r="BE2777" s="3" t="s">
        <v>27585</v>
      </c>
      <c r="BF2777" s="3" t="s">
        <v>27584</v>
      </c>
      <c r="BG2777" s="3" t="s">
        <v>27586</v>
      </c>
    </row>
    <row r="2778" spans="1:59" ht="58" x14ac:dyDescent="0.35">
      <c r="A2778" s="2" t="s">
        <v>59</v>
      </c>
      <c r="B2778" s="2" t="s">
        <v>60</v>
      </c>
      <c r="C2778" s="2" t="s">
        <v>27587</v>
      </c>
      <c r="D2778" s="2" t="s">
        <v>27588</v>
      </c>
      <c r="E2778" s="2" t="s">
        <v>27589</v>
      </c>
      <c r="G2778" s="3" t="s">
        <v>65</v>
      </c>
      <c r="I2778" s="3" t="s">
        <v>65</v>
      </c>
      <c r="J2778" s="3" t="s">
        <v>65</v>
      </c>
      <c r="K2778" s="3" t="s">
        <v>66</v>
      </c>
      <c r="L2778" s="2" t="s">
        <v>27590</v>
      </c>
      <c r="M2778" s="2" t="s">
        <v>17783</v>
      </c>
      <c r="N2778" s="3" t="s">
        <v>2460</v>
      </c>
      <c r="O2778" s="2" t="s">
        <v>526</v>
      </c>
      <c r="P2778" s="3" t="s">
        <v>140</v>
      </c>
      <c r="Q2778" s="2" t="s">
        <v>27591</v>
      </c>
      <c r="R2778" s="3" t="s">
        <v>71</v>
      </c>
      <c r="S2778" s="4">
        <v>2</v>
      </c>
      <c r="T2778" s="4">
        <v>2</v>
      </c>
      <c r="U2778" s="5" t="s">
        <v>27592</v>
      </c>
      <c r="V2778" s="5" t="s">
        <v>27592</v>
      </c>
      <c r="W2778" s="5" t="s">
        <v>72</v>
      </c>
      <c r="X2778" s="5" t="s">
        <v>72</v>
      </c>
      <c r="Y2778" s="4">
        <v>79</v>
      </c>
      <c r="Z2778" s="4">
        <v>8</v>
      </c>
      <c r="AA2778" s="4">
        <v>8</v>
      </c>
      <c r="AB2778" s="4">
        <v>1</v>
      </c>
      <c r="AC2778" s="4">
        <v>1</v>
      </c>
      <c r="AD2778" s="4">
        <v>44</v>
      </c>
      <c r="AE2778" s="4">
        <v>44</v>
      </c>
      <c r="AF2778" s="4">
        <v>0</v>
      </c>
      <c r="AG2778" s="4">
        <v>0</v>
      </c>
      <c r="AH2778" s="4">
        <v>41</v>
      </c>
      <c r="AI2778" s="4">
        <v>41</v>
      </c>
      <c r="AJ2778" s="4">
        <v>6</v>
      </c>
      <c r="AK2778" s="4">
        <v>6</v>
      </c>
      <c r="AL2778" s="4">
        <v>28</v>
      </c>
      <c r="AM2778" s="4">
        <v>28</v>
      </c>
      <c r="AN2778" s="4">
        <v>0</v>
      </c>
      <c r="AO2778" s="4">
        <v>0</v>
      </c>
      <c r="AP2778" s="4">
        <v>6</v>
      </c>
      <c r="AQ2778" s="4">
        <v>6</v>
      </c>
      <c r="AR2778" s="3" t="s">
        <v>65</v>
      </c>
      <c r="AS2778" s="3" t="s">
        <v>65</v>
      </c>
      <c r="AT2778" s="3" t="s">
        <v>209</v>
      </c>
      <c r="AU2778" s="6" t="str">
        <f>HYPERLINK("http://catalog.hathitrust.org/Record/000930669","HathiTrust Record")</f>
        <v>HathiTrust Record</v>
      </c>
      <c r="AV2778" s="6" t="str">
        <f>HYPERLINK("http://mcgill.on.worldcat.org/oclc/18567702","Catalog Record")</f>
        <v>Catalog Record</v>
      </c>
      <c r="AW2778" s="6" t="str">
        <f>HYPERLINK("http://www.worldcat.org/oclc/18567702","WorldCat Record")</f>
        <v>WorldCat Record</v>
      </c>
      <c r="AX2778" s="3" t="s">
        <v>27593</v>
      </c>
      <c r="AY2778" s="3" t="s">
        <v>27594</v>
      </c>
      <c r="AZ2778" s="3" t="s">
        <v>27595</v>
      </c>
      <c r="BA2778" s="3" t="s">
        <v>27595</v>
      </c>
      <c r="BB2778" s="3" t="s">
        <v>27596</v>
      </c>
      <c r="BC2778" s="3" t="s">
        <v>77</v>
      </c>
      <c r="BD2778" s="3" t="s">
        <v>78</v>
      </c>
      <c r="BE2778" s="3" t="s">
        <v>27597</v>
      </c>
      <c r="BF2778" s="3" t="s">
        <v>27596</v>
      </c>
      <c r="BG2778" s="3" t="s">
        <v>27598</v>
      </c>
    </row>
    <row r="2779" spans="1:59" ht="58" x14ac:dyDescent="0.35">
      <c r="A2779" s="2" t="s">
        <v>59</v>
      </c>
      <c r="B2779" s="2" t="s">
        <v>60</v>
      </c>
      <c r="C2779" s="2" t="s">
        <v>27599</v>
      </c>
      <c r="D2779" s="2" t="s">
        <v>27600</v>
      </c>
      <c r="E2779" s="2" t="s">
        <v>27601</v>
      </c>
      <c r="G2779" s="3" t="s">
        <v>65</v>
      </c>
      <c r="I2779" s="3" t="s">
        <v>65</v>
      </c>
      <c r="J2779" s="3" t="s">
        <v>65</v>
      </c>
      <c r="K2779" s="3" t="s">
        <v>66</v>
      </c>
      <c r="L2779" s="2" t="s">
        <v>27602</v>
      </c>
      <c r="M2779" s="2" t="s">
        <v>27603</v>
      </c>
      <c r="N2779" s="3" t="s">
        <v>164</v>
      </c>
      <c r="O2779" s="2" t="s">
        <v>235</v>
      </c>
      <c r="P2779" s="3" t="s">
        <v>140</v>
      </c>
      <c r="Q2779" s="2" t="s">
        <v>27604</v>
      </c>
      <c r="R2779" s="3" t="s">
        <v>71</v>
      </c>
      <c r="S2779" s="4">
        <v>0</v>
      </c>
      <c r="T2779" s="4">
        <v>0</v>
      </c>
      <c r="W2779" s="5" t="s">
        <v>72</v>
      </c>
      <c r="X2779" s="5" t="s">
        <v>72</v>
      </c>
      <c r="Y2779" s="4">
        <v>51</v>
      </c>
      <c r="Z2779" s="4">
        <v>5</v>
      </c>
      <c r="AA2779" s="4">
        <v>5</v>
      </c>
      <c r="AB2779" s="4">
        <v>1</v>
      </c>
      <c r="AC2779" s="4">
        <v>1</v>
      </c>
      <c r="AD2779" s="4">
        <v>33</v>
      </c>
      <c r="AE2779" s="4">
        <v>33</v>
      </c>
      <c r="AF2779" s="4">
        <v>0</v>
      </c>
      <c r="AG2779" s="4">
        <v>0</v>
      </c>
      <c r="AH2779" s="4">
        <v>32</v>
      </c>
      <c r="AI2779" s="4">
        <v>32</v>
      </c>
      <c r="AJ2779" s="4">
        <v>3</v>
      </c>
      <c r="AK2779" s="4">
        <v>3</v>
      </c>
      <c r="AL2779" s="4">
        <v>25</v>
      </c>
      <c r="AM2779" s="4">
        <v>25</v>
      </c>
      <c r="AN2779" s="4">
        <v>0</v>
      </c>
      <c r="AO2779" s="4">
        <v>0</v>
      </c>
      <c r="AP2779" s="4">
        <v>3</v>
      </c>
      <c r="AQ2779" s="4">
        <v>3</v>
      </c>
      <c r="AR2779" s="3" t="s">
        <v>65</v>
      </c>
      <c r="AS2779" s="3" t="s">
        <v>65</v>
      </c>
      <c r="AT2779" s="3" t="s">
        <v>65</v>
      </c>
      <c r="AV2779" s="6" t="str">
        <f>HYPERLINK("http://mcgill.on.worldcat.org/oclc/889717147","Catalog Record")</f>
        <v>Catalog Record</v>
      </c>
      <c r="AW2779" s="6" t="str">
        <f>HYPERLINK("http://www.worldcat.org/oclc/889717147","WorldCat Record")</f>
        <v>WorldCat Record</v>
      </c>
      <c r="AX2779" s="3" t="s">
        <v>27605</v>
      </c>
      <c r="AY2779" s="3" t="s">
        <v>27606</v>
      </c>
      <c r="AZ2779" s="3" t="s">
        <v>27607</v>
      </c>
      <c r="BA2779" s="3" t="s">
        <v>27607</v>
      </c>
      <c r="BB2779" s="3" t="s">
        <v>27608</v>
      </c>
      <c r="BC2779" s="3" t="s">
        <v>77</v>
      </c>
      <c r="BD2779" s="3" t="s">
        <v>78</v>
      </c>
      <c r="BE2779" s="3" t="s">
        <v>27609</v>
      </c>
      <c r="BF2779" s="3" t="s">
        <v>27608</v>
      </c>
      <c r="BG2779" s="3" t="s">
        <v>27610</v>
      </c>
    </row>
    <row r="2780" spans="1:59" ht="58" x14ac:dyDescent="0.35">
      <c r="A2780" s="2" t="s">
        <v>59</v>
      </c>
      <c r="B2780" s="2" t="s">
        <v>60</v>
      </c>
      <c r="C2780" s="2" t="s">
        <v>27611</v>
      </c>
      <c r="D2780" s="2" t="s">
        <v>27612</v>
      </c>
      <c r="E2780" s="2" t="s">
        <v>27613</v>
      </c>
      <c r="G2780" s="3" t="s">
        <v>65</v>
      </c>
      <c r="I2780" s="3" t="s">
        <v>65</v>
      </c>
      <c r="J2780" s="3" t="s">
        <v>65</v>
      </c>
      <c r="K2780" s="3" t="s">
        <v>66</v>
      </c>
      <c r="L2780" s="2" t="s">
        <v>27590</v>
      </c>
      <c r="M2780" s="2" t="s">
        <v>27614</v>
      </c>
      <c r="N2780" s="3" t="s">
        <v>126</v>
      </c>
      <c r="O2780" s="2" t="s">
        <v>365</v>
      </c>
      <c r="P2780" s="3" t="s">
        <v>140</v>
      </c>
      <c r="Q2780" s="2" t="s">
        <v>27604</v>
      </c>
      <c r="R2780" s="3" t="s">
        <v>71</v>
      </c>
      <c r="S2780" s="4">
        <v>0</v>
      </c>
      <c r="T2780" s="4">
        <v>0</v>
      </c>
      <c r="W2780" s="5" t="s">
        <v>72</v>
      </c>
      <c r="X2780" s="5" t="s">
        <v>72</v>
      </c>
      <c r="Y2780" s="4">
        <v>50</v>
      </c>
      <c r="Z2780" s="4">
        <v>4</v>
      </c>
      <c r="AA2780" s="4">
        <v>4</v>
      </c>
      <c r="AB2780" s="4">
        <v>1</v>
      </c>
      <c r="AC2780" s="4">
        <v>1</v>
      </c>
      <c r="AD2780" s="4">
        <v>35</v>
      </c>
      <c r="AE2780" s="4">
        <v>35</v>
      </c>
      <c r="AF2780" s="4">
        <v>0</v>
      </c>
      <c r="AG2780" s="4">
        <v>0</v>
      </c>
      <c r="AH2780" s="4">
        <v>34</v>
      </c>
      <c r="AI2780" s="4">
        <v>34</v>
      </c>
      <c r="AJ2780" s="4">
        <v>2</v>
      </c>
      <c r="AK2780" s="4">
        <v>2</v>
      </c>
      <c r="AL2780" s="4">
        <v>28</v>
      </c>
      <c r="AM2780" s="4">
        <v>28</v>
      </c>
      <c r="AN2780" s="4">
        <v>0</v>
      </c>
      <c r="AO2780" s="4">
        <v>0</v>
      </c>
      <c r="AP2780" s="4">
        <v>2</v>
      </c>
      <c r="AQ2780" s="4">
        <v>2</v>
      </c>
      <c r="AR2780" s="3" t="s">
        <v>65</v>
      </c>
      <c r="AS2780" s="3" t="s">
        <v>65</v>
      </c>
      <c r="AT2780" s="3" t="s">
        <v>65</v>
      </c>
      <c r="AV2780" s="6" t="str">
        <f>HYPERLINK("http://mcgill.on.worldcat.org/oclc/741557448","Catalog Record")</f>
        <v>Catalog Record</v>
      </c>
      <c r="AW2780" s="6" t="str">
        <f>HYPERLINK("http://www.worldcat.org/oclc/741557448","WorldCat Record")</f>
        <v>WorldCat Record</v>
      </c>
      <c r="AX2780" s="3" t="s">
        <v>27615</v>
      </c>
      <c r="AY2780" s="3" t="s">
        <v>27616</v>
      </c>
      <c r="AZ2780" s="3" t="s">
        <v>27617</v>
      </c>
      <c r="BA2780" s="3" t="s">
        <v>27617</v>
      </c>
      <c r="BB2780" s="3" t="s">
        <v>27618</v>
      </c>
      <c r="BC2780" s="3" t="s">
        <v>77</v>
      </c>
      <c r="BD2780" s="3" t="s">
        <v>78</v>
      </c>
      <c r="BE2780" s="3" t="s">
        <v>27619</v>
      </c>
      <c r="BF2780" s="3" t="s">
        <v>27618</v>
      </c>
      <c r="BG2780" s="3" t="s">
        <v>27620</v>
      </c>
    </row>
    <row r="2781" spans="1:59" ht="58" x14ac:dyDescent="0.35">
      <c r="A2781" s="2" t="s">
        <v>59</v>
      </c>
      <c r="B2781" s="2" t="s">
        <v>60</v>
      </c>
      <c r="C2781" s="2" t="s">
        <v>27621</v>
      </c>
      <c r="D2781" s="2" t="s">
        <v>27622</v>
      </c>
      <c r="E2781" s="2" t="s">
        <v>27623</v>
      </c>
      <c r="G2781" s="3" t="s">
        <v>65</v>
      </c>
      <c r="I2781" s="3" t="s">
        <v>65</v>
      </c>
      <c r="J2781" s="3" t="s">
        <v>65</v>
      </c>
      <c r="K2781" s="3" t="s">
        <v>66</v>
      </c>
      <c r="L2781" s="2" t="s">
        <v>27590</v>
      </c>
      <c r="M2781" s="2" t="s">
        <v>27624</v>
      </c>
      <c r="N2781" s="3" t="s">
        <v>126</v>
      </c>
      <c r="O2781" s="2" t="s">
        <v>365</v>
      </c>
      <c r="P2781" s="3" t="s">
        <v>140</v>
      </c>
      <c r="Q2781" s="2" t="s">
        <v>27604</v>
      </c>
      <c r="R2781" s="3" t="s">
        <v>71</v>
      </c>
      <c r="S2781" s="4">
        <v>0</v>
      </c>
      <c r="T2781" s="4">
        <v>0</v>
      </c>
      <c r="W2781" s="5" t="s">
        <v>72</v>
      </c>
      <c r="X2781" s="5" t="s">
        <v>72</v>
      </c>
      <c r="Y2781" s="4">
        <v>46</v>
      </c>
      <c r="Z2781" s="4">
        <v>4</v>
      </c>
      <c r="AA2781" s="4">
        <v>4</v>
      </c>
      <c r="AB2781" s="4">
        <v>1</v>
      </c>
      <c r="AC2781" s="4">
        <v>1</v>
      </c>
      <c r="AD2781" s="4">
        <v>31</v>
      </c>
      <c r="AE2781" s="4">
        <v>31</v>
      </c>
      <c r="AF2781" s="4">
        <v>0</v>
      </c>
      <c r="AG2781" s="4">
        <v>0</v>
      </c>
      <c r="AH2781" s="4">
        <v>30</v>
      </c>
      <c r="AI2781" s="4">
        <v>30</v>
      </c>
      <c r="AJ2781" s="4">
        <v>2</v>
      </c>
      <c r="AK2781" s="4">
        <v>2</v>
      </c>
      <c r="AL2781" s="4">
        <v>24</v>
      </c>
      <c r="AM2781" s="4">
        <v>24</v>
      </c>
      <c r="AN2781" s="4">
        <v>0</v>
      </c>
      <c r="AO2781" s="4">
        <v>0</v>
      </c>
      <c r="AP2781" s="4">
        <v>2</v>
      </c>
      <c r="AQ2781" s="4">
        <v>2</v>
      </c>
      <c r="AR2781" s="3" t="s">
        <v>65</v>
      </c>
      <c r="AS2781" s="3" t="s">
        <v>65</v>
      </c>
      <c r="AT2781" s="3" t="s">
        <v>65</v>
      </c>
      <c r="AV2781" s="6" t="str">
        <f>HYPERLINK("http://mcgill.on.worldcat.org/oclc/748343934","Catalog Record")</f>
        <v>Catalog Record</v>
      </c>
      <c r="AW2781" s="6" t="str">
        <f>HYPERLINK("http://www.worldcat.org/oclc/748343934","WorldCat Record")</f>
        <v>WorldCat Record</v>
      </c>
      <c r="AX2781" s="3" t="s">
        <v>27625</v>
      </c>
      <c r="AY2781" s="3" t="s">
        <v>27626</v>
      </c>
      <c r="AZ2781" s="3" t="s">
        <v>27627</v>
      </c>
      <c r="BA2781" s="3" t="s">
        <v>27627</v>
      </c>
      <c r="BB2781" s="3" t="s">
        <v>27628</v>
      </c>
      <c r="BC2781" s="3" t="s">
        <v>77</v>
      </c>
      <c r="BD2781" s="3" t="s">
        <v>78</v>
      </c>
      <c r="BE2781" s="3" t="s">
        <v>27629</v>
      </c>
      <c r="BF2781" s="3" t="s">
        <v>27628</v>
      </c>
      <c r="BG2781" s="3" t="s">
        <v>27630</v>
      </c>
    </row>
    <row r="2782" spans="1:59" ht="58" x14ac:dyDescent="0.35">
      <c r="A2782" s="2" t="s">
        <v>59</v>
      </c>
      <c r="B2782" s="2" t="s">
        <v>60</v>
      </c>
      <c r="C2782" s="2" t="s">
        <v>27631</v>
      </c>
      <c r="D2782" s="2" t="s">
        <v>27632</v>
      </c>
      <c r="E2782" s="2" t="s">
        <v>27633</v>
      </c>
      <c r="G2782" s="3" t="s">
        <v>65</v>
      </c>
      <c r="I2782" s="3" t="s">
        <v>65</v>
      </c>
      <c r="J2782" s="3" t="s">
        <v>65</v>
      </c>
      <c r="K2782" s="3" t="s">
        <v>66</v>
      </c>
      <c r="L2782" s="2" t="s">
        <v>27634</v>
      </c>
      <c r="M2782" s="2" t="s">
        <v>27635</v>
      </c>
      <c r="N2782" s="3" t="s">
        <v>113</v>
      </c>
      <c r="P2782" s="3" t="s">
        <v>140</v>
      </c>
      <c r="Q2782" s="2" t="s">
        <v>27636</v>
      </c>
      <c r="R2782" s="3" t="s">
        <v>71</v>
      </c>
      <c r="S2782" s="4">
        <v>0</v>
      </c>
      <c r="T2782" s="4">
        <v>0</v>
      </c>
      <c r="W2782" s="5" t="s">
        <v>72</v>
      </c>
      <c r="X2782" s="5" t="s">
        <v>72</v>
      </c>
      <c r="Y2782" s="4">
        <v>6</v>
      </c>
      <c r="Z2782" s="4">
        <v>1</v>
      </c>
      <c r="AA2782" s="4">
        <v>6</v>
      </c>
      <c r="AB2782" s="4">
        <v>1</v>
      </c>
      <c r="AC2782" s="4">
        <v>1</v>
      </c>
      <c r="AD2782" s="4">
        <v>4</v>
      </c>
      <c r="AE2782" s="4">
        <v>37</v>
      </c>
      <c r="AF2782" s="4">
        <v>0</v>
      </c>
      <c r="AG2782" s="4">
        <v>0</v>
      </c>
      <c r="AH2782" s="4">
        <v>4</v>
      </c>
      <c r="AI2782" s="4">
        <v>34</v>
      </c>
      <c r="AJ2782" s="4">
        <v>0</v>
      </c>
      <c r="AK2782" s="4">
        <v>4</v>
      </c>
      <c r="AL2782" s="4">
        <v>3</v>
      </c>
      <c r="AM2782" s="4">
        <v>29</v>
      </c>
      <c r="AN2782" s="4">
        <v>0</v>
      </c>
      <c r="AO2782" s="4">
        <v>0</v>
      </c>
      <c r="AP2782" s="4">
        <v>0</v>
      </c>
      <c r="AQ2782" s="4">
        <v>4</v>
      </c>
      <c r="AR2782" s="3" t="s">
        <v>65</v>
      </c>
      <c r="AS2782" s="3" t="s">
        <v>65</v>
      </c>
      <c r="AT2782" s="3" t="s">
        <v>65</v>
      </c>
      <c r="AV2782" s="6" t="str">
        <f>HYPERLINK("http://mcgill.on.worldcat.org/oclc/707459640","Catalog Record")</f>
        <v>Catalog Record</v>
      </c>
      <c r="AW2782" s="6" t="str">
        <f>HYPERLINK("http://www.worldcat.org/oclc/707459640","WorldCat Record")</f>
        <v>WorldCat Record</v>
      </c>
      <c r="AX2782" s="3" t="s">
        <v>27637</v>
      </c>
      <c r="AY2782" s="3" t="s">
        <v>27638</v>
      </c>
      <c r="AZ2782" s="3" t="s">
        <v>27639</v>
      </c>
      <c r="BA2782" s="3" t="s">
        <v>27639</v>
      </c>
      <c r="BB2782" s="3" t="s">
        <v>27640</v>
      </c>
      <c r="BC2782" s="3" t="s">
        <v>77</v>
      </c>
      <c r="BD2782" s="3" t="s">
        <v>78</v>
      </c>
      <c r="BE2782" s="3" t="s">
        <v>27641</v>
      </c>
      <c r="BF2782" s="3" t="s">
        <v>27640</v>
      </c>
      <c r="BG2782" s="3" t="s">
        <v>27642</v>
      </c>
    </row>
    <row r="2783" spans="1:59" ht="58" x14ac:dyDescent="0.35">
      <c r="A2783" s="2" t="s">
        <v>59</v>
      </c>
      <c r="B2783" s="2" t="s">
        <v>60</v>
      </c>
      <c r="C2783" s="2" t="s">
        <v>27643</v>
      </c>
      <c r="D2783" s="2" t="s">
        <v>27644</v>
      </c>
      <c r="E2783" s="2" t="s">
        <v>27645</v>
      </c>
      <c r="G2783" s="3" t="s">
        <v>65</v>
      </c>
      <c r="I2783" s="3" t="s">
        <v>65</v>
      </c>
      <c r="J2783" s="3" t="s">
        <v>65</v>
      </c>
      <c r="K2783" s="3" t="s">
        <v>66</v>
      </c>
      <c r="L2783" s="2" t="s">
        <v>27646</v>
      </c>
      <c r="M2783" s="2" t="s">
        <v>27647</v>
      </c>
      <c r="N2783" s="3" t="s">
        <v>99</v>
      </c>
      <c r="P2783" s="3" t="s">
        <v>140</v>
      </c>
      <c r="Q2783" s="2" t="s">
        <v>27648</v>
      </c>
      <c r="R2783" s="3" t="s">
        <v>71</v>
      </c>
      <c r="S2783" s="4">
        <v>1</v>
      </c>
      <c r="T2783" s="4">
        <v>1</v>
      </c>
      <c r="U2783" s="5" t="s">
        <v>1211</v>
      </c>
      <c r="V2783" s="5" t="s">
        <v>1211</v>
      </c>
      <c r="W2783" s="5" t="s">
        <v>72</v>
      </c>
      <c r="X2783" s="5" t="s">
        <v>72</v>
      </c>
      <c r="Y2783" s="4">
        <v>53</v>
      </c>
      <c r="Z2783" s="4">
        <v>3</v>
      </c>
      <c r="AA2783" s="4">
        <v>4</v>
      </c>
      <c r="AB2783" s="4">
        <v>1</v>
      </c>
      <c r="AC2783" s="4">
        <v>1</v>
      </c>
      <c r="AD2783" s="4">
        <v>27</v>
      </c>
      <c r="AE2783" s="4">
        <v>29</v>
      </c>
      <c r="AF2783" s="4">
        <v>0</v>
      </c>
      <c r="AG2783" s="4">
        <v>0</v>
      </c>
      <c r="AH2783" s="4">
        <v>26</v>
      </c>
      <c r="AI2783" s="4">
        <v>28</v>
      </c>
      <c r="AJ2783" s="4">
        <v>1</v>
      </c>
      <c r="AK2783" s="4">
        <v>2</v>
      </c>
      <c r="AL2783" s="4">
        <v>22</v>
      </c>
      <c r="AM2783" s="4">
        <v>23</v>
      </c>
      <c r="AN2783" s="4">
        <v>0</v>
      </c>
      <c r="AO2783" s="4">
        <v>0</v>
      </c>
      <c r="AP2783" s="4">
        <v>1</v>
      </c>
      <c r="AQ2783" s="4">
        <v>2</v>
      </c>
      <c r="AR2783" s="3" t="s">
        <v>65</v>
      </c>
      <c r="AS2783" s="3" t="s">
        <v>65</v>
      </c>
      <c r="AT2783" s="3" t="s">
        <v>209</v>
      </c>
      <c r="AU2783" s="6" t="str">
        <f>HYPERLINK("http://catalog.hathitrust.org/Record/005288155","HathiTrust Record")</f>
        <v>HathiTrust Record</v>
      </c>
      <c r="AV2783" s="6" t="str">
        <f>HYPERLINK("http://mcgill.on.worldcat.org/oclc/70799185","Catalog Record")</f>
        <v>Catalog Record</v>
      </c>
      <c r="AW2783" s="6" t="str">
        <f>HYPERLINK("http://www.worldcat.org/oclc/70799185","WorldCat Record")</f>
        <v>WorldCat Record</v>
      </c>
      <c r="AX2783" s="3" t="s">
        <v>27649</v>
      </c>
      <c r="AY2783" s="3" t="s">
        <v>27650</v>
      </c>
      <c r="AZ2783" s="3" t="s">
        <v>27651</v>
      </c>
      <c r="BA2783" s="3" t="s">
        <v>27651</v>
      </c>
      <c r="BB2783" s="3" t="s">
        <v>27652</v>
      </c>
      <c r="BC2783" s="3" t="s">
        <v>77</v>
      </c>
      <c r="BD2783" s="3" t="s">
        <v>78</v>
      </c>
      <c r="BE2783" s="3" t="s">
        <v>27653</v>
      </c>
      <c r="BF2783" s="3" t="s">
        <v>27652</v>
      </c>
      <c r="BG2783" s="3" t="s">
        <v>27654</v>
      </c>
    </row>
    <row r="2784" spans="1:59" ht="58" x14ac:dyDescent="0.35">
      <c r="A2784" s="2" t="s">
        <v>59</v>
      </c>
      <c r="B2784" s="2" t="s">
        <v>60</v>
      </c>
      <c r="C2784" s="2" t="s">
        <v>27655</v>
      </c>
      <c r="D2784" s="2" t="s">
        <v>27656</v>
      </c>
      <c r="E2784" s="2" t="s">
        <v>27657</v>
      </c>
      <c r="G2784" s="3" t="s">
        <v>65</v>
      </c>
      <c r="I2784" s="3" t="s">
        <v>65</v>
      </c>
      <c r="J2784" s="3" t="s">
        <v>65</v>
      </c>
      <c r="K2784" s="3" t="s">
        <v>66</v>
      </c>
      <c r="M2784" s="2" t="s">
        <v>26738</v>
      </c>
      <c r="N2784" s="3" t="s">
        <v>126</v>
      </c>
      <c r="P2784" s="3" t="s">
        <v>140</v>
      </c>
      <c r="Q2784" s="2" t="s">
        <v>27658</v>
      </c>
      <c r="R2784" s="3" t="s">
        <v>71</v>
      </c>
      <c r="S2784" s="4">
        <v>0</v>
      </c>
      <c r="T2784" s="4">
        <v>0</v>
      </c>
      <c r="W2784" s="5" t="s">
        <v>72</v>
      </c>
      <c r="X2784" s="5" t="s">
        <v>72</v>
      </c>
      <c r="Y2784" s="4">
        <v>44</v>
      </c>
      <c r="Z2784" s="4">
        <v>3</v>
      </c>
      <c r="AA2784" s="4">
        <v>4</v>
      </c>
      <c r="AB2784" s="4">
        <v>1</v>
      </c>
      <c r="AC2784" s="4">
        <v>1</v>
      </c>
      <c r="AD2784" s="4">
        <v>30</v>
      </c>
      <c r="AE2784" s="4">
        <v>31</v>
      </c>
      <c r="AF2784" s="4">
        <v>0</v>
      </c>
      <c r="AG2784" s="4">
        <v>0</v>
      </c>
      <c r="AH2784" s="4">
        <v>29</v>
      </c>
      <c r="AI2784" s="4">
        <v>30</v>
      </c>
      <c r="AJ2784" s="4">
        <v>1</v>
      </c>
      <c r="AK2784" s="4">
        <v>2</v>
      </c>
      <c r="AL2784" s="4">
        <v>25</v>
      </c>
      <c r="AM2784" s="4">
        <v>25</v>
      </c>
      <c r="AN2784" s="4">
        <v>0</v>
      </c>
      <c r="AO2784" s="4">
        <v>0</v>
      </c>
      <c r="AP2784" s="4">
        <v>1</v>
      </c>
      <c r="AQ2784" s="4">
        <v>2</v>
      </c>
      <c r="AR2784" s="3" t="s">
        <v>65</v>
      </c>
      <c r="AS2784" s="3" t="s">
        <v>65</v>
      </c>
      <c r="AT2784" s="3" t="s">
        <v>65</v>
      </c>
      <c r="AV2784" s="6" t="str">
        <f>HYPERLINK("http://mcgill.on.worldcat.org/oclc/711513821","Catalog Record")</f>
        <v>Catalog Record</v>
      </c>
      <c r="AW2784" s="6" t="str">
        <f>HYPERLINK("http://www.worldcat.org/oclc/711513821","WorldCat Record")</f>
        <v>WorldCat Record</v>
      </c>
      <c r="AX2784" s="3" t="s">
        <v>27659</v>
      </c>
      <c r="AY2784" s="3" t="s">
        <v>27660</v>
      </c>
      <c r="AZ2784" s="3" t="s">
        <v>27661</v>
      </c>
      <c r="BA2784" s="3" t="s">
        <v>27661</v>
      </c>
      <c r="BB2784" s="3" t="s">
        <v>27662</v>
      </c>
      <c r="BC2784" s="3" t="s">
        <v>77</v>
      </c>
      <c r="BD2784" s="3" t="s">
        <v>78</v>
      </c>
      <c r="BE2784" s="3" t="s">
        <v>27663</v>
      </c>
      <c r="BF2784" s="3" t="s">
        <v>27662</v>
      </c>
      <c r="BG2784" s="3" t="s">
        <v>27664</v>
      </c>
    </row>
    <row r="2785" spans="1:59" ht="87" x14ac:dyDescent="0.35">
      <c r="A2785" s="2" t="s">
        <v>59</v>
      </c>
      <c r="B2785" s="2" t="s">
        <v>60</v>
      </c>
      <c r="C2785" s="2" t="s">
        <v>27665</v>
      </c>
      <c r="D2785" s="2" t="s">
        <v>27666</v>
      </c>
      <c r="E2785" s="2" t="s">
        <v>27667</v>
      </c>
      <c r="G2785" s="3" t="s">
        <v>65</v>
      </c>
      <c r="I2785" s="3" t="s">
        <v>65</v>
      </c>
      <c r="J2785" s="3" t="s">
        <v>65</v>
      </c>
      <c r="K2785" s="3" t="s">
        <v>66</v>
      </c>
      <c r="L2785" s="2" t="s">
        <v>27668</v>
      </c>
      <c r="M2785" s="2" t="s">
        <v>13673</v>
      </c>
      <c r="N2785" s="3" t="s">
        <v>176</v>
      </c>
      <c r="P2785" s="3" t="s">
        <v>140</v>
      </c>
      <c r="Q2785" s="2" t="s">
        <v>27669</v>
      </c>
      <c r="R2785" s="3" t="s">
        <v>71</v>
      </c>
      <c r="S2785" s="4">
        <v>0</v>
      </c>
      <c r="T2785" s="4">
        <v>0</v>
      </c>
      <c r="W2785" s="5" t="s">
        <v>72</v>
      </c>
      <c r="X2785" s="5" t="s">
        <v>72</v>
      </c>
      <c r="Y2785" s="4">
        <v>41</v>
      </c>
      <c r="Z2785" s="4">
        <v>3</v>
      </c>
      <c r="AA2785" s="4">
        <v>3</v>
      </c>
      <c r="AB2785" s="4">
        <v>1</v>
      </c>
      <c r="AC2785" s="4">
        <v>1</v>
      </c>
      <c r="AD2785" s="4">
        <v>30</v>
      </c>
      <c r="AE2785" s="4">
        <v>30</v>
      </c>
      <c r="AF2785" s="4">
        <v>0</v>
      </c>
      <c r="AG2785" s="4">
        <v>0</v>
      </c>
      <c r="AH2785" s="4">
        <v>29</v>
      </c>
      <c r="AI2785" s="4">
        <v>29</v>
      </c>
      <c r="AJ2785" s="4">
        <v>1</v>
      </c>
      <c r="AK2785" s="4">
        <v>1</v>
      </c>
      <c r="AL2785" s="4">
        <v>24</v>
      </c>
      <c r="AM2785" s="4">
        <v>24</v>
      </c>
      <c r="AN2785" s="4">
        <v>0</v>
      </c>
      <c r="AO2785" s="4">
        <v>0</v>
      </c>
      <c r="AP2785" s="4">
        <v>1</v>
      </c>
      <c r="AQ2785" s="4">
        <v>1</v>
      </c>
      <c r="AR2785" s="3" t="s">
        <v>65</v>
      </c>
      <c r="AS2785" s="3" t="s">
        <v>65</v>
      </c>
      <c r="AT2785" s="3" t="s">
        <v>65</v>
      </c>
      <c r="AV2785" s="6" t="str">
        <f>HYPERLINK("http://mcgill.on.worldcat.org/oclc/910505704","Catalog Record")</f>
        <v>Catalog Record</v>
      </c>
      <c r="AW2785" s="6" t="str">
        <f>HYPERLINK("http://www.worldcat.org/oclc/910505704","WorldCat Record")</f>
        <v>WorldCat Record</v>
      </c>
      <c r="AX2785" s="3" t="s">
        <v>27670</v>
      </c>
      <c r="AY2785" s="3" t="s">
        <v>27671</v>
      </c>
      <c r="AZ2785" s="3" t="s">
        <v>27672</v>
      </c>
      <c r="BA2785" s="3" t="s">
        <v>27672</v>
      </c>
      <c r="BB2785" s="3" t="s">
        <v>27673</v>
      </c>
      <c r="BC2785" s="3" t="s">
        <v>77</v>
      </c>
      <c r="BD2785" s="3" t="s">
        <v>78</v>
      </c>
      <c r="BE2785" s="3" t="s">
        <v>27674</v>
      </c>
      <c r="BF2785" s="3" t="s">
        <v>27673</v>
      </c>
      <c r="BG2785" s="3" t="s">
        <v>27675</v>
      </c>
    </row>
    <row r="2786" spans="1:59" ht="58" x14ac:dyDescent="0.35">
      <c r="A2786" s="2" t="s">
        <v>59</v>
      </c>
      <c r="B2786" s="2" t="s">
        <v>60</v>
      </c>
      <c r="C2786" s="2" t="s">
        <v>27676</v>
      </c>
      <c r="D2786" s="2" t="s">
        <v>27677</v>
      </c>
      <c r="E2786" s="2" t="s">
        <v>27678</v>
      </c>
      <c r="G2786" s="3" t="s">
        <v>65</v>
      </c>
      <c r="I2786" s="3" t="s">
        <v>65</v>
      </c>
      <c r="J2786" s="3" t="s">
        <v>65</v>
      </c>
      <c r="K2786" s="3" t="s">
        <v>66</v>
      </c>
      <c r="L2786" s="2" t="s">
        <v>27679</v>
      </c>
      <c r="M2786" s="2" t="s">
        <v>24348</v>
      </c>
      <c r="N2786" s="3" t="s">
        <v>164</v>
      </c>
      <c r="P2786" s="3" t="s">
        <v>140</v>
      </c>
      <c r="Q2786" s="2" t="s">
        <v>27680</v>
      </c>
      <c r="R2786" s="3" t="s">
        <v>71</v>
      </c>
      <c r="S2786" s="4">
        <v>0</v>
      </c>
      <c r="T2786" s="4">
        <v>0</v>
      </c>
      <c r="W2786" s="5" t="s">
        <v>72</v>
      </c>
      <c r="X2786" s="5" t="s">
        <v>72</v>
      </c>
      <c r="Y2786" s="4">
        <v>35</v>
      </c>
      <c r="Z2786" s="4">
        <v>4</v>
      </c>
      <c r="AA2786" s="4">
        <v>4</v>
      </c>
      <c r="AB2786" s="4">
        <v>1</v>
      </c>
      <c r="AC2786" s="4">
        <v>1</v>
      </c>
      <c r="AD2786" s="4">
        <v>26</v>
      </c>
      <c r="AE2786" s="4">
        <v>26</v>
      </c>
      <c r="AF2786" s="4">
        <v>0</v>
      </c>
      <c r="AG2786" s="4">
        <v>0</v>
      </c>
      <c r="AH2786" s="4">
        <v>25</v>
      </c>
      <c r="AI2786" s="4">
        <v>25</v>
      </c>
      <c r="AJ2786" s="4">
        <v>1</v>
      </c>
      <c r="AK2786" s="4">
        <v>1</v>
      </c>
      <c r="AL2786" s="4">
        <v>21</v>
      </c>
      <c r="AM2786" s="4">
        <v>21</v>
      </c>
      <c r="AN2786" s="4">
        <v>0</v>
      </c>
      <c r="AO2786" s="4">
        <v>0</v>
      </c>
      <c r="AP2786" s="4">
        <v>1</v>
      </c>
      <c r="AQ2786" s="4">
        <v>1</v>
      </c>
      <c r="AR2786" s="3" t="s">
        <v>65</v>
      </c>
      <c r="AS2786" s="3" t="s">
        <v>65</v>
      </c>
      <c r="AT2786" s="3" t="s">
        <v>65</v>
      </c>
      <c r="AV2786" s="6" t="str">
        <f>HYPERLINK("http://mcgill.on.worldcat.org/oclc/911267326","Catalog Record")</f>
        <v>Catalog Record</v>
      </c>
      <c r="AW2786" s="6" t="str">
        <f>HYPERLINK("http://www.worldcat.org/oclc/911267326","WorldCat Record")</f>
        <v>WorldCat Record</v>
      </c>
      <c r="AX2786" s="3" t="s">
        <v>27681</v>
      </c>
      <c r="AY2786" s="3" t="s">
        <v>27682</v>
      </c>
      <c r="AZ2786" s="3" t="s">
        <v>27683</v>
      </c>
      <c r="BA2786" s="3" t="s">
        <v>27683</v>
      </c>
      <c r="BB2786" s="3" t="s">
        <v>27684</v>
      </c>
      <c r="BC2786" s="3" t="s">
        <v>77</v>
      </c>
      <c r="BD2786" s="3" t="s">
        <v>78</v>
      </c>
      <c r="BE2786" s="3" t="s">
        <v>27685</v>
      </c>
      <c r="BF2786" s="3" t="s">
        <v>27684</v>
      </c>
      <c r="BG2786" s="3" t="s">
        <v>27686</v>
      </c>
    </row>
    <row r="2787" spans="1:59" ht="58" x14ac:dyDescent="0.35">
      <c r="A2787" s="2" t="s">
        <v>59</v>
      </c>
      <c r="B2787" s="2" t="s">
        <v>60</v>
      </c>
      <c r="C2787" s="2" t="s">
        <v>27687</v>
      </c>
      <c r="D2787" s="2" t="s">
        <v>27688</v>
      </c>
      <c r="E2787" s="2" t="s">
        <v>27689</v>
      </c>
      <c r="G2787" s="3" t="s">
        <v>65</v>
      </c>
      <c r="I2787" s="3" t="s">
        <v>65</v>
      </c>
      <c r="J2787" s="3" t="s">
        <v>65</v>
      </c>
      <c r="K2787" s="3" t="s">
        <v>66</v>
      </c>
      <c r="L2787" s="2" t="s">
        <v>26476</v>
      </c>
      <c r="M2787" s="2" t="s">
        <v>27690</v>
      </c>
      <c r="N2787" s="3" t="s">
        <v>152</v>
      </c>
      <c r="P2787" s="3" t="s">
        <v>140</v>
      </c>
      <c r="Q2787" s="2" t="s">
        <v>27691</v>
      </c>
      <c r="R2787" s="3" t="s">
        <v>71</v>
      </c>
      <c r="S2787" s="4">
        <v>0</v>
      </c>
      <c r="T2787" s="4">
        <v>0</v>
      </c>
      <c r="W2787" s="5" t="s">
        <v>72</v>
      </c>
      <c r="X2787" s="5" t="s">
        <v>72</v>
      </c>
      <c r="Y2787" s="4">
        <v>32</v>
      </c>
      <c r="Z2787" s="4">
        <v>5</v>
      </c>
      <c r="AA2787" s="4">
        <v>5</v>
      </c>
      <c r="AB2787" s="4">
        <v>1</v>
      </c>
      <c r="AC2787" s="4">
        <v>1</v>
      </c>
      <c r="AD2787" s="4">
        <v>23</v>
      </c>
      <c r="AE2787" s="4">
        <v>23</v>
      </c>
      <c r="AF2787" s="4">
        <v>0</v>
      </c>
      <c r="AG2787" s="4">
        <v>0</v>
      </c>
      <c r="AH2787" s="4">
        <v>22</v>
      </c>
      <c r="AI2787" s="4">
        <v>22</v>
      </c>
      <c r="AJ2787" s="4">
        <v>3</v>
      </c>
      <c r="AK2787" s="4">
        <v>3</v>
      </c>
      <c r="AL2787" s="4">
        <v>17</v>
      </c>
      <c r="AM2787" s="4">
        <v>17</v>
      </c>
      <c r="AN2787" s="4">
        <v>0</v>
      </c>
      <c r="AO2787" s="4">
        <v>0</v>
      </c>
      <c r="AP2787" s="4">
        <v>3</v>
      </c>
      <c r="AQ2787" s="4">
        <v>3</v>
      </c>
      <c r="AR2787" s="3" t="s">
        <v>65</v>
      </c>
      <c r="AS2787" s="3" t="s">
        <v>65</v>
      </c>
      <c r="AT2787" s="3" t="s">
        <v>65</v>
      </c>
      <c r="AV2787" s="6" t="str">
        <f>HYPERLINK("http://mcgill.on.worldcat.org/oclc/843755337","Catalog Record")</f>
        <v>Catalog Record</v>
      </c>
      <c r="AW2787" s="6" t="str">
        <f>HYPERLINK("http://www.worldcat.org/oclc/843755337","WorldCat Record")</f>
        <v>WorldCat Record</v>
      </c>
      <c r="AX2787" s="3" t="s">
        <v>27692</v>
      </c>
      <c r="AY2787" s="3" t="s">
        <v>27693</v>
      </c>
      <c r="AZ2787" s="3" t="s">
        <v>27694</v>
      </c>
      <c r="BA2787" s="3" t="s">
        <v>27694</v>
      </c>
      <c r="BB2787" s="3" t="s">
        <v>27695</v>
      </c>
      <c r="BC2787" s="3" t="s">
        <v>77</v>
      </c>
      <c r="BD2787" s="3" t="s">
        <v>78</v>
      </c>
      <c r="BE2787" s="3" t="s">
        <v>27696</v>
      </c>
      <c r="BF2787" s="3" t="s">
        <v>27695</v>
      </c>
      <c r="BG2787" s="3" t="s">
        <v>27697</v>
      </c>
    </row>
    <row r="2788" spans="1:59" ht="58" x14ac:dyDescent="0.35">
      <c r="A2788" s="2" t="s">
        <v>59</v>
      </c>
      <c r="B2788" s="2" t="s">
        <v>60</v>
      </c>
      <c r="C2788" s="2" t="s">
        <v>27698</v>
      </c>
      <c r="D2788" s="2" t="s">
        <v>27699</v>
      </c>
      <c r="E2788" s="2" t="s">
        <v>27700</v>
      </c>
      <c r="G2788" s="3" t="s">
        <v>65</v>
      </c>
      <c r="I2788" s="3" t="s">
        <v>65</v>
      </c>
      <c r="J2788" s="3" t="s">
        <v>65</v>
      </c>
      <c r="K2788" s="3" t="s">
        <v>66</v>
      </c>
      <c r="M2788" s="2" t="s">
        <v>27701</v>
      </c>
      <c r="N2788" s="3" t="s">
        <v>113</v>
      </c>
      <c r="P2788" s="3" t="s">
        <v>140</v>
      </c>
      <c r="R2788" s="3" t="s">
        <v>71</v>
      </c>
      <c r="S2788" s="4">
        <v>0</v>
      </c>
      <c r="T2788" s="4">
        <v>0</v>
      </c>
      <c r="W2788" s="5" t="s">
        <v>72</v>
      </c>
      <c r="X2788" s="5" t="s">
        <v>72</v>
      </c>
      <c r="Y2788" s="4">
        <v>24</v>
      </c>
      <c r="Z2788" s="4">
        <v>3</v>
      </c>
      <c r="AA2788" s="4">
        <v>3</v>
      </c>
      <c r="AB2788" s="4">
        <v>1</v>
      </c>
      <c r="AC2788" s="4">
        <v>1</v>
      </c>
      <c r="AD2788" s="4">
        <v>16</v>
      </c>
      <c r="AE2788" s="4">
        <v>16</v>
      </c>
      <c r="AF2788" s="4">
        <v>0</v>
      </c>
      <c r="AG2788" s="4">
        <v>0</v>
      </c>
      <c r="AH2788" s="4">
        <v>15</v>
      </c>
      <c r="AI2788" s="4">
        <v>15</v>
      </c>
      <c r="AJ2788" s="4">
        <v>1</v>
      </c>
      <c r="AK2788" s="4">
        <v>1</v>
      </c>
      <c r="AL2788" s="4">
        <v>14</v>
      </c>
      <c r="AM2788" s="4">
        <v>14</v>
      </c>
      <c r="AN2788" s="4">
        <v>0</v>
      </c>
      <c r="AO2788" s="4">
        <v>0</v>
      </c>
      <c r="AP2788" s="4">
        <v>1</v>
      </c>
      <c r="AQ2788" s="4">
        <v>1</v>
      </c>
      <c r="AR2788" s="3" t="s">
        <v>65</v>
      </c>
      <c r="AS2788" s="3" t="s">
        <v>65</v>
      </c>
      <c r="AT2788" s="3" t="s">
        <v>65</v>
      </c>
      <c r="AV2788" s="6" t="str">
        <f>HYPERLINK("http://mcgill.on.worldcat.org/oclc/656501980","Catalog Record")</f>
        <v>Catalog Record</v>
      </c>
      <c r="AW2788" s="6" t="str">
        <f>HYPERLINK("http://www.worldcat.org/oclc/656501980","WorldCat Record")</f>
        <v>WorldCat Record</v>
      </c>
      <c r="AX2788" s="3" t="s">
        <v>27702</v>
      </c>
      <c r="AY2788" s="3" t="s">
        <v>27703</v>
      </c>
      <c r="AZ2788" s="3" t="s">
        <v>27704</v>
      </c>
      <c r="BA2788" s="3" t="s">
        <v>27704</v>
      </c>
      <c r="BB2788" s="3" t="s">
        <v>27705</v>
      </c>
      <c r="BC2788" s="3" t="s">
        <v>77</v>
      </c>
      <c r="BD2788" s="3" t="s">
        <v>78</v>
      </c>
      <c r="BE2788" s="3" t="s">
        <v>27706</v>
      </c>
      <c r="BF2788" s="3" t="s">
        <v>27705</v>
      </c>
      <c r="BG2788" s="3" t="s">
        <v>27707</v>
      </c>
    </row>
    <row r="2789" spans="1:59" ht="58" x14ac:dyDescent="0.35">
      <c r="A2789" s="2" t="s">
        <v>59</v>
      </c>
      <c r="B2789" s="2" t="s">
        <v>60</v>
      </c>
      <c r="C2789" s="2" t="s">
        <v>27708</v>
      </c>
      <c r="D2789" s="2" t="s">
        <v>27709</v>
      </c>
      <c r="E2789" s="2" t="s">
        <v>27710</v>
      </c>
      <c r="G2789" s="3" t="s">
        <v>65</v>
      </c>
      <c r="I2789" s="3" t="s">
        <v>65</v>
      </c>
      <c r="J2789" s="3" t="s">
        <v>65</v>
      </c>
      <c r="K2789" s="3" t="s">
        <v>66</v>
      </c>
      <c r="L2789" s="2" t="s">
        <v>27711</v>
      </c>
      <c r="M2789" s="2" t="s">
        <v>27712</v>
      </c>
      <c r="N2789" s="3" t="s">
        <v>113</v>
      </c>
      <c r="P2789" s="3" t="s">
        <v>140</v>
      </c>
      <c r="R2789" s="3" t="s">
        <v>71</v>
      </c>
      <c r="S2789" s="4">
        <v>0</v>
      </c>
      <c r="T2789" s="4">
        <v>0</v>
      </c>
      <c r="W2789" s="5" t="s">
        <v>72</v>
      </c>
      <c r="X2789" s="5" t="s">
        <v>72</v>
      </c>
      <c r="Y2789" s="4">
        <v>33</v>
      </c>
      <c r="Z2789" s="4">
        <v>6</v>
      </c>
      <c r="AA2789" s="4">
        <v>6</v>
      </c>
      <c r="AB2789" s="4">
        <v>1</v>
      </c>
      <c r="AC2789" s="4">
        <v>1</v>
      </c>
      <c r="AD2789" s="4">
        <v>26</v>
      </c>
      <c r="AE2789" s="4">
        <v>26</v>
      </c>
      <c r="AF2789" s="4">
        <v>0</v>
      </c>
      <c r="AG2789" s="4">
        <v>0</v>
      </c>
      <c r="AH2789" s="4">
        <v>25</v>
      </c>
      <c r="AI2789" s="4">
        <v>25</v>
      </c>
      <c r="AJ2789" s="4">
        <v>4</v>
      </c>
      <c r="AK2789" s="4">
        <v>4</v>
      </c>
      <c r="AL2789" s="4">
        <v>19</v>
      </c>
      <c r="AM2789" s="4">
        <v>19</v>
      </c>
      <c r="AN2789" s="4">
        <v>0</v>
      </c>
      <c r="AO2789" s="4">
        <v>0</v>
      </c>
      <c r="AP2789" s="4">
        <v>4</v>
      </c>
      <c r="AQ2789" s="4">
        <v>4</v>
      </c>
      <c r="AR2789" s="3" t="s">
        <v>65</v>
      </c>
      <c r="AS2789" s="3" t="s">
        <v>65</v>
      </c>
      <c r="AT2789" s="3" t="s">
        <v>65</v>
      </c>
      <c r="AV2789" s="6" t="str">
        <f>HYPERLINK("http://mcgill.on.worldcat.org/oclc/724303798","Catalog Record")</f>
        <v>Catalog Record</v>
      </c>
      <c r="AW2789" s="6" t="str">
        <f>HYPERLINK("http://www.worldcat.org/oclc/724303798","WorldCat Record")</f>
        <v>WorldCat Record</v>
      </c>
      <c r="AX2789" s="3" t="s">
        <v>27713</v>
      </c>
      <c r="AY2789" s="3" t="s">
        <v>27714</v>
      </c>
      <c r="AZ2789" s="3" t="s">
        <v>27715</v>
      </c>
      <c r="BA2789" s="3" t="s">
        <v>27715</v>
      </c>
      <c r="BB2789" s="3" t="s">
        <v>27716</v>
      </c>
      <c r="BC2789" s="3" t="s">
        <v>77</v>
      </c>
      <c r="BD2789" s="3" t="s">
        <v>78</v>
      </c>
      <c r="BE2789" s="3" t="s">
        <v>27717</v>
      </c>
      <c r="BF2789" s="3" t="s">
        <v>27716</v>
      </c>
      <c r="BG2789" s="3" t="s">
        <v>27718</v>
      </c>
    </row>
    <row r="2790" spans="1:59" ht="58" x14ac:dyDescent="0.35">
      <c r="A2790" s="2" t="s">
        <v>59</v>
      </c>
      <c r="B2790" s="2" t="s">
        <v>60</v>
      </c>
      <c r="C2790" s="2" t="s">
        <v>27719</v>
      </c>
      <c r="D2790" s="2" t="s">
        <v>27720</v>
      </c>
      <c r="E2790" s="2" t="s">
        <v>27721</v>
      </c>
      <c r="G2790" s="3" t="s">
        <v>65</v>
      </c>
      <c r="I2790" s="3" t="s">
        <v>65</v>
      </c>
      <c r="J2790" s="3" t="s">
        <v>65</v>
      </c>
      <c r="K2790" s="3" t="s">
        <v>66</v>
      </c>
      <c r="L2790" s="2" t="s">
        <v>27722</v>
      </c>
      <c r="M2790" s="2" t="s">
        <v>27723</v>
      </c>
      <c r="N2790" s="3" t="s">
        <v>1032</v>
      </c>
      <c r="O2790" s="2" t="s">
        <v>365</v>
      </c>
      <c r="P2790" s="3" t="s">
        <v>140</v>
      </c>
      <c r="Q2790" s="2" t="s">
        <v>27724</v>
      </c>
      <c r="R2790" s="3" t="s">
        <v>71</v>
      </c>
      <c r="S2790" s="4">
        <v>5</v>
      </c>
      <c r="T2790" s="4">
        <v>5</v>
      </c>
      <c r="U2790" s="5" t="s">
        <v>18123</v>
      </c>
      <c r="V2790" s="5" t="s">
        <v>18123</v>
      </c>
      <c r="W2790" s="5" t="s">
        <v>72</v>
      </c>
      <c r="X2790" s="5" t="s">
        <v>72</v>
      </c>
      <c r="Y2790" s="4">
        <v>25</v>
      </c>
      <c r="Z2790" s="4">
        <v>4</v>
      </c>
      <c r="AA2790" s="4">
        <v>8</v>
      </c>
      <c r="AB2790" s="4">
        <v>1</v>
      </c>
      <c r="AC2790" s="4">
        <v>2</v>
      </c>
      <c r="AD2790" s="4">
        <v>15</v>
      </c>
      <c r="AE2790" s="4">
        <v>51</v>
      </c>
      <c r="AF2790" s="4">
        <v>0</v>
      </c>
      <c r="AG2790" s="4">
        <v>1</v>
      </c>
      <c r="AH2790" s="4">
        <v>15</v>
      </c>
      <c r="AI2790" s="4">
        <v>48</v>
      </c>
      <c r="AJ2790" s="4">
        <v>2</v>
      </c>
      <c r="AK2790" s="4">
        <v>5</v>
      </c>
      <c r="AL2790" s="4">
        <v>10</v>
      </c>
      <c r="AM2790" s="4">
        <v>35</v>
      </c>
      <c r="AN2790" s="4">
        <v>0</v>
      </c>
      <c r="AO2790" s="4">
        <v>1</v>
      </c>
      <c r="AP2790" s="4">
        <v>2</v>
      </c>
      <c r="AQ2790" s="4">
        <v>4</v>
      </c>
      <c r="AR2790" s="3" t="s">
        <v>65</v>
      </c>
      <c r="AS2790" s="3" t="s">
        <v>65</v>
      </c>
      <c r="AT2790" s="3" t="s">
        <v>65</v>
      </c>
      <c r="AV2790" s="6" t="str">
        <f>HYPERLINK("http://mcgill.on.worldcat.org/oclc/34040854","Catalog Record")</f>
        <v>Catalog Record</v>
      </c>
      <c r="AW2790" s="6" t="str">
        <f>HYPERLINK("http://www.worldcat.org/oclc/34040854","WorldCat Record")</f>
        <v>WorldCat Record</v>
      </c>
      <c r="AX2790" s="3" t="s">
        <v>27725</v>
      </c>
      <c r="AY2790" s="3" t="s">
        <v>27726</v>
      </c>
      <c r="AZ2790" s="3" t="s">
        <v>27727</v>
      </c>
      <c r="BA2790" s="3" t="s">
        <v>27727</v>
      </c>
      <c r="BB2790" s="3" t="s">
        <v>27728</v>
      </c>
      <c r="BC2790" s="3" t="s">
        <v>77</v>
      </c>
      <c r="BD2790" s="3" t="s">
        <v>78</v>
      </c>
      <c r="BE2790" s="3" t="s">
        <v>27729</v>
      </c>
      <c r="BF2790" s="3" t="s">
        <v>27728</v>
      </c>
      <c r="BG2790" s="3" t="s">
        <v>27730</v>
      </c>
    </row>
    <row r="2791" spans="1:59" ht="58" x14ac:dyDescent="0.35">
      <c r="A2791" s="2" t="s">
        <v>59</v>
      </c>
      <c r="B2791" s="2" t="s">
        <v>60</v>
      </c>
      <c r="C2791" s="2" t="s">
        <v>27731</v>
      </c>
      <c r="D2791" s="2" t="s">
        <v>27732</v>
      </c>
      <c r="E2791" s="2" t="s">
        <v>27733</v>
      </c>
      <c r="G2791" s="3" t="s">
        <v>65</v>
      </c>
      <c r="I2791" s="3" t="s">
        <v>65</v>
      </c>
      <c r="J2791" s="3" t="s">
        <v>65</v>
      </c>
      <c r="K2791" s="3" t="s">
        <v>66</v>
      </c>
      <c r="L2791" s="2" t="s">
        <v>27722</v>
      </c>
      <c r="M2791" s="2" t="s">
        <v>27734</v>
      </c>
      <c r="N2791" s="3" t="s">
        <v>2750</v>
      </c>
      <c r="P2791" s="3" t="s">
        <v>140</v>
      </c>
      <c r="Q2791" s="2" t="s">
        <v>27735</v>
      </c>
      <c r="R2791" s="3" t="s">
        <v>71</v>
      </c>
      <c r="S2791" s="4">
        <v>2</v>
      </c>
      <c r="T2791" s="4">
        <v>2</v>
      </c>
      <c r="U2791" s="5" t="s">
        <v>27736</v>
      </c>
      <c r="V2791" s="5" t="s">
        <v>27736</v>
      </c>
      <c r="W2791" s="5" t="s">
        <v>72</v>
      </c>
      <c r="X2791" s="5" t="s">
        <v>72</v>
      </c>
      <c r="Y2791" s="4">
        <v>37</v>
      </c>
      <c r="Z2791" s="4">
        <v>7</v>
      </c>
      <c r="AA2791" s="4">
        <v>7</v>
      </c>
      <c r="AB2791" s="4">
        <v>1</v>
      </c>
      <c r="AC2791" s="4">
        <v>1</v>
      </c>
      <c r="AD2791" s="4">
        <v>24</v>
      </c>
      <c r="AE2791" s="4">
        <v>24</v>
      </c>
      <c r="AF2791" s="4">
        <v>0</v>
      </c>
      <c r="AG2791" s="4">
        <v>0</v>
      </c>
      <c r="AH2791" s="4">
        <v>22</v>
      </c>
      <c r="AI2791" s="4">
        <v>22</v>
      </c>
      <c r="AJ2791" s="4">
        <v>5</v>
      </c>
      <c r="AK2791" s="4">
        <v>5</v>
      </c>
      <c r="AL2791" s="4">
        <v>15</v>
      </c>
      <c r="AM2791" s="4">
        <v>15</v>
      </c>
      <c r="AN2791" s="4">
        <v>0</v>
      </c>
      <c r="AO2791" s="4">
        <v>0</v>
      </c>
      <c r="AP2791" s="4">
        <v>5</v>
      </c>
      <c r="AQ2791" s="4">
        <v>5</v>
      </c>
      <c r="AR2791" s="3" t="s">
        <v>65</v>
      </c>
      <c r="AS2791" s="3" t="s">
        <v>65</v>
      </c>
      <c r="AT2791" s="3" t="s">
        <v>209</v>
      </c>
      <c r="AU2791" s="6" t="str">
        <f>HYPERLINK("http://catalog.hathitrust.org/Record/000744599","HathiTrust Record")</f>
        <v>HathiTrust Record</v>
      </c>
      <c r="AV2791" s="6" t="str">
        <f>HYPERLINK("http://mcgill.on.worldcat.org/oclc/2453772","Catalog Record")</f>
        <v>Catalog Record</v>
      </c>
      <c r="AW2791" s="6" t="str">
        <f>HYPERLINK("http://www.worldcat.org/oclc/2453772","WorldCat Record")</f>
        <v>WorldCat Record</v>
      </c>
      <c r="AX2791" s="3" t="s">
        <v>27737</v>
      </c>
      <c r="AY2791" s="3" t="s">
        <v>27738</v>
      </c>
      <c r="AZ2791" s="3" t="s">
        <v>27739</v>
      </c>
      <c r="BA2791" s="3" t="s">
        <v>27739</v>
      </c>
      <c r="BB2791" s="3" t="s">
        <v>27740</v>
      </c>
      <c r="BC2791" s="3" t="s">
        <v>77</v>
      </c>
      <c r="BD2791" s="3" t="s">
        <v>78</v>
      </c>
      <c r="BF2791" s="3" t="s">
        <v>27740</v>
      </c>
      <c r="BG2791" s="3" t="s">
        <v>27741</v>
      </c>
    </row>
    <row r="2792" spans="1:59" ht="87" x14ac:dyDescent="0.35">
      <c r="A2792" s="2" t="s">
        <v>59</v>
      </c>
      <c r="B2792" s="2" t="s">
        <v>60</v>
      </c>
      <c r="C2792" s="2" t="s">
        <v>27742</v>
      </c>
      <c r="D2792" s="2" t="s">
        <v>27743</v>
      </c>
      <c r="E2792" s="2" t="s">
        <v>27744</v>
      </c>
      <c r="G2792" s="3" t="s">
        <v>65</v>
      </c>
      <c r="I2792" s="3" t="s">
        <v>65</v>
      </c>
      <c r="J2792" s="3" t="s">
        <v>65</v>
      </c>
      <c r="K2792" s="3" t="s">
        <v>66</v>
      </c>
      <c r="L2792" s="2" t="s">
        <v>27722</v>
      </c>
      <c r="M2792" s="2" t="s">
        <v>27745</v>
      </c>
      <c r="N2792" s="3" t="s">
        <v>126</v>
      </c>
      <c r="P2792" s="3" t="s">
        <v>140</v>
      </c>
      <c r="Q2792" s="2" t="s">
        <v>27746</v>
      </c>
      <c r="R2792" s="3" t="s">
        <v>71</v>
      </c>
      <c r="S2792" s="4">
        <v>0</v>
      </c>
      <c r="T2792" s="4">
        <v>0</v>
      </c>
      <c r="W2792" s="5" t="s">
        <v>72</v>
      </c>
      <c r="X2792" s="5" t="s">
        <v>72</v>
      </c>
      <c r="Y2792" s="4">
        <v>41</v>
      </c>
      <c r="Z2792" s="4">
        <v>3</v>
      </c>
      <c r="AA2792" s="4">
        <v>3</v>
      </c>
      <c r="AB2792" s="4">
        <v>1</v>
      </c>
      <c r="AC2792" s="4">
        <v>1</v>
      </c>
      <c r="AD2792" s="4">
        <v>26</v>
      </c>
      <c r="AE2792" s="4">
        <v>26</v>
      </c>
      <c r="AF2792" s="4">
        <v>0</v>
      </c>
      <c r="AG2792" s="4">
        <v>0</v>
      </c>
      <c r="AH2792" s="4">
        <v>25</v>
      </c>
      <c r="AI2792" s="4">
        <v>25</v>
      </c>
      <c r="AJ2792" s="4">
        <v>1</v>
      </c>
      <c r="AK2792" s="4">
        <v>1</v>
      </c>
      <c r="AL2792" s="4">
        <v>20</v>
      </c>
      <c r="AM2792" s="4">
        <v>20</v>
      </c>
      <c r="AN2792" s="4">
        <v>0</v>
      </c>
      <c r="AO2792" s="4">
        <v>0</v>
      </c>
      <c r="AP2792" s="4">
        <v>1</v>
      </c>
      <c r="AQ2792" s="4">
        <v>1</v>
      </c>
      <c r="AR2792" s="3" t="s">
        <v>65</v>
      </c>
      <c r="AS2792" s="3" t="s">
        <v>65</v>
      </c>
      <c r="AT2792" s="3" t="s">
        <v>65</v>
      </c>
      <c r="AV2792" s="6" t="str">
        <f>HYPERLINK("http://mcgill.on.worldcat.org/oclc/747531528","Catalog Record")</f>
        <v>Catalog Record</v>
      </c>
      <c r="AW2792" s="6" t="str">
        <f>HYPERLINK("http://www.worldcat.org/oclc/747531528","WorldCat Record")</f>
        <v>WorldCat Record</v>
      </c>
      <c r="AX2792" s="3" t="s">
        <v>27747</v>
      </c>
      <c r="AY2792" s="3" t="s">
        <v>27748</v>
      </c>
      <c r="AZ2792" s="3" t="s">
        <v>27749</v>
      </c>
      <c r="BA2792" s="3" t="s">
        <v>27749</v>
      </c>
      <c r="BB2792" s="3" t="s">
        <v>27750</v>
      </c>
      <c r="BC2792" s="3" t="s">
        <v>77</v>
      </c>
      <c r="BD2792" s="3" t="s">
        <v>78</v>
      </c>
      <c r="BE2792" s="3" t="s">
        <v>27751</v>
      </c>
      <c r="BF2792" s="3" t="s">
        <v>27750</v>
      </c>
      <c r="BG2792" s="3" t="s">
        <v>27752</v>
      </c>
    </row>
    <row r="2793" spans="1:59" ht="58" x14ac:dyDescent="0.35">
      <c r="A2793" s="2" t="s">
        <v>59</v>
      </c>
      <c r="B2793" s="2" t="s">
        <v>60</v>
      </c>
      <c r="C2793" s="2" t="s">
        <v>27753</v>
      </c>
      <c r="D2793" s="2" t="s">
        <v>27754</v>
      </c>
      <c r="E2793" s="2" t="s">
        <v>27755</v>
      </c>
      <c r="F2793" s="3" t="s">
        <v>856</v>
      </c>
      <c r="G2793" s="3" t="s">
        <v>209</v>
      </c>
      <c r="I2793" s="3" t="s">
        <v>65</v>
      </c>
      <c r="J2793" s="3" t="s">
        <v>65</v>
      </c>
      <c r="K2793" s="3" t="s">
        <v>66</v>
      </c>
      <c r="L2793" s="2" t="s">
        <v>27722</v>
      </c>
      <c r="M2793" s="2" t="s">
        <v>27756</v>
      </c>
      <c r="N2793" s="3" t="s">
        <v>352</v>
      </c>
      <c r="O2793" s="2" t="s">
        <v>26116</v>
      </c>
      <c r="P2793" s="3" t="s">
        <v>140</v>
      </c>
      <c r="Q2793" s="2" t="s">
        <v>27757</v>
      </c>
      <c r="R2793" s="3" t="s">
        <v>71</v>
      </c>
      <c r="S2793" s="4">
        <v>0</v>
      </c>
      <c r="T2793" s="4">
        <v>18</v>
      </c>
      <c r="V2793" s="5" t="s">
        <v>25765</v>
      </c>
      <c r="W2793" s="5" t="s">
        <v>72</v>
      </c>
      <c r="X2793" s="5" t="s">
        <v>72</v>
      </c>
      <c r="Y2793" s="4">
        <v>94</v>
      </c>
      <c r="Z2793" s="4">
        <v>11</v>
      </c>
      <c r="AA2793" s="4">
        <v>11</v>
      </c>
      <c r="AB2793" s="4">
        <v>1</v>
      </c>
      <c r="AC2793" s="4">
        <v>1</v>
      </c>
      <c r="AD2793" s="4">
        <v>59</v>
      </c>
      <c r="AE2793" s="4">
        <v>60</v>
      </c>
      <c r="AF2793" s="4">
        <v>0</v>
      </c>
      <c r="AG2793" s="4">
        <v>0</v>
      </c>
      <c r="AH2793" s="4">
        <v>54</v>
      </c>
      <c r="AI2793" s="4">
        <v>55</v>
      </c>
      <c r="AJ2793" s="4">
        <v>8</v>
      </c>
      <c r="AK2793" s="4">
        <v>8</v>
      </c>
      <c r="AL2793" s="4">
        <v>33</v>
      </c>
      <c r="AM2793" s="4">
        <v>34</v>
      </c>
      <c r="AN2793" s="4">
        <v>0</v>
      </c>
      <c r="AO2793" s="4">
        <v>0</v>
      </c>
      <c r="AP2793" s="4">
        <v>9</v>
      </c>
      <c r="AQ2793" s="4">
        <v>9</v>
      </c>
      <c r="AR2793" s="3" t="s">
        <v>65</v>
      </c>
      <c r="AS2793" s="3" t="s">
        <v>65</v>
      </c>
      <c r="AT2793" s="3" t="s">
        <v>209</v>
      </c>
      <c r="AU2793" s="6" t="str">
        <f t="shared" ref="AU2793:AU2801" si="42">HYPERLINK("http://catalog.hathitrust.org/Record/001219584","HathiTrust Record")</f>
        <v>HathiTrust Record</v>
      </c>
      <c r="AV2793" s="6" t="str">
        <f t="shared" ref="AV2793:AV2801" si="43">HYPERLINK("http://mcgill.on.worldcat.org/oclc/2140853","Catalog Record")</f>
        <v>Catalog Record</v>
      </c>
      <c r="AW2793" s="6" t="str">
        <f t="shared" ref="AW2793:AW2801" si="44">HYPERLINK("http://www.worldcat.org/oclc/2140853","WorldCat Record")</f>
        <v>WorldCat Record</v>
      </c>
      <c r="AX2793" s="3" t="s">
        <v>27758</v>
      </c>
      <c r="AY2793" s="3" t="s">
        <v>27759</v>
      </c>
      <c r="AZ2793" s="3" t="s">
        <v>27760</v>
      </c>
      <c r="BA2793" s="3" t="s">
        <v>27760</v>
      </c>
      <c r="BB2793" s="3" t="s">
        <v>27761</v>
      </c>
      <c r="BC2793" s="3" t="s">
        <v>77</v>
      </c>
      <c r="BD2793" s="3" t="s">
        <v>78</v>
      </c>
      <c r="BF2793" s="3" t="s">
        <v>27761</v>
      </c>
      <c r="BG2793" s="3" t="s">
        <v>27762</v>
      </c>
    </row>
    <row r="2794" spans="1:59" ht="58" x14ac:dyDescent="0.35">
      <c r="A2794" s="2" t="s">
        <v>59</v>
      </c>
      <c r="B2794" s="2" t="s">
        <v>60</v>
      </c>
      <c r="C2794" s="2" t="s">
        <v>27753</v>
      </c>
      <c r="D2794" s="2" t="s">
        <v>27754</v>
      </c>
      <c r="E2794" s="2" t="s">
        <v>27755</v>
      </c>
      <c r="F2794" s="3" t="s">
        <v>9888</v>
      </c>
      <c r="G2794" s="3" t="s">
        <v>209</v>
      </c>
      <c r="I2794" s="3" t="s">
        <v>65</v>
      </c>
      <c r="J2794" s="3" t="s">
        <v>65</v>
      </c>
      <c r="K2794" s="3" t="s">
        <v>66</v>
      </c>
      <c r="L2794" s="2" t="s">
        <v>27722</v>
      </c>
      <c r="M2794" s="2" t="s">
        <v>27756</v>
      </c>
      <c r="N2794" s="3" t="s">
        <v>352</v>
      </c>
      <c r="O2794" s="2" t="s">
        <v>26116</v>
      </c>
      <c r="P2794" s="3" t="s">
        <v>140</v>
      </c>
      <c r="Q2794" s="2" t="s">
        <v>27757</v>
      </c>
      <c r="R2794" s="3" t="s">
        <v>71</v>
      </c>
      <c r="S2794" s="4">
        <v>10</v>
      </c>
      <c r="T2794" s="4">
        <v>18</v>
      </c>
      <c r="U2794" s="5" t="s">
        <v>25765</v>
      </c>
      <c r="V2794" s="5" t="s">
        <v>25765</v>
      </c>
      <c r="W2794" s="5" t="s">
        <v>72</v>
      </c>
      <c r="X2794" s="5" t="s">
        <v>72</v>
      </c>
      <c r="Y2794" s="4">
        <v>94</v>
      </c>
      <c r="Z2794" s="4">
        <v>11</v>
      </c>
      <c r="AA2794" s="4">
        <v>11</v>
      </c>
      <c r="AB2794" s="4">
        <v>1</v>
      </c>
      <c r="AC2794" s="4">
        <v>1</v>
      </c>
      <c r="AD2794" s="4">
        <v>59</v>
      </c>
      <c r="AE2794" s="4">
        <v>60</v>
      </c>
      <c r="AF2794" s="4">
        <v>0</v>
      </c>
      <c r="AG2794" s="4">
        <v>0</v>
      </c>
      <c r="AH2794" s="4">
        <v>54</v>
      </c>
      <c r="AI2794" s="4">
        <v>55</v>
      </c>
      <c r="AJ2794" s="4">
        <v>8</v>
      </c>
      <c r="AK2794" s="4">
        <v>8</v>
      </c>
      <c r="AL2794" s="4">
        <v>33</v>
      </c>
      <c r="AM2794" s="4">
        <v>34</v>
      </c>
      <c r="AN2794" s="4">
        <v>0</v>
      </c>
      <c r="AO2794" s="4">
        <v>0</v>
      </c>
      <c r="AP2794" s="4">
        <v>9</v>
      </c>
      <c r="AQ2794" s="4">
        <v>9</v>
      </c>
      <c r="AR2794" s="3" t="s">
        <v>65</v>
      </c>
      <c r="AS2794" s="3" t="s">
        <v>65</v>
      </c>
      <c r="AT2794" s="3" t="s">
        <v>209</v>
      </c>
      <c r="AU2794" s="6" t="str">
        <f t="shared" si="42"/>
        <v>HathiTrust Record</v>
      </c>
      <c r="AV2794" s="6" t="str">
        <f t="shared" si="43"/>
        <v>Catalog Record</v>
      </c>
      <c r="AW2794" s="6" t="str">
        <f t="shared" si="44"/>
        <v>WorldCat Record</v>
      </c>
      <c r="AX2794" s="3" t="s">
        <v>27758</v>
      </c>
      <c r="AY2794" s="3" t="s">
        <v>27759</v>
      </c>
      <c r="AZ2794" s="3" t="s">
        <v>27760</v>
      </c>
      <c r="BA2794" s="3" t="s">
        <v>27760</v>
      </c>
      <c r="BB2794" s="3" t="s">
        <v>27763</v>
      </c>
      <c r="BC2794" s="3" t="s">
        <v>77</v>
      </c>
      <c r="BD2794" s="3" t="s">
        <v>78</v>
      </c>
      <c r="BF2794" s="3" t="s">
        <v>27763</v>
      </c>
      <c r="BG2794" s="3" t="s">
        <v>27764</v>
      </c>
    </row>
    <row r="2795" spans="1:59" ht="58" x14ac:dyDescent="0.35">
      <c r="A2795" s="2" t="s">
        <v>59</v>
      </c>
      <c r="B2795" s="2" t="s">
        <v>60</v>
      </c>
      <c r="C2795" s="2" t="s">
        <v>27753</v>
      </c>
      <c r="D2795" s="2" t="s">
        <v>27754</v>
      </c>
      <c r="E2795" s="2" t="s">
        <v>27755</v>
      </c>
      <c r="F2795" s="3" t="s">
        <v>843</v>
      </c>
      <c r="G2795" s="3" t="s">
        <v>209</v>
      </c>
      <c r="I2795" s="3" t="s">
        <v>65</v>
      </c>
      <c r="J2795" s="3" t="s">
        <v>65</v>
      </c>
      <c r="K2795" s="3" t="s">
        <v>66</v>
      </c>
      <c r="L2795" s="2" t="s">
        <v>27722</v>
      </c>
      <c r="M2795" s="2" t="s">
        <v>27756</v>
      </c>
      <c r="N2795" s="3" t="s">
        <v>352</v>
      </c>
      <c r="O2795" s="2" t="s">
        <v>26116</v>
      </c>
      <c r="P2795" s="3" t="s">
        <v>140</v>
      </c>
      <c r="Q2795" s="2" t="s">
        <v>27757</v>
      </c>
      <c r="R2795" s="3" t="s">
        <v>71</v>
      </c>
      <c r="S2795" s="4">
        <v>0</v>
      </c>
      <c r="T2795" s="4">
        <v>18</v>
      </c>
      <c r="V2795" s="5" t="s">
        <v>25765</v>
      </c>
      <c r="W2795" s="5" t="s">
        <v>72</v>
      </c>
      <c r="X2795" s="5" t="s">
        <v>72</v>
      </c>
      <c r="Y2795" s="4">
        <v>94</v>
      </c>
      <c r="Z2795" s="4">
        <v>11</v>
      </c>
      <c r="AA2795" s="4">
        <v>11</v>
      </c>
      <c r="AB2795" s="4">
        <v>1</v>
      </c>
      <c r="AC2795" s="4">
        <v>1</v>
      </c>
      <c r="AD2795" s="4">
        <v>59</v>
      </c>
      <c r="AE2795" s="4">
        <v>60</v>
      </c>
      <c r="AF2795" s="4">
        <v>0</v>
      </c>
      <c r="AG2795" s="4">
        <v>0</v>
      </c>
      <c r="AH2795" s="4">
        <v>54</v>
      </c>
      <c r="AI2795" s="4">
        <v>55</v>
      </c>
      <c r="AJ2795" s="4">
        <v>8</v>
      </c>
      <c r="AK2795" s="4">
        <v>8</v>
      </c>
      <c r="AL2795" s="4">
        <v>33</v>
      </c>
      <c r="AM2795" s="4">
        <v>34</v>
      </c>
      <c r="AN2795" s="4">
        <v>0</v>
      </c>
      <c r="AO2795" s="4">
        <v>0</v>
      </c>
      <c r="AP2795" s="4">
        <v>9</v>
      </c>
      <c r="AQ2795" s="4">
        <v>9</v>
      </c>
      <c r="AR2795" s="3" t="s">
        <v>65</v>
      </c>
      <c r="AS2795" s="3" t="s">
        <v>65</v>
      </c>
      <c r="AT2795" s="3" t="s">
        <v>209</v>
      </c>
      <c r="AU2795" s="6" t="str">
        <f t="shared" si="42"/>
        <v>HathiTrust Record</v>
      </c>
      <c r="AV2795" s="6" t="str">
        <f t="shared" si="43"/>
        <v>Catalog Record</v>
      </c>
      <c r="AW2795" s="6" t="str">
        <f t="shared" si="44"/>
        <v>WorldCat Record</v>
      </c>
      <c r="AX2795" s="3" t="s">
        <v>27758</v>
      </c>
      <c r="AY2795" s="3" t="s">
        <v>27759</v>
      </c>
      <c r="AZ2795" s="3" t="s">
        <v>27760</v>
      </c>
      <c r="BA2795" s="3" t="s">
        <v>27760</v>
      </c>
      <c r="BB2795" s="3" t="s">
        <v>27765</v>
      </c>
      <c r="BC2795" s="3" t="s">
        <v>77</v>
      </c>
      <c r="BD2795" s="3" t="s">
        <v>78</v>
      </c>
      <c r="BF2795" s="3" t="s">
        <v>27765</v>
      </c>
      <c r="BG2795" s="3" t="s">
        <v>27766</v>
      </c>
    </row>
    <row r="2796" spans="1:59" ht="58" x14ac:dyDescent="0.35">
      <c r="A2796" s="2" t="s">
        <v>59</v>
      </c>
      <c r="B2796" s="2" t="s">
        <v>60</v>
      </c>
      <c r="C2796" s="2" t="s">
        <v>27753</v>
      </c>
      <c r="D2796" s="2" t="s">
        <v>27754</v>
      </c>
      <c r="E2796" s="2" t="s">
        <v>27755</v>
      </c>
      <c r="F2796" s="3" t="s">
        <v>850</v>
      </c>
      <c r="G2796" s="3" t="s">
        <v>209</v>
      </c>
      <c r="I2796" s="3" t="s">
        <v>65</v>
      </c>
      <c r="J2796" s="3" t="s">
        <v>65</v>
      </c>
      <c r="K2796" s="3" t="s">
        <v>66</v>
      </c>
      <c r="L2796" s="2" t="s">
        <v>27722</v>
      </c>
      <c r="M2796" s="2" t="s">
        <v>27756</v>
      </c>
      <c r="N2796" s="3" t="s">
        <v>352</v>
      </c>
      <c r="O2796" s="2" t="s">
        <v>26116</v>
      </c>
      <c r="P2796" s="3" t="s">
        <v>140</v>
      </c>
      <c r="Q2796" s="2" t="s">
        <v>27757</v>
      </c>
      <c r="R2796" s="3" t="s">
        <v>71</v>
      </c>
      <c r="S2796" s="4">
        <v>1</v>
      </c>
      <c r="T2796" s="4">
        <v>18</v>
      </c>
      <c r="U2796" s="5" t="s">
        <v>27767</v>
      </c>
      <c r="V2796" s="5" t="s">
        <v>25765</v>
      </c>
      <c r="W2796" s="5" t="s">
        <v>72</v>
      </c>
      <c r="X2796" s="5" t="s">
        <v>72</v>
      </c>
      <c r="Y2796" s="4">
        <v>94</v>
      </c>
      <c r="Z2796" s="4">
        <v>11</v>
      </c>
      <c r="AA2796" s="4">
        <v>11</v>
      </c>
      <c r="AB2796" s="4">
        <v>1</v>
      </c>
      <c r="AC2796" s="4">
        <v>1</v>
      </c>
      <c r="AD2796" s="4">
        <v>59</v>
      </c>
      <c r="AE2796" s="4">
        <v>60</v>
      </c>
      <c r="AF2796" s="4">
        <v>0</v>
      </c>
      <c r="AG2796" s="4">
        <v>0</v>
      </c>
      <c r="AH2796" s="4">
        <v>54</v>
      </c>
      <c r="AI2796" s="4">
        <v>55</v>
      </c>
      <c r="AJ2796" s="4">
        <v>8</v>
      </c>
      <c r="AK2796" s="4">
        <v>8</v>
      </c>
      <c r="AL2796" s="4">
        <v>33</v>
      </c>
      <c r="AM2796" s="4">
        <v>34</v>
      </c>
      <c r="AN2796" s="4">
        <v>0</v>
      </c>
      <c r="AO2796" s="4">
        <v>0</v>
      </c>
      <c r="AP2796" s="4">
        <v>9</v>
      </c>
      <c r="AQ2796" s="4">
        <v>9</v>
      </c>
      <c r="AR2796" s="3" t="s">
        <v>65</v>
      </c>
      <c r="AS2796" s="3" t="s">
        <v>65</v>
      </c>
      <c r="AT2796" s="3" t="s">
        <v>209</v>
      </c>
      <c r="AU2796" s="6" t="str">
        <f t="shared" si="42"/>
        <v>HathiTrust Record</v>
      </c>
      <c r="AV2796" s="6" t="str">
        <f t="shared" si="43"/>
        <v>Catalog Record</v>
      </c>
      <c r="AW2796" s="6" t="str">
        <f t="shared" si="44"/>
        <v>WorldCat Record</v>
      </c>
      <c r="AX2796" s="3" t="s">
        <v>27758</v>
      </c>
      <c r="AY2796" s="3" t="s">
        <v>27759</v>
      </c>
      <c r="AZ2796" s="3" t="s">
        <v>27760</v>
      </c>
      <c r="BA2796" s="3" t="s">
        <v>27760</v>
      </c>
      <c r="BB2796" s="3" t="s">
        <v>27768</v>
      </c>
      <c r="BC2796" s="3" t="s">
        <v>77</v>
      </c>
      <c r="BD2796" s="3" t="s">
        <v>78</v>
      </c>
      <c r="BF2796" s="3" t="s">
        <v>27768</v>
      </c>
      <c r="BG2796" s="3" t="s">
        <v>27769</v>
      </c>
    </row>
    <row r="2797" spans="1:59" ht="58" x14ac:dyDescent="0.35">
      <c r="A2797" s="2" t="s">
        <v>59</v>
      </c>
      <c r="B2797" s="2" t="s">
        <v>60</v>
      </c>
      <c r="C2797" s="2" t="s">
        <v>27753</v>
      </c>
      <c r="D2797" s="2" t="s">
        <v>27754</v>
      </c>
      <c r="E2797" s="2" t="s">
        <v>27755</v>
      </c>
      <c r="F2797" s="3" t="s">
        <v>9893</v>
      </c>
      <c r="G2797" s="3" t="s">
        <v>209</v>
      </c>
      <c r="I2797" s="3" t="s">
        <v>65</v>
      </c>
      <c r="J2797" s="3" t="s">
        <v>65</v>
      </c>
      <c r="K2797" s="3" t="s">
        <v>66</v>
      </c>
      <c r="L2797" s="2" t="s">
        <v>27722</v>
      </c>
      <c r="M2797" s="2" t="s">
        <v>27756</v>
      </c>
      <c r="N2797" s="3" t="s">
        <v>352</v>
      </c>
      <c r="O2797" s="2" t="s">
        <v>26116</v>
      </c>
      <c r="P2797" s="3" t="s">
        <v>140</v>
      </c>
      <c r="Q2797" s="2" t="s">
        <v>27757</v>
      </c>
      <c r="R2797" s="3" t="s">
        <v>71</v>
      </c>
      <c r="S2797" s="4">
        <v>0</v>
      </c>
      <c r="T2797" s="4">
        <v>18</v>
      </c>
      <c r="V2797" s="5" t="s">
        <v>25765</v>
      </c>
      <c r="W2797" s="5" t="s">
        <v>72</v>
      </c>
      <c r="X2797" s="5" t="s">
        <v>72</v>
      </c>
      <c r="Y2797" s="4">
        <v>94</v>
      </c>
      <c r="Z2797" s="4">
        <v>11</v>
      </c>
      <c r="AA2797" s="4">
        <v>11</v>
      </c>
      <c r="AB2797" s="4">
        <v>1</v>
      </c>
      <c r="AC2797" s="4">
        <v>1</v>
      </c>
      <c r="AD2797" s="4">
        <v>59</v>
      </c>
      <c r="AE2797" s="4">
        <v>60</v>
      </c>
      <c r="AF2797" s="4">
        <v>0</v>
      </c>
      <c r="AG2797" s="4">
        <v>0</v>
      </c>
      <c r="AH2797" s="4">
        <v>54</v>
      </c>
      <c r="AI2797" s="4">
        <v>55</v>
      </c>
      <c r="AJ2797" s="4">
        <v>8</v>
      </c>
      <c r="AK2797" s="4">
        <v>8</v>
      </c>
      <c r="AL2797" s="4">
        <v>33</v>
      </c>
      <c r="AM2797" s="4">
        <v>34</v>
      </c>
      <c r="AN2797" s="4">
        <v>0</v>
      </c>
      <c r="AO2797" s="4">
        <v>0</v>
      </c>
      <c r="AP2797" s="4">
        <v>9</v>
      </c>
      <c r="AQ2797" s="4">
        <v>9</v>
      </c>
      <c r="AR2797" s="3" t="s">
        <v>65</v>
      </c>
      <c r="AS2797" s="3" t="s">
        <v>65</v>
      </c>
      <c r="AT2797" s="3" t="s">
        <v>209</v>
      </c>
      <c r="AU2797" s="6" t="str">
        <f t="shared" si="42"/>
        <v>HathiTrust Record</v>
      </c>
      <c r="AV2797" s="6" t="str">
        <f t="shared" si="43"/>
        <v>Catalog Record</v>
      </c>
      <c r="AW2797" s="6" t="str">
        <f t="shared" si="44"/>
        <v>WorldCat Record</v>
      </c>
      <c r="AX2797" s="3" t="s">
        <v>27758</v>
      </c>
      <c r="AY2797" s="3" t="s">
        <v>27759</v>
      </c>
      <c r="AZ2797" s="3" t="s">
        <v>27760</v>
      </c>
      <c r="BA2797" s="3" t="s">
        <v>27760</v>
      </c>
      <c r="BB2797" s="3" t="s">
        <v>27770</v>
      </c>
      <c r="BC2797" s="3" t="s">
        <v>77</v>
      </c>
      <c r="BD2797" s="3" t="s">
        <v>78</v>
      </c>
      <c r="BF2797" s="3" t="s">
        <v>27770</v>
      </c>
      <c r="BG2797" s="3" t="s">
        <v>27771</v>
      </c>
    </row>
    <row r="2798" spans="1:59" ht="58" x14ac:dyDescent="0.35">
      <c r="A2798" s="2" t="s">
        <v>59</v>
      </c>
      <c r="B2798" s="2" t="s">
        <v>60</v>
      </c>
      <c r="C2798" s="2" t="s">
        <v>27753</v>
      </c>
      <c r="D2798" s="2" t="s">
        <v>27754</v>
      </c>
      <c r="E2798" s="2" t="s">
        <v>27755</v>
      </c>
      <c r="F2798" s="3" t="s">
        <v>503</v>
      </c>
      <c r="G2798" s="3" t="s">
        <v>209</v>
      </c>
      <c r="I2798" s="3" t="s">
        <v>65</v>
      </c>
      <c r="J2798" s="3" t="s">
        <v>65</v>
      </c>
      <c r="K2798" s="3" t="s">
        <v>66</v>
      </c>
      <c r="L2798" s="2" t="s">
        <v>27722</v>
      </c>
      <c r="M2798" s="2" t="s">
        <v>27756</v>
      </c>
      <c r="N2798" s="3" t="s">
        <v>352</v>
      </c>
      <c r="O2798" s="2" t="s">
        <v>26116</v>
      </c>
      <c r="P2798" s="3" t="s">
        <v>140</v>
      </c>
      <c r="Q2798" s="2" t="s">
        <v>27757</v>
      </c>
      <c r="R2798" s="3" t="s">
        <v>71</v>
      </c>
      <c r="S2798" s="4">
        <v>0</v>
      </c>
      <c r="T2798" s="4">
        <v>18</v>
      </c>
      <c r="V2798" s="5" t="s">
        <v>25765</v>
      </c>
      <c r="W2798" s="5" t="s">
        <v>72</v>
      </c>
      <c r="X2798" s="5" t="s">
        <v>72</v>
      </c>
      <c r="Y2798" s="4">
        <v>94</v>
      </c>
      <c r="Z2798" s="4">
        <v>11</v>
      </c>
      <c r="AA2798" s="4">
        <v>11</v>
      </c>
      <c r="AB2798" s="4">
        <v>1</v>
      </c>
      <c r="AC2798" s="4">
        <v>1</v>
      </c>
      <c r="AD2798" s="4">
        <v>59</v>
      </c>
      <c r="AE2798" s="4">
        <v>60</v>
      </c>
      <c r="AF2798" s="4">
        <v>0</v>
      </c>
      <c r="AG2798" s="4">
        <v>0</v>
      </c>
      <c r="AH2798" s="4">
        <v>54</v>
      </c>
      <c r="AI2798" s="4">
        <v>55</v>
      </c>
      <c r="AJ2798" s="4">
        <v>8</v>
      </c>
      <c r="AK2798" s="4">
        <v>8</v>
      </c>
      <c r="AL2798" s="4">
        <v>33</v>
      </c>
      <c r="AM2798" s="4">
        <v>34</v>
      </c>
      <c r="AN2798" s="4">
        <v>0</v>
      </c>
      <c r="AO2798" s="4">
        <v>0</v>
      </c>
      <c r="AP2798" s="4">
        <v>9</v>
      </c>
      <c r="AQ2798" s="4">
        <v>9</v>
      </c>
      <c r="AR2798" s="3" t="s">
        <v>65</v>
      </c>
      <c r="AS2798" s="3" t="s">
        <v>65</v>
      </c>
      <c r="AT2798" s="3" t="s">
        <v>209</v>
      </c>
      <c r="AU2798" s="6" t="str">
        <f t="shared" si="42"/>
        <v>HathiTrust Record</v>
      </c>
      <c r="AV2798" s="6" t="str">
        <f t="shared" si="43"/>
        <v>Catalog Record</v>
      </c>
      <c r="AW2798" s="6" t="str">
        <f t="shared" si="44"/>
        <v>WorldCat Record</v>
      </c>
      <c r="AX2798" s="3" t="s">
        <v>27758</v>
      </c>
      <c r="AY2798" s="3" t="s">
        <v>27759</v>
      </c>
      <c r="AZ2798" s="3" t="s">
        <v>27760</v>
      </c>
      <c r="BA2798" s="3" t="s">
        <v>27760</v>
      </c>
      <c r="BB2798" s="3" t="s">
        <v>27772</v>
      </c>
      <c r="BC2798" s="3" t="s">
        <v>77</v>
      </c>
      <c r="BD2798" s="3" t="s">
        <v>78</v>
      </c>
      <c r="BF2798" s="3" t="s">
        <v>27772</v>
      </c>
      <c r="BG2798" s="3" t="s">
        <v>27773</v>
      </c>
    </row>
    <row r="2799" spans="1:59" ht="58" x14ac:dyDescent="0.35">
      <c r="A2799" s="2" t="s">
        <v>59</v>
      </c>
      <c r="B2799" s="2" t="s">
        <v>60</v>
      </c>
      <c r="C2799" s="2" t="s">
        <v>27753</v>
      </c>
      <c r="D2799" s="2" t="s">
        <v>27754</v>
      </c>
      <c r="E2799" s="2" t="s">
        <v>27755</v>
      </c>
      <c r="F2799" s="3" t="s">
        <v>490</v>
      </c>
      <c r="G2799" s="3" t="s">
        <v>209</v>
      </c>
      <c r="I2799" s="3" t="s">
        <v>65</v>
      </c>
      <c r="J2799" s="3" t="s">
        <v>65</v>
      </c>
      <c r="K2799" s="3" t="s">
        <v>66</v>
      </c>
      <c r="L2799" s="2" t="s">
        <v>27722</v>
      </c>
      <c r="M2799" s="2" t="s">
        <v>27756</v>
      </c>
      <c r="N2799" s="3" t="s">
        <v>352</v>
      </c>
      <c r="O2799" s="2" t="s">
        <v>26116</v>
      </c>
      <c r="P2799" s="3" t="s">
        <v>140</v>
      </c>
      <c r="Q2799" s="2" t="s">
        <v>27757</v>
      </c>
      <c r="R2799" s="3" t="s">
        <v>71</v>
      </c>
      <c r="S2799" s="4">
        <v>7</v>
      </c>
      <c r="T2799" s="4">
        <v>18</v>
      </c>
      <c r="U2799" s="5" t="s">
        <v>5013</v>
      </c>
      <c r="V2799" s="5" t="s">
        <v>25765</v>
      </c>
      <c r="W2799" s="5" t="s">
        <v>72</v>
      </c>
      <c r="X2799" s="5" t="s">
        <v>72</v>
      </c>
      <c r="Y2799" s="4">
        <v>94</v>
      </c>
      <c r="Z2799" s="4">
        <v>11</v>
      </c>
      <c r="AA2799" s="4">
        <v>11</v>
      </c>
      <c r="AB2799" s="4">
        <v>1</v>
      </c>
      <c r="AC2799" s="4">
        <v>1</v>
      </c>
      <c r="AD2799" s="4">
        <v>59</v>
      </c>
      <c r="AE2799" s="4">
        <v>60</v>
      </c>
      <c r="AF2799" s="4">
        <v>0</v>
      </c>
      <c r="AG2799" s="4">
        <v>0</v>
      </c>
      <c r="AH2799" s="4">
        <v>54</v>
      </c>
      <c r="AI2799" s="4">
        <v>55</v>
      </c>
      <c r="AJ2799" s="4">
        <v>8</v>
      </c>
      <c r="AK2799" s="4">
        <v>8</v>
      </c>
      <c r="AL2799" s="4">
        <v>33</v>
      </c>
      <c r="AM2799" s="4">
        <v>34</v>
      </c>
      <c r="AN2799" s="4">
        <v>0</v>
      </c>
      <c r="AO2799" s="4">
        <v>0</v>
      </c>
      <c r="AP2799" s="4">
        <v>9</v>
      </c>
      <c r="AQ2799" s="4">
        <v>9</v>
      </c>
      <c r="AR2799" s="3" t="s">
        <v>65</v>
      </c>
      <c r="AS2799" s="3" t="s">
        <v>65</v>
      </c>
      <c r="AT2799" s="3" t="s">
        <v>209</v>
      </c>
      <c r="AU2799" s="6" t="str">
        <f t="shared" si="42"/>
        <v>HathiTrust Record</v>
      </c>
      <c r="AV2799" s="6" t="str">
        <f t="shared" si="43"/>
        <v>Catalog Record</v>
      </c>
      <c r="AW2799" s="6" t="str">
        <f t="shared" si="44"/>
        <v>WorldCat Record</v>
      </c>
      <c r="AX2799" s="3" t="s">
        <v>27758</v>
      </c>
      <c r="AY2799" s="3" t="s">
        <v>27759</v>
      </c>
      <c r="AZ2799" s="3" t="s">
        <v>27760</v>
      </c>
      <c r="BA2799" s="3" t="s">
        <v>27760</v>
      </c>
      <c r="BB2799" s="3" t="s">
        <v>27774</v>
      </c>
      <c r="BC2799" s="3" t="s">
        <v>77</v>
      </c>
      <c r="BD2799" s="3" t="s">
        <v>78</v>
      </c>
      <c r="BF2799" s="3" t="s">
        <v>27774</v>
      </c>
      <c r="BG2799" s="3" t="s">
        <v>27775</v>
      </c>
    </row>
    <row r="2800" spans="1:59" ht="58" x14ac:dyDescent="0.35">
      <c r="A2800" s="2" t="s">
        <v>59</v>
      </c>
      <c r="B2800" s="2" t="s">
        <v>60</v>
      </c>
      <c r="C2800" s="2" t="s">
        <v>27753</v>
      </c>
      <c r="D2800" s="2" t="s">
        <v>27754</v>
      </c>
      <c r="E2800" s="2" t="s">
        <v>27755</v>
      </c>
      <c r="F2800" s="3" t="s">
        <v>9892</v>
      </c>
      <c r="G2800" s="3" t="s">
        <v>209</v>
      </c>
      <c r="I2800" s="3" t="s">
        <v>65</v>
      </c>
      <c r="J2800" s="3" t="s">
        <v>65</v>
      </c>
      <c r="K2800" s="3" t="s">
        <v>66</v>
      </c>
      <c r="L2800" s="2" t="s">
        <v>27722</v>
      </c>
      <c r="M2800" s="2" t="s">
        <v>27756</v>
      </c>
      <c r="N2800" s="3" t="s">
        <v>352</v>
      </c>
      <c r="O2800" s="2" t="s">
        <v>26116</v>
      </c>
      <c r="P2800" s="3" t="s">
        <v>140</v>
      </c>
      <c r="Q2800" s="2" t="s">
        <v>27757</v>
      </c>
      <c r="R2800" s="3" t="s">
        <v>71</v>
      </c>
      <c r="S2800" s="4">
        <v>0</v>
      </c>
      <c r="T2800" s="4">
        <v>18</v>
      </c>
      <c r="V2800" s="5" t="s">
        <v>25765</v>
      </c>
      <c r="W2800" s="5" t="s">
        <v>72</v>
      </c>
      <c r="X2800" s="5" t="s">
        <v>72</v>
      </c>
      <c r="Y2800" s="4">
        <v>94</v>
      </c>
      <c r="Z2800" s="4">
        <v>11</v>
      </c>
      <c r="AA2800" s="4">
        <v>11</v>
      </c>
      <c r="AB2800" s="4">
        <v>1</v>
      </c>
      <c r="AC2800" s="4">
        <v>1</v>
      </c>
      <c r="AD2800" s="4">
        <v>59</v>
      </c>
      <c r="AE2800" s="4">
        <v>60</v>
      </c>
      <c r="AF2800" s="4">
        <v>0</v>
      </c>
      <c r="AG2800" s="4">
        <v>0</v>
      </c>
      <c r="AH2800" s="4">
        <v>54</v>
      </c>
      <c r="AI2800" s="4">
        <v>55</v>
      </c>
      <c r="AJ2800" s="4">
        <v>8</v>
      </c>
      <c r="AK2800" s="4">
        <v>8</v>
      </c>
      <c r="AL2800" s="4">
        <v>33</v>
      </c>
      <c r="AM2800" s="4">
        <v>34</v>
      </c>
      <c r="AN2800" s="4">
        <v>0</v>
      </c>
      <c r="AO2800" s="4">
        <v>0</v>
      </c>
      <c r="AP2800" s="4">
        <v>9</v>
      </c>
      <c r="AQ2800" s="4">
        <v>9</v>
      </c>
      <c r="AR2800" s="3" t="s">
        <v>65</v>
      </c>
      <c r="AS2800" s="3" t="s">
        <v>65</v>
      </c>
      <c r="AT2800" s="3" t="s">
        <v>209</v>
      </c>
      <c r="AU2800" s="6" t="str">
        <f t="shared" si="42"/>
        <v>HathiTrust Record</v>
      </c>
      <c r="AV2800" s="6" t="str">
        <f t="shared" si="43"/>
        <v>Catalog Record</v>
      </c>
      <c r="AW2800" s="6" t="str">
        <f t="shared" si="44"/>
        <v>WorldCat Record</v>
      </c>
      <c r="AX2800" s="3" t="s">
        <v>27758</v>
      </c>
      <c r="AY2800" s="3" t="s">
        <v>27759</v>
      </c>
      <c r="AZ2800" s="3" t="s">
        <v>27760</v>
      </c>
      <c r="BA2800" s="3" t="s">
        <v>27760</v>
      </c>
      <c r="BB2800" s="3" t="s">
        <v>27776</v>
      </c>
      <c r="BC2800" s="3" t="s">
        <v>77</v>
      </c>
      <c r="BD2800" s="3" t="s">
        <v>78</v>
      </c>
      <c r="BF2800" s="3" t="s">
        <v>27776</v>
      </c>
      <c r="BG2800" s="3" t="s">
        <v>27777</v>
      </c>
    </row>
    <row r="2801" spans="1:59" ht="58" x14ac:dyDescent="0.35">
      <c r="A2801" s="2" t="s">
        <v>59</v>
      </c>
      <c r="B2801" s="2" t="s">
        <v>60</v>
      </c>
      <c r="C2801" s="2" t="s">
        <v>27753</v>
      </c>
      <c r="D2801" s="2" t="s">
        <v>27754</v>
      </c>
      <c r="E2801" s="2" t="s">
        <v>27755</v>
      </c>
      <c r="F2801" s="3" t="s">
        <v>3103</v>
      </c>
      <c r="G2801" s="3" t="s">
        <v>209</v>
      </c>
      <c r="I2801" s="3" t="s">
        <v>65</v>
      </c>
      <c r="J2801" s="3" t="s">
        <v>65</v>
      </c>
      <c r="K2801" s="3" t="s">
        <v>66</v>
      </c>
      <c r="L2801" s="2" t="s">
        <v>27722</v>
      </c>
      <c r="M2801" s="2" t="s">
        <v>27756</v>
      </c>
      <c r="N2801" s="3" t="s">
        <v>352</v>
      </c>
      <c r="O2801" s="2" t="s">
        <v>26116</v>
      </c>
      <c r="P2801" s="3" t="s">
        <v>140</v>
      </c>
      <c r="Q2801" s="2" t="s">
        <v>27757</v>
      </c>
      <c r="R2801" s="3" t="s">
        <v>71</v>
      </c>
      <c r="S2801" s="4">
        <v>0</v>
      </c>
      <c r="T2801" s="4">
        <v>18</v>
      </c>
      <c r="V2801" s="5" t="s">
        <v>25765</v>
      </c>
      <c r="W2801" s="5" t="s">
        <v>72</v>
      </c>
      <c r="X2801" s="5" t="s">
        <v>72</v>
      </c>
      <c r="Y2801" s="4">
        <v>94</v>
      </c>
      <c r="Z2801" s="4">
        <v>11</v>
      </c>
      <c r="AA2801" s="4">
        <v>11</v>
      </c>
      <c r="AB2801" s="4">
        <v>1</v>
      </c>
      <c r="AC2801" s="4">
        <v>1</v>
      </c>
      <c r="AD2801" s="4">
        <v>59</v>
      </c>
      <c r="AE2801" s="4">
        <v>60</v>
      </c>
      <c r="AF2801" s="4">
        <v>0</v>
      </c>
      <c r="AG2801" s="4">
        <v>0</v>
      </c>
      <c r="AH2801" s="4">
        <v>54</v>
      </c>
      <c r="AI2801" s="4">
        <v>55</v>
      </c>
      <c r="AJ2801" s="4">
        <v>8</v>
      </c>
      <c r="AK2801" s="4">
        <v>8</v>
      </c>
      <c r="AL2801" s="4">
        <v>33</v>
      </c>
      <c r="AM2801" s="4">
        <v>34</v>
      </c>
      <c r="AN2801" s="4">
        <v>0</v>
      </c>
      <c r="AO2801" s="4">
        <v>0</v>
      </c>
      <c r="AP2801" s="4">
        <v>9</v>
      </c>
      <c r="AQ2801" s="4">
        <v>9</v>
      </c>
      <c r="AR2801" s="3" t="s">
        <v>65</v>
      </c>
      <c r="AS2801" s="3" t="s">
        <v>65</v>
      </c>
      <c r="AT2801" s="3" t="s">
        <v>209</v>
      </c>
      <c r="AU2801" s="6" t="str">
        <f t="shared" si="42"/>
        <v>HathiTrust Record</v>
      </c>
      <c r="AV2801" s="6" t="str">
        <f t="shared" si="43"/>
        <v>Catalog Record</v>
      </c>
      <c r="AW2801" s="6" t="str">
        <f t="shared" si="44"/>
        <v>WorldCat Record</v>
      </c>
      <c r="AX2801" s="3" t="s">
        <v>27758</v>
      </c>
      <c r="AY2801" s="3" t="s">
        <v>27759</v>
      </c>
      <c r="AZ2801" s="3" t="s">
        <v>27760</v>
      </c>
      <c r="BA2801" s="3" t="s">
        <v>27760</v>
      </c>
      <c r="BB2801" s="3" t="s">
        <v>27778</v>
      </c>
      <c r="BC2801" s="3" t="s">
        <v>77</v>
      </c>
      <c r="BD2801" s="3" t="s">
        <v>78</v>
      </c>
      <c r="BF2801" s="3" t="s">
        <v>27778</v>
      </c>
      <c r="BG2801" s="3" t="s">
        <v>27779</v>
      </c>
    </row>
    <row r="2802" spans="1:59" ht="58" x14ac:dyDescent="0.35">
      <c r="A2802" s="2" t="s">
        <v>59</v>
      </c>
      <c r="B2802" s="2" t="s">
        <v>60</v>
      </c>
      <c r="C2802" s="2" t="s">
        <v>27780</v>
      </c>
      <c r="D2802" s="2" t="s">
        <v>27781</v>
      </c>
      <c r="E2802" s="2" t="s">
        <v>27782</v>
      </c>
      <c r="F2802" s="3" t="s">
        <v>8207</v>
      </c>
      <c r="G2802" s="3" t="s">
        <v>209</v>
      </c>
      <c r="I2802" s="3" t="s">
        <v>65</v>
      </c>
      <c r="J2802" s="3" t="s">
        <v>65</v>
      </c>
      <c r="K2802" s="3" t="s">
        <v>66</v>
      </c>
      <c r="L2802" s="2" t="s">
        <v>27783</v>
      </c>
      <c r="M2802" s="2" t="s">
        <v>27784</v>
      </c>
      <c r="N2802" s="3" t="s">
        <v>8188</v>
      </c>
      <c r="O2802" s="2" t="s">
        <v>21359</v>
      </c>
      <c r="P2802" s="3" t="s">
        <v>140</v>
      </c>
      <c r="Q2802" s="2" t="s">
        <v>7116</v>
      </c>
      <c r="R2802" s="3" t="s">
        <v>71</v>
      </c>
      <c r="S2802" s="4">
        <v>2</v>
      </c>
      <c r="T2802" s="4">
        <v>3</v>
      </c>
      <c r="U2802" s="5" t="s">
        <v>27785</v>
      </c>
      <c r="V2802" s="5" t="s">
        <v>27785</v>
      </c>
      <c r="W2802" s="5" t="s">
        <v>72</v>
      </c>
      <c r="X2802" s="5" t="s">
        <v>72</v>
      </c>
      <c r="Y2802" s="4">
        <v>96</v>
      </c>
      <c r="Z2802" s="4">
        <v>7</v>
      </c>
      <c r="AA2802" s="4">
        <v>9</v>
      </c>
      <c r="AB2802" s="4">
        <v>1</v>
      </c>
      <c r="AC2802" s="4">
        <v>2</v>
      </c>
      <c r="AD2802" s="4">
        <v>49</v>
      </c>
      <c r="AE2802" s="4">
        <v>52</v>
      </c>
      <c r="AF2802" s="4">
        <v>0</v>
      </c>
      <c r="AG2802" s="4">
        <v>1</v>
      </c>
      <c r="AH2802" s="4">
        <v>47</v>
      </c>
      <c r="AI2802" s="4">
        <v>48</v>
      </c>
      <c r="AJ2802" s="4">
        <v>5</v>
      </c>
      <c r="AK2802" s="4">
        <v>7</v>
      </c>
      <c r="AL2802" s="4">
        <v>33</v>
      </c>
      <c r="AM2802" s="4">
        <v>34</v>
      </c>
      <c r="AN2802" s="4">
        <v>0</v>
      </c>
      <c r="AO2802" s="4">
        <v>0</v>
      </c>
      <c r="AP2802" s="4">
        <v>5</v>
      </c>
      <c r="AQ2802" s="4">
        <v>6</v>
      </c>
      <c r="AR2802" s="3" t="s">
        <v>65</v>
      </c>
      <c r="AS2802" s="3" t="s">
        <v>65</v>
      </c>
      <c r="AT2802" s="3" t="s">
        <v>209</v>
      </c>
      <c r="AU2802" s="6" t="str">
        <f>HYPERLINK("http://catalog.hathitrust.org/Record/000917415","HathiTrust Record")</f>
        <v>HathiTrust Record</v>
      </c>
      <c r="AV2802" s="6" t="str">
        <f>HYPERLINK("http://mcgill.on.worldcat.org/oclc/18424854","Catalog Record")</f>
        <v>Catalog Record</v>
      </c>
      <c r="AW2802" s="6" t="str">
        <f>HYPERLINK("http://www.worldcat.org/oclc/18424854","WorldCat Record")</f>
        <v>WorldCat Record</v>
      </c>
      <c r="AX2802" s="3" t="s">
        <v>27786</v>
      </c>
      <c r="AY2802" s="3" t="s">
        <v>27787</v>
      </c>
      <c r="AZ2802" s="3" t="s">
        <v>27788</v>
      </c>
      <c r="BA2802" s="3" t="s">
        <v>27788</v>
      </c>
      <c r="BB2802" s="3" t="s">
        <v>27789</v>
      </c>
      <c r="BC2802" s="3" t="s">
        <v>77</v>
      </c>
      <c r="BD2802" s="3" t="s">
        <v>78</v>
      </c>
      <c r="BE2802" s="3" t="s">
        <v>27790</v>
      </c>
      <c r="BF2802" s="3" t="s">
        <v>27789</v>
      </c>
      <c r="BG2802" s="3" t="s">
        <v>27791</v>
      </c>
    </row>
    <row r="2803" spans="1:59" ht="58" x14ac:dyDescent="0.35">
      <c r="A2803" s="2" t="s">
        <v>59</v>
      </c>
      <c r="B2803" s="2" t="s">
        <v>60</v>
      </c>
      <c r="C2803" s="2" t="s">
        <v>27780</v>
      </c>
      <c r="D2803" s="2" t="s">
        <v>27781</v>
      </c>
      <c r="E2803" s="2" t="s">
        <v>27782</v>
      </c>
      <c r="F2803" s="3" t="s">
        <v>16255</v>
      </c>
      <c r="G2803" s="3" t="s">
        <v>209</v>
      </c>
      <c r="I2803" s="3" t="s">
        <v>65</v>
      </c>
      <c r="J2803" s="3" t="s">
        <v>65</v>
      </c>
      <c r="K2803" s="3" t="s">
        <v>66</v>
      </c>
      <c r="L2803" s="2" t="s">
        <v>27783</v>
      </c>
      <c r="M2803" s="2" t="s">
        <v>27784</v>
      </c>
      <c r="N2803" s="3" t="s">
        <v>8188</v>
      </c>
      <c r="O2803" s="2" t="s">
        <v>21359</v>
      </c>
      <c r="P2803" s="3" t="s">
        <v>140</v>
      </c>
      <c r="Q2803" s="2" t="s">
        <v>7116</v>
      </c>
      <c r="R2803" s="3" t="s">
        <v>71</v>
      </c>
      <c r="S2803" s="4">
        <v>1</v>
      </c>
      <c r="T2803" s="4">
        <v>3</v>
      </c>
      <c r="U2803" s="5" t="s">
        <v>27785</v>
      </c>
      <c r="V2803" s="5" t="s">
        <v>27785</v>
      </c>
      <c r="W2803" s="5" t="s">
        <v>72</v>
      </c>
      <c r="X2803" s="5" t="s">
        <v>72</v>
      </c>
      <c r="Y2803" s="4">
        <v>96</v>
      </c>
      <c r="Z2803" s="4">
        <v>7</v>
      </c>
      <c r="AA2803" s="4">
        <v>9</v>
      </c>
      <c r="AB2803" s="4">
        <v>1</v>
      </c>
      <c r="AC2803" s="4">
        <v>2</v>
      </c>
      <c r="AD2803" s="4">
        <v>49</v>
      </c>
      <c r="AE2803" s="4">
        <v>52</v>
      </c>
      <c r="AF2803" s="4">
        <v>0</v>
      </c>
      <c r="AG2803" s="4">
        <v>1</v>
      </c>
      <c r="AH2803" s="4">
        <v>47</v>
      </c>
      <c r="AI2803" s="4">
        <v>48</v>
      </c>
      <c r="AJ2803" s="4">
        <v>5</v>
      </c>
      <c r="AK2803" s="4">
        <v>7</v>
      </c>
      <c r="AL2803" s="4">
        <v>33</v>
      </c>
      <c r="AM2803" s="4">
        <v>34</v>
      </c>
      <c r="AN2803" s="4">
        <v>0</v>
      </c>
      <c r="AO2803" s="4">
        <v>0</v>
      </c>
      <c r="AP2803" s="4">
        <v>5</v>
      </c>
      <c r="AQ2803" s="4">
        <v>6</v>
      </c>
      <c r="AR2803" s="3" t="s">
        <v>65</v>
      </c>
      <c r="AS2803" s="3" t="s">
        <v>65</v>
      </c>
      <c r="AT2803" s="3" t="s">
        <v>209</v>
      </c>
      <c r="AU2803" s="6" t="str">
        <f>HYPERLINK("http://catalog.hathitrust.org/Record/000917415","HathiTrust Record")</f>
        <v>HathiTrust Record</v>
      </c>
      <c r="AV2803" s="6" t="str">
        <f>HYPERLINK("http://mcgill.on.worldcat.org/oclc/18424854","Catalog Record")</f>
        <v>Catalog Record</v>
      </c>
      <c r="AW2803" s="6" t="str">
        <f>HYPERLINK("http://www.worldcat.org/oclc/18424854","WorldCat Record")</f>
        <v>WorldCat Record</v>
      </c>
      <c r="AX2803" s="3" t="s">
        <v>27786</v>
      </c>
      <c r="AY2803" s="3" t="s">
        <v>27787</v>
      </c>
      <c r="AZ2803" s="3" t="s">
        <v>27788</v>
      </c>
      <c r="BA2803" s="3" t="s">
        <v>27788</v>
      </c>
      <c r="BB2803" s="3" t="s">
        <v>27792</v>
      </c>
      <c r="BC2803" s="3" t="s">
        <v>77</v>
      </c>
      <c r="BD2803" s="3" t="s">
        <v>78</v>
      </c>
      <c r="BE2803" s="3" t="s">
        <v>27790</v>
      </c>
      <c r="BF2803" s="3" t="s">
        <v>27792</v>
      </c>
      <c r="BG2803" s="3" t="s">
        <v>27793</v>
      </c>
    </row>
    <row r="2804" spans="1:59" ht="58" x14ac:dyDescent="0.35">
      <c r="A2804" s="2" t="s">
        <v>59</v>
      </c>
      <c r="B2804" s="2" t="s">
        <v>60</v>
      </c>
      <c r="C2804" s="2" t="s">
        <v>27794</v>
      </c>
      <c r="D2804" s="2" t="s">
        <v>27795</v>
      </c>
      <c r="E2804" s="2" t="s">
        <v>27796</v>
      </c>
      <c r="G2804" s="3" t="s">
        <v>65</v>
      </c>
      <c r="I2804" s="3" t="s">
        <v>65</v>
      </c>
      <c r="J2804" s="3" t="s">
        <v>209</v>
      </c>
      <c r="K2804" s="3" t="s">
        <v>66</v>
      </c>
      <c r="L2804" s="2" t="s">
        <v>27783</v>
      </c>
      <c r="M2804" s="2" t="s">
        <v>27797</v>
      </c>
      <c r="N2804" s="3" t="s">
        <v>2210</v>
      </c>
      <c r="P2804" s="3" t="s">
        <v>140</v>
      </c>
      <c r="Q2804" s="2" t="s">
        <v>27798</v>
      </c>
      <c r="R2804" s="3" t="s">
        <v>71</v>
      </c>
      <c r="S2804" s="4">
        <v>1</v>
      </c>
      <c r="T2804" s="4">
        <v>1</v>
      </c>
      <c r="U2804" s="5" t="s">
        <v>27799</v>
      </c>
      <c r="V2804" s="5" t="s">
        <v>27799</v>
      </c>
      <c r="W2804" s="5" t="s">
        <v>72</v>
      </c>
      <c r="X2804" s="5" t="s">
        <v>72</v>
      </c>
      <c r="Y2804" s="4">
        <v>6</v>
      </c>
      <c r="Z2804" s="4">
        <v>1</v>
      </c>
      <c r="AA2804" s="4">
        <v>6</v>
      </c>
      <c r="AB2804" s="4">
        <v>1</v>
      </c>
      <c r="AC2804" s="4">
        <v>3</v>
      </c>
      <c r="AD2804" s="4">
        <v>0</v>
      </c>
      <c r="AE2804" s="4">
        <v>36</v>
      </c>
      <c r="AF2804" s="4">
        <v>0</v>
      </c>
      <c r="AG2804" s="4">
        <v>1</v>
      </c>
      <c r="AH2804" s="4">
        <v>0</v>
      </c>
      <c r="AI2804" s="4">
        <v>33</v>
      </c>
      <c r="AJ2804" s="4">
        <v>0</v>
      </c>
      <c r="AK2804" s="4">
        <v>2</v>
      </c>
      <c r="AL2804" s="4">
        <v>0</v>
      </c>
      <c r="AM2804" s="4">
        <v>26</v>
      </c>
      <c r="AN2804" s="4">
        <v>0</v>
      </c>
      <c r="AO2804" s="4">
        <v>0</v>
      </c>
      <c r="AP2804" s="4">
        <v>0</v>
      </c>
      <c r="AQ2804" s="4">
        <v>2</v>
      </c>
      <c r="AR2804" s="3" t="s">
        <v>65</v>
      </c>
      <c r="AS2804" s="3" t="s">
        <v>65</v>
      </c>
      <c r="AT2804" s="3" t="s">
        <v>209</v>
      </c>
      <c r="AU2804" s="6" t="str">
        <f>HYPERLINK("http://catalog.hathitrust.org/Record/004303307","HathiTrust Record")</f>
        <v>HathiTrust Record</v>
      </c>
      <c r="AV2804" s="6" t="str">
        <f>HYPERLINK("http://mcgill.on.worldcat.org/oclc/427516950","Catalog Record")</f>
        <v>Catalog Record</v>
      </c>
      <c r="AW2804" s="6" t="str">
        <f>HYPERLINK("http://www.worldcat.org/oclc/427516950","WorldCat Record")</f>
        <v>WorldCat Record</v>
      </c>
      <c r="AX2804" s="3" t="s">
        <v>27800</v>
      </c>
      <c r="AY2804" s="3" t="s">
        <v>27801</v>
      </c>
      <c r="AZ2804" s="3" t="s">
        <v>27802</v>
      </c>
      <c r="BA2804" s="3" t="s">
        <v>27802</v>
      </c>
      <c r="BB2804" s="3" t="s">
        <v>27803</v>
      </c>
      <c r="BC2804" s="3" t="s">
        <v>77</v>
      </c>
      <c r="BD2804" s="3" t="s">
        <v>78</v>
      </c>
      <c r="BE2804" s="3" t="s">
        <v>27804</v>
      </c>
      <c r="BF2804" s="3" t="s">
        <v>27803</v>
      </c>
      <c r="BG2804" s="3" t="s">
        <v>27805</v>
      </c>
    </row>
    <row r="2805" spans="1:59" ht="58" x14ac:dyDescent="0.35">
      <c r="A2805" s="2" t="s">
        <v>59</v>
      </c>
      <c r="B2805" s="2" t="s">
        <v>60</v>
      </c>
      <c r="C2805" s="2" t="s">
        <v>27806</v>
      </c>
      <c r="D2805" s="2" t="s">
        <v>27807</v>
      </c>
      <c r="E2805" s="2" t="s">
        <v>27796</v>
      </c>
      <c r="G2805" s="3" t="s">
        <v>65</v>
      </c>
      <c r="I2805" s="3" t="s">
        <v>65</v>
      </c>
      <c r="J2805" s="3" t="s">
        <v>209</v>
      </c>
      <c r="K2805" s="3" t="s">
        <v>66</v>
      </c>
      <c r="L2805" s="2" t="s">
        <v>27783</v>
      </c>
      <c r="M2805" s="2" t="s">
        <v>27808</v>
      </c>
      <c r="N2805" s="3" t="s">
        <v>1122</v>
      </c>
      <c r="P2805" s="3" t="s">
        <v>140</v>
      </c>
      <c r="Q2805" s="2" t="s">
        <v>27809</v>
      </c>
      <c r="R2805" s="3" t="s">
        <v>71</v>
      </c>
      <c r="S2805" s="4">
        <v>1</v>
      </c>
      <c r="T2805" s="4">
        <v>1</v>
      </c>
      <c r="U2805" s="5" t="s">
        <v>23101</v>
      </c>
      <c r="V2805" s="5" t="s">
        <v>23101</v>
      </c>
      <c r="W2805" s="5" t="s">
        <v>72</v>
      </c>
      <c r="X2805" s="5" t="s">
        <v>72</v>
      </c>
      <c r="Y2805" s="4">
        <v>31</v>
      </c>
      <c r="Z2805" s="4">
        <v>5</v>
      </c>
      <c r="AA2805" s="4">
        <v>6</v>
      </c>
      <c r="AB2805" s="4">
        <v>2</v>
      </c>
      <c r="AC2805" s="4">
        <v>3</v>
      </c>
      <c r="AD2805" s="4">
        <v>23</v>
      </c>
      <c r="AE2805" s="4">
        <v>36</v>
      </c>
      <c r="AF2805" s="4">
        <v>0</v>
      </c>
      <c r="AG2805" s="4">
        <v>1</v>
      </c>
      <c r="AH2805" s="4">
        <v>21</v>
      </c>
      <c r="AI2805" s="4">
        <v>33</v>
      </c>
      <c r="AJ2805" s="4">
        <v>1</v>
      </c>
      <c r="AK2805" s="4">
        <v>2</v>
      </c>
      <c r="AL2805" s="4">
        <v>18</v>
      </c>
      <c r="AM2805" s="4">
        <v>26</v>
      </c>
      <c r="AN2805" s="4">
        <v>0</v>
      </c>
      <c r="AO2805" s="4">
        <v>0</v>
      </c>
      <c r="AP2805" s="4">
        <v>2</v>
      </c>
      <c r="AQ2805" s="4">
        <v>2</v>
      </c>
      <c r="AR2805" s="3" t="s">
        <v>65</v>
      </c>
      <c r="AS2805" s="3" t="s">
        <v>65</v>
      </c>
      <c r="AT2805" s="3" t="s">
        <v>209</v>
      </c>
      <c r="AU2805" s="6" t="str">
        <f>HYPERLINK("http://catalog.hathitrust.org/Record/006778466","HathiTrust Record")</f>
        <v>HathiTrust Record</v>
      </c>
      <c r="AV2805" s="6" t="str">
        <f>HYPERLINK("http://mcgill.on.worldcat.org/oclc/318871436","Catalog Record")</f>
        <v>Catalog Record</v>
      </c>
      <c r="AW2805" s="6" t="str">
        <f>HYPERLINK("http://www.worldcat.org/oclc/318871436","WorldCat Record")</f>
        <v>WorldCat Record</v>
      </c>
      <c r="AX2805" s="3" t="s">
        <v>27800</v>
      </c>
      <c r="AY2805" s="3" t="s">
        <v>27810</v>
      </c>
      <c r="AZ2805" s="3" t="s">
        <v>27811</v>
      </c>
      <c r="BA2805" s="3" t="s">
        <v>27811</v>
      </c>
      <c r="BB2805" s="3" t="s">
        <v>27812</v>
      </c>
      <c r="BC2805" s="3" t="s">
        <v>77</v>
      </c>
      <c r="BD2805" s="3" t="s">
        <v>78</v>
      </c>
      <c r="BE2805" s="3" t="s">
        <v>27813</v>
      </c>
      <c r="BF2805" s="3" t="s">
        <v>27812</v>
      </c>
      <c r="BG2805" s="3" t="s">
        <v>27814</v>
      </c>
    </row>
    <row r="2806" spans="1:59" ht="58" x14ac:dyDescent="0.35">
      <c r="A2806" s="2" t="s">
        <v>59</v>
      </c>
      <c r="B2806" s="2" t="s">
        <v>60</v>
      </c>
      <c r="C2806" s="2" t="s">
        <v>27815</v>
      </c>
      <c r="D2806" s="2" t="s">
        <v>27816</v>
      </c>
      <c r="E2806" s="2" t="s">
        <v>27817</v>
      </c>
      <c r="G2806" s="3" t="s">
        <v>65</v>
      </c>
      <c r="I2806" s="3" t="s">
        <v>65</v>
      </c>
      <c r="J2806" s="3" t="s">
        <v>65</v>
      </c>
      <c r="K2806" s="3" t="s">
        <v>66</v>
      </c>
      <c r="L2806" s="2" t="s">
        <v>27783</v>
      </c>
      <c r="M2806" s="2" t="s">
        <v>27818</v>
      </c>
      <c r="N2806" s="3" t="s">
        <v>2377</v>
      </c>
      <c r="O2806" s="2" t="s">
        <v>22707</v>
      </c>
      <c r="P2806" s="3" t="s">
        <v>140</v>
      </c>
      <c r="Q2806" s="2" t="s">
        <v>27819</v>
      </c>
      <c r="R2806" s="3" t="s">
        <v>71</v>
      </c>
      <c r="S2806" s="4">
        <v>3</v>
      </c>
      <c r="T2806" s="4">
        <v>3</v>
      </c>
      <c r="U2806" s="5" t="s">
        <v>23101</v>
      </c>
      <c r="V2806" s="5" t="s">
        <v>23101</v>
      </c>
      <c r="W2806" s="5" t="s">
        <v>72</v>
      </c>
      <c r="X2806" s="5" t="s">
        <v>72</v>
      </c>
      <c r="Y2806" s="4">
        <v>52</v>
      </c>
      <c r="Z2806" s="4">
        <v>3</v>
      </c>
      <c r="AA2806" s="4">
        <v>3</v>
      </c>
      <c r="AB2806" s="4">
        <v>1</v>
      </c>
      <c r="AC2806" s="4">
        <v>1</v>
      </c>
      <c r="AD2806" s="4">
        <v>34</v>
      </c>
      <c r="AE2806" s="4">
        <v>34</v>
      </c>
      <c r="AF2806" s="4">
        <v>0</v>
      </c>
      <c r="AG2806" s="4">
        <v>0</v>
      </c>
      <c r="AH2806" s="4">
        <v>33</v>
      </c>
      <c r="AI2806" s="4">
        <v>33</v>
      </c>
      <c r="AJ2806" s="4">
        <v>1</v>
      </c>
      <c r="AK2806" s="4">
        <v>1</v>
      </c>
      <c r="AL2806" s="4">
        <v>26</v>
      </c>
      <c r="AM2806" s="4">
        <v>26</v>
      </c>
      <c r="AN2806" s="4">
        <v>0</v>
      </c>
      <c r="AO2806" s="4">
        <v>0</v>
      </c>
      <c r="AP2806" s="4">
        <v>1</v>
      </c>
      <c r="AQ2806" s="4">
        <v>1</v>
      </c>
      <c r="AR2806" s="3" t="s">
        <v>65</v>
      </c>
      <c r="AS2806" s="3" t="s">
        <v>65</v>
      </c>
      <c r="AT2806" s="3" t="s">
        <v>209</v>
      </c>
      <c r="AU2806" s="6" t="str">
        <f>HYPERLINK("http://catalog.hathitrust.org/Record/002455862","HathiTrust Record")</f>
        <v>HathiTrust Record</v>
      </c>
      <c r="AV2806" s="6" t="str">
        <f>HYPERLINK("http://mcgill.on.worldcat.org/oclc/23614632","Catalog Record")</f>
        <v>Catalog Record</v>
      </c>
      <c r="AW2806" s="6" t="str">
        <f>HYPERLINK("http://www.worldcat.org/oclc/23614632","WorldCat Record")</f>
        <v>WorldCat Record</v>
      </c>
      <c r="AX2806" s="3" t="s">
        <v>27820</v>
      </c>
      <c r="AY2806" s="3" t="s">
        <v>27821</v>
      </c>
      <c r="AZ2806" s="3" t="s">
        <v>27822</v>
      </c>
      <c r="BA2806" s="3" t="s">
        <v>27822</v>
      </c>
      <c r="BB2806" s="3" t="s">
        <v>27823</v>
      </c>
      <c r="BC2806" s="3" t="s">
        <v>77</v>
      </c>
      <c r="BD2806" s="3" t="s">
        <v>78</v>
      </c>
      <c r="BE2806" s="3" t="s">
        <v>27824</v>
      </c>
      <c r="BF2806" s="3" t="s">
        <v>27823</v>
      </c>
      <c r="BG2806" s="3" t="s">
        <v>27825</v>
      </c>
    </row>
    <row r="2807" spans="1:59" ht="58" x14ac:dyDescent="0.35">
      <c r="A2807" s="2" t="s">
        <v>59</v>
      </c>
      <c r="B2807" s="2" t="s">
        <v>60</v>
      </c>
      <c r="C2807" s="2" t="s">
        <v>27826</v>
      </c>
      <c r="D2807" s="2" t="s">
        <v>27827</v>
      </c>
      <c r="E2807" s="2" t="s">
        <v>27828</v>
      </c>
      <c r="G2807" s="3" t="s">
        <v>65</v>
      </c>
      <c r="I2807" s="3" t="s">
        <v>65</v>
      </c>
      <c r="J2807" s="3" t="s">
        <v>65</v>
      </c>
      <c r="K2807" s="3" t="s">
        <v>66</v>
      </c>
      <c r="L2807" s="2" t="s">
        <v>27829</v>
      </c>
      <c r="M2807" s="2" t="s">
        <v>27830</v>
      </c>
      <c r="N2807" s="3" t="s">
        <v>126</v>
      </c>
      <c r="O2807" s="2" t="s">
        <v>235</v>
      </c>
      <c r="P2807" s="3" t="s">
        <v>140</v>
      </c>
      <c r="Q2807" s="2" t="s">
        <v>27831</v>
      </c>
      <c r="R2807" s="3" t="s">
        <v>71</v>
      </c>
      <c r="S2807" s="4">
        <v>0</v>
      </c>
      <c r="T2807" s="4">
        <v>0</v>
      </c>
      <c r="W2807" s="5" t="s">
        <v>72</v>
      </c>
      <c r="X2807" s="5" t="s">
        <v>72</v>
      </c>
      <c r="Y2807" s="4">
        <v>31</v>
      </c>
      <c r="Z2807" s="4">
        <v>3</v>
      </c>
      <c r="AA2807" s="4">
        <v>3</v>
      </c>
      <c r="AB2807" s="4">
        <v>1</v>
      </c>
      <c r="AC2807" s="4">
        <v>1</v>
      </c>
      <c r="AD2807" s="4">
        <v>22</v>
      </c>
      <c r="AE2807" s="4">
        <v>22</v>
      </c>
      <c r="AF2807" s="4">
        <v>0</v>
      </c>
      <c r="AG2807" s="4">
        <v>0</v>
      </c>
      <c r="AH2807" s="4">
        <v>21</v>
      </c>
      <c r="AI2807" s="4">
        <v>21</v>
      </c>
      <c r="AJ2807" s="4">
        <v>1</v>
      </c>
      <c r="AK2807" s="4">
        <v>1</v>
      </c>
      <c r="AL2807" s="4">
        <v>19</v>
      </c>
      <c r="AM2807" s="4">
        <v>19</v>
      </c>
      <c r="AN2807" s="4">
        <v>0</v>
      </c>
      <c r="AO2807" s="4">
        <v>0</v>
      </c>
      <c r="AP2807" s="4">
        <v>1</v>
      </c>
      <c r="AQ2807" s="4">
        <v>1</v>
      </c>
      <c r="AR2807" s="3" t="s">
        <v>65</v>
      </c>
      <c r="AS2807" s="3" t="s">
        <v>65</v>
      </c>
      <c r="AT2807" s="3" t="s">
        <v>65</v>
      </c>
      <c r="AV2807" s="6" t="str">
        <f>HYPERLINK("http://mcgill.on.worldcat.org/oclc/840403815","Catalog Record")</f>
        <v>Catalog Record</v>
      </c>
      <c r="AW2807" s="6" t="str">
        <f>HYPERLINK("http://www.worldcat.org/oclc/840403815","WorldCat Record")</f>
        <v>WorldCat Record</v>
      </c>
      <c r="AX2807" s="3" t="s">
        <v>27832</v>
      </c>
      <c r="AY2807" s="3" t="s">
        <v>27833</v>
      </c>
      <c r="AZ2807" s="3" t="s">
        <v>27834</v>
      </c>
      <c r="BA2807" s="3" t="s">
        <v>27834</v>
      </c>
      <c r="BB2807" s="3" t="s">
        <v>27835</v>
      </c>
      <c r="BC2807" s="3" t="s">
        <v>77</v>
      </c>
      <c r="BD2807" s="3" t="s">
        <v>78</v>
      </c>
      <c r="BE2807" s="3" t="s">
        <v>27836</v>
      </c>
      <c r="BF2807" s="3" t="s">
        <v>27835</v>
      </c>
      <c r="BG2807" s="3" t="s">
        <v>27837</v>
      </c>
    </row>
    <row r="2808" spans="1:59" ht="58" x14ac:dyDescent="0.35">
      <c r="A2808" s="2" t="s">
        <v>59</v>
      </c>
      <c r="B2808" s="2" t="s">
        <v>60</v>
      </c>
      <c r="C2808" s="2" t="s">
        <v>27838</v>
      </c>
      <c r="D2808" s="2" t="s">
        <v>27839</v>
      </c>
      <c r="E2808" s="2" t="s">
        <v>27840</v>
      </c>
      <c r="G2808" s="3" t="s">
        <v>65</v>
      </c>
      <c r="I2808" s="3" t="s">
        <v>65</v>
      </c>
      <c r="J2808" s="3" t="s">
        <v>65</v>
      </c>
      <c r="K2808" s="3" t="s">
        <v>66</v>
      </c>
      <c r="L2808" s="2" t="s">
        <v>27841</v>
      </c>
      <c r="M2808" s="2" t="s">
        <v>26738</v>
      </c>
      <c r="N2808" s="3" t="s">
        <v>126</v>
      </c>
      <c r="P2808" s="3" t="s">
        <v>140</v>
      </c>
      <c r="Q2808" s="2" t="s">
        <v>27842</v>
      </c>
      <c r="R2808" s="3" t="s">
        <v>71</v>
      </c>
      <c r="S2808" s="4">
        <v>0</v>
      </c>
      <c r="T2808" s="4">
        <v>0</v>
      </c>
      <c r="W2808" s="5" t="s">
        <v>72</v>
      </c>
      <c r="X2808" s="5" t="s">
        <v>72</v>
      </c>
      <c r="Y2808" s="4">
        <v>42</v>
      </c>
      <c r="Z2808" s="4">
        <v>3</v>
      </c>
      <c r="AA2808" s="4">
        <v>3</v>
      </c>
      <c r="AB2808" s="4">
        <v>1</v>
      </c>
      <c r="AC2808" s="4">
        <v>1</v>
      </c>
      <c r="AD2808" s="4">
        <v>29</v>
      </c>
      <c r="AE2808" s="4">
        <v>29</v>
      </c>
      <c r="AF2808" s="4">
        <v>0</v>
      </c>
      <c r="AG2808" s="4">
        <v>0</v>
      </c>
      <c r="AH2808" s="4">
        <v>28</v>
      </c>
      <c r="AI2808" s="4">
        <v>28</v>
      </c>
      <c r="AJ2808" s="4">
        <v>1</v>
      </c>
      <c r="AK2808" s="4">
        <v>1</v>
      </c>
      <c r="AL2808" s="4">
        <v>25</v>
      </c>
      <c r="AM2808" s="4">
        <v>25</v>
      </c>
      <c r="AN2808" s="4">
        <v>0</v>
      </c>
      <c r="AO2808" s="4">
        <v>0</v>
      </c>
      <c r="AP2808" s="4">
        <v>1</v>
      </c>
      <c r="AQ2808" s="4">
        <v>1</v>
      </c>
      <c r="AR2808" s="3" t="s">
        <v>65</v>
      </c>
      <c r="AS2808" s="3" t="s">
        <v>65</v>
      </c>
      <c r="AT2808" s="3" t="s">
        <v>65</v>
      </c>
      <c r="AV2808" s="6" t="str">
        <f>HYPERLINK("http://mcgill.on.worldcat.org/oclc/760988804","Catalog Record")</f>
        <v>Catalog Record</v>
      </c>
      <c r="AW2808" s="6" t="str">
        <f>HYPERLINK("http://www.worldcat.org/oclc/760988804","WorldCat Record")</f>
        <v>WorldCat Record</v>
      </c>
      <c r="AX2808" s="3" t="s">
        <v>27843</v>
      </c>
      <c r="AY2808" s="3" t="s">
        <v>27844</v>
      </c>
      <c r="AZ2808" s="3" t="s">
        <v>27845</v>
      </c>
      <c r="BA2808" s="3" t="s">
        <v>27845</v>
      </c>
      <c r="BB2808" s="3" t="s">
        <v>27846</v>
      </c>
      <c r="BC2808" s="3" t="s">
        <v>77</v>
      </c>
      <c r="BD2808" s="3" t="s">
        <v>78</v>
      </c>
      <c r="BE2808" s="3" t="s">
        <v>27847</v>
      </c>
      <c r="BF2808" s="3" t="s">
        <v>27846</v>
      </c>
      <c r="BG2808" s="3" t="s">
        <v>27848</v>
      </c>
    </row>
    <row r="2809" spans="1:59" ht="58" x14ac:dyDescent="0.35">
      <c r="A2809" s="2" t="s">
        <v>59</v>
      </c>
      <c r="B2809" s="2" t="s">
        <v>60</v>
      </c>
      <c r="C2809" s="2" t="s">
        <v>27849</v>
      </c>
      <c r="D2809" s="2" t="s">
        <v>27850</v>
      </c>
      <c r="E2809" s="2" t="s">
        <v>27851</v>
      </c>
      <c r="F2809" s="3" t="s">
        <v>245</v>
      </c>
      <c r="G2809" s="3" t="s">
        <v>209</v>
      </c>
      <c r="I2809" s="3" t="s">
        <v>65</v>
      </c>
      <c r="J2809" s="3" t="s">
        <v>65</v>
      </c>
      <c r="K2809" s="3" t="s">
        <v>66</v>
      </c>
      <c r="L2809" s="2" t="s">
        <v>992</v>
      </c>
      <c r="M2809" s="2" t="s">
        <v>27852</v>
      </c>
      <c r="N2809" s="3" t="s">
        <v>2210</v>
      </c>
      <c r="P2809" s="3" t="s">
        <v>140</v>
      </c>
      <c r="Q2809" s="2" t="s">
        <v>15535</v>
      </c>
      <c r="R2809" s="3" t="s">
        <v>71</v>
      </c>
      <c r="S2809" s="4">
        <v>1</v>
      </c>
      <c r="T2809" s="4">
        <v>1</v>
      </c>
      <c r="U2809" s="5" t="s">
        <v>930</v>
      </c>
      <c r="V2809" s="5" t="s">
        <v>930</v>
      </c>
      <c r="W2809" s="5" t="s">
        <v>72</v>
      </c>
      <c r="X2809" s="5" t="s">
        <v>72</v>
      </c>
      <c r="Y2809" s="4">
        <v>18</v>
      </c>
      <c r="Z2809" s="4">
        <v>1</v>
      </c>
      <c r="AA2809" s="4">
        <v>1</v>
      </c>
      <c r="AB2809" s="4">
        <v>1</v>
      </c>
      <c r="AC2809" s="4">
        <v>1</v>
      </c>
      <c r="AD2809" s="4">
        <v>10</v>
      </c>
      <c r="AE2809" s="4">
        <v>10</v>
      </c>
      <c r="AF2809" s="4">
        <v>0</v>
      </c>
      <c r="AG2809" s="4">
        <v>0</v>
      </c>
      <c r="AH2809" s="4">
        <v>10</v>
      </c>
      <c r="AI2809" s="4">
        <v>10</v>
      </c>
      <c r="AJ2809" s="4">
        <v>0</v>
      </c>
      <c r="AK2809" s="4">
        <v>0</v>
      </c>
      <c r="AL2809" s="4">
        <v>7</v>
      </c>
      <c r="AM2809" s="4">
        <v>7</v>
      </c>
      <c r="AN2809" s="4">
        <v>0</v>
      </c>
      <c r="AO2809" s="4">
        <v>0</v>
      </c>
      <c r="AP2809" s="4">
        <v>0</v>
      </c>
      <c r="AQ2809" s="4">
        <v>0</v>
      </c>
      <c r="AR2809" s="3" t="s">
        <v>65</v>
      </c>
      <c r="AS2809" s="3" t="s">
        <v>65</v>
      </c>
      <c r="AT2809" s="3" t="s">
        <v>65</v>
      </c>
      <c r="AV2809" s="6" t="str">
        <f>HYPERLINK("http://mcgill.on.worldcat.org/oclc/50535743","Catalog Record")</f>
        <v>Catalog Record</v>
      </c>
      <c r="AW2809" s="6" t="str">
        <f>HYPERLINK("http://www.worldcat.org/oclc/50535743","WorldCat Record")</f>
        <v>WorldCat Record</v>
      </c>
      <c r="AX2809" s="3" t="s">
        <v>27853</v>
      </c>
      <c r="AY2809" s="3" t="s">
        <v>27854</v>
      </c>
      <c r="AZ2809" s="3" t="s">
        <v>27855</v>
      </c>
      <c r="BA2809" s="3" t="s">
        <v>27855</v>
      </c>
      <c r="BB2809" s="3" t="s">
        <v>27856</v>
      </c>
      <c r="BC2809" s="3" t="s">
        <v>77</v>
      </c>
      <c r="BD2809" s="3" t="s">
        <v>78</v>
      </c>
      <c r="BE2809" s="3" t="s">
        <v>27857</v>
      </c>
      <c r="BF2809" s="3" t="s">
        <v>27856</v>
      </c>
      <c r="BG2809" s="3" t="s">
        <v>27858</v>
      </c>
    </row>
    <row r="2810" spans="1:59" ht="58" x14ac:dyDescent="0.35">
      <c r="A2810" s="2" t="s">
        <v>59</v>
      </c>
      <c r="B2810" s="2" t="s">
        <v>60</v>
      </c>
      <c r="C2810" s="2" t="s">
        <v>27859</v>
      </c>
      <c r="D2810" s="2" t="s">
        <v>27860</v>
      </c>
      <c r="E2810" s="2" t="s">
        <v>27861</v>
      </c>
      <c r="F2810" s="3" t="s">
        <v>991</v>
      </c>
      <c r="G2810" s="3" t="s">
        <v>209</v>
      </c>
      <c r="I2810" s="3" t="s">
        <v>65</v>
      </c>
      <c r="J2810" s="3" t="s">
        <v>209</v>
      </c>
      <c r="K2810" s="3" t="s">
        <v>66</v>
      </c>
      <c r="L2810" s="2" t="s">
        <v>27862</v>
      </c>
      <c r="M2810" s="2" t="s">
        <v>27863</v>
      </c>
      <c r="N2810" s="3" t="s">
        <v>4042</v>
      </c>
      <c r="O2810" s="2" t="s">
        <v>654</v>
      </c>
      <c r="P2810" s="3" t="s">
        <v>140</v>
      </c>
      <c r="Q2810" s="2" t="s">
        <v>27864</v>
      </c>
      <c r="R2810" s="3" t="s">
        <v>71</v>
      </c>
      <c r="S2810" s="4">
        <v>2</v>
      </c>
      <c r="T2810" s="4">
        <v>2</v>
      </c>
      <c r="U2810" s="5" t="s">
        <v>24390</v>
      </c>
      <c r="V2810" s="5" t="s">
        <v>24390</v>
      </c>
      <c r="W2810" s="5" t="s">
        <v>72</v>
      </c>
      <c r="X2810" s="5" t="s">
        <v>72</v>
      </c>
      <c r="Y2810" s="4">
        <v>55</v>
      </c>
      <c r="Z2810" s="4">
        <v>10</v>
      </c>
      <c r="AA2810" s="4">
        <v>14</v>
      </c>
      <c r="AB2810" s="4">
        <v>1</v>
      </c>
      <c r="AC2810" s="4">
        <v>2</v>
      </c>
      <c r="AD2810" s="4">
        <v>35</v>
      </c>
      <c r="AE2810" s="4">
        <v>72</v>
      </c>
      <c r="AF2810" s="4">
        <v>0</v>
      </c>
      <c r="AG2810" s="4">
        <v>1</v>
      </c>
      <c r="AH2810" s="4">
        <v>32</v>
      </c>
      <c r="AI2810" s="4">
        <v>68</v>
      </c>
      <c r="AJ2810" s="4">
        <v>7</v>
      </c>
      <c r="AK2810" s="4">
        <v>10</v>
      </c>
      <c r="AL2810" s="4">
        <v>23</v>
      </c>
      <c r="AM2810" s="4">
        <v>43</v>
      </c>
      <c r="AN2810" s="4">
        <v>0</v>
      </c>
      <c r="AO2810" s="4">
        <v>0</v>
      </c>
      <c r="AP2810" s="4">
        <v>7</v>
      </c>
      <c r="AQ2810" s="4">
        <v>10</v>
      </c>
      <c r="AR2810" s="3" t="s">
        <v>65</v>
      </c>
      <c r="AS2810" s="3" t="s">
        <v>65</v>
      </c>
      <c r="AT2810" s="3" t="s">
        <v>209</v>
      </c>
      <c r="AU2810" s="6" t="str">
        <f>HYPERLINK("http://catalog.hathitrust.org/Record/007352836","HathiTrust Record")</f>
        <v>HathiTrust Record</v>
      </c>
      <c r="AV2810" s="6" t="str">
        <f>HYPERLINK("http://mcgill.on.worldcat.org/oclc/1126004","Catalog Record")</f>
        <v>Catalog Record</v>
      </c>
      <c r="AW2810" s="6" t="str">
        <f>HYPERLINK("http://www.worldcat.org/oclc/1126004","WorldCat Record")</f>
        <v>WorldCat Record</v>
      </c>
      <c r="AX2810" s="3" t="s">
        <v>996</v>
      </c>
      <c r="AY2810" s="3" t="s">
        <v>27865</v>
      </c>
      <c r="AZ2810" s="3" t="s">
        <v>27866</v>
      </c>
      <c r="BA2810" s="3" t="s">
        <v>27866</v>
      </c>
      <c r="BB2810" s="3" t="s">
        <v>27867</v>
      </c>
      <c r="BC2810" s="3" t="s">
        <v>77</v>
      </c>
      <c r="BD2810" s="3" t="s">
        <v>78</v>
      </c>
      <c r="BF2810" s="3" t="s">
        <v>27867</v>
      </c>
      <c r="BG2810" s="3" t="s">
        <v>27868</v>
      </c>
    </row>
    <row r="2811" spans="1:59" ht="58" x14ac:dyDescent="0.35">
      <c r="A2811" s="2" t="s">
        <v>59</v>
      </c>
      <c r="B2811" s="2" t="s">
        <v>60</v>
      </c>
      <c r="C2811" s="2" t="s">
        <v>27859</v>
      </c>
      <c r="D2811" s="2" t="s">
        <v>27860</v>
      </c>
      <c r="E2811" s="2" t="s">
        <v>27861</v>
      </c>
      <c r="F2811" s="3" t="s">
        <v>915</v>
      </c>
      <c r="G2811" s="3" t="s">
        <v>209</v>
      </c>
      <c r="I2811" s="3" t="s">
        <v>65</v>
      </c>
      <c r="J2811" s="3" t="s">
        <v>209</v>
      </c>
      <c r="K2811" s="3" t="s">
        <v>66</v>
      </c>
      <c r="L2811" s="2" t="s">
        <v>27862</v>
      </c>
      <c r="M2811" s="2" t="s">
        <v>27863</v>
      </c>
      <c r="N2811" s="3" t="s">
        <v>4042</v>
      </c>
      <c r="O2811" s="2" t="s">
        <v>654</v>
      </c>
      <c r="P2811" s="3" t="s">
        <v>140</v>
      </c>
      <c r="Q2811" s="2" t="s">
        <v>27864</v>
      </c>
      <c r="R2811" s="3" t="s">
        <v>71</v>
      </c>
      <c r="S2811" s="4">
        <v>0</v>
      </c>
      <c r="T2811" s="4">
        <v>2</v>
      </c>
      <c r="V2811" s="5" t="s">
        <v>24390</v>
      </c>
      <c r="W2811" s="5" t="s">
        <v>72</v>
      </c>
      <c r="X2811" s="5" t="s">
        <v>72</v>
      </c>
      <c r="Y2811" s="4">
        <v>55</v>
      </c>
      <c r="Z2811" s="4">
        <v>10</v>
      </c>
      <c r="AA2811" s="4">
        <v>14</v>
      </c>
      <c r="AB2811" s="4">
        <v>1</v>
      </c>
      <c r="AC2811" s="4">
        <v>2</v>
      </c>
      <c r="AD2811" s="4">
        <v>35</v>
      </c>
      <c r="AE2811" s="4">
        <v>72</v>
      </c>
      <c r="AF2811" s="4">
        <v>0</v>
      </c>
      <c r="AG2811" s="4">
        <v>1</v>
      </c>
      <c r="AH2811" s="4">
        <v>32</v>
      </c>
      <c r="AI2811" s="4">
        <v>68</v>
      </c>
      <c r="AJ2811" s="4">
        <v>7</v>
      </c>
      <c r="AK2811" s="4">
        <v>10</v>
      </c>
      <c r="AL2811" s="4">
        <v>23</v>
      </c>
      <c r="AM2811" s="4">
        <v>43</v>
      </c>
      <c r="AN2811" s="4">
        <v>0</v>
      </c>
      <c r="AO2811" s="4">
        <v>0</v>
      </c>
      <c r="AP2811" s="4">
        <v>7</v>
      </c>
      <c r="AQ2811" s="4">
        <v>10</v>
      </c>
      <c r="AR2811" s="3" t="s">
        <v>65</v>
      </c>
      <c r="AS2811" s="3" t="s">
        <v>65</v>
      </c>
      <c r="AT2811" s="3" t="s">
        <v>209</v>
      </c>
      <c r="AU2811" s="6" t="str">
        <f>HYPERLINK("http://catalog.hathitrust.org/Record/007352836","HathiTrust Record")</f>
        <v>HathiTrust Record</v>
      </c>
      <c r="AV2811" s="6" t="str">
        <f>HYPERLINK("http://mcgill.on.worldcat.org/oclc/1126004","Catalog Record")</f>
        <v>Catalog Record</v>
      </c>
      <c r="AW2811" s="6" t="str">
        <f>HYPERLINK("http://www.worldcat.org/oclc/1126004","WorldCat Record")</f>
        <v>WorldCat Record</v>
      </c>
      <c r="AX2811" s="3" t="s">
        <v>996</v>
      </c>
      <c r="AY2811" s="3" t="s">
        <v>27865</v>
      </c>
      <c r="AZ2811" s="3" t="s">
        <v>27866</v>
      </c>
      <c r="BA2811" s="3" t="s">
        <v>27866</v>
      </c>
      <c r="BB2811" s="3" t="s">
        <v>27869</v>
      </c>
      <c r="BC2811" s="3" t="s">
        <v>77</v>
      </c>
      <c r="BD2811" s="3" t="s">
        <v>78</v>
      </c>
      <c r="BF2811" s="3" t="s">
        <v>27869</v>
      </c>
      <c r="BG2811" s="3" t="s">
        <v>27870</v>
      </c>
    </row>
    <row r="2812" spans="1:59" ht="58" x14ac:dyDescent="0.35">
      <c r="A2812" s="2" t="s">
        <v>59</v>
      </c>
      <c r="B2812" s="2" t="s">
        <v>60</v>
      </c>
      <c r="C2812" s="2" t="s">
        <v>27871</v>
      </c>
      <c r="D2812" s="2" t="s">
        <v>27872</v>
      </c>
      <c r="E2812" s="2" t="s">
        <v>27873</v>
      </c>
      <c r="G2812" s="3" t="s">
        <v>65</v>
      </c>
      <c r="I2812" s="3" t="s">
        <v>65</v>
      </c>
      <c r="J2812" s="3" t="s">
        <v>65</v>
      </c>
      <c r="K2812" s="3" t="s">
        <v>66</v>
      </c>
      <c r="L2812" s="2" t="s">
        <v>992</v>
      </c>
      <c r="M2812" s="2" t="s">
        <v>27874</v>
      </c>
      <c r="N2812" s="3" t="s">
        <v>126</v>
      </c>
      <c r="P2812" s="3" t="s">
        <v>140</v>
      </c>
      <c r="Q2812" s="2" t="s">
        <v>27875</v>
      </c>
      <c r="R2812" s="3" t="s">
        <v>71</v>
      </c>
      <c r="S2812" s="4">
        <v>0</v>
      </c>
      <c r="T2812" s="4">
        <v>0</v>
      </c>
      <c r="W2812" s="5" t="s">
        <v>72</v>
      </c>
      <c r="X2812" s="5" t="s">
        <v>72</v>
      </c>
      <c r="Y2812" s="4">
        <v>37</v>
      </c>
      <c r="Z2812" s="4">
        <v>4</v>
      </c>
      <c r="AA2812" s="4">
        <v>4</v>
      </c>
      <c r="AB2812" s="4">
        <v>1</v>
      </c>
      <c r="AC2812" s="4">
        <v>1</v>
      </c>
      <c r="AD2812" s="4">
        <v>27</v>
      </c>
      <c r="AE2812" s="4">
        <v>27</v>
      </c>
      <c r="AF2812" s="4">
        <v>0</v>
      </c>
      <c r="AG2812" s="4">
        <v>0</v>
      </c>
      <c r="AH2812" s="4">
        <v>26</v>
      </c>
      <c r="AI2812" s="4">
        <v>26</v>
      </c>
      <c r="AJ2812" s="4">
        <v>2</v>
      </c>
      <c r="AK2812" s="4">
        <v>2</v>
      </c>
      <c r="AL2812" s="4">
        <v>20</v>
      </c>
      <c r="AM2812" s="4">
        <v>20</v>
      </c>
      <c r="AN2812" s="4">
        <v>0</v>
      </c>
      <c r="AO2812" s="4">
        <v>0</v>
      </c>
      <c r="AP2812" s="4">
        <v>2</v>
      </c>
      <c r="AQ2812" s="4">
        <v>2</v>
      </c>
      <c r="AR2812" s="3" t="s">
        <v>65</v>
      </c>
      <c r="AS2812" s="3" t="s">
        <v>65</v>
      </c>
      <c r="AT2812" s="3" t="s">
        <v>65</v>
      </c>
      <c r="AV2812" s="6" t="str">
        <f>HYPERLINK("http://mcgill.on.worldcat.org/oclc/741557374","Catalog Record")</f>
        <v>Catalog Record</v>
      </c>
      <c r="AW2812" s="6" t="str">
        <f>HYPERLINK("http://www.worldcat.org/oclc/741557374","WorldCat Record")</f>
        <v>WorldCat Record</v>
      </c>
      <c r="AX2812" s="3" t="s">
        <v>27876</v>
      </c>
      <c r="AY2812" s="3" t="s">
        <v>27877</v>
      </c>
      <c r="AZ2812" s="3" t="s">
        <v>27878</v>
      </c>
      <c r="BA2812" s="3" t="s">
        <v>27878</v>
      </c>
      <c r="BB2812" s="3" t="s">
        <v>27879</v>
      </c>
      <c r="BC2812" s="3" t="s">
        <v>77</v>
      </c>
      <c r="BD2812" s="3" t="s">
        <v>78</v>
      </c>
      <c r="BE2812" s="3" t="s">
        <v>27880</v>
      </c>
      <c r="BF2812" s="3" t="s">
        <v>27879</v>
      </c>
      <c r="BG2812" s="3" t="s">
        <v>27881</v>
      </c>
    </row>
    <row r="2813" spans="1:59" ht="58" x14ac:dyDescent="0.35">
      <c r="A2813" s="2" t="s">
        <v>59</v>
      </c>
      <c r="B2813" s="2" t="s">
        <v>60</v>
      </c>
      <c r="C2813" s="2" t="s">
        <v>27882</v>
      </c>
      <c r="D2813" s="2" t="s">
        <v>27883</v>
      </c>
      <c r="E2813" s="2" t="s">
        <v>27884</v>
      </c>
      <c r="G2813" s="3" t="s">
        <v>65</v>
      </c>
      <c r="I2813" s="3" t="s">
        <v>65</v>
      </c>
      <c r="J2813" s="3" t="s">
        <v>65</v>
      </c>
      <c r="K2813" s="3" t="s">
        <v>66</v>
      </c>
      <c r="L2813" s="2" t="s">
        <v>992</v>
      </c>
      <c r="M2813" s="2" t="s">
        <v>27885</v>
      </c>
      <c r="N2813" s="3" t="s">
        <v>3385</v>
      </c>
      <c r="P2813" s="3" t="s">
        <v>140</v>
      </c>
      <c r="Q2813" s="2" t="s">
        <v>27886</v>
      </c>
      <c r="R2813" s="3" t="s">
        <v>71</v>
      </c>
      <c r="S2813" s="4">
        <v>5</v>
      </c>
      <c r="T2813" s="4">
        <v>5</v>
      </c>
      <c r="U2813" s="5" t="s">
        <v>27887</v>
      </c>
      <c r="V2813" s="5" t="s">
        <v>27887</v>
      </c>
      <c r="W2813" s="5" t="s">
        <v>72</v>
      </c>
      <c r="X2813" s="5" t="s">
        <v>72</v>
      </c>
      <c r="Y2813" s="4">
        <v>14</v>
      </c>
      <c r="Z2813" s="4">
        <v>3</v>
      </c>
      <c r="AA2813" s="4">
        <v>4</v>
      </c>
      <c r="AB2813" s="4">
        <v>1</v>
      </c>
      <c r="AC2813" s="4">
        <v>1</v>
      </c>
      <c r="AD2813" s="4">
        <v>1</v>
      </c>
      <c r="AE2813" s="4">
        <v>22</v>
      </c>
      <c r="AF2813" s="4">
        <v>0</v>
      </c>
      <c r="AG2813" s="4">
        <v>0</v>
      </c>
      <c r="AH2813" s="4">
        <v>1</v>
      </c>
      <c r="AI2813" s="4">
        <v>22</v>
      </c>
      <c r="AJ2813" s="4">
        <v>1</v>
      </c>
      <c r="AK2813" s="4">
        <v>2</v>
      </c>
      <c r="AL2813" s="4">
        <v>1</v>
      </c>
      <c r="AM2813" s="4">
        <v>17</v>
      </c>
      <c r="AN2813" s="4">
        <v>0</v>
      </c>
      <c r="AO2813" s="4">
        <v>0</v>
      </c>
      <c r="AP2813" s="4">
        <v>1</v>
      </c>
      <c r="AQ2813" s="4">
        <v>2</v>
      </c>
      <c r="AR2813" s="3" t="s">
        <v>65</v>
      </c>
      <c r="AS2813" s="3" t="s">
        <v>65</v>
      </c>
      <c r="AT2813" s="3" t="s">
        <v>209</v>
      </c>
      <c r="AU2813" s="6" t="str">
        <f>HYPERLINK("http://catalog.hathitrust.org/Record/007582153","HathiTrust Record")</f>
        <v>HathiTrust Record</v>
      </c>
      <c r="AV2813" s="6" t="str">
        <f>HYPERLINK("http://mcgill.on.worldcat.org/oclc/428101768","Catalog Record")</f>
        <v>Catalog Record</v>
      </c>
      <c r="AW2813" s="6" t="str">
        <f>HYPERLINK("http://www.worldcat.org/oclc/428101768","WorldCat Record")</f>
        <v>WorldCat Record</v>
      </c>
      <c r="AX2813" s="3" t="s">
        <v>27888</v>
      </c>
      <c r="AY2813" s="3" t="s">
        <v>27889</v>
      </c>
      <c r="AZ2813" s="3" t="s">
        <v>27890</v>
      </c>
      <c r="BA2813" s="3" t="s">
        <v>27890</v>
      </c>
      <c r="BB2813" s="3" t="s">
        <v>27891</v>
      </c>
      <c r="BC2813" s="3" t="s">
        <v>77</v>
      </c>
      <c r="BD2813" s="3" t="s">
        <v>78</v>
      </c>
      <c r="BE2813" s="3" t="s">
        <v>27892</v>
      </c>
      <c r="BF2813" s="3" t="s">
        <v>27891</v>
      </c>
      <c r="BG2813" s="3" t="s">
        <v>27893</v>
      </c>
    </row>
    <row r="2814" spans="1:59" ht="58" x14ac:dyDescent="0.35">
      <c r="A2814" s="2" t="s">
        <v>59</v>
      </c>
      <c r="B2814" s="2" t="s">
        <v>60</v>
      </c>
      <c r="C2814" s="2" t="s">
        <v>27894</v>
      </c>
      <c r="D2814" s="2" t="s">
        <v>27895</v>
      </c>
      <c r="E2814" s="2" t="s">
        <v>27896</v>
      </c>
      <c r="G2814" s="3" t="s">
        <v>65</v>
      </c>
      <c r="I2814" s="3" t="s">
        <v>65</v>
      </c>
      <c r="J2814" s="3" t="s">
        <v>65</v>
      </c>
      <c r="K2814" s="3" t="s">
        <v>66</v>
      </c>
      <c r="L2814" s="2" t="s">
        <v>4508</v>
      </c>
      <c r="M2814" s="2" t="s">
        <v>18169</v>
      </c>
      <c r="N2814" s="3" t="s">
        <v>139</v>
      </c>
      <c r="O2814" s="2" t="s">
        <v>365</v>
      </c>
      <c r="P2814" s="3" t="s">
        <v>140</v>
      </c>
      <c r="Q2814" s="2" t="s">
        <v>27897</v>
      </c>
      <c r="R2814" s="3" t="s">
        <v>71</v>
      </c>
      <c r="S2814" s="4">
        <v>0</v>
      </c>
      <c r="T2814" s="4">
        <v>0</v>
      </c>
      <c r="W2814" s="5" t="s">
        <v>72</v>
      </c>
      <c r="X2814" s="5" t="s">
        <v>72</v>
      </c>
      <c r="Y2814" s="4">
        <v>29</v>
      </c>
      <c r="Z2814" s="4">
        <v>1</v>
      </c>
      <c r="AA2814" s="4">
        <v>1</v>
      </c>
      <c r="AB2814" s="4">
        <v>1</v>
      </c>
      <c r="AC2814" s="4">
        <v>1</v>
      </c>
      <c r="AD2814" s="4">
        <v>20</v>
      </c>
      <c r="AE2814" s="4">
        <v>20</v>
      </c>
      <c r="AF2814" s="4">
        <v>0</v>
      </c>
      <c r="AG2814" s="4">
        <v>0</v>
      </c>
      <c r="AH2814" s="4">
        <v>19</v>
      </c>
      <c r="AI2814" s="4">
        <v>19</v>
      </c>
      <c r="AJ2814" s="4">
        <v>0</v>
      </c>
      <c r="AK2814" s="4">
        <v>0</v>
      </c>
      <c r="AL2814" s="4">
        <v>16</v>
      </c>
      <c r="AM2814" s="4">
        <v>16</v>
      </c>
      <c r="AN2814" s="4">
        <v>0</v>
      </c>
      <c r="AO2814" s="4">
        <v>0</v>
      </c>
      <c r="AP2814" s="4">
        <v>0</v>
      </c>
      <c r="AQ2814" s="4">
        <v>0</v>
      </c>
      <c r="AR2814" s="3" t="s">
        <v>65</v>
      </c>
      <c r="AS2814" s="3" t="s">
        <v>65</v>
      </c>
      <c r="AT2814" s="3" t="s">
        <v>65</v>
      </c>
      <c r="AV2814" s="6" t="str">
        <f>HYPERLINK("http://mcgill.on.worldcat.org/oclc/802322629","Catalog Record")</f>
        <v>Catalog Record</v>
      </c>
      <c r="AW2814" s="6" t="str">
        <f>HYPERLINK("http://www.worldcat.org/oclc/802322629","WorldCat Record")</f>
        <v>WorldCat Record</v>
      </c>
      <c r="AX2814" s="3" t="s">
        <v>27898</v>
      </c>
      <c r="AY2814" s="3" t="s">
        <v>27899</v>
      </c>
      <c r="AZ2814" s="3" t="s">
        <v>27900</v>
      </c>
      <c r="BA2814" s="3" t="s">
        <v>27900</v>
      </c>
      <c r="BB2814" s="3" t="s">
        <v>27901</v>
      </c>
      <c r="BC2814" s="3" t="s">
        <v>77</v>
      </c>
      <c r="BD2814" s="3" t="s">
        <v>78</v>
      </c>
      <c r="BE2814" s="3" t="s">
        <v>27902</v>
      </c>
      <c r="BF2814" s="3" t="s">
        <v>27901</v>
      </c>
      <c r="BG2814" s="3" t="s">
        <v>27903</v>
      </c>
    </row>
    <row r="2815" spans="1:59" ht="58" x14ac:dyDescent="0.35">
      <c r="A2815" s="2" t="s">
        <v>59</v>
      </c>
      <c r="B2815" s="2" t="s">
        <v>60</v>
      </c>
      <c r="C2815" s="2" t="s">
        <v>27904</v>
      </c>
      <c r="D2815" s="2" t="s">
        <v>27905</v>
      </c>
      <c r="E2815" s="2" t="s">
        <v>27906</v>
      </c>
      <c r="G2815" s="3" t="s">
        <v>65</v>
      </c>
      <c r="I2815" s="3" t="s">
        <v>65</v>
      </c>
      <c r="J2815" s="3" t="s">
        <v>65</v>
      </c>
      <c r="K2815" s="3" t="s">
        <v>66</v>
      </c>
      <c r="L2815" s="2" t="s">
        <v>27907</v>
      </c>
      <c r="M2815" s="2" t="s">
        <v>27908</v>
      </c>
      <c r="N2815" s="3" t="s">
        <v>113</v>
      </c>
      <c r="O2815" s="2" t="s">
        <v>365</v>
      </c>
      <c r="P2815" s="3" t="s">
        <v>140</v>
      </c>
      <c r="Q2815" s="2" t="s">
        <v>27909</v>
      </c>
      <c r="R2815" s="3" t="s">
        <v>71</v>
      </c>
      <c r="S2815" s="4">
        <v>0</v>
      </c>
      <c r="T2815" s="4">
        <v>0</v>
      </c>
      <c r="W2815" s="5" t="s">
        <v>72</v>
      </c>
      <c r="X2815" s="5" t="s">
        <v>72</v>
      </c>
      <c r="Y2815" s="4">
        <v>35</v>
      </c>
      <c r="Z2815" s="4">
        <v>4</v>
      </c>
      <c r="AA2815" s="4">
        <v>4</v>
      </c>
      <c r="AB2815" s="4">
        <v>1</v>
      </c>
      <c r="AC2815" s="4">
        <v>1</v>
      </c>
      <c r="AD2815" s="4">
        <v>25</v>
      </c>
      <c r="AE2815" s="4">
        <v>25</v>
      </c>
      <c r="AF2815" s="4">
        <v>0</v>
      </c>
      <c r="AG2815" s="4">
        <v>0</v>
      </c>
      <c r="AH2815" s="4">
        <v>24</v>
      </c>
      <c r="AI2815" s="4">
        <v>24</v>
      </c>
      <c r="AJ2815" s="4">
        <v>2</v>
      </c>
      <c r="AK2815" s="4">
        <v>2</v>
      </c>
      <c r="AL2815" s="4">
        <v>20</v>
      </c>
      <c r="AM2815" s="4">
        <v>20</v>
      </c>
      <c r="AN2815" s="4">
        <v>0</v>
      </c>
      <c r="AO2815" s="4">
        <v>0</v>
      </c>
      <c r="AP2815" s="4">
        <v>2</v>
      </c>
      <c r="AQ2815" s="4">
        <v>2</v>
      </c>
      <c r="AR2815" s="3" t="s">
        <v>65</v>
      </c>
      <c r="AS2815" s="3" t="s">
        <v>65</v>
      </c>
      <c r="AT2815" s="3" t="s">
        <v>65</v>
      </c>
      <c r="AV2815" s="6" t="str">
        <f>HYPERLINK("http://mcgill.on.worldcat.org/oclc/649311424","Catalog Record")</f>
        <v>Catalog Record</v>
      </c>
      <c r="AW2815" s="6" t="str">
        <f>HYPERLINK("http://www.worldcat.org/oclc/649311424","WorldCat Record")</f>
        <v>WorldCat Record</v>
      </c>
      <c r="AX2815" s="3" t="s">
        <v>27910</v>
      </c>
      <c r="AY2815" s="3" t="s">
        <v>27911</v>
      </c>
      <c r="AZ2815" s="3" t="s">
        <v>27912</v>
      </c>
      <c r="BA2815" s="3" t="s">
        <v>27912</v>
      </c>
      <c r="BB2815" s="3" t="s">
        <v>27913</v>
      </c>
      <c r="BC2815" s="3" t="s">
        <v>77</v>
      </c>
      <c r="BD2815" s="3" t="s">
        <v>78</v>
      </c>
      <c r="BE2815" s="3" t="s">
        <v>27914</v>
      </c>
      <c r="BF2815" s="3" t="s">
        <v>27913</v>
      </c>
      <c r="BG2815" s="3" t="s">
        <v>27915</v>
      </c>
    </row>
    <row r="2816" spans="1:59" ht="58" x14ac:dyDescent="0.35">
      <c r="A2816" s="2" t="s">
        <v>59</v>
      </c>
      <c r="B2816" s="2" t="s">
        <v>60</v>
      </c>
      <c r="C2816" s="2" t="s">
        <v>27916</v>
      </c>
      <c r="D2816" s="2" t="s">
        <v>27917</v>
      </c>
      <c r="E2816" s="2" t="s">
        <v>27918</v>
      </c>
      <c r="G2816" s="3" t="s">
        <v>65</v>
      </c>
      <c r="I2816" s="3" t="s">
        <v>65</v>
      </c>
      <c r="J2816" s="3" t="s">
        <v>65</v>
      </c>
      <c r="K2816" s="3" t="s">
        <v>66</v>
      </c>
      <c r="L2816" s="2" t="s">
        <v>992</v>
      </c>
      <c r="M2816" s="2" t="s">
        <v>27908</v>
      </c>
      <c r="N2816" s="3" t="s">
        <v>113</v>
      </c>
      <c r="P2816" s="3" t="s">
        <v>140</v>
      </c>
      <c r="Q2816" s="2" t="s">
        <v>27919</v>
      </c>
      <c r="R2816" s="3" t="s">
        <v>71</v>
      </c>
      <c r="S2816" s="4">
        <v>0</v>
      </c>
      <c r="T2816" s="4">
        <v>0</v>
      </c>
      <c r="W2816" s="5" t="s">
        <v>72</v>
      </c>
      <c r="X2816" s="5" t="s">
        <v>72</v>
      </c>
      <c r="Y2816" s="4">
        <v>37</v>
      </c>
      <c r="Z2816" s="4">
        <v>4</v>
      </c>
      <c r="AA2816" s="4">
        <v>4</v>
      </c>
      <c r="AB2816" s="4">
        <v>1</v>
      </c>
      <c r="AC2816" s="4">
        <v>1</v>
      </c>
      <c r="AD2816" s="4">
        <v>26</v>
      </c>
      <c r="AE2816" s="4">
        <v>26</v>
      </c>
      <c r="AF2816" s="4">
        <v>0</v>
      </c>
      <c r="AG2816" s="4">
        <v>0</v>
      </c>
      <c r="AH2816" s="4">
        <v>25</v>
      </c>
      <c r="AI2816" s="4">
        <v>25</v>
      </c>
      <c r="AJ2816" s="4">
        <v>2</v>
      </c>
      <c r="AK2816" s="4">
        <v>2</v>
      </c>
      <c r="AL2816" s="4">
        <v>19</v>
      </c>
      <c r="AM2816" s="4">
        <v>19</v>
      </c>
      <c r="AN2816" s="4">
        <v>0</v>
      </c>
      <c r="AO2816" s="4">
        <v>0</v>
      </c>
      <c r="AP2816" s="4">
        <v>2</v>
      </c>
      <c r="AQ2816" s="4">
        <v>2</v>
      </c>
      <c r="AR2816" s="3" t="s">
        <v>65</v>
      </c>
      <c r="AS2816" s="3" t="s">
        <v>65</v>
      </c>
      <c r="AT2816" s="3" t="s">
        <v>65</v>
      </c>
      <c r="AV2816" s="6" t="str">
        <f>HYPERLINK("http://mcgill.on.worldcat.org/oclc/698164887","Catalog Record")</f>
        <v>Catalog Record</v>
      </c>
      <c r="AW2816" s="6" t="str">
        <f>HYPERLINK("http://www.worldcat.org/oclc/698164887","WorldCat Record")</f>
        <v>WorldCat Record</v>
      </c>
      <c r="AX2816" s="3" t="s">
        <v>27920</v>
      </c>
      <c r="AY2816" s="3" t="s">
        <v>27921</v>
      </c>
      <c r="AZ2816" s="3" t="s">
        <v>27922</v>
      </c>
      <c r="BA2816" s="3" t="s">
        <v>27922</v>
      </c>
      <c r="BB2816" s="3" t="s">
        <v>27923</v>
      </c>
      <c r="BC2816" s="3" t="s">
        <v>77</v>
      </c>
      <c r="BD2816" s="3" t="s">
        <v>78</v>
      </c>
      <c r="BE2816" s="3" t="s">
        <v>27924</v>
      </c>
      <c r="BF2816" s="3" t="s">
        <v>27923</v>
      </c>
      <c r="BG2816" s="3" t="s">
        <v>27925</v>
      </c>
    </row>
    <row r="2817" spans="1:59" ht="58" x14ac:dyDescent="0.35">
      <c r="A2817" s="2" t="s">
        <v>59</v>
      </c>
      <c r="B2817" s="2" t="s">
        <v>60</v>
      </c>
      <c r="C2817" s="2" t="s">
        <v>27926</v>
      </c>
      <c r="D2817" s="2" t="s">
        <v>27927</v>
      </c>
      <c r="E2817" s="2" t="s">
        <v>27928</v>
      </c>
      <c r="G2817" s="3" t="s">
        <v>65</v>
      </c>
      <c r="I2817" s="3" t="s">
        <v>65</v>
      </c>
      <c r="J2817" s="3" t="s">
        <v>65</v>
      </c>
      <c r="K2817" s="3" t="s">
        <v>66</v>
      </c>
      <c r="L2817" s="2" t="s">
        <v>992</v>
      </c>
      <c r="M2817" s="2" t="s">
        <v>27929</v>
      </c>
      <c r="N2817" s="3" t="s">
        <v>126</v>
      </c>
      <c r="P2817" s="3" t="s">
        <v>140</v>
      </c>
      <c r="Q2817" s="2" t="s">
        <v>27930</v>
      </c>
      <c r="R2817" s="3" t="s">
        <v>71</v>
      </c>
      <c r="S2817" s="4">
        <v>0</v>
      </c>
      <c r="T2817" s="4">
        <v>0</v>
      </c>
      <c r="W2817" s="5" t="s">
        <v>72</v>
      </c>
      <c r="X2817" s="5" t="s">
        <v>72</v>
      </c>
      <c r="Y2817" s="4">
        <v>28</v>
      </c>
      <c r="Z2817" s="4">
        <v>4</v>
      </c>
      <c r="AA2817" s="4">
        <v>4</v>
      </c>
      <c r="AB2817" s="4">
        <v>1</v>
      </c>
      <c r="AC2817" s="4">
        <v>1</v>
      </c>
      <c r="AD2817" s="4">
        <v>21</v>
      </c>
      <c r="AE2817" s="4">
        <v>21</v>
      </c>
      <c r="AF2817" s="4">
        <v>0</v>
      </c>
      <c r="AG2817" s="4">
        <v>0</v>
      </c>
      <c r="AH2817" s="4">
        <v>20</v>
      </c>
      <c r="AI2817" s="4">
        <v>20</v>
      </c>
      <c r="AJ2817" s="4">
        <v>2</v>
      </c>
      <c r="AK2817" s="4">
        <v>2</v>
      </c>
      <c r="AL2817" s="4">
        <v>14</v>
      </c>
      <c r="AM2817" s="4">
        <v>14</v>
      </c>
      <c r="AN2817" s="4">
        <v>0</v>
      </c>
      <c r="AO2817" s="4">
        <v>0</v>
      </c>
      <c r="AP2817" s="4">
        <v>2</v>
      </c>
      <c r="AQ2817" s="4">
        <v>2</v>
      </c>
      <c r="AR2817" s="3" t="s">
        <v>65</v>
      </c>
      <c r="AS2817" s="3" t="s">
        <v>65</v>
      </c>
      <c r="AT2817" s="3" t="s">
        <v>65</v>
      </c>
      <c r="AV2817" s="6" t="str">
        <f>HYPERLINK("http://mcgill.on.worldcat.org/oclc/732280750","Catalog Record")</f>
        <v>Catalog Record</v>
      </c>
      <c r="AW2817" s="6" t="str">
        <f>HYPERLINK("http://www.worldcat.org/oclc/732280750","WorldCat Record")</f>
        <v>WorldCat Record</v>
      </c>
      <c r="AX2817" s="3" t="s">
        <v>27931</v>
      </c>
      <c r="AY2817" s="3" t="s">
        <v>27932</v>
      </c>
      <c r="AZ2817" s="3" t="s">
        <v>27933</v>
      </c>
      <c r="BA2817" s="3" t="s">
        <v>27933</v>
      </c>
      <c r="BB2817" s="3" t="s">
        <v>27934</v>
      </c>
      <c r="BC2817" s="3" t="s">
        <v>77</v>
      </c>
      <c r="BD2817" s="3" t="s">
        <v>78</v>
      </c>
      <c r="BE2817" s="3" t="s">
        <v>27935</v>
      </c>
      <c r="BF2817" s="3" t="s">
        <v>27934</v>
      </c>
      <c r="BG2817" s="3" t="s">
        <v>27936</v>
      </c>
    </row>
    <row r="2818" spans="1:59" ht="58" x14ac:dyDescent="0.35">
      <c r="A2818" s="2" t="s">
        <v>59</v>
      </c>
      <c r="B2818" s="2" t="s">
        <v>60</v>
      </c>
      <c r="C2818" s="2" t="s">
        <v>27937</v>
      </c>
      <c r="D2818" s="2" t="s">
        <v>27938</v>
      </c>
      <c r="E2818" s="2" t="s">
        <v>27939</v>
      </c>
      <c r="G2818" s="3" t="s">
        <v>65</v>
      </c>
      <c r="I2818" s="3" t="s">
        <v>65</v>
      </c>
      <c r="J2818" s="3" t="s">
        <v>65</v>
      </c>
      <c r="K2818" s="3" t="s">
        <v>66</v>
      </c>
      <c r="L2818" s="2" t="s">
        <v>18353</v>
      </c>
      <c r="M2818" s="2" t="s">
        <v>18354</v>
      </c>
      <c r="N2818" s="3" t="s">
        <v>126</v>
      </c>
      <c r="P2818" s="3" t="s">
        <v>140</v>
      </c>
      <c r="R2818" s="3" t="s">
        <v>71</v>
      </c>
      <c r="S2818" s="4">
        <v>0</v>
      </c>
      <c r="T2818" s="4">
        <v>0</v>
      </c>
      <c r="W2818" s="5" t="s">
        <v>72</v>
      </c>
      <c r="X2818" s="5" t="s">
        <v>72</v>
      </c>
      <c r="Y2818" s="4">
        <v>25</v>
      </c>
      <c r="Z2818" s="4">
        <v>5</v>
      </c>
      <c r="AA2818" s="4">
        <v>5</v>
      </c>
      <c r="AB2818" s="4">
        <v>1</v>
      </c>
      <c r="AC2818" s="4">
        <v>1</v>
      </c>
      <c r="AD2818" s="4">
        <v>19</v>
      </c>
      <c r="AE2818" s="4">
        <v>19</v>
      </c>
      <c r="AF2818" s="4">
        <v>0</v>
      </c>
      <c r="AG2818" s="4">
        <v>0</v>
      </c>
      <c r="AH2818" s="4">
        <v>19</v>
      </c>
      <c r="AI2818" s="4">
        <v>19</v>
      </c>
      <c r="AJ2818" s="4">
        <v>3</v>
      </c>
      <c r="AK2818" s="4">
        <v>3</v>
      </c>
      <c r="AL2818" s="4">
        <v>10</v>
      </c>
      <c r="AM2818" s="4">
        <v>10</v>
      </c>
      <c r="AN2818" s="4">
        <v>0</v>
      </c>
      <c r="AO2818" s="4">
        <v>0</v>
      </c>
      <c r="AP2818" s="4">
        <v>3</v>
      </c>
      <c r="AQ2818" s="4">
        <v>3</v>
      </c>
      <c r="AR2818" s="3" t="s">
        <v>65</v>
      </c>
      <c r="AS2818" s="3" t="s">
        <v>65</v>
      </c>
      <c r="AT2818" s="3" t="s">
        <v>65</v>
      </c>
      <c r="AV2818" s="6" t="str">
        <f>HYPERLINK("http://mcgill.on.worldcat.org/oclc/741557427","Catalog Record")</f>
        <v>Catalog Record</v>
      </c>
      <c r="AW2818" s="6" t="str">
        <f>HYPERLINK("http://www.worldcat.org/oclc/741557427","WorldCat Record")</f>
        <v>WorldCat Record</v>
      </c>
      <c r="AX2818" s="3" t="s">
        <v>27940</v>
      </c>
      <c r="AY2818" s="3" t="s">
        <v>27941</v>
      </c>
      <c r="AZ2818" s="3" t="s">
        <v>27942</v>
      </c>
      <c r="BA2818" s="3" t="s">
        <v>27942</v>
      </c>
      <c r="BB2818" s="3" t="s">
        <v>27943</v>
      </c>
      <c r="BC2818" s="3" t="s">
        <v>77</v>
      </c>
      <c r="BD2818" s="3" t="s">
        <v>78</v>
      </c>
      <c r="BE2818" s="3" t="s">
        <v>27944</v>
      </c>
      <c r="BF2818" s="3" t="s">
        <v>27943</v>
      </c>
      <c r="BG2818" s="3" t="s">
        <v>27945</v>
      </c>
    </row>
    <row r="2819" spans="1:59" ht="58" x14ac:dyDescent="0.35">
      <c r="A2819" s="2" t="s">
        <v>59</v>
      </c>
      <c r="B2819" s="2" t="s">
        <v>60</v>
      </c>
      <c r="C2819" s="2" t="s">
        <v>27946</v>
      </c>
      <c r="D2819" s="2" t="s">
        <v>27947</v>
      </c>
      <c r="E2819" s="2" t="s">
        <v>27948</v>
      </c>
      <c r="G2819" s="3" t="s">
        <v>65</v>
      </c>
      <c r="I2819" s="3" t="s">
        <v>65</v>
      </c>
      <c r="J2819" s="3" t="s">
        <v>65</v>
      </c>
      <c r="K2819" s="3" t="s">
        <v>66</v>
      </c>
      <c r="L2819" s="2" t="s">
        <v>7826</v>
      </c>
      <c r="M2819" s="2" t="s">
        <v>27949</v>
      </c>
      <c r="N2819" s="3" t="s">
        <v>139</v>
      </c>
      <c r="O2819" s="2" t="s">
        <v>365</v>
      </c>
      <c r="P2819" s="3" t="s">
        <v>140</v>
      </c>
      <c r="Q2819" s="2" t="s">
        <v>27950</v>
      </c>
      <c r="R2819" s="3" t="s">
        <v>71</v>
      </c>
      <c r="S2819" s="4">
        <v>0</v>
      </c>
      <c r="T2819" s="4">
        <v>0</v>
      </c>
      <c r="W2819" s="5" t="s">
        <v>72</v>
      </c>
      <c r="X2819" s="5" t="s">
        <v>72</v>
      </c>
      <c r="Y2819" s="4">
        <v>44</v>
      </c>
      <c r="Z2819" s="4">
        <v>5</v>
      </c>
      <c r="AA2819" s="4">
        <v>5</v>
      </c>
      <c r="AB2819" s="4">
        <v>1</v>
      </c>
      <c r="AC2819" s="4">
        <v>1</v>
      </c>
      <c r="AD2819" s="4">
        <v>36</v>
      </c>
      <c r="AE2819" s="4">
        <v>36</v>
      </c>
      <c r="AF2819" s="4">
        <v>0</v>
      </c>
      <c r="AG2819" s="4">
        <v>0</v>
      </c>
      <c r="AH2819" s="4">
        <v>35</v>
      </c>
      <c r="AI2819" s="4">
        <v>35</v>
      </c>
      <c r="AJ2819" s="4">
        <v>3</v>
      </c>
      <c r="AK2819" s="4">
        <v>3</v>
      </c>
      <c r="AL2819" s="4">
        <v>28</v>
      </c>
      <c r="AM2819" s="4">
        <v>28</v>
      </c>
      <c r="AN2819" s="4">
        <v>0</v>
      </c>
      <c r="AO2819" s="4">
        <v>0</v>
      </c>
      <c r="AP2819" s="4">
        <v>3</v>
      </c>
      <c r="AQ2819" s="4">
        <v>3</v>
      </c>
      <c r="AR2819" s="3" t="s">
        <v>65</v>
      </c>
      <c r="AS2819" s="3" t="s">
        <v>65</v>
      </c>
      <c r="AT2819" s="3" t="s">
        <v>65</v>
      </c>
      <c r="AV2819" s="6" t="str">
        <f>HYPERLINK("http://mcgill.on.worldcat.org/oclc/820120798","Catalog Record")</f>
        <v>Catalog Record</v>
      </c>
      <c r="AW2819" s="6" t="str">
        <f>HYPERLINK("http://www.worldcat.org/oclc/820120798","WorldCat Record")</f>
        <v>WorldCat Record</v>
      </c>
      <c r="AX2819" s="3" t="s">
        <v>27951</v>
      </c>
      <c r="AY2819" s="3" t="s">
        <v>27952</v>
      </c>
      <c r="AZ2819" s="3" t="s">
        <v>27953</v>
      </c>
      <c r="BA2819" s="3" t="s">
        <v>27953</v>
      </c>
      <c r="BB2819" s="3" t="s">
        <v>27954</v>
      </c>
      <c r="BC2819" s="3" t="s">
        <v>77</v>
      </c>
      <c r="BD2819" s="3" t="s">
        <v>78</v>
      </c>
      <c r="BE2819" s="3" t="s">
        <v>27955</v>
      </c>
      <c r="BF2819" s="3" t="s">
        <v>27954</v>
      </c>
      <c r="BG2819" s="3" t="s">
        <v>27956</v>
      </c>
    </row>
    <row r="2820" spans="1:59" ht="58" x14ac:dyDescent="0.35">
      <c r="A2820" s="2" t="s">
        <v>59</v>
      </c>
      <c r="B2820" s="2" t="s">
        <v>60</v>
      </c>
      <c r="C2820" s="2" t="s">
        <v>27957</v>
      </c>
      <c r="D2820" s="2" t="s">
        <v>27958</v>
      </c>
      <c r="E2820" s="2" t="s">
        <v>27959</v>
      </c>
      <c r="G2820" s="3" t="s">
        <v>65</v>
      </c>
      <c r="I2820" s="3" t="s">
        <v>65</v>
      </c>
      <c r="J2820" s="3" t="s">
        <v>65</v>
      </c>
      <c r="K2820" s="3" t="s">
        <v>66</v>
      </c>
      <c r="L2820" s="2" t="s">
        <v>27960</v>
      </c>
      <c r="M2820" s="2" t="s">
        <v>27961</v>
      </c>
      <c r="N2820" s="3" t="s">
        <v>139</v>
      </c>
      <c r="O2820" s="2" t="s">
        <v>365</v>
      </c>
      <c r="P2820" s="3" t="s">
        <v>140</v>
      </c>
      <c r="Q2820" s="2" t="s">
        <v>340</v>
      </c>
      <c r="R2820" s="3" t="s">
        <v>71</v>
      </c>
      <c r="S2820" s="4">
        <v>0</v>
      </c>
      <c r="T2820" s="4">
        <v>0</v>
      </c>
      <c r="W2820" s="5" t="s">
        <v>72</v>
      </c>
      <c r="X2820" s="5" t="s">
        <v>72</v>
      </c>
      <c r="Y2820" s="4">
        <v>9</v>
      </c>
      <c r="Z2820" s="4">
        <v>3</v>
      </c>
      <c r="AA2820" s="4">
        <v>5</v>
      </c>
      <c r="AB2820" s="4">
        <v>1</v>
      </c>
      <c r="AC2820" s="4">
        <v>2</v>
      </c>
      <c r="AD2820" s="4">
        <v>5</v>
      </c>
      <c r="AE2820" s="4">
        <v>17</v>
      </c>
      <c r="AF2820" s="4">
        <v>0</v>
      </c>
      <c r="AG2820" s="4">
        <v>1</v>
      </c>
      <c r="AH2820" s="4">
        <v>5</v>
      </c>
      <c r="AI2820" s="4">
        <v>16</v>
      </c>
      <c r="AJ2820" s="4">
        <v>1</v>
      </c>
      <c r="AK2820" s="4">
        <v>3</v>
      </c>
      <c r="AL2820" s="4">
        <v>4</v>
      </c>
      <c r="AM2820" s="4">
        <v>12</v>
      </c>
      <c r="AN2820" s="4">
        <v>0</v>
      </c>
      <c r="AO2820" s="4">
        <v>0</v>
      </c>
      <c r="AP2820" s="4">
        <v>1</v>
      </c>
      <c r="AQ2820" s="4">
        <v>3</v>
      </c>
      <c r="AR2820" s="3" t="s">
        <v>65</v>
      </c>
      <c r="AS2820" s="3" t="s">
        <v>65</v>
      </c>
      <c r="AT2820" s="3" t="s">
        <v>65</v>
      </c>
      <c r="AV2820" s="6" t="str">
        <f>HYPERLINK("http://mcgill.on.worldcat.org/oclc/781672431","Catalog Record")</f>
        <v>Catalog Record</v>
      </c>
      <c r="AW2820" s="6" t="str">
        <f>HYPERLINK("http://www.worldcat.org/oclc/781672431","WorldCat Record")</f>
        <v>WorldCat Record</v>
      </c>
      <c r="AX2820" s="3" t="s">
        <v>27962</v>
      </c>
      <c r="AY2820" s="3" t="s">
        <v>27963</v>
      </c>
      <c r="AZ2820" s="3" t="s">
        <v>27964</v>
      </c>
      <c r="BA2820" s="3" t="s">
        <v>27964</v>
      </c>
      <c r="BB2820" s="3" t="s">
        <v>27965</v>
      </c>
      <c r="BC2820" s="3" t="s">
        <v>77</v>
      </c>
      <c r="BD2820" s="3" t="s">
        <v>78</v>
      </c>
      <c r="BE2820" s="3" t="s">
        <v>27966</v>
      </c>
      <c r="BF2820" s="3" t="s">
        <v>27965</v>
      </c>
      <c r="BG2820" s="3" t="s">
        <v>27967</v>
      </c>
    </row>
    <row r="2821" spans="1:59" ht="58" x14ac:dyDescent="0.35">
      <c r="A2821" s="2" t="s">
        <v>59</v>
      </c>
      <c r="B2821" s="2" t="s">
        <v>60</v>
      </c>
      <c r="C2821" s="2" t="s">
        <v>27968</v>
      </c>
      <c r="D2821" s="2" t="s">
        <v>27969</v>
      </c>
      <c r="E2821" s="2" t="s">
        <v>27970</v>
      </c>
      <c r="G2821" s="3" t="s">
        <v>65</v>
      </c>
      <c r="I2821" s="3" t="s">
        <v>65</v>
      </c>
      <c r="J2821" s="3" t="s">
        <v>65</v>
      </c>
      <c r="K2821" s="3" t="s">
        <v>66</v>
      </c>
      <c r="L2821" s="2" t="s">
        <v>27971</v>
      </c>
      <c r="M2821" s="2" t="s">
        <v>27972</v>
      </c>
      <c r="N2821" s="3" t="s">
        <v>139</v>
      </c>
      <c r="O2821" s="2" t="s">
        <v>365</v>
      </c>
      <c r="P2821" s="3" t="s">
        <v>140</v>
      </c>
      <c r="Q2821" s="2" t="s">
        <v>27973</v>
      </c>
      <c r="R2821" s="3" t="s">
        <v>71</v>
      </c>
      <c r="S2821" s="4">
        <v>0</v>
      </c>
      <c r="T2821" s="4">
        <v>0</v>
      </c>
      <c r="W2821" s="5" t="s">
        <v>72</v>
      </c>
      <c r="X2821" s="5" t="s">
        <v>72</v>
      </c>
      <c r="Y2821" s="4">
        <v>31</v>
      </c>
      <c r="Z2821" s="4">
        <v>2</v>
      </c>
      <c r="AA2821" s="4">
        <v>2</v>
      </c>
      <c r="AB2821" s="4">
        <v>1</v>
      </c>
      <c r="AC2821" s="4">
        <v>1</v>
      </c>
      <c r="AD2821" s="4">
        <v>26</v>
      </c>
      <c r="AE2821" s="4">
        <v>26</v>
      </c>
      <c r="AF2821" s="4">
        <v>0</v>
      </c>
      <c r="AG2821" s="4">
        <v>0</v>
      </c>
      <c r="AH2821" s="4">
        <v>25</v>
      </c>
      <c r="AI2821" s="4">
        <v>25</v>
      </c>
      <c r="AJ2821" s="4">
        <v>1</v>
      </c>
      <c r="AK2821" s="4">
        <v>1</v>
      </c>
      <c r="AL2821" s="4">
        <v>19</v>
      </c>
      <c r="AM2821" s="4">
        <v>19</v>
      </c>
      <c r="AN2821" s="4">
        <v>0</v>
      </c>
      <c r="AO2821" s="4">
        <v>0</v>
      </c>
      <c r="AP2821" s="4">
        <v>1</v>
      </c>
      <c r="AQ2821" s="4">
        <v>1</v>
      </c>
      <c r="AR2821" s="3" t="s">
        <v>65</v>
      </c>
      <c r="AS2821" s="3" t="s">
        <v>65</v>
      </c>
      <c r="AT2821" s="3" t="s">
        <v>65</v>
      </c>
      <c r="AV2821" s="6" t="str">
        <f>HYPERLINK("http://mcgill.on.worldcat.org/oclc/788213341","Catalog Record")</f>
        <v>Catalog Record</v>
      </c>
      <c r="AW2821" s="6" t="str">
        <f>HYPERLINK("http://www.worldcat.org/oclc/788213341","WorldCat Record")</f>
        <v>WorldCat Record</v>
      </c>
      <c r="AX2821" s="3" t="s">
        <v>27974</v>
      </c>
      <c r="AY2821" s="3" t="s">
        <v>27975</v>
      </c>
      <c r="AZ2821" s="3" t="s">
        <v>27976</v>
      </c>
      <c r="BA2821" s="3" t="s">
        <v>27976</v>
      </c>
      <c r="BB2821" s="3" t="s">
        <v>27977</v>
      </c>
      <c r="BC2821" s="3" t="s">
        <v>77</v>
      </c>
      <c r="BD2821" s="3" t="s">
        <v>78</v>
      </c>
      <c r="BE2821" s="3" t="s">
        <v>27978</v>
      </c>
      <c r="BF2821" s="3" t="s">
        <v>27977</v>
      </c>
      <c r="BG2821" s="3" t="s">
        <v>27979</v>
      </c>
    </row>
    <row r="2822" spans="1:59" ht="58" x14ac:dyDescent="0.35">
      <c r="A2822" s="2" t="s">
        <v>59</v>
      </c>
      <c r="B2822" s="2" t="s">
        <v>60</v>
      </c>
      <c r="C2822" s="2" t="s">
        <v>27980</v>
      </c>
      <c r="D2822" s="2" t="s">
        <v>27981</v>
      </c>
      <c r="E2822" s="2" t="s">
        <v>27982</v>
      </c>
      <c r="G2822" s="3" t="s">
        <v>65</v>
      </c>
      <c r="I2822" s="3" t="s">
        <v>65</v>
      </c>
      <c r="J2822" s="3" t="s">
        <v>65</v>
      </c>
      <c r="K2822" s="3" t="s">
        <v>66</v>
      </c>
      <c r="L2822" s="2" t="s">
        <v>27983</v>
      </c>
      <c r="M2822" s="2" t="s">
        <v>27984</v>
      </c>
      <c r="N2822" s="3" t="s">
        <v>139</v>
      </c>
      <c r="P2822" s="3" t="s">
        <v>140</v>
      </c>
      <c r="R2822" s="3" t="s">
        <v>71</v>
      </c>
      <c r="S2822" s="4">
        <v>0</v>
      </c>
      <c r="T2822" s="4">
        <v>0</v>
      </c>
      <c r="W2822" s="5" t="s">
        <v>72</v>
      </c>
      <c r="X2822" s="5" t="s">
        <v>72</v>
      </c>
      <c r="Y2822" s="4">
        <v>21</v>
      </c>
      <c r="Z2822" s="4">
        <v>2</v>
      </c>
      <c r="AA2822" s="4">
        <v>2</v>
      </c>
      <c r="AB2822" s="4">
        <v>1</v>
      </c>
      <c r="AC2822" s="4">
        <v>1</v>
      </c>
      <c r="AD2822" s="4">
        <v>16</v>
      </c>
      <c r="AE2822" s="4">
        <v>16</v>
      </c>
      <c r="AF2822" s="4">
        <v>0</v>
      </c>
      <c r="AG2822" s="4">
        <v>0</v>
      </c>
      <c r="AH2822" s="4">
        <v>15</v>
      </c>
      <c r="AI2822" s="4">
        <v>15</v>
      </c>
      <c r="AJ2822" s="4">
        <v>1</v>
      </c>
      <c r="AK2822" s="4">
        <v>1</v>
      </c>
      <c r="AL2822" s="4">
        <v>11</v>
      </c>
      <c r="AM2822" s="4">
        <v>11</v>
      </c>
      <c r="AN2822" s="4">
        <v>0</v>
      </c>
      <c r="AO2822" s="4">
        <v>0</v>
      </c>
      <c r="AP2822" s="4">
        <v>1</v>
      </c>
      <c r="AQ2822" s="4">
        <v>1</v>
      </c>
      <c r="AR2822" s="3" t="s">
        <v>65</v>
      </c>
      <c r="AS2822" s="3" t="s">
        <v>65</v>
      </c>
      <c r="AT2822" s="3" t="s">
        <v>65</v>
      </c>
      <c r="AV2822" s="6" t="str">
        <f>HYPERLINK("http://mcgill.on.worldcat.org/oclc/779253259","Catalog Record")</f>
        <v>Catalog Record</v>
      </c>
      <c r="AW2822" s="6" t="str">
        <f>HYPERLINK("http://www.worldcat.org/oclc/779253259","WorldCat Record")</f>
        <v>WorldCat Record</v>
      </c>
      <c r="AX2822" s="3" t="s">
        <v>27985</v>
      </c>
      <c r="AY2822" s="3" t="s">
        <v>27986</v>
      </c>
      <c r="AZ2822" s="3" t="s">
        <v>27987</v>
      </c>
      <c r="BA2822" s="3" t="s">
        <v>27987</v>
      </c>
      <c r="BB2822" s="3" t="s">
        <v>27988</v>
      </c>
      <c r="BC2822" s="3" t="s">
        <v>77</v>
      </c>
      <c r="BD2822" s="3" t="s">
        <v>78</v>
      </c>
      <c r="BE2822" s="3" t="s">
        <v>27989</v>
      </c>
      <c r="BF2822" s="3" t="s">
        <v>27988</v>
      </c>
      <c r="BG2822" s="3" t="s">
        <v>27990</v>
      </c>
    </row>
    <row r="2823" spans="1:59" ht="58" x14ac:dyDescent="0.35">
      <c r="A2823" s="2" t="s">
        <v>59</v>
      </c>
      <c r="B2823" s="2" t="s">
        <v>60</v>
      </c>
      <c r="C2823" s="2" t="s">
        <v>27991</v>
      </c>
      <c r="D2823" s="2" t="s">
        <v>27992</v>
      </c>
      <c r="E2823" s="2" t="s">
        <v>27993</v>
      </c>
      <c r="G2823" s="3" t="s">
        <v>65</v>
      </c>
      <c r="I2823" s="3" t="s">
        <v>65</v>
      </c>
      <c r="J2823" s="3" t="s">
        <v>65</v>
      </c>
      <c r="K2823" s="3" t="s">
        <v>66</v>
      </c>
      <c r="M2823" s="2" t="s">
        <v>27994</v>
      </c>
      <c r="N2823" s="3" t="s">
        <v>68</v>
      </c>
      <c r="P2823" s="3" t="s">
        <v>140</v>
      </c>
      <c r="Q2823" s="2" t="s">
        <v>27995</v>
      </c>
      <c r="R2823" s="3" t="s">
        <v>71</v>
      </c>
      <c r="S2823" s="4">
        <v>0</v>
      </c>
      <c r="T2823" s="4">
        <v>0</v>
      </c>
      <c r="W2823" s="5" t="s">
        <v>72</v>
      </c>
      <c r="X2823" s="5" t="s">
        <v>72</v>
      </c>
      <c r="Y2823" s="4">
        <v>40</v>
      </c>
      <c r="Z2823" s="4">
        <v>2</v>
      </c>
      <c r="AA2823" s="4">
        <v>2</v>
      </c>
      <c r="AB2823" s="4">
        <v>1</v>
      </c>
      <c r="AC2823" s="4">
        <v>1</v>
      </c>
      <c r="AD2823" s="4">
        <v>30</v>
      </c>
      <c r="AE2823" s="4">
        <v>30</v>
      </c>
      <c r="AF2823" s="4">
        <v>0</v>
      </c>
      <c r="AG2823" s="4">
        <v>0</v>
      </c>
      <c r="AH2823" s="4">
        <v>29</v>
      </c>
      <c r="AI2823" s="4">
        <v>29</v>
      </c>
      <c r="AJ2823" s="4">
        <v>1</v>
      </c>
      <c r="AK2823" s="4">
        <v>1</v>
      </c>
      <c r="AL2823" s="4">
        <v>22</v>
      </c>
      <c r="AM2823" s="4">
        <v>22</v>
      </c>
      <c r="AN2823" s="4">
        <v>0</v>
      </c>
      <c r="AO2823" s="4">
        <v>0</v>
      </c>
      <c r="AP2823" s="4">
        <v>1</v>
      </c>
      <c r="AQ2823" s="4">
        <v>1</v>
      </c>
      <c r="AR2823" s="3" t="s">
        <v>65</v>
      </c>
      <c r="AS2823" s="3" t="s">
        <v>65</v>
      </c>
      <c r="AT2823" s="3" t="s">
        <v>65</v>
      </c>
      <c r="AV2823" s="6" t="str">
        <f>HYPERLINK("http://mcgill.on.worldcat.org/oclc/974707881","Catalog Record")</f>
        <v>Catalog Record</v>
      </c>
      <c r="AW2823" s="6" t="str">
        <f>HYPERLINK("http://www.worldcat.org/oclc/974707881","WorldCat Record")</f>
        <v>WorldCat Record</v>
      </c>
      <c r="AX2823" s="3" t="s">
        <v>27996</v>
      </c>
      <c r="AY2823" s="3" t="s">
        <v>27997</v>
      </c>
      <c r="AZ2823" s="3" t="s">
        <v>27998</v>
      </c>
      <c r="BA2823" s="3" t="s">
        <v>27998</v>
      </c>
      <c r="BB2823" s="3" t="s">
        <v>27999</v>
      </c>
      <c r="BC2823" s="3" t="s">
        <v>77</v>
      </c>
      <c r="BD2823" s="3" t="s">
        <v>78</v>
      </c>
      <c r="BE2823" s="3" t="s">
        <v>28000</v>
      </c>
      <c r="BF2823" s="3" t="s">
        <v>27999</v>
      </c>
      <c r="BG2823" s="3" t="s">
        <v>28001</v>
      </c>
    </row>
    <row r="2824" spans="1:59" ht="58" x14ac:dyDescent="0.35">
      <c r="A2824" s="2" t="s">
        <v>59</v>
      </c>
      <c r="B2824" s="2" t="s">
        <v>60</v>
      </c>
      <c r="C2824" s="2" t="s">
        <v>28002</v>
      </c>
      <c r="D2824" s="2" t="s">
        <v>28003</v>
      </c>
      <c r="E2824" s="2" t="s">
        <v>28004</v>
      </c>
      <c r="G2824" s="3" t="s">
        <v>65</v>
      </c>
      <c r="I2824" s="3" t="s">
        <v>65</v>
      </c>
      <c r="J2824" s="3" t="s">
        <v>65</v>
      </c>
      <c r="K2824" s="3" t="s">
        <v>66</v>
      </c>
      <c r="L2824" s="2" t="s">
        <v>601</v>
      </c>
      <c r="M2824" s="2" t="s">
        <v>19497</v>
      </c>
      <c r="N2824" s="3" t="s">
        <v>113</v>
      </c>
      <c r="P2824" s="3" t="s">
        <v>140</v>
      </c>
      <c r="Q2824" s="2" t="s">
        <v>28005</v>
      </c>
      <c r="R2824" s="3" t="s">
        <v>71</v>
      </c>
      <c r="S2824" s="4">
        <v>0</v>
      </c>
      <c r="T2824" s="4">
        <v>0</v>
      </c>
      <c r="W2824" s="5" t="s">
        <v>72</v>
      </c>
      <c r="X2824" s="5" t="s">
        <v>72</v>
      </c>
      <c r="Y2824" s="4">
        <v>49</v>
      </c>
      <c r="Z2824" s="4">
        <v>3</v>
      </c>
      <c r="AA2824" s="4">
        <v>3</v>
      </c>
      <c r="AB2824" s="4">
        <v>1</v>
      </c>
      <c r="AC2824" s="4">
        <v>1</v>
      </c>
      <c r="AD2824" s="4">
        <v>35</v>
      </c>
      <c r="AE2824" s="4">
        <v>35</v>
      </c>
      <c r="AF2824" s="4">
        <v>0</v>
      </c>
      <c r="AG2824" s="4">
        <v>0</v>
      </c>
      <c r="AH2824" s="4">
        <v>34</v>
      </c>
      <c r="AI2824" s="4">
        <v>34</v>
      </c>
      <c r="AJ2824" s="4">
        <v>2</v>
      </c>
      <c r="AK2824" s="4">
        <v>2</v>
      </c>
      <c r="AL2824" s="4">
        <v>27</v>
      </c>
      <c r="AM2824" s="4">
        <v>27</v>
      </c>
      <c r="AN2824" s="4">
        <v>0</v>
      </c>
      <c r="AO2824" s="4">
        <v>0</v>
      </c>
      <c r="AP2824" s="4">
        <v>2</v>
      </c>
      <c r="AQ2824" s="4">
        <v>2</v>
      </c>
      <c r="AR2824" s="3" t="s">
        <v>65</v>
      </c>
      <c r="AS2824" s="3" t="s">
        <v>65</v>
      </c>
      <c r="AT2824" s="3" t="s">
        <v>65</v>
      </c>
      <c r="AV2824" s="6" t="str">
        <f>HYPERLINK("http://mcgill.on.worldcat.org/oclc/606735619","Catalog Record")</f>
        <v>Catalog Record</v>
      </c>
      <c r="AW2824" s="6" t="str">
        <f>HYPERLINK("http://www.worldcat.org/oclc/606735619","WorldCat Record")</f>
        <v>WorldCat Record</v>
      </c>
      <c r="AX2824" s="3" t="s">
        <v>28006</v>
      </c>
      <c r="AY2824" s="3" t="s">
        <v>28007</v>
      </c>
      <c r="AZ2824" s="3" t="s">
        <v>28008</v>
      </c>
      <c r="BA2824" s="3" t="s">
        <v>28008</v>
      </c>
      <c r="BB2824" s="3" t="s">
        <v>28009</v>
      </c>
      <c r="BC2824" s="3" t="s">
        <v>77</v>
      </c>
      <c r="BD2824" s="3" t="s">
        <v>78</v>
      </c>
      <c r="BE2824" s="3" t="s">
        <v>28010</v>
      </c>
      <c r="BF2824" s="3" t="s">
        <v>28009</v>
      </c>
      <c r="BG2824" s="3" t="s">
        <v>28011</v>
      </c>
    </row>
    <row r="2825" spans="1:59" ht="58" x14ac:dyDescent="0.35">
      <c r="A2825" s="2" t="s">
        <v>59</v>
      </c>
      <c r="B2825" s="2" t="s">
        <v>60</v>
      </c>
      <c r="C2825" s="2" t="s">
        <v>28012</v>
      </c>
      <c r="D2825" s="2" t="s">
        <v>28013</v>
      </c>
      <c r="E2825" s="2" t="s">
        <v>28014</v>
      </c>
      <c r="G2825" s="3" t="s">
        <v>65</v>
      </c>
      <c r="I2825" s="3" t="s">
        <v>65</v>
      </c>
      <c r="J2825" s="3" t="s">
        <v>65</v>
      </c>
      <c r="K2825" s="3" t="s">
        <v>66</v>
      </c>
      <c r="L2825" s="2" t="s">
        <v>28015</v>
      </c>
      <c r="M2825" s="2" t="s">
        <v>1635</v>
      </c>
      <c r="N2825" s="3" t="s">
        <v>176</v>
      </c>
      <c r="O2825" s="2" t="s">
        <v>235</v>
      </c>
      <c r="P2825" s="3" t="s">
        <v>140</v>
      </c>
      <c r="Q2825" s="2" t="s">
        <v>28016</v>
      </c>
      <c r="R2825" s="3" t="s">
        <v>71</v>
      </c>
      <c r="S2825" s="4">
        <v>0</v>
      </c>
      <c r="T2825" s="4">
        <v>0</v>
      </c>
      <c r="W2825" s="5" t="s">
        <v>72</v>
      </c>
      <c r="X2825" s="5" t="s">
        <v>72</v>
      </c>
      <c r="Y2825" s="4">
        <v>27</v>
      </c>
      <c r="Z2825" s="4">
        <v>2</v>
      </c>
      <c r="AA2825" s="4">
        <v>2</v>
      </c>
      <c r="AB2825" s="4">
        <v>1</v>
      </c>
      <c r="AC2825" s="4">
        <v>1</v>
      </c>
      <c r="AD2825" s="4">
        <v>16</v>
      </c>
      <c r="AE2825" s="4">
        <v>16</v>
      </c>
      <c r="AF2825" s="4">
        <v>0</v>
      </c>
      <c r="AG2825" s="4">
        <v>0</v>
      </c>
      <c r="AH2825" s="4">
        <v>16</v>
      </c>
      <c r="AI2825" s="4">
        <v>16</v>
      </c>
      <c r="AJ2825" s="4">
        <v>1</v>
      </c>
      <c r="AK2825" s="4">
        <v>1</v>
      </c>
      <c r="AL2825" s="4">
        <v>10</v>
      </c>
      <c r="AM2825" s="4">
        <v>10</v>
      </c>
      <c r="AN2825" s="4">
        <v>0</v>
      </c>
      <c r="AO2825" s="4">
        <v>0</v>
      </c>
      <c r="AP2825" s="4">
        <v>1</v>
      </c>
      <c r="AQ2825" s="4">
        <v>1</v>
      </c>
      <c r="AR2825" s="3" t="s">
        <v>65</v>
      </c>
      <c r="AS2825" s="3" t="s">
        <v>65</v>
      </c>
      <c r="AT2825" s="3" t="s">
        <v>65</v>
      </c>
      <c r="AV2825" s="6" t="str">
        <f>HYPERLINK("http://mcgill.on.worldcat.org/oclc/924159597","Catalog Record")</f>
        <v>Catalog Record</v>
      </c>
      <c r="AW2825" s="6" t="str">
        <f>HYPERLINK("http://www.worldcat.org/oclc/924159597","WorldCat Record")</f>
        <v>WorldCat Record</v>
      </c>
      <c r="AX2825" s="3" t="s">
        <v>28017</v>
      </c>
      <c r="AY2825" s="3" t="s">
        <v>28018</v>
      </c>
      <c r="AZ2825" s="3" t="s">
        <v>28019</v>
      </c>
      <c r="BA2825" s="3" t="s">
        <v>28019</v>
      </c>
      <c r="BB2825" s="3" t="s">
        <v>28020</v>
      </c>
      <c r="BC2825" s="3" t="s">
        <v>77</v>
      </c>
      <c r="BD2825" s="3" t="s">
        <v>78</v>
      </c>
      <c r="BE2825" s="3" t="s">
        <v>28021</v>
      </c>
      <c r="BF2825" s="3" t="s">
        <v>28020</v>
      </c>
      <c r="BG2825" s="3" t="s">
        <v>28022</v>
      </c>
    </row>
    <row r="2826" spans="1:59" ht="58" x14ac:dyDescent="0.35">
      <c r="A2826" s="2" t="s">
        <v>59</v>
      </c>
      <c r="B2826" s="2" t="s">
        <v>60</v>
      </c>
      <c r="C2826" s="2" t="s">
        <v>28023</v>
      </c>
      <c r="D2826" s="2" t="s">
        <v>28024</v>
      </c>
      <c r="E2826" s="2" t="s">
        <v>28025</v>
      </c>
      <c r="G2826" s="3" t="s">
        <v>65</v>
      </c>
      <c r="I2826" s="3" t="s">
        <v>65</v>
      </c>
      <c r="J2826" s="3" t="s">
        <v>65</v>
      </c>
      <c r="K2826" s="3" t="s">
        <v>66</v>
      </c>
      <c r="L2826" s="2" t="s">
        <v>28026</v>
      </c>
      <c r="M2826" s="2" t="s">
        <v>28027</v>
      </c>
      <c r="N2826" s="3" t="s">
        <v>176</v>
      </c>
      <c r="O2826" s="2" t="s">
        <v>28028</v>
      </c>
      <c r="P2826" s="3" t="s">
        <v>140</v>
      </c>
      <c r="Q2826" s="2" t="s">
        <v>28029</v>
      </c>
      <c r="R2826" s="3" t="s">
        <v>71</v>
      </c>
      <c r="S2826" s="4">
        <v>1</v>
      </c>
      <c r="T2826" s="4">
        <v>1</v>
      </c>
      <c r="U2826" s="5" t="s">
        <v>8505</v>
      </c>
      <c r="V2826" s="5" t="s">
        <v>8505</v>
      </c>
      <c r="W2826" s="5" t="s">
        <v>72</v>
      </c>
      <c r="X2826" s="5" t="s">
        <v>72</v>
      </c>
      <c r="Y2826" s="4">
        <v>10</v>
      </c>
      <c r="Z2826" s="4">
        <v>1</v>
      </c>
      <c r="AA2826" s="4">
        <v>4</v>
      </c>
      <c r="AB2826" s="4">
        <v>1</v>
      </c>
      <c r="AC2826" s="4">
        <v>1</v>
      </c>
      <c r="AD2826" s="4">
        <v>5</v>
      </c>
      <c r="AE2826" s="4">
        <v>28</v>
      </c>
      <c r="AF2826" s="4">
        <v>0</v>
      </c>
      <c r="AG2826" s="4">
        <v>0</v>
      </c>
      <c r="AH2826" s="4">
        <v>5</v>
      </c>
      <c r="AI2826" s="4">
        <v>27</v>
      </c>
      <c r="AJ2826" s="4">
        <v>0</v>
      </c>
      <c r="AK2826" s="4">
        <v>2</v>
      </c>
      <c r="AL2826" s="4">
        <v>4</v>
      </c>
      <c r="AM2826" s="4">
        <v>21</v>
      </c>
      <c r="AN2826" s="4">
        <v>0</v>
      </c>
      <c r="AO2826" s="4">
        <v>0</v>
      </c>
      <c r="AP2826" s="4">
        <v>0</v>
      </c>
      <c r="AQ2826" s="4">
        <v>2</v>
      </c>
      <c r="AR2826" s="3" t="s">
        <v>65</v>
      </c>
      <c r="AS2826" s="3" t="s">
        <v>65</v>
      </c>
      <c r="AT2826" s="3" t="s">
        <v>65</v>
      </c>
      <c r="AV2826" s="6" t="str">
        <f>HYPERLINK("http://mcgill.on.worldcat.org/oclc/907295606","Catalog Record")</f>
        <v>Catalog Record</v>
      </c>
      <c r="AW2826" s="6" t="str">
        <f>HYPERLINK("http://www.worldcat.org/oclc/907295606","WorldCat Record")</f>
        <v>WorldCat Record</v>
      </c>
      <c r="AX2826" s="3" t="s">
        <v>28030</v>
      </c>
      <c r="AY2826" s="3" t="s">
        <v>28031</v>
      </c>
      <c r="AZ2826" s="3" t="s">
        <v>28032</v>
      </c>
      <c r="BA2826" s="3" t="s">
        <v>28032</v>
      </c>
      <c r="BB2826" s="3" t="s">
        <v>28033</v>
      </c>
      <c r="BC2826" s="3" t="s">
        <v>77</v>
      </c>
      <c r="BD2826" s="3" t="s">
        <v>78</v>
      </c>
      <c r="BE2826" s="3" t="s">
        <v>28034</v>
      </c>
      <c r="BF2826" s="3" t="s">
        <v>28033</v>
      </c>
      <c r="BG2826" s="3" t="s">
        <v>28035</v>
      </c>
    </row>
    <row r="2827" spans="1:59" ht="58" x14ac:dyDescent="0.35">
      <c r="A2827" s="2" t="s">
        <v>59</v>
      </c>
      <c r="B2827" s="2" t="s">
        <v>60</v>
      </c>
      <c r="C2827" s="2" t="s">
        <v>28036</v>
      </c>
      <c r="D2827" s="2" t="s">
        <v>28037</v>
      </c>
      <c r="E2827" s="2" t="s">
        <v>28038</v>
      </c>
      <c r="G2827" s="3" t="s">
        <v>65</v>
      </c>
      <c r="I2827" s="3" t="s">
        <v>65</v>
      </c>
      <c r="J2827" s="3" t="s">
        <v>65</v>
      </c>
      <c r="K2827" s="3" t="s">
        <v>66</v>
      </c>
      <c r="L2827" s="2" t="s">
        <v>18227</v>
      </c>
      <c r="M2827" s="2" t="s">
        <v>28039</v>
      </c>
      <c r="N2827" s="3" t="s">
        <v>139</v>
      </c>
      <c r="P2827" s="3" t="s">
        <v>140</v>
      </c>
      <c r="Q2827" s="2" t="s">
        <v>18229</v>
      </c>
      <c r="R2827" s="3" t="s">
        <v>71</v>
      </c>
      <c r="S2827" s="4">
        <v>0</v>
      </c>
      <c r="T2827" s="4">
        <v>0</v>
      </c>
      <c r="W2827" s="5" t="s">
        <v>72</v>
      </c>
      <c r="X2827" s="5" t="s">
        <v>72</v>
      </c>
      <c r="Y2827" s="4">
        <v>13</v>
      </c>
      <c r="Z2827" s="4">
        <v>2</v>
      </c>
      <c r="AA2827" s="4">
        <v>2</v>
      </c>
      <c r="AB2827" s="4">
        <v>1</v>
      </c>
      <c r="AC2827" s="4">
        <v>1</v>
      </c>
      <c r="AD2827" s="4">
        <v>8</v>
      </c>
      <c r="AE2827" s="4">
        <v>8</v>
      </c>
      <c r="AF2827" s="4">
        <v>0</v>
      </c>
      <c r="AG2827" s="4">
        <v>0</v>
      </c>
      <c r="AH2827" s="4">
        <v>7</v>
      </c>
      <c r="AI2827" s="4">
        <v>7</v>
      </c>
      <c r="AJ2827" s="4">
        <v>1</v>
      </c>
      <c r="AK2827" s="4">
        <v>1</v>
      </c>
      <c r="AL2827" s="4">
        <v>7</v>
      </c>
      <c r="AM2827" s="4">
        <v>7</v>
      </c>
      <c r="AN2827" s="4">
        <v>0</v>
      </c>
      <c r="AO2827" s="4">
        <v>0</v>
      </c>
      <c r="AP2827" s="4">
        <v>1</v>
      </c>
      <c r="AQ2827" s="4">
        <v>1</v>
      </c>
      <c r="AR2827" s="3" t="s">
        <v>65</v>
      </c>
      <c r="AS2827" s="3" t="s">
        <v>65</v>
      </c>
      <c r="AT2827" s="3" t="s">
        <v>65</v>
      </c>
      <c r="AV2827" s="6" t="str">
        <f>HYPERLINK("http://mcgill.on.worldcat.org/oclc/820785744","Catalog Record")</f>
        <v>Catalog Record</v>
      </c>
      <c r="AW2827" s="6" t="str">
        <f>HYPERLINK("http://www.worldcat.org/oclc/820785744","WorldCat Record")</f>
        <v>WorldCat Record</v>
      </c>
      <c r="AX2827" s="3" t="s">
        <v>28040</v>
      </c>
      <c r="AY2827" s="3" t="s">
        <v>28041</v>
      </c>
      <c r="AZ2827" s="3" t="s">
        <v>28042</v>
      </c>
      <c r="BA2827" s="3" t="s">
        <v>28042</v>
      </c>
      <c r="BB2827" s="3" t="s">
        <v>28043</v>
      </c>
      <c r="BC2827" s="3" t="s">
        <v>77</v>
      </c>
      <c r="BD2827" s="3" t="s">
        <v>78</v>
      </c>
      <c r="BE2827" s="3" t="s">
        <v>28044</v>
      </c>
      <c r="BF2827" s="3" t="s">
        <v>28043</v>
      </c>
      <c r="BG2827" s="3" t="s">
        <v>28045</v>
      </c>
    </row>
    <row r="2828" spans="1:59" ht="58" x14ac:dyDescent="0.35">
      <c r="A2828" s="2" t="s">
        <v>59</v>
      </c>
      <c r="B2828" s="2" t="s">
        <v>60</v>
      </c>
      <c r="C2828" s="2" t="s">
        <v>28046</v>
      </c>
      <c r="D2828" s="2" t="s">
        <v>28047</v>
      </c>
      <c r="E2828" s="2" t="s">
        <v>28048</v>
      </c>
      <c r="G2828" s="3" t="s">
        <v>65</v>
      </c>
      <c r="I2828" s="3" t="s">
        <v>65</v>
      </c>
      <c r="J2828" s="3" t="s">
        <v>65</v>
      </c>
      <c r="K2828" s="3" t="s">
        <v>66</v>
      </c>
      <c r="M2828" s="2" t="s">
        <v>17840</v>
      </c>
      <c r="N2828" s="3" t="s">
        <v>126</v>
      </c>
      <c r="O2828" s="2" t="s">
        <v>365</v>
      </c>
      <c r="P2828" s="3" t="s">
        <v>140</v>
      </c>
      <c r="Q2828" s="2" t="s">
        <v>28049</v>
      </c>
      <c r="R2828" s="3" t="s">
        <v>71</v>
      </c>
      <c r="S2828" s="4">
        <v>0</v>
      </c>
      <c r="T2828" s="4">
        <v>0</v>
      </c>
      <c r="W2828" s="5" t="s">
        <v>72</v>
      </c>
      <c r="X2828" s="5" t="s">
        <v>72</v>
      </c>
      <c r="Y2828" s="4">
        <v>33</v>
      </c>
      <c r="Z2828" s="4">
        <v>3</v>
      </c>
      <c r="AA2828" s="4">
        <v>3</v>
      </c>
      <c r="AB2828" s="4">
        <v>1</v>
      </c>
      <c r="AC2828" s="4">
        <v>1</v>
      </c>
      <c r="AD2828" s="4">
        <v>24</v>
      </c>
      <c r="AE2828" s="4">
        <v>24</v>
      </c>
      <c r="AF2828" s="4">
        <v>0</v>
      </c>
      <c r="AG2828" s="4">
        <v>0</v>
      </c>
      <c r="AH2828" s="4">
        <v>23</v>
      </c>
      <c r="AI2828" s="4">
        <v>23</v>
      </c>
      <c r="AJ2828" s="4">
        <v>1</v>
      </c>
      <c r="AK2828" s="4">
        <v>1</v>
      </c>
      <c r="AL2828" s="4">
        <v>18</v>
      </c>
      <c r="AM2828" s="4">
        <v>18</v>
      </c>
      <c r="AN2828" s="4">
        <v>0</v>
      </c>
      <c r="AO2828" s="4">
        <v>0</v>
      </c>
      <c r="AP2828" s="4">
        <v>1</v>
      </c>
      <c r="AQ2828" s="4">
        <v>1</v>
      </c>
      <c r="AR2828" s="3" t="s">
        <v>65</v>
      </c>
      <c r="AS2828" s="3" t="s">
        <v>65</v>
      </c>
      <c r="AT2828" s="3" t="s">
        <v>65</v>
      </c>
      <c r="AV2828" s="6" t="str">
        <f>HYPERLINK("http://mcgill.on.worldcat.org/oclc/793216544","Catalog Record")</f>
        <v>Catalog Record</v>
      </c>
      <c r="AW2828" s="6" t="str">
        <f>HYPERLINK("http://www.worldcat.org/oclc/793216544","WorldCat Record")</f>
        <v>WorldCat Record</v>
      </c>
      <c r="AX2828" s="3" t="s">
        <v>28050</v>
      </c>
      <c r="AY2828" s="3" t="s">
        <v>28051</v>
      </c>
      <c r="AZ2828" s="3" t="s">
        <v>28052</v>
      </c>
      <c r="BA2828" s="3" t="s">
        <v>28052</v>
      </c>
      <c r="BB2828" s="3" t="s">
        <v>28053</v>
      </c>
      <c r="BC2828" s="3" t="s">
        <v>77</v>
      </c>
      <c r="BD2828" s="3" t="s">
        <v>78</v>
      </c>
      <c r="BE2828" s="3" t="s">
        <v>28054</v>
      </c>
      <c r="BF2828" s="3" t="s">
        <v>28053</v>
      </c>
      <c r="BG2828" s="3" t="s">
        <v>28055</v>
      </c>
    </row>
    <row r="2829" spans="1:59" ht="58" x14ac:dyDescent="0.35">
      <c r="A2829" s="2" t="s">
        <v>59</v>
      </c>
      <c r="B2829" s="2" t="s">
        <v>60</v>
      </c>
      <c r="C2829" s="2" t="s">
        <v>28056</v>
      </c>
      <c r="D2829" s="2" t="s">
        <v>28057</v>
      </c>
      <c r="E2829" s="2" t="s">
        <v>28058</v>
      </c>
      <c r="G2829" s="3" t="s">
        <v>65</v>
      </c>
      <c r="I2829" s="3" t="s">
        <v>65</v>
      </c>
      <c r="J2829" s="3" t="s">
        <v>65</v>
      </c>
      <c r="K2829" s="3" t="s">
        <v>66</v>
      </c>
      <c r="L2829" s="2" t="s">
        <v>28059</v>
      </c>
      <c r="M2829" s="2" t="s">
        <v>18701</v>
      </c>
      <c r="N2829" s="3" t="s">
        <v>113</v>
      </c>
      <c r="O2829" s="2" t="s">
        <v>365</v>
      </c>
      <c r="P2829" s="3" t="s">
        <v>140</v>
      </c>
      <c r="Q2829" s="2" t="s">
        <v>28060</v>
      </c>
      <c r="R2829" s="3" t="s">
        <v>71</v>
      </c>
      <c r="S2829" s="4">
        <v>0</v>
      </c>
      <c r="T2829" s="4">
        <v>0</v>
      </c>
      <c r="W2829" s="5" t="s">
        <v>72</v>
      </c>
      <c r="X2829" s="5" t="s">
        <v>72</v>
      </c>
      <c r="Y2829" s="4">
        <v>55</v>
      </c>
      <c r="Z2829" s="4">
        <v>6</v>
      </c>
      <c r="AA2829" s="4">
        <v>6</v>
      </c>
      <c r="AB2829" s="4">
        <v>2</v>
      </c>
      <c r="AC2829" s="4">
        <v>2</v>
      </c>
      <c r="AD2829" s="4">
        <v>41</v>
      </c>
      <c r="AE2829" s="4">
        <v>41</v>
      </c>
      <c r="AF2829" s="4">
        <v>1</v>
      </c>
      <c r="AG2829" s="4">
        <v>1</v>
      </c>
      <c r="AH2829" s="4">
        <v>39</v>
      </c>
      <c r="AI2829" s="4">
        <v>39</v>
      </c>
      <c r="AJ2829" s="4">
        <v>4</v>
      </c>
      <c r="AK2829" s="4">
        <v>4</v>
      </c>
      <c r="AL2829" s="4">
        <v>28</v>
      </c>
      <c r="AM2829" s="4">
        <v>28</v>
      </c>
      <c r="AN2829" s="4">
        <v>0</v>
      </c>
      <c r="AO2829" s="4">
        <v>0</v>
      </c>
      <c r="AP2829" s="4">
        <v>4</v>
      </c>
      <c r="AQ2829" s="4">
        <v>4</v>
      </c>
      <c r="AR2829" s="3" t="s">
        <v>65</v>
      </c>
      <c r="AS2829" s="3" t="s">
        <v>65</v>
      </c>
      <c r="AT2829" s="3" t="s">
        <v>65</v>
      </c>
      <c r="AV2829" s="6" t="str">
        <f>HYPERLINK("http://mcgill.on.worldcat.org/oclc/666218533","Catalog Record")</f>
        <v>Catalog Record</v>
      </c>
      <c r="AW2829" s="6" t="str">
        <f>HYPERLINK("http://www.worldcat.org/oclc/666218533","WorldCat Record")</f>
        <v>WorldCat Record</v>
      </c>
      <c r="AX2829" s="3" t="s">
        <v>28061</v>
      </c>
      <c r="AY2829" s="3" t="s">
        <v>28062</v>
      </c>
      <c r="AZ2829" s="3" t="s">
        <v>28063</v>
      </c>
      <c r="BA2829" s="3" t="s">
        <v>28063</v>
      </c>
      <c r="BB2829" s="3" t="s">
        <v>28064</v>
      </c>
      <c r="BC2829" s="3" t="s">
        <v>77</v>
      </c>
      <c r="BD2829" s="3" t="s">
        <v>78</v>
      </c>
      <c r="BE2829" s="3" t="s">
        <v>28065</v>
      </c>
      <c r="BF2829" s="3" t="s">
        <v>28064</v>
      </c>
      <c r="BG2829" s="3" t="s">
        <v>28066</v>
      </c>
    </row>
    <row r="2830" spans="1:59" ht="58" x14ac:dyDescent="0.35">
      <c r="A2830" s="2" t="s">
        <v>59</v>
      </c>
      <c r="B2830" s="2" t="s">
        <v>60</v>
      </c>
      <c r="C2830" s="2" t="s">
        <v>28067</v>
      </c>
      <c r="D2830" s="2" t="s">
        <v>28068</v>
      </c>
      <c r="E2830" s="2" t="s">
        <v>28069</v>
      </c>
      <c r="G2830" s="3" t="s">
        <v>65</v>
      </c>
      <c r="I2830" s="3" t="s">
        <v>65</v>
      </c>
      <c r="J2830" s="3" t="s">
        <v>65</v>
      </c>
      <c r="K2830" s="3" t="s">
        <v>66</v>
      </c>
      <c r="L2830" s="2" t="s">
        <v>28070</v>
      </c>
      <c r="M2830" s="2" t="s">
        <v>28071</v>
      </c>
      <c r="N2830" s="3" t="s">
        <v>139</v>
      </c>
      <c r="O2830" s="2" t="s">
        <v>365</v>
      </c>
      <c r="P2830" s="3" t="s">
        <v>140</v>
      </c>
      <c r="Q2830" s="2" t="s">
        <v>28072</v>
      </c>
      <c r="R2830" s="3" t="s">
        <v>71</v>
      </c>
      <c r="S2830" s="4">
        <v>0</v>
      </c>
      <c r="T2830" s="4">
        <v>0</v>
      </c>
      <c r="W2830" s="5" t="s">
        <v>72</v>
      </c>
      <c r="X2830" s="5" t="s">
        <v>72</v>
      </c>
      <c r="Y2830" s="4">
        <v>13</v>
      </c>
      <c r="Z2830" s="4">
        <v>1</v>
      </c>
      <c r="AA2830" s="4">
        <v>3</v>
      </c>
      <c r="AB2830" s="4">
        <v>1</v>
      </c>
      <c r="AC2830" s="4">
        <v>1</v>
      </c>
      <c r="AD2830" s="4">
        <v>5</v>
      </c>
      <c r="AE2830" s="4">
        <v>23</v>
      </c>
      <c r="AF2830" s="4">
        <v>0</v>
      </c>
      <c r="AG2830" s="4">
        <v>0</v>
      </c>
      <c r="AH2830" s="4">
        <v>5</v>
      </c>
      <c r="AI2830" s="4">
        <v>22</v>
      </c>
      <c r="AJ2830" s="4">
        <v>0</v>
      </c>
      <c r="AK2830" s="4">
        <v>1</v>
      </c>
      <c r="AL2830" s="4">
        <v>4</v>
      </c>
      <c r="AM2830" s="4">
        <v>19</v>
      </c>
      <c r="AN2830" s="4">
        <v>0</v>
      </c>
      <c r="AO2830" s="4">
        <v>0</v>
      </c>
      <c r="AP2830" s="4">
        <v>0</v>
      </c>
      <c r="AQ2830" s="4">
        <v>1</v>
      </c>
      <c r="AR2830" s="3" t="s">
        <v>65</v>
      </c>
      <c r="AS2830" s="3" t="s">
        <v>65</v>
      </c>
      <c r="AT2830" s="3" t="s">
        <v>65</v>
      </c>
      <c r="AV2830" s="6" t="str">
        <f>HYPERLINK("http://mcgill.on.worldcat.org/oclc/794703738","Catalog Record")</f>
        <v>Catalog Record</v>
      </c>
      <c r="AW2830" s="6" t="str">
        <f>HYPERLINK("http://www.worldcat.org/oclc/794703738","WorldCat Record")</f>
        <v>WorldCat Record</v>
      </c>
      <c r="AX2830" s="3" t="s">
        <v>28073</v>
      </c>
      <c r="AY2830" s="3" t="s">
        <v>28074</v>
      </c>
      <c r="AZ2830" s="3" t="s">
        <v>28075</v>
      </c>
      <c r="BA2830" s="3" t="s">
        <v>28075</v>
      </c>
      <c r="BB2830" s="3" t="s">
        <v>28076</v>
      </c>
      <c r="BC2830" s="3" t="s">
        <v>77</v>
      </c>
      <c r="BD2830" s="3" t="s">
        <v>78</v>
      </c>
      <c r="BE2830" s="3" t="s">
        <v>28077</v>
      </c>
      <c r="BF2830" s="3" t="s">
        <v>28076</v>
      </c>
      <c r="BG2830" s="3" t="s">
        <v>28078</v>
      </c>
    </row>
    <row r="2831" spans="1:59" ht="58" x14ac:dyDescent="0.35">
      <c r="A2831" s="2" t="s">
        <v>59</v>
      </c>
      <c r="B2831" s="2" t="s">
        <v>60</v>
      </c>
      <c r="C2831" s="2" t="s">
        <v>28079</v>
      </c>
      <c r="D2831" s="2" t="s">
        <v>28080</v>
      </c>
      <c r="E2831" s="2" t="s">
        <v>28081</v>
      </c>
      <c r="G2831" s="3" t="s">
        <v>65</v>
      </c>
      <c r="I2831" s="3" t="s">
        <v>65</v>
      </c>
      <c r="J2831" s="3" t="s">
        <v>65</v>
      </c>
      <c r="K2831" s="3" t="s">
        <v>66</v>
      </c>
      <c r="L2831" s="2" t="s">
        <v>28082</v>
      </c>
      <c r="M2831" s="2" t="s">
        <v>21232</v>
      </c>
      <c r="N2831" s="3" t="s">
        <v>139</v>
      </c>
      <c r="P2831" s="3" t="s">
        <v>140</v>
      </c>
      <c r="Q2831" s="2" t="s">
        <v>28083</v>
      </c>
      <c r="R2831" s="3" t="s">
        <v>71</v>
      </c>
      <c r="S2831" s="4">
        <v>0</v>
      </c>
      <c r="T2831" s="4">
        <v>0</v>
      </c>
      <c r="W2831" s="5" t="s">
        <v>72</v>
      </c>
      <c r="X2831" s="5" t="s">
        <v>72</v>
      </c>
      <c r="Y2831" s="4">
        <v>25</v>
      </c>
      <c r="Z2831" s="4">
        <v>4</v>
      </c>
      <c r="AA2831" s="4">
        <v>4</v>
      </c>
      <c r="AB2831" s="4">
        <v>1</v>
      </c>
      <c r="AC2831" s="4">
        <v>1</v>
      </c>
      <c r="AD2831" s="4">
        <v>15</v>
      </c>
      <c r="AE2831" s="4">
        <v>15</v>
      </c>
      <c r="AF2831" s="4">
        <v>0</v>
      </c>
      <c r="AG2831" s="4">
        <v>0</v>
      </c>
      <c r="AH2831" s="4">
        <v>14</v>
      </c>
      <c r="AI2831" s="4">
        <v>14</v>
      </c>
      <c r="AJ2831" s="4">
        <v>2</v>
      </c>
      <c r="AK2831" s="4">
        <v>2</v>
      </c>
      <c r="AL2831" s="4">
        <v>12</v>
      </c>
      <c r="AM2831" s="4">
        <v>12</v>
      </c>
      <c r="AN2831" s="4">
        <v>0</v>
      </c>
      <c r="AO2831" s="4">
        <v>0</v>
      </c>
      <c r="AP2831" s="4">
        <v>2</v>
      </c>
      <c r="AQ2831" s="4">
        <v>2</v>
      </c>
      <c r="AR2831" s="3" t="s">
        <v>65</v>
      </c>
      <c r="AS2831" s="3" t="s">
        <v>65</v>
      </c>
      <c r="AT2831" s="3" t="s">
        <v>65</v>
      </c>
      <c r="AV2831" s="6" t="str">
        <f>HYPERLINK("http://mcgill.on.worldcat.org/oclc/823205942","Catalog Record")</f>
        <v>Catalog Record</v>
      </c>
      <c r="AW2831" s="6" t="str">
        <f>HYPERLINK("http://www.worldcat.org/oclc/823205942","WorldCat Record")</f>
        <v>WorldCat Record</v>
      </c>
      <c r="AX2831" s="3" t="s">
        <v>28084</v>
      </c>
      <c r="AY2831" s="3" t="s">
        <v>28085</v>
      </c>
      <c r="AZ2831" s="3" t="s">
        <v>28086</v>
      </c>
      <c r="BA2831" s="3" t="s">
        <v>28086</v>
      </c>
      <c r="BB2831" s="3" t="s">
        <v>28087</v>
      </c>
      <c r="BC2831" s="3" t="s">
        <v>77</v>
      </c>
      <c r="BD2831" s="3" t="s">
        <v>78</v>
      </c>
      <c r="BE2831" s="3" t="s">
        <v>28088</v>
      </c>
      <c r="BF2831" s="3" t="s">
        <v>28087</v>
      </c>
      <c r="BG2831" s="3" t="s">
        <v>28089</v>
      </c>
    </row>
    <row r="2832" spans="1:59" ht="58" x14ac:dyDescent="0.35">
      <c r="A2832" s="2" t="s">
        <v>59</v>
      </c>
      <c r="B2832" s="2" t="s">
        <v>60</v>
      </c>
      <c r="C2832" s="2" t="s">
        <v>28090</v>
      </c>
      <c r="D2832" s="2" t="s">
        <v>28091</v>
      </c>
      <c r="E2832" s="2" t="s">
        <v>28092</v>
      </c>
      <c r="G2832" s="3" t="s">
        <v>65</v>
      </c>
      <c r="I2832" s="3" t="s">
        <v>65</v>
      </c>
      <c r="J2832" s="3" t="s">
        <v>65</v>
      </c>
      <c r="K2832" s="3" t="s">
        <v>66</v>
      </c>
      <c r="L2832" s="2" t="s">
        <v>28093</v>
      </c>
      <c r="M2832" s="2" t="s">
        <v>10697</v>
      </c>
      <c r="N2832" s="3" t="s">
        <v>221</v>
      </c>
      <c r="P2832" s="3" t="s">
        <v>69</v>
      </c>
      <c r="Q2832" s="2" t="s">
        <v>1197</v>
      </c>
      <c r="R2832" s="3" t="s">
        <v>71</v>
      </c>
      <c r="S2832" s="4">
        <v>3</v>
      </c>
      <c r="T2832" s="4">
        <v>3</v>
      </c>
      <c r="U2832" s="5" t="s">
        <v>22841</v>
      </c>
      <c r="V2832" s="5" t="s">
        <v>22841</v>
      </c>
      <c r="W2832" s="5" t="s">
        <v>72</v>
      </c>
      <c r="X2832" s="5" t="s">
        <v>72</v>
      </c>
      <c r="Y2832" s="4">
        <v>185</v>
      </c>
      <c r="Z2832" s="4">
        <v>21</v>
      </c>
      <c r="AA2832" s="4">
        <v>117</v>
      </c>
      <c r="AB2832" s="4">
        <v>1</v>
      </c>
      <c r="AC2832" s="4">
        <v>19</v>
      </c>
      <c r="AD2832" s="4">
        <v>97</v>
      </c>
      <c r="AE2832" s="4">
        <v>145</v>
      </c>
      <c r="AF2832" s="4">
        <v>0</v>
      </c>
      <c r="AG2832" s="4">
        <v>8</v>
      </c>
      <c r="AH2832" s="4">
        <v>83</v>
      </c>
      <c r="AI2832" s="4">
        <v>101</v>
      </c>
      <c r="AJ2832" s="4">
        <v>15</v>
      </c>
      <c r="AK2832" s="4">
        <v>27</v>
      </c>
      <c r="AL2832" s="4">
        <v>52</v>
      </c>
      <c r="AM2832" s="4">
        <v>56</v>
      </c>
      <c r="AN2832" s="4">
        <v>0</v>
      </c>
      <c r="AO2832" s="4">
        <v>0</v>
      </c>
      <c r="AP2832" s="4">
        <v>17</v>
      </c>
      <c r="AQ2832" s="4">
        <v>52</v>
      </c>
      <c r="AR2832" s="3" t="s">
        <v>209</v>
      </c>
      <c r="AS2832" s="3" t="s">
        <v>65</v>
      </c>
      <c r="AT2832" s="3" t="s">
        <v>209</v>
      </c>
      <c r="AU2832" s="6" t="str">
        <f>HYPERLINK("http://catalog.hathitrust.org/Record/005429550","HathiTrust Record")</f>
        <v>HathiTrust Record</v>
      </c>
      <c r="AV2832" s="6" t="str">
        <f>HYPERLINK("http://mcgill.on.worldcat.org/oclc/70777753","Catalog Record")</f>
        <v>Catalog Record</v>
      </c>
      <c r="AW2832" s="6" t="str">
        <f>HYPERLINK("http://www.worldcat.org/oclc/70777753","WorldCat Record")</f>
        <v>WorldCat Record</v>
      </c>
      <c r="AX2832" s="3" t="s">
        <v>28094</v>
      </c>
      <c r="AY2832" s="3" t="s">
        <v>28095</v>
      </c>
      <c r="AZ2832" s="3" t="s">
        <v>28096</v>
      </c>
      <c r="BA2832" s="3" t="s">
        <v>28096</v>
      </c>
      <c r="BB2832" s="3" t="s">
        <v>28097</v>
      </c>
      <c r="BC2832" s="3" t="s">
        <v>77</v>
      </c>
      <c r="BD2832" s="3" t="s">
        <v>78</v>
      </c>
      <c r="BE2832" s="3" t="s">
        <v>28098</v>
      </c>
      <c r="BF2832" s="3" t="s">
        <v>28097</v>
      </c>
      <c r="BG2832" s="3" t="s">
        <v>28099</v>
      </c>
    </row>
    <row r="2833" spans="1:59" ht="58" x14ac:dyDescent="0.35">
      <c r="A2833" s="2" t="s">
        <v>59</v>
      </c>
      <c r="B2833" s="2" t="s">
        <v>60</v>
      </c>
      <c r="C2833" s="2" t="s">
        <v>28100</v>
      </c>
      <c r="D2833" s="2" t="s">
        <v>28101</v>
      </c>
      <c r="E2833" s="2" t="s">
        <v>28102</v>
      </c>
      <c r="G2833" s="3" t="s">
        <v>65</v>
      </c>
      <c r="I2833" s="3" t="s">
        <v>65</v>
      </c>
      <c r="J2833" s="3" t="s">
        <v>65</v>
      </c>
      <c r="K2833" s="3" t="s">
        <v>66</v>
      </c>
      <c r="L2833" s="2" t="s">
        <v>28103</v>
      </c>
      <c r="M2833" s="2" t="s">
        <v>28104</v>
      </c>
      <c r="N2833" s="3" t="s">
        <v>152</v>
      </c>
      <c r="O2833" s="2" t="s">
        <v>235</v>
      </c>
      <c r="P2833" s="3" t="s">
        <v>140</v>
      </c>
      <c r="Q2833" s="2" t="s">
        <v>28105</v>
      </c>
      <c r="R2833" s="3" t="s">
        <v>71</v>
      </c>
      <c r="S2833" s="4">
        <v>0</v>
      </c>
      <c r="T2833" s="4">
        <v>0</v>
      </c>
      <c r="W2833" s="5" t="s">
        <v>72</v>
      </c>
      <c r="X2833" s="5" t="s">
        <v>72</v>
      </c>
      <c r="Y2833" s="4">
        <v>38</v>
      </c>
      <c r="Z2833" s="4">
        <v>4</v>
      </c>
      <c r="AA2833" s="4">
        <v>4</v>
      </c>
      <c r="AB2833" s="4">
        <v>1</v>
      </c>
      <c r="AC2833" s="4">
        <v>1</v>
      </c>
      <c r="AD2833" s="4">
        <v>28</v>
      </c>
      <c r="AE2833" s="4">
        <v>28</v>
      </c>
      <c r="AF2833" s="4">
        <v>0</v>
      </c>
      <c r="AG2833" s="4">
        <v>0</v>
      </c>
      <c r="AH2833" s="4">
        <v>27</v>
      </c>
      <c r="AI2833" s="4">
        <v>27</v>
      </c>
      <c r="AJ2833" s="4">
        <v>2</v>
      </c>
      <c r="AK2833" s="4">
        <v>2</v>
      </c>
      <c r="AL2833" s="4">
        <v>19</v>
      </c>
      <c r="AM2833" s="4">
        <v>19</v>
      </c>
      <c r="AN2833" s="4">
        <v>0</v>
      </c>
      <c r="AO2833" s="4">
        <v>0</v>
      </c>
      <c r="AP2833" s="4">
        <v>2</v>
      </c>
      <c r="AQ2833" s="4">
        <v>2</v>
      </c>
      <c r="AR2833" s="3" t="s">
        <v>65</v>
      </c>
      <c r="AS2833" s="3" t="s">
        <v>65</v>
      </c>
      <c r="AT2833" s="3" t="s">
        <v>65</v>
      </c>
      <c r="AV2833" s="6" t="str">
        <f>HYPERLINK("http://mcgill.on.worldcat.org/oclc/903942292","Catalog Record")</f>
        <v>Catalog Record</v>
      </c>
      <c r="AW2833" s="6" t="str">
        <f>HYPERLINK("http://www.worldcat.org/oclc/903942292","WorldCat Record")</f>
        <v>WorldCat Record</v>
      </c>
      <c r="AX2833" s="3" t="s">
        <v>28106</v>
      </c>
      <c r="AY2833" s="3" t="s">
        <v>28107</v>
      </c>
      <c r="AZ2833" s="3" t="s">
        <v>28108</v>
      </c>
      <c r="BA2833" s="3" t="s">
        <v>28108</v>
      </c>
      <c r="BB2833" s="3" t="s">
        <v>28109</v>
      </c>
      <c r="BC2833" s="3" t="s">
        <v>77</v>
      </c>
      <c r="BD2833" s="3" t="s">
        <v>78</v>
      </c>
      <c r="BE2833" s="3" t="s">
        <v>28110</v>
      </c>
      <c r="BF2833" s="3" t="s">
        <v>28109</v>
      </c>
      <c r="BG2833" s="3" t="s">
        <v>28111</v>
      </c>
    </row>
    <row r="2834" spans="1:59" ht="72.5" x14ac:dyDescent="0.35">
      <c r="A2834" s="2" t="s">
        <v>59</v>
      </c>
      <c r="B2834" s="2" t="s">
        <v>60</v>
      </c>
      <c r="C2834" s="2" t="s">
        <v>28112</v>
      </c>
      <c r="D2834" s="2" t="s">
        <v>28113</v>
      </c>
      <c r="E2834" s="2" t="s">
        <v>28114</v>
      </c>
      <c r="G2834" s="3" t="s">
        <v>65</v>
      </c>
      <c r="I2834" s="3" t="s">
        <v>65</v>
      </c>
      <c r="J2834" s="3" t="s">
        <v>209</v>
      </c>
      <c r="K2834" s="3" t="s">
        <v>66</v>
      </c>
      <c r="L2834" s="2" t="s">
        <v>28115</v>
      </c>
      <c r="M2834" s="2" t="s">
        <v>28116</v>
      </c>
      <c r="N2834" s="3" t="s">
        <v>176</v>
      </c>
      <c r="O2834" s="2" t="s">
        <v>28117</v>
      </c>
      <c r="P2834" s="3" t="s">
        <v>69</v>
      </c>
      <c r="R2834" s="3" t="s">
        <v>71</v>
      </c>
      <c r="S2834" s="4">
        <v>1</v>
      </c>
      <c r="T2834" s="4">
        <v>1</v>
      </c>
      <c r="U2834" s="5" t="s">
        <v>22841</v>
      </c>
      <c r="V2834" s="5" t="s">
        <v>22841</v>
      </c>
      <c r="W2834" s="5" t="s">
        <v>72</v>
      </c>
      <c r="X2834" s="5" t="s">
        <v>72</v>
      </c>
      <c r="Y2834" s="4">
        <v>23</v>
      </c>
      <c r="Z2834" s="4">
        <v>1</v>
      </c>
      <c r="AA2834" s="4">
        <v>41</v>
      </c>
      <c r="AB2834" s="4">
        <v>1</v>
      </c>
      <c r="AC2834" s="4">
        <v>6</v>
      </c>
      <c r="AD2834" s="4">
        <v>0</v>
      </c>
      <c r="AE2834" s="4">
        <v>51</v>
      </c>
      <c r="AF2834" s="4">
        <v>0</v>
      </c>
      <c r="AG2834" s="4">
        <v>0</v>
      </c>
      <c r="AH2834" s="4">
        <v>0</v>
      </c>
      <c r="AI2834" s="4">
        <v>48</v>
      </c>
      <c r="AJ2834" s="4">
        <v>0</v>
      </c>
      <c r="AK2834" s="4">
        <v>6</v>
      </c>
      <c r="AL2834" s="4">
        <v>0</v>
      </c>
      <c r="AM2834" s="4">
        <v>32</v>
      </c>
      <c r="AN2834" s="4">
        <v>0</v>
      </c>
      <c r="AO2834" s="4">
        <v>0</v>
      </c>
      <c r="AP2834" s="4">
        <v>0</v>
      </c>
      <c r="AQ2834" s="4">
        <v>6</v>
      </c>
      <c r="AR2834" s="3" t="s">
        <v>65</v>
      </c>
      <c r="AS2834" s="3" t="s">
        <v>65</v>
      </c>
      <c r="AT2834" s="3" t="s">
        <v>65</v>
      </c>
      <c r="AV2834" s="6" t="str">
        <f>HYPERLINK("http://mcgill.on.worldcat.org/oclc/921979331","Catalog Record")</f>
        <v>Catalog Record</v>
      </c>
      <c r="AW2834" s="6" t="str">
        <f>HYPERLINK("http://www.worldcat.org/oclc/921979331","WorldCat Record")</f>
        <v>WorldCat Record</v>
      </c>
      <c r="AX2834" s="3" t="s">
        <v>28118</v>
      </c>
      <c r="AY2834" s="3" t="s">
        <v>28119</v>
      </c>
      <c r="AZ2834" s="3" t="s">
        <v>28120</v>
      </c>
      <c r="BA2834" s="3" t="s">
        <v>28120</v>
      </c>
      <c r="BB2834" s="3" t="s">
        <v>28121</v>
      </c>
      <c r="BC2834" s="3" t="s">
        <v>77</v>
      </c>
      <c r="BD2834" s="3" t="s">
        <v>78</v>
      </c>
      <c r="BE2834" s="3" t="s">
        <v>28122</v>
      </c>
      <c r="BF2834" s="3" t="s">
        <v>28121</v>
      </c>
      <c r="BG2834" s="3" t="s">
        <v>28123</v>
      </c>
    </row>
    <row r="2835" spans="1:59" ht="72.5" x14ac:dyDescent="0.35">
      <c r="A2835" s="2" t="s">
        <v>59</v>
      </c>
      <c r="B2835" s="2" t="s">
        <v>60</v>
      </c>
      <c r="C2835" s="2" t="s">
        <v>28112</v>
      </c>
      <c r="D2835" s="2" t="s">
        <v>28113</v>
      </c>
      <c r="E2835" s="2" t="s">
        <v>28124</v>
      </c>
      <c r="G2835" s="3" t="s">
        <v>65</v>
      </c>
      <c r="I2835" s="3" t="s">
        <v>65</v>
      </c>
      <c r="J2835" s="3" t="s">
        <v>209</v>
      </c>
      <c r="K2835" s="3" t="s">
        <v>66</v>
      </c>
      <c r="L2835" s="2" t="s">
        <v>28115</v>
      </c>
      <c r="M2835" s="2" t="s">
        <v>28125</v>
      </c>
      <c r="N2835" s="3" t="s">
        <v>139</v>
      </c>
      <c r="P2835" s="3" t="s">
        <v>69</v>
      </c>
      <c r="Q2835" s="2" t="s">
        <v>28126</v>
      </c>
      <c r="R2835" s="3" t="s">
        <v>71</v>
      </c>
      <c r="S2835" s="4">
        <v>2</v>
      </c>
      <c r="T2835" s="4">
        <v>2</v>
      </c>
      <c r="U2835" s="5" t="s">
        <v>4056</v>
      </c>
      <c r="V2835" s="5" t="s">
        <v>4056</v>
      </c>
      <c r="W2835" s="5" t="s">
        <v>72</v>
      </c>
      <c r="X2835" s="5" t="s">
        <v>72</v>
      </c>
      <c r="Y2835" s="4">
        <v>116</v>
      </c>
      <c r="Z2835" s="4">
        <v>1</v>
      </c>
      <c r="AA2835" s="4">
        <v>41</v>
      </c>
      <c r="AB2835" s="4">
        <v>1</v>
      </c>
      <c r="AC2835" s="4">
        <v>6</v>
      </c>
      <c r="AD2835" s="4">
        <v>0</v>
      </c>
      <c r="AE2835" s="4">
        <v>51</v>
      </c>
      <c r="AF2835" s="4">
        <v>0</v>
      </c>
      <c r="AG2835" s="4">
        <v>0</v>
      </c>
      <c r="AH2835" s="4">
        <v>0</v>
      </c>
      <c r="AI2835" s="4">
        <v>48</v>
      </c>
      <c r="AJ2835" s="4">
        <v>0</v>
      </c>
      <c r="AK2835" s="4">
        <v>6</v>
      </c>
      <c r="AL2835" s="4">
        <v>0</v>
      </c>
      <c r="AM2835" s="4">
        <v>32</v>
      </c>
      <c r="AN2835" s="4">
        <v>0</v>
      </c>
      <c r="AO2835" s="4">
        <v>0</v>
      </c>
      <c r="AP2835" s="4">
        <v>0</v>
      </c>
      <c r="AQ2835" s="4">
        <v>6</v>
      </c>
      <c r="AR2835" s="3" t="s">
        <v>65</v>
      </c>
      <c r="AS2835" s="3" t="s">
        <v>65</v>
      </c>
      <c r="AT2835" s="3" t="s">
        <v>65</v>
      </c>
      <c r="AV2835" s="6" t="str">
        <f>HYPERLINK("http://mcgill.on.worldcat.org/oclc/772972143","Catalog Record")</f>
        <v>Catalog Record</v>
      </c>
      <c r="AW2835" s="6" t="str">
        <f>HYPERLINK("http://www.worldcat.org/oclc/772972143","WorldCat Record")</f>
        <v>WorldCat Record</v>
      </c>
      <c r="AX2835" s="3" t="s">
        <v>28118</v>
      </c>
      <c r="AY2835" s="3" t="s">
        <v>28127</v>
      </c>
      <c r="AZ2835" s="3" t="s">
        <v>28128</v>
      </c>
      <c r="BA2835" s="3" t="s">
        <v>28128</v>
      </c>
      <c r="BB2835" s="3" t="s">
        <v>28129</v>
      </c>
      <c r="BC2835" s="3" t="s">
        <v>77</v>
      </c>
      <c r="BD2835" s="3" t="s">
        <v>78</v>
      </c>
      <c r="BE2835" s="3" t="s">
        <v>28130</v>
      </c>
      <c r="BF2835" s="3" t="s">
        <v>28129</v>
      </c>
      <c r="BG2835" s="3" t="s">
        <v>28131</v>
      </c>
    </row>
    <row r="2836" spans="1:59" ht="72.5" x14ac:dyDescent="0.35">
      <c r="A2836" s="2" t="s">
        <v>59</v>
      </c>
      <c r="B2836" s="2" t="s">
        <v>60</v>
      </c>
      <c r="C2836" s="2" t="s">
        <v>28132</v>
      </c>
      <c r="D2836" s="2" t="s">
        <v>28133</v>
      </c>
      <c r="E2836" s="2" t="s">
        <v>28134</v>
      </c>
      <c r="G2836" s="3" t="s">
        <v>65</v>
      </c>
      <c r="I2836" s="3" t="s">
        <v>65</v>
      </c>
      <c r="J2836" s="3" t="s">
        <v>65</v>
      </c>
      <c r="K2836" s="3" t="s">
        <v>66</v>
      </c>
      <c r="L2836" s="2" t="s">
        <v>28135</v>
      </c>
      <c r="M2836" s="2" t="s">
        <v>28136</v>
      </c>
      <c r="N2836" s="3" t="s">
        <v>176</v>
      </c>
      <c r="O2836" s="2" t="s">
        <v>235</v>
      </c>
      <c r="P2836" s="3" t="s">
        <v>140</v>
      </c>
      <c r="Q2836" s="2" t="s">
        <v>28137</v>
      </c>
      <c r="R2836" s="3" t="s">
        <v>71</v>
      </c>
      <c r="S2836" s="4">
        <v>0</v>
      </c>
      <c r="T2836" s="4">
        <v>0</v>
      </c>
      <c r="W2836" s="5" t="s">
        <v>72</v>
      </c>
      <c r="X2836" s="5" t="s">
        <v>72</v>
      </c>
      <c r="Y2836" s="4">
        <v>41</v>
      </c>
      <c r="Z2836" s="4">
        <v>5</v>
      </c>
      <c r="AA2836" s="4">
        <v>5</v>
      </c>
      <c r="AB2836" s="4">
        <v>1</v>
      </c>
      <c r="AC2836" s="4">
        <v>1</v>
      </c>
      <c r="AD2836" s="4">
        <v>30</v>
      </c>
      <c r="AE2836" s="4">
        <v>30</v>
      </c>
      <c r="AF2836" s="4">
        <v>0</v>
      </c>
      <c r="AG2836" s="4">
        <v>0</v>
      </c>
      <c r="AH2836" s="4">
        <v>29</v>
      </c>
      <c r="AI2836" s="4">
        <v>29</v>
      </c>
      <c r="AJ2836" s="4">
        <v>3</v>
      </c>
      <c r="AK2836" s="4">
        <v>3</v>
      </c>
      <c r="AL2836" s="4">
        <v>21</v>
      </c>
      <c r="AM2836" s="4">
        <v>21</v>
      </c>
      <c r="AN2836" s="4">
        <v>0</v>
      </c>
      <c r="AO2836" s="4">
        <v>0</v>
      </c>
      <c r="AP2836" s="4">
        <v>3</v>
      </c>
      <c r="AQ2836" s="4">
        <v>3</v>
      </c>
      <c r="AR2836" s="3" t="s">
        <v>65</v>
      </c>
      <c r="AS2836" s="3" t="s">
        <v>65</v>
      </c>
      <c r="AT2836" s="3" t="s">
        <v>65</v>
      </c>
      <c r="AV2836" s="6" t="str">
        <f>HYPERLINK("http://mcgill.on.worldcat.org/oclc/908024542","Catalog Record")</f>
        <v>Catalog Record</v>
      </c>
      <c r="AW2836" s="6" t="str">
        <f>HYPERLINK("http://www.worldcat.org/oclc/908024542","WorldCat Record")</f>
        <v>WorldCat Record</v>
      </c>
      <c r="AX2836" s="3" t="s">
        <v>28138</v>
      </c>
      <c r="AY2836" s="3" t="s">
        <v>28139</v>
      </c>
      <c r="AZ2836" s="3" t="s">
        <v>28140</v>
      </c>
      <c r="BA2836" s="3" t="s">
        <v>28140</v>
      </c>
      <c r="BB2836" s="3" t="s">
        <v>28141</v>
      </c>
      <c r="BC2836" s="3" t="s">
        <v>77</v>
      </c>
      <c r="BD2836" s="3" t="s">
        <v>78</v>
      </c>
      <c r="BE2836" s="3" t="s">
        <v>28142</v>
      </c>
      <c r="BF2836" s="3" t="s">
        <v>28141</v>
      </c>
      <c r="BG2836" s="3" t="s">
        <v>28143</v>
      </c>
    </row>
    <row r="2837" spans="1:59" ht="58" x14ac:dyDescent="0.35">
      <c r="A2837" s="2" t="s">
        <v>59</v>
      </c>
      <c r="B2837" s="2" t="s">
        <v>60</v>
      </c>
      <c r="C2837" s="2" t="s">
        <v>28144</v>
      </c>
      <c r="D2837" s="2" t="s">
        <v>28145</v>
      </c>
      <c r="E2837" s="2" t="s">
        <v>28146</v>
      </c>
      <c r="G2837" s="3" t="s">
        <v>65</v>
      </c>
      <c r="I2837" s="3" t="s">
        <v>65</v>
      </c>
      <c r="J2837" s="3" t="s">
        <v>65</v>
      </c>
      <c r="K2837" s="3" t="s">
        <v>66</v>
      </c>
      <c r="L2837" s="2" t="s">
        <v>613</v>
      </c>
      <c r="M2837" s="2" t="s">
        <v>28147</v>
      </c>
      <c r="N2837" s="3" t="s">
        <v>113</v>
      </c>
      <c r="P2837" s="3" t="s">
        <v>69</v>
      </c>
      <c r="R2837" s="3" t="s">
        <v>71</v>
      </c>
      <c r="S2837" s="4">
        <v>1</v>
      </c>
      <c r="T2837" s="4">
        <v>1</v>
      </c>
      <c r="U2837" s="5" t="s">
        <v>28148</v>
      </c>
      <c r="V2837" s="5" t="s">
        <v>28148</v>
      </c>
      <c r="W2837" s="5" t="s">
        <v>72</v>
      </c>
      <c r="X2837" s="5" t="s">
        <v>72</v>
      </c>
      <c r="Y2837" s="4">
        <v>161</v>
      </c>
      <c r="Z2837" s="4">
        <v>13</v>
      </c>
      <c r="AA2837" s="4">
        <v>13</v>
      </c>
      <c r="AB2837" s="4">
        <v>2</v>
      </c>
      <c r="AC2837" s="4">
        <v>2</v>
      </c>
      <c r="AD2837" s="4">
        <v>70</v>
      </c>
      <c r="AE2837" s="4">
        <v>70</v>
      </c>
      <c r="AF2837" s="4">
        <v>1</v>
      </c>
      <c r="AG2837" s="4">
        <v>1</v>
      </c>
      <c r="AH2837" s="4">
        <v>65</v>
      </c>
      <c r="AI2837" s="4">
        <v>65</v>
      </c>
      <c r="AJ2837" s="4">
        <v>9</v>
      </c>
      <c r="AK2837" s="4">
        <v>9</v>
      </c>
      <c r="AL2837" s="4">
        <v>39</v>
      </c>
      <c r="AM2837" s="4">
        <v>39</v>
      </c>
      <c r="AN2837" s="4">
        <v>0</v>
      </c>
      <c r="AO2837" s="4">
        <v>0</v>
      </c>
      <c r="AP2837" s="4">
        <v>10</v>
      </c>
      <c r="AQ2837" s="4">
        <v>10</v>
      </c>
      <c r="AR2837" s="3" t="s">
        <v>65</v>
      </c>
      <c r="AS2837" s="3" t="s">
        <v>65</v>
      </c>
      <c r="AT2837" s="3" t="s">
        <v>65</v>
      </c>
      <c r="AV2837" s="6" t="str">
        <f>HYPERLINK("http://mcgill.on.worldcat.org/oclc/456178311","Catalog Record")</f>
        <v>Catalog Record</v>
      </c>
      <c r="AW2837" s="6" t="str">
        <f>HYPERLINK("http://www.worldcat.org/oclc/456178311","WorldCat Record")</f>
        <v>WorldCat Record</v>
      </c>
      <c r="AX2837" s="3" t="s">
        <v>28149</v>
      </c>
      <c r="AY2837" s="3" t="s">
        <v>28150</v>
      </c>
      <c r="AZ2837" s="3" t="s">
        <v>28151</v>
      </c>
      <c r="BA2837" s="3" t="s">
        <v>28151</v>
      </c>
      <c r="BB2837" s="3" t="s">
        <v>28152</v>
      </c>
      <c r="BC2837" s="3" t="s">
        <v>77</v>
      </c>
      <c r="BD2837" s="3" t="s">
        <v>78</v>
      </c>
      <c r="BE2837" s="3" t="s">
        <v>28153</v>
      </c>
      <c r="BF2837" s="3" t="s">
        <v>28152</v>
      </c>
      <c r="BG2837" s="3" t="s">
        <v>28154</v>
      </c>
    </row>
    <row r="2838" spans="1:59" ht="58" x14ac:dyDescent="0.35">
      <c r="A2838" s="2" t="s">
        <v>59</v>
      </c>
      <c r="B2838" s="2" t="s">
        <v>60</v>
      </c>
      <c r="C2838" s="2" t="s">
        <v>28155</v>
      </c>
      <c r="D2838" s="2" t="s">
        <v>28156</v>
      </c>
      <c r="E2838" s="2" t="s">
        <v>28157</v>
      </c>
      <c r="G2838" s="3" t="s">
        <v>65</v>
      </c>
      <c r="I2838" s="3" t="s">
        <v>65</v>
      </c>
      <c r="J2838" s="3" t="s">
        <v>65</v>
      </c>
      <c r="K2838" s="3" t="s">
        <v>66</v>
      </c>
      <c r="L2838" s="2" t="s">
        <v>28158</v>
      </c>
      <c r="M2838" s="2" t="s">
        <v>28159</v>
      </c>
      <c r="N2838" s="3" t="s">
        <v>164</v>
      </c>
      <c r="O2838" s="2" t="s">
        <v>28160</v>
      </c>
      <c r="P2838" s="3" t="s">
        <v>69</v>
      </c>
      <c r="R2838" s="3" t="s">
        <v>71</v>
      </c>
      <c r="S2838" s="4">
        <v>4</v>
      </c>
      <c r="T2838" s="4">
        <v>4</v>
      </c>
      <c r="U2838" s="5" t="s">
        <v>28161</v>
      </c>
      <c r="V2838" s="5" t="s">
        <v>28161</v>
      </c>
      <c r="W2838" s="5" t="s">
        <v>72</v>
      </c>
      <c r="X2838" s="5" t="s">
        <v>72</v>
      </c>
      <c r="Y2838" s="4">
        <v>225</v>
      </c>
      <c r="Z2838" s="4">
        <v>12</v>
      </c>
      <c r="AA2838" s="4">
        <v>43</v>
      </c>
      <c r="AB2838" s="4">
        <v>4</v>
      </c>
      <c r="AC2838" s="4">
        <v>6</v>
      </c>
      <c r="AD2838" s="4">
        <v>60</v>
      </c>
      <c r="AE2838" s="4">
        <v>78</v>
      </c>
      <c r="AF2838" s="4">
        <v>2</v>
      </c>
      <c r="AG2838" s="4">
        <v>2</v>
      </c>
      <c r="AH2838" s="4">
        <v>55</v>
      </c>
      <c r="AI2838" s="4">
        <v>64</v>
      </c>
      <c r="AJ2838" s="4">
        <v>6</v>
      </c>
      <c r="AK2838" s="4">
        <v>9</v>
      </c>
      <c r="AL2838" s="4">
        <v>35</v>
      </c>
      <c r="AM2838" s="4">
        <v>42</v>
      </c>
      <c r="AN2838" s="4">
        <v>0</v>
      </c>
      <c r="AO2838" s="4">
        <v>0</v>
      </c>
      <c r="AP2838" s="4">
        <v>7</v>
      </c>
      <c r="AQ2838" s="4">
        <v>16</v>
      </c>
      <c r="AR2838" s="3" t="s">
        <v>65</v>
      </c>
      <c r="AS2838" s="3" t="s">
        <v>65</v>
      </c>
      <c r="AT2838" s="3" t="s">
        <v>65</v>
      </c>
      <c r="AV2838" s="6" t="str">
        <f>HYPERLINK("http://mcgill.on.worldcat.org/oclc/871187068","Catalog Record")</f>
        <v>Catalog Record</v>
      </c>
      <c r="AW2838" s="6" t="str">
        <f>HYPERLINK("http://www.worldcat.org/oclc/871187068","WorldCat Record")</f>
        <v>WorldCat Record</v>
      </c>
      <c r="AX2838" s="3" t="s">
        <v>28162</v>
      </c>
      <c r="AY2838" s="3" t="s">
        <v>28163</v>
      </c>
      <c r="AZ2838" s="3" t="s">
        <v>28164</v>
      </c>
      <c r="BA2838" s="3" t="s">
        <v>28164</v>
      </c>
      <c r="BB2838" s="3" t="s">
        <v>28165</v>
      </c>
      <c r="BC2838" s="3" t="s">
        <v>77</v>
      </c>
      <c r="BD2838" s="3" t="s">
        <v>78</v>
      </c>
      <c r="BE2838" s="3" t="s">
        <v>28166</v>
      </c>
      <c r="BF2838" s="3" t="s">
        <v>28165</v>
      </c>
      <c r="BG2838" s="3" t="s">
        <v>28167</v>
      </c>
    </row>
    <row r="2839" spans="1:59" ht="58" x14ac:dyDescent="0.35">
      <c r="A2839" s="2" t="s">
        <v>59</v>
      </c>
      <c r="B2839" s="2" t="s">
        <v>60</v>
      </c>
      <c r="C2839" s="2" t="s">
        <v>28168</v>
      </c>
      <c r="D2839" s="2" t="s">
        <v>28169</v>
      </c>
      <c r="E2839" s="2" t="s">
        <v>28170</v>
      </c>
      <c r="G2839" s="3" t="s">
        <v>65</v>
      </c>
      <c r="I2839" s="3" t="s">
        <v>65</v>
      </c>
      <c r="J2839" s="3" t="s">
        <v>65</v>
      </c>
      <c r="K2839" s="3" t="s">
        <v>66</v>
      </c>
      <c r="L2839" s="2" t="s">
        <v>613</v>
      </c>
      <c r="M2839" s="2" t="s">
        <v>17807</v>
      </c>
      <c r="N2839" s="3" t="s">
        <v>7187</v>
      </c>
      <c r="O2839" s="2" t="s">
        <v>365</v>
      </c>
      <c r="P2839" s="3" t="s">
        <v>140</v>
      </c>
      <c r="R2839" s="3" t="s">
        <v>71</v>
      </c>
      <c r="S2839" s="4">
        <v>1</v>
      </c>
      <c r="T2839" s="4">
        <v>1</v>
      </c>
      <c r="U2839" s="5" t="s">
        <v>4056</v>
      </c>
      <c r="V2839" s="5" t="s">
        <v>4056</v>
      </c>
      <c r="W2839" s="5" t="s">
        <v>72</v>
      </c>
      <c r="X2839" s="5" t="s">
        <v>72</v>
      </c>
      <c r="Y2839" s="4">
        <v>82</v>
      </c>
      <c r="Z2839" s="4">
        <v>9</v>
      </c>
      <c r="AA2839" s="4">
        <v>10</v>
      </c>
      <c r="AB2839" s="4">
        <v>2</v>
      </c>
      <c r="AC2839" s="4">
        <v>2</v>
      </c>
      <c r="AD2839" s="4">
        <v>45</v>
      </c>
      <c r="AE2839" s="4">
        <v>49</v>
      </c>
      <c r="AF2839" s="4">
        <v>1</v>
      </c>
      <c r="AG2839" s="4">
        <v>1</v>
      </c>
      <c r="AH2839" s="4">
        <v>42</v>
      </c>
      <c r="AI2839" s="4">
        <v>46</v>
      </c>
      <c r="AJ2839" s="4">
        <v>7</v>
      </c>
      <c r="AK2839" s="4">
        <v>8</v>
      </c>
      <c r="AL2839" s="4">
        <v>26</v>
      </c>
      <c r="AM2839" s="4">
        <v>29</v>
      </c>
      <c r="AN2839" s="4">
        <v>0</v>
      </c>
      <c r="AO2839" s="4">
        <v>0</v>
      </c>
      <c r="AP2839" s="4">
        <v>7</v>
      </c>
      <c r="AQ2839" s="4">
        <v>8</v>
      </c>
      <c r="AR2839" s="3" t="s">
        <v>65</v>
      </c>
      <c r="AS2839" s="3" t="s">
        <v>65</v>
      </c>
      <c r="AT2839" s="3" t="s">
        <v>209</v>
      </c>
      <c r="AU2839" s="6" t="str">
        <f>HYPERLINK("http://catalog.hathitrust.org/Record/009493564","HathiTrust Record")</f>
        <v>HathiTrust Record</v>
      </c>
      <c r="AV2839" s="6" t="str">
        <f>HYPERLINK("http://mcgill.on.worldcat.org/oclc/3915087","Catalog Record")</f>
        <v>Catalog Record</v>
      </c>
      <c r="AW2839" s="6" t="str">
        <f>HYPERLINK("http://www.worldcat.org/oclc/3915087","WorldCat Record")</f>
        <v>WorldCat Record</v>
      </c>
      <c r="AX2839" s="3" t="s">
        <v>28171</v>
      </c>
      <c r="AY2839" s="3" t="s">
        <v>28172</v>
      </c>
      <c r="AZ2839" s="3" t="s">
        <v>28173</v>
      </c>
      <c r="BA2839" s="3" t="s">
        <v>28173</v>
      </c>
      <c r="BB2839" s="3" t="s">
        <v>28174</v>
      </c>
      <c r="BC2839" s="3" t="s">
        <v>77</v>
      </c>
      <c r="BD2839" s="3" t="s">
        <v>78</v>
      </c>
      <c r="BF2839" s="3" t="s">
        <v>28174</v>
      </c>
      <c r="BG2839" s="3" t="s">
        <v>28175</v>
      </c>
    </row>
    <row r="2840" spans="1:59" ht="58" x14ac:dyDescent="0.35">
      <c r="A2840" s="2" t="s">
        <v>59</v>
      </c>
      <c r="B2840" s="2" t="s">
        <v>60</v>
      </c>
      <c r="C2840" s="2" t="s">
        <v>28176</v>
      </c>
      <c r="D2840" s="2" t="s">
        <v>28177</v>
      </c>
      <c r="E2840" s="2" t="s">
        <v>28178</v>
      </c>
      <c r="G2840" s="3" t="s">
        <v>65</v>
      </c>
      <c r="I2840" s="3" t="s">
        <v>65</v>
      </c>
      <c r="J2840" s="3" t="s">
        <v>65</v>
      </c>
      <c r="K2840" s="3" t="s">
        <v>66</v>
      </c>
      <c r="L2840" s="2" t="s">
        <v>613</v>
      </c>
      <c r="M2840" s="2" t="s">
        <v>28179</v>
      </c>
      <c r="N2840" s="3" t="s">
        <v>479</v>
      </c>
      <c r="O2840" s="2" t="s">
        <v>526</v>
      </c>
      <c r="P2840" s="3" t="s">
        <v>69</v>
      </c>
      <c r="Q2840" s="2" t="s">
        <v>28180</v>
      </c>
      <c r="R2840" s="3" t="s">
        <v>71</v>
      </c>
      <c r="S2840" s="4">
        <v>4</v>
      </c>
      <c r="T2840" s="4">
        <v>4</v>
      </c>
      <c r="U2840" s="5" t="s">
        <v>28181</v>
      </c>
      <c r="V2840" s="5" t="s">
        <v>28181</v>
      </c>
      <c r="W2840" s="5" t="s">
        <v>72</v>
      </c>
      <c r="X2840" s="5" t="s">
        <v>72</v>
      </c>
      <c r="Y2840" s="4">
        <v>89</v>
      </c>
      <c r="Z2840" s="4">
        <v>15</v>
      </c>
      <c r="AA2840" s="4">
        <v>15</v>
      </c>
      <c r="AB2840" s="4">
        <v>1</v>
      </c>
      <c r="AC2840" s="4">
        <v>1</v>
      </c>
      <c r="AD2840" s="4">
        <v>57</v>
      </c>
      <c r="AE2840" s="4">
        <v>57</v>
      </c>
      <c r="AF2840" s="4">
        <v>0</v>
      </c>
      <c r="AG2840" s="4">
        <v>0</v>
      </c>
      <c r="AH2840" s="4">
        <v>52</v>
      </c>
      <c r="AI2840" s="4">
        <v>52</v>
      </c>
      <c r="AJ2840" s="4">
        <v>11</v>
      </c>
      <c r="AK2840" s="4">
        <v>11</v>
      </c>
      <c r="AL2840" s="4">
        <v>31</v>
      </c>
      <c r="AM2840" s="4">
        <v>31</v>
      </c>
      <c r="AN2840" s="4">
        <v>0</v>
      </c>
      <c r="AO2840" s="4">
        <v>0</v>
      </c>
      <c r="AP2840" s="4">
        <v>11</v>
      </c>
      <c r="AQ2840" s="4">
        <v>11</v>
      </c>
      <c r="AR2840" s="3" t="s">
        <v>65</v>
      </c>
      <c r="AS2840" s="3" t="s">
        <v>65</v>
      </c>
      <c r="AT2840" s="3" t="s">
        <v>65</v>
      </c>
      <c r="AV2840" s="6" t="str">
        <f>HYPERLINK("http://mcgill.on.worldcat.org/oclc/181492373","Catalog Record")</f>
        <v>Catalog Record</v>
      </c>
      <c r="AW2840" s="6" t="str">
        <f>HYPERLINK("http://www.worldcat.org/oclc/181492373","WorldCat Record")</f>
        <v>WorldCat Record</v>
      </c>
      <c r="AX2840" s="3" t="s">
        <v>28182</v>
      </c>
      <c r="AY2840" s="3" t="s">
        <v>28183</v>
      </c>
      <c r="AZ2840" s="3" t="s">
        <v>28184</v>
      </c>
      <c r="BA2840" s="3" t="s">
        <v>28184</v>
      </c>
      <c r="BB2840" s="3" t="s">
        <v>28185</v>
      </c>
      <c r="BC2840" s="3" t="s">
        <v>77</v>
      </c>
      <c r="BD2840" s="3" t="s">
        <v>78</v>
      </c>
      <c r="BE2840" s="3" t="s">
        <v>28186</v>
      </c>
      <c r="BF2840" s="3" t="s">
        <v>28185</v>
      </c>
      <c r="BG2840" s="3" t="s">
        <v>28187</v>
      </c>
    </row>
    <row r="2841" spans="1:59" ht="58" x14ac:dyDescent="0.35">
      <c r="A2841" s="2" t="s">
        <v>59</v>
      </c>
      <c r="B2841" s="2" t="s">
        <v>60</v>
      </c>
      <c r="C2841" s="2" t="s">
        <v>28188</v>
      </c>
      <c r="D2841" s="2" t="s">
        <v>28189</v>
      </c>
      <c r="E2841" s="2" t="s">
        <v>28190</v>
      </c>
      <c r="G2841" s="3" t="s">
        <v>65</v>
      </c>
      <c r="I2841" s="3" t="s">
        <v>65</v>
      </c>
      <c r="J2841" s="3" t="s">
        <v>65</v>
      </c>
      <c r="K2841" s="3" t="s">
        <v>66</v>
      </c>
      <c r="L2841" s="2" t="s">
        <v>613</v>
      </c>
      <c r="M2841" s="2" t="s">
        <v>28191</v>
      </c>
      <c r="N2841" s="3" t="s">
        <v>5961</v>
      </c>
      <c r="P2841" s="3" t="s">
        <v>69</v>
      </c>
      <c r="R2841" s="3" t="s">
        <v>71</v>
      </c>
      <c r="S2841" s="4">
        <v>24</v>
      </c>
      <c r="T2841" s="4">
        <v>24</v>
      </c>
      <c r="U2841" s="5" t="s">
        <v>28192</v>
      </c>
      <c r="V2841" s="5" t="s">
        <v>28192</v>
      </c>
      <c r="W2841" s="5" t="s">
        <v>72</v>
      </c>
      <c r="X2841" s="5" t="s">
        <v>72</v>
      </c>
      <c r="Y2841" s="4">
        <v>244</v>
      </c>
      <c r="Z2841" s="4">
        <v>17</v>
      </c>
      <c r="AA2841" s="4">
        <v>20</v>
      </c>
      <c r="AB2841" s="4">
        <v>4</v>
      </c>
      <c r="AC2841" s="4">
        <v>4</v>
      </c>
      <c r="AD2841" s="4">
        <v>86</v>
      </c>
      <c r="AE2841" s="4">
        <v>90</v>
      </c>
      <c r="AF2841" s="4">
        <v>1</v>
      </c>
      <c r="AG2841" s="4">
        <v>1</v>
      </c>
      <c r="AH2841" s="4">
        <v>79</v>
      </c>
      <c r="AI2841" s="4">
        <v>83</v>
      </c>
      <c r="AJ2841" s="4">
        <v>10</v>
      </c>
      <c r="AK2841" s="4">
        <v>13</v>
      </c>
      <c r="AL2841" s="4">
        <v>51</v>
      </c>
      <c r="AM2841" s="4">
        <v>51</v>
      </c>
      <c r="AN2841" s="4">
        <v>0</v>
      </c>
      <c r="AO2841" s="4">
        <v>0</v>
      </c>
      <c r="AP2841" s="4">
        <v>9</v>
      </c>
      <c r="AQ2841" s="4">
        <v>12</v>
      </c>
      <c r="AR2841" s="3" t="s">
        <v>65</v>
      </c>
      <c r="AS2841" s="3" t="s">
        <v>65</v>
      </c>
      <c r="AT2841" s="3" t="s">
        <v>209</v>
      </c>
      <c r="AU2841" s="6" t="str">
        <f>HYPERLINK("http://catalog.hathitrust.org/Record/002877840","HathiTrust Record")</f>
        <v>HathiTrust Record</v>
      </c>
      <c r="AV2841" s="6" t="str">
        <f>HYPERLINK("http://mcgill.on.worldcat.org/oclc/14944978","Catalog Record")</f>
        <v>Catalog Record</v>
      </c>
      <c r="AW2841" s="6" t="str">
        <f>HYPERLINK("http://www.worldcat.org/oclc/14944978","WorldCat Record")</f>
        <v>WorldCat Record</v>
      </c>
      <c r="AX2841" s="3" t="s">
        <v>28193</v>
      </c>
      <c r="AY2841" s="3" t="s">
        <v>28194</v>
      </c>
      <c r="AZ2841" s="3" t="s">
        <v>28195</v>
      </c>
      <c r="BA2841" s="3" t="s">
        <v>28195</v>
      </c>
      <c r="BB2841" s="3" t="s">
        <v>28196</v>
      </c>
      <c r="BC2841" s="3" t="s">
        <v>77</v>
      </c>
      <c r="BD2841" s="3" t="s">
        <v>78</v>
      </c>
      <c r="BE2841" s="3" t="s">
        <v>28197</v>
      </c>
      <c r="BF2841" s="3" t="s">
        <v>28196</v>
      </c>
      <c r="BG2841" s="3" t="s">
        <v>28198</v>
      </c>
    </row>
    <row r="2842" spans="1:59" ht="58" x14ac:dyDescent="0.35">
      <c r="A2842" s="2" t="s">
        <v>59</v>
      </c>
      <c r="B2842" s="2" t="s">
        <v>60</v>
      </c>
      <c r="C2842" s="2" t="s">
        <v>28199</v>
      </c>
      <c r="D2842" s="2" t="s">
        <v>28200</v>
      </c>
      <c r="E2842" s="2" t="s">
        <v>28201</v>
      </c>
      <c r="G2842" s="3" t="s">
        <v>65</v>
      </c>
      <c r="I2842" s="3" t="s">
        <v>65</v>
      </c>
      <c r="J2842" s="3" t="s">
        <v>65</v>
      </c>
      <c r="K2842" s="3" t="s">
        <v>66</v>
      </c>
      <c r="L2842" s="2" t="s">
        <v>613</v>
      </c>
      <c r="M2842" s="2" t="s">
        <v>8176</v>
      </c>
      <c r="N2842" s="3" t="s">
        <v>2750</v>
      </c>
      <c r="P2842" s="3" t="s">
        <v>140</v>
      </c>
      <c r="R2842" s="3" t="s">
        <v>71</v>
      </c>
      <c r="S2842" s="4">
        <v>6</v>
      </c>
      <c r="T2842" s="4">
        <v>6</v>
      </c>
      <c r="U2842" s="5" t="s">
        <v>930</v>
      </c>
      <c r="V2842" s="5" t="s">
        <v>930</v>
      </c>
      <c r="W2842" s="5" t="s">
        <v>72</v>
      </c>
      <c r="X2842" s="5" t="s">
        <v>72</v>
      </c>
      <c r="Y2842" s="4">
        <v>132</v>
      </c>
      <c r="Z2842" s="4">
        <v>13</v>
      </c>
      <c r="AA2842" s="4">
        <v>15</v>
      </c>
      <c r="AB2842" s="4">
        <v>1</v>
      </c>
      <c r="AC2842" s="4">
        <v>3</v>
      </c>
      <c r="AD2842" s="4">
        <v>57</v>
      </c>
      <c r="AE2842" s="4">
        <v>71</v>
      </c>
      <c r="AF2842" s="4">
        <v>0</v>
      </c>
      <c r="AG2842" s="4">
        <v>2</v>
      </c>
      <c r="AH2842" s="4">
        <v>51</v>
      </c>
      <c r="AI2842" s="4">
        <v>63</v>
      </c>
      <c r="AJ2842" s="4">
        <v>10</v>
      </c>
      <c r="AK2842" s="4">
        <v>12</v>
      </c>
      <c r="AL2842" s="4">
        <v>31</v>
      </c>
      <c r="AM2842" s="4">
        <v>42</v>
      </c>
      <c r="AN2842" s="4">
        <v>0</v>
      </c>
      <c r="AO2842" s="4">
        <v>0</v>
      </c>
      <c r="AP2842" s="4">
        <v>9</v>
      </c>
      <c r="AQ2842" s="4">
        <v>10</v>
      </c>
      <c r="AR2842" s="3" t="s">
        <v>65</v>
      </c>
      <c r="AS2842" s="3" t="s">
        <v>65</v>
      </c>
      <c r="AT2842" s="3" t="s">
        <v>209</v>
      </c>
      <c r="AU2842" s="6" t="str">
        <f>HYPERLINK("http://catalog.hathitrust.org/Record/000731862","HathiTrust Record")</f>
        <v>HathiTrust Record</v>
      </c>
      <c r="AV2842" s="6" t="str">
        <f>HYPERLINK("http://mcgill.on.worldcat.org/oclc/2585745","Catalog Record")</f>
        <v>Catalog Record</v>
      </c>
      <c r="AW2842" s="6" t="str">
        <f>HYPERLINK("http://www.worldcat.org/oclc/2585745","WorldCat Record")</f>
        <v>WorldCat Record</v>
      </c>
      <c r="AX2842" s="3" t="s">
        <v>28202</v>
      </c>
      <c r="AY2842" s="3" t="s">
        <v>28203</v>
      </c>
      <c r="AZ2842" s="3" t="s">
        <v>28204</v>
      </c>
      <c r="BA2842" s="3" t="s">
        <v>28204</v>
      </c>
      <c r="BB2842" s="3" t="s">
        <v>28205</v>
      </c>
      <c r="BC2842" s="3" t="s">
        <v>77</v>
      </c>
      <c r="BD2842" s="3" t="s">
        <v>78</v>
      </c>
      <c r="BF2842" s="3" t="s">
        <v>28205</v>
      </c>
      <c r="BG2842" s="3" t="s">
        <v>28206</v>
      </c>
    </row>
    <row r="2843" spans="1:59" ht="72.5" x14ac:dyDescent="0.35">
      <c r="A2843" s="2" t="s">
        <v>59</v>
      </c>
      <c r="B2843" s="2" t="s">
        <v>60</v>
      </c>
      <c r="C2843" s="2" t="s">
        <v>28207</v>
      </c>
      <c r="D2843" s="2" t="s">
        <v>28208</v>
      </c>
      <c r="E2843" s="2" t="s">
        <v>28209</v>
      </c>
      <c r="G2843" s="3" t="s">
        <v>65</v>
      </c>
      <c r="I2843" s="3" t="s">
        <v>65</v>
      </c>
      <c r="J2843" s="3" t="s">
        <v>65</v>
      </c>
      <c r="K2843" s="3" t="s">
        <v>66</v>
      </c>
      <c r="L2843" s="2" t="s">
        <v>613</v>
      </c>
      <c r="M2843" s="2" t="s">
        <v>28210</v>
      </c>
      <c r="N2843" s="3" t="s">
        <v>164</v>
      </c>
      <c r="O2843" s="2" t="s">
        <v>28211</v>
      </c>
      <c r="P2843" s="3" t="s">
        <v>69</v>
      </c>
      <c r="R2843" s="3" t="s">
        <v>71</v>
      </c>
      <c r="S2843" s="4">
        <v>0</v>
      </c>
      <c r="T2843" s="4">
        <v>0</v>
      </c>
      <c r="W2843" s="5" t="s">
        <v>72</v>
      </c>
      <c r="X2843" s="5" t="s">
        <v>72</v>
      </c>
      <c r="Y2843" s="4">
        <v>12</v>
      </c>
      <c r="Z2843" s="4">
        <v>1</v>
      </c>
      <c r="AA2843" s="4">
        <v>5</v>
      </c>
      <c r="AB2843" s="4">
        <v>1</v>
      </c>
      <c r="AC2843" s="4">
        <v>3</v>
      </c>
      <c r="AD2843" s="4">
        <v>7</v>
      </c>
      <c r="AE2843" s="4">
        <v>25</v>
      </c>
      <c r="AF2843" s="4">
        <v>0</v>
      </c>
      <c r="AG2843" s="4">
        <v>1</v>
      </c>
      <c r="AH2843" s="4">
        <v>6</v>
      </c>
      <c r="AI2843" s="4">
        <v>22</v>
      </c>
      <c r="AJ2843" s="4">
        <v>0</v>
      </c>
      <c r="AK2843" s="4">
        <v>3</v>
      </c>
      <c r="AL2843" s="4">
        <v>4</v>
      </c>
      <c r="AM2843" s="4">
        <v>16</v>
      </c>
      <c r="AN2843" s="4">
        <v>0</v>
      </c>
      <c r="AO2843" s="4">
        <v>0</v>
      </c>
      <c r="AP2843" s="4">
        <v>0</v>
      </c>
      <c r="AQ2843" s="4">
        <v>3</v>
      </c>
      <c r="AR2843" s="3" t="s">
        <v>65</v>
      </c>
      <c r="AS2843" s="3" t="s">
        <v>65</v>
      </c>
      <c r="AT2843" s="3" t="s">
        <v>65</v>
      </c>
      <c r="AV2843" s="6" t="str">
        <f>HYPERLINK("http://mcgill.on.worldcat.org/oclc/900929934","Catalog Record")</f>
        <v>Catalog Record</v>
      </c>
      <c r="AW2843" s="6" t="str">
        <f>HYPERLINK("http://www.worldcat.org/oclc/900929934","WorldCat Record")</f>
        <v>WorldCat Record</v>
      </c>
      <c r="AX2843" s="3" t="s">
        <v>28212</v>
      </c>
      <c r="AY2843" s="3" t="s">
        <v>28213</v>
      </c>
      <c r="AZ2843" s="3" t="s">
        <v>28214</v>
      </c>
      <c r="BA2843" s="3" t="s">
        <v>28214</v>
      </c>
      <c r="BB2843" s="3" t="s">
        <v>28215</v>
      </c>
      <c r="BC2843" s="3" t="s">
        <v>77</v>
      </c>
      <c r="BD2843" s="3" t="s">
        <v>78</v>
      </c>
      <c r="BE2843" s="3" t="s">
        <v>28216</v>
      </c>
      <c r="BF2843" s="3" t="s">
        <v>28215</v>
      </c>
      <c r="BG2843" s="3" t="s">
        <v>28217</v>
      </c>
    </row>
    <row r="2844" spans="1:59" ht="58" x14ac:dyDescent="0.35">
      <c r="A2844" s="2" t="s">
        <v>59</v>
      </c>
      <c r="B2844" s="2" t="s">
        <v>60</v>
      </c>
      <c r="C2844" s="2" t="s">
        <v>28218</v>
      </c>
      <c r="D2844" s="2" t="s">
        <v>28219</v>
      </c>
      <c r="E2844" s="2" t="s">
        <v>28220</v>
      </c>
      <c r="G2844" s="3" t="s">
        <v>65</v>
      </c>
      <c r="I2844" s="3" t="s">
        <v>65</v>
      </c>
      <c r="J2844" s="3" t="s">
        <v>65</v>
      </c>
      <c r="K2844" s="3" t="s">
        <v>66</v>
      </c>
      <c r="L2844" s="2" t="s">
        <v>613</v>
      </c>
      <c r="M2844" s="2" t="s">
        <v>28221</v>
      </c>
      <c r="N2844" s="3" t="s">
        <v>3448</v>
      </c>
      <c r="O2844" s="2" t="s">
        <v>28222</v>
      </c>
      <c r="P2844" s="3" t="s">
        <v>140</v>
      </c>
      <c r="Q2844" s="2" t="s">
        <v>28223</v>
      </c>
      <c r="R2844" s="3" t="s">
        <v>71</v>
      </c>
      <c r="S2844" s="4">
        <v>15</v>
      </c>
      <c r="T2844" s="4">
        <v>15</v>
      </c>
      <c r="U2844" s="5" t="s">
        <v>8657</v>
      </c>
      <c r="V2844" s="5" t="s">
        <v>8657</v>
      </c>
      <c r="W2844" s="5" t="s">
        <v>72</v>
      </c>
      <c r="X2844" s="5" t="s">
        <v>72</v>
      </c>
      <c r="Y2844" s="4">
        <v>84</v>
      </c>
      <c r="Z2844" s="4">
        <v>6</v>
      </c>
      <c r="AA2844" s="4">
        <v>15</v>
      </c>
      <c r="AB2844" s="4">
        <v>1</v>
      </c>
      <c r="AC2844" s="4">
        <v>2</v>
      </c>
      <c r="AD2844" s="4">
        <v>45</v>
      </c>
      <c r="AE2844" s="4">
        <v>81</v>
      </c>
      <c r="AF2844" s="4">
        <v>0</v>
      </c>
      <c r="AG2844" s="4">
        <v>1</v>
      </c>
      <c r="AH2844" s="4">
        <v>45</v>
      </c>
      <c r="AI2844" s="4">
        <v>76</v>
      </c>
      <c r="AJ2844" s="4">
        <v>5</v>
      </c>
      <c r="AK2844" s="4">
        <v>12</v>
      </c>
      <c r="AL2844" s="4">
        <v>28</v>
      </c>
      <c r="AM2844" s="4">
        <v>48</v>
      </c>
      <c r="AN2844" s="4">
        <v>0</v>
      </c>
      <c r="AO2844" s="4">
        <v>5</v>
      </c>
      <c r="AP2844" s="4">
        <v>5</v>
      </c>
      <c r="AQ2844" s="4">
        <v>11</v>
      </c>
      <c r="AR2844" s="3" t="s">
        <v>65</v>
      </c>
      <c r="AS2844" s="3" t="s">
        <v>65</v>
      </c>
      <c r="AT2844" s="3" t="s">
        <v>65</v>
      </c>
      <c r="AV2844" s="6" t="str">
        <f>HYPERLINK("http://mcgill.on.worldcat.org/oclc/712814","Catalog Record")</f>
        <v>Catalog Record</v>
      </c>
      <c r="AW2844" s="6" t="str">
        <f>HYPERLINK("http://www.worldcat.org/oclc/712814","WorldCat Record")</f>
        <v>WorldCat Record</v>
      </c>
      <c r="AX2844" s="3" t="s">
        <v>28224</v>
      </c>
      <c r="AY2844" s="3" t="s">
        <v>28225</v>
      </c>
      <c r="AZ2844" s="3" t="s">
        <v>28226</v>
      </c>
      <c r="BA2844" s="3" t="s">
        <v>28226</v>
      </c>
      <c r="BB2844" s="3" t="s">
        <v>28227</v>
      </c>
      <c r="BC2844" s="3" t="s">
        <v>77</v>
      </c>
      <c r="BD2844" s="3" t="s">
        <v>106</v>
      </c>
      <c r="BF2844" s="3" t="s">
        <v>28227</v>
      </c>
      <c r="BG2844" s="3" t="s">
        <v>28228</v>
      </c>
    </row>
    <row r="2845" spans="1:59" ht="58" x14ac:dyDescent="0.35">
      <c r="A2845" s="2" t="s">
        <v>59</v>
      </c>
      <c r="B2845" s="2" t="s">
        <v>60</v>
      </c>
      <c r="C2845" s="2" t="s">
        <v>28229</v>
      </c>
      <c r="D2845" s="2" t="s">
        <v>28230</v>
      </c>
      <c r="E2845" s="2" t="s">
        <v>28231</v>
      </c>
      <c r="G2845" s="3" t="s">
        <v>65</v>
      </c>
      <c r="I2845" s="3" t="s">
        <v>65</v>
      </c>
      <c r="J2845" s="3" t="s">
        <v>65</v>
      </c>
      <c r="K2845" s="3" t="s">
        <v>66</v>
      </c>
      <c r="L2845" s="2" t="s">
        <v>613</v>
      </c>
      <c r="M2845" s="2" t="s">
        <v>28232</v>
      </c>
      <c r="N2845" s="3" t="s">
        <v>2460</v>
      </c>
      <c r="P2845" s="3" t="s">
        <v>69</v>
      </c>
      <c r="R2845" s="3" t="s">
        <v>71</v>
      </c>
      <c r="S2845" s="4">
        <v>43</v>
      </c>
      <c r="T2845" s="4">
        <v>43</v>
      </c>
      <c r="U2845" s="5" t="s">
        <v>22841</v>
      </c>
      <c r="V2845" s="5" t="s">
        <v>22841</v>
      </c>
      <c r="W2845" s="5" t="s">
        <v>72</v>
      </c>
      <c r="X2845" s="5" t="s">
        <v>72</v>
      </c>
      <c r="Y2845" s="4">
        <v>430</v>
      </c>
      <c r="Z2845" s="4">
        <v>26</v>
      </c>
      <c r="AA2845" s="4">
        <v>30</v>
      </c>
      <c r="AB2845" s="4">
        <v>2</v>
      </c>
      <c r="AC2845" s="4">
        <v>4</v>
      </c>
      <c r="AD2845" s="4">
        <v>112</v>
      </c>
      <c r="AE2845" s="4">
        <v>118</v>
      </c>
      <c r="AF2845" s="4">
        <v>1</v>
      </c>
      <c r="AG2845" s="4">
        <v>3</v>
      </c>
      <c r="AH2845" s="4">
        <v>98</v>
      </c>
      <c r="AI2845" s="4">
        <v>101</v>
      </c>
      <c r="AJ2845" s="4">
        <v>18</v>
      </c>
      <c r="AK2845" s="4">
        <v>21</v>
      </c>
      <c r="AL2845" s="4">
        <v>52</v>
      </c>
      <c r="AM2845" s="4">
        <v>54</v>
      </c>
      <c r="AN2845" s="4">
        <v>0</v>
      </c>
      <c r="AO2845" s="4">
        <v>0</v>
      </c>
      <c r="AP2845" s="4">
        <v>19</v>
      </c>
      <c r="AQ2845" s="4">
        <v>21</v>
      </c>
      <c r="AR2845" s="3" t="s">
        <v>65</v>
      </c>
      <c r="AS2845" s="3" t="s">
        <v>65</v>
      </c>
      <c r="AT2845" s="3" t="s">
        <v>209</v>
      </c>
      <c r="AU2845" s="6" t="str">
        <f>HYPERLINK("http://catalog.hathitrust.org/Record/000928962","HathiTrust Record")</f>
        <v>HathiTrust Record</v>
      </c>
      <c r="AV2845" s="6" t="str">
        <f>HYPERLINK("http://mcgill.on.worldcat.org/oclc/16523547","Catalog Record")</f>
        <v>Catalog Record</v>
      </c>
      <c r="AW2845" s="6" t="str">
        <f>HYPERLINK("http://www.worldcat.org/oclc/16523547","WorldCat Record")</f>
        <v>WorldCat Record</v>
      </c>
      <c r="AX2845" s="3" t="s">
        <v>28233</v>
      </c>
      <c r="AY2845" s="3" t="s">
        <v>28234</v>
      </c>
      <c r="AZ2845" s="3" t="s">
        <v>28235</v>
      </c>
      <c r="BA2845" s="3" t="s">
        <v>28235</v>
      </c>
      <c r="BB2845" s="3" t="s">
        <v>28236</v>
      </c>
      <c r="BC2845" s="3" t="s">
        <v>77</v>
      </c>
      <c r="BD2845" s="3" t="s">
        <v>78</v>
      </c>
      <c r="BE2845" s="3" t="s">
        <v>28237</v>
      </c>
      <c r="BF2845" s="3" t="s">
        <v>28236</v>
      </c>
      <c r="BG2845" s="3" t="s">
        <v>28238</v>
      </c>
    </row>
    <row r="2846" spans="1:59" ht="58" x14ac:dyDescent="0.35">
      <c r="A2846" s="2" t="s">
        <v>59</v>
      </c>
      <c r="B2846" s="2" t="s">
        <v>60</v>
      </c>
      <c r="C2846" s="2" t="s">
        <v>28239</v>
      </c>
      <c r="D2846" s="2" t="s">
        <v>28240</v>
      </c>
      <c r="E2846" s="2" t="s">
        <v>28241</v>
      </c>
      <c r="G2846" s="3" t="s">
        <v>65</v>
      </c>
      <c r="I2846" s="3" t="s">
        <v>65</v>
      </c>
      <c r="J2846" s="3" t="s">
        <v>65</v>
      </c>
      <c r="K2846" s="3" t="s">
        <v>66</v>
      </c>
      <c r="L2846" s="2" t="s">
        <v>613</v>
      </c>
      <c r="M2846" s="2" t="s">
        <v>28242</v>
      </c>
      <c r="N2846" s="3" t="s">
        <v>2460</v>
      </c>
      <c r="P2846" s="3" t="s">
        <v>616</v>
      </c>
      <c r="Q2846" s="2" t="s">
        <v>28243</v>
      </c>
      <c r="R2846" s="3" t="s">
        <v>71</v>
      </c>
      <c r="S2846" s="4">
        <v>3</v>
      </c>
      <c r="T2846" s="4">
        <v>3</v>
      </c>
      <c r="U2846" s="5" t="s">
        <v>16211</v>
      </c>
      <c r="V2846" s="5" t="s">
        <v>16211</v>
      </c>
      <c r="W2846" s="5" t="s">
        <v>72</v>
      </c>
      <c r="X2846" s="5" t="s">
        <v>72</v>
      </c>
      <c r="Y2846" s="4">
        <v>35</v>
      </c>
      <c r="Z2846" s="4">
        <v>6</v>
      </c>
      <c r="AA2846" s="4">
        <v>10</v>
      </c>
      <c r="AB2846" s="4">
        <v>1</v>
      </c>
      <c r="AC2846" s="4">
        <v>4</v>
      </c>
      <c r="AD2846" s="4">
        <v>11</v>
      </c>
      <c r="AE2846" s="4">
        <v>14</v>
      </c>
      <c r="AF2846" s="4">
        <v>0</v>
      </c>
      <c r="AG2846" s="4">
        <v>2</v>
      </c>
      <c r="AH2846" s="4">
        <v>8</v>
      </c>
      <c r="AI2846" s="4">
        <v>9</v>
      </c>
      <c r="AJ2846" s="4">
        <v>3</v>
      </c>
      <c r="AK2846" s="4">
        <v>5</v>
      </c>
      <c r="AL2846" s="4">
        <v>6</v>
      </c>
      <c r="AM2846" s="4">
        <v>6</v>
      </c>
      <c r="AN2846" s="4">
        <v>0</v>
      </c>
      <c r="AO2846" s="4">
        <v>0</v>
      </c>
      <c r="AP2846" s="4">
        <v>3</v>
      </c>
      <c r="AQ2846" s="4">
        <v>6</v>
      </c>
      <c r="AR2846" s="3" t="s">
        <v>65</v>
      </c>
      <c r="AS2846" s="3" t="s">
        <v>65</v>
      </c>
      <c r="AT2846" s="3" t="s">
        <v>65</v>
      </c>
      <c r="AV2846" s="6" t="str">
        <f>HYPERLINK("http://mcgill.on.worldcat.org/oclc/21079479","Catalog Record")</f>
        <v>Catalog Record</v>
      </c>
      <c r="AW2846" s="6" t="str">
        <f>HYPERLINK("http://www.worldcat.org/oclc/21079479","WorldCat Record")</f>
        <v>WorldCat Record</v>
      </c>
      <c r="AX2846" s="3" t="s">
        <v>28244</v>
      </c>
      <c r="AY2846" s="3" t="s">
        <v>28245</v>
      </c>
      <c r="AZ2846" s="3" t="s">
        <v>28246</v>
      </c>
      <c r="BA2846" s="3" t="s">
        <v>28246</v>
      </c>
      <c r="BB2846" s="3" t="s">
        <v>28247</v>
      </c>
      <c r="BC2846" s="3" t="s">
        <v>77</v>
      </c>
      <c r="BD2846" s="3" t="s">
        <v>78</v>
      </c>
      <c r="BE2846" s="3" t="s">
        <v>28248</v>
      </c>
      <c r="BF2846" s="3" t="s">
        <v>28247</v>
      </c>
      <c r="BG2846" s="3" t="s">
        <v>28249</v>
      </c>
    </row>
    <row r="2847" spans="1:59" ht="58" x14ac:dyDescent="0.35">
      <c r="A2847" s="2" t="s">
        <v>59</v>
      </c>
      <c r="B2847" s="2" t="s">
        <v>60</v>
      </c>
      <c r="C2847" s="2" t="s">
        <v>28250</v>
      </c>
      <c r="D2847" s="2" t="s">
        <v>28251</v>
      </c>
      <c r="E2847" s="2" t="s">
        <v>28252</v>
      </c>
      <c r="G2847" s="3" t="s">
        <v>65</v>
      </c>
      <c r="I2847" s="3" t="s">
        <v>65</v>
      </c>
      <c r="J2847" s="3" t="s">
        <v>65</v>
      </c>
      <c r="K2847" s="3" t="s">
        <v>66</v>
      </c>
      <c r="M2847" s="2" t="s">
        <v>28253</v>
      </c>
      <c r="N2847" s="3" t="s">
        <v>126</v>
      </c>
      <c r="O2847" s="2" t="s">
        <v>365</v>
      </c>
      <c r="P2847" s="3" t="s">
        <v>140</v>
      </c>
      <c r="Q2847" s="2" t="s">
        <v>28254</v>
      </c>
      <c r="R2847" s="3" t="s">
        <v>71</v>
      </c>
      <c r="S2847" s="4">
        <v>0</v>
      </c>
      <c r="T2847" s="4">
        <v>0</v>
      </c>
      <c r="W2847" s="5" t="s">
        <v>72</v>
      </c>
      <c r="X2847" s="5" t="s">
        <v>72</v>
      </c>
      <c r="Y2847" s="4">
        <v>48</v>
      </c>
      <c r="Z2847" s="4">
        <v>6</v>
      </c>
      <c r="AA2847" s="4">
        <v>6</v>
      </c>
      <c r="AB2847" s="4">
        <v>1</v>
      </c>
      <c r="AC2847" s="4">
        <v>1</v>
      </c>
      <c r="AD2847" s="4">
        <v>34</v>
      </c>
      <c r="AE2847" s="4">
        <v>34</v>
      </c>
      <c r="AF2847" s="4">
        <v>0</v>
      </c>
      <c r="AG2847" s="4">
        <v>0</v>
      </c>
      <c r="AH2847" s="4">
        <v>32</v>
      </c>
      <c r="AI2847" s="4">
        <v>32</v>
      </c>
      <c r="AJ2847" s="4">
        <v>4</v>
      </c>
      <c r="AK2847" s="4">
        <v>4</v>
      </c>
      <c r="AL2847" s="4">
        <v>24</v>
      </c>
      <c r="AM2847" s="4">
        <v>24</v>
      </c>
      <c r="AN2847" s="4">
        <v>0</v>
      </c>
      <c r="AO2847" s="4">
        <v>0</v>
      </c>
      <c r="AP2847" s="4">
        <v>4</v>
      </c>
      <c r="AQ2847" s="4">
        <v>4</v>
      </c>
      <c r="AR2847" s="3" t="s">
        <v>65</v>
      </c>
      <c r="AS2847" s="3" t="s">
        <v>65</v>
      </c>
      <c r="AT2847" s="3" t="s">
        <v>65</v>
      </c>
      <c r="AV2847" s="6" t="str">
        <f>HYPERLINK("http://mcgill.on.worldcat.org/oclc/742505192","Catalog Record")</f>
        <v>Catalog Record</v>
      </c>
      <c r="AW2847" s="6" t="str">
        <f>HYPERLINK("http://www.worldcat.org/oclc/742505192","WorldCat Record")</f>
        <v>WorldCat Record</v>
      </c>
      <c r="AX2847" s="3" t="s">
        <v>28255</v>
      </c>
      <c r="AY2847" s="3" t="s">
        <v>28256</v>
      </c>
      <c r="AZ2847" s="3" t="s">
        <v>28257</v>
      </c>
      <c r="BA2847" s="3" t="s">
        <v>28257</v>
      </c>
      <c r="BB2847" s="3" t="s">
        <v>28258</v>
      </c>
      <c r="BC2847" s="3" t="s">
        <v>77</v>
      </c>
      <c r="BD2847" s="3" t="s">
        <v>78</v>
      </c>
      <c r="BE2847" s="3" t="s">
        <v>28259</v>
      </c>
      <c r="BF2847" s="3" t="s">
        <v>28258</v>
      </c>
      <c r="BG2847" s="3" t="s">
        <v>28260</v>
      </c>
    </row>
    <row r="2848" spans="1:59" ht="72.5" x14ac:dyDescent="0.35">
      <c r="A2848" s="2" t="s">
        <v>59</v>
      </c>
      <c r="B2848" s="2" t="s">
        <v>60</v>
      </c>
      <c r="C2848" s="2" t="s">
        <v>28261</v>
      </c>
      <c r="D2848" s="2" t="s">
        <v>28262</v>
      </c>
      <c r="E2848" s="2" t="s">
        <v>28263</v>
      </c>
      <c r="F2848" s="3" t="s">
        <v>10601</v>
      </c>
      <c r="G2848" s="3" t="s">
        <v>209</v>
      </c>
      <c r="I2848" s="3" t="s">
        <v>65</v>
      </c>
      <c r="J2848" s="3" t="s">
        <v>65</v>
      </c>
      <c r="K2848" s="3" t="s">
        <v>66</v>
      </c>
      <c r="L2848" s="2" t="s">
        <v>613</v>
      </c>
      <c r="M2848" s="2" t="s">
        <v>28264</v>
      </c>
      <c r="N2848" s="3" t="s">
        <v>364</v>
      </c>
      <c r="O2848" s="2" t="s">
        <v>365</v>
      </c>
      <c r="P2848" s="3" t="s">
        <v>140</v>
      </c>
      <c r="Q2848" s="2" t="s">
        <v>28265</v>
      </c>
      <c r="R2848" s="3" t="s">
        <v>71</v>
      </c>
      <c r="S2848" s="4">
        <v>19</v>
      </c>
      <c r="T2848" s="4">
        <v>35</v>
      </c>
      <c r="U2848" s="5" t="s">
        <v>28266</v>
      </c>
      <c r="V2848" s="5" t="s">
        <v>28266</v>
      </c>
      <c r="W2848" s="5" t="s">
        <v>72</v>
      </c>
      <c r="X2848" s="5" t="s">
        <v>72</v>
      </c>
      <c r="Y2848" s="4">
        <v>99</v>
      </c>
      <c r="Z2848" s="4">
        <v>9</v>
      </c>
      <c r="AA2848" s="4">
        <v>9</v>
      </c>
      <c r="AB2848" s="4">
        <v>1</v>
      </c>
      <c r="AC2848" s="4">
        <v>1</v>
      </c>
      <c r="AD2848" s="4">
        <v>58</v>
      </c>
      <c r="AE2848" s="4">
        <v>58</v>
      </c>
      <c r="AF2848" s="4">
        <v>0</v>
      </c>
      <c r="AG2848" s="4">
        <v>0</v>
      </c>
      <c r="AH2848" s="4">
        <v>57</v>
      </c>
      <c r="AI2848" s="4">
        <v>57</v>
      </c>
      <c r="AJ2848" s="4">
        <v>6</v>
      </c>
      <c r="AK2848" s="4">
        <v>6</v>
      </c>
      <c r="AL2848" s="4">
        <v>38</v>
      </c>
      <c r="AM2848" s="4">
        <v>38</v>
      </c>
      <c r="AN2848" s="4">
        <v>0</v>
      </c>
      <c r="AO2848" s="4">
        <v>0</v>
      </c>
      <c r="AP2848" s="4">
        <v>6</v>
      </c>
      <c r="AQ2848" s="4">
        <v>6</v>
      </c>
      <c r="AR2848" s="3" t="s">
        <v>65</v>
      </c>
      <c r="AS2848" s="3" t="s">
        <v>65</v>
      </c>
      <c r="AT2848" s="3" t="s">
        <v>209</v>
      </c>
      <c r="AU2848" s="6" t="str">
        <f>HYPERLINK("http://catalog.hathitrust.org/Record/004185449","HathiTrust Record")</f>
        <v>HathiTrust Record</v>
      </c>
      <c r="AV2848" s="6" t="str">
        <f>HYPERLINK("http://mcgill.on.worldcat.org/oclc/47973479","Catalog Record")</f>
        <v>Catalog Record</v>
      </c>
      <c r="AW2848" s="6" t="str">
        <f>HYPERLINK("http://www.worldcat.org/oclc/47973479","WorldCat Record")</f>
        <v>WorldCat Record</v>
      </c>
      <c r="AX2848" s="3" t="s">
        <v>28267</v>
      </c>
      <c r="AY2848" s="3" t="s">
        <v>28268</v>
      </c>
      <c r="AZ2848" s="3" t="s">
        <v>28269</v>
      </c>
      <c r="BA2848" s="3" t="s">
        <v>28269</v>
      </c>
      <c r="BB2848" s="3" t="s">
        <v>28270</v>
      </c>
      <c r="BC2848" s="3" t="s">
        <v>77</v>
      </c>
      <c r="BD2848" s="3" t="s">
        <v>106</v>
      </c>
      <c r="BE2848" s="3" t="s">
        <v>28271</v>
      </c>
      <c r="BF2848" s="3" t="s">
        <v>28270</v>
      </c>
      <c r="BG2848" s="3" t="s">
        <v>28272</v>
      </c>
    </row>
    <row r="2849" spans="1:59" ht="72.5" x14ac:dyDescent="0.35">
      <c r="A2849" s="2" t="s">
        <v>59</v>
      </c>
      <c r="B2849" s="2" t="s">
        <v>60</v>
      </c>
      <c r="C2849" s="2" t="s">
        <v>28261</v>
      </c>
      <c r="D2849" s="2" t="s">
        <v>28262</v>
      </c>
      <c r="E2849" s="2" t="s">
        <v>28263</v>
      </c>
      <c r="F2849" s="3" t="s">
        <v>10617</v>
      </c>
      <c r="G2849" s="3" t="s">
        <v>209</v>
      </c>
      <c r="I2849" s="3" t="s">
        <v>65</v>
      </c>
      <c r="J2849" s="3" t="s">
        <v>65</v>
      </c>
      <c r="K2849" s="3" t="s">
        <v>66</v>
      </c>
      <c r="L2849" s="2" t="s">
        <v>613</v>
      </c>
      <c r="M2849" s="2" t="s">
        <v>28264</v>
      </c>
      <c r="N2849" s="3" t="s">
        <v>364</v>
      </c>
      <c r="O2849" s="2" t="s">
        <v>365</v>
      </c>
      <c r="P2849" s="3" t="s">
        <v>140</v>
      </c>
      <c r="Q2849" s="2" t="s">
        <v>28265</v>
      </c>
      <c r="R2849" s="3" t="s">
        <v>71</v>
      </c>
      <c r="S2849" s="4">
        <v>16</v>
      </c>
      <c r="T2849" s="4">
        <v>35</v>
      </c>
      <c r="U2849" s="5" t="s">
        <v>28266</v>
      </c>
      <c r="V2849" s="5" t="s">
        <v>28266</v>
      </c>
      <c r="W2849" s="5" t="s">
        <v>72</v>
      </c>
      <c r="X2849" s="5" t="s">
        <v>72</v>
      </c>
      <c r="Y2849" s="4">
        <v>99</v>
      </c>
      <c r="Z2849" s="4">
        <v>9</v>
      </c>
      <c r="AA2849" s="4">
        <v>9</v>
      </c>
      <c r="AB2849" s="4">
        <v>1</v>
      </c>
      <c r="AC2849" s="4">
        <v>1</v>
      </c>
      <c r="AD2849" s="4">
        <v>58</v>
      </c>
      <c r="AE2849" s="4">
        <v>58</v>
      </c>
      <c r="AF2849" s="4">
        <v>0</v>
      </c>
      <c r="AG2849" s="4">
        <v>0</v>
      </c>
      <c r="AH2849" s="4">
        <v>57</v>
      </c>
      <c r="AI2849" s="4">
        <v>57</v>
      </c>
      <c r="AJ2849" s="4">
        <v>6</v>
      </c>
      <c r="AK2849" s="4">
        <v>6</v>
      </c>
      <c r="AL2849" s="4">
        <v>38</v>
      </c>
      <c r="AM2849" s="4">
        <v>38</v>
      </c>
      <c r="AN2849" s="4">
        <v>0</v>
      </c>
      <c r="AO2849" s="4">
        <v>0</v>
      </c>
      <c r="AP2849" s="4">
        <v>6</v>
      </c>
      <c r="AQ2849" s="4">
        <v>6</v>
      </c>
      <c r="AR2849" s="3" t="s">
        <v>65</v>
      </c>
      <c r="AS2849" s="3" t="s">
        <v>65</v>
      </c>
      <c r="AT2849" s="3" t="s">
        <v>209</v>
      </c>
      <c r="AU2849" s="6" t="str">
        <f>HYPERLINK("http://catalog.hathitrust.org/Record/004185449","HathiTrust Record")</f>
        <v>HathiTrust Record</v>
      </c>
      <c r="AV2849" s="6" t="str">
        <f>HYPERLINK("http://mcgill.on.worldcat.org/oclc/47973479","Catalog Record")</f>
        <v>Catalog Record</v>
      </c>
      <c r="AW2849" s="6" t="str">
        <f>HYPERLINK("http://www.worldcat.org/oclc/47973479","WorldCat Record")</f>
        <v>WorldCat Record</v>
      </c>
      <c r="AX2849" s="3" t="s">
        <v>28267</v>
      </c>
      <c r="AY2849" s="3" t="s">
        <v>28268</v>
      </c>
      <c r="AZ2849" s="3" t="s">
        <v>28269</v>
      </c>
      <c r="BA2849" s="3" t="s">
        <v>28269</v>
      </c>
      <c r="BB2849" s="3" t="s">
        <v>28273</v>
      </c>
      <c r="BC2849" s="3" t="s">
        <v>77</v>
      </c>
      <c r="BD2849" s="3" t="s">
        <v>106</v>
      </c>
      <c r="BE2849" s="3" t="s">
        <v>28271</v>
      </c>
      <c r="BF2849" s="3" t="s">
        <v>28273</v>
      </c>
      <c r="BG2849" s="3" t="s">
        <v>28274</v>
      </c>
    </row>
    <row r="2850" spans="1:59" ht="58" x14ac:dyDescent="0.35">
      <c r="A2850" s="2" t="s">
        <v>59</v>
      </c>
      <c r="B2850" s="2" t="s">
        <v>60</v>
      </c>
      <c r="C2850" s="2" t="s">
        <v>28275</v>
      </c>
      <c r="D2850" s="2" t="s">
        <v>28276</v>
      </c>
      <c r="E2850" s="2" t="s">
        <v>28277</v>
      </c>
      <c r="G2850" s="3" t="s">
        <v>65</v>
      </c>
      <c r="I2850" s="3" t="s">
        <v>65</v>
      </c>
      <c r="J2850" s="3" t="s">
        <v>65</v>
      </c>
      <c r="K2850" s="3" t="s">
        <v>66</v>
      </c>
      <c r="L2850" s="2" t="s">
        <v>613</v>
      </c>
      <c r="M2850" s="2" t="s">
        <v>28278</v>
      </c>
      <c r="N2850" s="3" t="s">
        <v>770</v>
      </c>
      <c r="P2850" s="3" t="s">
        <v>69</v>
      </c>
      <c r="R2850" s="3" t="s">
        <v>71</v>
      </c>
      <c r="S2850" s="4">
        <v>25</v>
      </c>
      <c r="T2850" s="4">
        <v>25</v>
      </c>
      <c r="U2850" s="5" t="s">
        <v>8716</v>
      </c>
      <c r="V2850" s="5" t="s">
        <v>8716</v>
      </c>
      <c r="W2850" s="5" t="s">
        <v>72</v>
      </c>
      <c r="X2850" s="5" t="s">
        <v>72</v>
      </c>
      <c r="Y2850" s="4">
        <v>51</v>
      </c>
      <c r="Z2850" s="4">
        <v>18</v>
      </c>
      <c r="AA2850" s="4">
        <v>20</v>
      </c>
      <c r="AB2850" s="4">
        <v>1</v>
      </c>
      <c r="AC2850" s="4">
        <v>2</v>
      </c>
      <c r="AD2850" s="4">
        <v>31</v>
      </c>
      <c r="AE2850" s="4">
        <v>33</v>
      </c>
      <c r="AF2850" s="4">
        <v>0</v>
      </c>
      <c r="AG2850" s="4">
        <v>1</v>
      </c>
      <c r="AH2850" s="4">
        <v>27</v>
      </c>
      <c r="AI2850" s="4">
        <v>28</v>
      </c>
      <c r="AJ2850" s="4">
        <v>9</v>
      </c>
      <c r="AK2850" s="4">
        <v>11</v>
      </c>
      <c r="AL2850" s="4">
        <v>16</v>
      </c>
      <c r="AM2850" s="4">
        <v>16</v>
      </c>
      <c r="AN2850" s="4">
        <v>0</v>
      </c>
      <c r="AO2850" s="4">
        <v>0</v>
      </c>
      <c r="AP2850" s="4">
        <v>10</v>
      </c>
      <c r="AQ2850" s="4">
        <v>11</v>
      </c>
      <c r="AR2850" s="3" t="s">
        <v>209</v>
      </c>
      <c r="AS2850" s="3" t="s">
        <v>65</v>
      </c>
      <c r="AT2850" s="3" t="s">
        <v>65</v>
      </c>
      <c r="AV2850" s="6" t="str">
        <f>HYPERLINK("http://mcgill.on.worldcat.org/oclc/25202319","Catalog Record")</f>
        <v>Catalog Record</v>
      </c>
      <c r="AW2850" s="6" t="str">
        <f>HYPERLINK("http://www.worldcat.org/oclc/25202319","WorldCat Record")</f>
        <v>WorldCat Record</v>
      </c>
      <c r="AX2850" s="3" t="s">
        <v>28279</v>
      </c>
      <c r="AY2850" s="3" t="s">
        <v>28280</v>
      </c>
      <c r="AZ2850" s="3" t="s">
        <v>28281</v>
      </c>
      <c r="BA2850" s="3" t="s">
        <v>28281</v>
      </c>
      <c r="BB2850" s="3" t="s">
        <v>28282</v>
      </c>
      <c r="BC2850" s="3" t="s">
        <v>77</v>
      </c>
      <c r="BD2850" s="3" t="s">
        <v>78</v>
      </c>
      <c r="BE2850" s="3" t="s">
        <v>28283</v>
      </c>
      <c r="BF2850" s="3" t="s">
        <v>28282</v>
      </c>
      <c r="BG2850" s="3" t="s">
        <v>28284</v>
      </c>
    </row>
    <row r="2851" spans="1:59" ht="58" x14ac:dyDescent="0.35">
      <c r="A2851" s="2" t="s">
        <v>59</v>
      </c>
      <c r="B2851" s="2" t="s">
        <v>60</v>
      </c>
      <c r="C2851" s="2" t="s">
        <v>28285</v>
      </c>
      <c r="D2851" s="2" t="s">
        <v>28286</v>
      </c>
      <c r="E2851" s="2" t="s">
        <v>28287</v>
      </c>
      <c r="G2851" s="3" t="s">
        <v>65</v>
      </c>
      <c r="I2851" s="3" t="s">
        <v>65</v>
      </c>
      <c r="J2851" s="3" t="s">
        <v>65</v>
      </c>
      <c r="K2851" s="3" t="s">
        <v>66</v>
      </c>
      <c r="L2851" s="2" t="s">
        <v>613</v>
      </c>
      <c r="M2851" s="2" t="s">
        <v>28288</v>
      </c>
      <c r="N2851" s="3" t="s">
        <v>863</v>
      </c>
      <c r="P2851" s="3" t="s">
        <v>140</v>
      </c>
      <c r="Q2851" s="2" t="s">
        <v>28289</v>
      </c>
      <c r="R2851" s="3" t="s">
        <v>71</v>
      </c>
      <c r="S2851" s="4">
        <v>7</v>
      </c>
      <c r="T2851" s="4">
        <v>7</v>
      </c>
      <c r="U2851" s="5" t="s">
        <v>3959</v>
      </c>
      <c r="V2851" s="5" t="s">
        <v>3959</v>
      </c>
      <c r="W2851" s="5" t="s">
        <v>72</v>
      </c>
      <c r="X2851" s="5" t="s">
        <v>72</v>
      </c>
      <c r="Y2851" s="4">
        <v>148</v>
      </c>
      <c r="Z2851" s="4">
        <v>8</v>
      </c>
      <c r="AA2851" s="4">
        <v>14</v>
      </c>
      <c r="AB2851" s="4">
        <v>1</v>
      </c>
      <c r="AC2851" s="4">
        <v>3</v>
      </c>
      <c r="AD2851" s="4">
        <v>66</v>
      </c>
      <c r="AE2851" s="4">
        <v>72</v>
      </c>
      <c r="AF2851" s="4">
        <v>0</v>
      </c>
      <c r="AG2851" s="4">
        <v>2</v>
      </c>
      <c r="AH2851" s="4">
        <v>63</v>
      </c>
      <c r="AI2851" s="4">
        <v>66</v>
      </c>
      <c r="AJ2851" s="4">
        <v>5</v>
      </c>
      <c r="AK2851" s="4">
        <v>10</v>
      </c>
      <c r="AL2851" s="4">
        <v>49</v>
      </c>
      <c r="AM2851" s="4">
        <v>49</v>
      </c>
      <c r="AN2851" s="4">
        <v>0</v>
      </c>
      <c r="AO2851" s="4">
        <v>0</v>
      </c>
      <c r="AP2851" s="4">
        <v>5</v>
      </c>
      <c r="AQ2851" s="4">
        <v>9</v>
      </c>
      <c r="AR2851" s="3" t="s">
        <v>65</v>
      </c>
      <c r="AS2851" s="3" t="s">
        <v>65</v>
      </c>
      <c r="AT2851" s="3" t="s">
        <v>65</v>
      </c>
      <c r="AV2851" s="6" t="str">
        <f>HYPERLINK("http://mcgill.on.worldcat.org/oclc/27357334","Catalog Record")</f>
        <v>Catalog Record</v>
      </c>
      <c r="AW2851" s="6" t="str">
        <f>HYPERLINK("http://www.worldcat.org/oclc/27357334","WorldCat Record")</f>
        <v>WorldCat Record</v>
      </c>
      <c r="AX2851" s="3" t="s">
        <v>28290</v>
      </c>
      <c r="AY2851" s="3" t="s">
        <v>28291</v>
      </c>
      <c r="AZ2851" s="3" t="s">
        <v>28292</v>
      </c>
      <c r="BA2851" s="3" t="s">
        <v>28292</v>
      </c>
      <c r="BB2851" s="3" t="s">
        <v>28293</v>
      </c>
      <c r="BC2851" s="3" t="s">
        <v>77</v>
      </c>
      <c r="BD2851" s="3" t="s">
        <v>78</v>
      </c>
      <c r="BE2851" s="3" t="s">
        <v>28294</v>
      </c>
      <c r="BF2851" s="3" t="s">
        <v>28293</v>
      </c>
      <c r="BG2851" s="3" t="s">
        <v>28295</v>
      </c>
    </row>
    <row r="2852" spans="1:59" ht="58" x14ac:dyDescent="0.35">
      <c r="A2852" s="2" t="s">
        <v>59</v>
      </c>
      <c r="B2852" s="2" t="s">
        <v>60</v>
      </c>
      <c r="C2852" s="2" t="s">
        <v>28296</v>
      </c>
      <c r="D2852" s="2" t="s">
        <v>28297</v>
      </c>
      <c r="E2852" s="2" t="s">
        <v>28298</v>
      </c>
      <c r="G2852" s="3" t="s">
        <v>65</v>
      </c>
      <c r="I2852" s="3" t="s">
        <v>209</v>
      </c>
      <c r="J2852" s="3" t="s">
        <v>65</v>
      </c>
      <c r="K2852" s="3" t="s">
        <v>66</v>
      </c>
      <c r="L2852" s="2" t="s">
        <v>613</v>
      </c>
      <c r="M2852" s="2" t="s">
        <v>28299</v>
      </c>
      <c r="N2852" s="3" t="s">
        <v>552</v>
      </c>
      <c r="P2852" s="3" t="s">
        <v>69</v>
      </c>
      <c r="R2852" s="3" t="s">
        <v>71</v>
      </c>
      <c r="S2852" s="4">
        <v>3</v>
      </c>
      <c r="T2852" s="4">
        <v>8</v>
      </c>
      <c r="U2852" s="5" t="s">
        <v>4056</v>
      </c>
      <c r="V2852" s="5" t="s">
        <v>28300</v>
      </c>
      <c r="W2852" s="5" t="s">
        <v>72</v>
      </c>
      <c r="X2852" s="5" t="s">
        <v>72</v>
      </c>
      <c r="Y2852" s="4">
        <v>287</v>
      </c>
      <c r="Z2852" s="4">
        <v>16</v>
      </c>
      <c r="AA2852" s="4">
        <v>17</v>
      </c>
      <c r="AB2852" s="4">
        <v>1</v>
      </c>
      <c r="AC2852" s="4">
        <v>1</v>
      </c>
      <c r="AD2852" s="4">
        <v>92</v>
      </c>
      <c r="AE2852" s="4">
        <v>94</v>
      </c>
      <c r="AF2852" s="4">
        <v>0</v>
      </c>
      <c r="AG2852" s="4">
        <v>0</v>
      </c>
      <c r="AH2852" s="4">
        <v>88</v>
      </c>
      <c r="AI2852" s="4">
        <v>89</v>
      </c>
      <c r="AJ2852" s="4">
        <v>10</v>
      </c>
      <c r="AK2852" s="4">
        <v>11</v>
      </c>
      <c r="AL2852" s="4">
        <v>50</v>
      </c>
      <c r="AM2852" s="4">
        <v>51</v>
      </c>
      <c r="AN2852" s="4">
        <v>0</v>
      </c>
      <c r="AO2852" s="4">
        <v>0</v>
      </c>
      <c r="AP2852" s="4">
        <v>10</v>
      </c>
      <c r="AQ2852" s="4">
        <v>11</v>
      </c>
      <c r="AR2852" s="3" t="s">
        <v>65</v>
      </c>
      <c r="AS2852" s="3" t="s">
        <v>65</v>
      </c>
      <c r="AT2852" s="3" t="s">
        <v>209</v>
      </c>
      <c r="AU2852" s="6" t="str">
        <f>HYPERLINK("http://catalog.hathitrust.org/Record/003155904","HathiTrust Record")</f>
        <v>HathiTrust Record</v>
      </c>
      <c r="AV2852" s="6" t="str">
        <f>HYPERLINK("http://mcgill.on.worldcat.org/oclc/35095830","Catalog Record")</f>
        <v>Catalog Record</v>
      </c>
      <c r="AW2852" s="6" t="str">
        <f>HYPERLINK("http://www.worldcat.org/oclc/35095830","WorldCat Record")</f>
        <v>WorldCat Record</v>
      </c>
      <c r="AX2852" s="3" t="s">
        <v>28301</v>
      </c>
      <c r="AY2852" s="3" t="s">
        <v>28302</v>
      </c>
      <c r="AZ2852" s="3" t="s">
        <v>28303</v>
      </c>
      <c r="BA2852" s="3" t="s">
        <v>28303</v>
      </c>
      <c r="BB2852" s="3" t="s">
        <v>28304</v>
      </c>
      <c r="BC2852" s="3" t="s">
        <v>77</v>
      </c>
      <c r="BD2852" s="3" t="s">
        <v>78</v>
      </c>
      <c r="BE2852" s="3" t="s">
        <v>28305</v>
      </c>
      <c r="BF2852" s="3" t="s">
        <v>28304</v>
      </c>
      <c r="BG2852" s="3" t="s">
        <v>28306</v>
      </c>
    </row>
    <row r="2853" spans="1:59" ht="58" x14ac:dyDescent="0.35">
      <c r="A2853" s="2" t="s">
        <v>59</v>
      </c>
      <c r="B2853" s="2" t="s">
        <v>60</v>
      </c>
      <c r="C2853" s="2" t="s">
        <v>28296</v>
      </c>
      <c r="D2853" s="2" t="s">
        <v>28297</v>
      </c>
      <c r="E2853" s="2" t="s">
        <v>28298</v>
      </c>
      <c r="G2853" s="3" t="s">
        <v>65</v>
      </c>
      <c r="I2853" s="3" t="s">
        <v>209</v>
      </c>
      <c r="J2853" s="3" t="s">
        <v>65</v>
      </c>
      <c r="K2853" s="3" t="s">
        <v>66</v>
      </c>
      <c r="L2853" s="2" t="s">
        <v>613</v>
      </c>
      <c r="M2853" s="2" t="s">
        <v>28299</v>
      </c>
      <c r="N2853" s="3" t="s">
        <v>552</v>
      </c>
      <c r="P2853" s="3" t="s">
        <v>69</v>
      </c>
      <c r="R2853" s="3" t="s">
        <v>71</v>
      </c>
      <c r="S2853" s="4">
        <v>2</v>
      </c>
      <c r="T2853" s="4">
        <v>8</v>
      </c>
      <c r="U2853" s="5" t="s">
        <v>28307</v>
      </c>
      <c r="V2853" s="5" t="s">
        <v>28300</v>
      </c>
      <c r="W2853" s="5" t="s">
        <v>72</v>
      </c>
      <c r="X2853" s="5" t="s">
        <v>72</v>
      </c>
      <c r="Y2853" s="4">
        <v>287</v>
      </c>
      <c r="Z2853" s="4">
        <v>16</v>
      </c>
      <c r="AA2853" s="4">
        <v>17</v>
      </c>
      <c r="AB2853" s="4">
        <v>1</v>
      </c>
      <c r="AC2853" s="4">
        <v>1</v>
      </c>
      <c r="AD2853" s="4">
        <v>92</v>
      </c>
      <c r="AE2853" s="4">
        <v>94</v>
      </c>
      <c r="AF2853" s="4">
        <v>0</v>
      </c>
      <c r="AG2853" s="4">
        <v>0</v>
      </c>
      <c r="AH2853" s="4">
        <v>88</v>
      </c>
      <c r="AI2853" s="4">
        <v>89</v>
      </c>
      <c r="AJ2853" s="4">
        <v>10</v>
      </c>
      <c r="AK2853" s="4">
        <v>11</v>
      </c>
      <c r="AL2853" s="4">
        <v>50</v>
      </c>
      <c r="AM2853" s="4">
        <v>51</v>
      </c>
      <c r="AN2853" s="4">
        <v>0</v>
      </c>
      <c r="AO2853" s="4">
        <v>0</v>
      </c>
      <c r="AP2853" s="4">
        <v>10</v>
      </c>
      <c r="AQ2853" s="4">
        <v>11</v>
      </c>
      <c r="AR2853" s="3" t="s">
        <v>65</v>
      </c>
      <c r="AS2853" s="3" t="s">
        <v>65</v>
      </c>
      <c r="AT2853" s="3" t="s">
        <v>209</v>
      </c>
      <c r="AU2853" s="6" t="str">
        <f>HYPERLINK("http://catalog.hathitrust.org/Record/003155904","HathiTrust Record")</f>
        <v>HathiTrust Record</v>
      </c>
      <c r="AV2853" s="6" t="str">
        <f>HYPERLINK("http://mcgill.on.worldcat.org/oclc/35095830","Catalog Record")</f>
        <v>Catalog Record</v>
      </c>
      <c r="AW2853" s="6" t="str">
        <f>HYPERLINK("http://www.worldcat.org/oclc/35095830","WorldCat Record")</f>
        <v>WorldCat Record</v>
      </c>
      <c r="AX2853" s="3" t="s">
        <v>28301</v>
      </c>
      <c r="AY2853" s="3" t="s">
        <v>28302</v>
      </c>
      <c r="AZ2853" s="3" t="s">
        <v>28303</v>
      </c>
      <c r="BA2853" s="3" t="s">
        <v>28303</v>
      </c>
      <c r="BB2853" s="3" t="s">
        <v>28308</v>
      </c>
      <c r="BC2853" s="3" t="s">
        <v>77</v>
      </c>
      <c r="BD2853" s="3" t="s">
        <v>78</v>
      </c>
      <c r="BE2853" s="3" t="s">
        <v>28305</v>
      </c>
      <c r="BF2853" s="3" t="s">
        <v>28308</v>
      </c>
      <c r="BG2853" s="3" t="s">
        <v>28309</v>
      </c>
    </row>
    <row r="2854" spans="1:59" ht="58" x14ac:dyDescent="0.35">
      <c r="A2854" s="2" t="s">
        <v>59</v>
      </c>
      <c r="B2854" s="2" t="s">
        <v>60</v>
      </c>
      <c r="C2854" s="2" t="s">
        <v>28296</v>
      </c>
      <c r="D2854" s="2" t="s">
        <v>28297</v>
      </c>
      <c r="E2854" s="2" t="s">
        <v>28298</v>
      </c>
      <c r="G2854" s="3" t="s">
        <v>65</v>
      </c>
      <c r="I2854" s="3" t="s">
        <v>209</v>
      </c>
      <c r="J2854" s="3" t="s">
        <v>65</v>
      </c>
      <c r="K2854" s="3" t="s">
        <v>66</v>
      </c>
      <c r="L2854" s="2" t="s">
        <v>613</v>
      </c>
      <c r="M2854" s="2" t="s">
        <v>28299</v>
      </c>
      <c r="N2854" s="3" t="s">
        <v>552</v>
      </c>
      <c r="P2854" s="3" t="s">
        <v>69</v>
      </c>
      <c r="R2854" s="3" t="s">
        <v>71</v>
      </c>
      <c r="S2854" s="4">
        <v>3</v>
      </c>
      <c r="T2854" s="4">
        <v>8</v>
      </c>
      <c r="U2854" s="5" t="s">
        <v>28300</v>
      </c>
      <c r="V2854" s="5" t="s">
        <v>28300</v>
      </c>
      <c r="W2854" s="5" t="s">
        <v>72</v>
      </c>
      <c r="X2854" s="5" t="s">
        <v>72</v>
      </c>
      <c r="Y2854" s="4">
        <v>287</v>
      </c>
      <c r="Z2854" s="4">
        <v>16</v>
      </c>
      <c r="AA2854" s="4">
        <v>17</v>
      </c>
      <c r="AB2854" s="4">
        <v>1</v>
      </c>
      <c r="AC2854" s="4">
        <v>1</v>
      </c>
      <c r="AD2854" s="4">
        <v>92</v>
      </c>
      <c r="AE2854" s="4">
        <v>94</v>
      </c>
      <c r="AF2854" s="4">
        <v>0</v>
      </c>
      <c r="AG2854" s="4">
        <v>0</v>
      </c>
      <c r="AH2854" s="4">
        <v>88</v>
      </c>
      <c r="AI2854" s="4">
        <v>89</v>
      </c>
      <c r="AJ2854" s="4">
        <v>10</v>
      </c>
      <c r="AK2854" s="4">
        <v>11</v>
      </c>
      <c r="AL2854" s="4">
        <v>50</v>
      </c>
      <c r="AM2854" s="4">
        <v>51</v>
      </c>
      <c r="AN2854" s="4">
        <v>0</v>
      </c>
      <c r="AO2854" s="4">
        <v>0</v>
      </c>
      <c r="AP2854" s="4">
        <v>10</v>
      </c>
      <c r="AQ2854" s="4">
        <v>11</v>
      </c>
      <c r="AR2854" s="3" t="s">
        <v>65</v>
      </c>
      <c r="AS2854" s="3" t="s">
        <v>65</v>
      </c>
      <c r="AT2854" s="3" t="s">
        <v>209</v>
      </c>
      <c r="AU2854" s="6" t="str">
        <f>HYPERLINK("http://catalog.hathitrust.org/Record/003155904","HathiTrust Record")</f>
        <v>HathiTrust Record</v>
      </c>
      <c r="AV2854" s="6" t="str">
        <f>HYPERLINK("http://mcgill.on.worldcat.org/oclc/35095830","Catalog Record")</f>
        <v>Catalog Record</v>
      </c>
      <c r="AW2854" s="6" t="str">
        <f>HYPERLINK("http://www.worldcat.org/oclc/35095830","WorldCat Record")</f>
        <v>WorldCat Record</v>
      </c>
      <c r="AX2854" s="3" t="s">
        <v>28301</v>
      </c>
      <c r="AY2854" s="3" t="s">
        <v>28302</v>
      </c>
      <c r="AZ2854" s="3" t="s">
        <v>28303</v>
      </c>
      <c r="BA2854" s="3" t="s">
        <v>28303</v>
      </c>
      <c r="BB2854" s="3" t="s">
        <v>28310</v>
      </c>
      <c r="BC2854" s="3" t="s">
        <v>77</v>
      </c>
      <c r="BD2854" s="3" t="s">
        <v>78</v>
      </c>
      <c r="BE2854" s="3" t="s">
        <v>28305</v>
      </c>
      <c r="BF2854" s="3" t="s">
        <v>28310</v>
      </c>
      <c r="BG2854" s="3" t="s">
        <v>28311</v>
      </c>
    </row>
    <row r="2855" spans="1:59" ht="58" x14ac:dyDescent="0.35">
      <c r="A2855" s="2" t="s">
        <v>59</v>
      </c>
      <c r="B2855" s="2" t="s">
        <v>60</v>
      </c>
      <c r="C2855" s="2" t="s">
        <v>28312</v>
      </c>
      <c r="D2855" s="2" t="s">
        <v>28313</v>
      </c>
      <c r="E2855" s="2" t="s">
        <v>28314</v>
      </c>
      <c r="G2855" s="3" t="s">
        <v>65</v>
      </c>
      <c r="I2855" s="3" t="s">
        <v>65</v>
      </c>
      <c r="J2855" s="3" t="s">
        <v>65</v>
      </c>
      <c r="K2855" s="3" t="s">
        <v>66</v>
      </c>
      <c r="M2855" s="2" t="s">
        <v>28315</v>
      </c>
      <c r="N2855" s="3" t="s">
        <v>1032</v>
      </c>
      <c r="P2855" s="3" t="s">
        <v>140</v>
      </c>
      <c r="Q2855" s="2" t="s">
        <v>28316</v>
      </c>
      <c r="R2855" s="3" t="s">
        <v>71</v>
      </c>
      <c r="S2855" s="4">
        <v>6</v>
      </c>
      <c r="T2855" s="4">
        <v>6</v>
      </c>
      <c r="U2855" s="5" t="s">
        <v>4056</v>
      </c>
      <c r="V2855" s="5" t="s">
        <v>4056</v>
      </c>
      <c r="W2855" s="5" t="s">
        <v>72</v>
      </c>
      <c r="X2855" s="5" t="s">
        <v>72</v>
      </c>
      <c r="Y2855" s="4">
        <v>102</v>
      </c>
      <c r="Z2855" s="4">
        <v>7</v>
      </c>
      <c r="AA2855" s="4">
        <v>7</v>
      </c>
      <c r="AB2855" s="4">
        <v>1</v>
      </c>
      <c r="AC2855" s="4">
        <v>1</v>
      </c>
      <c r="AD2855" s="4">
        <v>50</v>
      </c>
      <c r="AE2855" s="4">
        <v>50</v>
      </c>
      <c r="AF2855" s="4">
        <v>0</v>
      </c>
      <c r="AG2855" s="4">
        <v>0</v>
      </c>
      <c r="AH2855" s="4">
        <v>48</v>
      </c>
      <c r="AI2855" s="4">
        <v>48</v>
      </c>
      <c r="AJ2855" s="4">
        <v>5</v>
      </c>
      <c r="AK2855" s="4">
        <v>5</v>
      </c>
      <c r="AL2855" s="4">
        <v>36</v>
      </c>
      <c r="AM2855" s="4">
        <v>36</v>
      </c>
      <c r="AN2855" s="4">
        <v>0</v>
      </c>
      <c r="AO2855" s="4">
        <v>0</v>
      </c>
      <c r="AP2855" s="4">
        <v>5</v>
      </c>
      <c r="AQ2855" s="4">
        <v>5</v>
      </c>
      <c r="AR2855" s="3" t="s">
        <v>65</v>
      </c>
      <c r="AS2855" s="3" t="s">
        <v>65</v>
      </c>
      <c r="AT2855" s="3" t="s">
        <v>209</v>
      </c>
      <c r="AU2855" s="6" t="str">
        <f>HYPERLINK("http://catalog.hathitrust.org/Record/002993261","HathiTrust Record")</f>
        <v>HathiTrust Record</v>
      </c>
      <c r="AV2855" s="6" t="str">
        <f>HYPERLINK("http://mcgill.on.worldcat.org/oclc/32723170","Catalog Record")</f>
        <v>Catalog Record</v>
      </c>
      <c r="AW2855" s="6" t="str">
        <f>HYPERLINK("http://www.worldcat.org/oclc/32723170","WorldCat Record")</f>
        <v>WorldCat Record</v>
      </c>
      <c r="AX2855" s="3" t="s">
        <v>28317</v>
      </c>
      <c r="AY2855" s="3" t="s">
        <v>28318</v>
      </c>
      <c r="AZ2855" s="3" t="s">
        <v>28319</v>
      </c>
      <c r="BA2855" s="3" t="s">
        <v>28319</v>
      </c>
      <c r="BB2855" s="3" t="s">
        <v>28320</v>
      </c>
      <c r="BC2855" s="3" t="s">
        <v>77</v>
      </c>
      <c r="BD2855" s="3" t="s">
        <v>78</v>
      </c>
      <c r="BE2855" s="3" t="s">
        <v>28321</v>
      </c>
      <c r="BF2855" s="3" t="s">
        <v>28320</v>
      </c>
      <c r="BG2855" s="3" t="s">
        <v>28322</v>
      </c>
    </row>
    <row r="2856" spans="1:59" ht="72.5" x14ac:dyDescent="0.35">
      <c r="A2856" s="2" t="s">
        <v>59</v>
      </c>
      <c r="B2856" s="2" t="s">
        <v>60</v>
      </c>
      <c r="C2856" s="2" t="s">
        <v>28323</v>
      </c>
      <c r="D2856" s="2" t="s">
        <v>28324</v>
      </c>
      <c r="E2856" s="2" t="s">
        <v>28325</v>
      </c>
      <c r="G2856" s="3" t="s">
        <v>65</v>
      </c>
      <c r="I2856" s="3" t="s">
        <v>65</v>
      </c>
      <c r="J2856" s="3" t="s">
        <v>65</v>
      </c>
      <c r="K2856" s="3" t="s">
        <v>66</v>
      </c>
      <c r="L2856" s="2" t="s">
        <v>28326</v>
      </c>
      <c r="M2856" s="2" t="s">
        <v>28327</v>
      </c>
      <c r="N2856" s="3" t="s">
        <v>479</v>
      </c>
      <c r="O2856" s="2" t="s">
        <v>365</v>
      </c>
      <c r="P2856" s="3" t="s">
        <v>140</v>
      </c>
      <c r="Q2856" s="2" t="s">
        <v>28328</v>
      </c>
      <c r="R2856" s="3" t="s">
        <v>71</v>
      </c>
      <c r="S2856" s="4">
        <v>2</v>
      </c>
      <c r="T2856" s="4">
        <v>2</v>
      </c>
      <c r="U2856" s="5" t="s">
        <v>4056</v>
      </c>
      <c r="V2856" s="5" t="s">
        <v>4056</v>
      </c>
      <c r="W2856" s="5" t="s">
        <v>72</v>
      </c>
      <c r="X2856" s="5" t="s">
        <v>72</v>
      </c>
      <c r="Y2856" s="4">
        <v>46</v>
      </c>
      <c r="Z2856" s="4">
        <v>6</v>
      </c>
      <c r="AA2856" s="4">
        <v>6</v>
      </c>
      <c r="AB2856" s="4">
        <v>2</v>
      </c>
      <c r="AC2856" s="4">
        <v>2</v>
      </c>
      <c r="AD2856" s="4">
        <v>32</v>
      </c>
      <c r="AE2856" s="4">
        <v>32</v>
      </c>
      <c r="AF2856" s="4">
        <v>0</v>
      </c>
      <c r="AG2856" s="4">
        <v>0</v>
      </c>
      <c r="AH2856" s="4">
        <v>30</v>
      </c>
      <c r="AI2856" s="4">
        <v>30</v>
      </c>
      <c r="AJ2856" s="4">
        <v>2</v>
      </c>
      <c r="AK2856" s="4">
        <v>2</v>
      </c>
      <c r="AL2856" s="4">
        <v>24</v>
      </c>
      <c r="AM2856" s="4">
        <v>24</v>
      </c>
      <c r="AN2856" s="4">
        <v>0</v>
      </c>
      <c r="AO2856" s="4">
        <v>0</v>
      </c>
      <c r="AP2856" s="4">
        <v>3</v>
      </c>
      <c r="AQ2856" s="4">
        <v>3</v>
      </c>
      <c r="AR2856" s="3" t="s">
        <v>65</v>
      </c>
      <c r="AS2856" s="3" t="s">
        <v>65</v>
      </c>
      <c r="AT2856" s="3" t="s">
        <v>65</v>
      </c>
      <c r="AV2856" s="6" t="str">
        <f>HYPERLINK("http://mcgill.on.worldcat.org/oclc/298178933","Catalog Record")</f>
        <v>Catalog Record</v>
      </c>
      <c r="AW2856" s="6" t="str">
        <f>HYPERLINK("http://www.worldcat.org/oclc/298178933","WorldCat Record")</f>
        <v>WorldCat Record</v>
      </c>
      <c r="AX2856" s="3" t="s">
        <v>28329</v>
      </c>
      <c r="AY2856" s="3" t="s">
        <v>28330</v>
      </c>
      <c r="AZ2856" s="3" t="s">
        <v>28331</v>
      </c>
      <c r="BA2856" s="3" t="s">
        <v>28331</v>
      </c>
      <c r="BB2856" s="3" t="s">
        <v>28332</v>
      </c>
      <c r="BC2856" s="3" t="s">
        <v>77</v>
      </c>
      <c r="BD2856" s="3" t="s">
        <v>78</v>
      </c>
      <c r="BE2856" s="3" t="s">
        <v>28333</v>
      </c>
      <c r="BF2856" s="3" t="s">
        <v>28332</v>
      </c>
      <c r="BG2856" s="3" t="s">
        <v>28334</v>
      </c>
    </row>
    <row r="2857" spans="1:59" ht="72.5" x14ac:dyDescent="0.35">
      <c r="A2857" s="2" t="s">
        <v>59</v>
      </c>
      <c r="B2857" s="2" t="s">
        <v>60</v>
      </c>
      <c r="C2857" s="2" t="s">
        <v>28335</v>
      </c>
      <c r="D2857" s="2" t="s">
        <v>28336</v>
      </c>
      <c r="E2857" s="2" t="s">
        <v>28337</v>
      </c>
      <c r="G2857" s="3" t="s">
        <v>65</v>
      </c>
      <c r="I2857" s="3" t="s">
        <v>65</v>
      </c>
      <c r="J2857" s="3" t="s">
        <v>65</v>
      </c>
      <c r="K2857" s="3" t="s">
        <v>66</v>
      </c>
      <c r="L2857" s="2" t="s">
        <v>28338</v>
      </c>
      <c r="M2857" s="2" t="s">
        <v>25403</v>
      </c>
      <c r="N2857" s="3" t="s">
        <v>139</v>
      </c>
      <c r="P2857" s="3" t="s">
        <v>140</v>
      </c>
      <c r="Q2857" s="2" t="s">
        <v>28339</v>
      </c>
      <c r="R2857" s="3" t="s">
        <v>71</v>
      </c>
      <c r="S2857" s="4">
        <v>4</v>
      </c>
      <c r="T2857" s="4">
        <v>4</v>
      </c>
      <c r="U2857" s="5" t="s">
        <v>28340</v>
      </c>
      <c r="V2857" s="5" t="s">
        <v>28340</v>
      </c>
      <c r="W2857" s="5" t="s">
        <v>72</v>
      </c>
      <c r="X2857" s="5" t="s">
        <v>72</v>
      </c>
      <c r="Y2857" s="4">
        <v>44</v>
      </c>
      <c r="Z2857" s="4">
        <v>3</v>
      </c>
      <c r="AA2857" s="4">
        <v>3</v>
      </c>
      <c r="AB2857" s="4">
        <v>1</v>
      </c>
      <c r="AC2857" s="4">
        <v>1</v>
      </c>
      <c r="AD2857" s="4">
        <v>28</v>
      </c>
      <c r="AE2857" s="4">
        <v>30</v>
      </c>
      <c r="AF2857" s="4">
        <v>0</v>
      </c>
      <c r="AG2857" s="4">
        <v>0</v>
      </c>
      <c r="AH2857" s="4">
        <v>27</v>
      </c>
      <c r="AI2857" s="4">
        <v>29</v>
      </c>
      <c r="AJ2857" s="4">
        <v>1</v>
      </c>
      <c r="AK2857" s="4">
        <v>1</v>
      </c>
      <c r="AL2857" s="4">
        <v>24</v>
      </c>
      <c r="AM2857" s="4">
        <v>25</v>
      </c>
      <c r="AN2857" s="4">
        <v>0</v>
      </c>
      <c r="AO2857" s="4">
        <v>0</v>
      </c>
      <c r="AP2857" s="4">
        <v>1</v>
      </c>
      <c r="AQ2857" s="4">
        <v>1</v>
      </c>
      <c r="AR2857" s="3" t="s">
        <v>65</v>
      </c>
      <c r="AS2857" s="3" t="s">
        <v>65</v>
      </c>
      <c r="AT2857" s="3" t="s">
        <v>65</v>
      </c>
      <c r="AV2857" s="6" t="str">
        <f>HYPERLINK("http://mcgill.on.worldcat.org/oclc/807031745","Catalog Record")</f>
        <v>Catalog Record</v>
      </c>
      <c r="AW2857" s="6" t="str">
        <f>HYPERLINK("http://www.worldcat.org/oclc/807031745","WorldCat Record")</f>
        <v>WorldCat Record</v>
      </c>
      <c r="AX2857" s="3" t="s">
        <v>28341</v>
      </c>
      <c r="AY2857" s="3" t="s">
        <v>28342</v>
      </c>
      <c r="AZ2857" s="3" t="s">
        <v>28343</v>
      </c>
      <c r="BA2857" s="3" t="s">
        <v>28343</v>
      </c>
      <c r="BB2857" s="3" t="s">
        <v>28344</v>
      </c>
      <c r="BC2857" s="3" t="s">
        <v>77</v>
      </c>
      <c r="BD2857" s="3" t="s">
        <v>78</v>
      </c>
      <c r="BE2857" s="3" t="s">
        <v>28345</v>
      </c>
      <c r="BF2857" s="3" t="s">
        <v>28344</v>
      </c>
      <c r="BG2857" s="3" t="s">
        <v>28346</v>
      </c>
    </row>
    <row r="2858" spans="1:59" ht="58" x14ac:dyDescent="0.35">
      <c r="A2858" s="2" t="s">
        <v>59</v>
      </c>
      <c r="B2858" s="2" t="s">
        <v>60</v>
      </c>
      <c r="C2858" s="2" t="s">
        <v>28347</v>
      </c>
      <c r="D2858" s="2" t="s">
        <v>28348</v>
      </c>
      <c r="E2858" s="2" t="s">
        <v>28349</v>
      </c>
      <c r="G2858" s="3" t="s">
        <v>65</v>
      </c>
      <c r="I2858" s="3" t="s">
        <v>65</v>
      </c>
      <c r="J2858" s="3" t="s">
        <v>65</v>
      </c>
      <c r="K2858" s="3" t="s">
        <v>66</v>
      </c>
      <c r="L2858" s="2" t="s">
        <v>613</v>
      </c>
      <c r="M2858" s="2" t="s">
        <v>28350</v>
      </c>
      <c r="N2858" s="3" t="s">
        <v>5961</v>
      </c>
      <c r="P2858" s="3" t="s">
        <v>69</v>
      </c>
      <c r="R2858" s="3" t="s">
        <v>71</v>
      </c>
      <c r="S2858" s="4">
        <v>34</v>
      </c>
      <c r="T2858" s="4">
        <v>34</v>
      </c>
      <c r="U2858" s="5" t="s">
        <v>16664</v>
      </c>
      <c r="V2858" s="5" t="s">
        <v>16664</v>
      </c>
      <c r="W2858" s="5" t="s">
        <v>72</v>
      </c>
      <c r="X2858" s="5" t="s">
        <v>72</v>
      </c>
      <c r="Y2858" s="4">
        <v>162</v>
      </c>
      <c r="Z2858" s="4">
        <v>5</v>
      </c>
      <c r="AA2858" s="4">
        <v>25</v>
      </c>
      <c r="AB2858" s="4">
        <v>1</v>
      </c>
      <c r="AC2858" s="4">
        <v>4</v>
      </c>
      <c r="AD2858" s="4">
        <v>40</v>
      </c>
      <c r="AE2858" s="4">
        <v>103</v>
      </c>
      <c r="AF2858" s="4">
        <v>0</v>
      </c>
      <c r="AG2858" s="4">
        <v>2</v>
      </c>
      <c r="AH2858" s="4">
        <v>36</v>
      </c>
      <c r="AI2858" s="4">
        <v>91</v>
      </c>
      <c r="AJ2858" s="4">
        <v>1</v>
      </c>
      <c r="AK2858" s="4">
        <v>15</v>
      </c>
      <c r="AL2858" s="4">
        <v>22</v>
      </c>
      <c r="AM2858" s="4">
        <v>56</v>
      </c>
      <c r="AN2858" s="4">
        <v>0</v>
      </c>
      <c r="AO2858" s="4">
        <v>0</v>
      </c>
      <c r="AP2858" s="4">
        <v>2</v>
      </c>
      <c r="AQ2858" s="4">
        <v>18</v>
      </c>
      <c r="AR2858" s="3" t="s">
        <v>65</v>
      </c>
      <c r="AS2858" s="3" t="s">
        <v>65</v>
      </c>
      <c r="AT2858" s="3" t="s">
        <v>65</v>
      </c>
      <c r="AV2858" s="6" t="str">
        <f>HYPERLINK("http://mcgill.on.worldcat.org/oclc/19269739","Catalog Record")</f>
        <v>Catalog Record</v>
      </c>
      <c r="AW2858" s="6" t="str">
        <f>HYPERLINK("http://www.worldcat.org/oclc/19269739","WorldCat Record")</f>
        <v>WorldCat Record</v>
      </c>
      <c r="AX2858" s="3" t="s">
        <v>28351</v>
      </c>
      <c r="AY2858" s="3" t="s">
        <v>28352</v>
      </c>
      <c r="AZ2858" s="3" t="s">
        <v>28353</v>
      </c>
      <c r="BA2858" s="3" t="s">
        <v>28353</v>
      </c>
      <c r="BB2858" s="3" t="s">
        <v>28354</v>
      </c>
      <c r="BC2858" s="3" t="s">
        <v>77</v>
      </c>
      <c r="BD2858" s="3" t="s">
        <v>78</v>
      </c>
      <c r="BE2858" s="3" t="s">
        <v>28355</v>
      </c>
      <c r="BF2858" s="3" t="s">
        <v>28354</v>
      </c>
      <c r="BG2858" s="3" t="s">
        <v>28356</v>
      </c>
    </row>
    <row r="2859" spans="1:59" ht="58" x14ac:dyDescent="0.35">
      <c r="A2859" s="2" t="s">
        <v>59</v>
      </c>
      <c r="B2859" s="2" t="s">
        <v>60</v>
      </c>
      <c r="C2859" s="2" t="s">
        <v>28357</v>
      </c>
      <c r="D2859" s="2" t="s">
        <v>28358</v>
      </c>
      <c r="E2859" s="2" t="s">
        <v>28359</v>
      </c>
      <c r="G2859" s="3" t="s">
        <v>65</v>
      </c>
      <c r="I2859" s="3" t="s">
        <v>65</v>
      </c>
      <c r="J2859" s="3" t="s">
        <v>65</v>
      </c>
      <c r="K2859" s="3" t="s">
        <v>66</v>
      </c>
      <c r="L2859" s="2" t="s">
        <v>28158</v>
      </c>
      <c r="M2859" s="2" t="s">
        <v>28360</v>
      </c>
      <c r="N2859" s="3" t="s">
        <v>68</v>
      </c>
      <c r="P2859" s="3" t="s">
        <v>69</v>
      </c>
      <c r="R2859" s="3" t="s">
        <v>71</v>
      </c>
      <c r="S2859" s="4">
        <v>1</v>
      </c>
      <c r="T2859" s="4">
        <v>1</v>
      </c>
      <c r="U2859" s="5" t="s">
        <v>28192</v>
      </c>
      <c r="V2859" s="5" t="s">
        <v>28192</v>
      </c>
      <c r="W2859" s="5" t="s">
        <v>72</v>
      </c>
      <c r="X2859" s="5" t="s">
        <v>72</v>
      </c>
      <c r="Y2859" s="4">
        <v>146</v>
      </c>
      <c r="Z2859" s="4">
        <v>11</v>
      </c>
      <c r="AA2859" s="4">
        <v>13</v>
      </c>
      <c r="AB2859" s="4">
        <v>1</v>
      </c>
      <c r="AC2859" s="4">
        <v>3</v>
      </c>
      <c r="AD2859" s="4">
        <v>47</v>
      </c>
      <c r="AE2859" s="4">
        <v>48</v>
      </c>
      <c r="AF2859" s="4">
        <v>0</v>
      </c>
      <c r="AG2859" s="4">
        <v>0</v>
      </c>
      <c r="AH2859" s="4">
        <v>44</v>
      </c>
      <c r="AI2859" s="4">
        <v>45</v>
      </c>
      <c r="AJ2859" s="4">
        <v>6</v>
      </c>
      <c r="AK2859" s="4">
        <v>6</v>
      </c>
      <c r="AL2859" s="4">
        <v>32</v>
      </c>
      <c r="AM2859" s="4">
        <v>32</v>
      </c>
      <c r="AN2859" s="4">
        <v>0</v>
      </c>
      <c r="AO2859" s="4">
        <v>0</v>
      </c>
      <c r="AP2859" s="4">
        <v>6</v>
      </c>
      <c r="AQ2859" s="4">
        <v>6</v>
      </c>
      <c r="AR2859" s="3" t="s">
        <v>65</v>
      </c>
      <c r="AS2859" s="3" t="s">
        <v>65</v>
      </c>
      <c r="AT2859" s="3" t="s">
        <v>65</v>
      </c>
      <c r="AV2859" s="6" t="str">
        <f>HYPERLINK("http://mcgill.on.worldcat.org/oclc/911171821","Catalog Record")</f>
        <v>Catalog Record</v>
      </c>
      <c r="AW2859" s="6" t="str">
        <f>HYPERLINK("http://www.worldcat.org/oclc/911171821","WorldCat Record")</f>
        <v>WorldCat Record</v>
      </c>
      <c r="AX2859" s="3" t="s">
        <v>28361</v>
      </c>
      <c r="AY2859" s="3" t="s">
        <v>28362</v>
      </c>
      <c r="AZ2859" s="3" t="s">
        <v>28363</v>
      </c>
      <c r="BA2859" s="3" t="s">
        <v>28363</v>
      </c>
      <c r="BB2859" s="3" t="s">
        <v>28364</v>
      </c>
      <c r="BC2859" s="3" t="s">
        <v>77</v>
      </c>
      <c r="BD2859" s="3" t="s">
        <v>78</v>
      </c>
      <c r="BE2859" s="3" t="s">
        <v>28365</v>
      </c>
      <c r="BF2859" s="3" t="s">
        <v>28364</v>
      </c>
      <c r="BG2859" s="3" t="s">
        <v>28366</v>
      </c>
    </row>
    <row r="2860" spans="1:59" ht="58" x14ac:dyDescent="0.35">
      <c r="A2860" s="2" t="s">
        <v>59</v>
      </c>
      <c r="B2860" s="2" t="s">
        <v>60</v>
      </c>
      <c r="C2860" s="2" t="s">
        <v>28367</v>
      </c>
      <c r="D2860" s="2" t="s">
        <v>28368</v>
      </c>
      <c r="E2860" s="2" t="s">
        <v>28369</v>
      </c>
      <c r="G2860" s="3" t="s">
        <v>65</v>
      </c>
      <c r="I2860" s="3" t="s">
        <v>65</v>
      </c>
      <c r="J2860" s="3" t="s">
        <v>65</v>
      </c>
      <c r="K2860" s="3" t="s">
        <v>66</v>
      </c>
      <c r="L2860" s="2" t="s">
        <v>28158</v>
      </c>
      <c r="M2860" s="2" t="s">
        <v>28370</v>
      </c>
      <c r="N2860" s="3" t="s">
        <v>2750</v>
      </c>
      <c r="O2860" s="2" t="s">
        <v>28371</v>
      </c>
      <c r="P2860" s="3" t="s">
        <v>140</v>
      </c>
      <c r="Q2860" s="2" t="s">
        <v>28372</v>
      </c>
      <c r="R2860" s="3" t="s">
        <v>71</v>
      </c>
      <c r="S2860" s="4">
        <v>10</v>
      </c>
      <c r="T2860" s="4">
        <v>10</v>
      </c>
      <c r="U2860" s="5" t="s">
        <v>8542</v>
      </c>
      <c r="V2860" s="5" t="s">
        <v>8542</v>
      </c>
      <c r="W2860" s="5" t="s">
        <v>72</v>
      </c>
      <c r="X2860" s="5" t="s">
        <v>72</v>
      </c>
      <c r="Y2860" s="4">
        <v>97</v>
      </c>
      <c r="Z2860" s="4">
        <v>10</v>
      </c>
      <c r="AA2860" s="4">
        <v>22</v>
      </c>
      <c r="AB2860" s="4">
        <v>1</v>
      </c>
      <c r="AC2860" s="4">
        <v>3</v>
      </c>
      <c r="AD2860" s="4">
        <v>48</v>
      </c>
      <c r="AE2860" s="4">
        <v>85</v>
      </c>
      <c r="AF2860" s="4">
        <v>0</v>
      </c>
      <c r="AG2860" s="4">
        <v>2</v>
      </c>
      <c r="AH2860" s="4">
        <v>43</v>
      </c>
      <c r="AI2860" s="4">
        <v>77</v>
      </c>
      <c r="AJ2860" s="4">
        <v>8</v>
      </c>
      <c r="AK2860" s="4">
        <v>16</v>
      </c>
      <c r="AL2860" s="4">
        <v>30</v>
      </c>
      <c r="AM2860" s="4">
        <v>49</v>
      </c>
      <c r="AN2860" s="4">
        <v>0</v>
      </c>
      <c r="AO2860" s="4">
        <v>0</v>
      </c>
      <c r="AP2860" s="4">
        <v>8</v>
      </c>
      <c r="AQ2860" s="4">
        <v>15</v>
      </c>
      <c r="AR2860" s="3" t="s">
        <v>65</v>
      </c>
      <c r="AS2860" s="3" t="s">
        <v>65</v>
      </c>
      <c r="AT2860" s="3" t="s">
        <v>65</v>
      </c>
      <c r="AV2860" s="6" t="str">
        <f>HYPERLINK("http://mcgill.on.worldcat.org/oclc/1857187","Catalog Record")</f>
        <v>Catalog Record</v>
      </c>
      <c r="AW2860" s="6" t="str">
        <f>HYPERLINK("http://www.worldcat.org/oclc/1857187","WorldCat Record")</f>
        <v>WorldCat Record</v>
      </c>
      <c r="AX2860" s="3" t="s">
        <v>28373</v>
      </c>
      <c r="AY2860" s="3" t="s">
        <v>28374</v>
      </c>
      <c r="AZ2860" s="3" t="s">
        <v>28375</v>
      </c>
      <c r="BA2860" s="3" t="s">
        <v>28375</v>
      </c>
      <c r="BB2860" s="3" t="s">
        <v>28376</v>
      </c>
      <c r="BC2860" s="3" t="s">
        <v>77</v>
      </c>
      <c r="BD2860" s="3" t="s">
        <v>78</v>
      </c>
      <c r="BF2860" s="3" t="s">
        <v>28376</v>
      </c>
      <c r="BG2860" s="3" t="s">
        <v>28377</v>
      </c>
    </row>
    <row r="2861" spans="1:59" ht="58" x14ac:dyDescent="0.35">
      <c r="A2861" s="2" t="s">
        <v>59</v>
      </c>
      <c r="B2861" s="2" t="s">
        <v>60</v>
      </c>
      <c r="C2861" s="2" t="s">
        <v>28378</v>
      </c>
      <c r="D2861" s="2" t="s">
        <v>28379</v>
      </c>
      <c r="E2861" s="2" t="s">
        <v>28380</v>
      </c>
      <c r="G2861" s="3" t="s">
        <v>65</v>
      </c>
      <c r="I2861" s="3" t="s">
        <v>65</v>
      </c>
      <c r="J2861" s="3" t="s">
        <v>65</v>
      </c>
      <c r="K2861" s="3" t="s">
        <v>66</v>
      </c>
      <c r="L2861" s="2" t="s">
        <v>613</v>
      </c>
      <c r="M2861" s="2" t="s">
        <v>28381</v>
      </c>
      <c r="N2861" s="3" t="s">
        <v>4688</v>
      </c>
      <c r="P2861" s="3" t="s">
        <v>140</v>
      </c>
      <c r="R2861" s="3" t="s">
        <v>71</v>
      </c>
      <c r="S2861" s="4">
        <v>1</v>
      </c>
      <c r="T2861" s="4">
        <v>1</v>
      </c>
      <c r="U2861" s="5" t="s">
        <v>3437</v>
      </c>
      <c r="V2861" s="5" t="s">
        <v>3437</v>
      </c>
      <c r="W2861" s="5" t="s">
        <v>72</v>
      </c>
      <c r="X2861" s="5" t="s">
        <v>72</v>
      </c>
      <c r="Y2861" s="4">
        <v>53</v>
      </c>
      <c r="Z2861" s="4">
        <v>3</v>
      </c>
      <c r="AA2861" s="4">
        <v>3</v>
      </c>
      <c r="AB2861" s="4">
        <v>2</v>
      </c>
      <c r="AC2861" s="4">
        <v>2</v>
      </c>
      <c r="AD2861" s="4">
        <v>34</v>
      </c>
      <c r="AE2861" s="4">
        <v>34</v>
      </c>
      <c r="AF2861" s="4">
        <v>0</v>
      </c>
      <c r="AG2861" s="4">
        <v>0</v>
      </c>
      <c r="AH2861" s="4">
        <v>32</v>
      </c>
      <c r="AI2861" s="4">
        <v>32</v>
      </c>
      <c r="AJ2861" s="4">
        <v>1</v>
      </c>
      <c r="AK2861" s="4">
        <v>1</v>
      </c>
      <c r="AL2861" s="4">
        <v>24</v>
      </c>
      <c r="AM2861" s="4">
        <v>24</v>
      </c>
      <c r="AN2861" s="4">
        <v>0</v>
      </c>
      <c r="AO2861" s="4">
        <v>0</v>
      </c>
      <c r="AP2861" s="4">
        <v>1</v>
      </c>
      <c r="AQ2861" s="4">
        <v>1</v>
      </c>
      <c r="AR2861" s="3" t="s">
        <v>65</v>
      </c>
      <c r="AS2861" s="3" t="s">
        <v>65</v>
      </c>
      <c r="AT2861" s="3" t="s">
        <v>209</v>
      </c>
      <c r="AU2861" s="6" t="str">
        <f>HYPERLINK("http://catalog.hathitrust.org/Record/000441440","HathiTrust Record")</f>
        <v>HathiTrust Record</v>
      </c>
      <c r="AV2861" s="6" t="str">
        <f>HYPERLINK("http://mcgill.on.worldcat.org/oclc/14371248","Catalog Record")</f>
        <v>Catalog Record</v>
      </c>
      <c r="AW2861" s="6" t="str">
        <f>HYPERLINK("http://www.worldcat.org/oclc/14371248","WorldCat Record")</f>
        <v>WorldCat Record</v>
      </c>
      <c r="AX2861" s="3" t="s">
        <v>28382</v>
      </c>
      <c r="AY2861" s="3" t="s">
        <v>28383</v>
      </c>
      <c r="AZ2861" s="3" t="s">
        <v>28384</v>
      </c>
      <c r="BA2861" s="3" t="s">
        <v>28384</v>
      </c>
      <c r="BB2861" s="3" t="s">
        <v>28385</v>
      </c>
      <c r="BC2861" s="3" t="s">
        <v>77</v>
      </c>
      <c r="BD2861" s="3" t="s">
        <v>78</v>
      </c>
      <c r="BF2861" s="3" t="s">
        <v>28385</v>
      </c>
      <c r="BG2861" s="3" t="s">
        <v>28386</v>
      </c>
    </row>
    <row r="2862" spans="1:59" ht="58" x14ac:dyDescent="0.35">
      <c r="A2862" s="2" t="s">
        <v>59</v>
      </c>
      <c r="B2862" s="2" t="s">
        <v>60</v>
      </c>
      <c r="C2862" s="2" t="s">
        <v>28387</v>
      </c>
      <c r="D2862" s="2" t="s">
        <v>28388</v>
      </c>
      <c r="E2862" s="2" t="s">
        <v>28389</v>
      </c>
      <c r="G2862" s="3" t="s">
        <v>65</v>
      </c>
      <c r="I2862" s="3" t="s">
        <v>65</v>
      </c>
      <c r="J2862" s="3" t="s">
        <v>65</v>
      </c>
      <c r="K2862" s="3" t="s">
        <v>66</v>
      </c>
      <c r="L2862" s="2" t="s">
        <v>613</v>
      </c>
      <c r="M2862" s="2" t="s">
        <v>28390</v>
      </c>
      <c r="N2862" s="3" t="s">
        <v>2460</v>
      </c>
      <c r="P2862" s="3" t="s">
        <v>69</v>
      </c>
      <c r="Q2862" s="2" t="s">
        <v>28391</v>
      </c>
      <c r="R2862" s="3" t="s">
        <v>71</v>
      </c>
      <c r="S2862" s="4">
        <v>11</v>
      </c>
      <c r="T2862" s="4">
        <v>11</v>
      </c>
      <c r="U2862" s="5" t="s">
        <v>28192</v>
      </c>
      <c r="V2862" s="5" t="s">
        <v>28192</v>
      </c>
      <c r="W2862" s="5" t="s">
        <v>72</v>
      </c>
      <c r="X2862" s="5" t="s">
        <v>72</v>
      </c>
      <c r="Y2862" s="4">
        <v>117</v>
      </c>
      <c r="Z2862" s="4">
        <v>10</v>
      </c>
      <c r="AA2862" s="4">
        <v>10</v>
      </c>
      <c r="AB2862" s="4">
        <v>1</v>
      </c>
      <c r="AC2862" s="4">
        <v>1</v>
      </c>
      <c r="AD2862" s="4">
        <v>55</v>
      </c>
      <c r="AE2862" s="4">
        <v>55</v>
      </c>
      <c r="AF2862" s="4">
        <v>0</v>
      </c>
      <c r="AG2862" s="4">
        <v>0</v>
      </c>
      <c r="AH2862" s="4">
        <v>52</v>
      </c>
      <c r="AI2862" s="4">
        <v>52</v>
      </c>
      <c r="AJ2862" s="4">
        <v>7</v>
      </c>
      <c r="AK2862" s="4">
        <v>7</v>
      </c>
      <c r="AL2862" s="4">
        <v>33</v>
      </c>
      <c r="AM2862" s="4">
        <v>33</v>
      </c>
      <c r="AN2862" s="4">
        <v>0</v>
      </c>
      <c r="AO2862" s="4">
        <v>0</v>
      </c>
      <c r="AP2862" s="4">
        <v>7</v>
      </c>
      <c r="AQ2862" s="4">
        <v>7</v>
      </c>
      <c r="AR2862" s="3" t="s">
        <v>65</v>
      </c>
      <c r="AS2862" s="3" t="s">
        <v>65</v>
      </c>
      <c r="AT2862" s="3" t="s">
        <v>209</v>
      </c>
      <c r="AU2862" s="6" t="str">
        <f>HYPERLINK("http://catalog.hathitrust.org/Record/001082894","HathiTrust Record")</f>
        <v>HathiTrust Record</v>
      </c>
      <c r="AV2862" s="6" t="str">
        <f>HYPERLINK("http://mcgill.on.worldcat.org/oclc/59251228","Catalog Record")</f>
        <v>Catalog Record</v>
      </c>
      <c r="AW2862" s="6" t="str">
        <f>HYPERLINK("http://www.worldcat.org/oclc/59251228","WorldCat Record")</f>
        <v>WorldCat Record</v>
      </c>
      <c r="AX2862" s="3" t="s">
        <v>28392</v>
      </c>
      <c r="AY2862" s="3" t="s">
        <v>28393</v>
      </c>
      <c r="AZ2862" s="3" t="s">
        <v>28394</v>
      </c>
      <c r="BA2862" s="3" t="s">
        <v>28394</v>
      </c>
      <c r="BB2862" s="3" t="s">
        <v>28395</v>
      </c>
      <c r="BC2862" s="3" t="s">
        <v>77</v>
      </c>
      <c r="BD2862" s="3" t="s">
        <v>78</v>
      </c>
      <c r="BE2862" s="3" t="s">
        <v>28396</v>
      </c>
      <c r="BF2862" s="3" t="s">
        <v>28395</v>
      </c>
      <c r="BG2862" s="3" t="s">
        <v>28397</v>
      </c>
    </row>
    <row r="2863" spans="1:59" ht="58" x14ac:dyDescent="0.35">
      <c r="A2863" s="2" t="s">
        <v>59</v>
      </c>
      <c r="B2863" s="2" t="s">
        <v>60</v>
      </c>
      <c r="C2863" s="2" t="s">
        <v>28398</v>
      </c>
      <c r="D2863" s="2" t="s">
        <v>28399</v>
      </c>
      <c r="E2863" s="2" t="s">
        <v>28400</v>
      </c>
      <c r="G2863" s="3" t="s">
        <v>65</v>
      </c>
      <c r="I2863" s="3" t="s">
        <v>65</v>
      </c>
      <c r="J2863" s="3" t="s">
        <v>65</v>
      </c>
      <c r="K2863" s="3" t="s">
        <v>66</v>
      </c>
      <c r="L2863" s="2" t="s">
        <v>613</v>
      </c>
      <c r="M2863" s="2" t="s">
        <v>28401</v>
      </c>
      <c r="N2863" s="3" t="s">
        <v>3994</v>
      </c>
      <c r="P2863" s="3" t="s">
        <v>140</v>
      </c>
      <c r="R2863" s="3" t="s">
        <v>71</v>
      </c>
      <c r="S2863" s="4">
        <v>7</v>
      </c>
      <c r="T2863" s="4">
        <v>7</v>
      </c>
      <c r="U2863" s="5" t="s">
        <v>9140</v>
      </c>
      <c r="V2863" s="5" t="s">
        <v>9140</v>
      </c>
      <c r="W2863" s="5" t="s">
        <v>72</v>
      </c>
      <c r="X2863" s="5" t="s">
        <v>72</v>
      </c>
      <c r="Y2863" s="4">
        <v>107</v>
      </c>
      <c r="Z2863" s="4">
        <v>6</v>
      </c>
      <c r="AA2863" s="4">
        <v>16</v>
      </c>
      <c r="AB2863" s="4">
        <v>1</v>
      </c>
      <c r="AC2863" s="4">
        <v>2</v>
      </c>
      <c r="AD2863" s="4">
        <v>49</v>
      </c>
      <c r="AE2863" s="4">
        <v>73</v>
      </c>
      <c r="AF2863" s="4">
        <v>0</v>
      </c>
      <c r="AG2863" s="4">
        <v>1</v>
      </c>
      <c r="AH2863" s="4">
        <v>46</v>
      </c>
      <c r="AI2863" s="4">
        <v>66</v>
      </c>
      <c r="AJ2863" s="4">
        <v>4</v>
      </c>
      <c r="AK2863" s="4">
        <v>11</v>
      </c>
      <c r="AL2863" s="4">
        <v>32</v>
      </c>
      <c r="AM2863" s="4">
        <v>44</v>
      </c>
      <c r="AN2863" s="4">
        <v>0</v>
      </c>
      <c r="AO2863" s="4">
        <v>0</v>
      </c>
      <c r="AP2863" s="4">
        <v>4</v>
      </c>
      <c r="AQ2863" s="4">
        <v>11</v>
      </c>
      <c r="AR2863" s="3" t="s">
        <v>65</v>
      </c>
      <c r="AS2863" s="3" t="s">
        <v>65</v>
      </c>
      <c r="AT2863" s="3" t="s">
        <v>209</v>
      </c>
      <c r="AU2863" s="6" t="str">
        <f>HYPERLINK("http://catalog.hathitrust.org/Record/001219633","HathiTrust Record")</f>
        <v>HathiTrust Record</v>
      </c>
      <c r="AV2863" s="6" t="str">
        <f>HYPERLINK("http://mcgill.on.worldcat.org/oclc/6464074","Catalog Record")</f>
        <v>Catalog Record</v>
      </c>
      <c r="AW2863" s="6" t="str">
        <f>HYPERLINK("http://www.worldcat.org/oclc/6464074","WorldCat Record")</f>
        <v>WorldCat Record</v>
      </c>
      <c r="AX2863" s="3" t="s">
        <v>28402</v>
      </c>
      <c r="AY2863" s="3" t="s">
        <v>28403</v>
      </c>
      <c r="AZ2863" s="3" t="s">
        <v>28404</v>
      </c>
      <c r="BA2863" s="3" t="s">
        <v>28404</v>
      </c>
      <c r="BB2863" s="3" t="s">
        <v>28405</v>
      </c>
      <c r="BC2863" s="3" t="s">
        <v>77</v>
      </c>
      <c r="BD2863" s="3" t="s">
        <v>106</v>
      </c>
      <c r="BF2863" s="3" t="s">
        <v>28405</v>
      </c>
      <c r="BG2863" s="3" t="s">
        <v>28406</v>
      </c>
    </row>
    <row r="2864" spans="1:59" ht="58" x14ac:dyDescent="0.35">
      <c r="A2864" s="2" t="s">
        <v>59</v>
      </c>
      <c r="B2864" s="2" t="s">
        <v>60</v>
      </c>
      <c r="C2864" s="2" t="s">
        <v>28407</v>
      </c>
      <c r="D2864" s="2" t="s">
        <v>28408</v>
      </c>
      <c r="E2864" s="2" t="s">
        <v>28409</v>
      </c>
      <c r="G2864" s="3" t="s">
        <v>65</v>
      </c>
      <c r="I2864" s="3" t="s">
        <v>65</v>
      </c>
      <c r="J2864" s="3" t="s">
        <v>65</v>
      </c>
      <c r="K2864" s="3" t="s">
        <v>66</v>
      </c>
      <c r="L2864" s="2" t="s">
        <v>28410</v>
      </c>
      <c r="M2864" s="2" t="s">
        <v>28411</v>
      </c>
      <c r="N2864" s="3" t="s">
        <v>863</v>
      </c>
      <c r="O2864" s="2" t="s">
        <v>365</v>
      </c>
      <c r="P2864" s="3" t="s">
        <v>140</v>
      </c>
      <c r="Q2864" s="2" t="s">
        <v>28412</v>
      </c>
      <c r="R2864" s="3" t="s">
        <v>71</v>
      </c>
      <c r="S2864" s="4">
        <v>2</v>
      </c>
      <c r="T2864" s="4">
        <v>2</v>
      </c>
      <c r="U2864" s="5" t="s">
        <v>9140</v>
      </c>
      <c r="V2864" s="5" t="s">
        <v>9140</v>
      </c>
      <c r="W2864" s="5" t="s">
        <v>72</v>
      </c>
      <c r="X2864" s="5" t="s">
        <v>72</v>
      </c>
      <c r="Y2864" s="4">
        <v>51</v>
      </c>
      <c r="Z2864" s="4">
        <v>5</v>
      </c>
      <c r="AA2864" s="4">
        <v>5</v>
      </c>
      <c r="AB2864" s="4">
        <v>1</v>
      </c>
      <c r="AC2864" s="4">
        <v>1</v>
      </c>
      <c r="AD2864" s="4">
        <v>30</v>
      </c>
      <c r="AE2864" s="4">
        <v>30</v>
      </c>
      <c r="AF2864" s="4">
        <v>0</v>
      </c>
      <c r="AG2864" s="4">
        <v>0</v>
      </c>
      <c r="AH2864" s="4">
        <v>28</v>
      </c>
      <c r="AI2864" s="4">
        <v>28</v>
      </c>
      <c r="AJ2864" s="4">
        <v>3</v>
      </c>
      <c r="AK2864" s="4">
        <v>3</v>
      </c>
      <c r="AL2864" s="4">
        <v>23</v>
      </c>
      <c r="AM2864" s="4">
        <v>23</v>
      </c>
      <c r="AN2864" s="4">
        <v>0</v>
      </c>
      <c r="AO2864" s="4">
        <v>0</v>
      </c>
      <c r="AP2864" s="4">
        <v>3</v>
      </c>
      <c r="AQ2864" s="4">
        <v>3</v>
      </c>
      <c r="AR2864" s="3" t="s">
        <v>65</v>
      </c>
      <c r="AS2864" s="3" t="s">
        <v>65</v>
      </c>
      <c r="AT2864" s="3" t="s">
        <v>209</v>
      </c>
      <c r="AU2864" s="6" t="str">
        <f>HYPERLINK("http://catalog.hathitrust.org/Record/002889690","HathiTrust Record")</f>
        <v>HathiTrust Record</v>
      </c>
      <c r="AV2864" s="6" t="str">
        <f>HYPERLINK("http://mcgill.on.worldcat.org/oclc/30059139","Catalog Record")</f>
        <v>Catalog Record</v>
      </c>
      <c r="AW2864" s="6" t="str">
        <f>HYPERLINK("http://www.worldcat.org/oclc/30059139","WorldCat Record")</f>
        <v>WorldCat Record</v>
      </c>
      <c r="AX2864" s="3" t="s">
        <v>28413</v>
      </c>
      <c r="AY2864" s="3" t="s">
        <v>28414</v>
      </c>
      <c r="AZ2864" s="3" t="s">
        <v>28415</v>
      </c>
      <c r="BA2864" s="3" t="s">
        <v>28415</v>
      </c>
      <c r="BB2864" s="3" t="s">
        <v>28416</v>
      </c>
      <c r="BC2864" s="3" t="s">
        <v>77</v>
      </c>
      <c r="BD2864" s="3" t="s">
        <v>78</v>
      </c>
      <c r="BF2864" s="3" t="s">
        <v>28416</v>
      </c>
      <c r="BG2864" s="3" t="s">
        <v>28417</v>
      </c>
    </row>
    <row r="2865" spans="1:59" ht="58" x14ac:dyDescent="0.35">
      <c r="A2865" s="2" t="s">
        <v>59</v>
      </c>
      <c r="B2865" s="2" t="s">
        <v>60</v>
      </c>
      <c r="C2865" s="2" t="s">
        <v>28418</v>
      </c>
      <c r="D2865" s="2" t="s">
        <v>28419</v>
      </c>
      <c r="E2865" s="2" t="s">
        <v>28420</v>
      </c>
      <c r="G2865" s="3" t="s">
        <v>65</v>
      </c>
      <c r="I2865" s="3" t="s">
        <v>65</v>
      </c>
      <c r="J2865" s="3" t="s">
        <v>65</v>
      </c>
      <c r="K2865" s="3" t="s">
        <v>66</v>
      </c>
      <c r="L2865" s="2" t="s">
        <v>28421</v>
      </c>
      <c r="M2865" s="2" t="s">
        <v>28422</v>
      </c>
      <c r="N2865" s="3" t="s">
        <v>126</v>
      </c>
      <c r="P2865" s="3" t="s">
        <v>140</v>
      </c>
      <c r="R2865" s="3" t="s">
        <v>71</v>
      </c>
      <c r="S2865" s="4">
        <v>0</v>
      </c>
      <c r="T2865" s="4">
        <v>0</v>
      </c>
      <c r="W2865" s="5" t="s">
        <v>72</v>
      </c>
      <c r="X2865" s="5" t="s">
        <v>72</v>
      </c>
      <c r="Y2865" s="4">
        <v>41</v>
      </c>
      <c r="Z2865" s="4">
        <v>6</v>
      </c>
      <c r="AA2865" s="4">
        <v>6</v>
      </c>
      <c r="AB2865" s="4">
        <v>1</v>
      </c>
      <c r="AC2865" s="4">
        <v>1</v>
      </c>
      <c r="AD2865" s="4">
        <v>29</v>
      </c>
      <c r="AE2865" s="4">
        <v>29</v>
      </c>
      <c r="AF2865" s="4">
        <v>0</v>
      </c>
      <c r="AG2865" s="4">
        <v>0</v>
      </c>
      <c r="AH2865" s="4">
        <v>28</v>
      </c>
      <c r="AI2865" s="4">
        <v>28</v>
      </c>
      <c r="AJ2865" s="4">
        <v>3</v>
      </c>
      <c r="AK2865" s="4">
        <v>3</v>
      </c>
      <c r="AL2865" s="4">
        <v>21</v>
      </c>
      <c r="AM2865" s="4">
        <v>21</v>
      </c>
      <c r="AN2865" s="4">
        <v>0</v>
      </c>
      <c r="AO2865" s="4">
        <v>0</v>
      </c>
      <c r="AP2865" s="4">
        <v>3</v>
      </c>
      <c r="AQ2865" s="4">
        <v>3</v>
      </c>
      <c r="AR2865" s="3" t="s">
        <v>65</v>
      </c>
      <c r="AS2865" s="3" t="s">
        <v>65</v>
      </c>
      <c r="AT2865" s="3" t="s">
        <v>65</v>
      </c>
      <c r="AV2865" s="6" t="str">
        <f>HYPERLINK("http://mcgill.on.worldcat.org/oclc/727704493","Catalog Record")</f>
        <v>Catalog Record</v>
      </c>
      <c r="AW2865" s="6" t="str">
        <f>HYPERLINK("http://www.worldcat.org/oclc/727704493","WorldCat Record")</f>
        <v>WorldCat Record</v>
      </c>
      <c r="AX2865" s="3" t="s">
        <v>28423</v>
      </c>
      <c r="AY2865" s="3" t="s">
        <v>28424</v>
      </c>
      <c r="AZ2865" s="3" t="s">
        <v>28425</v>
      </c>
      <c r="BA2865" s="3" t="s">
        <v>28425</v>
      </c>
      <c r="BB2865" s="3" t="s">
        <v>28426</v>
      </c>
      <c r="BC2865" s="3" t="s">
        <v>77</v>
      </c>
      <c r="BD2865" s="3" t="s">
        <v>78</v>
      </c>
      <c r="BE2865" s="3" t="s">
        <v>28427</v>
      </c>
      <c r="BF2865" s="3" t="s">
        <v>28426</v>
      </c>
      <c r="BG2865" s="3" t="s">
        <v>28428</v>
      </c>
    </row>
    <row r="2866" spans="1:59" ht="58" x14ac:dyDescent="0.35">
      <c r="A2866" s="2" t="s">
        <v>59</v>
      </c>
      <c r="B2866" s="2" t="s">
        <v>60</v>
      </c>
      <c r="C2866" s="2" t="s">
        <v>28429</v>
      </c>
      <c r="D2866" s="2" t="s">
        <v>28430</v>
      </c>
      <c r="E2866" s="2" t="s">
        <v>28431</v>
      </c>
      <c r="G2866" s="3" t="s">
        <v>65</v>
      </c>
      <c r="I2866" s="3" t="s">
        <v>65</v>
      </c>
      <c r="J2866" s="3" t="s">
        <v>65</v>
      </c>
      <c r="K2866" s="3" t="s">
        <v>66</v>
      </c>
      <c r="L2866" s="2" t="s">
        <v>613</v>
      </c>
      <c r="M2866" s="2" t="s">
        <v>28432</v>
      </c>
      <c r="N2866" s="3" t="s">
        <v>3994</v>
      </c>
      <c r="P2866" s="3" t="s">
        <v>69</v>
      </c>
      <c r="R2866" s="3" t="s">
        <v>71</v>
      </c>
      <c r="S2866" s="4">
        <v>15</v>
      </c>
      <c r="T2866" s="4">
        <v>15</v>
      </c>
      <c r="U2866" s="5" t="s">
        <v>28433</v>
      </c>
      <c r="V2866" s="5" t="s">
        <v>28433</v>
      </c>
      <c r="W2866" s="5" t="s">
        <v>72</v>
      </c>
      <c r="X2866" s="5" t="s">
        <v>72</v>
      </c>
      <c r="Y2866" s="4">
        <v>77</v>
      </c>
      <c r="Z2866" s="4">
        <v>9</v>
      </c>
      <c r="AA2866" s="4">
        <v>27</v>
      </c>
      <c r="AB2866" s="4">
        <v>1</v>
      </c>
      <c r="AC2866" s="4">
        <v>4</v>
      </c>
      <c r="AD2866" s="4">
        <v>34</v>
      </c>
      <c r="AE2866" s="4">
        <v>106</v>
      </c>
      <c r="AF2866" s="4">
        <v>0</v>
      </c>
      <c r="AG2866" s="4">
        <v>2</v>
      </c>
      <c r="AH2866" s="4">
        <v>31</v>
      </c>
      <c r="AI2866" s="4">
        <v>94</v>
      </c>
      <c r="AJ2866" s="4">
        <v>6</v>
      </c>
      <c r="AK2866" s="4">
        <v>18</v>
      </c>
      <c r="AL2866" s="4">
        <v>22</v>
      </c>
      <c r="AM2866" s="4">
        <v>53</v>
      </c>
      <c r="AN2866" s="4">
        <v>0</v>
      </c>
      <c r="AO2866" s="4">
        <v>5</v>
      </c>
      <c r="AP2866" s="4">
        <v>6</v>
      </c>
      <c r="AQ2866" s="4">
        <v>22</v>
      </c>
      <c r="AR2866" s="3" t="s">
        <v>65</v>
      </c>
      <c r="AS2866" s="3" t="s">
        <v>65</v>
      </c>
      <c r="AT2866" s="3" t="s">
        <v>209</v>
      </c>
      <c r="AU2866" s="6" t="str">
        <f>HYPERLINK("http://catalog.hathitrust.org/Record/001219634","HathiTrust Record")</f>
        <v>HathiTrust Record</v>
      </c>
      <c r="AV2866" s="6" t="str">
        <f>HYPERLINK("http://mcgill.on.worldcat.org/oclc/458660","Catalog Record")</f>
        <v>Catalog Record</v>
      </c>
      <c r="AW2866" s="6" t="str">
        <f>HYPERLINK("http://www.worldcat.org/oclc/458660","WorldCat Record")</f>
        <v>WorldCat Record</v>
      </c>
      <c r="AX2866" s="3" t="s">
        <v>28434</v>
      </c>
      <c r="AY2866" s="3" t="s">
        <v>28435</v>
      </c>
      <c r="AZ2866" s="3" t="s">
        <v>28436</v>
      </c>
      <c r="BA2866" s="3" t="s">
        <v>28436</v>
      </c>
      <c r="BB2866" s="3" t="s">
        <v>28437</v>
      </c>
      <c r="BC2866" s="3" t="s">
        <v>77</v>
      </c>
      <c r="BD2866" s="3" t="s">
        <v>78</v>
      </c>
      <c r="BF2866" s="3" t="s">
        <v>28437</v>
      </c>
      <c r="BG2866" s="3" t="s">
        <v>28438</v>
      </c>
    </row>
    <row r="2867" spans="1:59" ht="58" x14ac:dyDescent="0.35">
      <c r="A2867" s="2" t="s">
        <v>59</v>
      </c>
      <c r="B2867" s="2" t="s">
        <v>60</v>
      </c>
      <c r="C2867" s="2" t="s">
        <v>28439</v>
      </c>
      <c r="D2867" s="2" t="s">
        <v>28440</v>
      </c>
      <c r="E2867" s="2" t="s">
        <v>28441</v>
      </c>
      <c r="G2867" s="3" t="s">
        <v>65</v>
      </c>
      <c r="I2867" s="3" t="s">
        <v>65</v>
      </c>
      <c r="J2867" s="3" t="s">
        <v>65</v>
      </c>
      <c r="K2867" s="3" t="s">
        <v>66</v>
      </c>
      <c r="L2867" s="2" t="s">
        <v>613</v>
      </c>
      <c r="M2867" s="2" t="s">
        <v>28442</v>
      </c>
      <c r="N2867" s="3" t="s">
        <v>176</v>
      </c>
      <c r="O2867" s="2" t="s">
        <v>28443</v>
      </c>
      <c r="P2867" s="3" t="s">
        <v>140</v>
      </c>
      <c r="R2867" s="3" t="s">
        <v>71</v>
      </c>
      <c r="S2867" s="4">
        <v>0</v>
      </c>
      <c r="T2867" s="4">
        <v>0</v>
      </c>
      <c r="W2867" s="5" t="s">
        <v>72</v>
      </c>
      <c r="X2867" s="5" t="s">
        <v>72</v>
      </c>
      <c r="Y2867" s="4">
        <v>4</v>
      </c>
      <c r="Z2867" s="4">
        <v>1</v>
      </c>
      <c r="AA2867" s="4">
        <v>2</v>
      </c>
      <c r="AB2867" s="4">
        <v>1</v>
      </c>
      <c r="AC2867" s="4">
        <v>1</v>
      </c>
      <c r="AD2867" s="4">
        <v>1</v>
      </c>
      <c r="AE2867" s="4">
        <v>2</v>
      </c>
      <c r="AF2867" s="4">
        <v>0</v>
      </c>
      <c r="AG2867" s="4">
        <v>0</v>
      </c>
      <c r="AH2867" s="4">
        <v>1</v>
      </c>
      <c r="AI2867" s="4">
        <v>2</v>
      </c>
      <c r="AJ2867" s="4">
        <v>0</v>
      </c>
      <c r="AK2867" s="4">
        <v>1</v>
      </c>
      <c r="AL2867" s="4">
        <v>1</v>
      </c>
      <c r="AM2867" s="4">
        <v>1</v>
      </c>
      <c r="AN2867" s="4">
        <v>0</v>
      </c>
      <c r="AO2867" s="4">
        <v>0</v>
      </c>
      <c r="AP2867" s="4">
        <v>0</v>
      </c>
      <c r="AQ2867" s="4">
        <v>1</v>
      </c>
      <c r="AR2867" s="3" t="s">
        <v>65</v>
      </c>
      <c r="AS2867" s="3" t="s">
        <v>65</v>
      </c>
      <c r="AT2867" s="3" t="s">
        <v>65</v>
      </c>
      <c r="AV2867" s="6" t="str">
        <f>HYPERLINK("http://mcgill.on.worldcat.org/oclc/905550962","Catalog Record")</f>
        <v>Catalog Record</v>
      </c>
      <c r="AW2867" s="6" t="str">
        <f>HYPERLINK("http://www.worldcat.org/oclc/905550962","WorldCat Record")</f>
        <v>WorldCat Record</v>
      </c>
      <c r="AX2867" s="3" t="s">
        <v>28444</v>
      </c>
      <c r="AY2867" s="3" t="s">
        <v>28445</v>
      </c>
      <c r="AZ2867" s="3" t="s">
        <v>28446</v>
      </c>
      <c r="BA2867" s="3" t="s">
        <v>28446</v>
      </c>
      <c r="BB2867" s="3" t="s">
        <v>28447</v>
      </c>
      <c r="BC2867" s="3" t="s">
        <v>77</v>
      </c>
      <c r="BD2867" s="3" t="s">
        <v>78</v>
      </c>
      <c r="BE2867" s="3" t="s">
        <v>28448</v>
      </c>
      <c r="BF2867" s="3" t="s">
        <v>28447</v>
      </c>
      <c r="BG2867" s="3" t="s">
        <v>28449</v>
      </c>
    </row>
    <row r="2868" spans="1:59" ht="58" x14ac:dyDescent="0.35">
      <c r="A2868" s="2" t="s">
        <v>59</v>
      </c>
      <c r="B2868" s="2" t="s">
        <v>60</v>
      </c>
      <c r="C2868" s="2" t="s">
        <v>28450</v>
      </c>
      <c r="D2868" s="2" t="s">
        <v>28451</v>
      </c>
      <c r="E2868" s="2" t="s">
        <v>28452</v>
      </c>
      <c r="G2868" s="3" t="s">
        <v>65</v>
      </c>
      <c r="I2868" s="3" t="s">
        <v>65</v>
      </c>
      <c r="J2868" s="3" t="s">
        <v>65</v>
      </c>
      <c r="K2868" s="3" t="s">
        <v>66</v>
      </c>
      <c r="L2868" s="2" t="s">
        <v>613</v>
      </c>
      <c r="M2868" s="2" t="s">
        <v>28453</v>
      </c>
      <c r="N2868" s="3" t="s">
        <v>2377</v>
      </c>
      <c r="O2868" s="2" t="s">
        <v>654</v>
      </c>
      <c r="P2868" s="3" t="s">
        <v>140</v>
      </c>
      <c r="Q2868" s="2" t="s">
        <v>28454</v>
      </c>
      <c r="R2868" s="3" t="s">
        <v>71</v>
      </c>
      <c r="S2868" s="4">
        <v>8</v>
      </c>
      <c r="T2868" s="4">
        <v>8</v>
      </c>
      <c r="U2868" s="5" t="s">
        <v>17444</v>
      </c>
      <c r="V2868" s="5" t="s">
        <v>17444</v>
      </c>
      <c r="W2868" s="5" t="s">
        <v>72</v>
      </c>
      <c r="X2868" s="5" t="s">
        <v>72</v>
      </c>
      <c r="Y2868" s="4">
        <v>24</v>
      </c>
      <c r="Z2868" s="4">
        <v>1</v>
      </c>
      <c r="AA2868" s="4">
        <v>5</v>
      </c>
      <c r="AB2868" s="4">
        <v>1</v>
      </c>
      <c r="AC2868" s="4">
        <v>1</v>
      </c>
      <c r="AD2868" s="4">
        <v>9</v>
      </c>
      <c r="AE2868" s="4">
        <v>48</v>
      </c>
      <c r="AF2868" s="4">
        <v>0</v>
      </c>
      <c r="AG2868" s="4">
        <v>0</v>
      </c>
      <c r="AH2868" s="4">
        <v>9</v>
      </c>
      <c r="AI2868" s="4">
        <v>47</v>
      </c>
      <c r="AJ2868" s="4">
        <v>0</v>
      </c>
      <c r="AK2868" s="4">
        <v>3</v>
      </c>
      <c r="AL2868" s="4">
        <v>8</v>
      </c>
      <c r="AM2868" s="4">
        <v>34</v>
      </c>
      <c r="AN2868" s="4">
        <v>0</v>
      </c>
      <c r="AO2868" s="4">
        <v>0</v>
      </c>
      <c r="AP2868" s="4">
        <v>0</v>
      </c>
      <c r="AQ2868" s="4">
        <v>3</v>
      </c>
      <c r="AR2868" s="3" t="s">
        <v>65</v>
      </c>
      <c r="AS2868" s="3" t="s">
        <v>65</v>
      </c>
      <c r="AT2868" s="3" t="s">
        <v>209</v>
      </c>
      <c r="AU2868" s="6" t="str">
        <f>HYPERLINK("http://catalog.hathitrust.org/Record/007964325","HathiTrust Record")</f>
        <v>HathiTrust Record</v>
      </c>
      <c r="AV2868" s="6" t="str">
        <f>HYPERLINK("http://mcgill.on.worldcat.org/oclc/22534895","Catalog Record")</f>
        <v>Catalog Record</v>
      </c>
      <c r="AW2868" s="6" t="str">
        <f>HYPERLINK("http://www.worldcat.org/oclc/22534895","WorldCat Record")</f>
        <v>WorldCat Record</v>
      </c>
      <c r="AX2868" s="3" t="s">
        <v>28455</v>
      </c>
      <c r="AY2868" s="3" t="s">
        <v>28456</v>
      </c>
      <c r="AZ2868" s="3" t="s">
        <v>28457</v>
      </c>
      <c r="BA2868" s="3" t="s">
        <v>28457</v>
      </c>
      <c r="BB2868" s="3" t="s">
        <v>28458</v>
      </c>
      <c r="BC2868" s="3" t="s">
        <v>77</v>
      </c>
      <c r="BD2868" s="3" t="s">
        <v>78</v>
      </c>
      <c r="BE2868" s="3" t="s">
        <v>28459</v>
      </c>
      <c r="BF2868" s="3" t="s">
        <v>28458</v>
      </c>
      <c r="BG2868" s="3" t="s">
        <v>28460</v>
      </c>
    </row>
    <row r="2869" spans="1:59" ht="58" x14ac:dyDescent="0.35">
      <c r="A2869" s="2" t="s">
        <v>59</v>
      </c>
      <c r="B2869" s="2" t="s">
        <v>60</v>
      </c>
      <c r="C2869" s="2" t="s">
        <v>28461</v>
      </c>
      <c r="D2869" s="2" t="s">
        <v>28462</v>
      </c>
      <c r="E2869" s="2" t="s">
        <v>28463</v>
      </c>
      <c r="F2869" s="3" t="s">
        <v>245</v>
      </c>
      <c r="G2869" s="3" t="s">
        <v>209</v>
      </c>
      <c r="I2869" s="3" t="s">
        <v>65</v>
      </c>
      <c r="J2869" s="3" t="s">
        <v>65</v>
      </c>
      <c r="K2869" s="3" t="s">
        <v>66</v>
      </c>
      <c r="L2869" s="2" t="s">
        <v>613</v>
      </c>
      <c r="M2869" s="2" t="s">
        <v>28464</v>
      </c>
      <c r="N2869" s="3" t="s">
        <v>863</v>
      </c>
      <c r="P2869" s="3" t="s">
        <v>69</v>
      </c>
      <c r="R2869" s="3" t="s">
        <v>71</v>
      </c>
      <c r="S2869" s="4">
        <v>17</v>
      </c>
      <c r="T2869" s="4">
        <v>17</v>
      </c>
      <c r="U2869" s="5" t="s">
        <v>9140</v>
      </c>
      <c r="V2869" s="5" t="s">
        <v>9140</v>
      </c>
      <c r="W2869" s="5" t="s">
        <v>72</v>
      </c>
      <c r="X2869" s="5" t="s">
        <v>72</v>
      </c>
      <c r="Y2869" s="4">
        <v>98</v>
      </c>
      <c r="Z2869" s="4">
        <v>13</v>
      </c>
      <c r="AA2869" s="4">
        <v>13</v>
      </c>
      <c r="AB2869" s="4">
        <v>1</v>
      </c>
      <c r="AC2869" s="4">
        <v>1</v>
      </c>
      <c r="AD2869" s="4">
        <v>54</v>
      </c>
      <c r="AE2869" s="4">
        <v>54</v>
      </c>
      <c r="AF2869" s="4">
        <v>0</v>
      </c>
      <c r="AG2869" s="4">
        <v>0</v>
      </c>
      <c r="AH2869" s="4">
        <v>51</v>
      </c>
      <c r="AI2869" s="4">
        <v>51</v>
      </c>
      <c r="AJ2869" s="4">
        <v>8</v>
      </c>
      <c r="AK2869" s="4">
        <v>8</v>
      </c>
      <c r="AL2869" s="4">
        <v>34</v>
      </c>
      <c r="AM2869" s="4">
        <v>34</v>
      </c>
      <c r="AN2869" s="4">
        <v>0</v>
      </c>
      <c r="AO2869" s="4">
        <v>0</v>
      </c>
      <c r="AP2869" s="4">
        <v>8</v>
      </c>
      <c r="AQ2869" s="4">
        <v>8</v>
      </c>
      <c r="AR2869" s="3" t="s">
        <v>65</v>
      </c>
      <c r="AS2869" s="3" t="s">
        <v>65</v>
      </c>
      <c r="AT2869" s="3" t="s">
        <v>209</v>
      </c>
      <c r="AU2869" s="6" t="str">
        <f>HYPERLINK("http://catalog.hathitrust.org/Record/002578254","HathiTrust Record")</f>
        <v>HathiTrust Record</v>
      </c>
      <c r="AV2869" s="6" t="str">
        <f>HYPERLINK("http://mcgill.on.worldcat.org/oclc/29255173","Catalog Record")</f>
        <v>Catalog Record</v>
      </c>
      <c r="AW2869" s="6" t="str">
        <f>HYPERLINK("http://www.worldcat.org/oclc/29255173","WorldCat Record")</f>
        <v>WorldCat Record</v>
      </c>
      <c r="AX2869" s="3" t="s">
        <v>28465</v>
      </c>
      <c r="AY2869" s="3" t="s">
        <v>28466</v>
      </c>
      <c r="AZ2869" s="3" t="s">
        <v>28467</v>
      </c>
      <c r="BA2869" s="3" t="s">
        <v>28467</v>
      </c>
      <c r="BB2869" s="3" t="s">
        <v>28468</v>
      </c>
      <c r="BC2869" s="3" t="s">
        <v>77</v>
      </c>
      <c r="BD2869" s="3" t="s">
        <v>78</v>
      </c>
      <c r="BE2869" s="3" t="s">
        <v>28469</v>
      </c>
      <c r="BF2869" s="3" t="s">
        <v>28468</v>
      </c>
      <c r="BG2869" s="3" t="s">
        <v>28470</v>
      </c>
    </row>
    <row r="2870" spans="1:59" ht="58" x14ac:dyDescent="0.35">
      <c r="A2870" s="2" t="s">
        <v>59</v>
      </c>
      <c r="B2870" s="2" t="s">
        <v>60</v>
      </c>
      <c r="C2870" s="2" t="s">
        <v>28471</v>
      </c>
      <c r="D2870" s="2" t="s">
        <v>28472</v>
      </c>
      <c r="E2870" s="2" t="s">
        <v>28473</v>
      </c>
      <c r="G2870" s="3" t="s">
        <v>65</v>
      </c>
      <c r="I2870" s="3" t="s">
        <v>65</v>
      </c>
      <c r="J2870" s="3" t="s">
        <v>65</v>
      </c>
      <c r="K2870" s="3" t="s">
        <v>66</v>
      </c>
      <c r="L2870" s="2" t="s">
        <v>3756</v>
      </c>
      <c r="M2870" s="2" t="s">
        <v>19439</v>
      </c>
      <c r="N2870" s="3" t="s">
        <v>188</v>
      </c>
      <c r="P2870" s="3" t="s">
        <v>140</v>
      </c>
      <c r="Q2870" s="2" t="s">
        <v>28474</v>
      </c>
      <c r="R2870" s="3" t="s">
        <v>71</v>
      </c>
      <c r="S2870" s="4">
        <v>0</v>
      </c>
      <c r="T2870" s="4">
        <v>0</v>
      </c>
      <c r="W2870" s="5" t="s">
        <v>72</v>
      </c>
      <c r="X2870" s="5" t="s">
        <v>72</v>
      </c>
      <c r="Y2870" s="4">
        <v>33</v>
      </c>
      <c r="Z2870" s="4">
        <v>2</v>
      </c>
      <c r="AA2870" s="4">
        <v>3</v>
      </c>
      <c r="AB2870" s="4">
        <v>1</v>
      </c>
      <c r="AC2870" s="4">
        <v>2</v>
      </c>
      <c r="AD2870" s="4">
        <v>25</v>
      </c>
      <c r="AE2870" s="4">
        <v>28</v>
      </c>
      <c r="AF2870" s="4">
        <v>0</v>
      </c>
      <c r="AG2870" s="4">
        <v>0</v>
      </c>
      <c r="AH2870" s="4">
        <v>24</v>
      </c>
      <c r="AI2870" s="4">
        <v>27</v>
      </c>
      <c r="AJ2870" s="4">
        <v>1</v>
      </c>
      <c r="AK2870" s="4">
        <v>1</v>
      </c>
      <c r="AL2870" s="4">
        <v>19</v>
      </c>
      <c r="AM2870" s="4">
        <v>22</v>
      </c>
      <c r="AN2870" s="4">
        <v>0</v>
      </c>
      <c r="AO2870" s="4">
        <v>0</v>
      </c>
      <c r="AP2870" s="4">
        <v>1</v>
      </c>
      <c r="AQ2870" s="4">
        <v>1</v>
      </c>
      <c r="AR2870" s="3" t="s">
        <v>65</v>
      </c>
      <c r="AS2870" s="3" t="s">
        <v>65</v>
      </c>
      <c r="AT2870" s="3" t="s">
        <v>65</v>
      </c>
      <c r="AV2870" s="6" t="str">
        <f>HYPERLINK("http://mcgill.on.worldcat.org/oclc/1012412387","Catalog Record")</f>
        <v>Catalog Record</v>
      </c>
      <c r="AW2870" s="6" t="str">
        <f>HYPERLINK("http://www.worldcat.org/oclc/1012412387","WorldCat Record")</f>
        <v>WorldCat Record</v>
      </c>
      <c r="AX2870" s="3" t="s">
        <v>28475</v>
      </c>
      <c r="AY2870" s="3" t="s">
        <v>28476</v>
      </c>
      <c r="AZ2870" s="3" t="s">
        <v>28477</v>
      </c>
      <c r="BA2870" s="3" t="s">
        <v>28477</v>
      </c>
      <c r="BB2870" s="3" t="s">
        <v>28478</v>
      </c>
      <c r="BC2870" s="3" t="s">
        <v>77</v>
      </c>
      <c r="BD2870" s="3" t="s">
        <v>78</v>
      </c>
      <c r="BE2870" s="3" t="s">
        <v>28479</v>
      </c>
      <c r="BF2870" s="3" t="s">
        <v>28478</v>
      </c>
      <c r="BG2870" s="3" t="s">
        <v>28480</v>
      </c>
    </row>
    <row r="2871" spans="1:59" ht="58" x14ac:dyDescent="0.35">
      <c r="A2871" s="2" t="s">
        <v>59</v>
      </c>
      <c r="B2871" s="2" t="s">
        <v>60</v>
      </c>
      <c r="C2871" s="2" t="s">
        <v>28481</v>
      </c>
      <c r="D2871" s="2" t="s">
        <v>28482</v>
      </c>
      <c r="E2871" s="2" t="s">
        <v>28483</v>
      </c>
      <c r="G2871" s="3" t="s">
        <v>65</v>
      </c>
      <c r="I2871" s="3" t="s">
        <v>65</v>
      </c>
      <c r="J2871" s="3" t="s">
        <v>65</v>
      </c>
      <c r="K2871" s="3" t="s">
        <v>66</v>
      </c>
      <c r="M2871" s="2" t="s">
        <v>28484</v>
      </c>
      <c r="N2871" s="3" t="s">
        <v>176</v>
      </c>
      <c r="O2871" s="2" t="s">
        <v>379</v>
      </c>
      <c r="P2871" s="3" t="s">
        <v>140</v>
      </c>
      <c r="Q2871" s="2" t="s">
        <v>28485</v>
      </c>
      <c r="R2871" s="3" t="s">
        <v>71</v>
      </c>
      <c r="S2871" s="4">
        <v>0</v>
      </c>
      <c r="T2871" s="4">
        <v>0</v>
      </c>
      <c r="W2871" s="5" t="s">
        <v>72</v>
      </c>
      <c r="X2871" s="5" t="s">
        <v>72</v>
      </c>
      <c r="Y2871" s="4">
        <v>51</v>
      </c>
      <c r="Z2871" s="4">
        <v>5</v>
      </c>
      <c r="AA2871" s="4">
        <v>5</v>
      </c>
      <c r="AB2871" s="4">
        <v>1</v>
      </c>
      <c r="AC2871" s="4">
        <v>1</v>
      </c>
      <c r="AD2871" s="4">
        <v>40</v>
      </c>
      <c r="AE2871" s="4">
        <v>40</v>
      </c>
      <c r="AF2871" s="4">
        <v>0</v>
      </c>
      <c r="AG2871" s="4">
        <v>0</v>
      </c>
      <c r="AH2871" s="4">
        <v>39</v>
      </c>
      <c r="AI2871" s="4">
        <v>39</v>
      </c>
      <c r="AJ2871" s="4">
        <v>3</v>
      </c>
      <c r="AK2871" s="4">
        <v>3</v>
      </c>
      <c r="AL2871" s="4">
        <v>30</v>
      </c>
      <c r="AM2871" s="4">
        <v>30</v>
      </c>
      <c r="AN2871" s="4">
        <v>0</v>
      </c>
      <c r="AO2871" s="4">
        <v>0</v>
      </c>
      <c r="AP2871" s="4">
        <v>3</v>
      </c>
      <c r="AQ2871" s="4">
        <v>3</v>
      </c>
      <c r="AR2871" s="3" t="s">
        <v>65</v>
      </c>
      <c r="AS2871" s="3" t="s">
        <v>65</v>
      </c>
      <c r="AT2871" s="3" t="s">
        <v>65</v>
      </c>
      <c r="AV2871" s="6" t="str">
        <f>HYPERLINK("http://mcgill.on.worldcat.org/oclc/927413290","Catalog Record")</f>
        <v>Catalog Record</v>
      </c>
      <c r="AW2871" s="6" t="str">
        <f>HYPERLINK("http://www.worldcat.org/oclc/927413290","WorldCat Record")</f>
        <v>WorldCat Record</v>
      </c>
      <c r="AX2871" s="3" t="s">
        <v>28486</v>
      </c>
      <c r="AY2871" s="3" t="s">
        <v>28487</v>
      </c>
      <c r="AZ2871" s="3" t="s">
        <v>28488</v>
      </c>
      <c r="BA2871" s="3" t="s">
        <v>28488</v>
      </c>
      <c r="BB2871" s="3" t="s">
        <v>28489</v>
      </c>
      <c r="BC2871" s="3" t="s">
        <v>77</v>
      </c>
      <c r="BD2871" s="3" t="s">
        <v>78</v>
      </c>
      <c r="BE2871" s="3" t="s">
        <v>28490</v>
      </c>
      <c r="BF2871" s="3" t="s">
        <v>28489</v>
      </c>
      <c r="BG2871" s="3" t="s">
        <v>28491</v>
      </c>
    </row>
    <row r="2872" spans="1:59" ht="58" x14ac:dyDescent="0.35">
      <c r="A2872" s="2" t="s">
        <v>59</v>
      </c>
      <c r="B2872" s="2" t="s">
        <v>60</v>
      </c>
      <c r="C2872" s="2" t="s">
        <v>28492</v>
      </c>
      <c r="D2872" s="2" t="s">
        <v>28493</v>
      </c>
      <c r="E2872" s="2" t="s">
        <v>28494</v>
      </c>
      <c r="G2872" s="3" t="s">
        <v>65</v>
      </c>
      <c r="I2872" s="3" t="s">
        <v>65</v>
      </c>
      <c r="J2872" s="3" t="s">
        <v>65</v>
      </c>
      <c r="K2872" s="3" t="s">
        <v>66</v>
      </c>
      <c r="L2872" s="2" t="s">
        <v>28495</v>
      </c>
      <c r="M2872" s="2" t="s">
        <v>28496</v>
      </c>
      <c r="N2872" s="3" t="s">
        <v>139</v>
      </c>
      <c r="O2872" s="2" t="s">
        <v>365</v>
      </c>
      <c r="P2872" s="3" t="s">
        <v>140</v>
      </c>
      <c r="Q2872" s="2" t="s">
        <v>28497</v>
      </c>
      <c r="R2872" s="3" t="s">
        <v>71</v>
      </c>
      <c r="S2872" s="4">
        <v>1</v>
      </c>
      <c r="T2872" s="4">
        <v>1</v>
      </c>
      <c r="U2872" s="5" t="s">
        <v>28498</v>
      </c>
      <c r="V2872" s="5" t="s">
        <v>28498</v>
      </c>
      <c r="W2872" s="5" t="s">
        <v>72</v>
      </c>
      <c r="X2872" s="5" t="s">
        <v>72</v>
      </c>
      <c r="Y2872" s="4">
        <v>36</v>
      </c>
      <c r="Z2872" s="4">
        <v>2</v>
      </c>
      <c r="AA2872" s="4">
        <v>2</v>
      </c>
      <c r="AB2872" s="4">
        <v>1</v>
      </c>
      <c r="AC2872" s="4">
        <v>1</v>
      </c>
      <c r="AD2872" s="4">
        <v>29</v>
      </c>
      <c r="AE2872" s="4">
        <v>32</v>
      </c>
      <c r="AF2872" s="4">
        <v>0</v>
      </c>
      <c r="AG2872" s="4">
        <v>0</v>
      </c>
      <c r="AH2872" s="4">
        <v>28</v>
      </c>
      <c r="AI2872" s="4">
        <v>31</v>
      </c>
      <c r="AJ2872" s="4">
        <v>1</v>
      </c>
      <c r="AK2872" s="4">
        <v>1</v>
      </c>
      <c r="AL2872" s="4">
        <v>22</v>
      </c>
      <c r="AM2872" s="4">
        <v>25</v>
      </c>
      <c r="AN2872" s="4">
        <v>0</v>
      </c>
      <c r="AO2872" s="4">
        <v>0</v>
      </c>
      <c r="AP2872" s="4">
        <v>1</v>
      </c>
      <c r="AQ2872" s="4">
        <v>1</v>
      </c>
      <c r="AR2872" s="3" t="s">
        <v>65</v>
      </c>
      <c r="AS2872" s="3" t="s">
        <v>65</v>
      </c>
      <c r="AT2872" s="3" t="s">
        <v>65</v>
      </c>
      <c r="AV2872" s="6" t="str">
        <f>HYPERLINK("http://mcgill.on.worldcat.org/oclc/823577005","Catalog Record")</f>
        <v>Catalog Record</v>
      </c>
      <c r="AW2872" s="6" t="str">
        <f>HYPERLINK("http://www.worldcat.org/oclc/823577005","WorldCat Record")</f>
        <v>WorldCat Record</v>
      </c>
      <c r="AX2872" s="3" t="s">
        <v>28499</v>
      </c>
      <c r="AY2872" s="3" t="s">
        <v>28500</v>
      </c>
      <c r="AZ2872" s="3" t="s">
        <v>28501</v>
      </c>
      <c r="BA2872" s="3" t="s">
        <v>28501</v>
      </c>
      <c r="BB2872" s="3" t="s">
        <v>28502</v>
      </c>
      <c r="BC2872" s="3" t="s">
        <v>77</v>
      </c>
      <c r="BD2872" s="3" t="s">
        <v>78</v>
      </c>
      <c r="BE2872" s="3" t="s">
        <v>28503</v>
      </c>
      <c r="BF2872" s="3" t="s">
        <v>28502</v>
      </c>
      <c r="BG2872" s="3" t="s">
        <v>28504</v>
      </c>
    </row>
    <row r="2873" spans="1:59" ht="58" x14ac:dyDescent="0.35">
      <c r="A2873" s="2" t="s">
        <v>59</v>
      </c>
      <c r="B2873" s="2" t="s">
        <v>60</v>
      </c>
      <c r="C2873" s="2" t="s">
        <v>28505</v>
      </c>
      <c r="D2873" s="2" t="s">
        <v>28506</v>
      </c>
      <c r="E2873" s="2" t="s">
        <v>28507</v>
      </c>
      <c r="G2873" s="3" t="s">
        <v>65</v>
      </c>
      <c r="I2873" s="3" t="s">
        <v>65</v>
      </c>
      <c r="J2873" s="3" t="s">
        <v>65</v>
      </c>
      <c r="K2873" s="3" t="s">
        <v>66</v>
      </c>
      <c r="L2873" s="2" t="s">
        <v>23720</v>
      </c>
      <c r="M2873" s="2" t="s">
        <v>28508</v>
      </c>
      <c r="N2873" s="3" t="s">
        <v>113</v>
      </c>
      <c r="P2873" s="3" t="s">
        <v>140</v>
      </c>
      <c r="Q2873" s="2" t="s">
        <v>28509</v>
      </c>
      <c r="R2873" s="3" t="s">
        <v>71</v>
      </c>
      <c r="S2873" s="4">
        <v>0</v>
      </c>
      <c r="T2873" s="4">
        <v>0</v>
      </c>
      <c r="W2873" s="5" t="s">
        <v>72</v>
      </c>
      <c r="X2873" s="5" t="s">
        <v>72</v>
      </c>
      <c r="Y2873" s="4">
        <v>58</v>
      </c>
      <c r="Z2873" s="4">
        <v>4</v>
      </c>
      <c r="AA2873" s="4">
        <v>4</v>
      </c>
      <c r="AB2873" s="4">
        <v>1</v>
      </c>
      <c r="AC2873" s="4">
        <v>1</v>
      </c>
      <c r="AD2873" s="4">
        <v>39</v>
      </c>
      <c r="AE2873" s="4">
        <v>39</v>
      </c>
      <c r="AF2873" s="4">
        <v>0</v>
      </c>
      <c r="AG2873" s="4">
        <v>0</v>
      </c>
      <c r="AH2873" s="4">
        <v>38</v>
      </c>
      <c r="AI2873" s="4">
        <v>38</v>
      </c>
      <c r="AJ2873" s="4">
        <v>2</v>
      </c>
      <c r="AK2873" s="4">
        <v>2</v>
      </c>
      <c r="AL2873" s="4">
        <v>29</v>
      </c>
      <c r="AM2873" s="4">
        <v>29</v>
      </c>
      <c r="AN2873" s="4">
        <v>0</v>
      </c>
      <c r="AO2873" s="4">
        <v>0</v>
      </c>
      <c r="AP2873" s="4">
        <v>2</v>
      </c>
      <c r="AQ2873" s="4">
        <v>2</v>
      </c>
      <c r="AR2873" s="3" t="s">
        <v>65</v>
      </c>
      <c r="AS2873" s="3" t="s">
        <v>65</v>
      </c>
      <c r="AT2873" s="3" t="s">
        <v>65</v>
      </c>
      <c r="AV2873" s="6" t="str">
        <f>HYPERLINK("http://mcgill.on.worldcat.org/oclc/688495042","Catalog Record")</f>
        <v>Catalog Record</v>
      </c>
      <c r="AW2873" s="6" t="str">
        <f>HYPERLINK("http://www.worldcat.org/oclc/688495042","WorldCat Record")</f>
        <v>WorldCat Record</v>
      </c>
      <c r="AX2873" s="3" t="s">
        <v>28510</v>
      </c>
      <c r="AY2873" s="3" t="s">
        <v>28511</v>
      </c>
      <c r="AZ2873" s="3" t="s">
        <v>28512</v>
      </c>
      <c r="BA2873" s="3" t="s">
        <v>28512</v>
      </c>
      <c r="BB2873" s="3" t="s">
        <v>28513</v>
      </c>
      <c r="BC2873" s="3" t="s">
        <v>77</v>
      </c>
      <c r="BD2873" s="3" t="s">
        <v>78</v>
      </c>
      <c r="BE2873" s="3" t="s">
        <v>28514</v>
      </c>
      <c r="BF2873" s="3" t="s">
        <v>28513</v>
      </c>
      <c r="BG2873" s="3" t="s">
        <v>28515</v>
      </c>
    </row>
    <row r="2874" spans="1:59" ht="58" x14ac:dyDescent="0.35">
      <c r="A2874" s="2" t="s">
        <v>59</v>
      </c>
      <c r="B2874" s="2" t="s">
        <v>60</v>
      </c>
      <c r="C2874" s="2" t="s">
        <v>28516</v>
      </c>
      <c r="D2874" s="2" t="s">
        <v>28517</v>
      </c>
      <c r="E2874" s="2" t="s">
        <v>28518</v>
      </c>
      <c r="G2874" s="3" t="s">
        <v>65</v>
      </c>
      <c r="I2874" s="3" t="s">
        <v>65</v>
      </c>
      <c r="J2874" s="3" t="s">
        <v>65</v>
      </c>
      <c r="K2874" s="3" t="s">
        <v>66</v>
      </c>
      <c r="L2874" s="2" t="s">
        <v>28519</v>
      </c>
      <c r="M2874" s="2" t="s">
        <v>1611</v>
      </c>
      <c r="N2874" s="3" t="s">
        <v>176</v>
      </c>
      <c r="P2874" s="3" t="s">
        <v>69</v>
      </c>
      <c r="Q2874" s="2" t="s">
        <v>1197</v>
      </c>
      <c r="R2874" s="3" t="s">
        <v>71</v>
      </c>
      <c r="S2874" s="4">
        <v>0</v>
      </c>
      <c r="T2874" s="4">
        <v>0</v>
      </c>
      <c r="W2874" s="5" t="s">
        <v>72</v>
      </c>
      <c r="X2874" s="5" t="s">
        <v>72</v>
      </c>
      <c r="Y2874" s="4">
        <v>140</v>
      </c>
      <c r="Z2874" s="4">
        <v>14</v>
      </c>
      <c r="AA2874" s="4">
        <v>91</v>
      </c>
      <c r="AB2874" s="4">
        <v>1</v>
      </c>
      <c r="AC2874" s="4">
        <v>16</v>
      </c>
      <c r="AD2874" s="4">
        <v>68</v>
      </c>
      <c r="AE2874" s="4">
        <v>128</v>
      </c>
      <c r="AF2874" s="4">
        <v>0</v>
      </c>
      <c r="AG2874" s="4">
        <v>8</v>
      </c>
      <c r="AH2874" s="4">
        <v>62</v>
      </c>
      <c r="AI2874" s="4">
        <v>87</v>
      </c>
      <c r="AJ2874" s="4">
        <v>9</v>
      </c>
      <c r="AK2874" s="4">
        <v>23</v>
      </c>
      <c r="AL2874" s="4">
        <v>41</v>
      </c>
      <c r="AM2874" s="4">
        <v>48</v>
      </c>
      <c r="AN2874" s="4">
        <v>0</v>
      </c>
      <c r="AO2874" s="4">
        <v>0</v>
      </c>
      <c r="AP2874" s="4">
        <v>8</v>
      </c>
      <c r="AQ2874" s="4">
        <v>48</v>
      </c>
      <c r="AR2874" s="3" t="s">
        <v>209</v>
      </c>
      <c r="AS2874" s="3" t="s">
        <v>65</v>
      </c>
      <c r="AT2874" s="3" t="s">
        <v>65</v>
      </c>
      <c r="AV2874" s="6" t="str">
        <f>HYPERLINK("http://mcgill.on.worldcat.org/oclc/898087035","Catalog Record")</f>
        <v>Catalog Record</v>
      </c>
      <c r="AW2874" s="6" t="str">
        <f>HYPERLINK("http://www.worldcat.org/oclc/898087035","WorldCat Record")</f>
        <v>WorldCat Record</v>
      </c>
      <c r="AX2874" s="3" t="s">
        <v>28520</v>
      </c>
      <c r="AY2874" s="3" t="s">
        <v>28521</v>
      </c>
      <c r="AZ2874" s="3" t="s">
        <v>28522</v>
      </c>
      <c r="BA2874" s="3" t="s">
        <v>28522</v>
      </c>
      <c r="BB2874" s="3" t="s">
        <v>28523</v>
      </c>
      <c r="BC2874" s="3" t="s">
        <v>77</v>
      </c>
      <c r="BD2874" s="3" t="s">
        <v>78</v>
      </c>
      <c r="BE2874" s="3" t="s">
        <v>28524</v>
      </c>
      <c r="BF2874" s="3" t="s">
        <v>28523</v>
      </c>
      <c r="BG2874" s="3" t="s">
        <v>28525</v>
      </c>
    </row>
    <row r="2875" spans="1:59" ht="58" x14ac:dyDescent="0.35">
      <c r="A2875" s="2" t="s">
        <v>59</v>
      </c>
      <c r="B2875" s="2" t="s">
        <v>60</v>
      </c>
      <c r="C2875" s="2" t="s">
        <v>28526</v>
      </c>
      <c r="D2875" s="2" t="s">
        <v>28527</v>
      </c>
      <c r="E2875" s="2" t="s">
        <v>28528</v>
      </c>
      <c r="G2875" s="3" t="s">
        <v>65</v>
      </c>
      <c r="I2875" s="3" t="s">
        <v>65</v>
      </c>
      <c r="J2875" s="3" t="s">
        <v>65</v>
      </c>
      <c r="K2875" s="3" t="s">
        <v>66</v>
      </c>
      <c r="L2875" s="2" t="s">
        <v>28529</v>
      </c>
      <c r="M2875" s="2" t="s">
        <v>28530</v>
      </c>
      <c r="N2875" s="3" t="s">
        <v>113</v>
      </c>
      <c r="O2875" s="2" t="s">
        <v>28531</v>
      </c>
      <c r="P2875" s="3" t="s">
        <v>140</v>
      </c>
      <c r="Q2875" s="2" t="s">
        <v>28532</v>
      </c>
      <c r="R2875" s="3" t="s">
        <v>71</v>
      </c>
      <c r="S2875" s="4">
        <v>1</v>
      </c>
      <c r="T2875" s="4">
        <v>1</v>
      </c>
      <c r="U2875" s="5" t="s">
        <v>9839</v>
      </c>
      <c r="V2875" s="5" t="s">
        <v>9839</v>
      </c>
      <c r="W2875" s="5" t="s">
        <v>72</v>
      </c>
      <c r="X2875" s="5" t="s">
        <v>72</v>
      </c>
      <c r="Y2875" s="4">
        <v>56</v>
      </c>
      <c r="Z2875" s="4">
        <v>7</v>
      </c>
      <c r="AA2875" s="4">
        <v>7</v>
      </c>
      <c r="AB2875" s="4">
        <v>2</v>
      </c>
      <c r="AC2875" s="4">
        <v>2</v>
      </c>
      <c r="AD2875" s="4">
        <v>40</v>
      </c>
      <c r="AE2875" s="4">
        <v>40</v>
      </c>
      <c r="AF2875" s="4">
        <v>1</v>
      </c>
      <c r="AG2875" s="4">
        <v>1</v>
      </c>
      <c r="AH2875" s="4">
        <v>38</v>
      </c>
      <c r="AI2875" s="4">
        <v>38</v>
      </c>
      <c r="AJ2875" s="4">
        <v>5</v>
      </c>
      <c r="AK2875" s="4">
        <v>5</v>
      </c>
      <c r="AL2875" s="4">
        <v>28</v>
      </c>
      <c r="AM2875" s="4">
        <v>28</v>
      </c>
      <c r="AN2875" s="4">
        <v>0</v>
      </c>
      <c r="AO2875" s="4">
        <v>0</v>
      </c>
      <c r="AP2875" s="4">
        <v>5</v>
      </c>
      <c r="AQ2875" s="4">
        <v>5</v>
      </c>
      <c r="AR2875" s="3" t="s">
        <v>65</v>
      </c>
      <c r="AS2875" s="3" t="s">
        <v>65</v>
      </c>
      <c r="AT2875" s="3" t="s">
        <v>65</v>
      </c>
      <c r="AV2875" s="6" t="str">
        <f>HYPERLINK("http://mcgill.on.worldcat.org/oclc/668178157","Catalog Record")</f>
        <v>Catalog Record</v>
      </c>
      <c r="AW2875" s="6" t="str">
        <f>HYPERLINK("http://www.worldcat.org/oclc/668178157","WorldCat Record")</f>
        <v>WorldCat Record</v>
      </c>
      <c r="AX2875" s="3" t="s">
        <v>28533</v>
      </c>
      <c r="AY2875" s="3" t="s">
        <v>28534</v>
      </c>
      <c r="AZ2875" s="3" t="s">
        <v>28535</v>
      </c>
      <c r="BA2875" s="3" t="s">
        <v>28535</v>
      </c>
      <c r="BB2875" s="3" t="s">
        <v>28536</v>
      </c>
      <c r="BC2875" s="3" t="s">
        <v>77</v>
      </c>
      <c r="BD2875" s="3" t="s">
        <v>78</v>
      </c>
      <c r="BE2875" s="3" t="s">
        <v>28537</v>
      </c>
      <c r="BF2875" s="3" t="s">
        <v>28536</v>
      </c>
      <c r="BG2875" s="3" t="s">
        <v>28538</v>
      </c>
    </row>
    <row r="2876" spans="1:59" ht="58" x14ac:dyDescent="0.35">
      <c r="A2876" s="2" t="s">
        <v>59</v>
      </c>
      <c r="B2876" s="2" t="s">
        <v>60</v>
      </c>
      <c r="C2876" s="2" t="s">
        <v>28539</v>
      </c>
      <c r="D2876" s="2" t="s">
        <v>28540</v>
      </c>
      <c r="E2876" s="2" t="s">
        <v>28541</v>
      </c>
      <c r="G2876" s="3" t="s">
        <v>65</v>
      </c>
      <c r="I2876" s="3" t="s">
        <v>65</v>
      </c>
      <c r="J2876" s="3" t="s">
        <v>65</v>
      </c>
      <c r="K2876" s="3" t="s">
        <v>66</v>
      </c>
      <c r="L2876" s="2" t="s">
        <v>28542</v>
      </c>
      <c r="M2876" s="2" t="s">
        <v>28543</v>
      </c>
      <c r="N2876" s="3" t="s">
        <v>139</v>
      </c>
      <c r="O2876" s="2" t="s">
        <v>365</v>
      </c>
      <c r="P2876" s="3" t="s">
        <v>140</v>
      </c>
      <c r="Q2876" s="2" t="s">
        <v>28544</v>
      </c>
      <c r="R2876" s="3" t="s">
        <v>71</v>
      </c>
      <c r="S2876" s="4">
        <v>0</v>
      </c>
      <c r="T2876" s="4">
        <v>0</v>
      </c>
      <c r="W2876" s="5" t="s">
        <v>72</v>
      </c>
      <c r="X2876" s="5" t="s">
        <v>72</v>
      </c>
      <c r="Y2876" s="4">
        <v>55</v>
      </c>
      <c r="Z2876" s="4">
        <v>3</v>
      </c>
      <c r="AA2876" s="4">
        <v>3</v>
      </c>
      <c r="AB2876" s="4">
        <v>1</v>
      </c>
      <c r="AC2876" s="4">
        <v>1</v>
      </c>
      <c r="AD2876" s="4">
        <v>36</v>
      </c>
      <c r="AE2876" s="4">
        <v>36</v>
      </c>
      <c r="AF2876" s="4">
        <v>0</v>
      </c>
      <c r="AG2876" s="4">
        <v>0</v>
      </c>
      <c r="AH2876" s="4">
        <v>35</v>
      </c>
      <c r="AI2876" s="4">
        <v>35</v>
      </c>
      <c r="AJ2876" s="4">
        <v>1</v>
      </c>
      <c r="AK2876" s="4">
        <v>1</v>
      </c>
      <c r="AL2876" s="4">
        <v>30</v>
      </c>
      <c r="AM2876" s="4">
        <v>30</v>
      </c>
      <c r="AN2876" s="4">
        <v>0</v>
      </c>
      <c r="AO2876" s="4">
        <v>0</v>
      </c>
      <c r="AP2876" s="4">
        <v>1</v>
      </c>
      <c r="AQ2876" s="4">
        <v>1</v>
      </c>
      <c r="AR2876" s="3" t="s">
        <v>65</v>
      </c>
      <c r="AS2876" s="3" t="s">
        <v>65</v>
      </c>
      <c r="AT2876" s="3" t="s">
        <v>65</v>
      </c>
      <c r="AV2876" s="6" t="str">
        <f>HYPERLINK("http://mcgill.on.worldcat.org/oclc/818724688","Catalog Record")</f>
        <v>Catalog Record</v>
      </c>
      <c r="AW2876" s="6" t="str">
        <f>HYPERLINK("http://www.worldcat.org/oclc/818724688","WorldCat Record")</f>
        <v>WorldCat Record</v>
      </c>
      <c r="AX2876" s="3" t="s">
        <v>28545</v>
      </c>
      <c r="AY2876" s="3" t="s">
        <v>28546</v>
      </c>
      <c r="AZ2876" s="3" t="s">
        <v>28547</v>
      </c>
      <c r="BA2876" s="3" t="s">
        <v>28547</v>
      </c>
      <c r="BB2876" s="3" t="s">
        <v>28548</v>
      </c>
      <c r="BC2876" s="3" t="s">
        <v>77</v>
      </c>
      <c r="BD2876" s="3" t="s">
        <v>78</v>
      </c>
      <c r="BE2876" s="3" t="s">
        <v>28549</v>
      </c>
      <c r="BF2876" s="3" t="s">
        <v>28548</v>
      </c>
      <c r="BG2876" s="3" t="s">
        <v>28550</v>
      </c>
    </row>
    <row r="2877" spans="1:59" ht="58" x14ac:dyDescent="0.35">
      <c r="A2877" s="2" t="s">
        <v>59</v>
      </c>
      <c r="B2877" s="2" t="s">
        <v>60</v>
      </c>
      <c r="C2877" s="2" t="s">
        <v>28551</v>
      </c>
      <c r="D2877" s="2" t="s">
        <v>28552</v>
      </c>
      <c r="E2877" s="2" t="s">
        <v>28553</v>
      </c>
      <c r="G2877" s="3" t="s">
        <v>65</v>
      </c>
      <c r="I2877" s="3" t="s">
        <v>65</v>
      </c>
      <c r="J2877" s="3" t="s">
        <v>65</v>
      </c>
      <c r="K2877" s="3" t="s">
        <v>66</v>
      </c>
      <c r="L2877" s="2" t="s">
        <v>28554</v>
      </c>
      <c r="M2877" s="2" t="s">
        <v>28555</v>
      </c>
      <c r="N2877" s="3" t="s">
        <v>139</v>
      </c>
      <c r="P2877" s="3" t="s">
        <v>140</v>
      </c>
      <c r="R2877" s="3" t="s">
        <v>71</v>
      </c>
      <c r="S2877" s="4">
        <v>1</v>
      </c>
      <c r="T2877" s="4">
        <v>1</v>
      </c>
      <c r="U2877" s="5" t="s">
        <v>28433</v>
      </c>
      <c r="V2877" s="5" t="s">
        <v>28433</v>
      </c>
      <c r="W2877" s="5" t="s">
        <v>72</v>
      </c>
      <c r="X2877" s="5" t="s">
        <v>72</v>
      </c>
      <c r="Y2877" s="4">
        <v>36</v>
      </c>
      <c r="Z2877" s="4">
        <v>3</v>
      </c>
      <c r="AA2877" s="4">
        <v>3</v>
      </c>
      <c r="AB2877" s="4">
        <v>1</v>
      </c>
      <c r="AC2877" s="4">
        <v>1</v>
      </c>
      <c r="AD2877" s="4">
        <v>24</v>
      </c>
      <c r="AE2877" s="4">
        <v>24</v>
      </c>
      <c r="AF2877" s="4">
        <v>0</v>
      </c>
      <c r="AG2877" s="4">
        <v>0</v>
      </c>
      <c r="AH2877" s="4">
        <v>23</v>
      </c>
      <c r="AI2877" s="4">
        <v>23</v>
      </c>
      <c r="AJ2877" s="4">
        <v>1</v>
      </c>
      <c r="AK2877" s="4">
        <v>1</v>
      </c>
      <c r="AL2877" s="4">
        <v>19</v>
      </c>
      <c r="AM2877" s="4">
        <v>19</v>
      </c>
      <c r="AN2877" s="4">
        <v>0</v>
      </c>
      <c r="AO2877" s="4">
        <v>0</v>
      </c>
      <c r="AP2877" s="4">
        <v>1</v>
      </c>
      <c r="AQ2877" s="4">
        <v>1</v>
      </c>
      <c r="AR2877" s="3" t="s">
        <v>65</v>
      </c>
      <c r="AS2877" s="3" t="s">
        <v>65</v>
      </c>
      <c r="AT2877" s="3" t="s">
        <v>65</v>
      </c>
      <c r="AV2877" s="6" t="str">
        <f>HYPERLINK("http://mcgill.on.worldcat.org/oclc/834494668","Catalog Record")</f>
        <v>Catalog Record</v>
      </c>
      <c r="AW2877" s="6" t="str">
        <f>HYPERLINK("http://www.worldcat.org/oclc/834494668","WorldCat Record")</f>
        <v>WorldCat Record</v>
      </c>
      <c r="AX2877" s="3" t="s">
        <v>28556</v>
      </c>
      <c r="AY2877" s="3" t="s">
        <v>28557</v>
      </c>
      <c r="AZ2877" s="3" t="s">
        <v>28558</v>
      </c>
      <c r="BA2877" s="3" t="s">
        <v>28558</v>
      </c>
      <c r="BB2877" s="3" t="s">
        <v>28559</v>
      </c>
      <c r="BC2877" s="3" t="s">
        <v>77</v>
      </c>
      <c r="BD2877" s="3" t="s">
        <v>78</v>
      </c>
      <c r="BE2877" s="3" t="s">
        <v>28560</v>
      </c>
      <c r="BF2877" s="3" t="s">
        <v>28559</v>
      </c>
      <c r="BG2877" s="3" t="s">
        <v>28561</v>
      </c>
    </row>
    <row r="2878" spans="1:59" ht="58" x14ac:dyDescent="0.35">
      <c r="A2878" s="2" t="s">
        <v>59</v>
      </c>
      <c r="B2878" s="2" t="s">
        <v>60</v>
      </c>
      <c r="C2878" s="2" t="s">
        <v>28562</v>
      </c>
      <c r="D2878" s="2" t="s">
        <v>28563</v>
      </c>
      <c r="E2878" s="2" t="s">
        <v>28564</v>
      </c>
      <c r="G2878" s="3" t="s">
        <v>65</v>
      </c>
      <c r="I2878" s="3" t="s">
        <v>65</v>
      </c>
      <c r="J2878" s="3" t="s">
        <v>65</v>
      </c>
      <c r="K2878" s="3" t="s">
        <v>66</v>
      </c>
      <c r="L2878" s="2" t="s">
        <v>28565</v>
      </c>
      <c r="M2878" s="2" t="s">
        <v>28566</v>
      </c>
      <c r="N2878" s="3" t="s">
        <v>99</v>
      </c>
      <c r="O2878" s="2" t="s">
        <v>654</v>
      </c>
      <c r="P2878" s="3" t="s">
        <v>140</v>
      </c>
      <c r="Q2878" s="2" t="s">
        <v>28567</v>
      </c>
      <c r="R2878" s="3" t="s">
        <v>71</v>
      </c>
      <c r="S2878" s="4">
        <v>4</v>
      </c>
      <c r="T2878" s="4">
        <v>4</v>
      </c>
      <c r="U2878" s="5" t="s">
        <v>4056</v>
      </c>
      <c r="V2878" s="5" t="s">
        <v>4056</v>
      </c>
      <c r="W2878" s="5" t="s">
        <v>72</v>
      </c>
      <c r="X2878" s="5" t="s">
        <v>72</v>
      </c>
      <c r="Y2878" s="4">
        <v>27</v>
      </c>
      <c r="Z2878" s="4">
        <v>2</v>
      </c>
      <c r="AA2878" s="4">
        <v>2</v>
      </c>
      <c r="AB2878" s="4">
        <v>1</v>
      </c>
      <c r="AC2878" s="4">
        <v>1</v>
      </c>
      <c r="AD2878" s="4">
        <v>17</v>
      </c>
      <c r="AE2878" s="4">
        <v>17</v>
      </c>
      <c r="AF2878" s="4">
        <v>0</v>
      </c>
      <c r="AG2878" s="4">
        <v>0</v>
      </c>
      <c r="AH2878" s="4">
        <v>17</v>
      </c>
      <c r="AI2878" s="4">
        <v>17</v>
      </c>
      <c r="AJ2878" s="4">
        <v>1</v>
      </c>
      <c r="AK2878" s="4">
        <v>1</v>
      </c>
      <c r="AL2878" s="4">
        <v>14</v>
      </c>
      <c r="AM2878" s="4">
        <v>14</v>
      </c>
      <c r="AN2878" s="4">
        <v>0</v>
      </c>
      <c r="AO2878" s="4">
        <v>0</v>
      </c>
      <c r="AP2878" s="4">
        <v>1</v>
      </c>
      <c r="AQ2878" s="4">
        <v>1</v>
      </c>
      <c r="AR2878" s="3" t="s">
        <v>65</v>
      </c>
      <c r="AS2878" s="3" t="s">
        <v>65</v>
      </c>
      <c r="AT2878" s="3" t="s">
        <v>209</v>
      </c>
      <c r="AU2878" s="6" t="str">
        <f>HYPERLINK("http://catalog.hathitrust.org/Record/007147080","HathiTrust Record")</f>
        <v>HathiTrust Record</v>
      </c>
      <c r="AV2878" s="6" t="str">
        <f>HYPERLINK("http://mcgill.on.worldcat.org/oclc/69646309","Catalog Record")</f>
        <v>Catalog Record</v>
      </c>
      <c r="AW2878" s="6" t="str">
        <f>HYPERLINK("http://www.worldcat.org/oclc/69646309","WorldCat Record")</f>
        <v>WorldCat Record</v>
      </c>
      <c r="AX2878" s="3" t="s">
        <v>28568</v>
      </c>
      <c r="AY2878" s="3" t="s">
        <v>28569</v>
      </c>
      <c r="AZ2878" s="3" t="s">
        <v>28570</v>
      </c>
      <c r="BA2878" s="3" t="s">
        <v>28570</v>
      </c>
      <c r="BB2878" s="3" t="s">
        <v>28571</v>
      </c>
      <c r="BC2878" s="3" t="s">
        <v>77</v>
      </c>
      <c r="BD2878" s="3" t="s">
        <v>78</v>
      </c>
      <c r="BE2878" s="3" t="s">
        <v>28572</v>
      </c>
      <c r="BF2878" s="3" t="s">
        <v>28571</v>
      </c>
      <c r="BG2878" s="3" t="s">
        <v>28573</v>
      </c>
    </row>
    <row r="2879" spans="1:59" ht="58" x14ac:dyDescent="0.35">
      <c r="A2879" s="2" t="s">
        <v>59</v>
      </c>
      <c r="B2879" s="2" t="s">
        <v>60</v>
      </c>
      <c r="C2879" s="2" t="s">
        <v>28574</v>
      </c>
      <c r="D2879" s="2" t="s">
        <v>28575</v>
      </c>
      <c r="E2879" s="2" t="s">
        <v>28576</v>
      </c>
      <c r="G2879" s="3" t="s">
        <v>65</v>
      </c>
      <c r="I2879" s="3" t="s">
        <v>209</v>
      </c>
      <c r="J2879" s="3" t="s">
        <v>65</v>
      </c>
      <c r="K2879" s="3" t="s">
        <v>66</v>
      </c>
      <c r="L2879" s="2" t="s">
        <v>28577</v>
      </c>
      <c r="M2879" s="2" t="s">
        <v>17196</v>
      </c>
      <c r="N2879" s="3" t="s">
        <v>831</v>
      </c>
      <c r="P2879" s="3" t="s">
        <v>69</v>
      </c>
      <c r="Q2879" s="2" t="s">
        <v>28578</v>
      </c>
      <c r="R2879" s="3" t="s">
        <v>71</v>
      </c>
      <c r="S2879" s="4">
        <v>24</v>
      </c>
      <c r="T2879" s="4">
        <v>40</v>
      </c>
      <c r="U2879" s="5" t="s">
        <v>28579</v>
      </c>
      <c r="V2879" s="5" t="s">
        <v>28579</v>
      </c>
      <c r="W2879" s="5" t="s">
        <v>72</v>
      </c>
      <c r="X2879" s="5" t="s">
        <v>72</v>
      </c>
      <c r="Y2879" s="4">
        <v>456</v>
      </c>
      <c r="Z2879" s="4">
        <v>29</v>
      </c>
      <c r="AA2879" s="4">
        <v>29</v>
      </c>
      <c r="AB2879" s="4">
        <v>2</v>
      </c>
      <c r="AC2879" s="4">
        <v>2</v>
      </c>
      <c r="AD2879" s="4">
        <v>116</v>
      </c>
      <c r="AE2879" s="4">
        <v>116</v>
      </c>
      <c r="AF2879" s="4">
        <v>1</v>
      </c>
      <c r="AG2879" s="4">
        <v>1</v>
      </c>
      <c r="AH2879" s="4">
        <v>103</v>
      </c>
      <c r="AI2879" s="4">
        <v>103</v>
      </c>
      <c r="AJ2879" s="4">
        <v>18</v>
      </c>
      <c r="AK2879" s="4">
        <v>18</v>
      </c>
      <c r="AL2879" s="4">
        <v>55</v>
      </c>
      <c r="AM2879" s="4">
        <v>55</v>
      </c>
      <c r="AN2879" s="4">
        <v>0</v>
      </c>
      <c r="AO2879" s="4">
        <v>0</v>
      </c>
      <c r="AP2879" s="4">
        <v>19</v>
      </c>
      <c r="AQ2879" s="4">
        <v>19</v>
      </c>
      <c r="AR2879" s="3" t="s">
        <v>65</v>
      </c>
      <c r="AS2879" s="3" t="s">
        <v>65</v>
      </c>
      <c r="AT2879" s="3" t="s">
        <v>209</v>
      </c>
      <c r="AU2879" s="6" t="str">
        <f>HYPERLINK("http://catalog.hathitrust.org/Record/000102190","HathiTrust Record")</f>
        <v>HathiTrust Record</v>
      </c>
      <c r="AV2879" s="6" t="str">
        <f>HYPERLINK("http://mcgill.on.worldcat.org/oclc/8170100","Catalog Record")</f>
        <v>Catalog Record</v>
      </c>
      <c r="AW2879" s="6" t="str">
        <f>HYPERLINK("http://www.worldcat.org/oclc/8170100","WorldCat Record")</f>
        <v>WorldCat Record</v>
      </c>
      <c r="AX2879" s="3" t="s">
        <v>28580</v>
      </c>
      <c r="AY2879" s="3" t="s">
        <v>28581</v>
      </c>
      <c r="AZ2879" s="3" t="s">
        <v>28582</v>
      </c>
      <c r="BA2879" s="3" t="s">
        <v>28582</v>
      </c>
      <c r="BB2879" s="3" t="s">
        <v>28583</v>
      </c>
      <c r="BC2879" s="3" t="s">
        <v>77</v>
      </c>
      <c r="BD2879" s="3" t="s">
        <v>78</v>
      </c>
      <c r="BE2879" s="3" t="s">
        <v>28584</v>
      </c>
      <c r="BF2879" s="3" t="s">
        <v>28583</v>
      </c>
      <c r="BG2879" s="3" t="s">
        <v>28585</v>
      </c>
    </row>
    <row r="2880" spans="1:59" ht="58" x14ac:dyDescent="0.35">
      <c r="A2880" s="2" t="s">
        <v>59</v>
      </c>
      <c r="B2880" s="2" t="s">
        <v>60</v>
      </c>
      <c r="C2880" s="2" t="s">
        <v>28574</v>
      </c>
      <c r="D2880" s="2" t="s">
        <v>28575</v>
      </c>
      <c r="E2880" s="2" t="s">
        <v>28576</v>
      </c>
      <c r="G2880" s="3" t="s">
        <v>65</v>
      </c>
      <c r="I2880" s="3" t="s">
        <v>209</v>
      </c>
      <c r="J2880" s="3" t="s">
        <v>65</v>
      </c>
      <c r="K2880" s="3" t="s">
        <v>66</v>
      </c>
      <c r="L2880" s="2" t="s">
        <v>28577</v>
      </c>
      <c r="M2880" s="2" t="s">
        <v>17196</v>
      </c>
      <c r="N2880" s="3" t="s">
        <v>831</v>
      </c>
      <c r="P2880" s="3" t="s">
        <v>69</v>
      </c>
      <c r="Q2880" s="2" t="s">
        <v>28578</v>
      </c>
      <c r="R2880" s="3" t="s">
        <v>71</v>
      </c>
      <c r="S2880" s="4">
        <v>16</v>
      </c>
      <c r="T2880" s="4">
        <v>40</v>
      </c>
      <c r="U2880" s="5" t="s">
        <v>28579</v>
      </c>
      <c r="V2880" s="5" t="s">
        <v>28579</v>
      </c>
      <c r="W2880" s="5" t="s">
        <v>72</v>
      </c>
      <c r="X2880" s="5" t="s">
        <v>72</v>
      </c>
      <c r="Y2880" s="4">
        <v>456</v>
      </c>
      <c r="Z2880" s="4">
        <v>29</v>
      </c>
      <c r="AA2880" s="4">
        <v>29</v>
      </c>
      <c r="AB2880" s="4">
        <v>2</v>
      </c>
      <c r="AC2880" s="4">
        <v>2</v>
      </c>
      <c r="AD2880" s="4">
        <v>116</v>
      </c>
      <c r="AE2880" s="4">
        <v>116</v>
      </c>
      <c r="AF2880" s="4">
        <v>1</v>
      </c>
      <c r="AG2880" s="4">
        <v>1</v>
      </c>
      <c r="AH2880" s="4">
        <v>103</v>
      </c>
      <c r="AI2880" s="4">
        <v>103</v>
      </c>
      <c r="AJ2880" s="4">
        <v>18</v>
      </c>
      <c r="AK2880" s="4">
        <v>18</v>
      </c>
      <c r="AL2880" s="4">
        <v>55</v>
      </c>
      <c r="AM2880" s="4">
        <v>55</v>
      </c>
      <c r="AN2880" s="4">
        <v>0</v>
      </c>
      <c r="AO2880" s="4">
        <v>0</v>
      </c>
      <c r="AP2880" s="4">
        <v>19</v>
      </c>
      <c r="AQ2880" s="4">
        <v>19</v>
      </c>
      <c r="AR2880" s="3" t="s">
        <v>65</v>
      </c>
      <c r="AS2880" s="3" t="s">
        <v>65</v>
      </c>
      <c r="AT2880" s="3" t="s">
        <v>209</v>
      </c>
      <c r="AU2880" s="6" t="str">
        <f>HYPERLINK("http://catalog.hathitrust.org/Record/000102190","HathiTrust Record")</f>
        <v>HathiTrust Record</v>
      </c>
      <c r="AV2880" s="6" t="str">
        <f>HYPERLINK("http://mcgill.on.worldcat.org/oclc/8170100","Catalog Record")</f>
        <v>Catalog Record</v>
      </c>
      <c r="AW2880" s="6" t="str">
        <f>HYPERLINK("http://www.worldcat.org/oclc/8170100","WorldCat Record")</f>
        <v>WorldCat Record</v>
      </c>
      <c r="AX2880" s="3" t="s">
        <v>28580</v>
      </c>
      <c r="AY2880" s="3" t="s">
        <v>28581</v>
      </c>
      <c r="AZ2880" s="3" t="s">
        <v>28582</v>
      </c>
      <c r="BA2880" s="3" t="s">
        <v>28582</v>
      </c>
      <c r="BB2880" s="3" t="s">
        <v>28586</v>
      </c>
      <c r="BC2880" s="3" t="s">
        <v>77</v>
      </c>
      <c r="BD2880" s="3" t="s">
        <v>78</v>
      </c>
      <c r="BE2880" s="3" t="s">
        <v>28584</v>
      </c>
      <c r="BF2880" s="3" t="s">
        <v>28586</v>
      </c>
      <c r="BG2880" s="3" t="s">
        <v>28587</v>
      </c>
    </row>
    <row r="2881" spans="1:59" ht="58" x14ac:dyDescent="0.35">
      <c r="A2881" s="2" t="s">
        <v>59</v>
      </c>
      <c r="B2881" s="2" t="s">
        <v>60</v>
      </c>
      <c r="C2881" s="2" t="s">
        <v>28588</v>
      </c>
      <c r="D2881" s="2" t="s">
        <v>28589</v>
      </c>
      <c r="E2881" s="2" t="s">
        <v>28590</v>
      </c>
      <c r="G2881" s="3" t="s">
        <v>65</v>
      </c>
      <c r="I2881" s="3" t="s">
        <v>65</v>
      </c>
      <c r="J2881" s="3" t="s">
        <v>65</v>
      </c>
      <c r="K2881" s="3" t="s">
        <v>66</v>
      </c>
      <c r="L2881" s="2" t="s">
        <v>28591</v>
      </c>
      <c r="M2881" s="2" t="s">
        <v>28592</v>
      </c>
      <c r="N2881" s="3" t="s">
        <v>1932</v>
      </c>
      <c r="P2881" s="3" t="s">
        <v>140</v>
      </c>
      <c r="Q2881" s="2" t="s">
        <v>28593</v>
      </c>
      <c r="R2881" s="3" t="s">
        <v>71</v>
      </c>
      <c r="S2881" s="4">
        <v>5</v>
      </c>
      <c r="T2881" s="4">
        <v>5</v>
      </c>
      <c r="U2881" s="5" t="s">
        <v>28579</v>
      </c>
      <c r="V2881" s="5" t="s">
        <v>28579</v>
      </c>
      <c r="W2881" s="5" t="s">
        <v>72</v>
      </c>
      <c r="X2881" s="5" t="s">
        <v>72</v>
      </c>
      <c r="Y2881" s="4">
        <v>60</v>
      </c>
      <c r="Z2881" s="4">
        <v>4</v>
      </c>
      <c r="AA2881" s="4">
        <v>4</v>
      </c>
      <c r="AB2881" s="4">
        <v>1</v>
      </c>
      <c r="AC2881" s="4">
        <v>1</v>
      </c>
      <c r="AD2881" s="4">
        <v>32</v>
      </c>
      <c r="AE2881" s="4">
        <v>32</v>
      </c>
      <c r="AF2881" s="4">
        <v>0</v>
      </c>
      <c r="AG2881" s="4">
        <v>0</v>
      </c>
      <c r="AH2881" s="4">
        <v>31</v>
      </c>
      <c r="AI2881" s="4">
        <v>31</v>
      </c>
      <c r="AJ2881" s="4">
        <v>2</v>
      </c>
      <c r="AK2881" s="4">
        <v>2</v>
      </c>
      <c r="AL2881" s="4">
        <v>25</v>
      </c>
      <c r="AM2881" s="4">
        <v>25</v>
      </c>
      <c r="AN2881" s="4">
        <v>0</v>
      </c>
      <c r="AO2881" s="4">
        <v>0</v>
      </c>
      <c r="AP2881" s="4">
        <v>2</v>
      </c>
      <c r="AQ2881" s="4">
        <v>2</v>
      </c>
      <c r="AR2881" s="3" t="s">
        <v>65</v>
      </c>
      <c r="AS2881" s="3" t="s">
        <v>65</v>
      </c>
      <c r="AT2881" s="3" t="s">
        <v>65</v>
      </c>
      <c r="AV2881" s="6" t="str">
        <f>HYPERLINK("http://mcgill.on.worldcat.org/oclc/32721300","Catalog Record")</f>
        <v>Catalog Record</v>
      </c>
      <c r="AW2881" s="6" t="str">
        <f>HYPERLINK("http://www.worldcat.org/oclc/32721300","WorldCat Record")</f>
        <v>WorldCat Record</v>
      </c>
      <c r="AX2881" s="3" t="s">
        <v>28594</v>
      </c>
      <c r="AY2881" s="3" t="s">
        <v>28595</v>
      </c>
      <c r="AZ2881" s="3" t="s">
        <v>28596</v>
      </c>
      <c r="BA2881" s="3" t="s">
        <v>28596</v>
      </c>
      <c r="BB2881" s="3" t="s">
        <v>28597</v>
      </c>
      <c r="BC2881" s="3" t="s">
        <v>77</v>
      </c>
      <c r="BD2881" s="3" t="s">
        <v>78</v>
      </c>
      <c r="BE2881" s="3" t="s">
        <v>28598</v>
      </c>
      <c r="BF2881" s="3" t="s">
        <v>28597</v>
      </c>
      <c r="BG2881" s="3" t="s">
        <v>28599</v>
      </c>
    </row>
    <row r="2882" spans="1:59" ht="58" x14ac:dyDescent="0.35">
      <c r="A2882" s="2" t="s">
        <v>59</v>
      </c>
      <c r="B2882" s="2" t="s">
        <v>60</v>
      </c>
      <c r="C2882" s="2" t="s">
        <v>28600</v>
      </c>
      <c r="D2882" s="2" t="s">
        <v>28601</v>
      </c>
      <c r="E2882" s="2" t="s">
        <v>28602</v>
      </c>
      <c r="G2882" s="3" t="s">
        <v>65</v>
      </c>
      <c r="I2882" s="3" t="s">
        <v>65</v>
      </c>
      <c r="J2882" s="3" t="s">
        <v>65</v>
      </c>
      <c r="K2882" s="3" t="s">
        <v>66</v>
      </c>
      <c r="M2882" s="2" t="s">
        <v>28603</v>
      </c>
      <c r="N2882" s="3" t="s">
        <v>152</v>
      </c>
      <c r="P2882" s="3" t="s">
        <v>140</v>
      </c>
      <c r="Q2882" s="2" t="s">
        <v>28604</v>
      </c>
      <c r="R2882" s="3" t="s">
        <v>71</v>
      </c>
      <c r="S2882" s="4">
        <v>0</v>
      </c>
      <c r="T2882" s="4">
        <v>0</v>
      </c>
      <c r="W2882" s="5" t="s">
        <v>72</v>
      </c>
      <c r="X2882" s="5" t="s">
        <v>72</v>
      </c>
      <c r="Y2882" s="4">
        <v>18</v>
      </c>
      <c r="Z2882" s="4">
        <v>1</v>
      </c>
      <c r="AA2882" s="4">
        <v>3</v>
      </c>
      <c r="AB2882" s="4">
        <v>1</v>
      </c>
      <c r="AC2882" s="4">
        <v>1</v>
      </c>
      <c r="AD2882" s="4">
        <v>12</v>
      </c>
      <c r="AE2882" s="4">
        <v>28</v>
      </c>
      <c r="AF2882" s="4">
        <v>0</v>
      </c>
      <c r="AG2882" s="4">
        <v>0</v>
      </c>
      <c r="AH2882" s="4">
        <v>11</v>
      </c>
      <c r="AI2882" s="4">
        <v>27</v>
      </c>
      <c r="AJ2882" s="4">
        <v>0</v>
      </c>
      <c r="AK2882" s="4">
        <v>1</v>
      </c>
      <c r="AL2882" s="4">
        <v>12</v>
      </c>
      <c r="AM2882" s="4">
        <v>24</v>
      </c>
      <c r="AN2882" s="4">
        <v>0</v>
      </c>
      <c r="AO2882" s="4">
        <v>0</v>
      </c>
      <c r="AP2882" s="4">
        <v>0</v>
      </c>
      <c r="AQ2882" s="4">
        <v>1</v>
      </c>
      <c r="AR2882" s="3" t="s">
        <v>65</v>
      </c>
      <c r="AS2882" s="3" t="s">
        <v>65</v>
      </c>
      <c r="AT2882" s="3" t="s">
        <v>65</v>
      </c>
      <c r="AV2882" s="6" t="str">
        <f>HYPERLINK("http://mcgill.on.worldcat.org/oclc/825554693","Catalog Record")</f>
        <v>Catalog Record</v>
      </c>
      <c r="AW2882" s="6" t="str">
        <f>HYPERLINK("http://www.worldcat.org/oclc/825554693","WorldCat Record")</f>
        <v>WorldCat Record</v>
      </c>
      <c r="AX2882" s="3" t="s">
        <v>28605</v>
      </c>
      <c r="AY2882" s="3" t="s">
        <v>28606</v>
      </c>
      <c r="AZ2882" s="3" t="s">
        <v>28607</v>
      </c>
      <c r="BA2882" s="3" t="s">
        <v>28607</v>
      </c>
      <c r="BB2882" s="3" t="s">
        <v>28608</v>
      </c>
      <c r="BC2882" s="3" t="s">
        <v>77</v>
      </c>
      <c r="BD2882" s="3" t="s">
        <v>78</v>
      </c>
      <c r="BE2882" s="3" t="s">
        <v>28609</v>
      </c>
      <c r="BF2882" s="3" t="s">
        <v>28608</v>
      </c>
      <c r="BG2882" s="3" t="s">
        <v>28610</v>
      </c>
    </row>
    <row r="2883" spans="1:59" ht="58" x14ac:dyDescent="0.35">
      <c r="A2883" s="2" t="s">
        <v>59</v>
      </c>
      <c r="B2883" s="2" t="s">
        <v>60</v>
      </c>
      <c r="C2883" s="2" t="s">
        <v>28611</v>
      </c>
      <c r="D2883" s="2" t="s">
        <v>28612</v>
      </c>
      <c r="E2883" s="2" t="s">
        <v>28613</v>
      </c>
      <c r="G2883" s="3" t="s">
        <v>65</v>
      </c>
      <c r="I2883" s="3" t="s">
        <v>65</v>
      </c>
      <c r="J2883" s="3" t="s">
        <v>65</v>
      </c>
      <c r="K2883" s="3" t="s">
        <v>66</v>
      </c>
      <c r="L2883" s="2" t="s">
        <v>28614</v>
      </c>
      <c r="M2883" s="2" t="s">
        <v>28615</v>
      </c>
      <c r="N2883" s="3" t="s">
        <v>1085</v>
      </c>
      <c r="P2883" s="3" t="s">
        <v>69</v>
      </c>
      <c r="R2883" s="3" t="s">
        <v>71</v>
      </c>
      <c r="S2883" s="4">
        <v>45</v>
      </c>
      <c r="T2883" s="4">
        <v>45</v>
      </c>
      <c r="U2883" s="5" t="s">
        <v>28579</v>
      </c>
      <c r="V2883" s="5" t="s">
        <v>28579</v>
      </c>
      <c r="W2883" s="5" t="s">
        <v>72</v>
      </c>
      <c r="X2883" s="5" t="s">
        <v>72</v>
      </c>
      <c r="Y2883" s="4">
        <v>342</v>
      </c>
      <c r="Z2883" s="4">
        <v>20</v>
      </c>
      <c r="AA2883" s="4">
        <v>28</v>
      </c>
      <c r="AB2883" s="4">
        <v>1</v>
      </c>
      <c r="AC2883" s="4">
        <v>6</v>
      </c>
      <c r="AD2883" s="4">
        <v>104</v>
      </c>
      <c r="AE2883" s="4">
        <v>111</v>
      </c>
      <c r="AF2883" s="4">
        <v>0</v>
      </c>
      <c r="AG2883" s="4">
        <v>3</v>
      </c>
      <c r="AH2883" s="4">
        <v>97</v>
      </c>
      <c r="AI2883" s="4">
        <v>102</v>
      </c>
      <c r="AJ2883" s="4">
        <v>15</v>
      </c>
      <c r="AK2883" s="4">
        <v>18</v>
      </c>
      <c r="AL2883" s="4">
        <v>55</v>
      </c>
      <c r="AM2883" s="4">
        <v>56</v>
      </c>
      <c r="AN2883" s="4">
        <v>0</v>
      </c>
      <c r="AO2883" s="4">
        <v>0</v>
      </c>
      <c r="AP2883" s="4">
        <v>15</v>
      </c>
      <c r="AQ2883" s="4">
        <v>17</v>
      </c>
      <c r="AR2883" s="3" t="s">
        <v>65</v>
      </c>
      <c r="AS2883" s="3" t="s">
        <v>65</v>
      </c>
      <c r="AT2883" s="3" t="s">
        <v>65</v>
      </c>
      <c r="AV2883" s="6" t="str">
        <f>HYPERLINK("http://mcgill.on.worldcat.org/oclc/35262224","Catalog Record")</f>
        <v>Catalog Record</v>
      </c>
      <c r="AW2883" s="6" t="str">
        <f>HYPERLINK("http://www.worldcat.org/oclc/35262224","WorldCat Record")</f>
        <v>WorldCat Record</v>
      </c>
      <c r="AX2883" s="3" t="s">
        <v>28616</v>
      </c>
      <c r="AY2883" s="3" t="s">
        <v>28617</v>
      </c>
      <c r="AZ2883" s="3" t="s">
        <v>28618</v>
      </c>
      <c r="BA2883" s="3" t="s">
        <v>28618</v>
      </c>
      <c r="BB2883" s="3" t="s">
        <v>28619</v>
      </c>
      <c r="BC2883" s="3" t="s">
        <v>77</v>
      </c>
      <c r="BD2883" s="3" t="s">
        <v>78</v>
      </c>
      <c r="BE2883" s="3" t="s">
        <v>28620</v>
      </c>
      <c r="BF2883" s="3" t="s">
        <v>28619</v>
      </c>
      <c r="BG2883" s="3" t="s">
        <v>28621</v>
      </c>
    </row>
    <row r="2884" spans="1:59" ht="58" x14ac:dyDescent="0.35">
      <c r="A2884" s="2" t="s">
        <v>59</v>
      </c>
      <c r="B2884" s="2" t="s">
        <v>60</v>
      </c>
      <c r="C2884" s="2" t="s">
        <v>28622</v>
      </c>
      <c r="D2884" s="2" t="s">
        <v>28623</v>
      </c>
      <c r="E2884" s="2" t="s">
        <v>28624</v>
      </c>
      <c r="G2884" s="3" t="s">
        <v>65</v>
      </c>
      <c r="I2884" s="3" t="s">
        <v>65</v>
      </c>
      <c r="J2884" s="3" t="s">
        <v>65</v>
      </c>
      <c r="K2884" s="3" t="s">
        <v>66</v>
      </c>
      <c r="L2884" s="2" t="s">
        <v>28625</v>
      </c>
      <c r="M2884" s="2" t="s">
        <v>28626</v>
      </c>
      <c r="N2884" s="3" t="s">
        <v>525</v>
      </c>
      <c r="P2884" s="3" t="s">
        <v>140</v>
      </c>
      <c r="Q2884" s="2" t="s">
        <v>28627</v>
      </c>
      <c r="R2884" s="3" t="s">
        <v>71</v>
      </c>
      <c r="S2884" s="4">
        <v>3</v>
      </c>
      <c r="T2884" s="4">
        <v>3</v>
      </c>
      <c r="U2884" s="5" t="s">
        <v>28433</v>
      </c>
      <c r="V2884" s="5" t="s">
        <v>28433</v>
      </c>
      <c r="W2884" s="5" t="s">
        <v>72</v>
      </c>
      <c r="X2884" s="5" t="s">
        <v>72</v>
      </c>
      <c r="Y2884" s="4">
        <v>48</v>
      </c>
      <c r="Z2884" s="4">
        <v>5</v>
      </c>
      <c r="AA2884" s="4">
        <v>5</v>
      </c>
      <c r="AB2884" s="4">
        <v>2</v>
      </c>
      <c r="AC2884" s="4">
        <v>2</v>
      </c>
      <c r="AD2884" s="4">
        <v>35</v>
      </c>
      <c r="AE2884" s="4">
        <v>35</v>
      </c>
      <c r="AF2884" s="4">
        <v>1</v>
      </c>
      <c r="AG2884" s="4">
        <v>1</v>
      </c>
      <c r="AH2884" s="4">
        <v>33</v>
      </c>
      <c r="AI2884" s="4">
        <v>33</v>
      </c>
      <c r="AJ2884" s="4">
        <v>3</v>
      </c>
      <c r="AK2884" s="4">
        <v>3</v>
      </c>
      <c r="AL2884" s="4">
        <v>27</v>
      </c>
      <c r="AM2884" s="4">
        <v>27</v>
      </c>
      <c r="AN2884" s="4">
        <v>0</v>
      </c>
      <c r="AO2884" s="4">
        <v>0</v>
      </c>
      <c r="AP2884" s="4">
        <v>3</v>
      </c>
      <c r="AQ2884" s="4">
        <v>3</v>
      </c>
      <c r="AR2884" s="3" t="s">
        <v>65</v>
      </c>
      <c r="AS2884" s="3" t="s">
        <v>65</v>
      </c>
      <c r="AT2884" s="3" t="s">
        <v>209</v>
      </c>
      <c r="AU2884" s="6" t="str">
        <f>HYPERLINK("http://catalog.hathitrust.org/Record/007145226","HathiTrust Record")</f>
        <v>HathiTrust Record</v>
      </c>
      <c r="AV2884" s="6" t="str">
        <f>HYPERLINK("http://mcgill.on.worldcat.org/oclc/57547696","Catalog Record")</f>
        <v>Catalog Record</v>
      </c>
      <c r="AW2884" s="6" t="str">
        <f>HYPERLINK("http://www.worldcat.org/oclc/57547696","WorldCat Record")</f>
        <v>WorldCat Record</v>
      </c>
      <c r="AX2884" s="3" t="s">
        <v>28628</v>
      </c>
      <c r="AY2884" s="3" t="s">
        <v>28629</v>
      </c>
      <c r="AZ2884" s="3" t="s">
        <v>28630</v>
      </c>
      <c r="BA2884" s="3" t="s">
        <v>28630</v>
      </c>
      <c r="BB2884" s="3" t="s">
        <v>28631</v>
      </c>
      <c r="BC2884" s="3" t="s">
        <v>77</v>
      </c>
      <c r="BD2884" s="3" t="s">
        <v>78</v>
      </c>
      <c r="BE2884" s="3" t="s">
        <v>28632</v>
      </c>
      <c r="BF2884" s="3" t="s">
        <v>28631</v>
      </c>
      <c r="BG2884" s="3" t="s">
        <v>28633</v>
      </c>
    </row>
    <row r="2885" spans="1:59" ht="58" x14ac:dyDescent="0.35">
      <c r="A2885" s="2" t="s">
        <v>59</v>
      </c>
      <c r="B2885" s="2" t="s">
        <v>60</v>
      </c>
      <c r="C2885" s="2" t="s">
        <v>28634</v>
      </c>
      <c r="D2885" s="2" t="s">
        <v>28635</v>
      </c>
      <c r="E2885" s="2" t="s">
        <v>28636</v>
      </c>
      <c r="G2885" s="3" t="s">
        <v>65</v>
      </c>
      <c r="I2885" s="3" t="s">
        <v>65</v>
      </c>
      <c r="J2885" s="3" t="s">
        <v>65</v>
      </c>
      <c r="K2885" s="3" t="s">
        <v>66</v>
      </c>
      <c r="L2885" s="2" t="s">
        <v>28637</v>
      </c>
      <c r="M2885" s="2" t="s">
        <v>28638</v>
      </c>
      <c r="N2885" s="3" t="s">
        <v>176</v>
      </c>
      <c r="O2885" s="2" t="s">
        <v>235</v>
      </c>
      <c r="P2885" s="3" t="s">
        <v>140</v>
      </c>
      <c r="R2885" s="3" t="s">
        <v>71</v>
      </c>
      <c r="S2885" s="4">
        <v>0</v>
      </c>
      <c r="T2885" s="4">
        <v>0</v>
      </c>
      <c r="W2885" s="5" t="s">
        <v>72</v>
      </c>
      <c r="X2885" s="5" t="s">
        <v>72</v>
      </c>
      <c r="Y2885" s="4">
        <v>43</v>
      </c>
      <c r="Z2885" s="4">
        <v>3</v>
      </c>
      <c r="AA2885" s="4">
        <v>3</v>
      </c>
      <c r="AB2885" s="4">
        <v>1</v>
      </c>
      <c r="AC2885" s="4">
        <v>1</v>
      </c>
      <c r="AD2885" s="4">
        <v>36</v>
      </c>
      <c r="AE2885" s="4">
        <v>36</v>
      </c>
      <c r="AF2885" s="4">
        <v>0</v>
      </c>
      <c r="AG2885" s="4">
        <v>0</v>
      </c>
      <c r="AH2885" s="4">
        <v>35</v>
      </c>
      <c r="AI2885" s="4">
        <v>35</v>
      </c>
      <c r="AJ2885" s="4">
        <v>1</v>
      </c>
      <c r="AK2885" s="4">
        <v>1</v>
      </c>
      <c r="AL2885" s="4">
        <v>28</v>
      </c>
      <c r="AM2885" s="4">
        <v>28</v>
      </c>
      <c r="AN2885" s="4">
        <v>0</v>
      </c>
      <c r="AO2885" s="4">
        <v>0</v>
      </c>
      <c r="AP2885" s="4">
        <v>1</v>
      </c>
      <c r="AQ2885" s="4">
        <v>1</v>
      </c>
      <c r="AR2885" s="3" t="s">
        <v>65</v>
      </c>
      <c r="AS2885" s="3" t="s">
        <v>65</v>
      </c>
      <c r="AT2885" s="3" t="s">
        <v>65</v>
      </c>
      <c r="AV2885" s="6" t="str">
        <f>HYPERLINK("http://mcgill.on.worldcat.org/oclc/925734411","Catalog Record")</f>
        <v>Catalog Record</v>
      </c>
      <c r="AW2885" s="6" t="str">
        <f>HYPERLINK("http://www.worldcat.org/oclc/925734411","WorldCat Record")</f>
        <v>WorldCat Record</v>
      </c>
      <c r="AX2885" s="3" t="s">
        <v>28639</v>
      </c>
      <c r="AY2885" s="3" t="s">
        <v>28640</v>
      </c>
      <c r="AZ2885" s="3" t="s">
        <v>28641</v>
      </c>
      <c r="BA2885" s="3" t="s">
        <v>28641</v>
      </c>
      <c r="BB2885" s="3" t="s">
        <v>28642</v>
      </c>
      <c r="BC2885" s="3" t="s">
        <v>77</v>
      </c>
      <c r="BD2885" s="3" t="s">
        <v>78</v>
      </c>
      <c r="BE2885" s="3" t="s">
        <v>28643</v>
      </c>
      <c r="BF2885" s="3" t="s">
        <v>28642</v>
      </c>
      <c r="BG2885" s="3" t="s">
        <v>28644</v>
      </c>
    </row>
    <row r="2886" spans="1:59" ht="58" x14ac:dyDescent="0.35">
      <c r="A2886" s="2" t="s">
        <v>59</v>
      </c>
      <c r="B2886" s="2" t="s">
        <v>60</v>
      </c>
      <c r="C2886" s="2" t="s">
        <v>28645</v>
      </c>
      <c r="D2886" s="2" t="s">
        <v>28646</v>
      </c>
      <c r="E2886" s="2" t="s">
        <v>28647</v>
      </c>
      <c r="G2886" s="3" t="s">
        <v>65</v>
      </c>
      <c r="I2886" s="3" t="s">
        <v>65</v>
      </c>
      <c r="J2886" s="3" t="s">
        <v>65</v>
      </c>
      <c r="K2886" s="3" t="s">
        <v>66</v>
      </c>
      <c r="L2886" s="2" t="s">
        <v>28648</v>
      </c>
      <c r="M2886" s="2" t="s">
        <v>28649</v>
      </c>
      <c r="N2886" s="3" t="s">
        <v>126</v>
      </c>
      <c r="P2886" s="3" t="s">
        <v>140</v>
      </c>
      <c r="Q2886" s="2" t="s">
        <v>28650</v>
      </c>
      <c r="R2886" s="3" t="s">
        <v>71</v>
      </c>
      <c r="S2886" s="4">
        <v>1</v>
      </c>
      <c r="T2886" s="4">
        <v>1</v>
      </c>
      <c r="U2886" s="5" t="s">
        <v>28433</v>
      </c>
      <c r="V2886" s="5" t="s">
        <v>28433</v>
      </c>
      <c r="W2886" s="5" t="s">
        <v>72</v>
      </c>
      <c r="X2886" s="5" t="s">
        <v>72</v>
      </c>
      <c r="Y2886" s="4">
        <v>41</v>
      </c>
      <c r="Z2886" s="4">
        <v>5</v>
      </c>
      <c r="AA2886" s="4">
        <v>5</v>
      </c>
      <c r="AB2886" s="4">
        <v>1</v>
      </c>
      <c r="AC2886" s="4">
        <v>1</v>
      </c>
      <c r="AD2886" s="4">
        <v>29</v>
      </c>
      <c r="AE2886" s="4">
        <v>30</v>
      </c>
      <c r="AF2886" s="4">
        <v>0</v>
      </c>
      <c r="AG2886" s="4">
        <v>0</v>
      </c>
      <c r="AH2886" s="4">
        <v>28</v>
      </c>
      <c r="AI2886" s="4">
        <v>29</v>
      </c>
      <c r="AJ2886" s="4">
        <v>3</v>
      </c>
      <c r="AK2886" s="4">
        <v>3</v>
      </c>
      <c r="AL2886" s="4">
        <v>21</v>
      </c>
      <c r="AM2886" s="4">
        <v>22</v>
      </c>
      <c r="AN2886" s="4">
        <v>0</v>
      </c>
      <c r="AO2886" s="4">
        <v>0</v>
      </c>
      <c r="AP2886" s="4">
        <v>3</v>
      </c>
      <c r="AQ2886" s="4">
        <v>3</v>
      </c>
      <c r="AR2886" s="3" t="s">
        <v>65</v>
      </c>
      <c r="AS2886" s="3" t="s">
        <v>65</v>
      </c>
      <c r="AT2886" s="3" t="s">
        <v>65</v>
      </c>
      <c r="AV2886" s="6" t="str">
        <f>HYPERLINK("http://mcgill.on.worldcat.org/oclc/704509699","Catalog Record")</f>
        <v>Catalog Record</v>
      </c>
      <c r="AW2886" s="6" t="str">
        <f>HYPERLINK("http://www.worldcat.org/oclc/704509699","WorldCat Record")</f>
        <v>WorldCat Record</v>
      </c>
      <c r="AX2886" s="3" t="s">
        <v>28651</v>
      </c>
      <c r="AY2886" s="3" t="s">
        <v>28652</v>
      </c>
      <c r="AZ2886" s="3" t="s">
        <v>28653</v>
      </c>
      <c r="BA2886" s="3" t="s">
        <v>28653</v>
      </c>
      <c r="BB2886" s="3" t="s">
        <v>28654</v>
      </c>
      <c r="BC2886" s="3" t="s">
        <v>77</v>
      </c>
      <c r="BD2886" s="3" t="s">
        <v>78</v>
      </c>
      <c r="BE2886" s="3" t="s">
        <v>28655</v>
      </c>
      <c r="BF2886" s="3" t="s">
        <v>28654</v>
      </c>
      <c r="BG2886" s="3" t="s">
        <v>28656</v>
      </c>
    </row>
    <row r="2887" spans="1:59" ht="58" x14ac:dyDescent="0.35">
      <c r="A2887" s="2" t="s">
        <v>59</v>
      </c>
      <c r="B2887" s="2" t="s">
        <v>60</v>
      </c>
      <c r="C2887" s="2" t="s">
        <v>28657</v>
      </c>
      <c r="D2887" s="2" t="s">
        <v>28658</v>
      </c>
      <c r="E2887" s="2" t="s">
        <v>28659</v>
      </c>
      <c r="G2887" s="3" t="s">
        <v>65</v>
      </c>
      <c r="I2887" s="3" t="s">
        <v>65</v>
      </c>
      <c r="J2887" s="3" t="s">
        <v>65</v>
      </c>
      <c r="K2887" s="3" t="s">
        <v>66</v>
      </c>
      <c r="L2887" s="2" t="s">
        <v>5946</v>
      </c>
      <c r="M2887" s="2" t="s">
        <v>17886</v>
      </c>
      <c r="N2887" s="3" t="s">
        <v>139</v>
      </c>
      <c r="P2887" s="3" t="s">
        <v>140</v>
      </c>
      <c r="Q2887" s="2" t="s">
        <v>17887</v>
      </c>
      <c r="R2887" s="3" t="s">
        <v>71</v>
      </c>
      <c r="S2887" s="4">
        <v>1</v>
      </c>
      <c r="T2887" s="4">
        <v>1</v>
      </c>
      <c r="U2887" s="5" t="s">
        <v>5949</v>
      </c>
      <c r="V2887" s="5" t="s">
        <v>5949</v>
      </c>
      <c r="W2887" s="5" t="s">
        <v>72</v>
      </c>
      <c r="X2887" s="5" t="s">
        <v>72</v>
      </c>
      <c r="Y2887" s="4">
        <v>38</v>
      </c>
      <c r="Z2887" s="4">
        <v>3</v>
      </c>
      <c r="AA2887" s="4">
        <v>3</v>
      </c>
      <c r="AB2887" s="4">
        <v>1</v>
      </c>
      <c r="AC2887" s="4">
        <v>1</v>
      </c>
      <c r="AD2887" s="4">
        <v>25</v>
      </c>
      <c r="AE2887" s="4">
        <v>25</v>
      </c>
      <c r="AF2887" s="4">
        <v>0</v>
      </c>
      <c r="AG2887" s="4">
        <v>0</v>
      </c>
      <c r="AH2887" s="4">
        <v>24</v>
      </c>
      <c r="AI2887" s="4">
        <v>24</v>
      </c>
      <c r="AJ2887" s="4">
        <v>2</v>
      </c>
      <c r="AK2887" s="4">
        <v>2</v>
      </c>
      <c r="AL2887" s="4">
        <v>17</v>
      </c>
      <c r="AM2887" s="4">
        <v>17</v>
      </c>
      <c r="AN2887" s="4">
        <v>0</v>
      </c>
      <c r="AO2887" s="4">
        <v>0</v>
      </c>
      <c r="AP2887" s="4">
        <v>2</v>
      </c>
      <c r="AQ2887" s="4">
        <v>2</v>
      </c>
      <c r="AR2887" s="3" t="s">
        <v>65</v>
      </c>
      <c r="AS2887" s="3" t="s">
        <v>65</v>
      </c>
      <c r="AT2887" s="3" t="s">
        <v>65</v>
      </c>
      <c r="AV2887" s="6" t="str">
        <f>HYPERLINK("http://mcgill.on.worldcat.org/oclc/812249766","Catalog Record")</f>
        <v>Catalog Record</v>
      </c>
      <c r="AW2887" s="6" t="str">
        <f>HYPERLINK("http://www.worldcat.org/oclc/812249766","WorldCat Record")</f>
        <v>WorldCat Record</v>
      </c>
      <c r="AX2887" s="3" t="s">
        <v>28660</v>
      </c>
      <c r="AY2887" s="3" t="s">
        <v>28661</v>
      </c>
      <c r="AZ2887" s="3" t="s">
        <v>28662</v>
      </c>
      <c r="BA2887" s="3" t="s">
        <v>28662</v>
      </c>
      <c r="BB2887" s="3" t="s">
        <v>28663</v>
      </c>
      <c r="BC2887" s="3" t="s">
        <v>77</v>
      </c>
      <c r="BD2887" s="3" t="s">
        <v>78</v>
      </c>
      <c r="BE2887" s="3" t="s">
        <v>28664</v>
      </c>
      <c r="BF2887" s="3" t="s">
        <v>28663</v>
      </c>
      <c r="BG2887" s="3" t="s">
        <v>28665</v>
      </c>
    </row>
    <row r="2888" spans="1:59" ht="58" x14ac:dyDescent="0.35">
      <c r="A2888" s="2" t="s">
        <v>59</v>
      </c>
      <c r="B2888" s="2" t="s">
        <v>60</v>
      </c>
      <c r="C2888" s="2" t="s">
        <v>28666</v>
      </c>
      <c r="D2888" s="2" t="s">
        <v>28667</v>
      </c>
      <c r="E2888" s="2" t="s">
        <v>28668</v>
      </c>
      <c r="G2888" s="3" t="s">
        <v>65</v>
      </c>
      <c r="I2888" s="3" t="s">
        <v>65</v>
      </c>
      <c r="J2888" s="3" t="s">
        <v>65</v>
      </c>
      <c r="K2888" s="3" t="s">
        <v>66</v>
      </c>
      <c r="L2888" s="2" t="s">
        <v>5946</v>
      </c>
      <c r="M2888" s="2" t="s">
        <v>28669</v>
      </c>
      <c r="N2888" s="3" t="s">
        <v>2210</v>
      </c>
      <c r="P2888" s="3" t="s">
        <v>140</v>
      </c>
      <c r="Q2888" s="2" t="s">
        <v>28670</v>
      </c>
      <c r="R2888" s="3" t="s">
        <v>71</v>
      </c>
      <c r="S2888" s="4">
        <v>3</v>
      </c>
      <c r="T2888" s="4">
        <v>3</v>
      </c>
      <c r="U2888" s="5" t="s">
        <v>5949</v>
      </c>
      <c r="V2888" s="5" t="s">
        <v>5949</v>
      </c>
      <c r="W2888" s="5" t="s">
        <v>72</v>
      </c>
      <c r="X2888" s="5" t="s">
        <v>72</v>
      </c>
      <c r="Y2888" s="4">
        <v>59</v>
      </c>
      <c r="Z2888" s="4">
        <v>5</v>
      </c>
      <c r="AA2888" s="4">
        <v>6</v>
      </c>
      <c r="AB2888" s="4">
        <v>2</v>
      </c>
      <c r="AC2888" s="4">
        <v>3</v>
      </c>
      <c r="AD2888" s="4">
        <v>40</v>
      </c>
      <c r="AE2888" s="4">
        <v>41</v>
      </c>
      <c r="AF2888" s="4">
        <v>1</v>
      </c>
      <c r="AG2888" s="4">
        <v>2</v>
      </c>
      <c r="AH2888" s="4">
        <v>38</v>
      </c>
      <c r="AI2888" s="4">
        <v>38</v>
      </c>
      <c r="AJ2888" s="4">
        <v>3</v>
      </c>
      <c r="AK2888" s="4">
        <v>4</v>
      </c>
      <c r="AL2888" s="4">
        <v>28</v>
      </c>
      <c r="AM2888" s="4">
        <v>28</v>
      </c>
      <c r="AN2888" s="4">
        <v>0</v>
      </c>
      <c r="AO2888" s="4">
        <v>0</v>
      </c>
      <c r="AP2888" s="4">
        <v>3</v>
      </c>
      <c r="AQ2888" s="4">
        <v>3</v>
      </c>
      <c r="AR2888" s="3" t="s">
        <v>65</v>
      </c>
      <c r="AS2888" s="3" t="s">
        <v>65</v>
      </c>
      <c r="AT2888" s="3" t="s">
        <v>209</v>
      </c>
      <c r="AU2888" s="6" t="str">
        <f>HYPERLINK("http://catalog.hathitrust.org/Record/004308276","HathiTrust Record")</f>
        <v>HathiTrust Record</v>
      </c>
      <c r="AV2888" s="6" t="str">
        <f>HYPERLINK("http://mcgill.on.worldcat.org/oclc/52031311","Catalog Record")</f>
        <v>Catalog Record</v>
      </c>
      <c r="AW2888" s="6" t="str">
        <f>HYPERLINK("http://www.worldcat.org/oclc/52031311","WorldCat Record")</f>
        <v>WorldCat Record</v>
      </c>
      <c r="AX2888" s="3" t="s">
        <v>28671</v>
      </c>
      <c r="AY2888" s="3" t="s">
        <v>28672</v>
      </c>
      <c r="AZ2888" s="3" t="s">
        <v>28673</v>
      </c>
      <c r="BA2888" s="3" t="s">
        <v>28673</v>
      </c>
      <c r="BB2888" s="3" t="s">
        <v>28674</v>
      </c>
      <c r="BC2888" s="3" t="s">
        <v>77</v>
      </c>
      <c r="BD2888" s="3" t="s">
        <v>78</v>
      </c>
      <c r="BE2888" s="3" t="s">
        <v>28675</v>
      </c>
      <c r="BF2888" s="3" t="s">
        <v>28674</v>
      </c>
      <c r="BG2888" s="3" t="s">
        <v>28676</v>
      </c>
    </row>
    <row r="2889" spans="1:59" ht="58" x14ac:dyDescent="0.35">
      <c r="A2889" s="2" t="s">
        <v>59</v>
      </c>
      <c r="B2889" s="2" t="s">
        <v>60</v>
      </c>
      <c r="C2889" s="2" t="s">
        <v>28677</v>
      </c>
      <c r="D2889" s="2" t="s">
        <v>28678</v>
      </c>
      <c r="E2889" s="2" t="s">
        <v>28679</v>
      </c>
      <c r="G2889" s="3" t="s">
        <v>65</v>
      </c>
      <c r="I2889" s="3" t="s">
        <v>65</v>
      </c>
      <c r="J2889" s="3" t="s">
        <v>65</v>
      </c>
      <c r="K2889" s="3" t="s">
        <v>66</v>
      </c>
      <c r="M2889" s="2" t="s">
        <v>28680</v>
      </c>
      <c r="N2889" s="3" t="s">
        <v>1122</v>
      </c>
      <c r="P2889" s="3" t="s">
        <v>69</v>
      </c>
      <c r="R2889" s="3" t="s">
        <v>71</v>
      </c>
      <c r="S2889" s="4">
        <v>3</v>
      </c>
      <c r="T2889" s="4">
        <v>3</v>
      </c>
      <c r="U2889" s="5" t="s">
        <v>4056</v>
      </c>
      <c r="V2889" s="5" t="s">
        <v>4056</v>
      </c>
      <c r="W2889" s="5" t="s">
        <v>72</v>
      </c>
      <c r="X2889" s="5" t="s">
        <v>72</v>
      </c>
      <c r="Y2889" s="4">
        <v>55</v>
      </c>
      <c r="Z2889" s="4">
        <v>11</v>
      </c>
      <c r="AA2889" s="4">
        <v>12</v>
      </c>
      <c r="AB2889" s="4">
        <v>2</v>
      </c>
      <c r="AC2889" s="4">
        <v>3</v>
      </c>
      <c r="AD2889" s="4">
        <v>34</v>
      </c>
      <c r="AE2889" s="4">
        <v>36</v>
      </c>
      <c r="AF2889" s="4">
        <v>0</v>
      </c>
      <c r="AG2889" s="4">
        <v>0</v>
      </c>
      <c r="AH2889" s="4">
        <v>31</v>
      </c>
      <c r="AI2889" s="4">
        <v>33</v>
      </c>
      <c r="AJ2889" s="4">
        <v>7</v>
      </c>
      <c r="AK2889" s="4">
        <v>7</v>
      </c>
      <c r="AL2889" s="4">
        <v>20</v>
      </c>
      <c r="AM2889" s="4">
        <v>20</v>
      </c>
      <c r="AN2889" s="4">
        <v>0</v>
      </c>
      <c r="AO2889" s="4">
        <v>0</v>
      </c>
      <c r="AP2889" s="4">
        <v>7</v>
      </c>
      <c r="AQ2889" s="4">
        <v>7</v>
      </c>
      <c r="AR2889" s="3" t="s">
        <v>65</v>
      </c>
      <c r="AS2889" s="3" t="s">
        <v>65</v>
      </c>
      <c r="AT2889" s="3" t="s">
        <v>65</v>
      </c>
      <c r="AV2889" s="6" t="str">
        <f>HYPERLINK("http://mcgill.on.worldcat.org/oclc/262509369","Catalog Record")</f>
        <v>Catalog Record</v>
      </c>
      <c r="AW2889" s="6" t="str">
        <f>HYPERLINK("http://www.worldcat.org/oclc/262509369","WorldCat Record")</f>
        <v>WorldCat Record</v>
      </c>
      <c r="AX2889" s="3" t="s">
        <v>28681</v>
      </c>
      <c r="AY2889" s="3" t="s">
        <v>28682</v>
      </c>
      <c r="AZ2889" s="3" t="s">
        <v>28683</v>
      </c>
      <c r="BA2889" s="3" t="s">
        <v>28683</v>
      </c>
      <c r="BB2889" s="3" t="s">
        <v>28684</v>
      </c>
      <c r="BC2889" s="3" t="s">
        <v>77</v>
      </c>
      <c r="BD2889" s="3" t="s">
        <v>78</v>
      </c>
      <c r="BE2889" s="3" t="s">
        <v>28685</v>
      </c>
      <c r="BF2889" s="3" t="s">
        <v>28684</v>
      </c>
      <c r="BG2889" s="3" t="s">
        <v>28686</v>
      </c>
    </row>
    <row r="2890" spans="1:59" ht="58" x14ac:dyDescent="0.35">
      <c r="A2890" s="2" t="s">
        <v>59</v>
      </c>
      <c r="B2890" s="2" t="s">
        <v>60</v>
      </c>
      <c r="C2890" s="2" t="s">
        <v>28687</v>
      </c>
      <c r="D2890" s="2" t="s">
        <v>28688</v>
      </c>
      <c r="E2890" s="2" t="s">
        <v>28689</v>
      </c>
      <c r="G2890" s="3" t="s">
        <v>65</v>
      </c>
      <c r="I2890" s="3" t="s">
        <v>65</v>
      </c>
      <c r="J2890" s="3" t="s">
        <v>65</v>
      </c>
      <c r="K2890" s="3" t="s">
        <v>66</v>
      </c>
      <c r="L2890" s="2" t="s">
        <v>28690</v>
      </c>
      <c r="M2890" s="2" t="s">
        <v>28691</v>
      </c>
      <c r="N2890" s="3" t="s">
        <v>176</v>
      </c>
      <c r="O2890" s="2" t="s">
        <v>235</v>
      </c>
      <c r="P2890" s="3" t="s">
        <v>140</v>
      </c>
      <c r="Q2890" s="2" t="s">
        <v>28692</v>
      </c>
      <c r="R2890" s="3" t="s">
        <v>71</v>
      </c>
      <c r="S2890" s="4">
        <v>0</v>
      </c>
      <c r="T2890" s="4">
        <v>0</v>
      </c>
      <c r="W2890" s="5" t="s">
        <v>72</v>
      </c>
      <c r="X2890" s="5" t="s">
        <v>72</v>
      </c>
      <c r="Y2890" s="4">
        <v>48</v>
      </c>
      <c r="Z2890" s="4">
        <v>4</v>
      </c>
      <c r="AA2890" s="4">
        <v>4</v>
      </c>
      <c r="AB2890" s="4">
        <v>1</v>
      </c>
      <c r="AC2890" s="4">
        <v>1</v>
      </c>
      <c r="AD2890" s="4">
        <v>35</v>
      </c>
      <c r="AE2890" s="4">
        <v>35</v>
      </c>
      <c r="AF2890" s="4">
        <v>0</v>
      </c>
      <c r="AG2890" s="4">
        <v>0</v>
      </c>
      <c r="AH2890" s="4">
        <v>34</v>
      </c>
      <c r="AI2890" s="4">
        <v>34</v>
      </c>
      <c r="AJ2890" s="4">
        <v>2</v>
      </c>
      <c r="AK2890" s="4">
        <v>2</v>
      </c>
      <c r="AL2890" s="4">
        <v>27</v>
      </c>
      <c r="AM2890" s="4">
        <v>27</v>
      </c>
      <c r="AN2890" s="4">
        <v>0</v>
      </c>
      <c r="AO2890" s="4">
        <v>0</v>
      </c>
      <c r="AP2890" s="4">
        <v>2</v>
      </c>
      <c r="AQ2890" s="4">
        <v>2</v>
      </c>
      <c r="AR2890" s="3" t="s">
        <v>65</v>
      </c>
      <c r="AS2890" s="3" t="s">
        <v>65</v>
      </c>
      <c r="AT2890" s="3" t="s">
        <v>65</v>
      </c>
      <c r="AV2890" s="6" t="str">
        <f>HYPERLINK("http://mcgill.on.worldcat.org/oclc/928638595","Catalog Record")</f>
        <v>Catalog Record</v>
      </c>
      <c r="AW2890" s="6" t="str">
        <f>HYPERLINK("http://www.worldcat.org/oclc/928638595","WorldCat Record")</f>
        <v>WorldCat Record</v>
      </c>
      <c r="AX2890" s="3" t="s">
        <v>28693</v>
      </c>
      <c r="AY2890" s="3" t="s">
        <v>28694</v>
      </c>
      <c r="AZ2890" s="3" t="s">
        <v>28695</v>
      </c>
      <c r="BA2890" s="3" t="s">
        <v>28695</v>
      </c>
      <c r="BB2890" s="3" t="s">
        <v>28696</v>
      </c>
      <c r="BC2890" s="3" t="s">
        <v>77</v>
      </c>
      <c r="BD2890" s="3" t="s">
        <v>78</v>
      </c>
      <c r="BE2890" s="3" t="s">
        <v>28697</v>
      </c>
      <c r="BF2890" s="3" t="s">
        <v>28696</v>
      </c>
      <c r="BG2890" s="3" t="s">
        <v>28698</v>
      </c>
    </row>
    <row r="2891" spans="1:59" ht="72.5" x14ac:dyDescent="0.35">
      <c r="A2891" s="2" t="s">
        <v>59</v>
      </c>
      <c r="B2891" s="2" t="s">
        <v>60</v>
      </c>
      <c r="C2891" s="2" t="s">
        <v>28699</v>
      </c>
      <c r="D2891" s="2" t="s">
        <v>28700</v>
      </c>
      <c r="E2891" s="2" t="s">
        <v>28701</v>
      </c>
      <c r="G2891" s="3" t="s">
        <v>65</v>
      </c>
      <c r="I2891" s="3" t="s">
        <v>65</v>
      </c>
      <c r="J2891" s="3" t="s">
        <v>65</v>
      </c>
      <c r="K2891" s="3" t="s">
        <v>66</v>
      </c>
      <c r="L2891" s="2" t="s">
        <v>28702</v>
      </c>
      <c r="M2891" s="2" t="s">
        <v>28703</v>
      </c>
      <c r="N2891" s="3" t="s">
        <v>126</v>
      </c>
      <c r="O2891" s="2" t="s">
        <v>365</v>
      </c>
      <c r="P2891" s="3" t="s">
        <v>140</v>
      </c>
      <c r="Q2891" s="2" t="s">
        <v>28704</v>
      </c>
      <c r="R2891" s="3" t="s">
        <v>71</v>
      </c>
      <c r="S2891" s="4">
        <v>0</v>
      </c>
      <c r="T2891" s="4">
        <v>0</v>
      </c>
      <c r="W2891" s="5" t="s">
        <v>72</v>
      </c>
      <c r="X2891" s="5" t="s">
        <v>72</v>
      </c>
      <c r="Y2891" s="4">
        <v>20</v>
      </c>
      <c r="Z2891" s="4">
        <v>2</v>
      </c>
      <c r="AA2891" s="4">
        <v>4</v>
      </c>
      <c r="AB2891" s="4">
        <v>1</v>
      </c>
      <c r="AC2891" s="4">
        <v>1</v>
      </c>
      <c r="AD2891" s="4">
        <v>11</v>
      </c>
      <c r="AE2891" s="4">
        <v>18</v>
      </c>
      <c r="AF2891" s="4">
        <v>0</v>
      </c>
      <c r="AG2891" s="4">
        <v>0</v>
      </c>
      <c r="AH2891" s="4">
        <v>11</v>
      </c>
      <c r="AI2891" s="4">
        <v>17</v>
      </c>
      <c r="AJ2891" s="4">
        <v>1</v>
      </c>
      <c r="AK2891" s="4">
        <v>2</v>
      </c>
      <c r="AL2891" s="4">
        <v>7</v>
      </c>
      <c r="AM2891" s="4">
        <v>13</v>
      </c>
      <c r="AN2891" s="4">
        <v>0</v>
      </c>
      <c r="AO2891" s="4">
        <v>0</v>
      </c>
      <c r="AP2891" s="4">
        <v>1</v>
      </c>
      <c r="AQ2891" s="4">
        <v>2</v>
      </c>
      <c r="AR2891" s="3" t="s">
        <v>65</v>
      </c>
      <c r="AS2891" s="3" t="s">
        <v>65</v>
      </c>
      <c r="AT2891" s="3" t="s">
        <v>65</v>
      </c>
      <c r="AV2891" s="6" t="str">
        <f>HYPERLINK("http://mcgill.on.worldcat.org/oclc/773667898","Catalog Record")</f>
        <v>Catalog Record</v>
      </c>
      <c r="AW2891" s="6" t="str">
        <f>HYPERLINK("http://www.worldcat.org/oclc/773667898","WorldCat Record")</f>
        <v>WorldCat Record</v>
      </c>
      <c r="AX2891" s="3" t="s">
        <v>28705</v>
      </c>
      <c r="AY2891" s="3" t="s">
        <v>28706</v>
      </c>
      <c r="AZ2891" s="3" t="s">
        <v>28707</v>
      </c>
      <c r="BA2891" s="3" t="s">
        <v>28707</v>
      </c>
      <c r="BB2891" s="3" t="s">
        <v>28708</v>
      </c>
      <c r="BC2891" s="3" t="s">
        <v>77</v>
      </c>
      <c r="BD2891" s="3" t="s">
        <v>78</v>
      </c>
      <c r="BE2891" s="3" t="s">
        <v>28709</v>
      </c>
      <c r="BF2891" s="3" t="s">
        <v>28708</v>
      </c>
      <c r="BG2891" s="3" t="s">
        <v>28710</v>
      </c>
    </row>
    <row r="2892" spans="1:59" ht="58" x14ac:dyDescent="0.35">
      <c r="A2892" s="2" t="s">
        <v>59</v>
      </c>
      <c r="B2892" s="2" t="s">
        <v>60</v>
      </c>
      <c r="C2892" s="2" t="s">
        <v>28711</v>
      </c>
      <c r="D2892" s="2" t="s">
        <v>28712</v>
      </c>
      <c r="E2892" s="2" t="s">
        <v>28713</v>
      </c>
      <c r="G2892" s="3" t="s">
        <v>65</v>
      </c>
      <c r="I2892" s="3" t="s">
        <v>65</v>
      </c>
      <c r="J2892" s="3" t="s">
        <v>65</v>
      </c>
      <c r="K2892" s="3" t="s">
        <v>66</v>
      </c>
      <c r="L2892" s="2" t="s">
        <v>28714</v>
      </c>
      <c r="M2892" s="2" t="s">
        <v>28715</v>
      </c>
      <c r="N2892" s="3" t="s">
        <v>188</v>
      </c>
      <c r="P2892" s="3" t="s">
        <v>140</v>
      </c>
      <c r="Q2892" s="2" t="s">
        <v>28716</v>
      </c>
      <c r="R2892" s="3" t="s">
        <v>71</v>
      </c>
      <c r="S2892" s="4">
        <v>0</v>
      </c>
      <c r="T2892" s="4">
        <v>0</v>
      </c>
      <c r="W2892" s="5" t="s">
        <v>72</v>
      </c>
      <c r="X2892" s="5" t="s">
        <v>72</v>
      </c>
      <c r="Y2892" s="4">
        <v>40</v>
      </c>
      <c r="Z2892" s="4">
        <v>2</v>
      </c>
      <c r="AA2892" s="4">
        <v>2</v>
      </c>
      <c r="AB2892" s="4">
        <v>1</v>
      </c>
      <c r="AC2892" s="4">
        <v>1</v>
      </c>
      <c r="AD2892" s="4">
        <v>25</v>
      </c>
      <c r="AE2892" s="4">
        <v>25</v>
      </c>
      <c r="AF2892" s="4">
        <v>0</v>
      </c>
      <c r="AG2892" s="4">
        <v>0</v>
      </c>
      <c r="AH2892" s="4">
        <v>24</v>
      </c>
      <c r="AI2892" s="4">
        <v>24</v>
      </c>
      <c r="AJ2892" s="4">
        <v>1</v>
      </c>
      <c r="AK2892" s="4">
        <v>1</v>
      </c>
      <c r="AL2892" s="4">
        <v>17</v>
      </c>
      <c r="AM2892" s="4">
        <v>17</v>
      </c>
      <c r="AN2892" s="4">
        <v>0</v>
      </c>
      <c r="AO2892" s="4">
        <v>0</v>
      </c>
      <c r="AP2892" s="4">
        <v>1</v>
      </c>
      <c r="AQ2892" s="4">
        <v>1</v>
      </c>
      <c r="AR2892" s="3" t="s">
        <v>65</v>
      </c>
      <c r="AS2892" s="3" t="s">
        <v>65</v>
      </c>
      <c r="AT2892" s="3" t="s">
        <v>65</v>
      </c>
      <c r="AV2892" s="6" t="str">
        <f>HYPERLINK("http://mcgill.on.worldcat.org/oclc/987024452","Catalog Record")</f>
        <v>Catalog Record</v>
      </c>
      <c r="AW2892" s="6" t="str">
        <f>HYPERLINK("http://www.worldcat.org/oclc/987024452","WorldCat Record")</f>
        <v>WorldCat Record</v>
      </c>
      <c r="AX2892" s="3" t="s">
        <v>28717</v>
      </c>
      <c r="AY2892" s="3" t="s">
        <v>28718</v>
      </c>
      <c r="AZ2892" s="3" t="s">
        <v>28719</v>
      </c>
      <c r="BA2892" s="3" t="s">
        <v>28719</v>
      </c>
      <c r="BB2892" s="3" t="s">
        <v>28720</v>
      </c>
      <c r="BC2892" s="3" t="s">
        <v>77</v>
      </c>
      <c r="BD2892" s="3" t="s">
        <v>78</v>
      </c>
      <c r="BE2892" s="3" t="s">
        <v>28721</v>
      </c>
      <c r="BF2892" s="3" t="s">
        <v>28720</v>
      </c>
      <c r="BG2892" s="3" t="s">
        <v>28722</v>
      </c>
    </row>
    <row r="2893" spans="1:59" ht="58" x14ac:dyDescent="0.35">
      <c r="A2893" s="2" t="s">
        <v>59</v>
      </c>
      <c r="B2893" s="2" t="s">
        <v>60</v>
      </c>
      <c r="C2893" s="2" t="s">
        <v>28723</v>
      </c>
      <c r="D2893" s="2" t="s">
        <v>28724</v>
      </c>
      <c r="E2893" s="2" t="s">
        <v>28725</v>
      </c>
      <c r="G2893" s="3" t="s">
        <v>65</v>
      </c>
      <c r="I2893" s="3" t="s">
        <v>65</v>
      </c>
      <c r="J2893" s="3" t="s">
        <v>65</v>
      </c>
      <c r="K2893" s="3" t="s">
        <v>66</v>
      </c>
      <c r="L2893" s="2" t="s">
        <v>28726</v>
      </c>
      <c r="M2893" s="2" t="s">
        <v>28727</v>
      </c>
      <c r="N2893" s="3" t="s">
        <v>139</v>
      </c>
      <c r="O2893" s="2" t="s">
        <v>379</v>
      </c>
      <c r="P2893" s="3" t="s">
        <v>140</v>
      </c>
      <c r="Q2893" s="2" t="s">
        <v>28728</v>
      </c>
      <c r="R2893" s="3" t="s">
        <v>71</v>
      </c>
      <c r="S2893" s="4">
        <v>0</v>
      </c>
      <c r="T2893" s="4">
        <v>0</v>
      </c>
      <c r="W2893" s="5" t="s">
        <v>72</v>
      </c>
      <c r="X2893" s="5" t="s">
        <v>72</v>
      </c>
      <c r="Y2893" s="4">
        <v>22</v>
      </c>
      <c r="Z2893" s="4">
        <v>2</v>
      </c>
      <c r="AA2893" s="4">
        <v>2</v>
      </c>
      <c r="AB2893" s="4">
        <v>1</v>
      </c>
      <c r="AC2893" s="4">
        <v>1</v>
      </c>
      <c r="AD2893" s="4">
        <v>16</v>
      </c>
      <c r="AE2893" s="4">
        <v>16</v>
      </c>
      <c r="AF2893" s="4">
        <v>0</v>
      </c>
      <c r="AG2893" s="4">
        <v>0</v>
      </c>
      <c r="AH2893" s="4">
        <v>16</v>
      </c>
      <c r="AI2893" s="4">
        <v>16</v>
      </c>
      <c r="AJ2893" s="4">
        <v>1</v>
      </c>
      <c r="AK2893" s="4">
        <v>1</v>
      </c>
      <c r="AL2893" s="4">
        <v>12</v>
      </c>
      <c r="AM2893" s="4">
        <v>12</v>
      </c>
      <c r="AN2893" s="4">
        <v>0</v>
      </c>
      <c r="AO2893" s="4">
        <v>0</v>
      </c>
      <c r="AP2893" s="4">
        <v>1</v>
      </c>
      <c r="AQ2893" s="4">
        <v>1</v>
      </c>
      <c r="AR2893" s="3" t="s">
        <v>65</v>
      </c>
      <c r="AS2893" s="3" t="s">
        <v>65</v>
      </c>
      <c r="AT2893" s="3" t="s">
        <v>65</v>
      </c>
      <c r="AV2893" s="6" t="str">
        <f>HYPERLINK("http://mcgill.on.worldcat.org/oclc/823205790","Catalog Record")</f>
        <v>Catalog Record</v>
      </c>
      <c r="AW2893" s="6" t="str">
        <f>HYPERLINK("http://www.worldcat.org/oclc/823205790","WorldCat Record")</f>
        <v>WorldCat Record</v>
      </c>
      <c r="AX2893" s="3" t="s">
        <v>28729</v>
      </c>
      <c r="AY2893" s="3" t="s">
        <v>28730</v>
      </c>
      <c r="AZ2893" s="3" t="s">
        <v>28731</v>
      </c>
      <c r="BA2893" s="3" t="s">
        <v>28731</v>
      </c>
      <c r="BB2893" s="3" t="s">
        <v>28732</v>
      </c>
      <c r="BC2893" s="3" t="s">
        <v>77</v>
      </c>
      <c r="BD2893" s="3" t="s">
        <v>78</v>
      </c>
      <c r="BE2893" s="3" t="s">
        <v>28733</v>
      </c>
      <c r="BF2893" s="3" t="s">
        <v>28732</v>
      </c>
      <c r="BG2893" s="3" t="s">
        <v>28734</v>
      </c>
    </row>
    <row r="2894" spans="1:59" ht="58" x14ac:dyDescent="0.35">
      <c r="A2894" s="2" t="s">
        <v>59</v>
      </c>
      <c r="B2894" s="2" t="s">
        <v>60</v>
      </c>
      <c r="C2894" s="2" t="s">
        <v>28735</v>
      </c>
      <c r="D2894" s="2" t="s">
        <v>28736</v>
      </c>
      <c r="E2894" s="2" t="s">
        <v>28737</v>
      </c>
      <c r="G2894" s="3" t="s">
        <v>65</v>
      </c>
      <c r="I2894" s="3" t="s">
        <v>65</v>
      </c>
      <c r="J2894" s="3" t="s">
        <v>65</v>
      </c>
      <c r="K2894" s="3" t="s">
        <v>66</v>
      </c>
      <c r="M2894" s="2" t="s">
        <v>28738</v>
      </c>
      <c r="N2894" s="3" t="s">
        <v>3385</v>
      </c>
      <c r="P2894" s="3" t="s">
        <v>69</v>
      </c>
      <c r="Q2894" s="2" t="s">
        <v>10912</v>
      </c>
      <c r="R2894" s="3" t="s">
        <v>71</v>
      </c>
      <c r="S2894" s="4">
        <v>48</v>
      </c>
      <c r="T2894" s="4">
        <v>48</v>
      </c>
      <c r="U2894" s="5" t="s">
        <v>8716</v>
      </c>
      <c r="V2894" s="5" t="s">
        <v>8716</v>
      </c>
      <c r="W2894" s="5" t="s">
        <v>72</v>
      </c>
      <c r="X2894" s="5" t="s">
        <v>72</v>
      </c>
      <c r="Y2894" s="4">
        <v>151</v>
      </c>
      <c r="Z2894" s="4">
        <v>9</v>
      </c>
      <c r="AA2894" s="4">
        <v>9</v>
      </c>
      <c r="AB2894" s="4">
        <v>2</v>
      </c>
      <c r="AC2894" s="4">
        <v>2</v>
      </c>
      <c r="AD2894" s="4">
        <v>78</v>
      </c>
      <c r="AE2894" s="4">
        <v>78</v>
      </c>
      <c r="AF2894" s="4">
        <v>1</v>
      </c>
      <c r="AG2894" s="4">
        <v>1</v>
      </c>
      <c r="AH2894" s="4">
        <v>72</v>
      </c>
      <c r="AI2894" s="4">
        <v>72</v>
      </c>
      <c r="AJ2894" s="4">
        <v>7</v>
      </c>
      <c r="AK2894" s="4">
        <v>7</v>
      </c>
      <c r="AL2894" s="4">
        <v>46</v>
      </c>
      <c r="AM2894" s="4">
        <v>46</v>
      </c>
      <c r="AN2894" s="4">
        <v>0</v>
      </c>
      <c r="AO2894" s="4">
        <v>0</v>
      </c>
      <c r="AP2894" s="4">
        <v>7</v>
      </c>
      <c r="AQ2894" s="4">
        <v>7</v>
      </c>
      <c r="AR2894" s="3" t="s">
        <v>65</v>
      </c>
      <c r="AS2894" s="3" t="s">
        <v>65</v>
      </c>
      <c r="AT2894" s="3" t="s">
        <v>209</v>
      </c>
      <c r="AU2894" s="6" t="str">
        <f>HYPERLINK("http://catalog.hathitrust.org/Record/004045001","HathiTrust Record")</f>
        <v>HathiTrust Record</v>
      </c>
      <c r="AV2894" s="6" t="str">
        <f>HYPERLINK("http://mcgill.on.worldcat.org/oclc/40645931","Catalog Record")</f>
        <v>Catalog Record</v>
      </c>
      <c r="AW2894" s="6" t="str">
        <f>HYPERLINK("http://www.worldcat.org/oclc/40645931","WorldCat Record")</f>
        <v>WorldCat Record</v>
      </c>
      <c r="AX2894" s="3" t="s">
        <v>28739</v>
      </c>
      <c r="AY2894" s="3" t="s">
        <v>28740</v>
      </c>
      <c r="AZ2894" s="3" t="s">
        <v>28741</v>
      </c>
      <c r="BA2894" s="3" t="s">
        <v>28741</v>
      </c>
      <c r="BB2894" s="3" t="s">
        <v>28742</v>
      </c>
      <c r="BC2894" s="3" t="s">
        <v>77</v>
      </c>
      <c r="BD2894" s="3" t="s">
        <v>78</v>
      </c>
      <c r="BE2894" s="3" t="s">
        <v>28743</v>
      </c>
      <c r="BF2894" s="3" t="s">
        <v>28742</v>
      </c>
      <c r="BG2894" s="3" t="s">
        <v>28744</v>
      </c>
    </row>
    <row r="2895" spans="1:59" ht="72.5" x14ac:dyDescent="0.35">
      <c r="A2895" s="2" t="s">
        <v>59</v>
      </c>
      <c r="B2895" s="2" t="s">
        <v>60</v>
      </c>
      <c r="C2895" s="2" t="s">
        <v>28745</v>
      </c>
      <c r="D2895" s="2" t="s">
        <v>28746</v>
      </c>
      <c r="E2895" s="2" t="s">
        <v>28747</v>
      </c>
      <c r="G2895" s="3" t="s">
        <v>65</v>
      </c>
      <c r="I2895" s="3" t="s">
        <v>65</v>
      </c>
      <c r="J2895" s="3" t="s">
        <v>65</v>
      </c>
      <c r="K2895" s="3" t="s">
        <v>66</v>
      </c>
      <c r="L2895" s="2" t="s">
        <v>613</v>
      </c>
      <c r="M2895" s="2" t="s">
        <v>28748</v>
      </c>
      <c r="N2895" s="3" t="s">
        <v>214</v>
      </c>
      <c r="O2895" s="2" t="s">
        <v>365</v>
      </c>
      <c r="P2895" s="3" t="s">
        <v>140</v>
      </c>
      <c r="Q2895" s="2" t="s">
        <v>28749</v>
      </c>
      <c r="R2895" s="3" t="s">
        <v>71</v>
      </c>
      <c r="S2895" s="4">
        <v>4</v>
      </c>
      <c r="T2895" s="4">
        <v>4</v>
      </c>
      <c r="U2895" s="5" t="s">
        <v>4442</v>
      </c>
      <c r="V2895" s="5" t="s">
        <v>4442</v>
      </c>
      <c r="W2895" s="5" t="s">
        <v>72</v>
      </c>
      <c r="X2895" s="5" t="s">
        <v>72</v>
      </c>
      <c r="Y2895" s="4">
        <v>36</v>
      </c>
      <c r="Z2895" s="4">
        <v>5</v>
      </c>
      <c r="AA2895" s="4">
        <v>5</v>
      </c>
      <c r="AB2895" s="4">
        <v>1</v>
      </c>
      <c r="AC2895" s="4">
        <v>1</v>
      </c>
      <c r="AD2895" s="4">
        <v>11</v>
      </c>
      <c r="AE2895" s="4">
        <v>11</v>
      </c>
      <c r="AF2895" s="4">
        <v>0</v>
      </c>
      <c r="AG2895" s="4">
        <v>0</v>
      </c>
      <c r="AH2895" s="4">
        <v>11</v>
      </c>
      <c r="AI2895" s="4">
        <v>11</v>
      </c>
      <c r="AJ2895" s="4">
        <v>3</v>
      </c>
      <c r="AK2895" s="4">
        <v>3</v>
      </c>
      <c r="AL2895" s="4">
        <v>8</v>
      </c>
      <c r="AM2895" s="4">
        <v>8</v>
      </c>
      <c r="AN2895" s="4">
        <v>0</v>
      </c>
      <c r="AO2895" s="4">
        <v>0</v>
      </c>
      <c r="AP2895" s="4">
        <v>3</v>
      </c>
      <c r="AQ2895" s="4">
        <v>3</v>
      </c>
      <c r="AR2895" s="3" t="s">
        <v>65</v>
      </c>
      <c r="AS2895" s="3" t="s">
        <v>65</v>
      </c>
      <c r="AT2895" s="3" t="s">
        <v>65</v>
      </c>
      <c r="AV2895" s="6" t="str">
        <f>HYPERLINK("http://mcgill.on.worldcat.org/oclc/12412381","Catalog Record")</f>
        <v>Catalog Record</v>
      </c>
      <c r="AW2895" s="6" t="str">
        <f>HYPERLINK("http://www.worldcat.org/oclc/12412381","WorldCat Record")</f>
        <v>WorldCat Record</v>
      </c>
      <c r="AX2895" s="3" t="s">
        <v>28750</v>
      </c>
      <c r="AY2895" s="3" t="s">
        <v>28751</v>
      </c>
      <c r="AZ2895" s="3" t="s">
        <v>28752</v>
      </c>
      <c r="BA2895" s="3" t="s">
        <v>28752</v>
      </c>
      <c r="BB2895" s="3" t="s">
        <v>28753</v>
      </c>
      <c r="BC2895" s="3" t="s">
        <v>77</v>
      </c>
      <c r="BD2895" s="3" t="s">
        <v>78</v>
      </c>
      <c r="BE2895" s="3" t="s">
        <v>28754</v>
      </c>
      <c r="BF2895" s="3" t="s">
        <v>28753</v>
      </c>
      <c r="BG2895" s="3" t="s">
        <v>28755</v>
      </c>
    </row>
    <row r="2896" spans="1:59" ht="58" x14ac:dyDescent="0.35">
      <c r="A2896" s="2" t="s">
        <v>59</v>
      </c>
      <c r="B2896" s="2" t="s">
        <v>60</v>
      </c>
      <c r="C2896" s="2" t="s">
        <v>28756</v>
      </c>
      <c r="D2896" s="2" t="s">
        <v>28757</v>
      </c>
      <c r="E2896" s="2" t="s">
        <v>28758</v>
      </c>
      <c r="G2896" s="3" t="s">
        <v>65</v>
      </c>
      <c r="I2896" s="3" t="s">
        <v>65</v>
      </c>
      <c r="J2896" s="3" t="s">
        <v>65</v>
      </c>
      <c r="K2896" s="3" t="s">
        <v>66</v>
      </c>
      <c r="M2896" s="2" t="s">
        <v>17807</v>
      </c>
      <c r="N2896" s="3" t="s">
        <v>7187</v>
      </c>
      <c r="O2896" s="2" t="s">
        <v>365</v>
      </c>
      <c r="P2896" s="3" t="s">
        <v>140</v>
      </c>
      <c r="Q2896" s="2" t="s">
        <v>28372</v>
      </c>
      <c r="R2896" s="3" t="s">
        <v>71</v>
      </c>
      <c r="S2896" s="4">
        <v>1</v>
      </c>
      <c r="T2896" s="4">
        <v>1</v>
      </c>
      <c r="U2896" s="5" t="s">
        <v>3437</v>
      </c>
      <c r="V2896" s="5" t="s">
        <v>3437</v>
      </c>
      <c r="W2896" s="5" t="s">
        <v>72</v>
      </c>
      <c r="X2896" s="5" t="s">
        <v>72</v>
      </c>
      <c r="Y2896" s="4">
        <v>66</v>
      </c>
      <c r="Z2896" s="4">
        <v>4</v>
      </c>
      <c r="AA2896" s="4">
        <v>7</v>
      </c>
      <c r="AB2896" s="4">
        <v>1</v>
      </c>
      <c r="AC2896" s="4">
        <v>1</v>
      </c>
      <c r="AD2896" s="4">
        <v>32</v>
      </c>
      <c r="AE2896" s="4">
        <v>42</v>
      </c>
      <c r="AF2896" s="4">
        <v>0</v>
      </c>
      <c r="AG2896" s="4">
        <v>0</v>
      </c>
      <c r="AH2896" s="4">
        <v>31</v>
      </c>
      <c r="AI2896" s="4">
        <v>41</v>
      </c>
      <c r="AJ2896" s="4">
        <v>3</v>
      </c>
      <c r="AK2896" s="4">
        <v>5</v>
      </c>
      <c r="AL2896" s="4">
        <v>20</v>
      </c>
      <c r="AM2896" s="4">
        <v>28</v>
      </c>
      <c r="AN2896" s="4">
        <v>0</v>
      </c>
      <c r="AO2896" s="4">
        <v>0</v>
      </c>
      <c r="AP2896" s="4">
        <v>3</v>
      </c>
      <c r="AQ2896" s="4">
        <v>5</v>
      </c>
      <c r="AR2896" s="3" t="s">
        <v>65</v>
      </c>
      <c r="AS2896" s="3" t="s">
        <v>65</v>
      </c>
      <c r="AT2896" s="3" t="s">
        <v>209</v>
      </c>
      <c r="AU2896" s="6" t="str">
        <f>HYPERLINK("http://catalog.hathitrust.org/Record/000176272","HathiTrust Record")</f>
        <v>HathiTrust Record</v>
      </c>
      <c r="AV2896" s="6" t="str">
        <f>HYPERLINK("http://mcgill.on.worldcat.org/oclc/4002093","Catalog Record")</f>
        <v>Catalog Record</v>
      </c>
      <c r="AW2896" s="6" t="str">
        <f>HYPERLINK("http://www.worldcat.org/oclc/4002093","WorldCat Record")</f>
        <v>WorldCat Record</v>
      </c>
      <c r="AX2896" s="3" t="s">
        <v>28759</v>
      </c>
      <c r="AY2896" s="3" t="s">
        <v>28760</v>
      </c>
      <c r="AZ2896" s="3" t="s">
        <v>28761</v>
      </c>
      <c r="BA2896" s="3" t="s">
        <v>28761</v>
      </c>
      <c r="BB2896" s="3" t="s">
        <v>28762</v>
      </c>
      <c r="BC2896" s="3" t="s">
        <v>77</v>
      </c>
      <c r="BD2896" s="3" t="s">
        <v>78</v>
      </c>
      <c r="BF2896" s="3" t="s">
        <v>28762</v>
      </c>
      <c r="BG2896" s="3" t="s">
        <v>28763</v>
      </c>
    </row>
    <row r="2897" spans="1:59" ht="72.5" x14ac:dyDescent="0.35">
      <c r="A2897" s="2" t="s">
        <v>59</v>
      </c>
      <c r="B2897" s="2" t="s">
        <v>60</v>
      </c>
      <c r="C2897" s="2" t="s">
        <v>28764</v>
      </c>
      <c r="D2897" s="2" t="s">
        <v>28765</v>
      </c>
      <c r="E2897" s="2" t="s">
        <v>28766</v>
      </c>
      <c r="G2897" s="3" t="s">
        <v>65</v>
      </c>
      <c r="I2897" s="3" t="s">
        <v>65</v>
      </c>
      <c r="J2897" s="3" t="s">
        <v>65</v>
      </c>
      <c r="K2897" s="3" t="s">
        <v>66</v>
      </c>
      <c r="M2897" s="2" t="s">
        <v>2914</v>
      </c>
      <c r="N2897" s="3" t="s">
        <v>113</v>
      </c>
      <c r="P2897" s="3" t="s">
        <v>140</v>
      </c>
      <c r="R2897" s="3" t="s">
        <v>71</v>
      </c>
      <c r="S2897" s="4">
        <v>1</v>
      </c>
      <c r="T2897" s="4">
        <v>1</v>
      </c>
      <c r="U2897" s="5" t="s">
        <v>28433</v>
      </c>
      <c r="V2897" s="5" t="s">
        <v>28433</v>
      </c>
      <c r="W2897" s="5" t="s">
        <v>72</v>
      </c>
      <c r="X2897" s="5" t="s">
        <v>72</v>
      </c>
      <c r="Y2897" s="4">
        <v>40</v>
      </c>
      <c r="Z2897" s="4">
        <v>4</v>
      </c>
      <c r="AA2897" s="4">
        <v>4</v>
      </c>
      <c r="AB2897" s="4">
        <v>1</v>
      </c>
      <c r="AC2897" s="4">
        <v>1</v>
      </c>
      <c r="AD2897" s="4">
        <v>28</v>
      </c>
      <c r="AE2897" s="4">
        <v>28</v>
      </c>
      <c r="AF2897" s="4">
        <v>0</v>
      </c>
      <c r="AG2897" s="4">
        <v>0</v>
      </c>
      <c r="AH2897" s="4">
        <v>27</v>
      </c>
      <c r="AI2897" s="4">
        <v>27</v>
      </c>
      <c r="AJ2897" s="4">
        <v>2</v>
      </c>
      <c r="AK2897" s="4">
        <v>2</v>
      </c>
      <c r="AL2897" s="4">
        <v>21</v>
      </c>
      <c r="AM2897" s="4">
        <v>21</v>
      </c>
      <c r="AN2897" s="4">
        <v>0</v>
      </c>
      <c r="AO2897" s="4">
        <v>0</v>
      </c>
      <c r="AP2897" s="4">
        <v>2</v>
      </c>
      <c r="AQ2897" s="4">
        <v>2</v>
      </c>
      <c r="AR2897" s="3" t="s">
        <v>65</v>
      </c>
      <c r="AS2897" s="3" t="s">
        <v>65</v>
      </c>
      <c r="AT2897" s="3" t="s">
        <v>65</v>
      </c>
      <c r="AV2897" s="6" t="str">
        <f>HYPERLINK("http://mcgill.on.worldcat.org/oclc/697263605","Catalog Record")</f>
        <v>Catalog Record</v>
      </c>
      <c r="AW2897" s="6" t="str">
        <f>HYPERLINK("http://www.worldcat.org/oclc/697263605","WorldCat Record")</f>
        <v>WorldCat Record</v>
      </c>
      <c r="AX2897" s="3" t="s">
        <v>28767</v>
      </c>
      <c r="AY2897" s="3" t="s">
        <v>28768</v>
      </c>
      <c r="AZ2897" s="3" t="s">
        <v>28769</v>
      </c>
      <c r="BA2897" s="3" t="s">
        <v>28769</v>
      </c>
      <c r="BB2897" s="3" t="s">
        <v>28770</v>
      </c>
      <c r="BC2897" s="3" t="s">
        <v>77</v>
      </c>
      <c r="BD2897" s="3" t="s">
        <v>78</v>
      </c>
      <c r="BE2897" s="3" t="s">
        <v>28771</v>
      </c>
      <c r="BF2897" s="3" t="s">
        <v>28770</v>
      </c>
      <c r="BG2897" s="3" t="s">
        <v>28772</v>
      </c>
    </row>
    <row r="2898" spans="1:59" ht="58" x14ac:dyDescent="0.35">
      <c r="A2898" s="2" t="s">
        <v>59</v>
      </c>
      <c r="B2898" s="2" t="s">
        <v>60</v>
      </c>
      <c r="C2898" s="2" t="s">
        <v>28773</v>
      </c>
      <c r="D2898" s="2" t="s">
        <v>28774</v>
      </c>
      <c r="E2898" s="2" t="s">
        <v>28775</v>
      </c>
      <c r="G2898" s="3" t="s">
        <v>65</v>
      </c>
      <c r="I2898" s="3" t="s">
        <v>65</v>
      </c>
      <c r="J2898" s="3" t="s">
        <v>65</v>
      </c>
      <c r="K2898" s="3" t="s">
        <v>66</v>
      </c>
      <c r="M2898" s="2" t="s">
        <v>28776</v>
      </c>
      <c r="N2898" s="3" t="s">
        <v>126</v>
      </c>
      <c r="P2898" s="3" t="s">
        <v>140</v>
      </c>
      <c r="Q2898" s="2" t="s">
        <v>28777</v>
      </c>
      <c r="R2898" s="3" t="s">
        <v>71</v>
      </c>
      <c r="S2898" s="4">
        <v>0</v>
      </c>
      <c r="T2898" s="4">
        <v>0</v>
      </c>
      <c r="W2898" s="5" t="s">
        <v>72</v>
      </c>
      <c r="X2898" s="5" t="s">
        <v>72</v>
      </c>
      <c r="Y2898" s="4">
        <v>51</v>
      </c>
      <c r="Z2898" s="4">
        <v>4</v>
      </c>
      <c r="AA2898" s="4">
        <v>4</v>
      </c>
      <c r="AB2898" s="4">
        <v>1</v>
      </c>
      <c r="AC2898" s="4">
        <v>1</v>
      </c>
      <c r="AD2898" s="4">
        <v>34</v>
      </c>
      <c r="AE2898" s="4">
        <v>34</v>
      </c>
      <c r="AF2898" s="4">
        <v>0</v>
      </c>
      <c r="AG2898" s="4">
        <v>0</v>
      </c>
      <c r="AH2898" s="4">
        <v>32</v>
      </c>
      <c r="AI2898" s="4">
        <v>32</v>
      </c>
      <c r="AJ2898" s="4">
        <v>2</v>
      </c>
      <c r="AK2898" s="4">
        <v>2</v>
      </c>
      <c r="AL2898" s="4">
        <v>26</v>
      </c>
      <c r="AM2898" s="4">
        <v>26</v>
      </c>
      <c r="AN2898" s="4">
        <v>0</v>
      </c>
      <c r="AO2898" s="4">
        <v>0</v>
      </c>
      <c r="AP2898" s="4">
        <v>2</v>
      </c>
      <c r="AQ2898" s="4">
        <v>2</v>
      </c>
      <c r="AR2898" s="3" t="s">
        <v>65</v>
      </c>
      <c r="AS2898" s="3" t="s">
        <v>65</v>
      </c>
      <c r="AT2898" s="3" t="s">
        <v>65</v>
      </c>
      <c r="AV2898" s="6" t="str">
        <f>HYPERLINK("http://mcgill.on.worldcat.org/oclc/759152168","Catalog Record")</f>
        <v>Catalog Record</v>
      </c>
      <c r="AW2898" s="6" t="str">
        <f>HYPERLINK("http://www.worldcat.org/oclc/759152168","WorldCat Record")</f>
        <v>WorldCat Record</v>
      </c>
      <c r="AX2898" s="3" t="s">
        <v>28778</v>
      </c>
      <c r="AY2898" s="3" t="s">
        <v>28779</v>
      </c>
      <c r="AZ2898" s="3" t="s">
        <v>28780</v>
      </c>
      <c r="BA2898" s="3" t="s">
        <v>28780</v>
      </c>
      <c r="BB2898" s="3" t="s">
        <v>28781</v>
      </c>
      <c r="BC2898" s="3" t="s">
        <v>77</v>
      </c>
      <c r="BD2898" s="3" t="s">
        <v>78</v>
      </c>
      <c r="BE2898" s="3" t="s">
        <v>28782</v>
      </c>
      <c r="BF2898" s="3" t="s">
        <v>28781</v>
      </c>
      <c r="BG2898" s="3" t="s">
        <v>28783</v>
      </c>
    </row>
    <row r="2899" spans="1:59" ht="72.5" x14ac:dyDescent="0.35">
      <c r="A2899" s="2" t="s">
        <v>59</v>
      </c>
      <c r="B2899" s="2" t="s">
        <v>60</v>
      </c>
      <c r="C2899" s="2" t="s">
        <v>28784</v>
      </c>
      <c r="D2899" s="2" t="s">
        <v>28785</v>
      </c>
      <c r="E2899" s="2" t="s">
        <v>28786</v>
      </c>
      <c r="G2899" s="3" t="s">
        <v>65</v>
      </c>
      <c r="I2899" s="3" t="s">
        <v>65</v>
      </c>
      <c r="J2899" s="3" t="s">
        <v>65</v>
      </c>
      <c r="K2899" s="3" t="s">
        <v>66</v>
      </c>
      <c r="M2899" s="2" t="s">
        <v>28787</v>
      </c>
      <c r="N2899" s="3" t="s">
        <v>164</v>
      </c>
      <c r="O2899" s="2" t="s">
        <v>235</v>
      </c>
      <c r="P2899" s="3" t="s">
        <v>140</v>
      </c>
      <c r="Q2899" s="2" t="s">
        <v>28788</v>
      </c>
      <c r="R2899" s="3" t="s">
        <v>71</v>
      </c>
      <c r="S2899" s="4">
        <v>0</v>
      </c>
      <c r="T2899" s="4">
        <v>0</v>
      </c>
      <c r="W2899" s="5" t="s">
        <v>72</v>
      </c>
      <c r="X2899" s="5" t="s">
        <v>72</v>
      </c>
      <c r="Y2899" s="4">
        <v>40</v>
      </c>
      <c r="Z2899" s="4">
        <v>3</v>
      </c>
      <c r="AA2899" s="4">
        <v>3</v>
      </c>
      <c r="AB2899" s="4">
        <v>1</v>
      </c>
      <c r="AC2899" s="4">
        <v>1</v>
      </c>
      <c r="AD2899" s="4">
        <v>27</v>
      </c>
      <c r="AE2899" s="4">
        <v>27</v>
      </c>
      <c r="AF2899" s="4">
        <v>0</v>
      </c>
      <c r="AG2899" s="4">
        <v>0</v>
      </c>
      <c r="AH2899" s="4">
        <v>26</v>
      </c>
      <c r="AI2899" s="4">
        <v>26</v>
      </c>
      <c r="AJ2899" s="4">
        <v>1</v>
      </c>
      <c r="AK2899" s="4">
        <v>1</v>
      </c>
      <c r="AL2899" s="4">
        <v>23</v>
      </c>
      <c r="AM2899" s="4">
        <v>23</v>
      </c>
      <c r="AN2899" s="4">
        <v>0</v>
      </c>
      <c r="AO2899" s="4">
        <v>0</v>
      </c>
      <c r="AP2899" s="4">
        <v>1</v>
      </c>
      <c r="AQ2899" s="4">
        <v>1</v>
      </c>
      <c r="AR2899" s="3" t="s">
        <v>65</v>
      </c>
      <c r="AS2899" s="3" t="s">
        <v>65</v>
      </c>
      <c r="AT2899" s="3" t="s">
        <v>65</v>
      </c>
      <c r="AV2899" s="6" t="str">
        <f>HYPERLINK("http://mcgill.on.worldcat.org/oclc/904251396","Catalog Record")</f>
        <v>Catalog Record</v>
      </c>
      <c r="AW2899" s="6" t="str">
        <f>HYPERLINK("http://www.worldcat.org/oclc/904251396","WorldCat Record")</f>
        <v>WorldCat Record</v>
      </c>
      <c r="AX2899" s="3" t="s">
        <v>28789</v>
      </c>
      <c r="AY2899" s="3" t="s">
        <v>28790</v>
      </c>
      <c r="AZ2899" s="3" t="s">
        <v>28791</v>
      </c>
      <c r="BA2899" s="3" t="s">
        <v>28791</v>
      </c>
      <c r="BB2899" s="3" t="s">
        <v>28792</v>
      </c>
      <c r="BC2899" s="3" t="s">
        <v>77</v>
      </c>
      <c r="BD2899" s="3" t="s">
        <v>78</v>
      </c>
      <c r="BE2899" s="3" t="s">
        <v>28793</v>
      </c>
      <c r="BF2899" s="3" t="s">
        <v>28792</v>
      </c>
      <c r="BG2899" s="3" t="s">
        <v>28794</v>
      </c>
    </row>
    <row r="2900" spans="1:59" ht="58" x14ac:dyDescent="0.35">
      <c r="A2900" s="2" t="s">
        <v>59</v>
      </c>
      <c r="B2900" s="2" t="s">
        <v>60</v>
      </c>
      <c r="C2900" s="2" t="s">
        <v>28795</v>
      </c>
      <c r="D2900" s="2" t="s">
        <v>28796</v>
      </c>
      <c r="E2900" s="2" t="s">
        <v>28797</v>
      </c>
      <c r="G2900" s="3" t="s">
        <v>65</v>
      </c>
      <c r="I2900" s="3" t="s">
        <v>65</v>
      </c>
      <c r="J2900" s="3" t="s">
        <v>65</v>
      </c>
      <c r="K2900" s="3" t="s">
        <v>66</v>
      </c>
      <c r="M2900" s="2" t="s">
        <v>28798</v>
      </c>
      <c r="N2900" s="3" t="s">
        <v>955</v>
      </c>
      <c r="P2900" s="3" t="s">
        <v>616</v>
      </c>
      <c r="Q2900" s="2" t="s">
        <v>28799</v>
      </c>
      <c r="R2900" s="3" t="s">
        <v>71</v>
      </c>
      <c r="S2900" s="4">
        <v>5</v>
      </c>
      <c r="T2900" s="4">
        <v>5</v>
      </c>
      <c r="U2900" s="5" t="s">
        <v>28800</v>
      </c>
      <c r="V2900" s="5" t="s">
        <v>28800</v>
      </c>
      <c r="W2900" s="5" t="s">
        <v>72</v>
      </c>
      <c r="X2900" s="5" t="s">
        <v>72</v>
      </c>
      <c r="Y2900" s="4">
        <v>72</v>
      </c>
      <c r="Z2900" s="4">
        <v>8</v>
      </c>
      <c r="AA2900" s="4">
        <v>9</v>
      </c>
      <c r="AB2900" s="4">
        <v>2</v>
      </c>
      <c r="AC2900" s="4">
        <v>3</v>
      </c>
      <c r="AD2900" s="4">
        <v>29</v>
      </c>
      <c r="AE2900" s="4">
        <v>30</v>
      </c>
      <c r="AF2900" s="4">
        <v>1</v>
      </c>
      <c r="AG2900" s="4">
        <v>2</v>
      </c>
      <c r="AH2900" s="4">
        <v>27</v>
      </c>
      <c r="AI2900" s="4">
        <v>27</v>
      </c>
      <c r="AJ2900" s="4">
        <v>6</v>
      </c>
      <c r="AK2900" s="4">
        <v>7</v>
      </c>
      <c r="AL2900" s="4">
        <v>20</v>
      </c>
      <c r="AM2900" s="4">
        <v>20</v>
      </c>
      <c r="AN2900" s="4">
        <v>0</v>
      </c>
      <c r="AO2900" s="4">
        <v>0</v>
      </c>
      <c r="AP2900" s="4">
        <v>6</v>
      </c>
      <c r="AQ2900" s="4">
        <v>7</v>
      </c>
      <c r="AR2900" s="3" t="s">
        <v>65</v>
      </c>
      <c r="AS2900" s="3" t="s">
        <v>65</v>
      </c>
      <c r="AT2900" s="3" t="s">
        <v>65</v>
      </c>
      <c r="AV2900" s="6" t="str">
        <f>HYPERLINK("http://mcgill.on.worldcat.org/oclc/7162742","Catalog Record")</f>
        <v>Catalog Record</v>
      </c>
      <c r="AW2900" s="6" t="str">
        <f>HYPERLINK("http://www.worldcat.org/oclc/7162742","WorldCat Record")</f>
        <v>WorldCat Record</v>
      </c>
      <c r="AX2900" s="3" t="s">
        <v>28801</v>
      </c>
      <c r="AY2900" s="3" t="s">
        <v>28802</v>
      </c>
      <c r="AZ2900" s="3" t="s">
        <v>28803</v>
      </c>
      <c r="BA2900" s="3" t="s">
        <v>28803</v>
      </c>
      <c r="BB2900" s="3" t="s">
        <v>28804</v>
      </c>
      <c r="BC2900" s="3" t="s">
        <v>77</v>
      </c>
      <c r="BD2900" s="3" t="s">
        <v>78</v>
      </c>
      <c r="BE2900" s="3" t="s">
        <v>28805</v>
      </c>
      <c r="BF2900" s="3" t="s">
        <v>28804</v>
      </c>
      <c r="BG2900" s="3" t="s">
        <v>28806</v>
      </c>
    </row>
    <row r="2901" spans="1:59" ht="72.5" x14ac:dyDescent="0.35">
      <c r="A2901" s="2" t="s">
        <v>59</v>
      </c>
      <c r="B2901" s="2" t="s">
        <v>60</v>
      </c>
      <c r="C2901" s="2" t="s">
        <v>28807</v>
      </c>
      <c r="D2901" s="2" t="s">
        <v>28808</v>
      </c>
      <c r="E2901" s="2" t="s">
        <v>28809</v>
      </c>
      <c r="G2901" s="3" t="s">
        <v>65</v>
      </c>
      <c r="I2901" s="3" t="s">
        <v>65</v>
      </c>
      <c r="J2901" s="3" t="s">
        <v>65</v>
      </c>
      <c r="K2901" s="3" t="s">
        <v>66</v>
      </c>
      <c r="L2901" s="2" t="s">
        <v>3147</v>
      </c>
      <c r="M2901" s="2" t="s">
        <v>28810</v>
      </c>
      <c r="N2901" s="3" t="s">
        <v>139</v>
      </c>
      <c r="O2901" s="2" t="s">
        <v>365</v>
      </c>
      <c r="P2901" s="3" t="s">
        <v>69</v>
      </c>
      <c r="Q2901" s="2" t="s">
        <v>3723</v>
      </c>
      <c r="R2901" s="3" t="s">
        <v>71</v>
      </c>
      <c r="S2901" s="4">
        <v>0</v>
      </c>
      <c r="T2901" s="4">
        <v>0</v>
      </c>
      <c r="W2901" s="5" t="s">
        <v>72</v>
      </c>
      <c r="X2901" s="5" t="s">
        <v>72</v>
      </c>
      <c r="Y2901" s="4">
        <v>32</v>
      </c>
      <c r="Z2901" s="4">
        <v>3</v>
      </c>
      <c r="AA2901" s="4">
        <v>3</v>
      </c>
      <c r="AB2901" s="4">
        <v>1</v>
      </c>
      <c r="AC2901" s="4">
        <v>1</v>
      </c>
      <c r="AD2901" s="4">
        <v>19</v>
      </c>
      <c r="AE2901" s="4">
        <v>19</v>
      </c>
      <c r="AF2901" s="4">
        <v>0</v>
      </c>
      <c r="AG2901" s="4">
        <v>0</v>
      </c>
      <c r="AH2901" s="4">
        <v>18</v>
      </c>
      <c r="AI2901" s="4">
        <v>18</v>
      </c>
      <c r="AJ2901" s="4">
        <v>1</v>
      </c>
      <c r="AK2901" s="4">
        <v>1</v>
      </c>
      <c r="AL2901" s="4">
        <v>16</v>
      </c>
      <c r="AM2901" s="4">
        <v>16</v>
      </c>
      <c r="AN2901" s="4">
        <v>0</v>
      </c>
      <c r="AO2901" s="4">
        <v>0</v>
      </c>
      <c r="AP2901" s="4">
        <v>1</v>
      </c>
      <c r="AQ2901" s="4">
        <v>1</v>
      </c>
      <c r="AR2901" s="3" t="s">
        <v>65</v>
      </c>
      <c r="AS2901" s="3" t="s">
        <v>65</v>
      </c>
      <c r="AT2901" s="3" t="s">
        <v>65</v>
      </c>
      <c r="AV2901" s="6" t="str">
        <f>HYPERLINK("http://mcgill.on.worldcat.org/oclc/828410026","Catalog Record")</f>
        <v>Catalog Record</v>
      </c>
      <c r="AW2901" s="6" t="str">
        <f>HYPERLINK("http://www.worldcat.org/oclc/828410026","WorldCat Record")</f>
        <v>WorldCat Record</v>
      </c>
      <c r="AX2901" s="3" t="s">
        <v>28811</v>
      </c>
      <c r="AY2901" s="3" t="s">
        <v>28812</v>
      </c>
      <c r="AZ2901" s="3" t="s">
        <v>28813</v>
      </c>
      <c r="BA2901" s="3" t="s">
        <v>28813</v>
      </c>
      <c r="BB2901" s="3" t="s">
        <v>28814</v>
      </c>
      <c r="BC2901" s="3" t="s">
        <v>77</v>
      </c>
      <c r="BD2901" s="3" t="s">
        <v>78</v>
      </c>
      <c r="BE2901" s="3" t="s">
        <v>28815</v>
      </c>
      <c r="BF2901" s="3" t="s">
        <v>28814</v>
      </c>
      <c r="BG2901" s="3" t="s">
        <v>28816</v>
      </c>
    </row>
    <row r="2902" spans="1:59" ht="58" x14ac:dyDescent="0.35">
      <c r="A2902" s="2" t="s">
        <v>59</v>
      </c>
      <c r="B2902" s="2" t="s">
        <v>60</v>
      </c>
      <c r="C2902" s="2" t="s">
        <v>28817</v>
      </c>
      <c r="D2902" s="2" t="s">
        <v>28818</v>
      </c>
      <c r="E2902" s="2" t="s">
        <v>28819</v>
      </c>
      <c r="G2902" s="3" t="s">
        <v>65</v>
      </c>
      <c r="I2902" s="3" t="s">
        <v>65</v>
      </c>
      <c r="J2902" s="3" t="s">
        <v>65</v>
      </c>
      <c r="K2902" s="3" t="s">
        <v>66</v>
      </c>
      <c r="M2902" s="2" t="s">
        <v>28820</v>
      </c>
      <c r="N2902" s="3" t="s">
        <v>1932</v>
      </c>
      <c r="P2902" s="3" t="s">
        <v>69</v>
      </c>
      <c r="Q2902" s="2" t="s">
        <v>10885</v>
      </c>
      <c r="R2902" s="3" t="s">
        <v>71</v>
      </c>
      <c r="S2902" s="4">
        <v>27</v>
      </c>
      <c r="T2902" s="4">
        <v>27</v>
      </c>
      <c r="U2902" s="5" t="s">
        <v>8716</v>
      </c>
      <c r="V2902" s="5" t="s">
        <v>8716</v>
      </c>
      <c r="W2902" s="5" t="s">
        <v>72</v>
      </c>
      <c r="X2902" s="5" t="s">
        <v>72</v>
      </c>
      <c r="Y2902" s="4">
        <v>280</v>
      </c>
      <c r="Z2902" s="4">
        <v>29</v>
      </c>
      <c r="AA2902" s="4">
        <v>122</v>
      </c>
      <c r="AB2902" s="4">
        <v>1</v>
      </c>
      <c r="AC2902" s="4">
        <v>22</v>
      </c>
      <c r="AD2902" s="4">
        <v>99</v>
      </c>
      <c r="AE2902" s="4">
        <v>150</v>
      </c>
      <c r="AF2902" s="4">
        <v>0</v>
      </c>
      <c r="AG2902" s="4">
        <v>8</v>
      </c>
      <c r="AH2902" s="4">
        <v>87</v>
      </c>
      <c r="AI2902" s="4">
        <v>103</v>
      </c>
      <c r="AJ2902" s="4">
        <v>18</v>
      </c>
      <c r="AK2902" s="4">
        <v>29</v>
      </c>
      <c r="AL2902" s="4">
        <v>50</v>
      </c>
      <c r="AM2902" s="4">
        <v>54</v>
      </c>
      <c r="AN2902" s="4">
        <v>0</v>
      </c>
      <c r="AO2902" s="4">
        <v>0</v>
      </c>
      <c r="AP2902" s="4">
        <v>20</v>
      </c>
      <c r="AQ2902" s="4">
        <v>55</v>
      </c>
      <c r="AR2902" s="3" t="s">
        <v>209</v>
      </c>
      <c r="AS2902" s="3" t="s">
        <v>65</v>
      </c>
      <c r="AT2902" s="3" t="s">
        <v>65</v>
      </c>
      <c r="AV2902" s="6" t="str">
        <f>HYPERLINK("http://mcgill.on.worldcat.org/oclc/29473873","Catalog Record")</f>
        <v>Catalog Record</v>
      </c>
      <c r="AW2902" s="6" t="str">
        <f>HYPERLINK("http://www.worldcat.org/oclc/29473873","WorldCat Record")</f>
        <v>WorldCat Record</v>
      </c>
      <c r="AX2902" s="3" t="s">
        <v>28821</v>
      </c>
      <c r="AY2902" s="3" t="s">
        <v>28822</v>
      </c>
      <c r="AZ2902" s="3" t="s">
        <v>28823</v>
      </c>
      <c r="BA2902" s="3" t="s">
        <v>28823</v>
      </c>
      <c r="BB2902" s="3" t="s">
        <v>28824</v>
      </c>
      <c r="BC2902" s="3" t="s">
        <v>77</v>
      </c>
      <c r="BD2902" s="3" t="s">
        <v>78</v>
      </c>
      <c r="BE2902" s="3" t="s">
        <v>28825</v>
      </c>
      <c r="BF2902" s="3" t="s">
        <v>28824</v>
      </c>
      <c r="BG2902" s="3" t="s">
        <v>28826</v>
      </c>
    </row>
    <row r="2903" spans="1:59" ht="58" x14ac:dyDescent="0.35">
      <c r="A2903" s="2" t="s">
        <v>59</v>
      </c>
      <c r="B2903" s="2" t="s">
        <v>60</v>
      </c>
      <c r="C2903" s="2" t="s">
        <v>28827</v>
      </c>
      <c r="D2903" s="2" t="s">
        <v>28828</v>
      </c>
      <c r="E2903" s="2" t="s">
        <v>28829</v>
      </c>
      <c r="G2903" s="3" t="s">
        <v>65</v>
      </c>
      <c r="I2903" s="3" t="s">
        <v>65</v>
      </c>
      <c r="J2903" s="3" t="s">
        <v>65</v>
      </c>
      <c r="K2903" s="3" t="s">
        <v>66</v>
      </c>
      <c r="L2903" s="2" t="s">
        <v>28830</v>
      </c>
      <c r="M2903" s="2" t="s">
        <v>28831</v>
      </c>
      <c r="N2903" s="3" t="s">
        <v>2377</v>
      </c>
      <c r="P2903" s="3" t="s">
        <v>140</v>
      </c>
      <c r="Q2903" s="2" t="s">
        <v>28832</v>
      </c>
      <c r="R2903" s="3" t="s">
        <v>71</v>
      </c>
      <c r="S2903" s="4">
        <v>1</v>
      </c>
      <c r="T2903" s="4">
        <v>1</v>
      </c>
      <c r="U2903" s="5" t="s">
        <v>8750</v>
      </c>
      <c r="V2903" s="5" t="s">
        <v>8750</v>
      </c>
      <c r="W2903" s="5" t="s">
        <v>72</v>
      </c>
      <c r="X2903" s="5" t="s">
        <v>72</v>
      </c>
      <c r="Y2903" s="4">
        <v>41</v>
      </c>
      <c r="Z2903" s="4">
        <v>3</v>
      </c>
      <c r="AA2903" s="4">
        <v>3</v>
      </c>
      <c r="AB2903" s="4">
        <v>1</v>
      </c>
      <c r="AC2903" s="4">
        <v>1</v>
      </c>
      <c r="AD2903" s="4">
        <v>22</v>
      </c>
      <c r="AE2903" s="4">
        <v>22</v>
      </c>
      <c r="AF2903" s="4">
        <v>0</v>
      </c>
      <c r="AG2903" s="4">
        <v>0</v>
      </c>
      <c r="AH2903" s="4">
        <v>21</v>
      </c>
      <c r="AI2903" s="4">
        <v>21</v>
      </c>
      <c r="AJ2903" s="4">
        <v>1</v>
      </c>
      <c r="AK2903" s="4">
        <v>1</v>
      </c>
      <c r="AL2903" s="4">
        <v>18</v>
      </c>
      <c r="AM2903" s="4">
        <v>18</v>
      </c>
      <c r="AN2903" s="4">
        <v>0</v>
      </c>
      <c r="AO2903" s="4">
        <v>0</v>
      </c>
      <c r="AP2903" s="4">
        <v>1</v>
      </c>
      <c r="AQ2903" s="4">
        <v>1</v>
      </c>
      <c r="AR2903" s="3" t="s">
        <v>65</v>
      </c>
      <c r="AS2903" s="3" t="s">
        <v>65</v>
      </c>
      <c r="AT2903" s="3" t="s">
        <v>65</v>
      </c>
      <c r="AV2903" s="6" t="str">
        <f>HYPERLINK("http://mcgill.on.worldcat.org/oclc/23151741","Catalog Record")</f>
        <v>Catalog Record</v>
      </c>
      <c r="AW2903" s="6" t="str">
        <f>HYPERLINK("http://www.worldcat.org/oclc/23151741","WorldCat Record")</f>
        <v>WorldCat Record</v>
      </c>
      <c r="AX2903" s="3" t="s">
        <v>28833</v>
      </c>
      <c r="AY2903" s="3" t="s">
        <v>28834</v>
      </c>
      <c r="AZ2903" s="3" t="s">
        <v>28835</v>
      </c>
      <c r="BA2903" s="3" t="s">
        <v>28835</v>
      </c>
      <c r="BB2903" s="3" t="s">
        <v>28836</v>
      </c>
      <c r="BC2903" s="3" t="s">
        <v>77</v>
      </c>
      <c r="BD2903" s="3" t="s">
        <v>78</v>
      </c>
      <c r="BE2903" s="3" t="s">
        <v>28837</v>
      </c>
      <c r="BF2903" s="3" t="s">
        <v>28836</v>
      </c>
      <c r="BG2903" s="3" t="s">
        <v>28838</v>
      </c>
    </row>
    <row r="2904" spans="1:59" ht="58" x14ac:dyDescent="0.35">
      <c r="A2904" s="2" t="s">
        <v>59</v>
      </c>
      <c r="B2904" s="2" t="s">
        <v>60</v>
      </c>
      <c r="C2904" s="2" t="s">
        <v>28839</v>
      </c>
      <c r="D2904" s="2" t="s">
        <v>28840</v>
      </c>
      <c r="E2904" s="2" t="s">
        <v>28841</v>
      </c>
      <c r="G2904" s="3" t="s">
        <v>65</v>
      </c>
      <c r="I2904" s="3" t="s">
        <v>65</v>
      </c>
      <c r="J2904" s="3" t="s">
        <v>65</v>
      </c>
      <c r="K2904" s="3" t="s">
        <v>66</v>
      </c>
      <c r="L2904" s="2" t="s">
        <v>28830</v>
      </c>
      <c r="M2904" s="2" t="s">
        <v>28842</v>
      </c>
      <c r="N2904" s="3" t="s">
        <v>831</v>
      </c>
      <c r="P2904" s="3" t="s">
        <v>140</v>
      </c>
      <c r="Q2904" s="2" t="s">
        <v>28843</v>
      </c>
      <c r="R2904" s="3" t="s">
        <v>71</v>
      </c>
      <c r="S2904" s="4">
        <v>3</v>
      </c>
      <c r="T2904" s="4">
        <v>3</v>
      </c>
      <c r="U2904" s="5" t="s">
        <v>8750</v>
      </c>
      <c r="V2904" s="5" t="s">
        <v>8750</v>
      </c>
      <c r="W2904" s="5" t="s">
        <v>72</v>
      </c>
      <c r="X2904" s="5" t="s">
        <v>72</v>
      </c>
      <c r="Y2904" s="4">
        <v>119</v>
      </c>
      <c r="Z2904" s="4">
        <v>12</v>
      </c>
      <c r="AA2904" s="4">
        <v>13</v>
      </c>
      <c r="AB2904" s="4">
        <v>2</v>
      </c>
      <c r="AC2904" s="4">
        <v>3</v>
      </c>
      <c r="AD2904" s="4">
        <v>64</v>
      </c>
      <c r="AE2904" s="4">
        <v>65</v>
      </c>
      <c r="AF2904" s="4">
        <v>1</v>
      </c>
      <c r="AG2904" s="4">
        <v>2</v>
      </c>
      <c r="AH2904" s="4">
        <v>61</v>
      </c>
      <c r="AI2904" s="4">
        <v>62</v>
      </c>
      <c r="AJ2904" s="4">
        <v>9</v>
      </c>
      <c r="AK2904" s="4">
        <v>10</v>
      </c>
      <c r="AL2904" s="4">
        <v>37</v>
      </c>
      <c r="AM2904" s="4">
        <v>37</v>
      </c>
      <c r="AN2904" s="4">
        <v>0</v>
      </c>
      <c r="AO2904" s="4">
        <v>0</v>
      </c>
      <c r="AP2904" s="4">
        <v>9</v>
      </c>
      <c r="AQ2904" s="4">
        <v>10</v>
      </c>
      <c r="AR2904" s="3" t="s">
        <v>65</v>
      </c>
      <c r="AS2904" s="3" t="s">
        <v>65</v>
      </c>
      <c r="AT2904" s="3" t="s">
        <v>209</v>
      </c>
      <c r="AU2904" s="6" t="str">
        <f>HYPERLINK("http://catalog.hathitrust.org/Record/000673912","HathiTrust Record")</f>
        <v>HathiTrust Record</v>
      </c>
      <c r="AV2904" s="6" t="str">
        <f>HYPERLINK("http://mcgill.on.worldcat.org/oclc/9198176","Catalog Record")</f>
        <v>Catalog Record</v>
      </c>
      <c r="AW2904" s="6" t="str">
        <f>HYPERLINK("http://www.worldcat.org/oclc/9198176","WorldCat Record")</f>
        <v>WorldCat Record</v>
      </c>
      <c r="AX2904" s="3" t="s">
        <v>28844</v>
      </c>
      <c r="AY2904" s="3" t="s">
        <v>28845</v>
      </c>
      <c r="AZ2904" s="3" t="s">
        <v>28846</v>
      </c>
      <c r="BA2904" s="3" t="s">
        <v>28846</v>
      </c>
      <c r="BB2904" s="3" t="s">
        <v>28847</v>
      </c>
      <c r="BC2904" s="3" t="s">
        <v>77</v>
      </c>
      <c r="BD2904" s="3" t="s">
        <v>78</v>
      </c>
      <c r="BF2904" s="3" t="s">
        <v>28847</v>
      </c>
      <c r="BG2904" s="3" t="s">
        <v>28848</v>
      </c>
    </row>
    <row r="2905" spans="1:59" ht="58" x14ac:dyDescent="0.35">
      <c r="A2905" s="2" t="s">
        <v>59</v>
      </c>
      <c r="B2905" s="2" t="s">
        <v>60</v>
      </c>
      <c r="C2905" s="2" t="s">
        <v>28849</v>
      </c>
      <c r="D2905" s="2" t="s">
        <v>28850</v>
      </c>
      <c r="E2905" s="2" t="s">
        <v>28851</v>
      </c>
      <c r="G2905" s="3" t="s">
        <v>65</v>
      </c>
      <c r="I2905" s="3" t="s">
        <v>65</v>
      </c>
      <c r="J2905" s="3" t="s">
        <v>65</v>
      </c>
      <c r="K2905" s="3" t="s">
        <v>66</v>
      </c>
      <c r="L2905" s="2" t="s">
        <v>28852</v>
      </c>
      <c r="M2905" s="2" t="s">
        <v>20598</v>
      </c>
      <c r="N2905" s="3" t="s">
        <v>139</v>
      </c>
      <c r="O2905" s="2" t="s">
        <v>1410</v>
      </c>
      <c r="P2905" s="3" t="s">
        <v>140</v>
      </c>
      <c r="Q2905" s="2" t="s">
        <v>28853</v>
      </c>
      <c r="R2905" s="3" t="s">
        <v>71</v>
      </c>
      <c r="S2905" s="4">
        <v>2</v>
      </c>
      <c r="T2905" s="4">
        <v>2</v>
      </c>
      <c r="U2905" s="5" t="s">
        <v>5949</v>
      </c>
      <c r="V2905" s="5" t="s">
        <v>5949</v>
      </c>
      <c r="W2905" s="5" t="s">
        <v>72</v>
      </c>
      <c r="X2905" s="5" t="s">
        <v>72</v>
      </c>
      <c r="Y2905" s="4">
        <v>45</v>
      </c>
      <c r="Z2905" s="4">
        <v>5</v>
      </c>
      <c r="AA2905" s="4">
        <v>5</v>
      </c>
      <c r="AB2905" s="4">
        <v>1</v>
      </c>
      <c r="AC2905" s="4">
        <v>1</v>
      </c>
      <c r="AD2905" s="4">
        <v>28</v>
      </c>
      <c r="AE2905" s="4">
        <v>28</v>
      </c>
      <c r="AF2905" s="4">
        <v>0</v>
      </c>
      <c r="AG2905" s="4">
        <v>0</v>
      </c>
      <c r="AH2905" s="4">
        <v>27</v>
      </c>
      <c r="AI2905" s="4">
        <v>27</v>
      </c>
      <c r="AJ2905" s="4">
        <v>2</v>
      </c>
      <c r="AK2905" s="4">
        <v>2</v>
      </c>
      <c r="AL2905" s="4">
        <v>22</v>
      </c>
      <c r="AM2905" s="4">
        <v>22</v>
      </c>
      <c r="AN2905" s="4">
        <v>0</v>
      </c>
      <c r="AO2905" s="4">
        <v>0</v>
      </c>
      <c r="AP2905" s="4">
        <v>2</v>
      </c>
      <c r="AQ2905" s="4">
        <v>2</v>
      </c>
      <c r="AR2905" s="3" t="s">
        <v>65</v>
      </c>
      <c r="AS2905" s="3" t="s">
        <v>65</v>
      </c>
      <c r="AT2905" s="3" t="s">
        <v>65</v>
      </c>
      <c r="AV2905" s="6" t="str">
        <f>HYPERLINK("http://mcgill.on.worldcat.org/oclc/827933871","Catalog Record")</f>
        <v>Catalog Record</v>
      </c>
      <c r="AW2905" s="6" t="str">
        <f>HYPERLINK("http://www.worldcat.org/oclc/827933871","WorldCat Record")</f>
        <v>WorldCat Record</v>
      </c>
      <c r="AX2905" s="3" t="s">
        <v>28854</v>
      </c>
      <c r="AY2905" s="3" t="s">
        <v>28855</v>
      </c>
      <c r="AZ2905" s="3" t="s">
        <v>28856</v>
      </c>
      <c r="BA2905" s="3" t="s">
        <v>28856</v>
      </c>
      <c r="BB2905" s="3" t="s">
        <v>28857</v>
      </c>
      <c r="BC2905" s="3" t="s">
        <v>77</v>
      </c>
      <c r="BD2905" s="3" t="s">
        <v>78</v>
      </c>
      <c r="BE2905" s="3" t="s">
        <v>28858</v>
      </c>
      <c r="BF2905" s="3" t="s">
        <v>28857</v>
      </c>
      <c r="BG2905" s="3" t="s">
        <v>28859</v>
      </c>
    </row>
    <row r="2906" spans="1:59" ht="58" x14ac:dyDescent="0.35">
      <c r="A2906" s="2" t="s">
        <v>59</v>
      </c>
      <c r="B2906" s="2" t="s">
        <v>60</v>
      </c>
      <c r="C2906" s="2" t="s">
        <v>28860</v>
      </c>
      <c r="D2906" s="2" t="s">
        <v>28861</v>
      </c>
      <c r="E2906" s="2" t="s">
        <v>28862</v>
      </c>
      <c r="G2906" s="3" t="s">
        <v>65</v>
      </c>
      <c r="I2906" s="3" t="s">
        <v>65</v>
      </c>
      <c r="J2906" s="3" t="s">
        <v>65</v>
      </c>
      <c r="K2906" s="3" t="s">
        <v>66</v>
      </c>
      <c r="M2906" s="2" t="s">
        <v>28863</v>
      </c>
      <c r="N2906" s="3" t="s">
        <v>1122</v>
      </c>
      <c r="P2906" s="3" t="s">
        <v>140</v>
      </c>
      <c r="Q2906" s="2" t="s">
        <v>28864</v>
      </c>
      <c r="R2906" s="3" t="s">
        <v>71</v>
      </c>
      <c r="S2906" s="4">
        <v>1</v>
      </c>
      <c r="T2906" s="4">
        <v>1</v>
      </c>
      <c r="U2906" s="5" t="s">
        <v>9140</v>
      </c>
      <c r="V2906" s="5" t="s">
        <v>9140</v>
      </c>
      <c r="W2906" s="5" t="s">
        <v>72</v>
      </c>
      <c r="X2906" s="5" t="s">
        <v>72</v>
      </c>
      <c r="Y2906" s="4">
        <v>57</v>
      </c>
      <c r="Z2906" s="4">
        <v>6</v>
      </c>
      <c r="AA2906" s="4">
        <v>6</v>
      </c>
      <c r="AB2906" s="4">
        <v>2</v>
      </c>
      <c r="AC2906" s="4">
        <v>2</v>
      </c>
      <c r="AD2906" s="4">
        <v>35</v>
      </c>
      <c r="AE2906" s="4">
        <v>35</v>
      </c>
      <c r="AF2906" s="4">
        <v>1</v>
      </c>
      <c r="AG2906" s="4">
        <v>1</v>
      </c>
      <c r="AH2906" s="4">
        <v>32</v>
      </c>
      <c r="AI2906" s="4">
        <v>32</v>
      </c>
      <c r="AJ2906" s="4">
        <v>3</v>
      </c>
      <c r="AK2906" s="4">
        <v>3</v>
      </c>
      <c r="AL2906" s="4">
        <v>26</v>
      </c>
      <c r="AM2906" s="4">
        <v>26</v>
      </c>
      <c r="AN2906" s="4">
        <v>0</v>
      </c>
      <c r="AO2906" s="4">
        <v>0</v>
      </c>
      <c r="AP2906" s="4">
        <v>4</v>
      </c>
      <c r="AQ2906" s="4">
        <v>4</v>
      </c>
      <c r="AR2906" s="3" t="s">
        <v>65</v>
      </c>
      <c r="AS2906" s="3" t="s">
        <v>65</v>
      </c>
      <c r="AT2906" s="3" t="s">
        <v>65</v>
      </c>
      <c r="AV2906" s="6" t="str">
        <f>HYPERLINK("http://mcgill.on.worldcat.org/oclc/500783853","Catalog Record")</f>
        <v>Catalog Record</v>
      </c>
      <c r="AW2906" s="6" t="str">
        <f>HYPERLINK("http://www.worldcat.org/oclc/500783853","WorldCat Record")</f>
        <v>WorldCat Record</v>
      </c>
      <c r="AX2906" s="3" t="s">
        <v>28865</v>
      </c>
      <c r="AY2906" s="3" t="s">
        <v>28866</v>
      </c>
      <c r="AZ2906" s="3" t="s">
        <v>28867</v>
      </c>
      <c r="BA2906" s="3" t="s">
        <v>28867</v>
      </c>
      <c r="BB2906" s="3" t="s">
        <v>28868</v>
      </c>
      <c r="BC2906" s="3" t="s">
        <v>77</v>
      </c>
      <c r="BD2906" s="3" t="s">
        <v>78</v>
      </c>
      <c r="BE2906" s="3" t="s">
        <v>28869</v>
      </c>
      <c r="BF2906" s="3" t="s">
        <v>28868</v>
      </c>
      <c r="BG2906" s="3" t="s">
        <v>28870</v>
      </c>
    </row>
    <row r="2907" spans="1:59" ht="58" x14ac:dyDescent="0.35">
      <c r="A2907" s="2" t="s">
        <v>59</v>
      </c>
      <c r="B2907" s="2" t="s">
        <v>60</v>
      </c>
      <c r="C2907" s="2" t="s">
        <v>28871</v>
      </c>
      <c r="D2907" s="2" t="s">
        <v>28872</v>
      </c>
      <c r="E2907" s="2" t="s">
        <v>28873</v>
      </c>
      <c r="G2907" s="3" t="s">
        <v>65</v>
      </c>
      <c r="I2907" s="3" t="s">
        <v>65</v>
      </c>
      <c r="J2907" s="3" t="s">
        <v>65</v>
      </c>
      <c r="K2907" s="3" t="s">
        <v>66</v>
      </c>
      <c r="L2907" s="2" t="s">
        <v>28874</v>
      </c>
      <c r="M2907" s="2" t="s">
        <v>28875</v>
      </c>
      <c r="N2907" s="3" t="s">
        <v>577</v>
      </c>
      <c r="O2907" s="2" t="s">
        <v>365</v>
      </c>
      <c r="P2907" s="3" t="s">
        <v>140</v>
      </c>
      <c r="Q2907" s="2" t="s">
        <v>28692</v>
      </c>
      <c r="R2907" s="3" t="s">
        <v>71</v>
      </c>
      <c r="S2907" s="4">
        <v>10</v>
      </c>
      <c r="T2907" s="4">
        <v>10</v>
      </c>
      <c r="U2907" s="5" t="s">
        <v>5949</v>
      </c>
      <c r="V2907" s="5" t="s">
        <v>5949</v>
      </c>
      <c r="W2907" s="5" t="s">
        <v>72</v>
      </c>
      <c r="X2907" s="5" t="s">
        <v>72</v>
      </c>
      <c r="Y2907" s="4">
        <v>78</v>
      </c>
      <c r="Z2907" s="4">
        <v>7</v>
      </c>
      <c r="AA2907" s="4">
        <v>15</v>
      </c>
      <c r="AB2907" s="4">
        <v>1</v>
      </c>
      <c r="AC2907" s="4">
        <v>4</v>
      </c>
      <c r="AD2907" s="4">
        <v>36</v>
      </c>
      <c r="AE2907" s="4">
        <v>65</v>
      </c>
      <c r="AF2907" s="4">
        <v>0</v>
      </c>
      <c r="AG2907" s="4">
        <v>2</v>
      </c>
      <c r="AH2907" s="4">
        <v>33</v>
      </c>
      <c r="AI2907" s="4">
        <v>60</v>
      </c>
      <c r="AJ2907" s="4">
        <v>5</v>
      </c>
      <c r="AK2907" s="4">
        <v>11</v>
      </c>
      <c r="AL2907" s="4">
        <v>25</v>
      </c>
      <c r="AM2907" s="4">
        <v>42</v>
      </c>
      <c r="AN2907" s="4">
        <v>0</v>
      </c>
      <c r="AO2907" s="4">
        <v>0</v>
      </c>
      <c r="AP2907" s="4">
        <v>5</v>
      </c>
      <c r="AQ2907" s="4">
        <v>10</v>
      </c>
      <c r="AR2907" s="3" t="s">
        <v>65</v>
      </c>
      <c r="AS2907" s="3" t="s">
        <v>65</v>
      </c>
      <c r="AT2907" s="3" t="s">
        <v>209</v>
      </c>
      <c r="AU2907" s="6" t="str">
        <f>HYPERLINK("http://catalog.hathitrust.org/Record/007964312","HathiTrust Record")</f>
        <v>HathiTrust Record</v>
      </c>
      <c r="AV2907" s="6" t="str">
        <f>HYPERLINK("http://mcgill.on.worldcat.org/oclc/5354765","Catalog Record")</f>
        <v>Catalog Record</v>
      </c>
      <c r="AW2907" s="6" t="str">
        <f>HYPERLINK("http://www.worldcat.org/oclc/5354765","WorldCat Record")</f>
        <v>WorldCat Record</v>
      </c>
      <c r="AX2907" s="3" t="s">
        <v>28876</v>
      </c>
      <c r="AY2907" s="3" t="s">
        <v>28877</v>
      </c>
      <c r="AZ2907" s="3" t="s">
        <v>28878</v>
      </c>
      <c r="BA2907" s="3" t="s">
        <v>28878</v>
      </c>
      <c r="BB2907" s="3" t="s">
        <v>28879</v>
      </c>
      <c r="BC2907" s="3" t="s">
        <v>77</v>
      </c>
      <c r="BD2907" s="3" t="s">
        <v>78</v>
      </c>
      <c r="BF2907" s="3" t="s">
        <v>28879</v>
      </c>
      <c r="BG2907" s="3" t="s">
        <v>28880</v>
      </c>
    </row>
    <row r="2908" spans="1:59" ht="72.5" x14ac:dyDescent="0.35">
      <c r="A2908" s="2" t="s">
        <v>59</v>
      </c>
      <c r="B2908" s="2" t="s">
        <v>60</v>
      </c>
      <c r="C2908" s="2" t="s">
        <v>28881</v>
      </c>
      <c r="D2908" s="2" t="s">
        <v>28882</v>
      </c>
      <c r="E2908" s="2" t="s">
        <v>28883</v>
      </c>
      <c r="G2908" s="3" t="s">
        <v>65</v>
      </c>
      <c r="I2908" s="3" t="s">
        <v>65</v>
      </c>
      <c r="J2908" s="3" t="s">
        <v>65</v>
      </c>
      <c r="K2908" s="3" t="s">
        <v>66</v>
      </c>
      <c r="M2908" s="2" t="s">
        <v>28884</v>
      </c>
      <c r="N2908" s="3" t="s">
        <v>164</v>
      </c>
      <c r="P2908" s="3" t="s">
        <v>140</v>
      </c>
      <c r="Q2908" s="2" t="s">
        <v>28885</v>
      </c>
      <c r="R2908" s="3" t="s">
        <v>71</v>
      </c>
      <c r="S2908" s="4">
        <v>0</v>
      </c>
      <c r="T2908" s="4">
        <v>0</v>
      </c>
      <c r="W2908" s="5" t="s">
        <v>72</v>
      </c>
      <c r="X2908" s="5" t="s">
        <v>72</v>
      </c>
      <c r="Y2908" s="4">
        <v>51</v>
      </c>
      <c r="Z2908" s="4">
        <v>4</v>
      </c>
      <c r="AA2908" s="4">
        <v>4</v>
      </c>
      <c r="AB2908" s="4">
        <v>1</v>
      </c>
      <c r="AC2908" s="4">
        <v>1</v>
      </c>
      <c r="AD2908" s="4">
        <v>32</v>
      </c>
      <c r="AE2908" s="4">
        <v>32</v>
      </c>
      <c r="AF2908" s="4">
        <v>0</v>
      </c>
      <c r="AG2908" s="4">
        <v>0</v>
      </c>
      <c r="AH2908" s="4">
        <v>31</v>
      </c>
      <c r="AI2908" s="4">
        <v>31</v>
      </c>
      <c r="AJ2908" s="4">
        <v>2</v>
      </c>
      <c r="AK2908" s="4">
        <v>2</v>
      </c>
      <c r="AL2908" s="4">
        <v>25</v>
      </c>
      <c r="AM2908" s="4">
        <v>25</v>
      </c>
      <c r="AN2908" s="4">
        <v>0</v>
      </c>
      <c r="AO2908" s="4">
        <v>0</v>
      </c>
      <c r="AP2908" s="4">
        <v>2</v>
      </c>
      <c r="AQ2908" s="4">
        <v>2</v>
      </c>
      <c r="AR2908" s="3" t="s">
        <v>65</v>
      </c>
      <c r="AS2908" s="3" t="s">
        <v>65</v>
      </c>
      <c r="AT2908" s="3" t="s">
        <v>65</v>
      </c>
      <c r="AV2908" s="6" t="str">
        <f>HYPERLINK("http://mcgill.on.worldcat.org/oclc/873582730","Catalog Record")</f>
        <v>Catalog Record</v>
      </c>
      <c r="AW2908" s="6" t="str">
        <f>HYPERLINK("http://www.worldcat.org/oclc/873582730","WorldCat Record")</f>
        <v>WorldCat Record</v>
      </c>
      <c r="AX2908" s="3" t="s">
        <v>28886</v>
      </c>
      <c r="AY2908" s="3" t="s">
        <v>28887</v>
      </c>
      <c r="AZ2908" s="3" t="s">
        <v>28888</v>
      </c>
      <c r="BA2908" s="3" t="s">
        <v>28888</v>
      </c>
      <c r="BB2908" s="3" t="s">
        <v>28889</v>
      </c>
      <c r="BC2908" s="3" t="s">
        <v>77</v>
      </c>
      <c r="BD2908" s="3" t="s">
        <v>78</v>
      </c>
      <c r="BE2908" s="3" t="s">
        <v>28890</v>
      </c>
      <c r="BF2908" s="3" t="s">
        <v>28889</v>
      </c>
      <c r="BG2908" s="3" t="s">
        <v>28891</v>
      </c>
    </row>
    <row r="2909" spans="1:59" ht="72.5" x14ac:dyDescent="0.35">
      <c r="A2909" s="2" t="s">
        <v>59</v>
      </c>
      <c r="B2909" s="2" t="s">
        <v>60</v>
      </c>
      <c r="C2909" s="2" t="s">
        <v>28892</v>
      </c>
      <c r="D2909" s="2" t="s">
        <v>28893</v>
      </c>
      <c r="E2909" s="2" t="s">
        <v>28894</v>
      </c>
      <c r="G2909" s="3" t="s">
        <v>65</v>
      </c>
      <c r="I2909" s="3" t="s">
        <v>65</v>
      </c>
      <c r="J2909" s="3" t="s">
        <v>65</v>
      </c>
      <c r="K2909" s="3" t="s">
        <v>66</v>
      </c>
      <c r="L2909" s="2" t="s">
        <v>28895</v>
      </c>
      <c r="M2909" s="2" t="s">
        <v>28896</v>
      </c>
      <c r="N2909" s="3" t="s">
        <v>152</v>
      </c>
      <c r="P2909" s="3" t="s">
        <v>140</v>
      </c>
      <c r="R2909" s="3" t="s">
        <v>71</v>
      </c>
      <c r="S2909" s="4">
        <v>0</v>
      </c>
      <c r="T2909" s="4">
        <v>0</v>
      </c>
      <c r="W2909" s="5" t="s">
        <v>72</v>
      </c>
      <c r="X2909" s="5" t="s">
        <v>72</v>
      </c>
      <c r="Y2909" s="4">
        <v>25</v>
      </c>
      <c r="Z2909" s="4">
        <v>4</v>
      </c>
      <c r="AA2909" s="4">
        <v>4</v>
      </c>
      <c r="AB2909" s="4">
        <v>1</v>
      </c>
      <c r="AC2909" s="4">
        <v>1</v>
      </c>
      <c r="AD2909" s="4">
        <v>19</v>
      </c>
      <c r="AE2909" s="4">
        <v>19</v>
      </c>
      <c r="AF2909" s="4">
        <v>0</v>
      </c>
      <c r="AG2909" s="4">
        <v>0</v>
      </c>
      <c r="AH2909" s="4">
        <v>18</v>
      </c>
      <c r="AI2909" s="4">
        <v>18</v>
      </c>
      <c r="AJ2909" s="4">
        <v>2</v>
      </c>
      <c r="AK2909" s="4">
        <v>2</v>
      </c>
      <c r="AL2909" s="4">
        <v>15</v>
      </c>
      <c r="AM2909" s="4">
        <v>15</v>
      </c>
      <c r="AN2909" s="4">
        <v>0</v>
      </c>
      <c r="AO2909" s="4">
        <v>0</v>
      </c>
      <c r="AP2909" s="4">
        <v>2</v>
      </c>
      <c r="AQ2909" s="4">
        <v>2</v>
      </c>
      <c r="AR2909" s="3" t="s">
        <v>65</v>
      </c>
      <c r="AS2909" s="3" t="s">
        <v>65</v>
      </c>
      <c r="AT2909" s="3" t="s">
        <v>65</v>
      </c>
      <c r="AV2909" s="6" t="str">
        <f>HYPERLINK("http://mcgill.on.worldcat.org/oclc/843755280","Catalog Record")</f>
        <v>Catalog Record</v>
      </c>
      <c r="AW2909" s="6" t="str">
        <f>HYPERLINK("http://www.worldcat.org/oclc/843755280","WorldCat Record")</f>
        <v>WorldCat Record</v>
      </c>
      <c r="AX2909" s="3" t="s">
        <v>28897</v>
      </c>
      <c r="AY2909" s="3" t="s">
        <v>28898</v>
      </c>
      <c r="AZ2909" s="3" t="s">
        <v>28899</v>
      </c>
      <c r="BA2909" s="3" t="s">
        <v>28899</v>
      </c>
      <c r="BB2909" s="3" t="s">
        <v>28900</v>
      </c>
      <c r="BC2909" s="3" t="s">
        <v>77</v>
      </c>
      <c r="BD2909" s="3" t="s">
        <v>78</v>
      </c>
      <c r="BE2909" s="3" t="s">
        <v>28901</v>
      </c>
      <c r="BF2909" s="3" t="s">
        <v>28900</v>
      </c>
      <c r="BG2909" s="3" t="s">
        <v>28902</v>
      </c>
    </row>
    <row r="2910" spans="1:59" ht="72.5" x14ac:dyDescent="0.35">
      <c r="A2910" s="2" t="s">
        <v>59</v>
      </c>
      <c r="B2910" s="2" t="s">
        <v>60</v>
      </c>
      <c r="C2910" s="2" t="s">
        <v>28903</v>
      </c>
      <c r="D2910" s="2" t="s">
        <v>28904</v>
      </c>
      <c r="E2910" s="2" t="s">
        <v>28905</v>
      </c>
      <c r="G2910" s="3" t="s">
        <v>65</v>
      </c>
      <c r="I2910" s="3" t="s">
        <v>65</v>
      </c>
      <c r="J2910" s="3" t="s">
        <v>65</v>
      </c>
      <c r="K2910" s="3" t="s">
        <v>66</v>
      </c>
      <c r="L2910" s="2" t="s">
        <v>28906</v>
      </c>
      <c r="M2910" s="2" t="s">
        <v>3462</v>
      </c>
      <c r="N2910" s="3" t="s">
        <v>126</v>
      </c>
      <c r="P2910" s="3" t="s">
        <v>140</v>
      </c>
      <c r="Q2910" s="2" t="s">
        <v>28907</v>
      </c>
      <c r="R2910" s="3" t="s">
        <v>71</v>
      </c>
      <c r="S2910" s="4">
        <v>0</v>
      </c>
      <c r="T2910" s="4">
        <v>0</v>
      </c>
      <c r="W2910" s="5" t="s">
        <v>72</v>
      </c>
      <c r="X2910" s="5" t="s">
        <v>72</v>
      </c>
      <c r="Y2910" s="4">
        <v>31</v>
      </c>
      <c r="Z2910" s="4">
        <v>4</v>
      </c>
      <c r="AA2910" s="4">
        <v>4</v>
      </c>
      <c r="AB2910" s="4">
        <v>1</v>
      </c>
      <c r="AC2910" s="4">
        <v>1</v>
      </c>
      <c r="AD2910" s="4">
        <v>24</v>
      </c>
      <c r="AE2910" s="4">
        <v>24</v>
      </c>
      <c r="AF2910" s="4">
        <v>0</v>
      </c>
      <c r="AG2910" s="4">
        <v>0</v>
      </c>
      <c r="AH2910" s="4">
        <v>23</v>
      </c>
      <c r="AI2910" s="4">
        <v>23</v>
      </c>
      <c r="AJ2910" s="4">
        <v>2</v>
      </c>
      <c r="AK2910" s="4">
        <v>2</v>
      </c>
      <c r="AL2910" s="4">
        <v>18</v>
      </c>
      <c r="AM2910" s="4">
        <v>18</v>
      </c>
      <c r="AN2910" s="4">
        <v>0</v>
      </c>
      <c r="AO2910" s="4">
        <v>0</v>
      </c>
      <c r="AP2910" s="4">
        <v>2</v>
      </c>
      <c r="AQ2910" s="4">
        <v>2</v>
      </c>
      <c r="AR2910" s="3" t="s">
        <v>65</v>
      </c>
      <c r="AS2910" s="3" t="s">
        <v>65</v>
      </c>
      <c r="AT2910" s="3" t="s">
        <v>65</v>
      </c>
      <c r="AV2910" s="6" t="str">
        <f>HYPERLINK("http://mcgill.on.worldcat.org/oclc/719413400","Catalog Record")</f>
        <v>Catalog Record</v>
      </c>
      <c r="AW2910" s="6" t="str">
        <f>HYPERLINK("http://www.worldcat.org/oclc/719413400","WorldCat Record")</f>
        <v>WorldCat Record</v>
      </c>
      <c r="AX2910" s="3" t="s">
        <v>28908</v>
      </c>
      <c r="AY2910" s="3" t="s">
        <v>28909</v>
      </c>
      <c r="AZ2910" s="3" t="s">
        <v>28910</v>
      </c>
      <c r="BA2910" s="3" t="s">
        <v>28910</v>
      </c>
      <c r="BB2910" s="3" t="s">
        <v>28911</v>
      </c>
      <c r="BC2910" s="3" t="s">
        <v>77</v>
      </c>
      <c r="BD2910" s="3" t="s">
        <v>78</v>
      </c>
      <c r="BE2910" s="3" t="s">
        <v>28912</v>
      </c>
      <c r="BF2910" s="3" t="s">
        <v>28911</v>
      </c>
      <c r="BG2910" s="3" t="s">
        <v>28913</v>
      </c>
    </row>
    <row r="2911" spans="1:59" ht="58" x14ac:dyDescent="0.35">
      <c r="A2911" s="2" t="s">
        <v>59</v>
      </c>
      <c r="B2911" s="2" t="s">
        <v>60</v>
      </c>
      <c r="C2911" s="2" t="s">
        <v>28914</v>
      </c>
      <c r="D2911" s="2" t="s">
        <v>28915</v>
      </c>
      <c r="E2911" s="2" t="s">
        <v>28916</v>
      </c>
      <c r="G2911" s="3" t="s">
        <v>65</v>
      </c>
      <c r="I2911" s="3" t="s">
        <v>65</v>
      </c>
      <c r="J2911" s="3" t="s">
        <v>65</v>
      </c>
      <c r="K2911" s="3" t="s">
        <v>66</v>
      </c>
      <c r="L2911" s="2" t="s">
        <v>28917</v>
      </c>
      <c r="M2911" s="2" t="s">
        <v>28918</v>
      </c>
      <c r="N2911" s="3" t="s">
        <v>113</v>
      </c>
      <c r="O2911" s="2" t="s">
        <v>365</v>
      </c>
      <c r="P2911" s="3" t="s">
        <v>140</v>
      </c>
      <c r="Q2911" s="2" t="s">
        <v>28919</v>
      </c>
      <c r="R2911" s="3" t="s">
        <v>71</v>
      </c>
      <c r="S2911" s="4">
        <v>0</v>
      </c>
      <c r="T2911" s="4">
        <v>0</v>
      </c>
      <c r="W2911" s="5" t="s">
        <v>72</v>
      </c>
      <c r="X2911" s="5" t="s">
        <v>72</v>
      </c>
      <c r="Y2911" s="4">
        <v>36</v>
      </c>
      <c r="Z2911" s="4">
        <v>4</v>
      </c>
      <c r="AA2911" s="4">
        <v>4</v>
      </c>
      <c r="AB2911" s="4">
        <v>1</v>
      </c>
      <c r="AC2911" s="4">
        <v>1</v>
      </c>
      <c r="AD2911" s="4">
        <v>29</v>
      </c>
      <c r="AE2911" s="4">
        <v>29</v>
      </c>
      <c r="AF2911" s="4">
        <v>0</v>
      </c>
      <c r="AG2911" s="4">
        <v>0</v>
      </c>
      <c r="AH2911" s="4">
        <v>28</v>
      </c>
      <c r="AI2911" s="4">
        <v>28</v>
      </c>
      <c r="AJ2911" s="4">
        <v>2</v>
      </c>
      <c r="AK2911" s="4">
        <v>2</v>
      </c>
      <c r="AL2911" s="4">
        <v>22</v>
      </c>
      <c r="AM2911" s="4">
        <v>22</v>
      </c>
      <c r="AN2911" s="4">
        <v>0</v>
      </c>
      <c r="AO2911" s="4">
        <v>0</v>
      </c>
      <c r="AP2911" s="4">
        <v>2</v>
      </c>
      <c r="AQ2911" s="4">
        <v>2</v>
      </c>
      <c r="AR2911" s="3" t="s">
        <v>65</v>
      </c>
      <c r="AS2911" s="3" t="s">
        <v>65</v>
      </c>
      <c r="AT2911" s="3" t="s">
        <v>65</v>
      </c>
      <c r="AV2911" s="6" t="str">
        <f>HYPERLINK("http://mcgill.on.worldcat.org/oclc/644523319","Catalog Record")</f>
        <v>Catalog Record</v>
      </c>
      <c r="AW2911" s="6" t="str">
        <f>HYPERLINK("http://www.worldcat.org/oclc/644523319","WorldCat Record")</f>
        <v>WorldCat Record</v>
      </c>
      <c r="AX2911" s="3" t="s">
        <v>28920</v>
      </c>
      <c r="AY2911" s="3" t="s">
        <v>28921</v>
      </c>
      <c r="AZ2911" s="3" t="s">
        <v>28922</v>
      </c>
      <c r="BA2911" s="3" t="s">
        <v>28922</v>
      </c>
      <c r="BB2911" s="3" t="s">
        <v>28923</v>
      </c>
      <c r="BC2911" s="3" t="s">
        <v>77</v>
      </c>
      <c r="BD2911" s="3" t="s">
        <v>78</v>
      </c>
      <c r="BE2911" s="3" t="s">
        <v>28924</v>
      </c>
      <c r="BF2911" s="3" t="s">
        <v>28923</v>
      </c>
      <c r="BG2911" s="3" t="s">
        <v>28925</v>
      </c>
    </row>
    <row r="2912" spans="1:59" ht="58" x14ac:dyDescent="0.35">
      <c r="A2912" s="2" t="s">
        <v>59</v>
      </c>
      <c r="B2912" s="2" t="s">
        <v>60</v>
      </c>
      <c r="C2912" s="2" t="s">
        <v>28926</v>
      </c>
      <c r="D2912" s="2" t="s">
        <v>28927</v>
      </c>
      <c r="E2912" s="2" t="s">
        <v>28928</v>
      </c>
      <c r="G2912" s="3" t="s">
        <v>65</v>
      </c>
      <c r="I2912" s="3" t="s">
        <v>65</v>
      </c>
      <c r="J2912" s="3" t="s">
        <v>65</v>
      </c>
      <c r="K2912" s="3" t="s">
        <v>66</v>
      </c>
      <c r="L2912" s="2" t="s">
        <v>28929</v>
      </c>
      <c r="M2912" s="2" t="s">
        <v>19485</v>
      </c>
      <c r="N2912" s="3" t="s">
        <v>126</v>
      </c>
      <c r="O2912" s="2" t="s">
        <v>28930</v>
      </c>
      <c r="P2912" s="3" t="s">
        <v>140</v>
      </c>
      <c r="Q2912" s="2" t="s">
        <v>28931</v>
      </c>
      <c r="R2912" s="3" t="s">
        <v>71</v>
      </c>
      <c r="S2912" s="4">
        <v>0</v>
      </c>
      <c r="T2912" s="4">
        <v>0</v>
      </c>
      <c r="W2912" s="5" t="s">
        <v>72</v>
      </c>
      <c r="X2912" s="5" t="s">
        <v>72</v>
      </c>
      <c r="Y2912" s="4">
        <v>37</v>
      </c>
      <c r="Z2912" s="4">
        <v>4</v>
      </c>
      <c r="AA2912" s="4">
        <v>4</v>
      </c>
      <c r="AB2912" s="4">
        <v>1</v>
      </c>
      <c r="AC2912" s="4">
        <v>1</v>
      </c>
      <c r="AD2912" s="4">
        <v>27</v>
      </c>
      <c r="AE2912" s="4">
        <v>27</v>
      </c>
      <c r="AF2912" s="4">
        <v>0</v>
      </c>
      <c r="AG2912" s="4">
        <v>0</v>
      </c>
      <c r="AH2912" s="4">
        <v>26</v>
      </c>
      <c r="AI2912" s="4">
        <v>26</v>
      </c>
      <c r="AJ2912" s="4">
        <v>2</v>
      </c>
      <c r="AK2912" s="4">
        <v>2</v>
      </c>
      <c r="AL2912" s="4">
        <v>20</v>
      </c>
      <c r="AM2912" s="4">
        <v>20</v>
      </c>
      <c r="AN2912" s="4">
        <v>0</v>
      </c>
      <c r="AO2912" s="4">
        <v>0</v>
      </c>
      <c r="AP2912" s="4">
        <v>2</v>
      </c>
      <c r="AQ2912" s="4">
        <v>2</v>
      </c>
      <c r="AR2912" s="3" t="s">
        <v>65</v>
      </c>
      <c r="AS2912" s="3" t="s">
        <v>65</v>
      </c>
      <c r="AT2912" s="3" t="s">
        <v>65</v>
      </c>
      <c r="AV2912" s="6" t="str">
        <f>HYPERLINK("http://mcgill.on.worldcat.org/oclc/747530708","Catalog Record")</f>
        <v>Catalog Record</v>
      </c>
      <c r="AW2912" s="6" t="str">
        <f>HYPERLINK("http://www.worldcat.org/oclc/747530708","WorldCat Record")</f>
        <v>WorldCat Record</v>
      </c>
      <c r="AX2912" s="3" t="s">
        <v>28932</v>
      </c>
      <c r="AY2912" s="3" t="s">
        <v>28933</v>
      </c>
      <c r="AZ2912" s="3" t="s">
        <v>28934</v>
      </c>
      <c r="BA2912" s="3" t="s">
        <v>28934</v>
      </c>
      <c r="BB2912" s="3" t="s">
        <v>28935</v>
      </c>
      <c r="BC2912" s="3" t="s">
        <v>77</v>
      </c>
      <c r="BD2912" s="3" t="s">
        <v>78</v>
      </c>
      <c r="BE2912" s="3" t="s">
        <v>28936</v>
      </c>
      <c r="BF2912" s="3" t="s">
        <v>28935</v>
      </c>
      <c r="BG2912" s="3" t="s">
        <v>28937</v>
      </c>
    </row>
    <row r="2913" spans="1:59" ht="58" x14ac:dyDescent="0.35">
      <c r="A2913" s="2" t="s">
        <v>59</v>
      </c>
      <c r="B2913" s="2" t="s">
        <v>60</v>
      </c>
      <c r="C2913" s="2" t="s">
        <v>28938</v>
      </c>
      <c r="D2913" s="2" t="s">
        <v>28939</v>
      </c>
      <c r="E2913" s="2" t="s">
        <v>28940</v>
      </c>
      <c r="G2913" s="3" t="s">
        <v>65</v>
      </c>
      <c r="I2913" s="3" t="s">
        <v>65</v>
      </c>
      <c r="J2913" s="3" t="s">
        <v>65</v>
      </c>
      <c r="K2913" s="3" t="s">
        <v>66</v>
      </c>
      <c r="L2913" s="2" t="s">
        <v>28941</v>
      </c>
      <c r="M2913" s="2" t="s">
        <v>28942</v>
      </c>
      <c r="N2913" s="3" t="s">
        <v>392</v>
      </c>
      <c r="O2913" s="2" t="s">
        <v>365</v>
      </c>
      <c r="P2913" s="3" t="s">
        <v>140</v>
      </c>
      <c r="Q2913" s="2" t="s">
        <v>565</v>
      </c>
      <c r="R2913" s="3" t="s">
        <v>71</v>
      </c>
      <c r="S2913" s="4">
        <v>4</v>
      </c>
      <c r="T2913" s="4">
        <v>4</v>
      </c>
      <c r="U2913" s="5" t="s">
        <v>5949</v>
      </c>
      <c r="V2913" s="5" t="s">
        <v>5949</v>
      </c>
      <c r="W2913" s="5" t="s">
        <v>72</v>
      </c>
      <c r="X2913" s="5" t="s">
        <v>72</v>
      </c>
      <c r="Y2913" s="4">
        <v>77</v>
      </c>
      <c r="Z2913" s="4">
        <v>6</v>
      </c>
      <c r="AA2913" s="4">
        <v>6</v>
      </c>
      <c r="AB2913" s="4">
        <v>1</v>
      </c>
      <c r="AC2913" s="4">
        <v>1</v>
      </c>
      <c r="AD2913" s="4">
        <v>42</v>
      </c>
      <c r="AE2913" s="4">
        <v>42</v>
      </c>
      <c r="AF2913" s="4">
        <v>0</v>
      </c>
      <c r="AG2913" s="4">
        <v>0</v>
      </c>
      <c r="AH2913" s="4">
        <v>39</v>
      </c>
      <c r="AI2913" s="4">
        <v>39</v>
      </c>
      <c r="AJ2913" s="4">
        <v>3</v>
      </c>
      <c r="AK2913" s="4">
        <v>3</v>
      </c>
      <c r="AL2913" s="4">
        <v>31</v>
      </c>
      <c r="AM2913" s="4">
        <v>31</v>
      </c>
      <c r="AN2913" s="4">
        <v>0</v>
      </c>
      <c r="AO2913" s="4">
        <v>0</v>
      </c>
      <c r="AP2913" s="4">
        <v>4</v>
      </c>
      <c r="AQ2913" s="4">
        <v>4</v>
      </c>
      <c r="AR2913" s="3" t="s">
        <v>65</v>
      </c>
      <c r="AS2913" s="3" t="s">
        <v>65</v>
      </c>
      <c r="AT2913" s="3" t="s">
        <v>209</v>
      </c>
      <c r="AU2913" s="6" t="str">
        <f>HYPERLINK("http://catalog.hathitrust.org/Record/001943083","HathiTrust Record")</f>
        <v>HathiTrust Record</v>
      </c>
      <c r="AV2913" s="6" t="str">
        <f>HYPERLINK("http://mcgill.on.worldcat.org/oclc/21375493","Catalog Record")</f>
        <v>Catalog Record</v>
      </c>
      <c r="AW2913" s="6" t="str">
        <f>HYPERLINK("http://www.worldcat.org/oclc/21375493","WorldCat Record")</f>
        <v>WorldCat Record</v>
      </c>
      <c r="AX2913" s="3" t="s">
        <v>28943</v>
      </c>
      <c r="AY2913" s="3" t="s">
        <v>28944</v>
      </c>
      <c r="AZ2913" s="3" t="s">
        <v>28945</v>
      </c>
      <c r="BA2913" s="3" t="s">
        <v>28945</v>
      </c>
      <c r="BB2913" s="3" t="s">
        <v>28946</v>
      </c>
      <c r="BC2913" s="3" t="s">
        <v>77</v>
      </c>
      <c r="BD2913" s="3" t="s">
        <v>78</v>
      </c>
      <c r="BE2913" s="3" t="s">
        <v>28947</v>
      </c>
      <c r="BF2913" s="3" t="s">
        <v>28946</v>
      </c>
      <c r="BG2913" s="3" t="s">
        <v>28948</v>
      </c>
    </row>
    <row r="2914" spans="1:59" ht="58" x14ac:dyDescent="0.35">
      <c r="A2914" s="2" t="s">
        <v>59</v>
      </c>
      <c r="B2914" s="2" t="s">
        <v>60</v>
      </c>
      <c r="C2914" s="2" t="s">
        <v>28949</v>
      </c>
      <c r="D2914" s="2" t="s">
        <v>28950</v>
      </c>
      <c r="E2914" s="2" t="s">
        <v>28951</v>
      </c>
      <c r="G2914" s="3" t="s">
        <v>65</v>
      </c>
      <c r="I2914" s="3" t="s">
        <v>65</v>
      </c>
      <c r="J2914" s="3" t="s">
        <v>65</v>
      </c>
      <c r="K2914" s="3" t="s">
        <v>66</v>
      </c>
      <c r="L2914" s="2" t="s">
        <v>28941</v>
      </c>
      <c r="M2914" s="2" t="s">
        <v>19724</v>
      </c>
      <c r="N2914" s="3" t="s">
        <v>3385</v>
      </c>
      <c r="P2914" s="3" t="s">
        <v>140</v>
      </c>
      <c r="Q2914" s="2" t="s">
        <v>28952</v>
      </c>
      <c r="R2914" s="3" t="s">
        <v>71</v>
      </c>
      <c r="S2914" s="4">
        <v>1</v>
      </c>
      <c r="T2914" s="4">
        <v>1</v>
      </c>
      <c r="U2914" s="5" t="s">
        <v>5949</v>
      </c>
      <c r="V2914" s="5" t="s">
        <v>5949</v>
      </c>
      <c r="W2914" s="5" t="s">
        <v>72</v>
      </c>
      <c r="X2914" s="5" t="s">
        <v>72</v>
      </c>
      <c r="Y2914" s="4">
        <v>54</v>
      </c>
      <c r="Z2914" s="4">
        <v>2</v>
      </c>
      <c r="AA2914" s="4">
        <v>4</v>
      </c>
      <c r="AB2914" s="4">
        <v>2</v>
      </c>
      <c r="AC2914" s="4">
        <v>2</v>
      </c>
      <c r="AD2914" s="4">
        <v>38</v>
      </c>
      <c r="AE2914" s="4">
        <v>39</v>
      </c>
      <c r="AF2914" s="4">
        <v>1</v>
      </c>
      <c r="AG2914" s="4">
        <v>1</v>
      </c>
      <c r="AH2914" s="4">
        <v>36</v>
      </c>
      <c r="AI2914" s="4">
        <v>37</v>
      </c>
      <c r="AJ2914" s="4">
        <v>1</v>
      </c>
      <c r="AK2914" s="4">
        <v>2</v>
      </c>
      <c r="AL2914" s="4">
        <v>28</v>
      </c>
      <c r="AM2914" s="4">
        <v>29</v>
      </c>
      <c r="AN2914" s="4">
        <v>0</v>
      </c>
      <c r="AO2914" s="4">
        <v>0</v>
      </c>
      <c r="AP2914" s="4">
        <v>1</v>
      </c>
      <c r="AQ2914" s="4">
        <v>2</v>
      </c>
      <c r="AR2914" s="3" t="s">
        <v>65</v>
      </c>
      <c r="AS2914" s="3" t="s">
        <v>65</v>
      </c>
      <c r="AT2914" s="3" t="s">
        <v>209</v>
      </c>
      <c r="AU2914" s="6" t="str">
        <f>HYPERLINK("http://catalog.hathitrust.org/Record/004068733","HathiTrust Record")</f>
        <v>HathiTrust Record</v>
      </c>
      <c r="AV2914" s="6" t="str">
        <f>HYPERLINK("http://mcgill.on.worldcat.org/oclc/42798779","Catalog Record")</f>
        <v>Catalog Record</v>
      </c>
      <c r="AW2914" s="6" t="str">
        <f>HYPERLINK("http://www.worldcat.org/oclc/42798779","WorldCat Record")</f>
        <v>WorldCat Record</v>
      </c>
      <c r="AX2914" s="3" t="s">
        <v>28953</v>
      </c>
      <c r="AY2914" s="3" t="s">
        <v>28954</v>
      </c>
      <c r="AZ2914" s="3" t="s">
        <v>28955</v>
      </c>
      <c r="BA2914" s="3" t="s">
        <v>28955</v>
      </c>
      <c r="BB2914" s="3" t="s">
        <v>28956</v>
      </c>
      <c r="BC2914" s="3" t="s">
        <v>77</v>
      </c>
      <c r="BD2914" s="3" t="s">
        <v>78</v>
      </c>
      <c r="BE2914" s="3" t="s">
        <v>28957</v>
      </c>
      <c r="BF2914" s="3" t="s">
        <v>28956</v>
      </c>
      <c r="BG2914" s="3" t="s">
        <v>28958</v>
      </c>
    </row>
    <row r="2915" spans="1:59" ht="58" x14ac:dyDescent="0.35">
      <c r="A2915" s="2" t="s">
        <v>59</v>
      </c>
      <c r="B2915" s="2" t="s">
        <v>60</v>
      </c>
      <c r="C2915" s="2" t="s">
        <v>28959</v>
      </c>
      <c r="D2915" s="2" t="s">
        <v>28960</v>
      </c>
      <c r="E2915" s="2" t="s">
        <v>28961</v>
      </c>
      <c r="G2915" s="3" t="s">
        <v>65</v>
      </c>
      <c r="I2915" s="3" t="s">
        <v>65</v>
      </c>
      <c r="J2915" s="3" t="s">
        <v>65</v>
      </c>
      <c r="K2915" s="3" t="s">
        <v>66</v>
      </c>
      <c r="L2915" s="2" t="s">
        <v>28962</v>
      </c>
      <c r="M2915" s="2" t="s">
        <v>28963</v>
      </c>
      <c r="N2915" s="3" t="s">
        <v>1895</v>
      </c>
      <c r="O2915" s="2" t="s">
        <v>26116</v>
      </c>
      <c r="P2915" s="3" t="s">
        <v>140</v>
      </c>
      <c r="Q2915" s="2" t="s">
        <v>28964</v>
      </c>
      <c r="R2915" s="3" t="s">
        <v>71</v>
      </c>
      <c r="S2915" s="4">
        <v>4</v>
      </c>
      <c r="T2915" s="4">
        <v>4</v>
      </c>
      <c r="U2915" s="5" t="s">
        <v>28965</v>
      </c>
      <c r="V2915" s="5" t="s">
        <v>28965</v>
      </c>
      <c r="W2915" s="5" t="s">
        <v>72</v>
      </c>
      <c r="X2915" s="5" t="s">
        <v>72</v>
      </c>
      <c r="Y2915" s="4">
        <v>83</v>
      </c>
      <c r="Z2915" s="4">
        <v>8</v>
      </c>
      <c r="AA2915" s="4">
        <v>8</v>
      </c>
      <c r="AB2915" s="4">
        <v>1</v>
      </c>
      <c r="AC2915" s="4">
        <v>1</v>
      </c>
      <c r="AD2915" s="4">
        <v>49</v>
      </c>
      <c r="AE2915" s="4">
        <v>49</v>
      </c>
      <c r="AF2915" s="4">
        <v>0</v>
      </c>
      <c r="AG2915" s="4">
        <v>0</v>
      </c>
      <c r="AH2915" s="4">
        <v>46</v>
      </c>
      <c r="AI2915" s="4">
        <v>46</v>
      </c>
      <c r="AJ2915" s="4">
        <v>6</v>
      </c>
      <c r="AK2915" s="4">
        <v>6</v>
      </c>
      <c r="AL2915" s="4">
        <v>35</v>
      </c>
      <c r="AM2915" s="4">
        <v>35</v>
      </c>
      <c r="AN2915" s="4">
        <v>0</v>
      </c>
      <c r="AO2915" s="4">
        <v>0</v>
      </c>
      <c r="AP2915" s="4">
        <v>6</v>
      </c>
      <c r="AQ2915" s="4">
        <v>6</v>
      </c>
      <c r="AR2915" s="3" t="s">
        <v>65</v>
      </c>
      <c r="AS2915" s="3" t="s">
        <v>65</v>
      </c>
      <c r="AT2915" s="3" t="s">
        <v>209</v>
      </c>
      <c r="AU2915" s="6" t="str">
        <f>HYPERLINK("http://catalog.hathitrust.org/Record/003304964","HathiTrust Record")</f>
        <v>HathiTrust Record</v>
      </c>
      <c r="AV2915" s="6" t="str">
        <f>HYPERLINK("http://mcgill.on.worldcat.org/oclc/39170484","Catalog Record")</f>
        <v>Catalog Record</v>
      </c>
      <c r="AW2915" s="6" t="str">
        <f>HYPERLINK("http://www.worldcat.org/oclc/39170484","WorldCat Record")</f>
        <v>WorldCat Record</v>
      </c>
      <c r="AX2915" s="3" t="s">
        <v>28966</v>
      </c>
      <c r="AY2915" s="3" t="s">
        <v>28967</v>
      </c>
      <c r="AZ2915" s="3" t="s">
        <v>28968</v>
      </c>
      <c r="BA2915" s="3" t="s">
        <v>28968</v>
      </c>
      <c r="BB2915" s="3" t="s">
        <v>28969</v>
      </c>
      <c r="BC2915" s="3" t="s">
        <v>77</v>
      </c>
      <c r="BD2915" s="3" t="s">
        <v>78</v>
      </c>
      <c r="BE2915" s="3" t="s">
        <v>28970</v>
      </c>
      <c r="BF2915" s="3" t="s">
        <v>28969</v>
      </c>
      <c r="BG2915" s="3" t="s">
        <v>28971</v>
      </c>
    </row>
    <row r="2916" spans="1:59" ht="58" x14ac:dyDescent="0.35">
      <c r="A2916" s="2" t="s">
        <v>59</v>
      </c>
      <c r="B2916" s="2" t="s">
        <v>60</v>
      </c>
      <c r="C2916" s="2" t="s">
        <v>28972</v>
      </c>
      <c r="D2916" s="2" t="s">
        <v>28973</v>
      </c>
      <c r="E2916" s="2" t="s">
        <v>28974</v>
      </c>
      <c r="G2916" s="3" t="s">
        <v>65</v>
      </c>
      <c r="I2916" s="3" t="s">
        <v>65</v>
      </c>
      <c r="J2916" s="3" t="s">
        <v>209</v>
      </c>
      <c r="K2916" s="3" t="s">
        <v>66</v>
      </c>
      <c r="L2916" s="2" t="s">
        <v>28962</v>
      </c>
      <c r="M2916" s="2" t="s">
        <v>28975</v>
      </c>
      <c r="N2916" s="3" t="s">
        <v>364</v>
      </c>
      <c r="P2916" s="3" t="s">
        <v>69</v>
      </c>
      <c r="Q2916" s="2" t="s">
        <v>25392</v>
      </c>
      <c r="R2916" s="3" t="s">
        <v>71</v>
      </c>
      <c r="S2916" s="4">
        <v>7</v>
      </c>
      <c r="T2916" s="4">
        <v>7</v>
      </c>
      <c r="U2916" s="5" t="s">
        <v>28976</v>
      </c>
      <c r="V2916" s="5" t="s">
        <v>28976</v>
      </c>
      <c r="W2916" s="5" t="s">
        <v>72</v>
      </c>
      <c r="X2916" s="5" t="s">
        <v>72</v>
      </c>
      <c r="Y2916" s="4">
        <v>149</v>
      </c>
      <c r="Z2916" s="4">
        <v>6</v>
      </c>
      <c r="AA2916" s="4">
        <v>28</v>
      </c>
      <c r="AB2916" s="4">
        <v>1</v>
      </c>
      <c r="AC2916" s="4">
        <v>4</v>
      </c>
      <c r="AD2916" s="4">
        <v>34</v>
      </c>
      <c r="AE2916" s="4">
        <v>108</v>
      </c>
      <c r="AF2916" s="4">
        <v>0</v>
      </c>
      <c r="AG2916" s="4">
        <v>1</v>
      </c>
      <c r="AH2916" s="4">
        <v>32</v>
      </c>
      <c r="AI2916" s="4">
        <v>97</v>
      </c>
      <c r="AJ2916" s="4">
        <v>2</v>
      </c>
      <c r="AK2916" s="4">
        <v>14</v>
      </c>
      <c r="AL2916" s="4">
        <v>20</v>
      </c>
      <c r="AM2916" s="4">
        <v>54</v>
      </c>
      <c r="AN2916" s="4">
        <v>0</v>
      </c>
      <c r="AO2916" s="4">
        <v>0</v>
      </c>
      <c r="AP2916" s="4">
        <v>2</v>
      </c>
      <c r="AQ2916" s="4">
        <v>15</v>
      </c>
      <c r="AR2916" s="3" t="s">
        <v>65</v>
      </c>
      <c r="AS2916" s="3" t="s">
        <v>65</v>
      </c>
      <c r="AT2916" s="3" t="s">
        <v>65</v>
      </c>
      <c r="AV2916" s="6" t="str">
        <f>HYPERLINK("http://mcgill.on.worldcat.org/oclc/47844723","Catalog Record")</f>
        <v>Catalog Record</v>
      </c>
      <c r="AW2916" s="6" t="str">
        <f>HYPERLINK("http://www.worldcat.org/oclc/47844723","WorldCat Record")</f>
        <v>WorldCat Record</v>
      </c>
      <c r="AX2916" s="3" t="s">
        <v>28977</v>
      </c>
      <c r="AY2916" s="3" t="s">
        <v>28978</v>
      </c>
      <c r="AZ2916" s="3" t="s">
        <v>28979</v>
      </c>
      <c r="BA2916" s="3" t="s">
        <v>28979</v>
      </c>
      <c r="BB2916" s="3" t="s">
        <v>28980</v>
      </c>
      <c r="BC2916" s="3" t="s">
        <v>77</v>
      </c>
      <c r="BD2916" s="3" t="s">
        <v>78</v>
      </c>
      <c r="BE2916" s="3" t="s">
        <v>28981</v>
      </c>
      <c r="BF2916" s="3" t="s">
        <v>28980</v>
      </c>
      <c r="BG2916" s="3" t="s">
        <v>28982</v>
      </c>
    </row>
    <row r="2917" spans="1:59" ht="58" x14ac:dyDescent="0.35">
      <c r="A2917" s="2" t="s">
        <v>59</v>
      </c>
      <c r="B2917" s="2" t="s">
        <v>60</v>
      </c>
      <c r="C2917" s="2" t="s">
        <v>28983</v>
      </c>
      <c r="D2917" s="2" t="s">
        <v>28984</v>
      </c>
      <c r="E2917" s="2" t="s">
        <v>28985</v>
      </c>
      <c r="G2917" s="3" t="s">
        <v>65</v>
      </c>
      <c r="I2917" s="3" t="s">
        <v>65</v>
      </c>
      <c r="J2917" s="3" t="s">
        <v>209</v>
      </c>
      <c r="K2917" s="3" t="s">
        <v>66</v>
      </c>
      <c r="L2917" s="2" t="s">
        <v>28962</v>
      </c>
      <c r="M2917" s="2" t="s">
        <v>28986</v>
      </c>
      <c r="N2917" s="3" t="s">
        <v>5439</v>
      </c>
      <c r="P2917" s="3" t="s">
        <v>140</v>
      </c>
      <c r="Q2917" s="2" t="s">
        <v>28987</v>
      </c>
      <c r="R2917" s="3" t="s">
        <v>71</v>
      </c>
      <c r="S2917" s="4">
        <v>8</v>
      </c>
      <c r="T2917" s="4">
        <v>8</v>
      </c>
      <c r="U2917" s="5" t="s">
        <v>18737</v>
      </c>
      <c r="V2917" s="5" t="s">
        <v>18737</v>
      </c>
      <c r="W2917" s="5" t="s">
        <v>72</v>
      </c>
      <c r="X2917" s="5" t="s">
        <v>72</v>
      </c>
      <c r="Y2917" s="4">
        <v>19</v>
      </c>
      <c r="Z2917" s="4">
        <v>1</v>
      </c>
      <c r="AA2917" s="4">
        <v>19</v>
      </c>
      <c r="AB2917" s="4">
        <v>1</v>
      </c>
      <c r="AC2917" s="4">
        <v>2</v>
      </c>
      <c r="AD2917" s="4">
        <v>6</v>
      </c>
      <c r="AE2917" s="4">
        <v>78</v>
      </c>
      <c r="AF2917" s="4">
        <v>0</v>
      </c>
      <c r="AG2917" s="4">
        <v>1</v>
      </c>
      <c r="AH2917" s="4">
        <v>6</v>
      </c>
      <c r="AI2917" s="4">
        <v>72</v>
      </c>
      <c r="AJ2917" s="4">
        <v>0</v>
      </c>
      <c r="AK2917" s="4">
        <v>12</v>
      </c>
      <c r="AL2917" s="4">
        <v>4</v>
      </c>
      <c r="AM2917" s="4">
        <v>42</v>
      </c>
      <c r="AN2917" s="4">
        <v>0</v>
      </c>
      <c r="AO2917" s="4">
        <v>0</v>
      </c>
      <c r="AP2917" s="4">
        <v>0</v>
      </c>
      <c r="AQ2917" s="4">
        <v>13</v>
      </c>
      <c r="AR2917" s="3" t="s">
        <v>65</v>
      </c>
      <c r="AS2917" s="3" t="s">
        <v>65</v>
      </c>
      <c r="AT2917" s="3" t="s">
        <v>209</v>
      </c>
      <c r="AU2917" s="6" t="str">
        <f>HYPERLINK("http://catalog.hathitrust.org/Record/001361374","HathiTrust Record")</f>
        <v>HathiTrust Record</v>
      </c>
      <c r="AV2917" s="6" t="str">
        <f>HYPERLINK("http://mcgill.on.worldcat.org/oclc/3145019","Catalog Record")</f>
        <v>Catalog Record</v>
      </c>
      <c r="AW2917" s="6" t="str">
        <f>HYPERLINK("http://www.worldcat.org/oclc/3145019","WorldCat Record")</f>
        <v>WorldCat Record</v>
      </c>
      <c r="AX2917" s="3" t="s">
        <v>28988</v>
      </c>
      <c r="AY2917" s="3" t="s">
        <v>28989</v>
      </c>
      <c r="AZ2917" s="3" t="s">
        <v>28990</v>
      </c>
      <c r="BA2917" s="3" t="s">
        <v>28990</v>
      </c>
      <c r="BB2917" s="3" t="s">
        <v>28991</v>
      </c>
      <c r="BC2917" s="3" t="s">
        <v>77</v>
      </c>
      <c r="BD2917" s="3" t="s">
        <v>78</v>
      </c>
      <c r="BF2917" s="3" t="s">
        <v>28991</v>
      </c>
      <c r="BG2917" s="3" t="s">
        <v>28992</v>
      </c>
    </row>
    <row r="2918" spans="1:59" ht="72.5" x14ac:dyDescent="0.35">
      <c r="A2918" s="2" t="s">
        <v>59</v>
      </c>
      <c r="B2918" s="2" t="s">
        <v>60</v>
      </c>
      <c r="C2918" s="2" t="s">
        <v>28993</v>
      </c>
      <c r="D2918" s="2" t="s">
        <v>28994</v>
      </c>
      <c r="E2918" s="2" t="s">
        <v>28995</v>
      </c>
      <c r="G2918" s="3" t="s">
        <v>65</v>
      </c>
      <c r="I2918" s="3" t="s">
        <v>65</v>
      </c>
      <c r="J2918" s="3" t="s">
        <v>209</v>
      </c>
      <c r="K2918" s="3" t="s">
        <v>66</v>
      </c>
      <c r="L2918" s="2" t="s">
        <v>28962</v>
      </c>
      <c r="M2918" s="2" t="s">
        <v>28996</v>
      </c>
      <c r="N2918" s="3" t="s">
        <v>11262</v>
      </c>
      <c r="P2918" s="3" t="s">
        <v>140</v>
      </c>
      <c r="Q2918" s="2" t="s">
        <v>21441</v>
      </c>
      <c r="R2918" s="3" t="s">
        <v>71</v>
      </c>
      <c r="S2918" s="4">
        <v>1</v>
      </c>
      <c r="T2918" s="4">
        <v>1</v>
      </c>
      <c r="U2918" s="5" t="s">
        <v>28997</v>
      </c>
      <c r="V2918" s="5" t="s">
        <v>28997</v>
      </c>
      <c r="W2918" s="5" t="s">
        <v>72</v>
      </c>
      <c r="X2918" s="5" t="s">
        <v>72</v>
      </c>
      <c r="Y2918" s="4">
        <v>1</v>
      </c>
      <c r="Z2918" s="4">
        <v>1</v>
      </c>
      <c r="AA2918" s="4">
        <v>22</v>
      </c>
      <c r="AB2918" s="4">
        <v>1</v>
      </c>
      <c r="AC2918" s="4">
        <v>3</v>
      </c>
      <c r="AD2918" s="4">
        <v>0</v>
      </c>
      <c r="AE2918" s="4">
        <v>87</v>
      </c>
      <c r="AF2918" s="4">
        <v>0</v>
      </c>
      <c r="AG2918" s="4">
        <v>2</v>
      </c>
      <c r="AH2918" s="4">
        <v>0</v>
      </c>
      <c r="AI2918" s="4">
        <v>78</v>
      </c>
      <c r="AJ2918" s="4">
        <v>0</v>
      </c>
      <c r="AK2918" s="4">
        <v>16</v>
      </c>
      <c r="AL2918" s="4">
        <v>0</v>
      </c>
      <c r="AM2918" s="4">
        <v>48</v>
      </c>
      <c r="AN2918" s="4">
        <v>0</v>
      </c>
      <c r="AO2918" s="4">
        <v>4</v>
      </c>
      <c r="AP2918" s="4">
        <v>0</v>
      </c>
      <c r="AQ2918" s="4">
        <v>14</v>
      </c>
      <c r="AR2918" s="3" t="s">
        <v>65</v>
      </c>
      <c r="AS2918" s="3" t="s">
        <v>65</v>
      </c>
      <c r="AT2918" s="3" t="s">
        <v>65</v>
      </c>
      <c r="AV2918" s="6" t="str">
        <f>HYPERLINK("http://mcgill.on.worldcat.org/oclc/61553255","Catalog Record")</f>
        <v>Catalog Record</v>
      </c>
      <c r="AW2918" s="6" t="str">
        <f>HYPERLINK("http://www.worldcat.org/oclc/61553255","WorldCat Record")</f>
        <v>WorldCat Record</v>
      </c>
      <c r="AX2918" s="3" t="s">
        <v>28998</v>
      </c>
      <c r="AY2918" s="3" t="s">
        <v>28999</v>
      </c>
      <c r="AZ2918" s="3" t="s">
        <v>29000</v>
      </c>
      <c r="BA2918" s="3" t="s">
        <v>29000</v>
      </c>
      <c r="BB2918" s="3" t="s">
        <v>29001</v>
      </c>
      <c r="BC2918" s="3" t="s">
        <v>77</v>
      </c>
      <c r="BD2918" s="3" t="s">
        <v>78</v>
      </c>
      <c r="BF2918" s="3" t="s">
        <v>29001</v>
      </c>
      <c r="BG2918" s="3" t="s">
        <v>29002</v>
      </c>
    </row>
    <row r="2919" spans="1:59" ht="72.5" x14ac:dyDescent="0.35">
      <c r="A2919" s="2" t="s">
        <v>59</v>
      </c>
      <c r="B2919" s="2" t="s">
        <v>60</v>
      </c>
      <c r="C2919" s="2" t="s">
        <v>29003</v>
      </c>
      <c r="D2919" s="2" t="s">
        <v>29004</v>
      </c>
      <c r="E2919" s="2" t="s">
        <v>29005</v>
      </c>
      <c r="G2919" s="3" t="s">
        <v>65</v>
      </c>
      <c r="I2919" s="3" t="s">
        <v>65</v>
      </c>
      <c r="J2919" s="3" t="s">
        <v>65</v>
      </c>
      <c r="K2919" s="3" t="s">
        <v>66</v>
      </c>
      <c r="L2919" s="2" t="s">
        <v>27013</v>
      </c>
      <c r="M2919" s="2" t="s">
        <v>29006</v>
      </c>
      <c r="N2919" s="3" t="s">
        <v>188</v>
      </c>
      <c r="P2919" s="3" t="s">
        <v>140</v>
      </c>
      <c r="Q2919" s="2" t="s">
        <v>29007</v>
      </c>
      <c r="R2919" s="3" t="s">
        <v>71</v>
      </c>
      <c r="S2919" s="4">
        <v>0</v>
      </c>
      <c r="T2919" s="4">
        <v>0</v>
      </c>
      <c r="W2919" s="5" t="s">
        <v>72</v>
      </c>
      <c r="X2919" s="5" t="s">
        <v>72</v>
      </c>
      <c r="Y2919" s="4">
        <v>35</v>
      </c>
      <c r="Z2919" s="4">
        <v>2</v>
      </c>
      <c r="AA2919" s="4">
        <v>2</v>
      </c>
      <c r="AB2919" s="4">
        <v>1</v>
      </c>
      <c r="AC2919" s="4">
        <v>1</v>
      </c>
      <c r="AD2919" s="4">
        <v>22</v>
      </c>
      <c r="AE2919" s="4">
        <v>22</v>
      </c>
      <c r="AF2919" s="4">
        <v>0</v>
      </c>
      <c r="AG2919" s="4">
        <v>0</v>
      </c>
      <c r="AH2919" s="4">
        <v>21</v>
      </c>
      <c r="AI2919" s="4">
        <v>21</v>
      </c>
      <c r="AJ2919" s="4">
        <v>1</v>
      </c>
      <c r="AK2919" s="4">
        <v>1</v>
      </c>
      <c r="AL2919" s="4">
        <v>18</v>
      </c>
      <c r="AM2919" s="4">
        <v>18</v>
      </c>
      <c r="AN2919" s="4">
        <v>0</v>
      </c>
      <c r="AO2919" s="4">
        <v>0</v>
      </c>
      <c r="AP2919" s="4">
        <v>1</v>
      </c>
      <c r="AQ2919" s="4">
        <v>1</v>
      </c>
      <c r="AR2919" s="3" t="s">
        <v>65</v>
      </c>
      <c r="AS2919" s="3" t="s">
        <v>65</v>
      </c>
      <c r="AT2919" s="3" t="s">
        <v>65</v>
      </c>
      <c r="AV2919" s="6" t="str">
        <f>HYPERLINK("http://mcgill.on.worldcat.org/oclc/982171780","Catalog Record")</f>
        <v>Catalog Record</v>
      </c>
      <c r="AW2919" s="6" t="str">
        <f>HYPERLINK("http://www.worldcat.org/oclc/982171780","WorldCat Record")</f>
        <v>WorldCat Record</v>
      </c>
      <c r="AX2919" s="3" t="s">
        <v>29008</v>
      </c>
      <c r="AY2919" s="3" t="s">
        <v>29009</v>
      </c>
      <c r="AZ2919" s="3" t="s">
        <v>29010</v>
      </c>
      <c r="BA2919" s="3" t="s">
        <v>29010</v>
      </c>
      <c r="BB2919" s="3" t="s">
        <v>29011</v>
      </c>
      <c r="BC2919" s="3" t="s">
        <v>77</v>
      </c>
      <c r="BD2919" s="3" t="s">
        <v>78</v>
      </c>
      <c r="BE2919" s="3" t="s">
        <v>29012</v>
      </c>
      <c r="BF2919" s="3" t="s">
        <v>29011</v>
      </c>
      <c r="BG2919" s="3" t="s">
        <v>29013</v>
      </c>
    </row>
    <row r="2920" spans="1:59" ht="72.5" x14ac:dyDescent="0.35">
      <c r="A2920" s="2" t="s">
        <v>59</v>
      </c>
      <c r="B2920" s="2" t="s">
        <v>60</v>
      </c>
      <c r="C2920" s="2" t="s">
        <v>29014</v>
      </c>
      <c r="D2920" s="2" t="s">
        <v>29015</v>
      </c>
      <c r="E2920" s="2" t="s">
        <v>29016</v>
      </c>
      <c r="G2920" s="3" t="s">
        <v>65</v>
      </c>
      <c r="I2920" s="3" t="s">
        <v>65</v>
      </c>
      <c r="J2920" s="3" t="s">
        <v>65</v>
      </c>
      <c r="K2920" s="3" t="s">
        <v>66</v>
      </c>
      <c r="L2920" s="2" t="s">
        <v>29017</v>
      </c>
      <c r="M2920" s="2" t="s">
        <v>29018</v>
      </c>
      <c r="N2920" s="3" t="s">
        <v>139</v>
      </c>
      <c r="P2920" s="3" t="s">
        <v>140</v>
      </c>
      <c r="Q2920" s="2" t="s">
        <v>29019</v>
      </c>
      <c r="R2920" s="3" t="s">
        <v>71</v>
      </c>
      <c r="S2920" s="4">
        <v>0</v>
      </c>
      <c r="T2920" s="4">
        <v>0</v>
      </c>
      <c r="W2920" s="5" t="s">
        <v>72</v>
      </c>
      <c r="X2920" s="5" t="s">
        <v>72</v>
      </c>
      <c r="Y2920" s="4">
        <v>49</v>
      </c>
      <c r="Z2920" s="4">
        <v>5</v>
      </c>
      <c r="AA2920" s="4">
        <v>5</v>
      </c>
      <c r="AB2920" s="4">
        <v>1</v>
      </c>
      <c r="AC2920" s="4">
        <v>1</v>
      </c>
      <c r="AD2920" s="4">
        <v>35</v>
      </c>
      <c r="AE2920" s="4">
        <v>35</v>
      </c>
      <c r="AF2920" s="4">
        <v>0</v>
      </c>
      <c r="AG2920" s="4">
        <v>0</v>
      </c>
      <c r="AH2920" s="4">
        <v>34</v>
      </c>
      <c r="AI2920" s="4">
        <v>34</v>
      </c>
      <c r="AJ2920" s="4">
        <v>2</v>
      </c>
      <c r="AK2920" s="4">
        <v>2</v>
      </c>
      <c r="AL2920" s="4">
        <v>27</v>
      </c>
      <c r="AM2920" s="4">
        <v>27</v>
      </c>
      <c r="AN2920" s="4">
        <v>0</v>
      </c>
      <c r="AO2920" s="4">
        <v>0</v>
      </c>
      <c r="AP2920" s="4">
        <v>2</v>
      </c>
      <c r="AQ2920" s="4">
        <v>2</v>
      </c>
      <c r="AR2920" s="3" t="s">
        <v>65</v>
      </c>
      <c r="AS2920" s="3" t="s">
        <v>65</v>
      </c>
      <c r="AT2920" s="3" t="s">
        <v>65</v>
      </c>
      <c r="AV2920" s="6" t="str">
        <f>HYPERLINK("http://mcgill.on.worldcat.org/oclc/820121198","Catalog Record")</f>
        <v>Catalog Record</v>
      </c>
      <c r="AW2920" s="6" t="str">
        <f>HYPERLINK("http://www.worldcat.org/oclc/820121198","WorldCat Record")</f>
        <v>WorldCat Record</v>
      </c>
      <c r="AX2920" s="3" t="s">
        <v>29020</v>
      </c>
      <c r="AY2920" s="3" t="s">
        <v>29021</v>
      </c>
      <c r="AZ2920" s="3" t="s">
        <v>29022</v>
      </c>
      <c r="BA2920" s="3" t="s">
        <v>29022</v>
      </c>
      <c r="BB2920" s="3" t="s">
        <v>29023</v>
      </c>
      <c r="BC2920" s="3" t="s">
        <v>77</v>
      </c>
      <c r="BD2920" s="3" t="s">
        <v>78</v>
      </c>
      <c r="BE2920" s="3" t="s">
        <v>29024</v>
      </c>
      <c r="BF2920" s="3" t="s">
        <v>29023</v>
      </c>
      <c r="BG2920" s="3" t="s">
        <v>29025</v>
      </c>
    </row>
    <row r="2921" spans="1:59" ht="58" x14ac:dyDescent="0.35">
      <c r="A2921" s="2" t="s">
        <v>59</v>
      </c>
      <c r="B2921" s="2" t="s">
        <v>60</v>
      </c>
      <c r="C2921" s="2" t="s">
        <v>29026</v>
      </c>
      <c r="D2921" s="2" t="s">
        <v>29027</v>
      </c>
      <c r="E2921" s="2" t="s">
        <v>29028</v>
      </c>
      <c r="G2921" s="3" t="s">
        <v>65</v>
      </c>
      <c r="I2921" s="3" t="s">
        <v>65</v>
      </c>
      <c r="J2921" s="3" t="s">
        <v>209</v>
      </c>
      <c r="K2921" s="3" t="s">
        <v>66</v>
      </c>
      <c r="L2921" s="2" t="s">
        <v>28962</v>
      </c>
      <c r="M2921" s="2" t="s">
        <v>29029</v>
      </c>
      <c r="N2921" s="3" t="s">
        <v>928</v>
      </c>
      <c r="P2921" s="3" t="s">
        <v>140</v>
      </c>
      <c r="Q2921" s="2" t="s">
        <v>29030</v>
      </c>
      <c r="R2921" s="3" t="s">
        <v>71</v>
      </c>
      <c r="S2921" s="4">
        <v>3</v>
      </c>
      <c r="T2921" s="4">
        <v>3</v>
      </c>
      <c r="U2921" s="5" t="s">
        <v>3724</v>
      </c>
      <c r="V2921" s="5" t="s">
        <v>3724</v>
      </c>
      <c r="W2921" s="5" t="s">
        <v>72</v>
      </c>
      <c r="X2921" s="5" t="s">
        <v>72</v>
      </c>
      <c r="Y2921" s="4">
        <v>1</v>
      </c>
      <c r="Z2921" s="4">
        <v>1</v>
      </c>
      <c r="AA2921" s="4">
        <v>29</v>
      </c>
      <c r="AB2921" s="4">
        <v>1</v>
      </c>
      <c r="AC2921" s="4">
        <v>3</v>
      </c>
      <c r="AD2921" s="4">
        <v>0</v>
      </c>
      <c r="AE2921" s="4">
        <v>115</v>
      </c>
      <c r="AF2921" s="4">
        <v>0</v>
      </c>
      <c r="AG2921" s="4">
        <v>1</v>
      </c>
      <c r="AH2921" s="4">
        <v>0</v>
      </c>
      <c r="AI2921" s="4">
        <v>103</v>
      </c>
      <c r="AJ2921" s="4">
        <v>0</v>
      </c>
      <c r="AK2921" s="4">
        <v>17</v>
      </c>
      <c r="AL2921" s="4">
        <v>0</v>
      </c>
      <c r="AM2921" s="4">
        <v>57</v>
      </c>
      <c r="AN2921" s="4">
        <v>0</v>
      </c>
      <c r="AO2921" s="4">
        <v>6</v>
      </c>
      <c r="AP2921" s="4">
        <v>0</v>
      </c>
      <c r="AQ2921" s="4">
        <v>19</v>
      </c>
      <c r="AR2921" s="3" t="s">
        <v>65</v>
      </c>
      <c r="AS2921" s="3" t="s">
        <v>65</v>
      </c>
      <c r="AT2921" s="3" t="s">
        <v>65</v>
      </c>
      <c r="AV2921" s="6" t="str">
        <f>HYPERLINK("http://mcgill.on.worldcat.org/oclc/427111888","Catalog Record")</f>
        <v>Catalog Record</v>
      </c>
      <c r="AW2921" s="6" t="str">
        <f>HYPERLINK("http://www.worldcat.org/oclc/427111888","WorldCat Record")</f>
        <v>WorldCat Record</v>
      </c>
      <c r="AX2921" s="3" t="s">
        <v>29031</v>
      </c>
      <c r="AY2921" s="3" t="s">
        <v>29032</v>
      </c>
      <c r="AZ2921" s="3" t="s">
        <v>29033</v>
      </c>
      <c r="BA2921" s="3" t="s">
        <v>29033</v>
      </c>
      <c r="BB2921" s="3" t="s">
        <v>29034</v>
      </c>
      <c r="BC2921" s="3" t="s">
        <v>77</v>
      </c>
      <c r="BD2921" s="3" t="s">
        <v>78</v>
      </c>
      <c r="BF2921" s="3" t="s">
        <v>29034</v>
      </c>
      <c r="BG2921" s="3" t="s">
        <v>29035</v>
      </c>
    </row>
    <row r="2922" spans="1:59" ht="58" x14ac:dyDescent="0.35">
      <c r="A2922" s="2" t="s">
        <v>59</v>
      </c>
      <c r="B2922" s="2" t="s">
        <v>60</v>
      </c>
      <c r="C2922" s="2" t="s">
        <v>29036</v>
      </c>
      <c r="D2922" s="2" t="s">
        <v>29037</v>
      </c>
      <c r="E2922" s="2" t="s">
        <v>29038</v>
      </c>
      <c r="G2922" s="3" t="s">
        <v>65</v>
      </c>
      <c r="I2922" s="3" t="s">
        <v>65</v>
      </c>
      <c r="J2922" s="3" t="s">
        <v>209</v>
      </c>
      <c r="K2922" s="3" t="s">
        <v>66</v>
      </c>
      <c r="L2922" s="2" t="s">
        <v>28962</v>
      </c>
      <c r="M2922" s="2" t="s">
        <v>29039</v>
      </c>
      <c r="N2922" s="3" t="s">
        <v>906</v>
      </c>
      <c r="P2922" s="3" t="s">
        <v>140</v>
      </c>
      <c r="Q2922" s="2" t="s">
        <v>13719</v>
      </c>
      <c r="R2922" s="3" t="s">
        <v>71</v>
      </c>
      <c r="S2922" s="4">
        <v>9</v>
      </c>
      <c r="T2922" s="4">
        <v>9</v>
      </c>
      <c r="U2922" s="5" t="s">
        <v>4391</v>
      </c>
      <c r="V2922" s="5" t="s">
        <v>4391</v>
      </c>
      <c r="W2922" s="5" t="s">
        <v>72</v>
      </c>
      <c r="X2922" s="5" t="s">
        <v>72</v>
      </c>
      <c r="Y2922" s="4">
        <v>77</v>
      </c>
      <c r="Z2922" s="4">
        <v>7</v>
      </c>
      <c r="AA2922" s="4">
        <v>29</v>
      </c>
      <c r="AB2922" s="4">
        <v>1</v>
      </c>
      <c r="AC2922" s="4">
        <v>3</v>
      </c>
      <c r="AD2922" s="4">
        <v>26</v>
      </c>
      <c r="AE2922" s="4">
        <v>115</v>
      </c>
      <c r="AF2922" s="4">
        <v>0</v>
      </c>
      <c r="AG2922" s="4">
        <v>1</v>
      </c>
      <c r="AH2922" s="4">
        <v>24</v>
      </c>
      <c r="AI2922" s="4">
        <v>103</v>
      </c>
      <c r="AJ2922" s="4">
        <v>6</v>
      </c>
      <c r="AK2922" s="4">
        <v>17</v>
      </c>
      <c r="AL2922" s="4">
        <v>16</v>
      </c>
      <c r="AM2922" s="4">
        <v>57</v>
      </c>
      <c r="AN2922" s="4">
        <v>0</v>
      </c>
      <c r="AO2922" s="4">
        <v>6</v>
      </c>
      <c r="AP2922" s="4">
        <v>6</v>
      </c>
      <c r="AQ2922" s="4">
        <v>19</v>
      </c>
      <c r="AR2922" s="3" t="s">
        <v>65</v>
      </c>
      <c r="AS2922" s="3" t="s">
        <v>65</v>
      </c>
      <c r="AT2922" s="3" t="s">
        <v>209</v>
      </c>
      <c r="AU2922" s="6" t="str">
        <f>HYPERLINK("http://catalog.hathitrust.org/Record/007107011","HathiTrust Record")</f>
        <v>HathiTrust Record</v>
      </c>
      <c r="AV2922" s="6" t="str">
        <f>HYPERLINK("http://mcgill.on.worldcat.org/oclc/6546161","Catalog Record")</f>
        <v>Catalog Record</v>
      </c>
      <c r="AW2922" s="6" t="str">
        <f>HYPERLINK("http://www.worldcat.org/oclc/6546161","WorldCat Record")</f>
        <v>WorldCat Record</v>
      </c>
      <c r="AX2922" s="3" t="s">
        <v>29031</v>
      </c>
      <c r="AY2922" s="3" t="s">
        <v>29040</v>
      </c>
      <c r="AZ2922" s="3" t="s">
        <v>29041</v>
      </c>
      <c r="BA2922" s="3" t="s">
        <v>29041</v>
      </c>
      <c r="BB2922" s="3" t="s">
        <v>29042</v>
      </c>
      <c r="BC2922" s="3" t="s">
        <v>77</v>
      </c>
      <c r="BD2922" s="3" t="s">
        <v>78</v>
      </c>
      <c r="BE2922" s="3" t="s">
        <v>29043</v>
      </c>
      <c r="BF2922" s="3" t="s">
        <v>29042</v>
      </c>
      <c r="BG2922" s="3" t="s">
        <v>29044</v>
      </c>
    </row>
    <row r="2923" spans="1:59" ht="58" x14ac:dyDescent="0.35">
      <c r="A2923" s="2" t="s">
        <v>59</v>
      </c>
      <c r="B2923" s="2" t="s">
        <v>60</v>
      </c>
      <c r="C2923" s="2" t="s">
        <v>29045</v>
      </c>
      <c r="D2923" s="2" t="s">
        <v>29046</v>
      </c>
      <c r="E2923" s="2" t="s">
        <v>29047</v>
      </c>
      <c r="G2923" s="3" t="s">
        <v>65</v>
      </c>
      <c r="I2923" s="3" t="s">
        <v>65</v>
      </c>
      <c r="J2923" s="3" t="s">
        <v>209</v>
      </c>
      <c r="K2923" s="3" t="s">
        <v>66</v>
      </c>
      <c r="L2923" s="2" t="s">
        <v>28962</v>
      </c>
      <c r="M2923" s="2" t="s">
        <v>29048</v>
      </c>
      <c r="N2923" s="3" t="s">
        <v>2210</v>
      </c>
      <c r="P2923" s="3" t="s">
        <v>69</v>
      </c>
      <c r="Q2923" s="2" t="s">
        <v>25392</v>
      </c>
      <c r="R2923" s="3" t="s">
        <v>71</v>
      </c>
      <c r="S2923" s="4">
        <v>8</v>
      </c>
      <c r="T2923" s="4">
        <v>8</v>
      </c>
      <c r="U2923" s="5" t="s">
        <v>29049</v>
      </c>
      <c r="V2923" s="5" t="s">
        <v>29049</v>
      </c>
      <c r="W2923" s="5" t="s">
        <v>72</v>
      </c>
      <c r="X2923" s="5" t="s">
        <v>72</v>
      </c>
      <c r="Y2923" s="4">
        <v>276</v>
      </c>
      <c r="Z2923" s="4">
        <v>17</v>
      </c>
      <c r="AA2923" s="4">
        <v>35</v>
      </c>
      <c r="AB2923" s="4">
        <v>2</v>
      </c>
      <c r="AC2923" s="4">
        <v>4</v>
      </c>
      <c r="AD2923" s="4">
        <v>72</v>
      </c>
      <c r="AE2923" s="4">
        <v>116</v>
      </c>
      <c r="AF2923" s="4">
        <v>1</v>
      </c>
      <c r="AG2923" s="4">
        <v>2</v>
      </c>
      <c r="AH2923" s="4">
        <v>64</v>
      </c>
      <c r="AI2923" s="4">
        <v>101</v>
      </c>
      <c r="AJ2923" s="4">
        <v>9</v>
      </c>
      <c r="AK2923" s="4">
        <v>17</v>
      </c>
      <c r="AL2923" s="4">
        <v>41</v>
      </c>
      <c r="AM2923" s="4">
        <v>53</v>
      </c>
      <c r="AN2923" s="4">
        <v>0</v>
      </c>
      <c r="AO2923" s="4">
        <v>3</v>
      </c>
      <c r="AP2923" s="4">
        <v>10</v>
      </c>
      <c r="AQ2923" s="4">
        <v>21</v>
      </c>
      <c r="AR2923" s="3" t="s">
        <v>65</v>
      </c>
      <c r="AS2923" s="3" t="s">
        <v>65</v>
      </c>
      <c r="AT2923" s="3" t="s">
        <v>209</v>
      </c>
      <c r="AU2923" s="6" t="str">
        <f>HYPERLINK("http://catalog.hathitrust.org/Record/004289211","HathiTrust Record")</f>
        <v>HathiTrust Record</v>
      </c>
      <c r="AV2923" s="6" t="str">
        <f>HYPERLINK("http://mcgill.on.worldcat.org/oclc/50155672","Catalog Record")</f>
        <v>Catalog Record</v>
      </c>
      <c r="AW2923" s="6" t="str">
        <f>HYPERLINK("http://www.worldcat.org/oclc/50155672","WorldCat Record")</f>
        <v>WorldCat Record</v>
      </c>
      <c r="AX2923" s="3" t="s">
        <v>29050</v>
      </c>
      <c r="AY2923" s="3" t="s">
        <v>29051</v>
      </c>
      <c r="AZ2923" s="3" t="s">
        <v>29052</v>
      </c>
      <c r="BA2923" s="3" t="s">
        <v>29052</v>
      </c>
      <c r="BB2923" s="3" t="s">
        <v>29053</v>
      </c>
      <c r="BC2923" s="3" t="s">
        <v>77</v>
      </c>
      <c r="BD2923" s="3" t="s">
        <v>78</v>
      </c>
      <c r="BE2923" s="3" t="s">
        <v>29054</v>
      </c>
      <c r="BF2923" s="3" t="s">
        <v>29053</v>
      </c>
      <c r="BG2923" s="3" t="s">
        <v>29055</v>
      </c>
    </row>
    <row r="2924" spans="1:59" ht="72.5" x14ac:dyDescent="0.35">
      <c r="A2924" s="2" t="s">
        <v>59</v>
      </c>
      <c r="B2924" s="2" t="s">
        <v>60</v>
      </c>
      <c r="C2924" s="2" t="s">
        <v>29056</v>
      </c>
      <c r="D2924" s="2" t="s">
        <v>29057</v>
      </c>
      <c r="E2924" s="2" t="s">
        <v>29058</v>
      </c>
      <c r="G2924" s="3" t="s">
        <v>65</v>
      </c>
      <c r="I2924" s="3" t="s">
        <v>65</v>
      </c>
      <c r="J2924" s="3" t="s">
        <v>209</v>
      </c>
      <c r="K2924" s="3" t="s">
        <v>66</v>
      </c>
      <c r="L2924" s="2" t="s">
        <v>28962</v>
      </c>
      <c r="M2924" s="2" t="s">
        <v>29059</v>
      </c>
      <c r="N2924" s="3" t="s">
        <v>2210</v>
      </c>
      <c r="P2924" s="3" t="s">
        <v>69</v>
      </c>
      <c r="Q2924" s="2" t="s">
        <v>29060</v>
      </c>
      <c r="R2924" s="3" t="s">
        <v>71</v>
      </c>
      <c r="S2924" s="4">
        <v>6</v>
      </c>
      <c r="T2924" s="4">
        <v>6</v>
      </c>
      <c r="U2924" s="5" t="s">
        <v>28997</v>
      </c>
      <c r="V2924" s="5" t="s">
        <v>28997</v>
      </c>
      <c r="W2924" s="5" t="s">
        <v>72</v>
      </c>
      <c r="X2924" s="5" t="s">
        <v>72</v>
      </c>
      <c r="Y2924" s="4">
        <v>47</v>
      </c>
      <c r="Z2924" s="4">
        <v>5</v>
      </c>
      <c r="AA2924" s="4">
        <v>35</v>
      </c>
      <c r="AB2924" s="4">
        <v>2</v>
      </c>
      <c r="AC2924" s="4">
        <v>4</v>
      </c>
      <c r="AD2924" s="4">
        <v>11</v>
      </c>
      <c r="AE2924" s="4">
        <v>116</v>
      </c>
      <c r="AF2924" s="4">
        <v>0</v>
      </c>
      <c r="AG2924" s="4">
        <v>2</v>
      </c>
      <c r="AH2924" s="4">
        <v>9</v>
      </c>
      <c r="AI2924" s="4">
        <v>101</v>
      </c>
      <c r="AJ2924" s="4">
        <v>2</v>
      </c>
      <c r="AK2924" s="4">
        <v>17</v>
      </c>
      <c r="AL2924" s="4">
        <v>7</v>
      </c>
      <c r="AM2924" s="4">
        <v>53</v>
      </c>
      <c r="AN2924" s="4">
        <v>0</v>
      </c>
      <c r="AO2924" s="4">
        <v>3</v>
      </c>
      <c r="AP2924" s="4">
        <v>2</v>
      </c>
      <c r="AQ2924" s="4">
        <v>21</v>
      </c>
      <c r="AR2924" s="3" t="s">
        <v>65</v>
      </c>
      <c r="AS2924" s="3" t="s">
        <v>65</v>
      </c>
      <c r="AT2924" s="3" t="s">
        <v>65</v>
      </c>
      <c r="AV2924" s="6" t="str">
        <f>HYPERLINK("http://mcgill.on.worldcat.org/oclc/54279947","Catalog Record")</f>
        <v>Catalog Record</v>
      </c>
      <c r="AW2924" s="6" t="str">
        <f>HYPERLINK("http://www.worldcat.org/oclc/54279947","WorldCat Record")</f>
        <v>WorldCat Record</v>
      </c>
      <c r="AX2924" s="3" t="s">
        <v>29050</v>
      </c>
      <c r="AY2924" s="3" t="s">
        <v>29061</v>
      </c>
      <c r="AZ2924" s="3" t="s">
        <v>29062</v>
      </c>
      <c r="BA2924" s="3" t="s">
        <v>29062</v>
      </c>
      <c r="BB2924" s="3" t="s">
        <v>29063</v>
      </c>
      <c r="BC2924" s="3" t="s">
        <v>77</v>
      </c>
      <c r="BD2924" s="3" t="s">
        <v>78</v>
      </c>
      <c r="BE2924" s="3" t="s">
        <v>29064</v>
      </c>
      <c r="BF2924" s="3" t="s">
        <v>29063</v>
      </c>
      <c r="BG2924" s="3" t="s">
        <v>29065</v>
      </c>
    </row>
    <row r="2925" spans="1:59" ht="58" x14ac:dyDescent="0.35">
      <c r="A2925" s="2" t="s">
        <v>59</v>
      </c>
      <c r="B2925" s="2" t="s">
        <v>60</v>
      </c>
      <c r="C2925" s="2" t="s">
        <v>29066</v>
      </c>
      <c r="D2925" s="2" t="s">
        <v>29067</v>
      </c>
      <c r="E2925" s="2" t="s">
        <v>29068</v>
      </c>
      <c r="G2925" s="3" t="s">
        <v>65</v>
      </c>
      <c r="I2925" s="3" t="s">
        <v>65</v>
      </c>
      <c r="J2925" s="3" t="s">
        <v>209</v>
      </c>
      <c r="K2925" s="3" t="s">
        <v>66</v>
      </c>
      <c r="L2925" s="2" t="s">
        <v>28962</v>
      </c>
      <c r="M2925" s="2" t="s">
        <v>23650</v>
      </c>
      <c r="N2925" s="3" t="s">
        <v>364</v>
      </c>
      <c r="P2925" s="3" t="s">
        <v>140</v>
      </c>
      <c r="Q2925" s="2" t="s">
        <v>29069</v>
      </c>
      <c r="R2925" s="3" t="s">
        <v>71</v>
      </c>
      <c r="S2925" s="4">
        <v>3</v>
      </c>
      <c r="T2925" s="4">
        <v>3</v>
      </c>
      <c r="U2925" s="5" t="s">
        <v>840</v>
      </c>
      <c r="V2925" s="5" t="s">
        <v>840</v>
      </c>
      <c r="W2925" s="5" t="s">
        <v>72</v>
      </c>
      <c r="X2925" s="5" t="s">
        <v>72</v>
      </c>
      <c r="Y2925" s="4">
        <v>19</v>
      </c>
      <c r="Z2925" s="4">
        <v>2</v>
      </c>
      <c r="AA2925" s="4">
        <v>22</v>
      </c>
      <c r="AB2925" s="4">
        <v>1</v>
      </c>
      <c r="AC2925" s="4">
        <v>3</v>
      </c>
      <c r="AD2925" s="4">
        <v>10</v>
      </c>
      <c r="AE2925" s="4">
        <v>85</v>
      </c>
      <c r="AF2925" s="4">
        <v>0</v>
      </c>
      <c r="AG2925" s="4">
        <v>2</v>
      </c>
      <c r="AH2925" s="4">
        <v>9</v>
      </c>
      <c r="AI2925" s="4">
        <v>77</v>
      </c>
      <c r="AJ2925" s="4">
        <v>1</v>
      </c>
      <c r="AK2925" s="4">
        <v>16</v>
      </c>
      <c r="AL2925" s="4">
        <v>8</v>
      </c>
      <c r="AM2925" s="4">
        <v>46</v>
      </c>
      <c r="AN2925" s="4">
        <v>0</v>
      </c>
      <c r="AO2925" s="4">
        <v>3</v>
      </c>
      <c r="AP2925" s="4">
        <v>1</v>
      </c>
      <c r="AQ2925" s="4">
        <v>14</v>
      </c>
      <c r="AR2925" s="3" t="s">
        <v>65</v>
      </c>
      <c r="AS2925" s="3" t="s">
        <v>65</v>
      </c>
      <c r="AT2925" s="3" t="s">
        <v>65</v>
      </c>
      <c r="AV2925" s="6" t="str">
        <f>HYPERLINK("http://mcgill.on.worldcat.org/oclc/53058811","Catalog Record")</f>
        <v>Catalog Record</v>
      </c>
      <c r="AW2925" s="6" t="str">
        <f>HYPERLINK("http://www.worldcat.org/oclc/53058811","WorldCat Record")</f>
        <v>WorldCat Record</v>
      </c>
      <c r="AX2925" s="3" t="s">
        <v>29070</v>
      </c>
      <c r="AY2925" s="3" t="s">
        <v>29071</v>
      </c>
      <c r="AZ2925" s="3" t="s">
        <v>29072</v>
      </c>
      <c r="BA2925" s="3" t="s">
        <v>29072</v>
      </c>
      <c r="BB2925" s="3" t="s">
        <v>29073</v>
      </c>
      <c r="BC2925" s="3" t="s">
        <v>77</v>
      </c>
      <c r="BD2925" s="3" t="s">
        <v>78</v>
      </c>
      <c r="BE2925" s="3" t="s">
        <v>29074</v>
      </c>
      <c r="BF2925" s="3" t="s">
        <v>29073</v>
      </c>
      <c r="BG2925" s="3" t="s">
        <v>29075</v>
      </c>
    </row>
    <row r="2926" spans="1:59" ht="58" x14ac:dyDescent="0.35">
      <c r="A2926" s="2" t="s">
        <v>59</v>
      </c>
      <c r="B2926" s="2" t="s">
        <v>60</v>
      </c>
      <c r="C2926" s="2" t="s">
        <v>29076</v>
      </c>
      <c r="D2926" s="2" t="s">
        <v>29077</v>
      </c>
      <c r="E2926" s="2" t="s">
        <v>29078</v>
      </c>
      <c r="G2926" s="3" t="s">
        <v>65</v>
      </c>
      <c r="I2926" s="3" t="s">
        <v>209</v>
      </c>
      <c r="J2926" s="3" t="s">
        <v>65</v>
      </c>
      <c r="K2926" s="3" t="s">
        <v>66</v>
      </c>
      <c r="L2926" s="2" t="s">
        <v>28962</v>
      </c>
      <c r="M2926" s="2" t="s">
        <v>29079</v>
      </c>
      <c r="N2926" s="3" t="s">
        <v>9115</v>
      </c>
      <c r="P2926" s="3" t="s">
        <v>140</v>
      </c>
      <c r="Q2926" s="2" t="s">
        <v>29080</v>
      </c>
      <c r="R2926" s="3" t="s">
        <v>71</v>
      </c>
      <c r="S2926" s="4">
        <v>0</v>
      </c>
      <c r="T2926" s="4">
        <v>2</v>
      </c>
      <c r="V2926" s="5" t="s">
        <v>840</v>
      </c>
      <c r="W2926" s="5" t="s">
        <v>72</v>
      </c>
      <c r="X2926" s="5" t="s">
        <v>72</v>
      </c>
      <c r="Y2926" s="4">
        <v>5</v>
      </c>
      <c r="Z2926" s="4">
        <v>1</v>
      </c>
      <c r="AA2926" s="4">
        <v>1</v>
      </c>
      <c r="AB2926" s="4">
        <v>1</v>
      </c>
      <c r="AC2926" s="4">
        <v>1</v>
      </c>
      <c r="AD2926" s="4">
        <v>1</v>
      </c>
      <c r="AE2926" s="4">
        <v>1</v>
      </c>
      <c r="AF2926" s="4">
        <v>0</v>
      </c>
      <c r="AG2926" s="4">
        <v>0</v>
      </c>
      <c r="AH2926" s="4">
        <v>1</v>
      </c>
      <c r="AI2926" s="4">
        <v>1</v>
      </c>
      <c r="AJ2926" s="4">
        <v>0</v>
      </c>
      <c r="AK2926" s="4">
        <v>0</v>
      </c>
      <c r="AL2926" s="4">
        <v>1</v>
      </c>
      <c r="AM2926" s="4">
        <v>1</v>
      </c>
      <c r="AN2926" s="4">
        <v>0</v>
      </c>
      <c r="AO2926" s="4">
        <v>0</v>
      </c>
      <c r="AP2926" s="4">
        <v>0</v>
      </c>
      <c r="AQ2926" s="4">
        <v>0</v>
      </c>
      <c r="AR2926" s="3" t="s">
        <v>65</v>
      </c>
      <c r="AS2926" s="3" t="s">
        <v>65</v>
      </c>
      <c r="AT2926" s="3" t="s">
        <v>65</v>
      </c>
      <c r="AV2926" s="6" t="str">
        <f>HYPERLINK("http://mcgill.on.worldcat.org/oclc/63037379","Catalog Record")</f>
        <v>Catalog Record</v>
      </c>
      <c r="AW2926" s="6" t="str">
        <f>HYPERLINK("http://www.worldcat.org/oclc/63037379","WorldCat Record")</f>
        <v>WorldCat Record</v>
      </c>
      <c r="AX2926" s="3" t="s">
        <v>29081</v>
      </c>
      <c r="AY2926" s="3" t="s">
        <v>29082</v>
      </c>
      <c r="AZ2926" s="3" t="s">
        <v>29083</v>
      </c>
      <c r="BA2926" s="3" t="s">
        <v>29083</v>
      </c>
      <c r="BB2926" s="3" t="s">
        <v>29084</v>
      </c>
      <c r="BC2926" s="3" t="s">
        <v>77</v>
      </c>
      <c r="BD2926" s="3" t="s">
        <v>78</v>
      </c>
      <c r="BF2926" s="3" t="s">
        <v>29084</v>
      </c>
      <c r="BG2926" s="3" t="s">
        <v>29085</v>
      </c>
    </row>
    <row r="2927" spans="1:59" ht="58" x14ac:dyDescent="0.35">
      <c r="A2927" s="2" t="s">
        <v>59</v>
      </c>
      <c r="B2927" s="2" t="s">
        <v>60</v>
      </c>
      <c r="C2927" s="2" t="s">
        <v>29086</v>
      </c>
      <c r="D2927" s="2" t="s">
        <v>29087</v>
      </c>
      <c r="E2927" s="2" t="s">
        <v>29078</v>
      </c>
      <c r="G2927" s="3" t="s">
        <v>65</v>
      </c>
      <c r="I2927" s="3" t="s">
        <v>209</v>
      </c>
      <c r="J2927" s="3" t="s">
        <v>65</v>
      </c>
      <c r="K2927" s="3" t="s">
        <v>66</v>
      </c>
      <c r="L2927" s="2" t="s">
        <v>28962</v>
      </c>
      <c r="M2927" s="2" t="s">
        <v>29079</v>
      </c>
      <c r="N2927" s="3" t="s">
        <v>9115</v>
      </c>
      <c r="P2927" s="3" t="s">
        <v>140</v>
      </c>
      <c r="Q2927" s="2" t="s">
        <v>29080</v>
      </c>
      <c r="R2927" s="3" t="s">
        <v>71</v>
      </c>
      <c r="S2927" s="4">
        <v>2</v>
      </c>
      <c r="T2927" s="4">
        <v>2</v>
      </c>
      <c r="U2927" s="5" t="s">
        <v>840</v>
      </c>
      <c r="V2927" s="5" t="s">
        <v>840</v>
      </c>
      <c r="W2927" s="5" t="s">
        <v>72</v>
      </c>
      <c r="X2927" s="5" t="s">
        <v>72</v>
      </c>
      <c r="Y2927" s="4">
        <v>5</v>
      </c>
      <c r="Z2927" s="4">
        <v>1</v>
      </c>
      <c r="AA2927" s="4">
        <v>1</v>
      </c>
      <c r="AB2927" s="4">
        <v>1</v>
      </c>
      <c r="AC2927" s="4">
        <v>1</v>
      </c>
      <c r="AD2927" s="4">
        <v>1</v>
      </c>
      <c r="AE2927" s="4">
        <v>1</v>
      </c>
      <c r="AF2927" s="4">
        <v>0</v>
      </c>
      <c r="AG2927" s="4">
        <v>0</v>
      </c>
      <c r="AH2927" s="4">
        <v>1</v>
      </c>
      <c r="AI2927" s="4">
        <v>1</v>
      </c>
      <c r="AJ2927" s="4">
        <v>0</v>
      </c>
      <c r="AK2927" s="4">
        <v>0</v>
      </c>
      <c r="AL2927" s="4">
        <v>1</v>
      </c>
      <c r="AM2927" s="4">
        <v>1</v>
      </c>
      <c r="AN2927" s="4">
        <v>0</v>
      </c>
      <c r="AO2927" s="4">
        <v>0</v>
      </c>
      <c r="AP2927" s="4">
        <v>0</v>
      </c>
      <c r="AQ2927" s="4">
        <v>0</v>
      </c>
      <c r="AR2927" s="3" t="s">
        <v>65</v>
      </c>
      <c r="AS2927" s="3" t="s">
        <v>65</v>
      </c>
      <c r="AT2927" s="3" t="s">
        <v>65</v>
      </c>
      <c r="AV2927" s="6" t="str">
        <f>HYPERLINK("http://mcgill.on.worldcat.org/oclc/63037379","Catalog Record")</f>
        <v>Catalog Record</v>
      </c>
      <c r="AW2927" s="6" t="str">
        <f>HYPERLINK("http://www.worldcat.org/oclc/63037379","WorldCat Record")</f>
        <v>WorldCat Record</v>
      </c>
      <c r="AX2927" s="3" t="s">
        <v>29081</v>
      </c>
      <c r="AY2927" s="3" t="s">
        <v>29082</v>
      </c>
      <c r="AZ2927" s="3" t="s">
        <v>29083</v>
      </c>
      <c r="BA2927" s="3" t="s">
        <v>29083</v>
      </c>
      <c r="BB2927" s="3" t="s">
        <v>29088</v>
      </c>
      <c r="BC2927" s="3" t="s">
        <v>77</v>
      </c>
      <c r="BD2927" s="3" t="s">
        <v>78</v>
      </c>
      <c r="BF2927" s="3" t="s">
        <v>29088</v>
      </c>
      <c r="BG2927" s="3" t="s">
        <v>29089</v>
      </c>
    </row>
    <row r="2928" spans="1:59" ht="58" x14ac:dyDescent="0.35">
      <c r="A2928" s="2" t="s">
        <v>59</v>
      </c>
      <c r="B2928" s="2" t="s">
        <v>60</v>
      </c>
      <c r="C2928" s="2" t="s">
        <v>29090</v>
      </c>
      <c r="D2928" s="2" t="s">
        <v>29091</v>
      </c>
      <c r="E2928" s="2" t="s">
        <v>29092</v>
      </c>
      <c r="G2928" s="3" t="s">
        <v>65</v>
      </c>
      <c r="I2928" s="3" t="s">
        <v>65</v>
      </c>
      <c r="J2928" s="3" t="s">
        <v>65</v>
      </c>
      <c r="K2928" s="3" t="s">
        <v>66</v>
      </c>
      <c r="L2928" s="2" t="s">
        <v>28962</v>
      </c>
      <c r="M2928" s="2" t="s">
        <v>29093</v>
      </c>
      <c r="N2928" s="3" t="s">
        <v>493</v>
      </c>
      <c r="O2928" s="2" t="s">
        <v>29094</v>
      </c>
      <c r="P2928" s="3" t="s">
        <v>140</v>
      </c>
      <c r="Q2928" s="2" t="s">
        <v>29095</v>
      </c>
      <c r="R2928" s="3" t="s">
        <v>71</v>
      </c>
      <c r="S2928" s="4">
        <v>9</v>
      </c>
      <c r="T2928" s="4">
        <v>9</v>
      </c>
      <c r="U2928" s="5" t="s">
        <v>18737</v>
      </c>
      <c r="V2928" s="5" t="s">
        <v>18737</v>
      </c>
      <c r="W2928" s="5" t="s">
        <v>72</v>
      </c>
      <c r="X2928" s="5" t="s">
        <v>72</v>
      </c>
      <c r="Y2928" s="4">
        <v>1</v>
      </c>
      <c r="Z2928" s="4">
        <v>1</v>
      </c>
      <c r="AA2928" s="4">
        <v>18</v>
      </c>
      <c r="AB2928" s="4">
        <v>1</v>
      </c>
      <c r="AC2928" s="4">
        <v>3</v>
      </c>
      <c r="AD2928" s="4">
        <v>0</v>
      </c>
      <c r="AE2928" s="4">
        <v>75</v>
      </c>
      <c r="AF2928" s="4">
        <v>0</v>
      </c>
      <c r="AG2928" s="4">
        <v>2</v>
      </c>
      <c r="AH2928" s="4">
        <v>0</v>
      </c>
      <c r="AI2928" s="4">
        <v>68</v>
      </c>
      <c r="AJ2928" s="4">
        <v>0</v>
      </c>
      <c r="AK2928" s="4">
        <v>13</v>
      </c>
      <c r="AL2928" s="4">
        <v>0</v>
      </c>
      <c r="AM2928" s="4">
        <v>42</v>
      </c>
      <c r="AN2928" s="4">
        <v>0</v>
      </c>
      <c r="AO2928" s="4">
        <v>1</v>
      </c>
      <c r="AP2928" s="4">
        <v>0</v>
      </c>
      <c r="AQ2928" s="4">
        <v>12</v>
      </c>
      <c r="AR2928" s="3" t="s">
        <v>65</v>
      </c>
      <c r="AS2928" s="3" t="s">
        <v>65</v>
      </c>
      <c r="AT2928" s="3" t="s">
        <v>65</v>
      </c>
      <c r="AV2928" s="6" t="str">
        <f>HYPERLINK("http://mcgill.on.worldcat.org/oclc/427112079","Catalog Record")</f>
        <v>Catalog Record</v>
      </c>
      <c r="AW2928" s="6" t="str">
        <f>HYPERLINK("http://www.worldcat.org/oclc/427112079","WorldCat Record")</f>
        <v>WorldCat Record</v>
      </c>
      <c r="AX2928" s="3" t="s">
        <v>29096</v>
      </c>
      <c r="AY2928" s="3" t="s">
        <v>29097</v>
      </c>
      <c r="AZ2928" s="3" t="s">
        <v>29098</v>
      </c>
      <c r="BA2928" s="3" t="s">
        <v>29098</v>
      </c>
      <c r="BB2928" s="3" t="s">
        <v>29099</v>
      </c>
      <c r="BC2928" s="3" t="s">
        <v>77</v>
      </c>
      <c r="BD2928" s="3" t="s">
        <v>78</v>
      </c>
      <c r="BF2928" s="3" t="s">
        <v>29099</v>
      </c>
      <c r="BG2928" s="3" t="s">
        <v>29100</v>
      </c>
    </row>
    <row r="2929" spans="1:59" ht="58" x14ac:dyDescent="0.35">
      <c r="A2929" s="2" t="s">
        <v>59</v>
      </c>
      <c r="B2929" s="2" t="s">
        <v>60</v>
      </c>
      <c r="C2929" s="2" t="s">
        <v>29101</v>
      </c>
      <c r="D2929" s="2" t="s">
        <v>29102</v>
      </c>
      <c r="E2929" s="2" t="s">
        <v>29103</v>
      </c>
      <c r="G2929" s="3" t="s">
        <v>65</v>
      </c>
      <c r="I2929" s="3" t="s">
        <v>65</v>
      </c>
      <c r="J2929" s="3" t="s">
        <v>65</v>
      </c>
      <c r="K2929" s="3" t="s">
        <v>66</v>
      </c>
      <c r="L2929" s="2" t="s">
        <v>28962</v>
      </c>
      <c r="M2929" s="2" t="s">
        <v>29104</v>
      </c>
      <c r="N2929" s="3" t="s">
        <v>113</v>
      </c>
      <c r="P2929" s="3" t="s">
        <v>140</v>
      </c>
      <c r="Q2929" s="2" t="s">
        <v>29105</v>
      </c>
      <c r="R2929" s="3" t="s">
        <v>71</v>
      </c>
      <c r="S2929" s="4">
        <v>0</v>
      </c>
      <c r="T2929" s="4">
        <v>0</v>
      </c>
      <c r="W2929" s="5" t="s">
        <v>72</v>
      </c>
      <c r="X2929" s="5" t="s">
        <v>72</v>
      </c>
      <c r="Y2929" s="4">
        <v>54</v>
      </c>
      <c r="Z2929" s="4">
        <v>5</v>
      </c>
      <c r="AA2929" s="4">
        <v>5</v>
      </c>
      <c r="AB2929" s="4">
        <v>1</v>
      </c>
      <c r="AC2929" s="4">
        <v>1</v>
      </c>
      <c r="AD2929" s="4">
        <v>37</v>
      </c>
      <c r="AE2929" s="4">
        <v>37</v>
      </c>
      <c r="AF2929" s="4">
        <v>0</v>
      </c>
      <c r="AG2929" s="4">
        <v>0</v>
      </c>
      <c r="AH2929" s="4">
        <v>36</v>
      </c>
      <c r="AI2929" s="4">
        <v>36</v>
      </c>
      <c r="AJ2929" s="4">
        <v>2</v>
      </c>
      <c r="AK2929" s="4">
        <v>2</v>
      </c>
      <c r="AL2929" s="4">
        <v>27</v>
      </c>
      <c r="AM2929" s="4">
        <v>27</v>
      </c>
      <c r="AN2929" s="4">
        <v>5</v>
      </c>
      <c r="AO2929" s="4">
        <v>5</v>
      </c>
      <c r="AP2929" s="4">
        <v>2</v>
      </c>
      <c r="AQ2929" s="4">
        <v>2</v>
      </c>
      <c r="AR2929" s="3" t="s">
        <v>65</v>
      </c>
      <c r="AS2929" s="3" t="s">
        <v>65</v>
      </c>
      <c r="AT2929" s="3" t="s">
        <v>209</v>
      </c>
      <c r="AU2929" s="6" t="str">
        <f>HYPERLINK("http://catalog.hathitrust.org/Record/011228941","HathiTrust Record")</f>
        <v>HathiTrust Record</v>
      </c>
      <c r="AV2929" s="6" t="str">
        <f>HYPERLINK("http://mcgill.on.worldcat.org/oclc/664799352","Catalog Record")</f>
        <v>Catalog Record</v>
      </c>
      <c r="AW2929" s="6" t="str">
        <f>HYPERLINK("http://www.worldcat.org/oclc/664799352","WorldCat Record")</f>
        <v>WorldCat Record</v>
      </c>
      <c r="AX2929" s="3" t="s">
        <v>29106</v>
      </c>
      <c r="AY2929" s="3" t="s">
        <v>29107</v>
      </c>
      <c r="AZ2929" s="3" t="s">
        <v>29108</v>
      </c>
      <c r="BA2929" s="3" t="s">
        <v>29108</v>
      </c>
      <c r="BB2929" s="3" t="s">
        <v>29109</v>
      </c>
      <c r="BC2929" s="3" t="s">
        <v>77</v>
      </c>
      <c r="BD2929" s="3" t="s">
        <v>78</v>
      </c>
      <c r="BE2929" s="3" t="s">
        <v>29110</v>
      </c>
      <c r="BF2929" s="3" t="s">
        <v>29109</v>
      </c>
      <c r="BG2929" s="3" t="s">
        <v>29111</v>
      </c>
    </row>
    <row r="2930" spans="1:59" ht="58" x14ac:dyDescent="0.35">
      <c r="A2930" s="2" t="s">
        <v>59</v>
      </c>
      <c r="B2930" s="2" t="s">
        <v>60</v>
      </c>
      <c r="C2930" s="2" t="s">
        <v>29112</v>
      </c>
      <c r="D2930" s="2" t="s">
        <v>29113</v>
      </c>
      <c r="E2930" s="2" t="s">
        <v>29114</v>
      </c>
      <c r="G2930" s="3" t="s">
        <v>65</v>
      </c>
      <c r="I2930" s="3" t="s">
        <v>65</v>
      </c>
      <c r="J2930" s="3" t="s">
        <v>65</v>
      </c>
      <c r="K2930" s="3" t="s">
        <v>66</v>
      </c>
      <c r="L2930" s="2" t="s">
        <v>28962</v>
      </c>
      <c r="M2930" s="2" t="s">
        <v>4727</v>
      </c>
      <c r="N2930" s="3" t="s">
        <v>126</v>
      </c>
      <c r="P2930" s="3" t="s">
        <v>140</v>
      </c>
      <c r="Q2930" s="2" t="s">
        <v>29115</v>
      </c>
      <c r="R2930" s="3" t="s">
        <v>71</v>
      </c>
      <c r="S2930" s="4">
        <v>0</v>
      </c>
      <c r="T2930" s="4">
        <v>0</v>
      </c>
      <c r="W2930" s="5" t="s">
        <v>72</v>
      </c>
      <c r="X2930" s="5" t="s">
        <v>72</v>
      </c>
      <c r="Y2930" s="4">
        <v>49</v>
      </c>
      <c r="Z2930" s="4">
        <v>4</v>
      </c>
      <c r="AA2930" s="4">
        <v>4</v>
      </c>
      <c r="AB2930" s="4">
        <v>1</v>
      </c>
      <c r="AC2930" s="4">
        <v>1</v>
      </c>
      <c r="AD2930" s="4">
        <v>32</v>
      </c>
      <c r="AE2930" s="4">
        <v>32</v>
      </c>
      <c r="AF2930" s="4">
        <v>0</v>
      </c>
      <c r="AG2930" s="4">
        <v>0</v>
      </c>
      <c r="AH2930" s="4">
        <v>31</v>
      </c>
      <c r="AI2930" s="4">
        <v>31</v>
      </c>
      <c r="AJ2930" s="4">
        <v>2</v>
      </c>
      <c r="AK2930" s="4">
        <v>2</v>
      </c>
      <c r="AL2930" s="4">
        <v>21</v>
      </c>
      <c r="AM2930" s="4">
        <v>21</v>
      </c>
      <c r="AN2930" s="4">
        <v>0</v>
      </c>
      <c r="AO2930" s="4">
        <v>0</v>
      </c>
      <c r="AP2930" s="4">
        <v>2</v>
      </c>
      <c r="AQ2930" s="4">
        <v>2</v>
      </c>
      <c r="AR2930" s="3" t="s">
        <v>65</v>
      </c>
      <c r="AS2930" s="3" t="s">
        <v>65</v>
      </c>
      <c r="AT2930" s="3" t="s">
        <v>65</v>
      </c>
      <c r="AV2930" s="6" t="str">
        <f>HYPERLINK("http://mcgill.on.worldcat.org/oclc/775025375","Catalog Record")</f>
        <v>Catalog Record</v>
      </c>
      <c r="AW2930" s="6" t="str">
        <f>HYPERLINK("http://www.worldcat.org/oclc/775025375","WorldCat Record")</f>
        <v>WorldCat Record</v>
      </c>
      <c r="AX2930" s="3" t="s">
        <v>29116</v>
      </c>
      <c r="AY2930" s="3" t="s">
        <v>29117</v>
      </c>
      <c r="AZ2930" s="3" t="s">
        <v>29118</v>
      </c>
      <c r="BA2930" s="3" t="s">
        <v>29118</v>
      </c>
      <c r="BB2930" s="3" t="s">
        <v>29119</v>
      </c>
      <c r="BC2930" s="3" t="s">
        <v>77</v>
      </c>
      <c r="BD2930" s="3" t="s">
        <v>78</v>
      </c>
      <c r="BE2930" s="3" t="s">
        <v>29120</v>
      </c>
      <c r="BF2930" s="3" t="s">
        <v>29119</v>
      </c>
      <c r="BG2930" s="3" t="s">
        <v>29121</v>
      </c>
    </row>
    <row r="2931" spans="1:59" ht="58" x14ac:dyDescent="0.35">
      <c r="A2931" s="2" t="s">
        <v>59</v>
      </c>
      <c r="B2931" s="2" t="s">
        <v>60</v>
      </c>
      <c r="C2931" s="2" t="s">
        <v>29122</v>
      </c>
      <c r="D2931" s="2" t="s">
        <v>29123</v>
      </c>
      <c r="E2931" s="2" t="s">
        <v>29124</v>
      </c>
      <c r="G2931" s="3" t="s">
        <v>65</v>
      </c>
      <c r="I2931" s="3" t="s">
        <v>65</v>
      </c>
      <c r="J2931" s="3" t="s">
        <v>65</v>
      </c>
      <c r="K2931" s="3" t="s">
        <v>66</v>
      </c>
      <c r="L2931" s="2" t="s">
        <v>28962</v>
      </c>
      <c r="M2931" s="2" t="s">
        <v>29125</v>
      </c>
      <c r="N2931" s="3" t="s">
        <v>2377</v>
      </c>
      <c r="O2931" s="2" t="s">
        <v>29126</v>
      </c>
      <c r="P2931" s="3" t="s">
        <v>140</v>
      </c>
      <c r="R2931" s="3" t="s">
        <v>71</v>
      </c>
      <c r="S2931" s="4">
        <v>7</v>
      </c>
      <c r="T2931" s="4">
        <v>7</v>
      </c>
      <c r="U2931" s="5" t="s">
        <v>29127</v>
      </c>
      <c r="V2931" s="5" t="s">
        <v>29127</v>
      </c>
      <c r="W2931" s="5" t="s">
        <v>72</v>
      </c>
      <c r="X2931" s="5" t="s">
        <v>72</v>
      </c>
      <c r="Y2931" s="4">
        <v>33</v>
      </c>
      <c r="Z2931" s="4">
        <v>2</v>
      </c>
      <c r="AA2931" s="4">
        <v>6</v>
      </c>
      <c r="AB2931" s="4">
        <v>1</v>
      </c>
      <c r="AC2931" s="4">
        <v>1</v>
      </c>
      <c r="AD2931" s="4">
        <v>13</v>
      </c>
      <c r="AE2931" s="4">
        <v>42</v>
      </c>
      <c r="AF2931" s="4">
        <v>0</v>
      </c>
      <c r="AG2931" s="4">
        <v>0</v>
      </c>
      <c r="AH2931" s="4">
        <v>12</v>
      </c>
      <c r="AI2931" s="4">
        <v>40</v>
      </c>
      <c r="AJ2931" s="4">
        <v>1</v>
      </c>
      <c r="AK2931" s="4">
        <v>4</v>
      </c>
      <c r="AL2931" s="4">
        <v>9</v>
      </c>
      <c r="AM2931" s="4">
        <v>30</v>
      </c>
      <c r="AN2931" s="4">
        <v>0</v>
      </c>
      <c r="AO2931" s="4">
        <v>0</v>
      </c>
      <c r="AP2931" s="4">
        <v>1</v>
      </c>
      <c r="AQ2931" s="4">
        <v>4</v>
      </c>
      <c r="AR2931" s="3" t="s">
        <v>65</v>
      </c>
      <c r="AS2931" s="3" t="s">
        <v>65</v>
      </c>
      <c r="AT2931" s="3" t="s">
        <v>209</v>
      </c>
      <c r="AU2931" s="6" t="str">
        <f>HYPERLINK("http://catalog.hathitrust.org/Record/002448514","HathiTrust Record")</f>
        <v>HathiTrust Record</v>
      </c>
      <c r="AV2931" s="6" t="str">
        <f>HYPERLINK("http://mcgill.on.worldcat.org/oclc/32395487","Catalog Record")</f>
        <v>Catalog Record</v>
      </c>
      <c r="AW2931" s="6" t="str">
        <f>HYPERLINK("http://www.worldcat.org/oclc/32395487","WorldCat Record")</f>
        <v>WorldCat Record</v>
      </c>
      <c r="AX2931" s="3" t="s">
        <v>29128</v>
      </c>
      <c r="AY2931" s="3" t="s">
        <v>29129</v>
      </c>
      <c r="AZ2931" s="3" t="s">
        <v>29130</v>
      </c>
      <c r="BA2931" s="3" t="s">
        <v>29130</v>
      </c>
      <c r="BB2931" s="3" t="s">
        <v>29131</v>
      </c>
      <c r="BC2931" s="3" t="s">
        <v>77</v>
      </c>
      <c r="BD2931" s="3" t="s">
        <v>78</v>
      </c>
      <c r="BE2931" s="3" t="s">
        <v>29132</v>
      </c>
      <c r="BF2931" s="3" t="s">
        <v>29131</v>
      </c>
      <c r="BG2931" s="3" t="s">
        <v>29133</v>
      </c>
    </row>
    <row r="2932" spans="1:59" ht="58" x14ac:dyDescent="0.35">
      <c r="A2932" s="2" t="s">
        <v>59</v>
      </c>
      <c r="B2932" s="2" t="s">
        <v>60</v>
      </c>
      <c r="C2932" s="2" t="s">
        <v>29134</v>
      </c>
      <c r="D2932" s="2" t="s">
        <v>29135</v>
      </c>
      <c r="E2932" s="2" t="s">
        <v>29136</v>
      </c>
      <c r="G2932" s="3" t="s">
        <v>65</v>
      </c>
      <c r="I2932" s="3" t="s">
        <v>65</v>
      </c>
      <c r="J2932" s="3" t="s">
        <v>65</v>
      </c>
      <c r="K2932" s="3" t="s">
        <v>66</v>
      </c>
      <c r="L2932" s="2" t="s">
        <v>28962</v>
      </c>
      <c r="M2932" s="2" t="s">
        <v>29137</v>
      </c>
      <c r="N2932" s="3" t="s">
        <v>493</v>
      </c>
      <c r="P2932" s="3" t="s">
        <v>69</v>
      </c>
      <c r="R2932" s="3" t="s">
        <v>71</v>
      </c>
      <c r="S2932" s="4">
        <v>13</v>
      </c>
      <c r="T2932" s="4">
        <v>13</v>
      </c>
      <c r="U2932" s="5" t="s">
        <v>29138</v>
      </c>
      <c r="V2932" s="5" t="s">
        <v>29138</v>
      </c>
      <c r="W2932" s="5" t="s">
        <v>72</v>
      </c>
      <c r="X2932" s="5" t="s">
        <v>72</v>
      </c>
      <c r="Y2932" s="4">
        <v>418</v>
      </c>
      <c r="Z2932" s="4">
        <v>17</v>
      </c>
      <c r="AA2932" s="4">
        <v>17</v>
      </c>
      <c r="AB2932" s="4">
        <v>2</v>
      </c>
      <c r="AC2932" s="4">
        <v>2</v>
      </c>
      <c r="AD2932" s="4">
        <v>94</v>
      </c>
      <c r="AE2932" s="4">
        <v>97</v>
      </c>
      <c r="AF2932" s="4">
        <v>1</v>
      </c>
      <c r="AG2932" s="4">
        <v>1</v>
      </c>
      <c r="AH2932" s="4">
        <v>82</v>
      </c>
      <c r="AI2932" s="4">
        <v>85</v>
      </c>
      <c r="AJ2932" s="4">
        <v>11</v>
      </c>
      <c r="AK2932" s="4">
        <v>11</v>
      </c>
      <c r="AL2932" s="4">
        <v>46</v>
      </c>
      <c r="AM2932" s="4">
        <v>48</v>
      </c>
      <c r="AN2932" s="4">
        <v>0</v>
      </c>
      <c r="AO2932" s="4">
        <v>0</v>
      </c>
      <c r="AP2932" s="4">
        <v>13</v>
      </c>
      <c r="AQ2932" s="4">
        <v>13</v>
      </c>
      <c r="AR2932" s="3" t="s">
        <v>65</v>
      </c>
      <c r="AS2932" s="3" t="s">
        <v>65</v>
      </c>
      <c r="AT2932" s="3" t="s">
        <v>65</v>
      </c>
      <c r="AU2932" s="6" t="str">
        <f>HYPERLINK("http://catalog.hathitrust.org/Record/000711875","HathiTrust Record")</f>
        <v>HathiTrust Record</v>
      </c>
      <c r="AV2932" s="6" t="str">
        <f>HYPERLINK("http://mcgill.on.worldcat.org/oclc/347530","Catalog Record")</f>
        <v>Catalog Record</v>
      </c>
      <c r="AW2932" s="6" t="str">
        <f>HYPERLINK("http://www.worldcat.org/oclc/347530","WorldCat Record")</f>
        <v>WorldCat Record</v>
      </c>
      <c r="AX2932" s="3" t="s">
        <v>29139</v>
      </c>
      <c r="AY2932" s="3" t="s">
        <v>29140</v>
      </c>
      <c r="AZ2932" s="3" t="s">
        <v>29141</v>
      </c>
      <c r="BA2932" s="3" t="s">
        <v>29141</v>
      </c>
      <c r="BB2932" s="3" t="s">
        <v>29142</v>
      </c>
      <c r="BC2932" s="3" t="s">
        <v>77</v>
      </c>
      <c r="BD2932" s="3" t="s">
        <v>78</v>
      </c>
      <c r="BF2932" s="3" t="s">
        <v>29142</v>
      </c>
      <c r="BG2932" s="3" t="s">
        <v>29143</v>
      </c>
    </row>
    <row r="2933" spans="1:59" ht="58" x14ac:dyDescent="0.35">
      <c r="A2933" s="2" t="s">
        <v>59</v>
      </c>
      <c r="B2933" s="2" t="s">
        <v>60</v>
      </c>
      <c r="C2933" s="2" t="s">
        <v>29144</v>
      </c>
      <c r="D2933" s="2" t="s">
        <v>29145</v>
      </c>
      <c r="E2933" s="2" t="s">
        <v>29146</v>
      </c>
      <c r="G2933" s="3" t="s">
        <v>65</v>
      </c>
      <c r="I2933" s="3" t="s">
        <v>65</v>
      </c>
      <c r="J2933" s="3" t="s">
        <v>65</v>
      </c>
      <c r="K2933" s="3" t="s">
        <v>66</v>
      </c>
      <c r="L2933" s="2" t="s">
        <v>28962</v>
      </c>
      <c r="M2933" s="2" t="s">
        <v>29147</v>
      </c>
      <c r="N2933" s="3" t="s">
        <v>756</v>
      </c>
      <c r="P2933" s="3" t="s">
        <v>69</v>
      </c>
      <c r="R2933" s="3" t="s">
        <v>71</v>
      </c>
      <c r="S2933" s="4">
        <v>3</v>
      </c>
      <c r="T2933" s="4">
        <v>3</v>
      </c>
      <c r="U2933" s="5" t="s">
        <v>28965</v>
      </c>
      <c r="V2933" s="5" t="s">
        <v>28965</v>
      </c>
      <c r="W2933" s="5" t="s">
        <v>72</v>
      </c>
      <c r="X2933" s="5" t="s">
        <v>72</v>
      </c>
      <c r="Y2933" s="4">
        <v>218</v>
      </c>
      <c r="Z2933" s="4">
        <v>18</v>
      </c>
      <c r="AA2933" s="4">
        <v>18</v>
      </c>
      <c r="AB2933" s="4">
        <v>1</v>
      </c>
      <c r="AC2933" s="4">
        <v>1</v>
      </c>
      <c r="AD2933" s="4">
        <v>78</v>
      </c>
      <c r="AE2933" s="4">
        <v>78</v>
      </c>
      <c r="AF2933" s="4">
        <v>0</v>
      </c>
      <c r="AG2933" s="4">
        <v>0</v>
      </c>
      <c r="AH2933" s="4">
        <v>69</v>
      </c>
      <c r="AI2933" s="4">
        <v>69</v>
      </c>
      <c r="AJ2933" s="4">
        <v>13</v>
      </c>
      <c r="AK2933" s="4">
        <v>13</v>
      </c>
      <c r="AL2933" s="4">
        <v>42</v>
      </c>
      <c r="AM2933" s="4">
        <v>42</v>
      </c>
      <c r="AN2933" s="4">
        <v>0</v>
      </c>
      <c r="AO2933" s="4">
        <v>0</v>
      </c>
      <c r="AP2933" s="4">
        <v>14</v>
      </c>
      <c r="AQ2933" s="4">
        <v>14</v>
      </c>
      <c r="AR2933" s="3" t="s">
        <v>65</v>
      </c>
      <c r="AS2933" s="3" t="s">
        <v>65</v>
      </c>
      <c r="AT2933" s="3" t="s">
        <v>209</v>
      </c>
      <c r="AU2933" s="6" t="str">
        <f>HYPERLINK("http://catalog.hathitrust.org/Record/001219655","HathiTrust Record")</f>
        <v>HathiTrust Record</v>
      </c>
      <c r="AV2933" s="6" t="str">
        <f>HYPERLINK("http://mcgill.on.worldcat.org/oclc/54492","Catalog Record")</f>
        <v>Catalog Record</v>
      </c>
      <c r="AW2933" s="6" t="str">
        <f>HYPERLINK("http://www.worldcat.org/oclc/54492","WorldCat Record")</f>
        <v>WorldCat Record</v>
      </c>
      <c r="AX2933" s="3" t="s">
        <v>29148</v>
      </c>
      <c r="AY2933" s="3" t="s">
        <v>29149</v>
      </c>
      <c r="AZ2933" s="3" t="s">
        <v>29150</v>
      </c>
      <c r="BA2933" s="3" t="s">
        <v>29150</v>
      </c>
      <c r="BB2933" s="3" t="s">
        <v>29151</v>
      </c>
      <c r="BC2933" s="3" t="s">
        <v>77</v>
      </c>
      <c r="BD2933" s="3" t="s">
        <v>78</v>
      </c>
      <c r="BE2933" s="3" t="s">
        <v>29152</v>
      </c>
      <c r="BF2933" s="3" t="s">
        <v>29151</v>
      </c>
      <c r="BG2933" s="3" t="s">
        <v>29153</v>
      </c>
    </row>
    <row r="2934" spans="1:59" ht="58" x14ac:dyDescent="0.35">
      <c r="A2934" s="2" t="s">
        <v>59</v>
      </c>
      <c r="B2934" s="2" t="s">
        <v>60</v>
      </c>
      <c r="C2934" s="2" t="s">
        <v>29154</v>
      </c>
      <c r="D2934" s="2" t="s">
        <v>29155</v>
      </c>
      <c r="E2934" s="2" t="s">
        <v>29156</v>
      </c>
      <c r="G2934" s="3" t="s">
        <v>65</v>
      </c>
      <c r="I2934" s="3" t="s">
        <v>65</v>
      </c>
      <c r="J2934" s="3" t="s">
        <v>65</v>
      </c>
      <c r="K2934" s="3" t="s">
        <v>66</v>
      </c>
      <c r="L2934" s="2" t="s">
        <v>28962</v>
      </c>
      <c r="M2934" s="2" t="s">
        <v>29157</v>
      </c>
      <c r="N2934" s="3" t="s">
        <v>5130</v>
      </c>
      <c r="P2934" s="3" t="s">
        <v>140</v>
      </c>
      <c r="Q2934" s="2" t="s">
        <v>29158</v>
      </c>
      <c r="R2934" s="3" t="s">
        <v>71</v>
      </c>
      <c r="S2934" s="4">
        <v>2</v>
      </c>
      <c r="T2934" s="4">
        <v>2</v>
      </c>
      <c r="U2934" s="5" t="s">
        <v>28965</v>
      </c>
      <c r="V2934" s="5" t="s">
        <v>28965</v>
      </c>
      <c r="W2934" s="5" t="s">
        <v>72</v>
      </c>
      <c r="X2934" s="5" t="s">
        <v>72</v>
      </c>
      <c r="Y2934" s="4">
        <v>62</v>
      </c>
      <c r="Z2934" s="4">
        <v>8</v>
      </c>
      <c r="AA2934" s="4">
        <v>8</v>
      </c>
      <c r="AB2934" s="4">
        <v>1</v>
      </c>
      <c r="AC2934" s="4">
        <v>1</v>
      </c>
      <c r="AD2934" s="4">
        <v>37</v>
      </c>
      <c r="AE2934" s="4">
        <v>40</v>
      </c>
      <c r="AF2934" s="4">
        <v>0</v>
      </c>
      <c r="AG2934" s="4">
        <v>0</v>
      </c>
      <c r="AH2934" s="4">
        <v>33</v>
      </c>
      <c r="AI2934" s="4">
        <v>36</v>
      </c>
      <c r="AJ2934" s="4">
        <v>6</v>
      </c>
      <c r="AK2934" s="4">
        <v>6</v>
      </c>
      <c r="AL2934" s="4">
        <v>20</v>
      </c>
      <c r="AM2934" s="4">
        <v>22</v>
      </c>
      <c r="AN2934" s="4">
        <v>0</v>
      </c>
      <c r="AO2934" s="4">
        <v>0</v>
      </c>
      <c r="AP2934" s="4">
        <v>6</v>
      </c>
      <c r="AQ2934" s="4">
        <v>6</v>
      </c>
      <c r="AR2934" s="3" t="s">
        <v>65</v>
      </c>
      <c r="AS2934" s="3" t="s">
        <v>65</v>
      </c>
      <c r="AT2934" s="3" t="s">
        <v>65</v>
      </c>
      <c r="AV2934" s="6" t="str">
        <f>HYPERLINK("http://mcgill.on.worldcat.org/oclc/906276","Catalog Record")</f>
        <v>Catalog Record</v>
      </c>
      <c r="AW2934" s="6" t="str">
        <f>HYPERLINK("http://www.worldcat.org/oclc/906276","WorldCat Record")</f>
        <v>WorldCat Record</v>
      </c>
      <c r="AX2934" s="3" t="s">
        <v>29159</v>
      </c>
      <c r="AY2934" s="3" t="s">
        <v>29160</v>
      </c>
      <c r="AZ2934" s="3" t="s">
        <v>29161</v>
      </c>
      <c r="BA2934" s="3" t="s">
        <v>29161</v>
      </c>
      <c r="BB2934" s="3" t="s">
        <v>29162</v>
      </c>
      <c r="BC2934" s="3" t="s">
        <v>77</v>
      </c>
      <c r="BD2934" s="3" t="s">
        <v>78</v>
      </c>
      <c r="BF2934" s="3" t="s">
        <v>29162</v>
      </c>
      <c r="BG2934" s="3" t="s">
        <v>29163</v>
      </c>
    </row>
    <row r="2935" spans="1:59" ht="72.5" x14ac:dyDescent="0.35">
      <c r="A2935" s="2" t="s">
        <v>59</v>
      </c>
      <c r="B2935" s="2" t="s">
        <v>60</v>
      </c>
      <c r="C2935" s="2" t="s">
        <v>29164</v>
      </c>
      <c r="D2935" s="2" t="s">
        <v>29165</v>
      </c>
      <c r="E2935" s="2" t="s">
        <v>29166</v>
      </c>
      <c r="G2935" s="3" t="s">
        <v>65</v>
      </c>
      <c r="I2935" s="3" t="s">
        <v>65</v>
      </c>
      <c r="J2935" s="3" t="s">
        <v>65</v>
      </c>
      <c r="K2935" s="3" t="s">
        <v>66</v>
      </c>
      <c r="L2935" s="2" t="s">
        <v>29167</v>
      </c>
      <c r="M2935" s="2" t="s">
        <v>29168</v>
      </c>
      <c r="N2935" s="3" t="s">
        <v>68</v>
      </c>
      <c r="P2935" s="3" t="s">
        <v>140</v>
      </c>
      <c r="Q2935" s="2" t="s">
        <v>29169</v>
      </c>
      <c r="R2935" s="3" t="s">
        <v>71</v>
      </c>
      <c r="S2935" s="4">
        <v>0</v>
      </c>
      <c r="T2935" s="4">
        <v>0</v>
      </c>
      <c r="W2935" s="5" t="s">
        <v>72</v>
      </c>
      <c r="X2935" s="5" t="s">
        <v>72</v>
      </c>
      <c r="Y2935" s="4">
        <v>25</v>
      </c>
      <c r="Z2935" s="4">
        <v>4</v>
      </c>
      <c r="AA2935" s="4">
        <v>4</v>
      </c>
      <c r="AB2935" s="4">
        <v>1</v>
      </c>
      <c r="AC2935" s="4">
        <v>1</v>
      </c>
      <c r="AD2935" s="4">
        <v>17</v>
      </c>
      <c r="AE2935" s="4">
        <v>18</v>
      </c>
      <c r="AF2935" s="4">
        <v>0</v>
      </c>
      <c r="AG2935" s="4">
        <v>0</v>
      </c>
      <c r="AH2935" s="4">
        <v>16</v>
      </c>
      <c r="AI2935" s="4">
        <v>17</v>
      </c>
      <c r="AJ2935" s="4">
        <v>1</v>
      </c>
      <c r="AK2935" s="4">
        <v>1</v>
      </c>
      <c r="AL2935" s="4">
        <v>14</v>
      </c>
      <c r="AM2935" s="4">
        <v>15</v>
      </c>
      <c r="AN2935" s="4">
        <v>0</v>
      </c>
      <c r="AO2935" s="4">
        <v>0</v>
      </c>
      <c r="AP2935" s="4">
        <v>1</v>
      </c>
      <c r="AQ2935" s="4">
        <v>1</v>
      </c>
      <c r="AR2935" s="3" t="s">
        <v>65</v>
      </c>
      <c r="AS2935" s="3" t="s">
        <v>65</v>
      </c>
      <c r="AT2935" s="3" t="s">
        <v>65</v>
      </c>
      <c r="AV2935" s="6" t="str">
        <f>HYPERLINK("http://mcgill.on.worldcat.org/oclc/954436238","Catalog Record")</f>
        <v>Catalog Record</v>
      </c>
      <c r="AW2935" s="6" t="str">
        <f>HYPERLINK("http://www.worldcat.org/oclc/954436238","WorldCat Record")</f>
        <v>WorldCat Record</v>
      </c>
      <c r="AX2935" s="3" t="s">
        <v>29170</v>
      </c>
      <c r="AY2935" s="3" t="s">
        <v>29171</v>
      </c>
      <c r="AZ2935" s="3" t="s">
        <v>29172</v>
      </c>
      <c r="BA2935" s="3" t="s">
        <v>29172</v>
      </c>
      <c r="BB2935" s="3" t="s">
        <v>29173</v>
      </c>
      <c r="BC2935" s="3" t="s">
        <v>77</v>
      </c>
      <c r="BD2935" s="3" t="s">
        <v>78</v>
      </c>
      <c r="BE2935" s="3" t="s">
        <v>29174</v>
      </c>
      <c r="BF2935" s="3" t="s">
        <v>29173</v>
      </c>
      <c r="BG2935" s="3" t="s">
        <v>29175</v>
      </c>
    </row>
    <row r="2936" spans="1:59" ht="58" x14ac:dyDescent="0.35">
      <c r="A2936" s="2" t="s">
        <v>59</v>
      </c>
      <c r="B2936" s="2" t="s">
        <v>60</v>
      </c>
      <c r="C2936" s="2" t="s">
        <v>29176</v>
      </c>
      <c r="D2936" s="2" t="s">
        <v>29177</v>
      </c>
      <c r="E2936" s="2" t="s">
        <v>29178</v>
      </c>
      <c r="G2936" s="3" t="s">
        <v>65</v>
      </c>
      <c r="I2936" s="3" t="s">
        <v>65</v>
      </c>
      <c r="J2936" s="3" t="s">
        <v>65</v>
      </c>
      <c r="K2936" s="3" t="s">
        <v>66</v>
      </c>
      <c r="L2936" s="2" t="s">
        <v>29179</v>
      </c>
      <c r="M2936" s="2" t="s">
        <v>29180</v>
      </c>
      <c r="N2936" s="3" t="s">
        <v>176</v>
      </c>
      <c r="P2936" s="3" t="s">
        <v>140</v>
      </c>
      <c r="Q2936" s="2" t="s">
        <v>29181</v>
      </c>
      <c r="R2936" s="3" t="s">
        <v>71</v>
      </c>
      <c r="S2936" s="4">
        <v>0</v>
      </c>
      <c r="T2936" s="4">
        <v>0</v>
      </c>
      <c r="W2936" s="5" t="s">
        <v>72</v>
      </c>
      <c r="X2936" s="5" t="s">
        <v>72</v>
      </c>
      <c r="Y2936" s="4">
        <v>35</v>
      </c>
      <c r="Z2936" s="4">
        <v>5</v>
      </c>
      <c r="AA2936" s="4">
        <v>5</v>
      </c>
      <c r="AB2936" s="4">
        <v>1</v>
      </c>
      <c r="AC2936" s="4">
        <v>1</v>
      </c>
      <c r="AD2936" s="4">
        <v>27</v>
      </c>
      <c r="AE2936" s="4">
        <v>28</v>
      </c>
      <c r="AF2936" s="4">
        <v>0</v>
      </c>
      <c r="AG2936" s="4">
        <v>0</v>
      </c>
      <c r="AH2936" s="4">
        <v>27</v>
      </c>
      <c r="AI2936" s="4">
        <v>27</v>
      </c>
      <c r="AJ2936" s="4">
        <v>2</v>
      </c>
      <c r="AK2936" s="4">
        <v>2</v>
      </c>
      <c r="AL2936" s="4">
        <v>21</v>
      </c>
      <c r="AM2936" s="4">
        <v>22</v>
      </c>
      <c r="AN2936" s="4">
        <v>0</v>
      </c>
      <c r="AO2936" s="4">
        <v>0</v>
      </c>
      <c r="AP2936" s="4">
        <v>2</v>
      </c>
      <c r="AQ2936" s="4">
        <v>2</v>
      </c>
      <c r="AR2936" s="3" t="s">
        <v>65</v>
      </c>
      <c r="AS2936" s="3" t="s">
        <v>65</v>
      </c>
      <c r="AT2936" s="3" t="s">
        <v>65</v>
      </c>
      <c r="AV2936" s="6" t="str">
        <f>HYPERLINK("http://mcgill.on.worldcat.org/oclc/922884670","Catalog Record")</f>
        <v>Catalog Record</v>
      </c>
      <c r="AW2936" s="6" t="str">
        <f>HYPERLINK("http://www.worldcat.org/oclc/922884670","WorldCat Record")</f>
        <v>WorldCat Record</v>
      </c>
      <c r="AX2936" s="3" t="s">
        <v>29182</v>
      </c>
      <c r="AY2936" s="3" t="s">
        <v>29183</v>
      </c>
      <c r="AZ2936" s="3" t="s">
        <v>29184</v>
      </c>
      <c r="BA2936" s="3" t="s">
        <v>29184</v>
      </c>
      <c r="BB2936" s="3" t="s">
        <v>29185</v>
      </c>
      <c r="BC2936" s="3" t="s">
        <v>77</v>
      </c>
      <c r="BD2936" s="3" t="s">
        <v>78</v>
      </c>
      <c r="BE2936" s="3" t="s">
        <v>29186</v>
      </c>
      <c r="BF2936" s="3" t="s">
        <v>29185</v>
      </c>
      <c r="BG2936" s="3" t="s">
        <v>29187</v>
      </c>
    </row>
    <row r="2937" spans="1:59" ht="58" x14ac:dyDescent="0.35">
      <c r="A2937" s="2" t="s">
        <v>59</v>
      </c>
      <c r="B2937" s="2" t="s">
        <v>60</v>
      </c>
      <c r="C2937" s="2" t="s">
        <v>29188</v>
      </c>
      <c r="D2937" s="2" t="s">
        <v>29189</v>
      </c>
      <c r="E2937" s="2" t="s">
        <v>29190</v>
      </c>
      <c r="G2937" s="3" t="s">
        <v>65</v>
      </c>
      <c r="I2937" s="3" t="s">
        <v>65</v>
      </c>
      <c r="J2937" s="3" t="s">
        <v>65</v>
      </c>
      <c r="K2937" s="3" t="s">
        <v>66</v>
      </c>
      <c r="M2937" s="2" t="s">
        <v>29191</v>
      </c>
      <c r="N2937" s="3" t="s">
        <v>68</v>
      </c>
      <c r="P2937" s="3" t="s">
        <v>140</v>
      </c>
      <c r="Q2937" s="2" t="s">
        <v>29192</v>
      </c>
      <c r="R2937" s="3" t="s">
        <v>71</v>
      </c>
      <c r="S2937" s="4">
        <v>0</v>
      </c>
      <c r="T2937" s="4">
        <v>0</v>
      </c>
      <c r="W2937" s="5" t="s">
        <v>72</v>
      </c>
      <c r="X2937" s="5" t="s">
        <v>72</v>
      </c>
      <c r="Y2937" s="4">
        <v>41</v>
      </c>
      <c r="Z2937" s="4">
        <v>4</v>
      </c>
      <c r="AA2937" s="4">
        <v>4</v>
      </c>
      <c r="AB2937" s="4">
        <v>1</v>
      </c>
      <c r="AC2937" s="4">
        <v>1</v>
      </c>
      <c r="AD2937" s="4">
        <v>31</v>
      </c>
      <c r="AE2937" s="4">
        <v>31</v>
      </c>
      <c r="AF2937" s="4">
        <v>0</v>
      </c>
      <c r="AG2937" s="4">
        <v>0</v>
      </c>
      <c r="AH2937" s="4">
        <v>30</v>
      </c>
      <c r="AI2937" s="4">
        <v>30</v>
      </c>
      <c r="AJ2937" s="4">
        <v>2</v>
      </c>
      <c r="AK2937" s="4">
        <v>2</v>
      </c>
      <c r="AL2937" s="4">
        <v>25</v>
      </c>
      <c r="AM2937" s="4">
        <v>25</v>
      </c>
      <c r="AN2937" s="4">
        <v>0</v>
      </c>
      <c r="AO2937" s="4">
        <v>0</v>
      </c>
      <c r="AP2937" s="4">
        <v>2</v>
      </c>
      <c r="AQ2937" s="4">
        <v>2</v>
      </c>
      <c r="AR2937" s="3" t="s">
        <v>65</v>
      </c>
      <c r="AS2937" s="3" t="s">
        <v>65</v>
      </c>
      <c r="AT2937" s="3" t="s">
        <v>65</v>
      </c>
      <c r="AV2937" s="6" t="str">
        <f>HYPERLINK("http://mcgill.on.worldcat.org/oclc/953720473","Catalog Record")</f>
        <v>Catalog Record</v>
      </c>
      <c r="AW2937" s="6" t="str">
        <f>HYPERLINK("http://www.worldcat.org/oclc/953720473","WorldCat Record")</f>
        <v>WorldCat Record</v>
      </c>
      <c r="AX2937" s="3" t="s">
        <v>29193</v>
      </c>
      <c r="AY2937" s="3" t="s">
        <v>29194</v>
      </c>
      <c r="AZ2937" s="3" t="s">
        <v>29195</v>
      </c>
      <c r="BA2937" s="3" t="s">
        <v>29195</v>
      </c>
      <c r="BB2937" s="3" t="s">
        <v>29196</v>
      </c>
      <c r="BC2937" s="3" t="s">
        <v>77</v>
      </c>
      <c r="BD2937" s="3" t="s">
        <v>78</v>
      </c>
      <c r="BE2937" s="3" t="s">
        <v>29197</v>
      </c>
      <c r="BF2937" s="3" t="s">
        <v>29196</v>
      </c>
      <c r="BG2937" s="3" t="s">
        <v>29198</v>
      </c>
    </row>
    <row r="2938" spans="1:59" ht="72.5" x14ac:dyDescent="0.35">
      <c r="A2938" s="2" t="s">
        <v>59</v>
      </c>
      <c r="B2938" s="2" t="s">
        <v>60</v>
      </c>
      <c r="C2938" s="2" t="s">
        <v>29199</v>
      </c>
      <c r="D2938" s="2" t="s">
        <v>29200</v>
      </c>
      <c r="E2938" s="2" t="s">
        <v>29201</v>
      </c>
      <c r="G2938" s="3" t="s">
        <v>65</v>
      </c>
      <c r="I2938" s="3" t="s">
        <v>65</v>
      </c>
      <c r="J2938" s="3" t="s">
        <v>65</v>
      </c>
      <c r="K2938" s="3" t="s">
        <v>66</v>
      </c>
      <c r="L2938" s="2" t="s">
        <v>29202</v>
      </c>
      <c r="M2938" s="2" t="s">
        <v>29203</v>
      </c>
      <c r="N2938" s="3" t="s">
        <v>139</v>
      </c>
      <c r="P2938" s="3" t="s">
        <v>140</v>
      </c>
      <c r="Q2938" s="2" t="s">
        <v>29204</v>
      </c>
      <c r="R2938" s="3" t="s">
        <v>71</v>
      </c>
      <c r="S2938" s="4">
        <v>0</v>
      </c>
      <c r="T2938" s="4">
        <v>0</v>
      </c>
      <c r="W2938" s="5" t="s">
        <v>72</v>
      </c>
      <c r="X2938" s="5" t="s">
        <v>72</v>
      </c>
      <c r="Y2938" s="4">
        <v>49</v>
      </c>
      <c r="Z2938" s="4">
        <v>4</v>
      </c>
      <c r="AA2938" s="4">
        <v>4</v>
      </c>
      <c r="AB2938" s="4">
        <v>1</v>
      </c>
      <c r="AC2938" s="4">
        <v>1</v>
      </c>
      <c r="AD2938" s="4">
        <v>33</v>
      </c>
      <c r="AE2938" s="4">
        <v>33</v>
      </c>
      <c r="AF2938" s="4">
        <v>0</v>
      </c>
      <c r="AG2938" s="4">
        <v>0</v>
      </c>
      <c r="AH2938" s="4">
        <v>32</v>
      </c>
      <c r="AI2938" s="4">
        <v>32</v>
      </c>
      <c r="AJ2938" s="4">
        <v>2</v>
      </c>
      <c r="AK2938" s="4">
        <v>2</v>
      </c>
      <c r="AL2938" s="4">
        <v>26</v>
      </c>
      <c r="AM2938" s="4">
        <v>26</v>
      </c>
      <c r="AN2938" s="4">
        <v>0</v>
      </c>
      <c r="AO2938" s="4">
        <v>0</v>
      </c>
      <c r="AP2938" s="4">
        <v>2</v>
      </c>
      <c r="AQ2938" s="4">
        <v>2</v>
      </c>
      <c r="AR2938" s="3" t="s">
        <v>65</v>
      </c>
      <c r="AS2938" s="3" t="s">
        <v>65</v>
      </c>
      <c r="AT2938" s="3" t="s">
        <v>65</v>
      </c>
      <c r="AV2938" s="6" t="str">
        <f>HYPERLINK("http://mcgill.on.worldcat.org/oclc/820786015","Catalog Record")</f>
        <v>Catalog Record</v>
      </c>
      <c r="AW2938" s="6" t="str">
        <f>HYPERLINK("http://www.worldcat.org/oclc/820786015","WorldCat Record")</f>
        <v>WorldCat Record</v>
      </c>
      <c r="AX2938" s="3" t="s">
        <v>29205</v>
      </c>
      <c r="AY2938" s="3" t="s">
        <v>29206</v>
      </c>
      <c r="AZ2938" s="3" t="s">
        <v>29207</v>
      </c>
      <c r="BA2938" s="3" t="s">
        <v>29207</v>
      </c>
      <c r="BB2938" s="3" t="s">
        <v>29208</v>
      </c>
      <c r="BC2938" s="3" t="s">
        <v>77</v>
      </c>
      <c r="BD2938" s="3" t="s">
        <v>78</v>
      </c>
      <c r="BE2938" s="3" t="s">
        <v>29209</v>
      </c>
      <c r="BF2938" s="3" t="s">
        <v>29208</v>
      </c>
      <c r="BG2938" s="3" t="s">
        <v>29210</v>
      </c>
    </row>
    <row r="2939" spans="1:59" ht="72.5" x14ac:dyDescent="0.35">
      <c r="A2939" s="2" t="s">
        <v>59</v>
      </c>
      <c r="B2939" s="2" t="s">
        <v>60</v>
      </c>
      <c r="C2939" s="2" t="s">
        <v>29211</v>
      </c>
      <c r="D2939" s="2" t="s">
        <v>29212</v>
      </c>
      <c r="E2939" s="2" t="s">
        <v>29213</v>
      </c>
      <c r="G2939" s="3" t="s">
        <v>65</v>
      </c>
      <c r="I2939" s="3" t="s">
        <v>65</v>
      </c>
      <c r="J2939" s="3" t="s">
        <v>65</v>
      </c>
      <c r="K2939" s="3" t="s">
        <v>66</v>
      </c>
      <c r="M2939" s="2" t="s">
        <v>3329</v>
      </c>
      <c r="N2939" s="3" t="s">
        <v>126</v>
      </c>
      <c r="P2939" s="3" t="s">
        <v>140</v>
      </c>
      <c r="Q2939" s="2" t="s">
        <v>29214</v>
      </c>
      <c r="R2939" s="3" t="s">
        <v>71</v>
      </c>
      <c r="S2939" s="4">
        <v>0</v>
      </c>
      <c r="T2939" s="4">
        <v>0</v>
      </c>
      <c r="W2939" s="5" t="s">
        <v>72</v>
      </c>
      <c r="X2939" s="5" t="s">
        <v>72</v>
      </c>
      <c r="Y2939" s="4">
        <v>33</v>
      </c>
      <c r="Z2939" s="4">
        <v>3</v>
      </c>
      <c r="AA2939" s="4">
        <v>3</v>
      </c>
      <c r="AB2939" s="4">
        <v>1</v>
      </c>
      <c r="AC2939" s="4">
        <v>1</v>
      </c>
      <c r="AD2939" s="4">
        <v>20</v>
      </c>
      <c r="AE2939" s="4">
        <v>20</v>
      </c>
      <c r="AF2939" s="4">
        <v>0</v>
      </c>
      <c r="AG2939" s="4">
        <v>0</v>
      </c>
      <c r="AH2939" s="4">
        <v>19</v>
      </c>
      <c r="AI2939" s="4">
        <v>19</v>
      </c>
      <c r="AJ2939" s="4">
        <v>1</v>
      </c>
      <c r="AK2939" s="4">
        <v>1</v>
      </c>
      <c r="AL2939" s="4">
        <v>14</v>
      </c>
      <c r="AM2939" s="4">
        <v>14</v>
      </c>
      <c r="AN2939" s="4">
        <v>0</v>
      </c>
      <c r="AO2939" s="4">
        <v>0</v>
      </c>
      <c r="AP2939" s="4">
        <v>1</v>
      </c>
      <c r="AQ2939" s="4">
        <v>1</v>
      </c>
      <c r="AR2939" s="3" t="s">
        <v>65</v>
      </c>
      <c r="AS2939" s="3" t="s">
        <v>65</v>
      </c>
      <c r="AT2939" s="3" t="s">
        <v>65</v>
      </c>
      <c r="AV2939" s="6" t="str">
        <f>HYPERLINK("http://mcgill.on.worldcat.org/oclc/738360169","Catalog Record")</f>
        <v>Catalog Record</v>
      </c>
      <c r="AW2939" s="6" t="str">
        <f>HYPERLINK("http://www.worldcat.org/oclc/738360169","WorldCat Record")</f>
        <v>WorldCat Record</v>
      </c>
      <c r="AX2939" s="3" t="s">
        <v>29215</v>
      </c>
      <c r="AY2939" s="3" t="s">
        <v>29216</v>
      </c>
      <c r="AZ2939" s="3" t="s">
        <v>29217</v>
      </c>
      <c r="BA2939" s="3" t="s">
        <v>29217</v>
      </c>
      <c r="BB2939" s="3" t="s">
        <v>29218</v>
      </c>
      <c r="BC2939" s="3" t="s">
        <v>77</v>
      </c>
      <c r="BD2939" s="3" t="s">
        <v>78</v>
      </c>
      <c r="BE2939" s="3" t="s">
        <v>29219</v>
      </c>
      <c r="BF2939" s="3" t="s">
        <v>29218</v>
      </c>
      <c r="BG2939" s="3" t="s">
        <v>29220</v>
      </c>
    </row>
    <row r="2940" spans="1:59" ht="72.5" x14ac:dyDescent="0.35">
      <c r="A2940" s="2" t="s">
        <v>59</v>
      </c>
      <c r="B2940" s="2" t="s">
        <v>60</v>
      </c>
      <c r="C2940" s="2" t="s">
        <v>29221</v>
      </c>
      <c r="D2940" s="2" t="s">
        <v>29222</v>
      </c>
      <c r="E2940" s="2" t="s">
        <v>29223</v>
      </c>
      <c r="G2940" s="3" t="s">
        <v>65</v>
      </c>
      <c r="I2940" s="3" t="s">
        <v>65</v>
      </c>
      <c r="J2940" s="3" t="s">
        <v>65</v>
      </c>
      <c r="K2940" s="3" t="s">
        <v>66</v>
      </c>
      <c r="M2940" s="2" t="s">
        <v>19680</v>
      </c>
      <c r="N2940" s="3" t="s">
        <v>126</v>
      </c>
      <c r="P2940" s="3" t="s">
        <v>140</v>
      </c>
      <c r="Q2940" s="2" t="s">
        <v>29224</v>
      </c>
      <c r="R2940" s="3" t="s">
        <v>71</v>
      </c>
      <c r="S2940" s="4">
        <v>0</v>
      </c>
      <c r="T2940" s="4">
        <v>0</v>
      </c>
      <c r="W2940" s="5" t="s">
        <v>72</v>
      </c>
      <c r="X2940" s="5" t="s">
        <v>72</v>
      </c>
      <c r="Y2940" s="4">
        <v>39</v>
      </c>
      <c r="Z2940" s="4">
        <v>3</v>
      </c>
      <c r="AA2940" s="4">
        <v>3</v>
      </c>
      <c r="AB2940" s="4">
        <v>1</v>
      </c>
      <c r="AC2940" s="4">
        <v>1</v>
      </c>
      <c r="AD2940" s="4">
        <v>24</v>
      </c>
      <c r="AE2940" s="4">
        <v>24</v>
      </c>
      <c r="AF2940" s="4">
        <v>0</v>
      </c>
      <c r="AG2940" s="4">
        <v>0</v>
      </c>
      <c r="AH2940" s="4">
        <v>23</v>
      </c>
      <c r="AI2940" s="4">
        <v>23</v>
      </c>
      <c r="AJ2940" s="4">
        <v>1</v>
      </c>
      <c r="AK2940" s="4">
        <v>1</v>
      </c>
      <c r="AL2940" s="4">
        <v>19</v>
      </c>
      <c r="AM2940" s="4">
        <v>19</v>
      </c>
      <c r="AN2940" s="4">
        <v>0</v>
      </c>
      <c r="AO2940" s="4">
        <v>0</v>
      </c>
      <c r="AP2940" s="4">
        <v>1</v>
      </c>
      <c r="AQ2940" s="4">
        <v>1</v>
      </c>
      <c r="AR2940" s="3" t="s">
        <v>65</v>
      </c>
      <c r="AS2940" s="3" t="s">
        <v>65</v>
      </c>
      <c r="AT2940" s="3" t="s">
        <v>65</v>
      </c>
      <c r="AV2940" s="6" t="str">
        <f>HYPERLINK("http://mcgill.on.worldcat.org/oclc/824351827","Catalog Record")</f>
        <v>Catalog Record</v>
      </c>
      <c r="AW2940" s="6" t="str">
        <f>HYPERLINK("http://www.worldcat.org/oclc/824351827","WorldCat Record")</f>
        <v>WorldCat Record</v>
      </c>
      <c r="AX2940" s="3" t="s">
        <v>29225</v>
      </c>
      <c r="AY2940" s="3" t="s">
        <v>29226</v>
      </c>
      <c r="AZ2940" s="3" t="s">
        <v>29227</v>
      </c>
      <c r="BA2940" s="3" t="s">
        <v>29227</v>
      </c>
      <c r="BB2940" s="3" t="s">
        <v>29228</v>
      </c>
      <c r="BC2940" s="3" t="s">
        <v>77</v>
      </c>
      <c r="BD2940" s="3" t="s">
        <v>78</v>
      </c>
      <c r="BE2940" s="3" t="s">
        <v>29229</v>
      </c>
      <c r="BF2940" s="3" t="s">
        <v>29228</v>
      </c>
      <c r="BG2940" s="3" t="s">
        <v>29230</v>
      </c>
    </row>
    <row r="2941" spans="1:59" ht="58" x14ac:dyDescent="0.35">
      <c r="A2941" s="2" t="s">
        <v>59</v>
      </c>
      <c r="B2941" s="2" t="s">
        <v>60</v>
      </c>
      <c r="C2941" s="2" t="s">
        <v>29231</v>
      </c>
      <c r="D2941" s="2" t="s">
        <v>29232</v>
      </c>
      <c r="E2941" s="2" t="s">
        <v>29233</v>
      </c>
      <c r="G2941" s="3" t="s">
        <v>65</v>
      </c>
      <c r="I2941" s="3" t="s">
        <v>65</v>
      </c>
      <c r="J2941" s="3" t="s">
        <v>65</v>
      </c>
      <c r="K2941" s="3" t="s">
        <v>66</v>
      </c>
      <c r="L2941" s="2" t="s">
        <v>29234</v>
      </c>
      <c r="M2941" s="2" t="s">
        <v>29235</v>
      </c>
      <c r="N2941" s="3" t="s">
        <v>188</v>
      </c>
      <c r="P2941" s="3" t="s">
        <v>140</v>
      </c>
      <c r="Q2941" s="2" t="s">
        <v>29236</v>
      </c>
      <c r="R2941" s="3" t="s">
        <v>71</v>
      </c>
      <c r="S2941" s="4">
        <v>0</v>
      </c>
      <c r="T2941" s="4">
        <v>0</v>
      </c>
      <c r="W2941" s="5" t="s">
        <v>72</v>
      </c>
      <c r="X2941" s="5" t="s">
        <v>72</v>
      </c>
      <c r="Y2941" s="4">
        <v>54</v>
      </c>
      <c r="Z2941" s="4">
        <v>2</v>
      </c>
      <c r="AA2941" s="4">
        <v>2</v>
      </c>
      <c r="AB2941" s="4">
        <v>1</v>
      </c>
      <c r="AC2941" s="4">
        <v>1</v>
      </c>
      <c r="AD2941" s="4">
        <v>38</v>
      </c>
      <c r="AE2941" s="4">
        <v>38</v>
      </c>
      <c r="AF2941" s="4">
        <v>0</v>
      </c>
      <c r="AG2941" s="4">
        <v>0</v>
      </c>
      <c r="AH2941" s="4">
        <v>37</v>
      </c>
      <c r="AI2941" s="4">
        <v>37</v>
      </c>
      <c r="AJ2941" s="4">
        <v>1</v>
      </c>
      <c r="AK2941" s="4">
        <v>1</v>
      </c>
      <c r="AL2941" s="4">
        <v>28</v>
      </c>
      <c r="AM2941" s="4">
        <v>28</v>
      </c>
      <c r="AN2941" s="4">
        <v>0</v>
      </c>
      <c r="AO2941" s="4">
        <v>0</v>
      </c>
      <c r="AP2941" s="4">
        <v>1</v>
      </c>
      <c r="AQ2941" s="4">
        <v>1</v>
      </c>
      <c r="AR2941" s="3" t="s">
        <v>65</v>
      </c>
      <c r="AS2941" s="3" t="s">
        <v>65</v>
      </c>
      <c r="AT2941" s="3" t="s">
        <v>65</v>
      </c>
      <c r="AV2941" s="6" t="str">
        <f>HYPERLINK("http://mcgill.on.worldcat.org/oclc/981248487","Catalog Record")</f>
        <v>Catalog Record</v>
      </c>
      <c r="AW2941" s="6" t="str">
        <f>HYPERLINK("http://www.worldcat.org/oclc/981248487","WorldCat Record")</f>
        <v>WorldCat Record</v>
      </c>
      <c r="AX2941" s="3" t="s">
        <v>29237</v>
      </c>
      <c r="AY2941" s="3" t="s">
        <v>29238</v>
      </c>
      <c r="AZ2941" s="3" t="s">
        <v>29239</v>
      </c>
      <c r="BA2941" s="3" t="s">
        <v>29239</v>
      </c>
      <c r="BB2941" s="3" t="s">
        <v>29240</v>
      </c>
      <c r="BC2941" s="3" t="s">
        <v>77</v>
      </c>
      <c r="BD2941" s="3" t="s">
        <v>78</v>
      </c>
      <c r="BE2941" s="3" t="s">
        <v>29241</v>
      </c>
      <c r="BF2941" s="3" t="s">
        <v>29240</v>
      </c>
      <c r="BG2941" s="3" t="s">
        <v>29242</v>
      </c>
    </row>
    <row r="2942" spans="1:59" ht="72.5" x14ac:dyDescent="0.35">
      <c r="A2942" s="2" t="s">
        <v>59</v>
      </c>
      <c r="B2942" s="2" t="s">
        <v>60</v>
      </c>
      <c r="C2942" s="2" t="s">
        <v>29243</v>
      </c>
      <c r="D2942" s="2" t="s">
        <v>29244</v>
      </c>
      <c r="E2942" s="2" t="s">
        <v>29245</v>
      </c>
      <c r="G2942" s="3" t="s">
        <v>65</v>
      </c>
      <c r="I2942" s="3" t="s">
        <v>65</v>
      </c>
      <c r="J2942" s="3" t="s">
        <v>65</v>
      </c>
      <c r="K2942" s="3" t="s">
        <v>66</v>
      </c>
      <c r="M2942" s="2" t="s">
        <v>29246</v>
      </c>
      <c r="N2942" s="3" t="s">
        <v>113</v>
      </c>
      <c r="P2942" s="3" t="s">
        <v>140</v>
      </c>
      <c r="Q2942" s="2" t="s">
        <v>29247</v>
      </c>
      <c r="R2942" s="3" t="s">
        <v>71</v>
      </c>
      <c r="S2942" s="4">
        <v>0</v>
      </c>
      <c r="T2942" s="4">
        <v>0</v>
      </c>
      <c r="W2942" s="5" t="s">
        <v>72</v>
      </c>
      <c r="X2942" s="5" t="s">
        <v>72</v>
      </c>
      <c r="Y2942" s="4">
        <v>94</v>
      </c>
      <c r="Z2942" s="4">
        <v>9</v>
      </c>
      <c r="AA2942" s="4">
        <v>11</v>
      </c>
      <c r="AB2942" s="4">
        <v>1</v>
      </c>
      <c r="AC2942" s="4">
        <v>1</v>
      </c>
      <c r="AD2942" s="4">
        <v>45</v>
      </c>
      <c r="AE2942" s="4">
        <v>53</v>
      </c>
      <c r="AF2942" s="4">
        <v>0</v>
      </c>
      <c r="AG2942" s="4">
        <v>0</v>
      </c>
      <c r="AH2942" s="4">
        <v>45</v>
      </c>
      <c r="AI2942" s="4">
        <v>51</v>
      </c>
      <c r="AJ2942" s="4">
        <v>5</v>
      </c>
      <c r="AK2942" s="4">
        <v>6</v>
      </c>
      <c r="AL2942" s="4">
        <v>29</v>
      </c>
      <c r="AM2942" s="4">
        <v>34</v>
      </c>
      <c r="AN2942" s="4">
        <v>0</v>
      </c>
      <c r="AO2942" s="4">
        <v>0</v>
      </c>
      <c r="AP2942" s="4">
        <v>5</v>
      </c>
      <c r="AQ2942" s="4">
        <v>7</v>
      </c>
      <c r="AR2942" s="3" t="s">
        <v>65</v>
      </c>
      <c r="AS2942" s="3" t="s">
        <v>65</v>
      </c>
      <c r="AT2942" s="3" t="s">
        <v>65</v>
      </c>
      <c r="AV2942" s="6" t="str">
        <f>HYPERLINK("http://mcgill.on.worldcat.org/oclc/615420215","Catalog Record")</f>
        <v>Catalog Record</v>
      </c>
      <c r="AW2942" s="6" t="str">
        <f>HYPERLINK("http://www.worldcat.org/oclc/615420215","WorldCat Record")</f>
        <v>WorldCat Record</v>
      </c>
      <c r="AX2942" s="3" t="s">
        <v>29248</v>
      </c>
      <c r="AY2942" s="3" t="s">
        <v>29249</v>
      </c>
      <c r="AZ2942" s="3" t="s">
        <v>29250</v>
      </c>
      <c r="BA2942" s="3" t="s">
        <v>29250</v>
      </c>
      <c r="BB2942" s="3" t="s">
        <v>29251</v>
      </c>
      <c r="BC2942" s="3" t="s">
        <v>77</v>
      </c>
      <c r="BD2942" s="3" t="s">
        <v>78</v>
      </c>
      <c r="BE2942" s="3" t="s">
        <v>29252</v>
      </c>
      <c r="BF2942" s="3" t="s">
        <v>29251</v>
      </c>
      <c r="BG2942" s="3" t="s">
        <v>29253</v>
      </c>
    </row>
    <row r="2943" spans="1:59" ht="72.5" x14ac:dyDescent="0.35">
      <c r="A2943" s="2" t="s">
        <v>59</v>
      </c>
      <c r="B2943" s="2" t="s">
        <v>60</v>
      </c>
      <c r="C2943" s="2" t="s">
        <v>29254</v>
      </c>
      <c r="D2943" s="2" t="s">
        <v>29255</v>
      </c>
      <c r="E2943" s="2" t="s">
        <v>29256</v>
      </c>
      <c r="G2943" s="3" t="s">
        <v>65</v>
      </c>
      <c r="I2943" s="3" t="s">
        <v>65</v>
      </c>
      <c r="J2943" s="3" t="s">
        <v>65</v>
      </c>
      <c r="K2943" s="3" t="s">
        <v>66</v>
      </c>
      <c r="M2943" s="2" t="s">
        <v>26948</v>
      </c>
      <c r="N2943" s="3" t="s">
        <v>139</v>
      </c>
      <c r="P2943" s="3" t="s">
        <v>140</v>
      </c>
      <c r="Q2943" s="2" t="s">
        <v>29257</v>
      </c>
      <c r="R2943" s="3" t="s">
        <v>71</v>
      </c>
      <c r="S2943" s="4">
        <v>0</v>
      </c>
      <c r="T2943" s="4">
        <v>0</v>
      </c>
      <c r="W2943" s="5" t="s">
        <v>72</v>
      </c>
      <c r="X2943" s="5" t="s">
        <v>72</v>
      </c>
      <c r="Y2943" s="4">
        <v>40</v>
      </c>
      <c r="Z2943" s="4">
        <v>3</v>
      </c>
      <c r="AA2943" s="4">
        <v>3</v>
      </c>
      <c r="AB2943" s="4">
        <v>1</v>
      </c>
      <c r="AC2943" s="4">
        <v>1</v>
      </c>
      <c r="AD2943" s="4">
        <v>27</v>
      </c>
      <c r="AE2943" s="4">
        <v>27</v>
      </c>
      <c r="AF2943" s="4">
        <v>0</v>
      </c>
      <c r="AG2943" s="4">
        <v>0</v>
      </c>
      <c r="AH2943" s="4">
        <v>26</v>
      </c>
      <c r="AI2943" s="4">
        <v>26</v>
      </c>
      <c r="AJ2943" s="4">
        <v>1</v>
      </c>
      <c r="AK2943" s="4">
        <v>1</v>
      </c>
      <c r="AL2943" s="4">
        <v>21</v>
      </c>
      <c r="AM2943" s="4">
        <v>21</v>
      </c>
      <c r="AN2943" s="4">
        <v>0</v>
      </c>
      <c r="AO2943" s="4">
        <v>0</v>
      </c>
      <c r="AP2943" s="4">
        <v>1</v>
      </c>
      <c r="AQ2943" s="4">
        <v>1</v>
      </c>
      <c r="AR2943" s="3" t="s">
        <v>65</v>
      </c>
      <c r="AS2943" s="3" t="s">
        <v>65</v>
      </c>
      <c r="AT2943" s="3" t="s">
        <v>65</v>
      </c>
      <c r="AV2943" s="6" t="str">
        <f>HYPERLINK("http://mcgill.on.worldcat.org/oclc/794362321","Catalog Record")</f>
        <v>Catalog Record</v>
      </c>
      <c r="AW2943" s="6" t="str">
        <f>HYPERLINK("http://www.worldcat.org/oclc/794362321","WorldCat Record")</f>
        <v>WorldCat Record</v>
      </c>
      <c r="AX2943" s="3" t="s">
        <v>29258</v>
      </c>
      <c r="AY2943" s="3" t="s">
        <v>29259</v>
      </c>
      <c r="AZ2943" s="3" t="s">
        <v>29260</v>
      </c>
      <c r="BA2943" s="3" t="s">
        <v>29260</v>
      </c>
      <c r="BB2943" s="3" t="s">
        <v>29261</v>
      </c>
      <c r="BC2943" s="3" t="s">
        <v>77</v>
      </c>
      <c r="BD2943" s="3" t="s">
        <v>78</v>
      </c>
      <c r="BE2943" s="3" t="s">
        <v>29262</v>
      </c>
      <c r="BF2943" s="3" t="s">
        <v>29261</v>
      </c>
      <c r="BG2943" s="3" t="s">
        <v>29263</v>
      </c>
    </row>
    <row r="2944" spans="1:59" ht="72.5" x14ac:dyDescent="0.35">
      <c r="A2944" s="2" t="s">
        <v>59</v>
      </c>
      <c r="B2944" s="2" t="s">
        <v>60</v>
      </c>
      <c r="C2944" s="2" t="s">
        <v>29264</v>
      </c>
      <c r="D2944" s="2" t="s">
        <v>29265</v>
      </c>
      <c r="E2944" s="2" t="s">
        <v>29266</v>
      </c>
      <c r="G2944" s="3" t="s">
        <v>65</v>
      </c>
      <c r="I2944" s="3" t="s">
        <v>65</v>
      </c>
      <c r="J2944" s="3" t="s">
        <v>65</v>
      </c>
      <c r="K2944" s="3" t="s">
        <v>66</v>
      </c>
      <c r="L2944" s="2" t="s">
        <v>29267</v>
      </c>
      <c r="M2944" s="2" t="s">
        <v>2964</v>
      </c>
      <c r="N2944" s="3" t="s">
        <v>126</v>
      </c>
      <c r="P2944" s="3" t="s">
        <v>140</v>
      </c>
      <c r="Q2944" s="2" t="s">
        <v>29268</v>
      </c>
      <c r="R2944" s="3" t="s">
        <v>71</v>
      </c>
      <c r="S2944" s="4">
        <v>0</v>
      </c>
      <c r="T2944" s="4">
        <v>0</v>
      </c>
      <c r="W2944" s="5" t="s">
        <v>72</v>
      </c>
      <c r="X2944" s="5" t="s">
        <v>72</v>
      </c>
      <c r="Y2944" s="4">
        <v>45</v>
      </c>
      <c r="Z2944" s="4">
        <v>6</v>
      </c>
      <c r="AA2944" s="4">
        <v>6</v>
      </c>
      <c r="AB2944" s="4">
        <v>1</v>
      </c>
      <c r="AC2944" s="4">
        <v>1</v>
      </c>
      <c r="AD2944" s="4">
        <v>31</v>
      </c>
      <c r="AE2944" s="4">
        <v>31</v>
      </c>
      <c r="AF2944" s="4">
        <v>0</v>
      </c>
      <c r="AG2944" s="4">
        <v>0</v>
      </c>
      <c r="AH2944" s="4">
        <v>30</v>
      </c>
      <c r="AI2944" s="4">
        <v>30</v>
      </c>
      <c r="AJ2944" s="4">
        <v>3</v>
      </c>
      <c r="AK2944" s="4">
        <v>3</v>
      </c>
      <c r="AL2944" s="4">
        <v>21</v>
      </c>
      <c r="AM2944" s="4">
        <v>21</v>
      </c>
      <c r="AN2944" s="4">
        <v>0</v>
      </c>
      <c r="AO2944" s="4">
        <v>0</v>
      </c>
      <c r="AP2944" s="4">
        <v>3</v>
      </c>
      <c r="AQ2944" s="4">
        <v>3</v>
      </c>
      <c r="AR2944" s="3" t="s">
        <v>65</v>
      </c>
      <c r="AS2944" s="3" t="s">
        <v>65</v>
      </c>
      <c r="AT2944" s="3" t="s">
        <v>65</v>
      </c>
      <c r="AV2944" s="6" t="str">
        <f>HYPERLINK("http://mcgill.on.worldcat.org/oclc/775411192","Catalog Record")</f>
        <v>Catalog Record</v>
      </c>
      <c r="AW2944" s="6" t="str">
        <f>HYPERLINK("http://www.worldcat.org/oclc/775411192","WorldCat Record")</f>
        <v>WorldCat Record</v>
      </c>
      <c r="AX2944" s="3" t="s">
        <v>29269</v>
      </c>
      <c r="AY2944" s="3" t="s">
        <v>29270</v>
      </c>
      <c r="AZ2944" s="3" t="s">
        <v>29271</v>
      </c>
      <c r="BA2944" s="3" t="s">
        <v>29271</v>
      </c>
      <c r="BB2944" s="3" t="s">
        <v>29272</v>
      </c>
      <c r="BC2944" s="3" t="s">
        <v>77</v>
      </c>
      <c r="BD2944" s="3" t="s">
        <v>78</v>
      </c>
      <c r="BE2944" s="3" t="s">
        <v>29273</v>
      </c>
      <c r="BF2944" s="3" t="s">
        <v>29272</v>
      </c>
      <c r="BG2944" s="3" t="s">
        <v>29274</v>
      </c>
    </row>
    <row r="2945" spans="1:59" ht="72.5" x14ac:dyDescent="0.35">
      <c r="A2945" s="2" t="s">
        <v>59</v>
      </c>
      <c r="B2945" s="2" t="s">
        <v>60</v>
      </c>
      <c r="C2945" s="2" t="s">
        <v>29275</v>
      </c>
      <c r="D2945" s="2" t="s">
        <v>29276</v>
      </c>
      <c r="E2945" s="2" t="s">
        <v>29277</v>
      </c>
      <c r="G2945" s="3" t="s">
        <v>65</v>
      </c>
      <c r="I2945" s="3" t="s">
        <v>65</v>
      </c>
      <c r="J2945" s="3" t="s">
        <v>65</v>
      </c>
      <c r="K2945" s="3" t="s">
        <v>66</v>
      </c>
      <c r="L2945" s="2" t="s">
        <v>29278</v>
      </c>
      <c r="M2945" s="2" t="s">
        <v>16261</v>
      </c>
      <c r="N2945" s="3" t="s">
        <v>139</v>
      </c>
      <c r="P2945" s="3" t="s">
        <v>140</v>
      </c>
      <c r="Q2945" s="2" t="s">
        <v>29279</v>
      </c>
      <c r="R2945" s="3" t="s">
        <v>71</v>
      </c>
      <c r="S2945" s="4">
        <v>0</v>
      </c>
      <c r="T2945" s="4">
        <v>0</v>
      </c>
      <c r="W2945" s="5" t="s">
        <v>72</v>
      </c>
      <c r="X2945" s="5" t="s">
        <v>72</v>
      </c>
      <c r="Y2945" s="4">
        <v>46</v>
      </c>
      <c r="Z2945" s="4">
        <v>5</v>
      </c>
      <c r="AA2945" s="4">
        <v>5</v>
      </c>
      <c r="AB2945" s="4">
        <v>1</v>
      </c>
      <c r="AC2945" s="4">
        <v>1</v>
      </c>
      <c r="AD2945" s="4">
        <v>29</v>
      </c>
      <c r="AE2945" s="4">
        <v>29</v>
      </c>
      <c r="AF2945" s="4">
        <v>0</v>
      </c>
      <c r="AG2945" s="4">
        <v>0</v>
      </c>
      <c r="AH2945" s="4">
        <v>28</v>
      </c>
      <c r="AI2945" s="4">
        <v>28</v>
      </c>
      <c r="AJ2945" s="4">
        <v>2</v>
      </c>
      <c r="AK2945" s="4">
        <v>2</v>
      </c>
      <c r="AL2945" s="4">
        <v>21</v>
      </c>
      <c r="AM2945" s="4">
        <v>21</v>
      </c>
      <c r="AN2945" s="4">
        <v>0</v>
      </c>
      <c r="AO2945" s="4">
        <v>0</v>
      </c>
      <c r="AP2945" s="4">
        <v>2</v>
      </c>
      <c r="AQ2945" s="4">
        <v>2</v>
      </c>
      <c r="AR2945" s="3" t="s">
        <v>65</v>
      </c>
      <c r="AS2945" s="3" t="s">
        <v>65</v>
      </c>
      <c r="AT2945" s="3" t="s">
        <v>65</v>
      </c>
      <c r="AV2945" s="6" t="str">
        <f>HYPERLINK("http://mcgill.on.worldcat.org/oclc/781673293","Catalog Record")</f>
        <v>Catalog Record</v>
      </c>
      <c r="AW2945" s="6" t="str">
        <f>HYPERLINK("http://www.worldcat.org/oclc/781673293","WorldCat Record")</f>
        <v>WorldCat Record</v>
      </c>
      <c r="AX2945" s="3" t="s">
        <v>29280</v>
      </c>
      <c r="AY2945" s="3" t="s">
        <v>29281</v>
      </c>
      <c r="AZ2945" s="3" t="s">
        <v>29282</v>
      </c>
      <c r="BA2945" s="3" t="s">
        <v>29282</v>
      </c>
      <c r="BB2945" s="3" t="s">
        <v>29283</v>
      </c>
      <c r="BC2945" s="3" t="s">
        <v>77</v>
      </c>
      <c r="BD2945" s="3" t="s">
        <v>78</v>
      </c>
      <c r="BE2945" s="3" t="s">
        <v>29284</v>
      </c>
      <c r="BF2945" s="3" t="s">
        <v>29283</v>
      </c>
      <c r="BG2945" s="3" t="s">
        <v>29285</v>
      </c>
    </row>
    <row r="2946" spans="1:59" ht="72.5" x14ac:dyDescent="0.35">
      <c r="A2946" s="2" t="s">
        <v>59</v>
      </c>
      <c r="B2946" s="2" t="s">
        <v>60</v>
      </c>
      <c r="C2946" s="2" t="s">
        <v>29286</v>
      </c>
      <c r="D2946" s="2" t="s">
        <v>29287</v>
      </c>
      <c r="E2946" s="2" t="s">
        <v>29288</v>
      </c>
      <c r="G2946" s="3" t="s">
        <v>65</v>
      </c>
      <c r="I2946" s="3" t="s">
        <v>65</v>
      </c>
      <c r="J2946" s="3" t="s">
        <v>65</v>
      </c>
      <c r="K2946" s="3" t="s">
        <v>66</v>
      </c>
      <c r="L2946" s="2" t="s">
        <v>29289</v>
      </c>
      <c r="M2946" s="2" t="s">
        <v>12373</v>
      </c>
      <c r="N2946" s="3" t="s">
        <v>176</v>
      </c>
      <c r="P2946" s="3" t="s">
        <v>140</v>
      </c>
      <c r="Q2946" s="2" t="s">
        <v>29290</v>
      </c>
      <c r="R2946" s="3" t="s">
        <v>71</v>
      </c>
      <c r="S2946" s="4">
        <v>0</v>
      </c>
      <c r="T2946" s="4">
        <v>0</v>
      </c>
      <c r="W2946" s="5" t="s">
        <v>72</v>
      </c>
      <c r="X2946" s="5" t="s">
        <v>72</v>
      </c>
      <c r="Y2946" s="4">
        <v>41</v>
      </c>
      <c r="Z2946" s="4">
        <v>4</v>
      </c>
      <c r="AA2946" s="4">
        <v>4</v>
      </c>
      <c r="AB2946" s="4">
        <v>1</v>
      </c>
      <c r="AC2946" s="4">
        <v>1</v>
      </c>
      <c r="AD2946" s="4">
        <v>28</v>
      </c>
      <c r="AE2946" s="4">
        <v>28</v>
      </c>
      <c r="AF2946" s="4">
        <v>0</v>
      </c>
      <c r="AG2946" s="4">
        <v>0</v>
      </c>
      <c r="AH2946" s="4">
        <v>28</v>
      </c>
      <c r="AI2946" s="4">
        <v>28</v>
      </c>
      <c r="AJ2946" s="4">
        <v>2</v>
      </c>
      <c r="AK2946" s="4">
        <v>2</v>
      </c>
      <c r="AL2946" s="4">
        <v>21</v>
      </c>
      <c r="AM2946" s="4">
        <v>21</v>
      </c>
      <c r="AN2946" s="4">
        <v>0</v>
      </c>
      <c r="AO2946" s="4">
        <v>0</v>
      </c>
      <c r="AP2946" s="4">
        <v>2</v>
      </c>
      <c r="AQ2946" s="4">
        <v>2</v>
      </c>
      <c r="AR2946" s="3" t="s">
        <v>65</v>
      </c>
      <c r="AS2946" s="3" t="s">
        <v>65</v>
      </c>
      <c r="AT2946" s="3" t="s">
        <v>65</v>
      </c>
      <c r="AV2946" s="6" t="str">
        <f>HYPERLINK("http://mcgill.on.worldcat.org/oclc/907638692","Catalog Record")</f>
        <v>Catalog Record</v>
      </c>
      <c r="AW2946" s="6" t="str">
        <f>HYPERLINK("http://www.worldcat.org/oclc/907638692","WorldCat Record")</f>
        <v>WorldCat Record</v>
      </c>
      <c r="AX2946" s="3" t="s">
        <v>29291</v>
      </c>
      <c r="AY2946" s="3" t="s">
        <v>29292</v>
      </c>
      <c r="AZ2946" s="3" t="s">
        <v>29293</v>
      </c>
      <c r="BA2946" s="3" t="s">
        <v>29293</v>
      </c>
      <c r="BB2946" s="3" t="s">
        <v>29294</v>
      </c>
      <c r="BC2946" s="3" t="s">
        <v>77</v>
      </c>
      <c r="BD2946" s="3" t="s">
        <v>78</v>
      </c>
      <c r="BE2946" s="3" t="s">
        <v>29295</v>
      </c>
      <c r="BF2946" s="3" t="s">
        <v>29294</v>
      </c>
      <c r="BG2946" s="3" t="s">
        <v>29296</v>
      </c>
    </row>
    <row r="2947" spans="1:59" ht="72.5" x14ac:dyDescent="0.35">
      <c r="A2947" s="2" t="s">
        <v>59</v>
      </c>
      <c r="B2947" s="2" t="s">
        <v>60</v>
      </c>
      <c r="C2947" s="2" t="s">
        <v>29297</v>
      </c>
      <c r="D2947" s="2" t="s">
        <v>29298</v>
      </c>
      <c r="E2947" s="2" t="s">
        <v>29299</v>
      </c>
      <c r="G2947" s="3" t="s">
        <v>65</v>
      </c>
      <c r="I2947" s="3" t="s">
        <v>65</v>
      </c>
      <c r="J2947" s="3" t="s">
        <v>65</v>
      </c>
      <c r="K2947" s="3" t="s">
        <v>66</v>
      </c>
      <c r="L2947" s="2" t="s">
        <v>29300</v>
      </c>
      <c r="M2947" s="2" t="s">
        <v>2292</v>
      </c>
      <c r="N2947" s="3" t="s">
        <v>113</v>
      </c>
      <c r="O2947" s="2" t="s">
        <v>365</v>
      </c>
      <c r="P2947" s="3" t="s">
        <v>140</v>
      </c>
      <c r="Q2947" s="2" t="s">
        <v>29301</v>
      </c>
      <c r="R2947" s="3" t="s">
        <v>71</v>
      </c>
      <c r="S2947" s="4">
        <v>0</v>
      </c>
      <c r="T2947" s="4">
        <v>0</v>
      </c>
      <c r="W2947" s="5" t="s">
        <v>72</v>
      </c>
      <c r="X2947" s="5" t="s">
        <v>72</v>
      </c>
      <c r="Y2947" s="4">
        <v>43</v>
      </c>
      <c r="Z2947" s="4">
        <v>6</v>
      </c>
      <c r="AA2947" s="4">
        <v>6</v>
      </c>
      <c r="AB2947" s="4">
        <v>1</v>
      </c>
      <c r="AC2947" s="4">
        <v>1</v>
      </c>
      <c r="AD2947" s="4">
        <v>33</v>
      </c>
      <c r="AE2947" s="4">
        <v>35</v>
      </c>
      <c r="AF2947" s="4">
        <v>0</v>
      </c>
      <c r="AG2947" s="4">
        <v>0</v>
      </c>
      <c r="AH2947" s="4">
        <v>32</v>
      </c>
      <c r="AI2947" s="4">
        <v>34</v>
      </c>
      <c r="AJ2947" s="4">
        <v>3</v>
      </c>
      <c r="AK2947" s="4">
        <v>3</v>
      </c>
      <c r="AL2947" s="4">
        <v>22</v>
      </c>
      <c r="AM2947" s="4">
        <v>24</v>
      </c>
      <c r="AN2947" s="4">
        <v>0</v>
      </c>
      <c r="AO2947" s="4">
        <v>0</v>
      </c>
      <c r="AP2947" s="4">
        <v>3</v>
      </c>
      <c r="AQ2947" s="4">
        <v>3</v>
      </c>
      <c r="AR2947" s="3" t="s">
        <v>65</v>
      </c>
      <c r="AS2947" s="3" t="s">
        <v>65</v>
      </c>
      <c r="AT2947" s="3" t="s">
        <v>65</v>
      </c>
      <c r="AV2947" s="6" t="str">
        <f>HYPERLINK("http://mcgill.on.worldcat.org/oclc/642806426","Catalog Record")</f>
        <v>Catalog Record</v>
      </c>
      <c r="AW2947" s="6" t="str">
        <f>HYPERLINK("http://www.worldcat.org/oclc/642806426","WorldCat Record")</f>
        <v>WorldCat Record</v>
      </c>
      <c r="AX2947" s="3" t="s">
        <v>29302</v>
      </c>
      <c r="AY2947" s="3" t="s">
        <v>29303</v>
      </c>
      <c r="AZ2947" s="3" t="s">
        <v>29304</v>
      </c>
      <c r="BA2947" s="3" t="s">
        <v>29304</v>
      </c>
      <c r="BB2947" s="3" t="s">
        <v>29305</v>
      </c>
      <c r="BC2947" s="3" t="s">
        <v>77</v>
      </c>
      <c r="BD2947" s="3" t="s">
        <v>78</v>
      </c>
      <c r="BE2947" s="3" t="s">
        <v>29306</v>
      </c>
      <c r="BF2947" s="3" t="s">
        <v>29305</v>
      </c>
      <c r="BG2947" s="3" t="s">
        <v>29307</v>
      </c>
    </row>
    <row r="2948" spans="1:59" ht="58" x14ac:dyDescent="0.35">
      <c r="A2948" s="2" t="s">
        <v>59</v>
      </c>
      <c r="B2948" s="2" t="s">
        <v>60</v>
      </c>
      <c r="C2948" s="2" t="s">
        <v>29308</v>
      </c>
      <c r="D2948" s="2" t="s">
        <v>29309</v>
      </c>
      <c r="E2948" s="2" t="s">
        <v>29310</v>
      </c>
      <c r="G2948" s="3" t="s">
        <v>65</v>
      </c>
      <c r="I2948" s="3" t="s">
        <v>65</v>
      </c>
      <c r="J2948" s="3" t="s">
        <v>65</v>
      </c>
      <c r="K2948" s="3" t="s">
        <v>66</v>
      </c>
      <c r="L2948" s="2" t="s">
        <v>23017</v>
      </c>
      <c r="M2948" s="2" t="s">
        <v>29311</v>
      </c>
      <c r="N2948" s="3" t="s">
        <v>188</v>
      </c>
      <c r="O2948" s="2" t="s">
        <v>235</v>
      </c>
      <c r="P2948" s="3" t="s">
        <v>140</v>
      </c>
      <c r="R2948" s="3" t="s">
        <v>71</v>
      </c>
      <c r="S2948" s="4">
        <v>0</v>
      </c>
      <c r="T2948" s="4">
        <v>0</v>
      </c>
      <c r="W2948" s="5" t="s">
        <v>72</v>
      </c>
      <c r="X2948" s="5" t="s">
        <v>72</v>
      </c>
      <c r="Y2948" s="4">
        <v>48</v>
      </c>
      <c r="Z2948" s="4">
        <v>2</v>
      </c>
      <c r="AA2948" s="4">
        <v>2</v>
      </c>
      <c r="AB2948" s="4">
        <v>1</v>
      </c>
      <c r="AC2948" s="4">
        <v>1</v>
      </c>
      <c r="AD2948" s="4">
        <v>33</v>
      </c>
      <c r="AE2948" s="4">
        <v>33</v>
      </c>
      <c r="AF2948" s="4">
        <v>0</v>
      </c>
      <c r="AG2948" s="4">
        <v>0</v>
      </c>
      <c r="AH2948" s="4">
        <v>32</v>
      </c>
      <c r="AI2948" s="4">
        <v>32</v>
      </c>
      <c r="AJ2948" s="4">
        <v>1</v>
      </c>
      <c r="AK2948" s="4">
        <v>1</v>
      </c>
      <c r="AL2948" s="4">
        <v>25</v>
      </c>
      <c r="AM2948" s="4">
        <v>25</v>
      </c>
      <c r="AN2948" s="4">
        <v>0</v>
      </c>
      <c r="AO2948" s="4">
        <v>0</v>
      </c>
      <c r="AP2948" s="4">
        <v>1</v>
      </c>
      <c r="AQ2948" s="4">
        <v>1</v>
      </c>
      <c r="AR2948" s="3" t="s">
        <v>65</v>
      </c>
      <c r="AS2948" s="3" t="s">
        <v>65</v>
      </c>
      <c r="AT2948" s="3" t="s">
        <v>65</v>
      </c>
      <c r="AV2948" s="6" t="str">
        <f>HYPERLINK("http://mcgill.on.worldcat.org/oclc/974707838","Catalog Record")</f>
        <v>Catalog Record</v>
      </c>
      <c r="AW2948" s="6" t="str">
        <f>HYPERLINK("http://www.worldcat.org/oclc/974707838","WorldCat Record")</f>
        <v>WorldCat Record</v>
      </c>
      <c r="AX2948" s="3" t="s">
        <v>29312</v>
      </c>
      <c r="AY2948" s="3" t="s">
        <v>29313</v>
      </c>
      <c r="AZ2948" s="3" t="s">
        <v>29314</v>
      </c>
      <c r="BA2948" s="3" t="s">
        <v>29314</v>
      </c>
      <c r="BB2948" s="3" t="s">
        <v>29315</v>
      </c>
      <c r="BC2948" s="3" t="s">
        <v>77</v>
      </c>
      <c r="BD2948" s="3" t="s">
        <v>78</v>
      </c>
      <c r="BE2948" s="3" t="s">
        <v>29316</v>
      </c>
      <c r="BF2948" s="3" t="s">
        <v>29315</v>
      </c>
      <c r="BG2948" s="3" t="s">
        <v>29317</v>
      </c>
    </row>
    <row r="2949" spans="1:59" ht="58" x14ac:dyDescent="0.35">
      <c r="A2949" s="2" t="s">
        <v>59</v>
      </c>
      <c r="B2949" s="2" t="s">
        <v>60</v>
      </c>
      <c r="C2949" s="2" t="s">
        <v>29318</v>
      </c>
      <c r="D2949" s="2" t="s">
        <v>29319</v>
      </c>
      <c r="E2949" s="2" t="s">
        <v>29320</v>
      </c>
      <c r="F2949" s="3" t="s">
        <v>9892</v>
      </c>
      <c r="G2949" s="3" t="s">
        <v>209</v>
      </c>
      <c r="I2949" s="3" t="s">
        <v>209</v>
      </c>
      <c r="J2949" s="3" t="s">
        <v>65</v>
      </c>
      <c r="K2949" s="3" t="s">
        <v>66</v>
      </c>
      <c r="L2949" s="2" t="s">
        <v>28962</v>
      </c>
      <c r="M2949" s="2" t="s">
        <v>24959</v>
      </c>
      <c r="N2949" s="3" t="s">
        <v>3994</v>
      </c>
      <c r="P2949" s="3" t="s">
        <v>140</v>
      </c>
      <c r="R2949" s="3" t="s">
        <v>71</v>
      </c>
      <c r="S2949" s="4">
        <v>2</v>
      </c>
      <c r="T2949" s="4">
        <v>17</v>
      </c>
      <c r="U2949" s="5" t="s">
        <v>29321</v>
      </c>
      <c r="V2949" s="5" t="s">
        <v>29322</v>
      </c>
      <c r="W2949" s="5" t="s">
        <v>72</v>
      </c>
      <c r="X2949" s="5" t="s">
        <v>72</v>
      </c>
      <c r="Y2949" s="4">
        <v>72</v>
      </c>
      <c r="Z2949" s="4">
        <v>2</v>
      </c>
      <c r="AA2949" s="4">
        <v>7</v>
      </c>
      <c r="AB2949" s="4">
        <v>1</v>
      </c>
      <c r="AC2949" s="4">
        <v>2</v>
      </c>
      <c r="AD2949" s="4">
        <v>39</v>
      </c>
      <c r="AE2949" s="4">
        <v>45</v>
      </c>
      <c r="AF2949" s="4">
        <v>0</v>
      </c>
      <c r="AG2949" s="4">
        <v>1</v>
      </c>
      <c r="AH2949" s="4">
        <v>38</v>
      </c>
      <c r="AI2949" s="4">
        <v>42</v>
      </c>
      <c r="AJ2949" s="4">
        <v>1</v>
      </c>
      <c r="AK2949" s="4">
        <v>4</v>
      </c>
      <c r="AL2949" s="4">
        <v>22</v>
      </c>
      <c r="AM2949" s="4">
        <v>26</v>
      </c>
      <c r="AN2949" s="4">
        <v>0</v>
      </c>
      <c r="AO2949" s="4">
        <v>0</v>
      </c>
      <c r="AP2949" s="4">
        <v>1</v>
      </c>
      <c r="AQ2949" s="4">
        <v>3</v>
      </c>
      <c r="AR2949" s="3" t="s">
        <v>65</v>
      </c>
      <c r="AS2949" s="3" t="s">
        <v>65</v>
      </c>
      <c r="AT2949" s="3" t="s">
        <v>209</v>
      </c>
      <c r="AU2949" s="6" t="str">
        <f t="shared" ref="AU2949:AU2965" si="45">HYPERLINK("http://catalog.hathitrust.org/Record/007113283","HathiTrust Record")</f>
        <v>HathiTrust Record</v>
      </c>
      <c r="AV2949" s="6" t="str">
        <f t="shared" ref="AV2949:AV2965" si="46">HYPERLINK("http://mcgill.on.worldcat.org/oclc/397402","Catalog Record")</f>
        <v>Catalog Record</v>
      </c>
      <c r="AW2949" s="6" t="str">
        <f t="shared" ref="AW2949:AW2965" si="47">HYPERLINK("http://www.worldcat.org/oclc/397402","WorldCat Record")</f>
        <v>WorldCat Record</v>
      </c>
      <c r="AX2949" s="3" t="s">
        <v>29323</v>
      </c>
      <c r="AY2949" s="3" t="s">
        <v>29324</v>
      </c>
      <c r="AZ2949" s="3" t="s">
        <v>29325</v>
      </c>
      <c r="BA2949" s="3" t="s">
        <v>29325</v>
      </c>
      <c r="BB2949" s="3" t="s">
        <v>29326</v>
      </c>
      <c r="BC2949" s="3" t="s">
        <v>77</v>
      </c>
      <c r="BD2949" s="3" t="s">
        <v>78</v>
      </c>
      <c r="BF2949" s="3" t="s">
        <v>29326</v>
      </c>
      <c r="BG2949" s="3" t="s">
        <v>29327</v>
      </c>
    </row>
    <row r="2950" spans="1:59" ht="58" x14ac:dyDescent="0.35">
      <c r="A2950" s="2" t="s">
        <v>59</v>
      </c>
      <c r="B2950" s="2" t="s">
        <v>60</v>
      </c>
      <c r="C2950" s="2" t="s">
        <v>29318</v>
      </c>
      <c r="D2950" s="2" t="s">
        <v>29319</v>
      </c>
      <c r="E2950" s="2" t="s">
        <v>29320</v>
      </c>
      <c r="F2950" s="3" t="s">
        <v>3103</v>
      </c>
      <c r="G2950" s="3" t="s">
        <v>209</v>
      </c>
      <c r="I2950" s="3" t="s">
        <v>209</v>
      </c>
      <c r="J2950" s="3" t="s">
        <v>65</v>
      </c>
      <c r="K2950" s="3" t="s">
        <v>66</v>
      </c>
      <c r="L2950" s="2" t="s">
        <v>28962</v>
      </c>
      <c r="M2950" s="2" t="s">
        <v>24959</v>
      </c>
      <c r="N2950" s="3" t="s">
        <v>3994</v>
      </c>
      <c r="P2950" s="3" t="s">
        <v>140</v>
      </c>
      <c r="R2950" s="3" t="s">
        <v>71</v>
      </c>
      <c r="S2950" s="4">
        <v>0</v>
      </c>
      <c r="T2950" s="4">
        <v>17</v>
      </c>
      <c r="V2950" s="5" t="s">
        <v>29322</v>
      </c>
      <c r="W2950" s="5" t="s">
        <v>72</v>
      </c>
      <c r="X2950" s="5" t="s">
        <v>72</v>
      </c>
      <c r="Y2950" s="4">
        <v>72</v>
      </c>
      <c r="Z2950" s="4">
        <v>2</v>
      </c>
      <c r="AA2950" s="4">
        <v>7</v>
      </c>
      <c r="AB2950" s="4">
        <v>1</v>
      </c>
      <c r="AC2950" s="4">
        <v>2</v>
      </c>
      <c r="AD2950" s="4">
        <v>39</v>
      </c>
      <c r="AE2950" s="4">
        <v>45</v>
      </c>
      <c r="AF2950" s="4">
        <v>0</v>
      </c>
      <c r="AG2950" s="4">
        <v>1</v>
      </c>
      <c r="AH2950" s="4">
        <v>38</v>
      </c>
      <c r="AI2950" s="4">
        <v>42</v>
      </c>
      <c r="AJ2950" s="4">
        <v>1</v>
      </c>
      <c r="AK2950" s="4">
        <v>4</v>
      </c>
      <c r="AL2950" s="4">
        <v>22</v>
      </c>
      <c r="AM2950" s="4">
        <v>26</v>
      </c>
      <c r="AN2950" s="4">
        <v>0</v>
      </c>
      <c r="AO2950" s="4">
        <v>0</v>
      </c>
      <c r="AP2950" s="4">
        <v>1</v>
      </c>
      <c r="AQ2950" s="4">
        <v>3</v>
      </c>
      <c r="AR2950" s="3" t="s">
        <v>65</v>
      </c>
      <c r="AS2950" s="3" t="s">
        <v>65</v>
      </c>
      <c r="AT2950" s="3" t="s">
        <v>209</v>
      </c>
      <c r="AU2950" s="6" t="str">
        <f t="shared" si="45"/>
        <v>HathiTrust Record</v>
      </c>
      <c r="AV2950" s="6" t="str">
        <f t="shared" si="46"/>
        <v>Catalog Record</v>
      </c>
      <c r="AW2950" s="6" t="str">
        <f t="shared" si="47"/>
        <v>WorldCat Record</v>
      </c>
      <c r="AX2950" s="3" t="s">
        <v>29323</v>
      </c>
      <c r="AY2950" s="3" t="s">
        <v>29324</v>
      </c>
      <c r="AZ2950" s="3" t="s">
        <v>29325</v>
      </c>
      <c r="BA2950" s="3" t="s">
        <v>29325</v>
      </c>
      <c r="BB2950" s="3" t="s">
        <v>29328</v>
      </c>
      <c r="BC2950" s="3" t="s">
        <v>77</v>
      </c>
      <c r="BD2950" s="3" t="s">
        <v>78</v>
      </c>
      <c r="BF2950" s="3" t="s">
        <v>29328</v>
      </c>
      <c r="BG2950" s="3" t="s">
        <v>29329</v>
      </c>
    </row>
    <row r="2951" spans="1:59" ht="58" x14ac:dyDescent="0.35">
      <c r="A2951" s="2" t="s">
        <v>59</v>
      </c>
      <c r="B2951" s="2" t="s">
        <v>60</v>
      </c>
      <c r="C2951" s="2" t="s">
        <v>29318</v>
      </c>
      <c r="D2951" s="2" t="s">
        <v>29319</v>
      </c>
      <c r="E2951" s="2" t="s">
        <v>29320</v>
      </c>
      <c r="F2951" s="3" t="s">
        <v>1075</v>
      </c>
      <c r="G2951" s="3" t="s">
        <v>209</v>
      </c>
      <c r="I2951" s="3" t="s">
        <v>209</v>
      </c>
      <c r="J2951" s="3" t="s">
        <v>65</v>
      </c>
      <c r="K2951" s="3" t="s">
        <v>66</v>
      </c>
      <c r="L2951" s="2" t="s">
        <v>28962</v>
      </c>
      <c r="M2951" s="2" t="s">
        <v>24959</v>
      </c>
      <c r="N2951" s="3" t="s">
        <v>3994</v>
      </c>
      <c r="P2951" s="3" t="s">
        <v>140</v>
      </c>
      <c r="R2951" s="3" t="s">
        <v>71</v>
      </c>
      <c r="S2951" s="4">
        <v>0</v>
      </c>
      <c r="T2951" s="4">
        <v>17</v>
      </c>
      <c r="V2951" s="5" t="s">
        <v>29322</v>
      </c>
      <c r="W2951" s="5" t="s">
        <v>72</v>
      </c>
      <c r="X2951" s="5" t="s">
        <v>72</v>
      </c>
      <c r="Y2951" s="4">
        <v>72</v>
      </c>
      <c r="Z2951" s="4">
        <v>2</v>
      </c>
      <c r="AA2951" s="4">
        <v>7</v>
      </c>
      <c r="AB2951" s="4">
        <v>1</v>
      </c>
      <c r="AC2951" s="4">
        <v>2</v>
      </c>
      <c r="AD2951" s="4">
        <v>39</v>
      </c>
      <c r="AE2951" s="4">
        <v>45</v>
      </c>
      <c r="AF2951" s="4">
        <v>0</v>
      </c>
      <c r="AG2951" s="4">
        <v>1</v>
      </c>
      <c r="AH2951" s="4">
        <v>38</v>
      </c>
      <c r="AI2951" s="4">
        <v>42</v>
      </c>
      <c r="AJ2951" s="4">
        <v>1</v>
      </c>
      <c r="AK2951" s="4">
        <v>4</v>
      </c>
      <c r="AL2951" s="4">
        <v>22</v>
      </c>
      <c r="AM2951" s="4">
        <v>26</v>
      </c>
      <c r="AN2951" s="4">
        <v>0</v>
      </c>
      <c r="AO2951" s="4">
        <v>0</v>
      </c>
      <c r="AP2951" s="4">
        <v>1</v>
      </c>
      <c r="AQ2951" s="4">
        <v>3</v>
      </c>
      <c r="AR2951" s="3" t="s">
        <v>65</v>
      </c>
      <c r="AS2951" s="3" t="s">
        <v>65</v>
      </c>
      <c r="AT2951" s="3" t="s">
        <v>209</v>
      </c>
      <c r="AU2951" s="6" t="str">
        <f t="shared" si="45"/>
        <v>HathiTrust Record</v>
      </c>
      <c r="AV2951" s="6" t="str">
        <f t="shared" si="46"/>
        <v>Catalog Record</v>
      </c>
      <c r="AW2951" s="6" t="str">
        <f t="shared" si="47"/>
        <v>WorldCat Record</v>
      </c>
      <c r="AX2951" s="3" t="s">
        <v>29323</v>
      </c>
      <c r="AY2951" s="3" t="s">
        <v>29324</v>
      </c>
      <c r="AZ2951" s="3" t="s">
        <v>29325</v>
      </c>
      <c r="BA2951" s="3" t="s">
        <v>29325</v>
      </c>
      <c r="BB2951" s="3" t="s">
        <v>29330</v>
      </c>
      <c r="BC2951" s="3" t="s">
        <v>77</v>
      </c>
      <c r="BD2951" s="3" t="s">
        <v>78</v>
      </c>
      <c r="BF2951" s="3" t="s">
        <v>29330</v>
      </c>
      <c r="BG2951" s="3" t="s">
        <v>29331</v>
      </c>
    </row>
    <row r="2952" spans="1:59" ht="58" x14ac:dyDescent="0.35">
      <c r="A2952" s="2" t="s">
        <v>59</v>
      </c>
      <c r="B2952" s="2" t="s">
        <v>60</v>
      </c>
      <c r="C2952" s="2" t="s">
        <v>29318</v>
      </c>
      <c r="D2952" s="2" t="s">
        <v>29319</v>
      </c>
      <c r="E2952" s="2" t="s">
        <v>29320</v>
      </c>
      <c r="F2952" s="3" t="s">
        <v>29332</v>
      </c>
      <c r="G2952" s="3" t="s">
        <v>209</v>
      </c>
      <c r="I2952" s="3" t="s">
        <v>209</v>
      </c>
      <c r="J2952" s="3" t="s">
        <v>65</v>
      </c>
      <c r="K2952" s="3" t="s">
        <v>66</v>
      </c>
      <c r="L2952" s="2" t="s">
        <v>28962</v>
      </c>
      <c r="M2952" s="2" t="s">
        <v>24959</v>
      </c>
      <c r="N2952" s="3" t="s">
        <v>3994</v>
      </c>
      <c r="P2952" s="3" t="s">
        <v>140</v>
      </c>
      <c r="R2952" s="3" t="s">
        <v>71</v>
      </c>
      <c r="S2952" s="4">
        <v>0</v>
      </c>
      <c r="T2952" s="4">
        <v>17</v>
      </c>
      <c r="V2952" s="5" t="s">
        <v>29322</v>
      </c>
      <c r="W2952" s="5" t="s">
        <v>72</v>
      </c>
      <c r="X2952" s="5" t="s">
        <v>72</v>
      </c>
      <c r="Y2952" s="4">
        <v>72</v>
      </c>
      <c r="Z2952" s="4">
        <v>2</v>
      </c>
      <c r="AA2952" s="4">
        <v>7</v>
      </c>
      <c r="AB2952" s="4">
        <v>1</v>
      </c>
      <c r="AC2952" s="4">
        <v>2</v>
      </c>
      <c r="AD2952" s="4">
        <v>39</v>
      </c>
      <c r="AE2952" s="4">
        <v>45</v>
      </c>
      <c r="AF2952" s="4">
        <v>0</v>
      </c>
      <c r="AG2952" s="4">
        <v>1</v>
      </c>
      <c r="AH2952" s="4">
        <v>38</v>
      </c>
      <c r="AI2952" s="4">
        <v>42</v>
      </c>
      <c r="AJ2952" s="4">
        <v>1</v>
      </c>
      <c r="AK2952" s="4">
        <v>4</v>
      </c>
      <c r="AL2952" s="4">
        <v>22</v>
      </c>
      <c r="AM2952" s="4">
        <v>26</v>
      </c>
      <c r="AN2952" s="4">
        <v>0</v>
      </c>
      <c r="AO2952" s="4">
        <v>0</v>
      </c>
      <c r="AP2952" s="4">
        <v>1</v>
      </c>
      <c r="AQ2952" s="4">
        <v>3</v>
      </c>
      <c r="AR2952" s="3" t="s">
        <v>65</v>
      </c>
      <c r="AS2952" s="3" t="s">
        <v>65</v>
      </c>
      <c r="AT2952" s="3" t="s">
        <v>209</v>
      </c>
      <c r="AU2952" s="6" t="str">
        <f t="shared" si="45"/>
        <v>HathiTrust Record</v>
      </c>
      <c r="AV2952" s="6" t="str">
        <f t="shared" si="46"/>
        <v>Catalog Record</v>
      </c>
      <c r="AW2952" s="6" t="str">
        <f t="shared" si="47"/>
        <v>WorldCat Record</v>
      </c>
      <c r="AX2952" s="3" t="s">
        <v>29323</v>
      </c>
      <c r="AY2952" s="3" t="s">
        <v>29324</v>
      </c>
      <c r="AZ2952" s="3" t="s">
        <v>29325</v>
      </c>
      <c r="BA2952" s="3" t="s">
        <v>29325</v>
      </c>
      <c r="BB2952" s="3" t="s">
        <v>29333</v>
      </c>
      <c r="BC2952" s="3" t="s">
        <v>77</v>
      </c>
      <c r="BD2952" s="3" t="s">
        <v>78</v>
      </c>
      <c r="BF2952" s="3" t="s">
        <v>29333</v>
      </c>
      <c r="BG2952" s="3" t="s">
        <v>29334</v>
      </c>
    </row>
    <row r="2953" spans="1:59" ht="58" x14ac:dyDescent="0.35">
      <c r="A2953" s="2" t="s">
        <v>59</v>
      </c>
      <c r="B2953" s="2" t="s">
        <v>60</v>
      </c>
      <c r="C2953" s="2" t="s">
        <v>29318</v>
      </c>
      <c r="D2953" s="2" t="s">
        <v>29319</v>
      </c>
      <c r="E2953" s="2" t="s">
        <v>29320</v>
      </c>
      <c r="F2953" s="3" t="s">
        <v>490</v>
      </c>
      <c r="G2953" s="3" t="s">
        <v>209</v>
      </c>
      <c r="I2953" s="3" t="s">
        <v>209</v>
      </c>
      <c r="J2953" s="3" t="s">
        <v>65</v>
      </c>
      <c r="K2953" s="3" t="s">
        <v>66</v>
      </c>
      <c r="L2953" s="2" t="s">
        <v>28962</v>
      </c>
      <c r="M2953" s="2" t="s">
        <v>24959</v>
      </c>
      <c r="N2953" s="3" t="s">
        <v>3994</v>
      </c>
      <c r="P2953" s="3" t="s">
        <v>140</v>
      </c>
      <c r="R2953" s="3" t="s">
        <v>71</v>
      </c>
      <c r="S2953" s="4">
        <v>2</v>
      </c>
      <c r="T2953" s="4">
        <v>17</v>
      </c>
      <c r="U2953" s="5" t="s">
        <v>29335</v>
      </c>
      <c r="V2953" s="5" t="s">
        <v>29322</v>
      </c>
      <c r="W2953" s="5" t="s">
        <v>72</v>
      </c>
      <c r="X2953" s="5" t="s">
        <v>72</v>
      </c>
      <c r="Y2953" s="4">
        <v>72</v>
      </c>
      <c r="Z2953" s="4">
        <v>2</v>
      </c>
      <c r="AA2953" s="4">
        <v>7</v>
      </c>
      <c r="AB2953" s="4">
        <v>1</v>
      </c>
      <c r="AC2953" s="4">
        <v>2</v>
      </c>
      <c r="AD2953" s="4">
        <v>39</v>
      </c>
      <c r="AE2953" s="4">
        <v>45</v>
      </c>
      <c r="AF2953" s="4">
        <v>0</v>
      </c>
      <c r="AG2953" s="4">
        <v>1</v>
      </c>
      <c r="AH2953" s="4">
        <v>38</v>
      </c>
      <c r="AI2953" s="4">
        <v>42</v>
      </c>
      <c r="AJ2953" s="4">
        <v>1</v>
      </c>
      <c r="AK2953" s="4">
        <v>4</v>
      </c>
      <c r="AL2953" s="4">
        <v>22</v>
      </c>
      <c r="AM2953" s="4">
        <v>26</v>
      </c>
      <c r="AN2953" s="4">
        <v>0</v>
      </c>
      <c r="AO2953" s="4">
        <v>0</v>
      </c>
      <c r="AP2953" s="4">
        <v>1</v>
      </c>
      <c r="AQ2953" s="4">
        <v>3</v>
      </c>
      <c r="AR2953" s="3" t="s">
        <v>65</v>
      </c>
      <c r="AS2953" s="3" t="s">
        <v>65</v>
      </c>
      <c r="AT2953" s="3" t="s">
        <v>209</v>
      </c>
      <c r="AU2953" s="6" t="str">
        <f t="shared" si="45"/>
        <v>HathiTrust Record</v>
      </c>
      <c r="AV2953" s="6" t="str">
        <f t="shared" si="46"/>
        <v>Catalog Record</v>
      </c>
      <c r="AW2953" s="6" t="str">
        <f t="shared" si="47"/>
        <v>WorldCat Record</v>
      </c>
      <c r="AX2953" s="3" t="s">
        <v>29323</v>
      </c>
      <c r="AY2953" s="3" t="s">
        <v>29324</v>
      </c>
      <c r="AZ2953" s="3" t="s">
        <v>29325</v>
      </c>
      <c r="BA2953" s="3" t="s">
        <v>29325</v>
      </c>
      <c r="BB2953" s="3" t="s">
        <v>29336</v>
      </c>
      <c r="BC2953" s="3" t="s">
        <v>77</v>
      </c>
      <c r="BD2953" s="3" t="s">
        <v>78</v>
      </c>
      <c r="BF2953" s="3" t="s">
        <v>29336</v>
      </c>
      <c r="BG2953" s="3" t="s">
        <v>29337</v>
      </c>
    </row>
    <row r="2954" spans="1:59" ht="58" x14ac:dyDescent="0.35">
      <c r="A2954" s="2" t="s">
        <v>59</v>
      </c>
      <c r="B2954" s="2" t="s">
        <v>60</v>
      </c>
      <c r="C2954" s="2" t="s">
        <v>29318</v>
      </c>
      <c r="D2954" s="2" t="s">
        <v>29319</v>
      </c>
      <c r="E2954" s="2" t="s">
        <v>29320</v>
      </c>
      <c r="F2954" s="3" t="s">
        <v>843</v>
      </c>
      <c r="G2954" s="3" t="s">
        <v>209</v>
      </c>
      <c r="I2954" s="3" t="s">
        <v>209</v>
      </c>
      <c r="J2954" s="3" t="s">
        <v>65</v>
      </c>
      <c r="K2954" s="3" t="s">
        <v>66</v>
      </c>
      <c r="L2954" s="2" t="s">
        <v>28962</v>
      </c>
      <c r="M2954" s="2" t="s">
        <v>24959</v>
      </c>
      <c r="N2954" s="3" t="s">
        <v>3994</v>
      </c>
      <c r="P2954" s="3" t="s">
        <v>140</v>
      </c>
      <c r="R2954" s="3" t="s">
        <v>71</v>
      </c>
      <c r="S2954" s="4">
        <v>0</v>
      </c>
      <c r="T2954" s="4">
        <v>17</v>
      </c>
      <c r="V2954" s="5" t="s">
        <v>29322</v>
      </c>
      <c r="W2954" s="5" t="s">
        <v>72</v>
      </c>
      <c r="X2954" s="5" t="s">
        <v>72</v>
      </c>
      <c r="Y2954" s="4">
        <v>72</v>
      </c>
      <c r="Z2954" s="4">
        <v>2</v>
      </c>
      <c r="AA2954" s="4">
        <v>7</v>
      </c>
      <c r="AB2954" s="4">
        <v>1</v>
      </c>
      <c r="AC2954" s="4">
        <v>2</v>
      </c>
      <c r="AD2954" s="4">
        <v>39</v>
      </c>
      <c r="AE2954" s="4">
        <v>45</v>
      </c>
      <c r="AF2954" s="4">
        <v>0</v>
      </c>
      <c r="AG2954" s="4">
        <v>1</v>
      </c>
      <c r="AH2954" s="4">
        <v>38</v>
      </c>
      <c r="AI2954" s="4">
        <v>42</v>
      </c>
      <c r="AJ2954" s="4">
        <v>1</v>
      </c>
      <c r="AK2954" s="4">
        <v>4</v>
      </c>
      <c r="AL2954" s="4">
        <v>22</v>
      </c>
      <c r="AM2954" s="4">
        <v>26</v>
      </c>
      <c r="AN2954" s="4">
        <v>0</v>
      </c>
      <c r="AO2954" s="4">
        <v>0</v>
      </c>
      <c r="AP2954" s="4">
        <v>1</v>
      </c>
      <c r="AQ2954" s="4">
        <v>3</v>
      </c>
      <c r="AR2954" s="3" t="s">
        <v>65</v>
      </c>
      <c r="AS2954" s="3" t="s">
        <v>65</v>
      </c>
      <c r="AT2954" s="3" t="s">
        <v>209</v>
      </c>
      <c r="AU2954" s="6" t="str">
        <f t="shared" si="45"/>
        <v>HathiTrust Record</v>
      </c>
      <c r="AV2954" s="6" t="str">
        <f t="shared" si="46"/>
        <v>Catalog Record</v>
      </c>
      <c r="AW2954" s="6" t="str">
        <f t="shared" si="47"/>
        <v>WorldCat Record</v>
      </c>
      <c r="AX2954" s="3" t="s">
        <v>29323</v>
      </c>
      <c r="AY2954" s="3" t="s">
        <v>29324</v>
      </c>
      <c r="AZ2954" s="3" t="s">
        <v>29325</v>
      </c>
      <c r="BA2954" s="3" t="s">
        <v>29325</v>
      </c>
      <c r="BB2954" s="3" t="s">
        <v>29338</v>
      </c>
      <c r="BC2954" s="3" t="s">
        <v>77</v>
      </c>
      <c r="BD2954" s="3" t="s">
        <v>78</v>
      </c>
      <c r="BF2954" s="3" t="s">
        <v>29338</v>
      </c>
      <c r="BG2954" s="3" t="s">
        <v>29339</v>
      </c>
    </row>
    <row r="2955" spans="1:59" ht="58" x14ac:dyDescent="0.35">
      <c r="A2955" s="2" t="s">
        <v>59</v>
      </c>
      <c r="B2955" s="2" t="s">
        <v>60</v>
      </c>
      <c r="C2955" s="2" t="s">
        <v>29318</v>
      </c>
      <c r="D2955" s="2" t="s">
        <v>29319</v>
      </c>
      <c r="E2955" s="2" t="s">
        <v>29320</v>
      </c>
      <c r="F2955" s="3" t="s">
        <v>1040</v>
      </c>
      <c r="G2955" s="3" t="s">
        <v>209</v>
      </c>
      <c r="I2955" s="3" t="s">
        <v>209</v>
      </c>
      <c r="J2955" s="3" t="s">
        <v>65</v>
      </c>
      <c r="K2955" s="3" t="s">
        <v>66</v>
      </c>
      <c r="L2955" s="2" t="s">
        <v>28962</v>
      </c>
      <c r="M2955" s="2" t="s">
        <v>24959</v>
      </c>
      <c r="N2955" s="3" t="s">
        <v>3994</v>
      </c>
      <c r="P2955" s="3" t="s">
        <v>140</v>
      </c>
      <c r="R2955" s="3" t="s">
        <v>71</v>
      </c>
      <c r="S2955" s="4">
        <v>3</v>
      </c>
      <c r="T2955" s="4">
        <v>17</v>
      </c>
      <c r="U2955" s="5" t="s">
        <v>29340</v>
      </c>
      <c r="V2955" s="5" t="s">
        <v>29322</v>
      </c>
      <c r="W2955" s="5" t="s">
        <v>72</v>
      </c>
      <c r="X2955" s="5" t="s">
        <v>72</v>
      </c>
      <c r="Y2955" s="4">
        <v>72</v>
      </c>
      <c r="Z2955" s="4">
        <v>2</v>
      </c>
      <c r="AA2955" s="4">
        <v>7</v>
      </c>
      <c r="AB2955" s="4">
        <v>1</v>
      </c>
      <c r="AC2955" s="4">
        <v>2</v>
      </c>
      <c r="AD2955" s="4">
        <v>39</v>
      </c>
      <c r="AE2955" s="4">
        <v>45</v>
      </c>
      <c r="AF2955" s="4">
        <v>0</v>
      </c>
      <c r="AG2955" s="4">
        <v>1</v>
      </c>
      <c r="AH2955" s="4">
        <v>38</v>
      </c>
      <c r="AI2955" s="4">
        <v>42</v>
      </c>
      <c r="AJ2955" s="4">
        <v>1</v>
      </c>
      <c r="AK2955" s="4">
        <v>4</v>
      </c>
      <c r="AL2955" s="4">
        <v>22</v>
      </c>
      <c r="AM2955" s="4">
        <v>26</v>
      </c>
      <c r="AN2955" s="4">
        <v>0</v>
      </c>
      <c r="AO2955" s="4">
        <v>0</v>
      </c>
      <c r="AP2955" s="4">
        <v>1</v>
      </c>
      <c r="AQ2955" s="4">
        <v>3</v>
      </c>
      <c r="AR2955" s="3" t="s">
        <v>65</v>
      </c>
      <c r="AS2955" s="3" t="s">
        <v>65</v>
      </c>
      <c r="AT2955" s="3" t="s">
        <v>209</v>
      </c>
      <c r="AU2955" s="6" t="str">
        <f t="shared" si="45"/>
        <v>HathiTrust Record</v>
      </c>
      <c r="AV2955" s="6" t="str">
        <f t="shared" si="46"/>
        <v>Catalog Record</v>
      </c>
      <c r="AW2955" s="6" t="str">
        <f t="shared" si="47"/>
        <v>WorldCat Record</v>
      </c>
      <c r="AX2955" s="3" t="s">
        <v>29323</v>
      </c>
      <c r="AY2955" s="3" t="s">
        <v>29324</v>
      </c>
      <c r="AZ2955" s="3" t="s">
        <v>29325</v>
      </c>
      <c r="BA2955" s="3" t="s">
        <v>29325</v>
      </c>
      <c r="BB2955" s="3" t="s">
        <v>29341</v>
      </c>
      <c r="BC2955" s="3" t="s">
        <v>77</v>
      </c>
      <c r="BD2955" s="3" t="s">
        <v>78</v>
      </c>
      <c r="BF2955" s="3" t="s">
        <v>29341</v>
      </c>
      <c r="BG2955" s="3" t="s">
        <v>29342</v>
      </c>
    </row>
    <row r="2956" spans="1:59" ht="58" x14ac:dyDescent="0.35">
      <c r="A2956" s="2" t="s">
        <v>59</v>
      </c>
      <c r="B2956" s="2" t="s">
        <v>60</v>
      </c>
      <c r="C2956" s="2" t="s">
        <v>29318</v>
      </c>
      <c r="D2956" s="2" t="s">
        <v>29319</v>
      </c>
      <c r="E2956" s="2" t="s">
        <v>29320</v>
      </c>
      <c r="G2956" s="3" t="s">
        <v>209</v>
      </c>
      <c r="I2956" s="3" t="s">
        <v>209</v>
      </c>
      <c r="J2956" s="3" t="s">
        <v>65</v>
      </c>
      <c r="K2956" s="3" t="s">
        <v>66</v>
      </c>
      <c r="L2956" s="2" t="s">
        <v>28962</v>
      </c>
      <c r="M2956" s="2" t="s">
        <v>24959</v>
      </c>
      <c r="N2956" s="3" t="s">
        <v>3994</v>
      </c>
      <c r="P2956" s="3" t="s">
        <v>140</v>
      </c>
      <c r="R2956" s="3" t="s">
        <v>71</v>
      </c>
      <c r="S2956" s="4">
        <v>0</v>
      </c>
      <c r="T2956" s="4">
        <v>17</v>
      </c>
      <c r="V2956" s="5" t="s">
        <v>29322</v>
      </c>
      <c r="W2956" s="5" t="s">
        <v>72</v>
      </c>
      <c r="X2956" s="5" t="s">
        <v>72</v>
      </c>
      <c r="Y2956" s="4">
        <v>72</v>
      </c>
      <c r="Z2956" s="4">
        <v>2</v>
      </c>
      <c r="AA2956" s="4">
        <v>7</v>
      </c>
      <c r="AB2956" s="4">
        <v>1</v>
      </c>
      <c r="AC2956" s="4">
        <v>2</v>
      </c>
      <c r="AD2956" s="4">
        <v>39</v>
      </c>
      <c r="AE2956" s="4">
        <v>45</v>
      </c>
      <c r="AF2956" s="4">
        <v>0</v>
      </c>
      <c r="AG2956" s="4">
        <v>1</v>
      </c>
      <c r="AH2956" s="4">
        <v>38</v>
      </c>
      <c r="AI2956" s="4">
        <v>42</v>
      </c>
      <c r="AJ2956" s="4">
        <v>1</v>
      </c>
      <c r="AK2956" s="4">
        <v>4</v>
      </c>
      <c r="AL2956" s="4">
        <v>22</v>
      </c>
      <c r="AM2956" s="4">
        <v>26</v>
      </c>
      <c r="AN2956" s="4">
        <v>0</v>
      </c>
      <c r="AO2956" s="4">
        <v>0</v>
      </c>
      <c r="AP2956" s="4">
        <v>1</v>
      </c>
      <c r="AQ2956" s="4">
        <v>3</v>
      </c>
      <c r="AR2956" s="3" t="s">
        <v>65</v>
      </c>
      <c r="AS2956" s="3" t="s">
        <v>65</v>
      </c>
      <c r="AT2956" s="3" t="s">
        <v>209</v>
      </c>
      <c r="AU2956" s="6" t="str">
        <f t="shared" si="45"/>
        <v>HathiTrust Record</v>
      </c>
      <c r="AV2956" s="6" t="str">
        <f t="shared" si="46"/>
        <v>Catalog Record</v>
      </c>
      <c r="AW2956" s="6" t="str">
        <f t="shared" si="47"/>
        <v>WorldCat Record</v>
      </c>
      <c r="AX2956" s="3" t="s">
        <v>29323</v>
      </c>
      <c r="AY2956" s="3" t="s">
        <v>29324</v>
      </c>
      <c r="AZ2956" s="3" t="s">
        <v>29325</v>
      </c>
      <c r="BA2956" s="3" t="s">
        <v>29325</v>
      </c>
      <c r="BB2956" s="3" t="s">
        <v>29343</v>
      </c>
      <c r="BC2956" s="3" t="s">
        <v>77</v>
      </c>
      <c r="BD2956" s="3" t="s">
        <v>78</v>
      </c>
      <c r="BF2956" s="3" t="s">
        <v>29343</v>
      </c>
      <c r="BG2956" s="3" t="s">
        <v>29344</v>
      </c>
    </row>
    <row r="2957" spans="1:59" ht="58" x14ac:dyDescent="0.35">
      <c r="A2957" s="2" t="s">
        <v>59</v>
      </c>
      <c r="B2957" s="2" t="s">
        <v>60</v>
      </c>
      <c r="C2957" s="2" t="s">
        <v>29318</v>
      </c>
      <c r="D2957" s="2" t="s">
        <v>29319</v>
      </c>
      <c r="E2957" s="2" t="s">
        <v>29320</v>
      </c>
      <c r="F2957" s="3" t="s">
        <v>850</v>
      </c>
      <c r="G2957" s="3" t="s">
        <v>209</v>
      </c>
      <c r="I2957" s="3" t="s">
        <v>209</v>
      </c>
      <c r="J2957" s="3" t="s">
        <v>65</v>
      </c>
      <c r="K2957" s="3" t="s">
        <v>66</v>
      </c>
      <c r="L2957" s="2" t="s">
        <v>28962</v>
      </c>
      <c r="M2957" s="2" t="s">
        <v>24959</v>
      </c>
      <c r="N2957" s="3" t="s">
        <v>3994</v>
      </c>
      <c r="P2957" s="3" t="s">
        <v>140</v>
      </c>
      <c r="R2957" s="3" t="s">
        <v>71</v>
      </c>
      <c r="S2957" s="4">
        <v>0</v>
      </c>
      <c r="T2957" s="4">
        <v>17</v>
      </c>
      <c r="V2957" s="5" t="s">
        <v>29322</v>
      </c>
      <c r="W2957" s="5" t="s">
        <v>72</v>
      </c>
      <c r="X2957" s="5" t="s">
        <v>72</v>
      </c>
      <c r="Y2957" s="4">
        <v>72</v>
      </c>
      <c r="Z2957" s="4">
        <v>2</v>
      </c>
      <c r="AA2957" s="4">
        <v>7</v>
      </c>
      <c r="AB2957" s="4">
        <v>1</v>
      </c>
      <c r="AC2957" s="4">
        <v>2</v>
      </c>
      <c r="AD2957" s="4">
        <v>39</v>
      </c>
      <c r="AE2957" s="4">
        <v>45</v>
      </c>
      <c r="AF2957" s="4">
        <v>0</v>
      </c>
      <c r="AG2957" s="4">
        <v>1</v>
      </c>
      <c r="AH2957" s="4">
        <v>38</v>
      </c>
      <c r="AI2957" s="4">
        <v>42</v>
      </c>
      <c r="AJ2957" s="4">
        <v>1</v>
      </c>
      <c r="AK2957" s="4">
        <v>4</v>
      </c>
      <c r="AL2957" s="4">
        <v>22</v>
      </c>
      <c r="AM2957" s="4">
        <v>26</v>
      </c>
      <c r="AN2957" s="4">
        <v>0</v>
      </c>
      <c r="AO2957" s="4">
        <v>0</v>
      </c>
      <c r="AP2957" s="4">
        <v>1</v>
      </c>
      <c r="AQ2957" s="4">
        <v>3</v>
      </c>
      <c r="AR2957" s="3" t="s">
        <v>65</v>
      </c>
      <c r="AS2957" s="3" t="s">
        <v>65</v>
      </c>
      <c r="AT2957" s="3" t="s">
        <v>209</v>
      </c>
      <c r="AU2957" s="6" t="str">
        <f t="shared" si="45"/>
        <v>HathiTrust Record</v>
      </c>
      <c r="AV2957" s="6" t="str">
        <f t="shared" si="46"/>
        <v>Catalog Record</v>
      </c>
      <c r="AW2957" s="6" t="str">
        <f t="shared" si="47"/>
        <v>WorldCat Record</v>
      </c>
      <c r="AX2957" s="3" t="s">
        <v>29323</v>
      </c>
      <c r="AY2957" s="3" t="s">
        <v>29324</v>
      </c>
      <c r="AZ2957" s="3" t="s">
        <v>29325</v>
      </c>
      <c r="BA2957" s="3" t="s">
        <v>29325</v>
      </c>
      <c r="BB2957" s="3" t="s">
        <v>29345</v>
      </c>
      <c r="BC2957" s="3" t="s">
        <v>77</v>
      </c>
      <c r="BD2957" s="3" t="s">
        <v>78</v>
      </c>
      <c r="BF2957" s="3" t="s">
        <v>29345</v>
      </c>
      <c r="BG2957" s="3" t="s">
        <v>29346</v>
      </c>
    </row>
    <row r="2958" spans="1:59" ht="58" x14ac:dyDescent="0.35">
      <c r="A2958" s="2" t="s">
        <v>59</v>
      </c>
      <c r="B2958" s="2" t="s">
        <v>60</v>
      </c>
      <c r="C2958" s="2" t="s">
        <v>29318</v>
      </c>
      <c r="D2958" s="2" t="s">
        <v>29319</v>
      </c>
      <c r="E2958" s="2" t="s">
        <v>29320</v>
      </c>
      <c r="F2958" s="3" t="s">
        <v>29347</v>
      </c>
      <c r="G2958" s="3" t="s">
        <v>209</v>
      </c>
      <c r="I2958" s="3" t="s">
        <v>209</v>
      </c>
      <c r="J2958" s="3" t="s">
        <v>65</v>
      </c>
      <c r="K2958" s="3" t="s">
        <v>66</v>
      </c>
      <c r="L2958" s="2" t="s">
        <v>28962</v>
      </c>
      <c r="M2958" s="2" t="s">
        <v>24959</v>
      </c>
      <c r="N2958" s="3" t="s">
        <v>3994</v>
      </c>
      <c r="P2958" s="3" t="s">
        <v>140</v>
      </c>
      <c r="R2958" s="3" t="s">
        <v>71</v>
      </c>
      <c r="S2958" s="4">
        <v>3</v>
      </c>
      <c r="T2958" s="4">
        <v>17</v>
      </c>
      <c r="U2958" s="5" t="s">
        <v>29348</v>
      </c>
      <c r="V2958" s="5" t="s">
        <v>29322</v>
      </c>
      <c r="W2958" s="5" t="s">
        <v>72</v>
      </c>
      <c r="X2958" s="5" t="s">
        <v>72</v>
      </c>
      <c r="Y2958" s="4">
        <v>72</v>
      </c>
      <c r="Z2958" s="4">
        <v>2</v>
      </c>
      <c r="AA2958" s="4">
        <v>7</v>
      </c>
      <c r="AB2958" s="4">
        <v>1</v>
      </c>
      <c r="AC2958" s="4">
        <v>2</v>
      </c>
      <c r="AD2958" s="4">
        <v>39</v>
      </c>
      <c r="AE2958" s="4">
        <v>45</v>
      </c>
      <c r="AF2958" s="4">
        <v>0</v>
      </c>
      <c r="AG2958" s="4">
        <v>1</v>
      </c>
      <c r="AH2958" s="4">
        <v>38</v>
      </c>
      <c r="AI2958" s="4">
        <v>42</v>
      </c>
      <c r="AJ2958" s="4">
        <v>1</v>
      </c>
      <c r="AK2958" s="4">
        <v>4</v>
      </c>
      <c r="AL2958" s="4">
        <v>22</v>
      </c>
      <c r="AM2958" s="4">
        <v>26</v>
      </c>
      <c r="AN2958" s="4">
        <v>0</v>
      </c>
      <c r="AO2958" s="4">
        <v>0</v>
      </c>
      <c r="AP2958" s="4">
        <v>1</v>
      </c>
      <c r="AQ2958" s="4">
        <v>3</v>
      </c>
      <c r="AR2958" s="3" t="s">
        <v>65</v>
      </c>
      <c r="AS2958" s="3" t="s">
        <v>65</v>
      </c>
      <c r="AT2958" s="3" t="s">
        <v>209</v>
      </c>
      <c r="AU2958" s="6" t="str">
        <f t="shared" si="45"/>
        <v>HathiTrust Record</v>
      </c>
      <c r="AV2958" s="6" t="str">
        <f t="shared" si="46"/>
        <v>Catalog Record</v>
      </c>
      <c r="AW2958" s="6" t="str">
        <f t="shared" si="47"/>
        <v>WorldCat Record</v>
      </c>
      <c r="AX2958" s="3" t="s">
        <v>29323</v>
      </c>
      <c r="AY2958" s="3" t="s">
        <v>29324</v>
      </c>
      <c r="AZ2958" s="3" t="s">
        <v>29325</v>
      </c>
      <c r="BA2958" s="3" t="s">
        <v>29325</v>
      </c>
      <c r="BB2958" s="3" t="s">
        <v>29349</v>
      </c>
      <c r="BC2958" s="3" t="s">
        <v>77</v>
      </c>
      <c r="BD2958" s="3" t="s">
        <v>78</v>
      </c>
      <c r="BF2958" s="3" t="s">
        <v>29349</v>
      </c>
      <c r="BG2958" s="3" t="s">
        <v>29350</v>
      </c>
    </row>
    <row r="2959" spans="1:59" ht="58" x14ac:dyDescent="0.35">
      <c r="A2959" s="2" t="s">
        <v>59</v>
      </c>
      <c r="B2959" s="2" t="s">
        <v>60</v>
      </c>
      <c r="C2959" s="2" t="s">
        <v>29318</v>
      </c>
      <c r="D2959" s="2" t="s">
        <v>29319</v>
      </c>
      <c r="E2959" s="2" t="s">
        <v>29320</v>
      </c>
      <c r="F2959" s="3" t="s">
        <v>29351</v>
      </c>
      <c r="G2959" s="3" t="s">
        <v>209</v>
      </c>
      <c r="I2959" s="3" t="s">
        <v>209</v>
      </c>
      <c r="J2959" s="3" t="s">
        <v>65</v>
      </c>
      <c r="K2959" s="3" t="s">
        <v>66</v>
      </c>
      <c r="L2959" s="2" t="s">
        <v>28962</v>
      </c>
      <c r="M2959" s="2" t="s">
        <v>24959</v>
      </c>
      <c r="N2959" s="3" t="s">
        <v>3994</v>
      </c>
      <c r="P2959" s="3" t="s">
        <v>140</v>
      </c>
      <c r="R2959" s="3" t="s">
        <v>71</v>
      </c>
      <c r="S2959" s="4">
        <v>0</v>
      </c>
      <c r="T2959" s="4">
        <v>17</v>
      </c>
      <c r="V2959" s="5" t="s">
        <v>29322</v>
      </c>
      <c r="W2959" s="5" t="s">
        <v>72</v>
      </c>
      <c r="X2959" s="5" t="s">
        <v>72</v>
      </c>
      <c r="Y2959" s="4">
        <v>72</v>
      </c>
      <c r="Z2959" s="4">
        <v>2</v>
      </c>
      <c r="AA2959" s="4">
        <v>7</v>
      </c>
      <c r="AB2959" s="4">
        <v>1</v>
      </c>
      <c r="AC2959" s="4">
        <v>2</v>
      </c>
      <c r="AD2959" s="4">
        <v>39</v>
      </c>
      <c r="AE2959" s="4">
        <v>45</v>
      </c>
      <c r="AF2959" s="4">
        <v>0</v>
      </c>
      <c r="AG2959" s="4">
        <v>1</v>
      </c>
      <c r="AH2959" s="4">
        <v>38</v>
      </c>
      <c r="AI2959" s="4">
        <v>42</v>
      </c>
      <c r="AJ2959" s="4">
        <v>1</v>
      </c>
      <c r="AK2959" s="4">
        <v>4</v>
      </c>
      <c r="AL2959" s="4">
        <v>22</v>
      </c>
      <c r="AM2959" s="4">
        <v>26</v>
      </c>
      <c r="AN2959" s="4">
        <v>0</v>
      </c>
      <c r="AO2959" s="4">
        <v>0</v>
      </c>
      <c r="AP2959" s="4">
        <v>1</v>
      </c>
      <c r="AQ2959" s="4">
        <v>3</v>
      </c>
      <c r="AR2959" s="3" t="s">
        <v>65</v>
      </c>
      <c r="AS2959" s="3" t="s">
        <v>65</v>
      </c>
      <c r="AT2959" s="3" t="s">
        <v>209</v>
      </c>
      <c r="AU2959" s="6" t="str">
        <f t="shared" si="45"/>
        <v>HathiTrust Record</v>
      </c>
      <c r="AV2959" s="6" t="str">
        <f t="shared" si="46"/>
        <v>Catalog Record</v>
      </c>
      <c r="AW2959" s="6" t="str">
        <f t="shared" si="47"/>
        <v>WorldCat Record</v>
      </c>
      <c r="AX2959" s="3" t="s">
        <v>29323</v>
      </c>
      <c r="AY2959" s="3" t="s">
        <v>29324</v>
      </c>
      <c r="AZ2959" s="3" t="s">
        <v>29325</v>
      </c>
      <c r="BA2959" s="3" t="s">
        <v>29325</v>
      </c>
      <c r="BB2959" s="3" t="s">
        <v>29352</v>
      </c>
      <c r="BC2959" s="3" t="s">
        <v>77</v>
      </c>
      <c r="BD2959" s="3" t="s">
        <v>78</v>
      </c>
      <c r="BF2959" s="3" t="s">
        <v>29352</v>
      </c>
      <c r="BG2959" s="3" t="s">
        <v>29353</v>
      </c>
    </row>
    <row r="2960" spans="1:59" ht="58" x14ac:dyDescent="0.35">
      <c r="A2960" s="2" t="s">
        <v>59</v>
      </c>
      <c r="B2960" s="2" t="s">
        <v>60</v>
      </c>
      <c r="C2960" s="2" t="s">
        <v>29318</v>
      </c>
      <c r="D2960" s="2" t="s">
        <v>29319</v>
      </c>
      <c r="E2960" s="2" t="s">
        <v>29320</v>
      </c>
      <c r="F2960" s="3" t="s">
        <v>258</v>
      </c>
      <c r="G2960" s="3" t="s">
        <v>209</v>
      </c>
      <c r="I2960" s="3" t="s">
        <v>209</v>
      </c>
      <c r="J2960" s="3" t="s">
        <v>65</v>
      </c>
      <c r="K2960" s="3" t="s">
        <v>66</v>
      </c>
      <c r="L2960" s="2" t="s">
        <v>28962</v>
      </c>
      <c r="M2960" s="2" t="s">
        <v>24959</v>
      </c>
      <c r="N2960" s="3" t="s">
        <v>3994</v>
      </c>
      <c r="P2960" s="3" t="s">
        <v>140</v>
      </c>
      <c r="R2960" s="3" t="s">
        <v>71</v>
      </c>
      <c r="S2960" s="4">
        <v>2</v>
      </c>
      <c r="T2960" s="4">
        <v>17</v>
      </c>
      <c r="U2960" s="5" t="s">
        <v>29354</v>
      </c>
      <c r="V2960" s="5" t="s">
        <v>29322</v>
      </c>
      <c r="W2960" s="5" t="s">
        <v>72</v>
      </c>
      <c r="X2960" s="5" t="s">
        <v>72</v>
      </c>
      <c r="Y2960" s="4">
        <v>72</v>
      </c>
      <c r="Z2960" s="4">
        <v>2</v>
      </c>
      <c r="AA2960" s="4">
        <v>7</v>
      </c>
      <c r="AB2960" s="4">
        <v>1</v>
      </c>
      <c r="AC2960" s="4">
        <v>2</v>
      </c>
      <c r="AD2960" s="4">
        <v>39</v>
      </c>
      <c r="AE2960" s="4">
        <v>45</v>
      </c>
      <c r="AF2960" s="4">
        <v>0</v>
      </c>
      <c r="AG2960" s="4">
        <v>1</v>
      </c>
      <c r="AH2960" s="4">
        <v>38</v>
      </c>
      <c r="AI2960" s="4">
        <v>42</v>
      </c>
      <c r="AJ2960" s="4">
        <v>1</v>
      </c>
      <c r="AK2960" s="4">
        <v>4</v>
      </c>
      <c r="AL2960" s="4">
        <v>22</v>
      </c>
      <c r="AM2960" s="4">
        <v>26</v>
      </c>
      <c r="AN2960" s="4">
        <v>0</v>
      </c>
      <c r="AO2960" s="4">
        <v>0</v>
      </c>
      <c r="AP2960" s="4">
        <v>1</v>
      </c>
      <c r="AQ2960" s="4">
        <v>3</v>
      </c>
      <c r="AR2960" s="3" t="s">
        <v>65</v>
      </c>
      <c r="AS2960" s="3" t="s">
        <v>65</v>
      </c>
      <c r="AT2960" s="3" t="s">
        <v>209</v>
      </c>
      <c r="AU2960" s="6" t="str">
        <f t="shared" si="45"/>
        <v>HathiTrust Record</v>
      </c>
      <c r="AV2960" s="6" t="str">
        <f t="shared" si="46"/>
        <v>Catalog Record</v>
      </c>
      <c r="AW2960" s="6" t="str">
        <f t="shared" si="47"/>
        <v>WorldCat Record</v>
      </c>
      <c r="AX2960" s="3" t="s">
        <v>29323</v>
      </c>
      <c r="AY2960" s="3" t="s">
        <v>29324</v>
      </c>
      <c r="AZ2960" s="3" t="s">
        <v>29325</v>
      </c>
      <c r="BA2960" s="3" t="s">
        <v>29325</v>
      </c>
      <c r="BB2960" s="3" t="s">
        <v>29355</v>
      </c>
      <c r="BC2960" s="3" t="s">
        <v>77</v>
      </c>
      <c r="BD2960" s="3" t="s">
        <v>78</v>
      </c>
      <c r="BF2960" s="3" t="s">
        <v>29355</v>
      </c>
      <c r="BG2960" s="3" t="s">
        <v>29356</v>
      </c>
    </row>
    <row r="2961" spans="1:59" ht="58" x14ac:dyDescent="0.35">
      <c r="A2961" s="2" t="s">
        <v>59</v>
      </c>
      <c r="B2961" s="2" t="s">
        <v>60</v>
      </c>
      <c r="C2961" s="2" t="s">
        <v>29318</v>
      </c>
      <c r="D2961" s="2" t="s">
        <v>29319</v>
      </c>
      <c r="E2961" s="2" t="s">
        <v>29320</v>
      </c>
      <c r="F2961" s="3" t="s">
        <v>29357</v>
      </c>
      <c r="G2961" s="3" t="s">
        <v>209</v>
      </c>
      <c r="I2961" s="3" t="s">
        <v>209</v>
      </c>
      <c r="J2961" s="3" t="s">
        <v>65</v>
      </c>
      <c r="K2961" s="3" t="s">
        <v>66</v>
      </c>
      <c r="L2961" s="2" t="s">
        <v>28962</v>
      </c>
      <c r="M2961" s="2" t="s">
        <v>24959</v>
      </c>
      <c r="N2961" s="3" t="s">
        <v>3994</v>
      </c>
      <c r="P2961" s="3" t="s">
        <v>140</v>
      </c>
      <c r="R2961" s="3" t="s">
        <v>71</v>
      </c>
      <c r="S2961" s="4">
        <v>0</v>
      </c>
      <c r="T2961" s="4">
        <v>17</v>
      </c>
      <c r="V2961" s="5" t="s">
        <v>29322</v>
      </c>
      <c r="W2961" s="5" t="s">
        <v>72</v>
      </c>
      <c r="X2961" s="5" t="s">
        <v>72</v>
      </c>
      <c r="Y2961" s="4">
        <v>72</v>
      </c>
      <c r="Z2961" s="4">
        <v>2</v>
      </c>
      <c r="AA2961" s="4">
        <v>7</v>
      </c>
      <c r="AB2961" s="4">
        <v>1</v>
      </c>
      <c r="AC2961" s="4">
        <v>2</v>
      </c>
      <c r="AD2961" s="4">
        <v>39</v>
      </c>
      <c r="AE2961" s="4">
        <v>45</v>
      </c>
      <c r="AF2961" s="4">
        <v>0</v>
      </c>
      <c r="AG2961" s="4">
        <v>1</v>
      </c>
      <c r="AH2961" s="4">
        <v>38</v>
      </c>
      <c r="AI2961" s="4">
        <v>42</v>
      </c>
      <c r="AJ2961" s="4">
        <v>1</v>
      </c>
      <c r="AK2961" s="4">
        <v>4</v>
      </c>
      <c r="AL2961" s="4">
        <v>22</v>
      </c>
      <c r="AM2961" s="4">
        <v>26</v>
      </c>
      <c r="AN2961" s="4">
        <v>0</v>
      </c>
      <c r="AO2961" s="4">
        <v>0</v>
      </c>
      <c r="AP2961" s="4">
        <v>1</v>
      </c>
      <c r="AQ2961" s="4">
        <v>3</v>
      </c>
      <c r="AR2961" s="3" t="s">
        <v>65</v>
      </c>
      <c r="AS2961" s="3" t="s">
        <v>65</v>
      </c>
      <c r="AT2961" s="3" t="s">
        <v>209</v>
      </c>
      <c r="AU2961" s="6" t="str">
        <f t="shared" si="45"/>
        <v>HathiTrust Record</v>
      </c>
      <c r="AV2961" s="6" t="str">
        <f t="shared" si="46"/>
        <v>Catalog Record</v>
      </c>
      <c r="AW2961" s="6" t="str">
        <f t="shared" si="47"/>
        <v>WorldCat Record</v>
      </c>
      <c r="AX2961" s="3" t="s">
        <v>29323</v>
      </c>
      <c r="AY2961" s="3" t="s">
        <v>29324</v>
      </c>
      <c r="AZ2961" s="3" t="s">
        <v>29325</v>
      </c>
      <c r="BA2961" s="3" t="s">
        <v>29325</v>
      </c>
      <c r="BB2961" s="3" t="s">
        <v>29358</v>
      </c>
      <c r="BC2961" s="3" t="s">
        <v>77</v>
      </c>
      <c r="BD2961" s="3" t="s">
        <v>78</v>
      </c>
      <c r="BF2961" s="3" t="s">
        <v>29358</v>
      </c>
      <c r="BG2961" s="3" t="s">
        <v>29359</v>
      </c>
    </row>
    <row r="2962" spans="1:59" ht="58" x14ac:dyDescent="0.35">
      <c r="A2962" s="2" t="s">
        <v>59</v>
      </c>
      <c r="B2962" s="2" t="s">
        <v>60</v>
      </c>
      <c r="C2962" s="2" t="s">
        <v>29318</v>
      </c>
      <c r="D2962" s="2" t="s">
        <v>29319</v>
      </c>
      <c r="E2962" s="2" t="s">
        <v>29320</v>
      </c>
      <c r="F2962" s="3" t="s">
        <v>1043</v>
      </c>
      <c r="G2962" s="3" t="s">
        <v>209</v>
      </c>
      <c r="I2962" s="3" t="s">
        <v>209</v>
      </c>
      <c r="J2962" s="3" t="s">
        <v>65</v>
      </c>
      <c r="K2962" s="3" t="s">
        <v>66</v>
      </c>
      <c r="L2962" s="2" t="s">
        <v>28962</v>
      </c>
      <c r="M2962" s="2" t="s">
        <v>24959</v>
      </c>
      <c r="N2962" s="3" t="s">
        <v>3994</v>
      </c>
      <c r="P2962" s="3" t="s">
        <v>140</v>
      </c>
      <c r="R2962" s="3" t="s">
        <v>71</v>
      </c>
      <c r="S2962" s="4">
        <v>3</v>
      </c>
      <c r="T2962" s="4">
        <v>17</v>
      </c>
      <c r="U2962" s="5" t="s">
        <v>29322</v>
      </c>
      <c r="V2962" s="5" t="s">
        <v>29322</v>
      </c>
      <c r="W2962" s="5" t="s">
        <v>72</v>
      </c>
      <c r="X2962" s="5" t="s">
        <v>72</v>
      </c>
      <c r="Y2962" s="4">
        <v>72</v>
      </c>
      <c r="Z2962" s="4">
        <v>2</v>
      </c>
      <c r="AA2962" s="4">
        <v>7</v>
      </c>
      <c r="AB2962" s="4">
        <v>1</v>
      </c>
      <c r="AC2962" s="4">
        <v>2</v>
      </c>
      <c r="AD2962" s="4">
        <v>39</v>
      </c>
      <c r="AE2962" s="4">
        <v>45</v>
      </c>
      <c r="AF2962" s="4">
        <v>0</v>
      </c>
      <c r="AG2962" s="4">
        <v>1</v>
      </c>
      <c r="AH2962" s="4">
        <v>38</v>
      </c>
      <c r="AI2962" s="4">
        <v>42</v>
      </c>
      <c r="AJ2962" s="4">
        <v>1</v>
      </c>
      <c r="AK2962" s="4">
        <v>4</v>
      </c>
      <c r="AL2962" s="4">
        <v>22</v>
      </c>
      <c r="AM2962" s="4">
        <v>26</v>
      </c>
      <c r="AN2962" s="4">
        <v>0</v>
      </c>
      <c r="AO2962" s="4">
        <v>0</v>
      </c>
      <c r="AP2962" s="4">
        <v>1</v>
      </c>
      <c r="AQ2962" s="4">
        <v>3</v>
      </c>
      <c r="AR2962" s="3" t="s">
        <v>65</v>
      </c>
      <c r="AS2962" s="3" t="s">
        <v>65</v>
      </c>
      <c r="AT2962" s="3" t="s">
        <v>209</v>
      </c>
      <c r="AU2962" s="6" t="str">
        <f t="shared" si="45"/>
        <v>HathiTrust Record</v>
      </c>
      <c r="AV2962" s="6" t="str">
        <f t="shared" si="46"/>
        <v>Catalog Record</v>
      </c>
      <c r="AW2962" s="6" t="str">
        <f t="shared" si="47"/>
        <v>WorldCat Record</v>
      </c>
      <c r="AX2962" s="3" t="s">
        <v>29323</v>
      </c>
      <c r="AY2962" s="3" t="s">
        <v>29324</v>
      </c>
      <c r="AZ2962" s="3" t="s">
        <v>29325</v>
      </c>
      <c r="BA2962" s="3" t="s">
        <v>29325</v>
      </c>
      <c r="BB2962" s="3" t="s">
        <v>29360</v>
      </c>
      <c r="BC2962" s="3" t="s">
        <v>77</v>
      </c>
      <c r="BD2962" s="3" t="s">
        <v>78</v>
      </c>
      <c r="BF2962" s="3" t="s">
        <v>29360</v>
      </c>
      <c r="BG2962" s="3" t="s">
        <v>29361</v>
      </c>
    </row>
    <row r="2963" spans="1:59" ht="58" x14ac:dyDescent="0.35">
      <c r="A2963" s="2" t="s">
        <v>59</v>
      </c>
      <c r="B2963" s="2" t="s">
        <v>60</v>
      </c>
      <c r="C2963" s="2" t="s">
        <v>29318</v>
      </c>
      <c r="D2963" s="2" t="s">
        <v>29319</v>
      </c>
      <c r="E2963" s="2" t="s">
        <v>29320</v>
      </c>
      <c r="F2963" s="3" t="s">
        <v>1061</v>
      </c>
      <c r="G2963" s="3" t="s">
        <v>209</v>
      </c>
      <c r="I2963" s="3" t="s">
        <v>209</v>
      </c>
      <c r="J2963" s="3" t="s">
        <v>65</v>
      </c>
      <c r="K2963" s="3" t="s">
        <v>66</v>
      </c>
      <c r="L2963" s="2" t="s">
        <v>28962</v>
      </c>
      <c r="M2963" s="2" t="s">
        <v>24959</v>
      </c>
      <c r="N2963" s="3" t="s">
        <v>3994</v>
      </c>
      <c r="P2963" s="3" t="s">
        <v>140</v>
      </c>
      <c r="R2963" s="3" t="s">
        <v>71</v>
      </c>
      <c r="S2963" s="4">
        <v>0</v>
      </c>
      <c r="T2963" s="4">
        <v>17</v>
      </c>
      <c r="V2963" s="5" t="s">
        <v>29322</v>
      </c>
      <c r="W2963" s="5" t="s">
        <v>72</v>
      </c>
      <c r="X2963" s="5" t="s">
        <v>72</v>
      </c>
      <c r="Y2963" s="4">
        <v>72</v>
      </c>
      <c r="Z2963" s="4">
        <v>2</v>
      </c>
      <c r="AA2963" s="4">
        <v>7</v>
      </c>
      <c r="AB2963" s="4">
        <v>1</v>
      </c>
      <c r="AC2963" s="4">
        <v>2</v>
      </c>
      <c r="AD2963" s="4">
        <v>39</v>
      </c>
      <c r="AE2963" s="4">
        <v>45</v>
      </c>
      <c r="AF2963" s="4">
        <v>0</v>
      </c>
      <c r="AG2963" s="4">
        <v>1</v>
      </c>
      <c r="AH2963" s="4">
        <v>38</v>
      </c>
      <c r="AI2963" s="4">
        <v>42</v>
      </c>
      <c r="AJ2963" s="4">
        <v>1</v>
      </c>
      <c r="AK2963" s="4">
        <v>4</v>
      </c>
      <c r="AL2963" s="4">
        <v>22</v>
      </c>
      <c r="AM2963" s="4">
        <v>26</v>
      </c>
      <c r="AN2963" s="4">
        <v>0</v>
      </c>
      <c r="AO2963" s="4">
        <v>0</v>
      </c>
      <c r="AP2963" s="4">
        <v>1</v>
      </c>
      <c r="AQ2963" s="4">
        <v>3</v>
      </c>
      <c r="AR2963" s="3" t="s">
        <v>65</v>
      </c>
      <c r="AS2963" s="3" t="s">
        <v>65</v>
      </c>
      <c r="AT2963" s="3" t="s">
        <v>209</v>
      </c>
      <c r="AU2963" s="6" t="str">
        <f t="shared" si="45"/>
        <v>HathiTrust Record</v>
      </c>
      <c r="AV2963" s="6" t="str">
        <f t="shared" si="46"/>
        <v>Catalog Record</v>
      </c>
      <c r="AW2963" s="6" t="str">
        <f t="shared" si="47"/>
        <v>WorldCat Record</v>
      </c>
      <c r="AX2963" s="3" t="s">
        <v>29323</v>
      </c>
      <c r="AY2963" s="3" t="s">
        <v>29324</v>
      </c>
      <c r="AZ2963" s="3" t="s">
        <v>29325</v>
      </c>
      <c r="BA2963" s="3" t="s">
        <v>29325</v>
      </c>
      <c r="BB2963" s="3" t="s">
        <v>29362</v>
      </c>
      <c r="BC2963" s="3" t="s">
        <v>77</v>
      </c>
      <c r="BD2963" s="3" t="s">
        <v>78</v>
      </c>
      <c r="BF2963" s="3" t="s">
        <v>29362</v>
      </c>
      <c r="BG2963" s="3" t="s">
        <v>29363</v>
      </c>
    </row>
    <row r="2964" spans="1:59" ht="58" x14ac:dyDescent="0.35">
      <c r="A2964" s="2" t="s">
        <v>59</v>
      </c>
      <c r="B2964" s="2" t="s">
        <v>60</v>
      </c>
      <c r="C2964" s="2" t="s">
        <v>29318</v>
      </c>
      <c r="D2964" s="2" t="s">
        <v>29319</v>
      </c>
      <c r="E2964" s="2" t="s">
        <v>29320</v>
      </c>
      <c r="F2964" s="3" t="s">
        <v>29364</v>
      </c>
      <c r="G2964" s="3" t="s">
        <v>209</v>
      </c>
      <c r="I2964" s="3" t="s">
        <v>209</v>
      </c>
      <c r="J2964" s="3" t="s">
        <v>65</v>
      </c>
      <c r="K2964" s="3" t="s">
        <v>66</v>
      </c>
      <c r="L2964" s="2" t="s">
        <v>28962</v>
      </c>
      <c r="M2964" s="2" t="s">
        <v>24959</v>
      </c>
      <c r="N2964" s="3" t="s">
        <v>3994</v>
      </c>
      <c r="P2964" s="3" t="s">
        <v>140</v>
      </c>
      <c r="R2964" s="3" t="s">
        <v>71</v>
      </c>
      <c r="S2964" s="4">
        <v>0</v>
      </c>
      <c r="T2964" s="4">
        <v>17</v>
      </c>
      <c r="V2964" s="5" t="s">
        <v>29322</v>
      </c>
      <c r="W2964" s="5" t="s">
        <v>72</v>
      </c>
      <c r="X2964" s="5" t="s">
        <v>72</v>
      </c>
      <c r="Y2964" s="4">
        <v>72</v>
      </c>
      <c r="Z2964" s="4">
        <v>2</v>
      </c>
      <c r="AA2964" s="4">
        <v>7</v>
      </c>
      <c r="AB2964" s="4">
        <v>1</v>
      </c>
      <c r="AC2964" s="4">
        <v>2</v>
      </c>
      <c r="AD2964" s="4">
        <v>39</v>
      </c>
      <c r="AE2964" s="4">
        <v>45</v>
      </c>
      <c r="AF2964" s="4">
        <v>0</v>
      </c>
      <c r="AG2964" s="4">
        <v>1</v>
      </c>
      <c r="AH2964" s="4">
        <v>38</v>
      </c>
      <c r="AI2964" s="4">
        <v>42</v>
      </c>
      <c r="AJ2964" s="4">
        <v>1</v>
      </c>
      <c r="AK2964" s="4">
        <v>4</v>
      </c>
      <c r="AL2964" s="4">
        <v>22</v>
      </c>
      <c r="AM2964" s="4">
        <v>26</v>
      </c>
      <c r="AN2964" s="4">
        <v>0</v>
      </c>
      <c r="AO2964" s="4">
        <v>0</v>
      </c>
      <c r="AP2964" s="4">
        <v>1</v>
      </c>
      <c r="AQ2964" s="4">
        <v>3</v>
      </c>
      <c r="AR2964" s="3" t="s">
        <v>65</v>
      </c>
      <c r="AS2964" s="3" t="s">
        <v>65</v>
      </c>
      <c r="AT2964" s="3" t="s">
        <v>209</v>
      </c>
      <c r="AU2964" s="6" t="str">
        <f t="shared" si="45"/>
        <v>HathiTrust Record</v>
      </c>
      <c r="AV2964" s="6" t="str">
        <f t="shared" si="46"/>
        <v>Catalog Record</v>
      </c>
      <c r="AW2964" s="6" t="str">
        <f t="shared" si="47"/>
        <v>WorldCat Record</v>
      </c>
      <c r="AX2964" s="3" t="s">
        <v>29323</v>
      </c>
      <c r="AY2964" s="3" t="s">
        <v>29324</v>
      </c>
      <c r="AZ2964" s="3" t="s">
        <v>29325</v>
      </c>
      <c r="BA2964" s="3" t="s">
        <v>29325</v>
      </c>
      <c r="BB2964" s="3" t="s">
        <v>29365</v>
      </c>
      <c r="BC2964" s="3" t="s">
        <v>77</v>
      </c>
      <c r="BD2964" s="3" t="s">
        <v>78</v>
      </c>
      <c r="BF2964" s="3" t="s">
        <v>29365</v>
      </c>
      <c r="BG2964" s="3" t="s">
        <v>29366</v>
      </c>
    </row>
    <row r="2965" spans="1:59" ht="58" x14ac:dyDescent="0.35">
      <c r="A2965" s="2" t="s">
        <v>59</v>
      </c>
      <c r="B2965" s="2" t="s">
        <v>60</v>
      </c>
      <c r="C2965" s="2" t="s">
        <v>29318</v>
      </c>
      <c r="D2965" s="2" t="s">
        <v>29319</v>
      </c>
      <c r="E2965" s="2" t="s">
        <v>29320</v>
      </c>
      <c r="F2965" s="3" t="s">
        <v>29367</v>
      </c>
      <c r="G2965" s="3" t="s">
        <v>209</v>
      </c>
      <c r="I2965" s="3" t="s">
        <v>209</v>
      </c>
      <c r="J2965" s="3" t="s">
        <v>65</v>
      </c>
      <c r="K2965" s="3" t="s">
        <v>66</v>
      </c>
      <c r="L2965" s="2" t="s">
        <v>28962</v>
      </c>
      <c r="M2965" s="2" t="s">
        <v>24959</v>
      </c>
      <c r="N2965" s="3" t="s">
        <v>3994</v>
      </c>
      <c r="P2965" s="3" t="s">
        <v>140</v>
      </c>
      <c r="R2965" s="3" t="s">
        <v>71</v>
      </c>
      <c r="S2965" s="4">
        <v>2</v>
      </c>
      <c r="T2965" s="4">
        <v>17</v>
      </c>
      <c r="U2965" s="5" t="s">
        <v>29348</v>
      </c>
      <c r="V2965" s="5" t="s">
        <v>29322</v>
      </c>
      <c r="W2965" s="5" t="s">
        <v>72</v>
      </c>
      <c r="X2965" s="5" t="s">
        <v>72</v>
      </c>
      <c r="Y2965" s="4">
        <v>72</v>
      </c>
      <c r="Z2965" s="4">
        <v>2</v>
      </c>
      <c r="AA2965" s="4">
        <v>7</v>
      </c>
      <c r="AB2965" s="4">
        <v>1</v>
      </c>
      <c r="AC2965" s="4">
        <v>2</v>
      </c>
      <c r="AD2965" s="4">
        <v>39</v>
      </c>
      <c r="AE2965" s="4">
        <v>45</v>
      </c>
      <c r="AF2965" s="4">
        <v>0</v>
      </c>
      <c r="AG2965" s="4">
        <v>1</v>
      </c>
      <c r="AH2965" s="4">
        <v>38</v>
      </c>
      <c r="AI2965" s="4">
        <v>42</v>
      </c>
      <c r="AJ2965" s="4">
        <v>1</v>
      </c>
      <c r="AK2965" s="4">
        <v>4</v>
      </c>
      <c r="AL2965" s="4">
        <v>22</v>
      </c>
      <c r="AM2965" s="4">
        <v>26</v>
      </c>
      <c r="AN2965" s="4">
        <v>0</v>
      </c>
      <c r="AO2965" s="4">
        <v>0</v>
      </c>
      <c r="AP2965" s="4">
        <v>1</v>
      </c>
      <c r="AQ2965" s="4">
        <v>3</v>
      </c>
      <c r="AR2965" s="3" t="s">
        <v>65</v>
      </c>
      <c r="AS2965" s="3" t="s">
        <v>65</v>
      </c>
      <c r="AT2965" s="3" t="s">
        <v>209</v>
      </c>
      <c r="AU2965" s="6" t="str">
        <f t="shared" si="45"/>
        <v>HathiTrust Record</v>
      </c>
      <c r="AV2965" s="6" t="str">
        <f t="shared" si="46"/>
        <v>Catalog Record</v>
      </c>
      <c r="AW2965" s="6" t="str">
        <f t="shared" si="47"/>
        <v>WorldCat Record</v>
      </c>
      <c r="AX2965" s="3" t="s">
        <v>29323</v>
      </c>
      <c r="AY2965" s="3" t="s">
        <v>29324</v>
      </c>
      <c r="AZ2965" s="3" t="s">
        <v>29325</v>
      </c>
      <c r="BA2965" s="3" t="s">
        <v>29325</v>
      </c>
      <c r="BB2965" s="3" t="s">
        <v>29368</v>
      </c>
      <c r="BC2965" s="3" t="s">
        <v>77</v>
      </c>
      <c r="BD2965" s="3" t="s">
        <v>78</v>
      </c>
      <c r="BF2965" s="3" t="s">
        <v>29368</v>
      </c>
      <c r="BG2965" s="3" t="s">
        <v>29369</v>
      </c>
    </row>
    <row r="2966" spans="1:59" ht="58" x14ac:dyDescent="0.35">
      <c r="A2966" s="2" t="s">
        <v>59</v>
      </c>
      <c r="B2966" s="2" t="s">
        <v>60</v>
      </c>
      <c r="C2966" s="2" t="s">
        <v>29370</v>
      </c>
      <c r="D2966" s="2" t="s">
        <v>29371</v>
      </c>
      <c r="E2966" s="2" t="s">
        <v>29372</v>
      </c>
      <c r="G2966" s="3" t="s">
        <v>65</v>
      </c>
      <c r="I2966" s="3" t="s">
        <v>65</v>
      </c>
      <c r="J2966" s="3" t="s">
        <v>65</v>
      </c>
      <c r="K2966" s="3" t="s">
        <v>66</v>
      </c>
      <c r="L2966" s="2" t="s">
        <v>29373</v>
      </c>
      <c r="M2966" s="2" t="s">
        <v>29374</v>
      </c>
      <c r="N2966" s="3" t="s">
        <v>113</v>
      </c>
      <c r="P2966" s="3" t="s">
        <v>140</v>
      </c>
      <c r="Q2966" s="2" t="s">
        <v>29375</v>
      </c>
      <c r="R2966" s="3" t="s">
        <v>71</v>
      </c>
      <c r="S2966" s="4">
        <v>0</v>
      </c>
      <c r="T2966" s="4">
        <v>0</v>
      </c>
      <c r="W2966" s="5" t="s">
        <v>72</v>
      </c>
      <c r="X2966" s="5" t="s">
        <v>72</v>
      </c>
      <c r="Y2966" s="4">
        <v>31</v>
      </c>
      <c r="Z2966" s="4">
        <v>3</v>
      </c>
      <c r="AA2966" s="4">
        <v>3</v>
      </c>
      <c r="AB2966" s="4">
        <v>1</v>
      </c>
      <c r="AC2966" s="4">
        <v>1</v>
      </c>
      <c r="AD2966" s="4">
        <v>22</v>
      </c>
      <c r="AE2966" s="4">
        <v>24</v>
      </c>
      <c r="AF2966" s="4">
        <v>0</v>
      </c>
      <c r="AG2966" s="4">
        <v>0</v>
      </c>
      <c r="AH2966" s="4">
        <v>21</v>
      </c>
      <c r="AI2966" s="4">
        <v>23</v>
      </c>
      <c r="AJ2966" s="4">
        <v>1</v>
      </c>
      <c r="AK2966" s="4">
        <v>1</v>
      </c>
      <c r="AL2966" s="4">
        <v>18</v>
      </c>
      <c r="AM2966" s="4">
        <v>20</v>
      </c>
      <c r="AN2966" s="4">
        <v>0</v>
      </c>
      <c r="AO2966" s="4">
        <v>0</v>
      </c>
      <c r="AP2966" s="4">
        <v>1</v>
      </c>
      <c r="AQ2966" s="4">
        <v>1</v>
      </c>
      <c r="AR2966" s="3" t="s">
        <v>65</v>
      </c>
      <c r="AS2966" s="3" t="s">
        <v>65</v>
      </c>
      <c r="AT2966" s="3" t="s">
        <v>65</v>
      </c>
      <c r="AV2966" s="6" t="str">
        <f>HYPERLINK("http://mcgill.on.worldcat.org/oclc/677917479","Catalog Record")</f>
        <v>Catalog Record</v>
      </c>
      <c r="AW2966" s="6" t="str">
        <f>HYPERLINK("http://www.worldcat.org/oclc/677917479","WorldCat Record")</f>
        <v>WorldCat Record</v>
      </c>
      <c r="AX2966" s="3" t="s">
        <v>29376</v>
      </c>
      <c r="AY2966" s="3" t="s">
        <v>29377</v>
      </c>
      <c r="AZ2966" s="3" t="s">
        <v>29378</v>
      </c>
      <c r="BA2966" s="3" t="s">
        <v>29378</v>
      </c>
      <c r="BB2966" s="3" t="s">
        <v>29379</v>
      </c>
      <c r="BC2966" s="3" t="s">
        <v>77</v>
      </c>
      <c r="BD2966" s="3" t="s">
        <v>78</v>
      </c>
      <c r="BE2966" s="3" t="s">
        <v>29380</v>
      </c>
      <c r="BF2966" s="3" t="s">
        <v>29379</v>
      </c>
      <c r="BG2966" s="3" t="s">
        <v>29381</v>
      </c>
    </row>
    <row r="2967" spans="1:59" ht="58" x14ac:dyDescent="0.35">
      <c r="A2967" s="2" t="s">
        <v>59</v>
      </c>
      <c r="B2967" s="2" t="s">
        <v>60</v>
      </c>
      <c r="C2967" s="2" t="s">
        <v>29382</v>
      </c>
      <c r="D2967" s="2" t="s">
        <v>29383</v>
      </c>
      <c r="E2967" s="2" t="s">
        <v>29384</v>
      </c>
      <c r="G2967" s="3" t="s">
        <v>65</v>
      </c>
      <c r="I2967" s="3" t="s">
        <v>65</v>
      </c>
      <c r="J2967" s="3" t="s">
        <v>65</v>
      </c>
      <c r="K2967" s="3" t="s">
        <v>66</v>
      </c>
      <c r="M2967" s="2" t="s">
        <v>29385</v>
      </c>
      <c r="N2967" s="3" t="s">
        <v>139</v>
      </c>
      <c r="P2967" s="3" t="s">
        <v>140</v>
      </c>
      <c r="Q2967" s="2" t="s">
        <v>29386</v>
      </c>
      <c r="R2967" s="3" t="s">
        <v>71</v>
      </c>
      <c r="S2967" s="4">
        <v>0</v>
      </c>
      <c r="T2967" s="4">
        <v>0</v>
      </c>
      <c r="W2967" s="5" t="s">
        <v>72</v>
      </c>
      <c r="X2967" s="5" t="s">
        <v>72</v>
      </c>
      <c r="Y2967" s="4">
        <v>25</v>
      </c>
      <c r="Z2967" s="4">
        <v>3</v>
      </c>
      <c r="AA2967" s="4">
        <v>3</v>
      </c>
      <c r="AB2967" s="4">
        <v>1</v>
      </c>
      <c r="AC2967" s="4">
        <v>1</v>
      </c>
      <c r="AD2967" s="4">
        <v>16</v>
      </c>
      <c r="AE2967" s="4">
        <v>16</v>
      </c>
      <c r="AF2967" s="4">
        <v>0</v>
      </c>
      <c r="AG2967" s="4">
        <v>0</v>
      </c>
      <c r="AH2967" s="4">
        <v>15</v>
      </c>
      <c r="AI2967" s="4">
        <v>15</v>
      </c>
      <c r="AJ2967" s="4">
        <v>1</v>
      </c>
      <c r="AK2967" s="4">
        <v>1</v>
      </c>
      <c r="AL2967" s="4">
        <v>12</v>
      </c>
      <c r="AM2967" s="4">
        <v>12</v>
      </c>
      <c r="AN2967" s="4">
        <v>0</v>
      </c>
      <c r="AO2967" s="4">
        <v>0</v>
      </c>
      <c r="AP2967" s="4">
        <v>1</v>
      </c>
      <c r="AQ2967" s="4">
        <v>1</v>
      </c>
      <c r="AR2967" s="3" t="s">
        <v>65</v>
      </c>
      <c r="AS2967" s="3" t="s">
        <v>65</v>
      </c>
      <c r="AT2967" s="3" t="s">
        <v>65</v>
      </c>
      <c r="AV2967" s="6" t="str">
        <f>HYPERLINK("http://mcgill.on.worldcat.org/oclc/811003868","Catalog Record")</f>
        <v>Catalog Record</v>
      </c>
      <c r="AW2967" s="6" t="str">
        <f>HYPERLINK("http://www.worldcat.org/oclc/811003868","WorldCat Record")</f>
        <v>WorldCat Record</v>
      </c>
      <c r="AX2967" s="3" t="s">
        <v>29387</v>
      </c>
      <c r="AY2967" s="3" t="s">
        <v>29388</v>
      </c>
      <c r="AZ2967" s="3" t="s">
        <v>29389</v>
      </c>
      <c r="BA2967" s="3" t="s">
        <v>29389</v>
      </c>
      <c r="BB2967" s="3" t="s">
        <v>29390</v>
      </c>
      <c r="BC2967" s="3" t="s">
        <v>77</v>
      </c>
      <c r="BD2967" s="3" t="s">
        <v>78</v>
      </c>
      <c r="BE2967" s="3" t="s">
        <v>29391</v>
      </c>
      <c r="BF2967" s="3" t="s">
        <v>29390</v>
      </c>
      <c r="BG2967" s="3" t="s">
        <v>29392</v>
      </c>
    </row>
    <row r="2968" spans="1:59" ht="58" x14ac:dyDescent="0.35">
      <c r="A2968" s="2" t="s">
        <v>59</v>
      </c>
      <c r="B2968" s="2" t="s">
        <v>60</v>
      </c>
      <c r="C2968" s="2" t="s">
        <v>29393</v>
      </c>
      <c r="D2968" s="2" t="s">
        <v>29394</v>
      </c>
      <c r="E2968" s="2" t="s">
        <v>29395</v>
      </c>
      <c r="G2968" s="3" t="s">
        <v>65</v>
      </c>
      <c r="I2968" s="3" t="s">
        <v>65</v>
      </c>
      <c r="J2968" s="3" t="s">
        <v>65</v>
      </c>
      <c r="K2968" s="3" t="s">
        <v>66</v>
      </c>
      <c r="L2968" s="2" t="s">
        <v>29396</v>
      </c>
      <c r="M2968" s="2" t="s">
        <v>29397</v>
      </c>
      <c r="N2968" s="3" t="s">
        <v>552</v>
      </c>
      <c r="O2968" s="2" t="s">
        <v>29398</v>
      </c>
      <c r="P2968" s="3" t="s">
        <v>140</v>
      </c>
      <c r="Q2968" s="2" t="s">
        <v>29399</v>
      </c>
      <c r="R2968" s="3" t="s">
        <v>71</v>
      </c>
      <c r="S2968" s="4">
        <v>6</v>
      </c>
      <c r="T2968" s="4">
        <v>6</v>
      </c>
      <c r="U2968" s="5" t="s">
        <v>29400</v>
      </c>
      <c r="V2968" s="5" t="s">
        <v>29400</v>
      </c>
      <c r="W2968" s="5" t="s">
        <v>72</v>
      </c>
      <c r="X2968" s="5" t="s">
        <v>72</v>
      </c>
      <c r="Y2968" s="4">
        <v>22</v>
      </c>
      <c r="Z2968" s="4">
        <v>1</v>
      </c>
      <c r="AA2968" s="4">
        <v>8</v>
      </c>
      <c r="AB2968" s="4">
        <v>1</v>
      </c>
      <c r="AC2968" s="4">
        <v>1</v>
      </c>
      <c r="AD2968" s="4">
        <v>9</v>
      </c>
      <c r="AE2968" s="4">
        <v>45</v>
      </c>
      <c r="AF2968" s="4">
        <v>0</v>
      </c>
      <c r="AG2968" s="4">
        <v>0</v>
      </c>
      <c r="AH2968" s="4">
        <v>9</v>
      </c>
      <c r="AI2968" s="4">
        <v>42</v>
      </c>
      <c r="AJ2968" s="4">
        <v>0</v>
      </c>
      <c r="AK2968" s="4">
        <v>3</v>
      </c>
      <c r="AL2968" s="4">
        <v>8</v>
      </c>
      <c r="AM2968" s="4">
        <v>31</v>
      </c>
      <c r="AN2968" s="4">
        <v>0</v>
      </c>
      <c r="AO2968" s="4">
        <v>0</v>
      </c>
      <c r="AP2968" s="4">
        <v>0</v>
      </c>
      <c r="AQ2968" s="4">
        <v>4</v>
      </c>
      <c r="AR2968" s="3" t="s">
        <v>65</v>
      </c>
      <c r="AS2968" s="3" t="s">
        <v>65</v>
      </c>
      <c r="AT2968" s="3" t="s">
        <v>209</v>
      </c>
      <c r="AU2968" s="6" t="str">
        <f>HYPERLINK("http://catalog.hathitrust.org/Record/102444849","HathiTrust Record")</f>
        <v>HathiTrust Record</v>
      </c>
      <c r="AV2968" s="6" t="str">
        <f>HYPERLINK("http://mcgill.on.worldcat.org/oclc/39797587","Catalog Record")</f>
        <v>Catalog Record</v>
      </c>
      <c r="AW2968" s="6" t="str">
        <f>HYPERLINK("http://www.worldcat.org/oclc/39797587","WorldCat Record")</f>
        <v>WorldCat Record</v>
      </c>
      <c r="AX2968" s="3" t="s">
        <v>29401</v>
      </c>
      <c r="AY2968" s="3" t="s">
        <v>29402</v>
      </c>
      <c r="AZ2968" s="3" t="s">
        <v>29403</v>
      </c>
      <c r="BA2968" s="3" t="s">
        <v>29403</v>
      </c>
      <c r="BB2968" s="3" t="s">
        <v>29404</v>
      </c>
      <c r="BC2968" s="3" t="s">
        <v>77</v>
      </c>
      <c r="BD2968" s="3" t="s">
        <v>78</v>
      </c>
      <c r="BE2968" s="3" t="s">
        <v>29405</v>
      </c>
      <c r="BF2968" s="3" t="s">
        <v>29404</v>
      </c>
      <c r="BG2968" s="3" t="s">
        <v>29406</v>
      </c>
    </row>
    <row r="2969" spans="1:59" ht="58" x14ac:dyDescent="0.35">
      <c r="A2969" s="2" t="s">
        <v>59</v>
      </c>
      <c r="B2969" s="2" t="s">
        <v>60</v>
      </c>
      <c r="C2969" s="2" t="s">
        <v>29407</v>
      </c>
      <c r="D2969" s="2" t="s">
        <v>29408</v>
      </c>
      <c r="E2969" s="2" t="s">
        <v>29409</v>
      </c>
      <c r="G2969" s="3" t="s">
        <v>65</v>
      </c>
      <c r="I2969" s="3" t="s">
        <v>65</v>
      </c>
      <c r="J2969" s="3" t="s">
        <v>65</v>
      </c>
      <c r="K2969" s="3" t="s">
        <v>66</v>
      </c>
      <c r="L2969" s="2" t="s">
        <v>29410</v>
      </c>
      <c r="M2969" s="2" t="s">
        <v>21868</v>
      </c>
      <c r="N2969" s="3" t="s">
        <v>113</v>
      </c>
      <c r="P2969" s="3" t="s">
        <v>140</v>
      </c>
      <c r="Q2969" s="2" t="s">
        <v>29411</v>
      </c>
      <c r="R2969" s="3" t="s">
        <v>71</v>
      </c>
      <c r="S2969" s="4">
        <v>0</v>
      </c>
      <c r="T2969" s="4">
        <v>0</v>
      </c>
      <c r="W2969" s="5" t="s">
        <v>72</v>
      </c>
      <c r="X2969" s="5" t="s">
        <v>72</v>
      </c>
      <c r="Y2969" s="4">
        <v>19</v>
      </c>
      <c r="Z2969" s="4">
        <v>1</v>
      </c>
      <c r="AA2969" s="4">
        <v>1</v>
      </c>
      <c r="AB2969" s="4">
        <v>1</v>
      </c>
      <c r="AC2969" s="4">
        <v>1</v>
      </c>
      <c r="AD2969" s="4">
        <v>13</v>
      </c>
      <c r="AE2969" s="4">
        <v>13</v>
      </c>
      <c r="AF2969" s="4">
        <v>0</v>
      </c>
      <c r="AG2969" s="4">
        <v>0</v>
      </c>
      <c r="AH2969" s="4">
        <v>12</v>
      </c>
      <c r="AI2969" s="4">
        <v>12</v>
      </c>
      <c r="AJ2969" s="4">
        <v>0</v>
      </c>
      <c r="AK2969" s="4">
        <v>0</v>
      </c>
      <c r="AL2969" s="4">
        <v>10</v>
      </c>
      <c r="AM2969" s="4">
        <v>10</v>
      </c>
      <c r="AN2969" s="4">
        <v>0</v>
      </c>
      <c r="AO2969" s="4">
        <v>0</v>
      </c>
      <c r="AP2969" s="4">
        <v>0</v>
      </c>
      <c r="AQ2969" s="4">
        <v>0</v>
      </c>
      <c r="AR2969" s="3" t="s">
        <v>65</v>
      </c>
      <c r="AS2969" s="3" t="s">
        <v>65</v>
      </c>
      <c r="AT2969" s="3" t="s">
        <v>65</v>
      </c>
      <c r="AV2969" s="6" t="str">
        <f>HYPERLINK("http://mcgill.on.worldcat.org/oclc/642809369","Catalog Record")</f>
        <v>Catalog Record</v>
      </c>
      <c r="AW2969" s="6" t="str">
        <f>HYPERLINK("http://www.worldcat.org/oclc/642809369","WorldCat Record")</f>
        <v>WorldCat Record</v>
      </c>
      <c r="AX2969" s="3" t="s">
        <v>29412</v>
      </c>
      <c r="AY2969" s="3" t="s">
        <v>29413</v>
      </c>
      <c r="AZ2969" s="3" t="s">
        <v>29414</v>
      </c>
      <c r="BA2969" s="3" t="s">
        <v>29414</v>
      </c>
      <c r="BB2969" s="3" t="s">
        <v>29415</v>
      </c>
      <c r="BC2969" s="3" t="s">
        <v>77</v>
      </c>
      <c r="BD2969" s="3" t="s">
        <v>78</v>
      </c>
      <c r="BE2969" s="3" t="s">
        <v>29416</v>
      </c>
      <c r="BF2969" s="3" t="s">
        <v>29415</v>
      </c>
      <c r="BG2969" s="3" t="s">
        <v>29417</v>
      </c>
    </row>
    <row r="2970" spans="1:59" ht="58" x14ac:dyDescent="0.35">
      <c r="A2970" s="2" t="s">
        <v>59</v>
      </c>
      <c r="B2970" s="2" t="s">
        <v>60</v>
      </c>
      <c r="C2970" s="2" t="s">
        <v>29418</v>
      </c>
      <c r="D2970" s="2" t="s">
        <v>29419</v>
      </c>
      <c r="E2970" s="2" t="s">
        <v>29420</v>
      </c>
      <c r="G2970" s="3" t="s">
        <v>65</v>
      </c>
      <c r="I2970" s="3" t="s">
        <v>65</v>
      </c>
      <c r="J2970" s="3" t="s">
        <v>65</v>
      </c>
      <c r="K2970" s="3" t="s">
        <v>66</v>
      </c>
      <c r="L2970" s="2" t="s">
        <v>1244</v>
      </c>
      <c r="M2970" s="2" t="s">
        <v>24214</v>
      </c>
      <c r="N2970" s="3" t="s">
        <v>113</v>
      </c>
      <c r="O2970" s="2" t="s">
        <v>365</v>
      </c>
      <c r="P2970" s="3" t="s">
        <v>140</v>
      </c>
      <c r="Q2970" s="2" t="s">
        <v>29421</v>
      </c>
      <c r="R2970" s="3" t="s">
        <v>71</v>
      </c>
      <c r="S2970" s="4">
        <v>1</v>
      </c>
      <c r="T2970" s="4">
        <v>1</v>
      </c>
      <c r="U2970" s="5" t="s">
        <v>29422</v>
      </c>
      <c r="V2970" s="5" t="s">
        <v>29422</v>
      </c>
      <c r="W2970" s="5" t="s">
        <v>72</v>
      </c>
      <c r="X2970" s="5" t="s">
        <v>72</v>
      </c>
      <c r="Y2970" s="4">
        <v>42</v>
      </c>
      <c r="Z2970" s="4">
        <v>4</v>
      </c>
      <c r="AA2970" s="4">
        <v>4</v>
      </c>
      <c r="AB2970" s="4">
        <v>1</v>
      </c>
      <c r="AC2970" s="4">
        <v>1</v>
      </c>
      <c r="AD2970" s="4">
        <v>30</v>
      </c>
      <c r="AE2970" s="4">
        <v>30</v>
      </c>
      <c r="AF2970" s="4">
        <v>0</v>
      </c>
      <c r="AG2970" s="4">
        <v>0</v>
      </c>
      <c r="AH2970" s="4">
        <v>29</v>
      </c>
      <c r="AI2970" s="4">
        <v>29</v>
      </c>
      <c r="AJ2970" s="4">
        <v>2</v>
      </c>
      <c r="AK2970" s="4">
        <v>2</v>
      </c>
      <c r="AL2970" s="4">
        <v>23</v>
      </c>
      <c r="AM2970" s="4">
        <v>23</v>
      </c>
      <c r="AN2970" s="4">
        <v>0</v>
      </c>
      <c r="AO2970" s="4">
        <v>0</v>
      </c>
      <c r="AP2970" s="4">
        <v>2</v>
      </c>
      <c r="AQ2970" s="4">
        <v>2</v>
      </c>
      <c r="AR2970" s="3" t="s">
        <v>65</v>
      </c>
      <c r="AS2970" s="3" t="s">
        <v>65</v>
      </c>
      <c r="AT2970" s="3" t="s">
        <v>65</v>
      </c>
      <c r="AV2970" s="6" t="str">
        <f>HYPERLINK("http://mcgill.on.worldcat.org/oclc/701208622","Catalog Record")</f>
        <v>Catalog Record</v>
      </c>
      <c r="AW2970" s="6" t="str">
        <f>HYPERLINK("http://www.worldcat.org/oclc/701208622","WorldCat Record")</f>
        <v>WorldCat Record</v>
      </c>
      <c r="AX2970" s="3" t="s">
        <v>29423</v>
      </c>
      <c r="AY2970" s="3" t="s">
        <v>29424</v>
      </c>
      <c r="AZ2970" s="3" t="s">
        <v>29425</v>
      </c>
      <c r="BA2970" s="3" t="s">
        <v>29425</v>
      </c>
      <c r="BB2970" s="3" t="s">
        <v>29426</v>
      </c>
      <c r="BC2970" s="3" t="s">
        <v>77</v>
      </c>
      <c r="BD2970" s="3" t="s">
        <v>78</v>
      </c>
      <c r="BE2970" s="3" t="s">
        <v>29427</v>
      </c>
      <c r="BF2970" s="3" t="s">
        <v>29426</v>
      </c>
      <c r="BG2970" s="3" t="s">
        <v>29428</v>
      </c>
    </row>
    <row r="2971" spans="1:59" ht="58" x14ac:dyDescent="0.35">
      <c r="A2971" s="2" t="s">
        <v>59</v>
      </c>
      <c r="B2971" s="2" t="s">
        <v>60</v>
      </c>
      <c r="C2971" s="2" t="s">
        <v>29429</v>
      </c>
      <c r="D2971" s="2" t="s">
        <v>29430</v>
      </c>
      <c r="E2971" s="2" t="s">
        <v>29431</v>
      </c>
      <c r="G2971" s="3" t="s">
        <v>65</v>
      </c>
      <c r="I2971" s="3" t="s">
        <v>65</v>
      </c>
      <c r="J2971" s="3" t="s">
        <v>65</v>
      </c>
      <c r="K2971" s="3" t="s">
        <v>66</v>
      </c>
      <c r="L2971" s="2" t="s">
        <v>29432</v>
      </c>
      <c r="M2971" s="2" t="s">
        <v>7861</v>
      </c>
      <c r="N2971" s="3" t="s">
        <v>113</v>
      </c>
      <c r="P2971" s="3" t="s">
        <v>140</v>
      </c>
      <c r="Q2971" s="2" t="s">
        <v>29433</v>
      </c>
      <c r="R2971" s="3" t="s">
        <v>71</v>
      </c>
      <c r="S2971" s="4">
        <v>0</v>
      </c>
      <c r="T2971" s="4">
        <v>0</v>
      </c>
      <c r="W2971" s="5" t="s">
        <v>72</v>
      </c>
      <c r="X2971" s="5" t="s">
        <v>72</v>
      </c>
      <c r="Y2971" s="4">
        <v>32</v>
      </c>
      <c r="Z2971" s="4">
        <v>4</v>
      </c>
      <c r="AA2971" s="4">
        <v>4</v>
      </c>
      <c r="AB2971" s="4">
        <v>1</v>
      </c>
      <c r="AC2971" s="4">
        <v>1</v>
      </c>
      <c r="AD2971" s="4">
        <v>25</v>
      </c>
      <c r="AE2971" s="4">
        <v>25</v>
      </c>
      <c r="AF2971" s="4">
        <v>0</v>
      </c>
      <c r="AG2971" s="4">
        <v>0</v>
      </c>
      <c r="AH2971" s="4">
        <v>24</v>
      </c>
      <c r="AI2971" s="4">
        <v>24</v>
      </c>
      <c r="AJ2971" s="4">
        <v>2</v>
      </c>
      <c r="AK2971" s="4">
        <v>2</v>
      </c>
      <c r="AL2971" s="4">
        <v>19</v>
      </c>
      <c r="AM2971" s="4">
        <v>19</v>
      </c>
      <c r="AN2971" s="4">
        <v>5</v>
      </c>
      <c r="AO2971" s="4">
        <v>5</v>
      </c>
      <c r="AP2971" s="4">
        <v>2</v>
      </c>
      <c r="AQ2971" s="4">
        <v>2</v>
      </c>
      <c r="AR2971" s="3" t="s">
        <v>65</v>
      </c>
      <c r="AS2971" s="3" t="s">
        <v>65</v>
      </c>
      <c r="AT2971" s="3" t="s">
        <v>209</v>
      </c>
      <c r="AU2971" s="6" t="str">
        <f>HYPERLINK("http://catalog.hathitrust.org/Record/008456199","HathiTrust Record")</f>
        <v>HathiTrust Record</v>
      </c>
      <c r="AV2971" s="6" t="str">
        <f>HYPERLINK("http://mcgill.on.worldcat.org/oclc/639152086","Catalog Record")</f>
        <v>Catalog Record</v>
      </c>
      <c r="AW2971" s="6" t="str">
        <f>HYPERLINK("http://www.worldcat.org/oclc/639152086","WorldCat Record")</f>
        <v>WorldCat Record</v>
      </c>
      <c r="AX2971" s="3" t="s">
        <v>29434</v>
      </c>
      <c r="AY2971" s="3" t="s">
        <v>29435</v>
      </c>
      <c r="AZ2971" s="3" t="s">
        <v>29436</v>
      </c>
      <c r="BA2971" s="3" t="s">
        <v>29436</v>
      </c>
      <c r="BB2971" s="3" t="s">
        <v>29437</v>
      </c>
      <c r="BC2971" s="3" t="s">
        <v>77</v>
      </c>
      <c r="BD2971" s="3" t="s">
        <v>78</v>
      </c>
      <c r="BE2971" s="3" t="s">
        <v>29438</v>
      </c>
      <c r="BF2971" s="3" t="s">
        <v>29437</v>
      </c>
      <c r="BG2971" s="3" t="s">
        <v>29439</v>
      </c>
    </row>
    <row r="2972" spans="1:59" ht="58" x14ac:dyDescent="0.35">
      <c r="A2972" s="2" t="s">
        <v>59</v>
      </c>
      <c r="B2972" s="2" t="s">
        <v>60</v>
      </c>
      <c r="C2972" s="2" t="s">
        <v>29440</v>
      </c>
      <c r="D2972" s="2" t="s">
        <v>29441</v>
      </c>
      <c r="E2972" s="2" t="s">
        <v>29442</v>
      </c>
      <c r="G2972" s="3" t="s">
        <v>65</v>
      </c>
      <c r="I2972" s="3" t="s">
        <v>65</v>
      </c>
      <c r="J2972" s="3" t="s">
        <v>65</v>
      </c>
      <c r="K2972" s="3" t="s">
        <v>66</v>
      </c>
      <c r="L2972" s="2" t="s">
        <v>29443</v>
      </c>
      <c r="M2972" s="2" t="s">
        <v>29444</v>
      </c>
      <c r="N2972" s="3" t="s">
        <v>139</v>
      </c>
      <c r="O2972" s="2" t="s">
        <v>235</v>
      </c>
      <c r="P2972" s="3" t="s">
        <v>140</v>
      </c>
      <c r="Q2972" s="2" t="s">
        <v>29445</v>
      </c>
      <c r="R2972" s="3" t="s">
        <v>71</v>
      </c>
      <c r="S2972" s="4">
        <v>0</v>
      </c>
      <c r="T2972" s="4">
        <v>0</v>
      </c>
      <c r="U2972" s="5" t="s">
        <v>2061</v>
      </c>
      <c r="V2972" s="5" t="s">
        <v>2061</v>
      </c>
      <c r="W2972" s="5" t="s">
        <v>72</v>
      </c>
      <c r="X2972" s="5" t="s">
        <v>72</v>
      </c>
      <c r="Y2972" s="4">
        <v>42</v>
      </c>
      <c r="Z2972" s="4">
        <v>4</v>
      </c>
      <c r="AA2972" s="4">
        <v>4</v>
      </c>
      <c r="AB2972" s="4">
        <v>1</v>
      </c>
      <c r="AC2972" s="4">
        <v>1</v>
      </c>
      <c r="AD2972" s="4">
        <v>32</v>
      </c>
      <c r="AE2972" s="4">
        <v>32</v>
      </c>
      <c r="AF2972" s="4">
        <v>0</v>
      </c>
      <c r="AG2972" s="4">
        <v>0</v>
      </c>
      <c r="AH2972" s="4">
        <v>31</v>
      </c>
      <c r="AI2972" s="4">
        <v>31</v>
      </c>
      <c r="AJ2972" s="4">
        <v>2</v>
      </c>
      <c r="AK2972" s="4">
        <v>2</v>
      </c>
      <c r="AL2972" s="4">
        <v>26</v>
      </c>
      <c r="AM2972" s="4">
        <v>26</v>
      </c>
      <c r="AN2972" s="4">
        <v>0</v>
      </c>
      <c r="AO2972" s="4">
        <v>0</v>
      </c>
      <c r="AP2972" s="4">
        <v>2</v>
      </c>
      <c r="AQ2972" s="4">
        <v>2</v>
      </c>
      <c r="AR2972" s="3" t="s">
        <v>65</v>
      </c>
      <c r="AS2972" s="3" t="s">
        <v>65</v>
      </c>
      <c r="AT2972" s="3" t="s">
        <v>65</v>
      </c>
      <c r="AV2972" s="6" t="str">
        <f>HYPERLINK("http://mcgill.on.worldcat.org/oclc/820786181","Catalog Record")</f>
        <v>Catalog Record</v>
      </c>
      <c r="AW2972" s="6" t="str">
        <f>HYPERLINK("http://www.worldcat.org/oclc/820786181","WorldCat Record")</f>
        <v>WorldCat Record</v>
      </c>
      <c r="AX2972" s="3" t="s">
        <v>29446</v>
      </c>
      <c r="AY2972" s="3" t="s">
        <v>29447</v>
      </c>
      <c r="AZ2972" s="3" t="s">
        <v>29448</v>
      </c>
      <c r="BA2972" s="3" t="s">
        <v>29448</v>
      </c>
      <c r="BB2972" s="3" t="s">
        <v>29449</v>
      </c>
      <c r="BC2972" s="3" t="s">
        <v>77</v>
      </c>
      <c r="BD2972" s="3" t="s">
        <v>78</v>
      </c>
      <c r="BE2972" s="3" t="s">
        <v>29450</v>
      </c>
      <c r="BF2972" s="3" t="s">
        <v>29449</v>
      </c>
      <c r="BG2972" s="3" t="s">
        <v>29451</v>
      </c>
    </row>
    <row r="2973" spans="1:59" ht="58" x14ac:dyDescent="0.35">
      <c r="A2973" s="2" t="s">
        <v>59</v>
      </c>
      <c r="B2973" s="2" t="s">
        <v>60</v>
      </c>
      <c r="C2973" s="2" t="s">
        <v>29452</v>
      </c>
      <c r="D2973" s="2" t="s">
        <v>29453</v>
      </c>
      <c r="E2973" s="2" t="s">
        <v>29454</v>
      </c>
      <c r="G2973" s="3" t="s">
        <v>65</v>
      </c>
      <c r="I2973" s="3" t="s">
        <v>65</v>
      </c>
      <c r="J2973" s="3" t="s">
        <v>65</v>
      </c>
      <c r="K2973" s="3" t="s">
        <v>66</v>
      </c>
      <c r="L2973" s="2" t="s">
        <v>29455</v>
      </c>
      <c r="M2973" s="2" t="s">
        <v>29456</v>
      </c>
      <c r="N2973" s="3" t="s">
        <v>113</v>
      </c>
      <c r="O2973" s="2" t="s">
        <v>365</v>
      </c>
      <c r="P2973" s="3" t="s">
        <v>140</v>
      </c>
      <c r="R2973" s="3" t="s">
        <v>71</v>
      </c>
      <c r="S2973" s="4">
        <v>0</v>
      </c>
      <c r="T2973" s="4">
        <v>0</v>
      </c>
      <c r="W2973" s="5" t="s">
        <v>72</v>
      </c>
      <c r="X2973" s="5" t="s">
        <v>72</v>
      </c>
      <c r="Y2973" s="4">
        <v>18</v>
      </c>
      <c r="Z2973" s="4">
        <v>2</v>
      </c>
      <c r="AA2973" s="4">
        <v>2</v>
      </c>
      <c r="AB2973" s="4">
        <v>1</v>
      </c>
      <c r="AC2973" s="4">
        <v>1</v>
      </c>
      <c r="AD2973" s="4">
        <v>16</v>
      </c>
      <c r="AE2973" s="4">
        <v>16</v>
      </c>
      <c r="AF2973" s="4">
        <v>0</v>
      </c>
      <c r="AG2973" s="4">
        <v>0</v>
      </c>
      <c r="AH2973" s="4">
        <v>15</v>
      </c>
      <c r="AI2973" s="4">
        <v>15</v>
      </c>
      <c r="AJ2973" s="4">
        <v>1</v>
      </c>
      <c r="AK2973" s="4">
        <v>1</v>
      </c>
      <c r="AL2973" s="4">
        <v>12</v>
      </c>
      <c r="AM2973" s="4">
        <v>12</v>
      </c>
      <c r="AN2973" s="4">
        <v>0</v>
      </c>
      <c r="AO2973" s="4">
        <v>0</v>
      </c>
      <c r="AP2973" s="4">
        <v>1</v>
      </c>
      <c r="AQ2973" s="4">
        <v>1</v>
      </c>
      <c r="AR2973" s="3" t="s">
        <v>65</v>
      </c>
      <c r="AS2973" s="3" t="s">
        <v>65</v>
      </c>
      <c r="AT2973" s="3" t="s">
        <v>65</v>
      </c>
      <c r="AV2973" s="6" t="str">
        <f>HYPERLINK("http://mcgill.on.worldcat.org/oclc/721863181","Catalog Record")</f>
        <v>Catalog Record</v>
      </c>
      <c r="AW2973" s="6" t="str">
        <f>HYPERLINK("http://www.worldcat.org/oclc/721863181","WorldCat Record")</f>
        <v>WorldCat Record</v>
      </c>
      <c r="AX2973" s="3" t="s">
        <v>29457</v>
      </c>
      <c r="AY2973" s="3" t="s">
        <v>29458</v>
      </c>
      <c r="AZ2973" s="3" t="s">
        <v>29459</v>
      </c>
      <c r="BA2973" s="3" t="s">
        <v>29459</v>
      </c>
      <c r="BB2973" s="3" t="s">
        <v>29460</v>
      </c>
      <c r="BC2973" s="3" t="s">
        <v>77</v>
      </c>
      <c r="BD2973" s="3" t="s">
        <v>78</v>
      </c>
      <c r="BE2973" s="3" t="s">
        <v>29461</v>
      </c>
      <c r="BF2973" s="3" t="s">
        <v>29460</v>
      </c>
      <c r="BG2973" s="3" t="s">
        <v>29462</v>
      </c>
    </row>
    <row r="2974" spans="1:59" ht="58" x14ac:dyDescent="0.35">
      <c r="A2974" s="2" t="s">
        <v>59</v>
      </c>
      <c r="B2974" s="2" t="s">
        <v>60</v>
      </c>
      <c r="C2974" s="2" t="s">
        <v>29463</v>
      </c>
      <c r="D2974" s="2" t="s">
        <v>29464</v>
      </c>
      <c r="E2974" s="2" t="s">
        <v>29465</v>
      </c>
      <c r="G2974" s="3" t="s">
        <v>65</v>
      </c>
      <c r="I2974" s="3" t="s">
        <v>65</v>
      </c>
      <c r="J2974" s="3" t="s">
        <v>65</v>
      </c>
      <c r="K2974" s="3" t="s">
        <v>66</v>
      </c>
      <c r="L2974" s="2" t="s">
        <v>29466</v>
      </c>
      <c r="M2974" s="2" t="s">
        <v>29467</v>
      </c>
      <c r="N2974" s="3" t="s">
        <v>463</v>
      </c>
      <c r="P2974" s="3" t="s">
        <v>140</v>
      </c>
      <c r="R2974" s="3" t="s">
        <v>71</v>
      </c>
      <c r="S2974" s="4">
        <v>7</v>
      </c>
      <c r="T2974" s="4">
        <v>7</v>
      </c>
      <c r="U2974" s="5" t="s">
        <v>29468</v>
      </c>
      <c r="V2974" s="5" t="s">
        <v>29468</v>
      </c>
      <c r="W2974" s="5" t="s">
        <v>72</v>
      </c>
      <c r="X2974" s="5" t="s">
        <v>72</v>
      </c>
      <c r="Y2974" s="4">
        <v>1</v>
      </c>
      <c r="Z2974" s="4">
        <v>1</v>
      </c>
      <c r="AA2974" s="4">
        <v>1</v>
      </c>
      <c r="AB2974" s="4">
        <v>1</v>
      </c>
      <c r="AC2974" s="4">
        <v>1</v>
      </c>
      <c r="AD2974" s="4">
        <v>0</v>
      </c>
      <c r="AE2974" s="4">
        <v>0</v>
      </c>
      <c r="AF2974" s="4">
        <v>0</v>
      </c>
      <c r="AG2974" s="4">
        <v>0</v>
      </c>
      <c r="AH2974" s="4">
        <v>0</v>
      </c>
      <c r="AI2974" s="4">
        <v>0</v>
      </c>
      <c r="AJ2974" s="4">
        <v>0</v>
      </c>
      <c r="AK2974" s="4">
        <v>0</v>
      </c>
      <c r="AL2974" s="4">
        <v>0</v>
      </c>
      <c r="AM2974" s="4">
        <v>0</v>
      </c>
      <c r="AN2974" s="4">
        <v>0</v>
      </c>
      <c r="AO2974" s="4">
        <v>0</v>
      </c>
      <c r="AP2974" s="4">
        <v>0</v>
      </c>
      <c r="AQ2974" s="4">
        <v>0</v>
      </c>
      <c r="AR2974" s="3" t="s">
        <v>65</v>
      </c>
      <c r="AS2974" s="3" t="s">
        <v>65</v>
      </c>
      <c r="AT2974" s="3" t="s">
        <v>65</v>
      </c>
      <c r="AV2974" s="6" t="str">
        <f>HYPERLINK("http://mcgill.on.worldcat.org/oclc/61540467","Catalog Record")</f>
        <v>Catalog Record</v>
      </c>
      <c r="AW2974" s="6" t="str">
        <f>HYPERLINK("http://www.worldcat.org/oclc/61540467","WorldCat Record")</f>
        <v>WorldCat Record</v>
      </c>
      <c r="AX2974" s="3" t="s">
        <v>29469</v>
      </c>
      <c r="AY2974" s="3" t="s">
        <v>29470</v>
      </c>
      <c r="AZ2974" s="3" t="s">
        <v>29471</v>
      </c>
      <c r="BA2974" s="3" t="s">
        <v>29471</v>
      </c>
      <c r="BB2974" s="3" t="s">
        <v>29472</v>
      </c>
      <c r="BC2974" s="3" t="s">
        <v>77</v>
      </c>
      <c r="BD2974" s="3" t="s">
        <v>78</v>
      </c>
      <c r="BF2974" s="3" t="s">
        <v>29472</v>
      </c>
      <c r="BG2974" s="3" t="s">
        <v>29473</v>
      </c>
    </row>
    <row r="2975" spans="1:59" ht="58" x14ac:dyDescent="0.35">
      <c r="A2975" s="2" t="s">
        <v>59</v>
      </c>
      <c r="B2975" s="2" t="s">
        <v>60</v>
      </c>
      <c r="C2975" s="2" t="s">
        <v>29474</v>
      </c>
      <c r="D2975" s="2" t="s">
        <v>29475</v>
      </c>
      <c r="E2975" s="2" t="s">
        <v>29476</v>
      </c>
      <c r="F2975" s="3" t="s">
        <v>258</v>
      </c>
      <c r="G2975" s="3" t="s">
        <v>209</v>
      </c>
      <c r="I2975" s="3" t="s">
        <v>65</v>
      </c>
      <c r="J2975" s="3" t="s">
        <v>65</v>
      </c>
      <c r="K2975" s="3" t="s">
        <v>66</v>
      </c>
      <c r="L2975" s="2" t="s">
        <v>29477</v>
      </c>
      <c r="M2975" s="2" t="s">
        <v>8363</v>
      </c>
      <c r="N2975" s="3" t="s">
        <v>139</v>
      </c>
      <c r="P2975" s="3" t="s">
        <v>140</v>
      </c>
      <c r="Q2975" s="2" t="s">
        <v>29478</v>
      </c>
      <c r="R2975" s="3" t="s">
        <v>71</v>
      </c>
      <c r="S2975" s="4">
        <v>0</v>
      </c>
      <c r="T2975" s="4">
        <v>0</v>
      </c>
      <c r="V2975" s="5" t="s">
        <v>2341</v>
      </c>
      <c r="W2975" s="5" t="s">
        <v>72</v>
      </c>
      <c r="X2975" s="5" t="s">
        <v>72</v>
      </c>
      <c r="Y2975" s="4">
        <v>37</v>
      </c>
      <c r="Z2975" s="4">
        <v>1</v>
      </c>
      <c r="AA2975" s="4">
        <v>1</v>
      </c>
      <c r="AB2975" s="4">
        <v>1</v>
      </c>
      <c r="AC2975" s="4">
        <v>1</v>
      </c>
      <c r="AD2975" s="4">
        <v>25</v>
      </c>
      <c r="AE2975" s="4">
        <v>25</v>
      </c>
      <c r="AF2975" s="4">
        <v>0</v>
      </c>
      <c r="AG2975" s="4">
        <v>0</v>
      </c>
      <c r="AH2975" s="4">
        <v>24</v>
      </c>
      <c r="AI2975" s="4">
        <v>24</v>
      </c>
      <c r="AJ2975" s="4">
        <v>0</v>
      </c>
      <c r="AK2975" s="4">
        <v>0</v>
      </c>
      <c r="AL2975" s="4">
        <v>20</v>
      </c>
      <c r="AM2975" s="4">
        <v>20</v>
      </c>
      <c r="AN2975" s="4">
        <v>0</v>
      </c>
      <c r="AO2975" s="4">
        <v>0</v>
      </c>
      <c r="AP2975" s="4">
        <v>0</v>
      </c>
      <c r="AQ2975" s="4">
        <v>0</v>
      </c>
      <c r="AR2975" s="3" t="s">
        <v>65</v>
      </c>
      <c r="AS2975" s="3" t="s">
        <v>65</v>
      </c>
      <c r="AT2975" s="3" t="s">
        <v>65</v>
      </c>
      <c r="AV2975" s="6" t="str">
        <f>HYPERLINK("http://mcgill.on.worldcat.org/oclc/844692532","Catalog Record")</f>
        <v>Catalog Record</v>
      </c>
      <c r="AW2975" s="6" t="str">
        <f>HYPERLINK("http://www.worldcat.org/oclc/844692532","WorldCat Record")</f>
        <v>WorldCat Record</v>
      </c>
      <c r="AX2975" s="3" t="s">
        <v>29479</v>
      </c>
      <c r="AY2975" s="3" t="s">
        <v>29480</v>
      </c>
      <c r="AZ2975" s="3" t="s">
        <v>29481</v>
      </c>
      <c r="BA2975" s="3" t="s">
        <v>29481</v>
      </c>
      <c r="BB2975" s="3" t="s">
        <v>29482</v>
      </c>
      <c r="BC2975" s="3" t="s">
        <v>77</v>
      </c>
      <c r="BD2975" s="3" t="s">
        <v>78</v>
      </c>
      <c r="BE2975" s="3" t="s">
        <v>29483</v>
      </c>
      <c r="BF2975" s="3" t="s">
        <v>29482</v>
      </c>
      <c r="BG2975" s="3" t="s">
        <v>29484</v>
      </c>
    </row>
    <row r="2976" spans="1:59" ht="58" x14ac:dyDescent="0.35">
      <c r="A2976" s="2" t="s">
        <v>59</v>
      </c>
      <c r="B2976" s="2" t="s">
        <v>60</v>
      </c>
      <c r="C2976" s="2" t="s">
        <v>29474</v>
      </c>
      <c r="D2976" s="2" t="s">
        <v>29475</v>
      </c>
      <c r="E2976" s="2" t="s">
        <v>29476</v>
      </c>
      <c r="F2976" s="3" t="s">
        <v>245</v>
      </c>
      <c r="G2976" s="3" t="s">
        <v>209</v>
      </c>
      <c r="I2976" s="3" t="s">
        <v>65</v>
      </c>
      <c r="J2976" s="3" t="s">
        <v>65</v>
      </c>
      <c r="K2976" s="3" t="s">
        <v>66</v>
      </c>
      <c r="L2976" s="2" t="s">
        <v>29477</v>
      </c>
      <c r="M2976" s="2" t="s">
        <v>8363</v>
      </c>
      <c r="N2976" s="3" t="s">
        <v>139</v>
      </c>
      <c r="P2976" s="3" t="s">
        <v>140</v>
      </c>
      <c r="Q2976" s="2" t="s">
        <v>29478</v>
      </c>
      <c r="R2976" s="3" t="s">
        <v>71</v>
      </c>
      <c r="S2976" s="4">
        <v>0</v>
      </c>
      <c r="T2976" s="4">
        <v>0</v>
      </c>
      <c r="U2976" s="5" t="s">
        <v>2341</v>
      </c>
      <c r="V2976" s="5" t="s">
        <v>2341</v>
      </c>
      <c r="W2976" s="5" t="s">
        <v>72</v>
      </c>
      <c r="X2976" s="5" t="s">
        <v>72</v>
      </c>
      <c r="Y2976" s="4">
        <v>37</v>
      </c>
      <c r="Z2976" s="4">
        <v>1</v>
      </c>
      <c r="AA2976" s="4">
        <v>1</v>
      </c>
      <c r="AB2976" s="4">
        <v>1</v>
      </c>
      <c r="AC2976" s="4">
        <v>1</v>
      </c>
      <c r="AD2976" s="4">
        <v>25</v>
      </c>
      <c r="AE2976" s="4">
        <v>25</v>
      </c>
      <c r="AF2976" s="4">
        <v>0</v>
      </c>
      <c r="AG2976" s="4">
        <v>0</v>
      </c>
      <c r="AH2976" s="4">
        <v>24</v>
      </c>
      <c r="AI2976" s="4">
        <v>24</v>
      </c>
      <c r="AJ2976" s="4">
        <v>0</v>
      </c>
      <c r="AK2976" s="4">
        <v>0</v>
      </c>
      <c r="AL2976" s="4">
        <v>20</v>
      </c>
      <c r="AM2976" s="4">
        <v>20</v>
      </c>
      <c r="AN2976" s="4">
        <v>0</v>
      </c>
      <c r="AO2976" s="4">
        <v>0</v>
      </c>
      <c r="AP2976" s="4">
        <v>0</v>
      </c>
      <c r="AQ2976" s="4">
        <v>0</v>
      </c>
      <c r="AR2976" s="3" t="s">
        <v>65</v>
      </c>
      <c r="AS2976" s="3" t="s">
        <v>65</v>
      </c>
      <c r="AT2976" s="3" t="s">
        <v>65</v>
      </c>
      <c r="AV2976" s="6" t="str">
        <f>HYPERLINK("http://mcgill.on.worldcat.org/oclc/844692532","Catalog Record")</f>
        <v>Catalog Record</v>
      </c>
      <c r="AW2976" s="6" t="str">
        <f>HYPERLINK("http://www.worldcat.org/oclc/844692532","WorldCat Record")</f>
        <v>WorldCat Record</v>
      </c>
      <c r="AX2976" s="3" t="s">
        <v>29479</v>
      </c>
      <c r="AY2976" s="3" t="s">
        <v>29480</v>
      </c>
      <c r="AZ2976" s="3" t="s">
        <v>29481</v>
      </c>
      <c r="BA2976" s="3" t="s">
        <v>29481</v>
      </c>
      <c r="BB2976" s="3" t="s">
        <v>29485</v>
      </c>
      <c r="BC2976" s="3" t="s">
        <v>77</v>
      </c>
      <c r="BD2976" s="3" t="s">
        <v>78</v>
      </c>
      <c r="BE2976" s="3" t="s">
        <v>29483</v>
      </c>
      <c r="BF2976" s="3" t="s">
        <v>29485</v>
      </c>
      <c r="BG2976" s="3" t="s">
        <v>29486</v>
      </c>
    </row>
    <row r="2977" spans="1:59" ht="58" x14ac:dyDescent="0.35">
      <c r="A2977" s="2" t="s">
        <v>59</v>
      </c>
      <c r="B2977" s="2" t="s">
        <v>60</v>
      </c>
      <c r="C2977" s="2" t="s">
        <v>29487</v>
      </c>
      <c r="D2977" s="2" t="s">
        <v>29488</v>
      </c>
      <c r="E2977" s="2" t="s">
        <v>29489</v>
      </c>
      <c r="G2977" s="3" t="s">
        <v>65</v>
      </c>
      <c r="I2977" s="3" t="s">
        <v>65</v>
      </c>
      <c r="J2977" s="3" t="s">
        <v>209</v>
      </c>
      <c r="K2977" s="3" t="s">
        <v>66</v>
      </c>
      <c r="L2977" s="2" t="s">
        <v>27464</v>
      </c>
      <c r="M2977" s="2" t="s">
        <v>29490</v>
      </c>
      <c r="N2977" s="3" t="s">
        <v>19083</v>
      </c>
      <c r="P2977" s="3" t="s">
        <v>69</v>
      </c>
      <c r="R2977" s="3" t="s">
        <v>71</v>
      </c>
      <c r="S2977" s="4">
        <v>25</v>
      </c>
      <c r="T2977" s="4">
        <v>25</v>
      </c>
      <c r="U2977" s="5" t="s">
        <v>11274</v>
      </c>
      <c r="V2977" s="5" t="s">
        <v>11274</v>
      </c>
      <c r="W2977" s="5" t="s">
        <v>72</v>
      </c>
      <c r="X2977" s="5" t="s">
        <v>72</v>
      </c>
      <c r="Y2977" s="4">
        <v>440</v>
      </c>
      <c r="Z2977" s="4">
        <v>18</v>
      </c>
      <c r="AA2977" s="4">
        <v>45</v>
      </c>
      <c r="AB2977" s="4">
        <v>2</v>
      </c>
      <c r="AC2977" s="4">
        <v>4</v>
      </c>
      <c r="AD2977" s="4">
        <v>92</v>
      </c>
      <c r="AE2977" s="4">
        <v>126</v>
      </c>
      <c r="AF2977" s="4">
        <v>1</v>
      </c>
      <c r="AG2977" s="4">
        <v>1</v>
      </c>
      <c r="AH2977" s="4">
        <v>80</v>
      </c>
      <c r="AI2977" s="4">
        <v>105</v>
      </c>
      <c r="AJ2977" s="4">
        <v>12</v>
      </c>
      <c r="AK2977" s="4">
        <v>19</v>
      </c>
      <c r="AL2977" s="4">
        <v>48</v>
      </c>
      <c r="AM2977" s="4">
        <v>59</v>
      </c>
      <c r="AN2977" s="4">
        <v>0</v>
      </c>
      <c r="AO2977" s="4">
        <v>0</v>
      </c>
      <c r="AP2977" s="4">
        <v>15</v>
      </c>
      <c r="AQ2977" s="4">
        <v>26</v>
      </c>
      <c r="AR2977" s="3" t="s">
        <v>65</v>
      </c>
      <c r="AS2977" s="3" t="s">
        <v>65</v>
      </c>
      <c r="AT2977" s="3" t="s">
        <v>65</v>
      </c>
      <c r="AV2977" s="6" t="str">
        <f>HYPERLINK("http://mcgill.on.worldcat.org/oclc/361499","Catalog Record")</f>
        <v>Catalog Record</v>
      </c>
      <c r="AW2977" s="6" t="str">
        <f>HYPERLINK("http://www.worldcat.org/oclc/361499","WorldCat Record")</f>
        <v>WorldCat Record</v>
      </c>
      <c r="AX2977" s="3" t="s">
        <v>29491</v>
      </c>
      <c r="AY2977" s="3" t="s">
        <v>29492</v>
      </c>
      <c r="AZ2977" s="3" t="s">
        <v>29493</v>
      </c>
      <c r="BA2977" s="3" t="s">
        <v>29493</v>
      </c>
      <c r="BB2977" s="3" t="s">
        <v>29494</v>
      </c>
      <c r="BC2977" s="3" t="s">
        <v>77</v>
      </c>
      <c r="BD2977" s="3" t="s">
        <v>78</v>
      </c>
      <c r="BF2977" s="3" t="s">
        <v>29494</v>
      </c>
      <c r="BG2977" s="3" t="s">
        <v>29495</v>
      </c>
    </row>
    <row r="2978" spans="1:59" ht="72.5" x14ac:dyDescent="0.35">
      <c r="A2978" s="2" t="s">
        <v>59</v>
      </c>
      <c r="B2978" s="2" t="s">
        <v>60</v>
      </c>
      <c r="C2978" s="2" t="s">
        <v>29496</v>
      </c>
      <c r="D2978" s="2" t="s">
        <v>29497</v>
      </c>
      <c r="E2978" s="2" t="s">
        <v>29498</v>
      </c>
      <c r="G2978" s="3" t="s">
        <v>65</v>
      </c>
      <c r="I2978" s="3" t="s">
        <v>65</v>
      </c>
      <c r="J2978" s="3" t="s">
        <v>209</v>
      </c>
      <c r="K2978" s="3" t="s">
        <v>66</v>
      </c>
      <c r="L2978" s="2" t="s">
        <v>27417</v>
      </c>
      <c r="M2978" s="2" t="s">
        <v>29499</v>
      </c>
      <c r="N2978" s="3" t="s">
        <v>3385</v>
      </c>
      <c r="P2978" s="3" t="s">
        <v>69</v>
      </c>
      <c r="R2978" s="3" t="s">
        <v>71</v>
      </c>
      <c r="S2978" s="4">
        <v>24</v>
      </c>
      <c r="T2978" s="4">
        <v>24</v>
      </c>
      <c r="U2978" s="5" t="s">
        <v>3629</v>
      </c>
      <c r="V2978" s="5" t="s">
        <v>3629</v>
      </c>
      <c r="W2978" s="5" t="s">
        <v>72</v>
      </c>
      <c r="X2978" s="5" t="s">
        <v>72</v>
      </c>
      <c r="Y2978" s="4">
        <v>218</v>
      </c>
      <c r="Z2978" s="4">
        <v>15</v>
      </c>
      <c r="AA2978" s="4">
        <v>45</v>
      </c>
      <c r="AB2978" s="4">
        <v>2</v>
      </c>
      <c r="AC2978" s="4">
        <v>4</v>
      </c>
      <c r="AD2978" s="4">
        <v>58</v>
      </c>
      <c r="AE2978" s="4">
        <v>126</v>
      </c>
      <c r="AF2978" s="4">
        <v>0</v>
      </c>
      <c r="AG2978" s="4">
        <v>1</v>
      </c>
      <c r="AH2978" s="4">
        <v>55</v>
      </c>
      <c r="AI2978" s="4">
        <v>105</v>
      </c>
      <c r="AJ2978" s="4">
        <v>5</v>
      </c>
      <c r="AK2978" s="4">
        <v>19</v>
      </c>
      <c r="AL2978" s="4">
        <v>33</v>
      </c>
      <c r="AM2978" s="4">
        <v>59</v>
      </c>
      <c r="AN2978" s="4">
        <v>0</v>
      </c>
      <c r="AO2978" s="4">
        <v>0</v>
      </c>
      <c r="AP2978" s="4">
        <v>5</v>
      </c>
      <c r="AQ2978" s="4">
        <v>26</v>
      </c>
      <c r="AR2978" s="3" t="s">
        <v>65</v>
      </c>
      <c r="AS2978" s="3" t="s">
        <v>65</v>
      </c>
      <c r="AT2978" s="3" t="s">
        <v>209</v>
      </c>
      <c r="AU2978" s="6" t="str">
        <f>HYPERLINK("http://catalog.hathitrust.org/Record/004069380","HathiTrust Record")</f>
        <v>HathiTrust Record</v>
      </c>
      <c r="AV2978" s="6" t="str">
        <f>HYPERLINK("http://mcgill.on.worldcat.org/oclc/42393586","Catalog Record")</f>
        <v>Catalog Record</v>
      </c>
      <c r="AW2978" s="6" t="str">
        <f>HYPERLINK("http://www.worldcat.org/oclc/42393586","WorldCat Record")</f>
        <v>WorldCat Record</v>
      </c>
      <c r="AX2978" s="3" t="s">
        <v>29491</v>
      </c>
      <c r="AY2978" s="3" t="s">
        <v>29500</v>
      </c>
      <c r="AZ2978" s="3" t="s">
        <v>29501</v>
      </c>
      <c r="BA2978" s="3" t="s">
        <v>29501</v>
      </c>
      <c r="BB2978" s="3" t="s">
        <v>29502</v>
      </c>
      <c r="BC2978" s="3" t="s">
        <v>77</v>
      </c>
      <c r="BD2978" s="3" t="s">
        <v>78</v>
      </c>
      <c r="BE2978" s="3" t="s">
        <v>29503</v>
      </c>
      <c r="BF2978" s="3" t="s">
        <v>29502</v>
      </c>
      <c r="BG2978" s="3" t="s">
        <v>29504</v>
      </c>
    </row>
    <row r="2979" spans="1:59" ht="58" x14ac:dyDescent="0.35">
      <c r="A2979" s="2" t="s">
        <v>59</v>
      </c>
      <c r="B2979" s="2" t="s">
        <v>60</v>
      </c>
      <c r="C2979" s="2" t="s">
        <v>29505</v>
      </c>
      <c r="D2979" s="2" t="s">
        <v>29506</v>
      </c>
      <c r="E2979" s="2" t="s">
        <v>29507</v>
      </c>
      <c r="G2979" s="3" t="s">
        <v>65</v>
      </c>
      <c r="I2979" s="3" t="s">
        <v>65</v>
      </c>
      <c r="J2979" s="3" t="s">
        <v>65</v>
      </c>
      <c r="K2979" s="3" t="s">
        <v>66</v>
      </c>
      <c r="L2979" s="2" t="s">
        <v>27417</v>
      </c>
      <c r="M2979" s="2" t="s">
        <v>29508</v>
      </c>
      <c r="N2979" s="3" t="s">
        <v>2979</v>
      </c>
      <c r="P2979" s="3" t="s">
        <v>69</v>
      </c>
      <c r="R2979" s="3" t="s">
        <v>71</v>
      </c>
      <c r="S2979" s="4">
        <v>2</v>
      </c>
      <c r="T2979" s="4">
        <v>2</v>
      </c>
      <c r="U2979" s="5" t="s">
        <v>29509</v>
      </c>
      <c r="V2979" s="5" t="s">
        <v>29509</v>
      </c>
      <c r="W2979" s="5" t="s">
        <v>72</v>
      </c>
      <c r="X2979" s="5" t="s">
        <v>72</v>
      </c>
      <c r="Y2979" s="4">
        <v>49</v>
      </c>
      <c r="Z2979" s="4">
        <v>10</v>
      </c>
      <c r="AA2979" s="4">
        <v>10</v>
      </c>
      <c r="AB2979" s="4">
        <v>1</v>
      </c>
      <c r="AC2979" s="4">
        <v>1</v>
      </c>
      <c r="AD2979" s="4">
        <v>19</v>
      </c>
      <c r="AE2979" s="4">
        <v>19</v>
      </c>
      <c r="AF2979" s="4">
        <v>0</v>
      </c>
      <c r="AG2979" s="4">
        <v>0</v>
      </c>
      <c r="AH2979" s="4">
        <v>17</v>
      </c>
      <c r="AI2979" s="4">
        <v>17</v>
      </c>
      <c r="AJ2979" s="4">
        <v>7</v>
      </c>
      <c r="AK2979" s="4">
        <v>7</v>
      </c>
      <c r="AL2979" s="4">
        <v>9</v>
      </c>
      <c r="AM2979" s="4">
        <v>9</v>
      </c>
      <c r="AN2979" s="4">
        <v>0</v>
      </c>
      <c r="AO2979" s="4">
        <v>0</v>
      </c>
      <c r="AP2979" s="4">
        <v>7</v>
      </c>
      <c r="AQ2979" s="4">
        <v>7</v>
      </c>
      <c r="AR2979" s="3" t="s">
        <v>65</v>
      </c>
      <c r="AS2979" s="3" t="s">
        <v>65</v>
      </c>
      <c r="AT2979" s="3" t="s">
        <v>209</v>
      </c>
      <c r="AU2979" s="6" t="str">
        <f>HYPERLINK("http://catalog.hathitrust.org/Record/006682443","HathiTrust Record")</f>
        <v>HathiTrust Record</v>
      </c>
      <c r="AV2979" s="6" t="str">
        <f>HYPERLINK("http://mcgill.on.worldcat.org/oclc/1423178","Catalog Record")</f>
        <v>Catalog Record</v>
      </c>
      <c r="AW2979" s="6" t="str">
        <f>HYPERLINK("http://www.worldcat.org/oclc/1423178","WorldCat Record")</f>
        <v>WorldCat Record</v>
      </c>
      <c r="AX2979" s="3" t="s">
        <v>29510</v>
      </c>
      <c r="AY2979" s="3" t="s">
        <v>29511</v>
      </c>
      <c r="AZ2979" s="3" t="s">
        <v>29512</v>
      </c>
      <c r="BA2979" s="3" t="s">
        <v>29512</v>
      </c>
      <c r="BB2979" s="3" t="s">
        <v>29513</v>
      </c>
      <c r="BC2979" s="3" t="s">
        <v>77</v>
      </c>
      <c r="BD2979" s="3" t="s">
        <v>78</v>
      </c>
      <c r="BF2979" s="3" t="s">
        <v>29513</v>
      </c>
      <c r="BG2979" s="3" t="s">
        <v>29514</v>
      </c>
    </row>
    <row r="2980" spans="1:59" ht="58" x14ac:dyDescent="0.35">
      <c r="A2980" s="2" t="s">
        <v>59</v>
      </c>
      <c r="B2980" s="2" t="s">
        <v>60</v>
      </c>
      <c r="C2980" s="2" t="s">
        <v>29515</v>
      </c>
      <c r="D2980" s="2" t="s">
        <v>29516</v>
      </c>
      <c r="E2980" s="2" t="s">
        <v>29517</v>
      </c>
      <c r="G2980" s="3" t="s">
        <v>65</v>
      </c>
      <c r="I2980" s="3" t="s">
        <v>65</v>
      </c>
      <c r="J2980" s="3" t="s">
        <v>209</v>
      </c>
      <c r="K2980" s="3" t="s">
        <v>66</v>
      </c>
      <c r="L2980" s="2" t="s">
        <v>27417</v>
      </c>
      <c r="M2980" s="2" t="s">
        <v>29518</v>
      </c>
      <c r="N2980" s="3" t="s">
        <v>3385</v>
      </c>
      <c r="P2980" s="3" t="s">
        <v>69</v>
      </c>
      <c r="Q2980" s="2" t="s">
        <v>29519</v>
      </c>
      <c r="R2980" s="3" t="s">
        <v>71</v>
      </c>
      <c r="S2980" s="4">
        <v>4</v>
      </c>
      <c r="T2980" s="4">
        <v>4</v>
      </c>
      <c r="U2980" s="5" t="s">
        <v>5095</v>
      </c>
      <c r="V2980" s="5" t="s">
        <v>5095</v>
      </c>
      <c r="W2980" s="5" t="s">
        <v>72</v>
      </c>
      <c r="X2980" s="5" t="s">
        <v>72</v>
      </c>
      <c r="Y2980" s="4">
        <v>162</v>
      </c>
      <c r="Z2980" s="4">
        <v>11</v>
      </c>
      <c r="AA2980" s="4">
        <v>32</v>
      </c>
      <c r="AB2980" s="4">
        <v>2</v>
      </c>
      <c r="AC2980" s="4">
        <v>4</v>
      </c>
      <c r="AD2980" s="4">
        <v>30</v>
      </c>
      <c r="AE2980" s="4">
        <v>106</v>
      </c>
      <c r="AF2980" s="4">
        <v>0</v>
      </c>
      <c r="AG2980" s="4">
        <v>1</v>
      </c>
      <c r="AH2980" s="4">
        <v>26</v>
      </c>
      <c r="AI2980" s="4">
        <v>95</v>
      </c>
      <c r="AJ2980" s="4">
        <v>3</v>
      </c>
      <c r="AK2980" s="4">
        <v>17</v>
      </c>
      <c r="AL2980" s="4">
        <v>20</v>
      </c>
      <c r="AM2980" s="4">
        <v>53</v>
      </c>
      <c r="AN2980" s="4">
        <v>0</v>
      </c>
      <c r="AO2980" s="4">
        <v>0</v>
      </c>
      <c r="AP2980" s="4">
        <v>3</v>
      </c>
      <c r="AQ2980" s="4">
        <v>17</v>
      </c>
      <c r="AR2980" s="3" t="s">
        <v>65</v>
      </c>
      <c r="AS2980" s="3" t="s">
        <v>65</v>
      </c>
      <c r="AT2980" s="3" t="s">
        <v>65</v>
      </c>
      <c r="AV2980" s="6" t="str">
        <f>HYPERLINK("http://mcgill.on.worldcat.org/oclc/41361541","Catalog Record")</f>
        <v>Catalog Record</v>
      </c>
      <c r="AW2980" s="6" t="str">
        <f>HYPERLINK("http://www.worldcat.org/oclc/41361541","WorldCat Record")</f>
        <v>WorldCat Record</v>
      </c>
      <c r="AX2980" s="3" t="s">
        <v>29520</v>
      </c>
      <c r="AY2980" s="3" t="s">
        <v>29521</v>
      </c>
      <c r="AZ2980" s="3" t="s">
        <v>29522</v>
      </c>
      <c r="BA2980" s="3" t="s">
        <v>29522</v>
      </c>
      <c r="BB2980" s="3" t="s">
        <v>29523</v>
      </c>
      <c r="BC2980" s="3" t="s">
        <v>77</v>
      </c>
      <c r="BD2980" s="3" t="s">
        <v>78</v>
      </c>
      <c r="BE2980" s="3" t="s">
        <v>29524</v>
      </c>
      <c r="BF2980" s="3" t="s">
        <v>29523</v>
      </c>
      <c r="BG2980" s="3" t="s">
        <v>29525</v>
      </c>
    </row>
    <row r="2981" spans="1:59" ht="58" x14ac:dyDescent="0.35">
      <c r="A2981" s="2" t="s">
        <v>59</v>
      </c>
      <c r="B2981" s="2" t="s">
        <v>60</v>
      </c>
      <c r="C2981" s="2" t="s">
        <v>29526</v>
      </c>
      <c r="D2981" s="2" t="s">
        <v>29527</v>
      </c>
      <c r="E2981" s="2" t="s">
        <v>29528</v>
      </c>
      <c r="G2981" s="3" t="s">
        <v>65</v>
      </c>
      <c r="I2981" s="3" t="s">
        <v>65</v>
      </c>
      <c r="J2981" s="3" t="s">
        <v>65</v>
      </c>
      <c r="K2981" s="3" t="s">
        <v>66</v>
      </c>
      <c r="L2981" s="2" t="s">
        <v>27417</v>
      </c>
      <c r="M2981" s="2" t="s">
        <v>29529</v>
      </c>
      <c r="N2981" s="3" t="s">
        <v>5642</v>
      </c>
      <c r="P2981" s="3" t="s">
        <v>616</v>
      </c>
      <c r="Q2981" s="2" t="s">
        <v>29530</v>
      </c>
      <c r="R2981" s="3" t="s">
        <v>71</v>
      </c>
      <c r="S2981" s="4">
        <v>13</v>
      </c>
      <c r="T2981" s="4">
        <v>13</v>
      </c>
      <c r="U2981" s="5" t="s">
        <v>28340</v>
      </c>
      <c r="V2981" s="5" t="s">
        <v>28340</v>
      </c>
      <c r="W2981" s="5" t="s">
        <v>72</v>
      </c>
      <c r="X2981" s="5" t="s">
        <v>72</v>
      </c>
      <c r="Y2981" s="4">
        <v>13</v>
      </c>
      <c r="Z2981" s="4">
        <v>2</v>
      </c>
      <c r="AA2981" s="4">
        <v>17</v>
      </c>
      <c r="AB2981" s="4">
        <v>1</v>
      </c>
      <c r="AC2981" s="4">
        <v>10</v>
      </c>
      <c r="AD2981" s="4">
        <v>1</v>
      </c>
      <c r="AE2981" s="4">
        <v>16</v>
      </c>
      <c r="AF2981" s="4">
        <v>0</v>
      </c>
      <c r="AG2981" s="4">
        <v>4</v>
      </c>
      <c r="AH2981" s="4">
        <v>0</v>
      </c>
      <c r="AI2981" s="4">
        <v>7</v>
      </c>
      <c r="AJ2981" s="4">
        <v>1</v>
      </c>
      <c r="AK2981" s="4">
        <v>9</v>
      </c>
      <c r="AL2981" s="4">
        <v>0</v>
      </c>
      <c r="AM2981" s="4">
        <v>6</v>
      </c>
      <c r="AN2981" s="4">
        <v>0</v>
      </c>
      <c r="AO2981" s="4">
        <v>0</v>
      </c>
      <c r="AP2981" s="4">
        <v>1</v>
      </c>
      <c r="AQ2981" s="4">
        <v>7</v>
      </c>
      <c r="AR2981" s="3" t="s">
        <v>65</v>
      </c>
      <c r="AS2981" s="3" t="s">
        <v>65</v>
      </c>
      <c r="AT2981" s="3" t="s">
        <v>65</v>
      </c>
      <c r="AV2981" s="6" t="str">
        <f>HYPERLINK("http://mcgill.on.worldcat.org/oclc/17955733","Catalog Record")</f>
        <v>Catalog Record</v>
      </c>
      <c r="AW2981" s="6" t="str">
        <f>HYPERLINK("http://www.worldcat.org/oclc/17955733","WorldCat Record")</f>
        <v>WorldCat Record</v>
      </c>
      <c r="AX2981" s="3" t="s">
        <v>29531</v>
      </c>
      <c r="AY2981" s="3" t="s">
        <v>29532</v>
      </c>
      <c r="AZ2981" s="3" t="s">
        <v>29533</v>
      </c>
      <c r="BA2981" s="3" t="s">
        <v>29533</v>
      </c>
      <c r="BB2981" s="3" t="s">
        <v>29534</v>
      </c>
      <c r="BC2981" s="3" t="s">
        <v>77</v>
      </c>
      <c r="BD2981" s="3" t="s">
        <v>78</v>
      </c>
      <c r="BF2981" s="3" t="s">
        <v>29534</v>
      </c>
      <c r="BG2981" s="3" t="s">
        <v>29535</v>
      </c>
    </row>
    <row r="2982" spans="1:59" ht="58" x14ac:dyDescent="0.35">
      <c r="A2982" s="2" t="s">
        <v>59</v>
      </c>
      <c r="B2982" s="2" t="s">
        <v>60</v>
      </c>
      <c r="C2982" s="2" t="s">
        <v>29536</v>
      </c>
      <c r="D2982" s="2" t="s">
        <v>29537</v>
      </c>
      <c r="E2982" s="2" t="s">
        <v>29538</v>
      </c>
      <c r="G2982" s="3" t="s">
        <v>65</v>
      </c>
      <c r="I2982" s="3" t="s">
        <v>65</v>
      </c>
      <c r="J2982" s="3" t="s">
        <v>209</v>
      </c>
      <c r="K2982" s="3" t="s">
        <v>66</v>
      </c>
      <c r="L2982" s="2" t="s">
        <v>27417</v>
      </c>
      <c r="M2982" s="2" t="s">
        <v>29539</v>
      </c>
      <c r="N2982" s="3" t="s">
        <v>5961</v>
      </c>
      <c r="O2982" s="2" t="s">
        <v>29540</v>
      </c>
      <c r="P2982" s="3" t="s">
        <v>140</v>
      </c>
      <c r="Q2982" s="2" t="s">
        <v>29541</v>
      </c>
      <c r="R2982" s="3" t="s">
        <v>71</v>
      </c>
      <c r="S2982" s="4">
        <v>37</v>
      </c>
      <c r="T2982" s="4">
        <v>37</v>
      </c>
      <c r="U2982" s="5" t="s">
        <v>26271</v>
      </c>
      <c r="V2982" s="5" t="s">
        <v>26271</v>
      </c>
      <c r="W2982" s="5" t="s">
        <v>72</v>
      </c>
      <c r="X2982" s="5" t="s">
        <v>72</v>
      </c>
      <c r="Y2982" s="4">
        <v>6</v>
      </c>
      <c r="Z2982" s="4">
        <v>1</v>
      </c>
      <c r="AA2982" s="4">
        <v>25</v>
      </c>
      <c r="AB2982" s="4">
        <v>1</v>
      </c>
      <c r="AC2982" s="4">
        <v>6</v>
      </c>
      <c r="AD2982" s="4">
        <v>1</v>
      </c>
      <c r="AE2982" s="4">
        <v>96</v>
      </c>
      <c r="AF2982" s="4">
        <v>0</v>
      </c>
      <c r="AG2982" s="4">
        <v>3</v>
      </c>
      <c r="AH2982" s="4">
        <v>1</v>
      </c>
      <c r="AI2982" s="4">
        <v>87</v>
      </c>
      <c r="AJ2982" s="4">
        <v>0</v>
      </c>
      <c r="AK2982" s="4">
        <v>15</v>
      </c>
      <c r="AL2982" s="4">
        <v>1</v>
      </c>
      <c r="AM2982" s="4">
        <v>48</v>
      </c>
      <c r="AN2982" s="4">
        <v>3</v>
      </c>
      <c r="AO2982" s="4">
        <v>10</v>
      </c>
      <c r="AP2982" s="4">
        <v>0</v>
      </c>
      <c r="AQ2982" s="4">
        <v>16</v>
      </c>
      <c r="AR2982" s="3" t="s">
        <v>65</v>
      </c>
      <c r="AS2982" s="3" t="s">
        <v>65</v>
      </c>
      <c r="AT2982" s="3" t="s">
        <v>209</v>
      </c>
      <c r="AU2982" s="6" t="str">
        <f>HYPERLINK("http://catalog.hathitrust.org/Record/101894007","HathiTrust Record")</f>
        <v>HathiTrust Record</v>
      </c>
      <c r="AV2982" s="6" t="str">
        <f>HYPERLINK("http://mcgill.on.worldcat.org/oclc/19285790","Catalog Record")</f>
        <v>Catalog Record</v>
      </c>
      <c r="AW2982" s="6" t="str">
        <f>HYPERLINK("http://www.worldcat.org/oclc/19285790","WorldCat Record")</f>
        <v>WorldCat Record</v>
      </c>
      <c r="AX2982" s="3" t="s">
        <v>29542</v>
      </c>
      <c r="AY2982" s="3" t="s">
        <v>29543</v>
      </c>
      <c r="AZ2982" s="3" t="s">
        <v>29544</v>
      </c>
      <c r="BA2982" s="3" t="s">
        <v>29544</v>
      </c>
      <c r="BB2982" s="3" t="s">
        <v>29545</v>
      </c>
      <c r="BC2982" s="3" t="s">
        <v>77</v>
      </c>
      <c r="BD2982" s="3" t="s">
        <v>78</v>
      </c>
      <c r="BF2982" s="3" t="s">
        <v>29545</v>
      </c>
      <c r="BG2982" s="3" t="s">
        <v>29546</v>
      </c>
    </row>
    <row r="2983" spans="1:59" ht="58" x14ac:dyDescent="0.35">
      <c r="A2983" s="2" t="s">
        <v>59</v>
      </c>
      <c r="B2983" s="2" t="s">
        <v>60</v>
      </c>
      <c r="C2983" s="2" t="s">
        <v>29547</v>
      </c>
      <c r="D2983" s="2" t="s">
        <v>29548</v>
      </c>
      <c r="E2983" s="2" t="s">
        <v>29549</v>
      </c>
      <c r="G2983" s="3" t="s">
        <v>65</v>
      </c>
      <c r="I2983" s="3" t="s">
        <v>65</v>
      </c>
      <c r="J2983" s="3" t="s">
        <v>209</v>
      </c>
      <c r="K2983" s="3" t="s">
        <v>66</v>
      </c>
      <c r="L2983" s="2" t="s">
        <v>27417</v>
      </c>
      <c r="M2983" s="2" t="s">
        <v>29550</v>
      </c>
      <c r="N2983" s="3" t="s">
        <v>29551</v>
      </c>
      <c r="P2983" s="3" t="s">
        <v>69</v>
      </c>
      <c r="R2983" s="3" t="s">
        <v>71</v>
      </c>
      <c r="S2983" s="4">
        <v>23</v>
      </c>
      <c r="T2983" s="4">
        <v>23</v>
      </c>
      <c r="U2983" s="5" t="s">
        <v>29552</v>
      </c>
      <c r="V2983" s="5" t="s">
        <v>29552</v>
      </c>
      <c r="W2983" s="5" t="s">
        <v>72</v>
      </c>
      <c r="X2983" s="5" t="s">
        <v>72</v>
      </c>
      <c r="Y2983" s="4">
        <v>41</v>
      </c>
      <c r="Z2983" s="4">
        <v>5</v>
      </c>
      <c r="AA2983" s="4">
        <v>37</v>
      </c>
      <c r="AB2983" s="4">
        <v>1</v>
      </c>
      <c r="AC2983" s="4">
        <v>3</v>
      </c>
      <c r="AD2983" s="4">
        <v>23</v>
      </c>
      <c r="AE2983" s="4">
        <v>118</v>
      </c>
      <c r="AF2983" s="4">
        <v>0</v>
      </c>
      <c r="AG2983" s="4">
        <v>1</v>
      </c>
      <c r="AH2983" s="4">
        <v>21</v>
      </c>
      <c r="AI2983" s="4">
        <v>103</v>
      </c>
      <c r="AJ2983" s="4">
        <v>3</v>
      </c>
      <c r="AK2983" s="4">
        <v>17</v>
      </c>
      <c r="AL2983" s="4">
        <v>12</v>
      </c>
      <c r="AM2983" s="4">
        <v>54</v>
      </c>
      <c r="AN2983" s="4">
        <v>0</v>
      </c>
      <c r="AO2983" s="4">
        <v>0</v>
      </c>
      <c r="AP2983" s="4">
        <v>3</v>
      </c>
      <c r="AQ2983" s="4">
        <v>21</v>
      </c>
      <c r="AR2983" s="3" t="s">
        <v>65</v>
      </c>
      <c r="AS2983" s="3" t="s">
        <v>65</v>
      </c>
      <c r="AT2983" s="3" t="s">
        <v>65</v>
      </c>
      <c r="AV2983" s="6" t="str">
        <f>HYPERLINK("http://mcgill.on.worldcat.org/oclc/359466","Catalog Record")</f>
        <v>Catalog Record</v>
      </c>
      <c r="AW2983" s="6" t="str">
        <f>HYPERLINK("http://www.worldcat.org/oclc/359466","WorldCat Record")</f>
        <v>WorldCat Record</v>
      </c>
      <c r="AX2983" s="3" t="s">
        <v>27443</v>
      </c>
      <c r="AY2983" s="3" t="s">
        <v>29553</v>
      </c>
      <c r="AZ2983" s="3" t="s">
        <v>29554</v>
      </c>
      <c r="BA2983" s="3" t="s">
        <v>29554</v>
      </c>
      <c r="BB2983" s="3" t="s">
        <v>29555</v>
      </c>
      <c r="BC2983" s="3" t="s">
        <v>77</v>
      </c>
      <c r="BD2983" s="3" t="s">
        <v>78</v>
      </c>
      <c r="BF2983" s="3" t="s">
        <v>29555</v>
      </c>
      <c r="BG2983" s="3" t="s">
        <v>29556</v>
      </c>
    </row>
    <row r="2984" spans="1:59" ht="58" x14ac:dyDescent="0.35">
      <c r="A2984" s="2" t="s">
        <v>59</v>
      </c>
      <c r="B2984" s="2" t="s">
        <v>60</v>
      </c>
      <c r="C2984" s="2" t="s">
        <v>29557</v>
      </c>
      <c r="D2984" s="2" t="s">
        <v>29558</v>
      </c>
      <c r="E2984" s="2" t="s">
        <v>29559</v>
      </c>
      <c r="G2984" s="3" t="s">
        <v>65</v>
      </c>
      <c r="I2984" s="3" t="s">
        <v>65</v>
      </c>
      <c r="J2984" s="3" t="s">
        <v>65</v>
      </c>
      <c r="K2984" s="3" t="s">
        <v>66</v>
      </c>
      <c r="L2984" s="2" t="s">
        <v>29560</v>
      </c>
      <c r="M2984" s="2" t="s">
        <v>29561</v>
      </c>
      <c r="N2984" s="3" t="s">
        <v>863</v>
      </c>
      <c r="P2984" s="3" t="s">
        <v>140</v>
      </c>
      <c r="Q2984" s="2" t="s">
        <v>29562</v>
      </c>
      <c r="R2984" s="3" t="s">
        <v>71</v>
      </c>
      <c r="S2984" s="4">
        <v>10</v>
      </c>
      <c r="T2984" s="4">
        <v>10</v>
      </c>
      <c r="U2984" s="5" t="s">
        <v>3606</v>
      </c>
      <c r="V2984" s="5" t="s">
        <v>3606</v>
      </c>
      <c r="W2984" s="5" t="s">
        <v>72</v>
      </c>
      <c r="X2984" s="5" t="s">
        <v>72</v>
      </c>
      <c r="Y2984" s="4">
        <v>46</v>
      </c>
      <c r="Z2984" s="4">
        <v>5</v>
      </c>
      <c r="AA2984" s="4">
        <v>5</v>
      </c>
      <c r="AB2984" s="4">
        <v>1</v>
      </c>
      <c r="AC2984" s="4">
        <v>1</v>
      </c>
      <c r="AD2984" s="4">
        <v>24</v>
      </c>
      <c r="AE2984" s="4">
        <v>24</v>
      </c>
      <c r="AF2984" s="4">
        <v>0</v>
      </c>
      <c r="AG2984" s="4">
        <v>0</v>
      </c>
      <c r="AH2984" s="4">
        <v>24</v>
      </c>
      <c r="AI2984" s="4">
        <v>24</v>
      </c>
      <c r="AJ2984" s="4">
        <v>3</v>
      </c>
      <c r="AK2984" s="4">
        <v>3</v>
      </c>
      <c r="AL2984" s="4">
        <v>16</v>
      </c>
      <c r="AM2984" s="4">
        <v>16</v>
      </c>
      <c r="AN2984" s="4">
        <v>0</v>
      </c>
      <c r="AO2984" s="4">
        <v>0</v>
      </c>
      <c r="AP2984" s="4">
        <v>3</v>
      </c>
      <c r="AQ2984" s="4">
        <v>3</v>
      </c>
      <c r="AR2984" s="3" t="s">
        <v>65</v>
      </c>
      <c r="AS2984" s="3" t="s">
        <v>65</v>
      </c>
      <c r="AT2984" s="3" t="s">
        <v>65</v>
      </c>
      <c r="AV2984" s="6" t="str">
        <f>HYPERLINK("http://mcgill.on.worldcat.org/oclc/29921029","Catalog Record")</f>
        <v>Catalog Record</v>
      </c>
      <c r="AW2984" s="6" t="str">
        <f>HYPERLINK("http://www.worldcat.org/oclc/29921029","WorldCat Record")</f>
        <v>WorldCat Record</v>
      </c>
      <c r="AX2984" s="3" t="s">
        <v>29563</v>
      </c>
      <c r="AY2984" s="3" t="s">
        <v>29564</v>
      </c>
      <c r="AZ2984" s="3" t="s">
        <v>29565</v>
      </c>
      <c r="BA2984" s="3" t="s">
        <v>29565</v>
      </c>
      <c r="BB2984" s="3" t="s">
        <v>29566</v>
      </c>
      <c r="BC2984" s="3" t="s">
        <v>77</v>
      </c>
      <c r="BD2984" s="3" t="s">
        <v>78</v>
      </c>
      <c r="BE2984" s="3" t="s">
        <v>29567</v>
      </c>
      <c r="BF2984" s="3" t="s">
        <v>29566</v>
      </c>
      <c r="BG2984" s="3" t="s">
        <v>29568</v>
      </c>
    </row>
    <row r="2985" spans="1:59" ht="58" x14ac:dyDescent="0.35">
      <c r="A2985" s="2" t="s">
        <v>59</v>
      </c>
      <c r="B2985" s="2" t="s">
        <v>60</v>
      </c>
      <c r="C2985" s="2" t="s">
        <v>29569</v>
      </c>
      <c r="D2985" s="2" t="s">
        <v>29570</v>
      </c>
      <c r="E2985" s="2" t="s">
        <v>29571</v>
      </c>
      <c r="G2985" s="3" t="s">
        <v>65</v>
      </c>
      <c r="I2985" s="3" t="s">
        <v>65</v>
      </c>
      <c r="J2985" s="3" t="s">
        <v>65</v>
      </c>
      <c r="K2985" s="3" t="s">
        <v>66</v>
      </c>
      <c r="L2985" s="2" t="s">
        <v>29572</v>
      </c>
      <c r="M2985" s="2" t="s">
        <v>29573</v>
      </c>
      <c r="N2985" s="3" t="s">
        <v>2750</v>
      </c>
      <c r="P2985" s="3" t="s">
        <v>140</v>
      </c>
      <c r="Q2985" s="2" t="s">
        <v>29574</v>
      </c>
      <c r="R2985" s="3" t="s">
        <v>71</v>
      </c>
      <c r="S2985" s="4">
        <v>7</v>
      </c>
      <c r="T2985" s="4">
        <v>7</v>
      </c>
      <c r="U2985" s="5" t="s">
        <v>3606</v>
      </c>
      <c r="V2985" s="5" t="s">
        <v>3606</v>
      </c>
      <c r="W2985" s="5" t="s">
        <v>72</v>
      </c>
      <c r="X2985" s="5" t="s">
        <v>72</v>
      </c>
      <c r="Y2985" s="4">
        <v>113</v>
      </c>
      <c r="Z2985" s="4">
        <v>13</v>
      </c>
      <c r="AA2985" s="4">
        <v>15</v>
      </c>
      <c r="AB2985" s="4">
        <v>1</v>
      </c>
      <c r="AC2985" s="4">
        <v>2</v>
      </c>
      <c r="AD2985" s="4">
        <v>45</v>
      </c>
      <c r="AE2985" s="4">
        <v>46</v>
      </c>
      <c r="AF2985" s="4">
        <v>0</v>
      </c>
      <c r="AG2985" s="4">
        <v>1</v>
      </c>
      <c r="AH2985" s="4">
        <v>42</v>
      </c>
      <c r="AI2985" s="4">
        <v>42</v>
      </c>
      <c r="AJ2985" s="4">
        <v>8</v>
      </c>
      <c r="AK2985" s="4">
        <v>9</v>
      </c>
      <c r="AL2985" s="4">
        <v>28</v>
      </c>
      <c r="AM2985" s="4">
        <v>28</v>
      </c>
      <c r="AN2985" s="4">
        <v>0</v>
      </c>
      <c r="AO2985" s="4">
        <v>0</v>
      </c>
      <c r="AP2985" s="4">
        <v>8</v>
      </c>
      <c r="AQ2985" s="4">
        <v>8</v>
      </c>
      <c r="AR2985" s="3" t="s">
        <v>65</v>
      </c>
      <c r="AS2985" s="3" t="s">
        <v>65</v>
      </c>
      <c r="AT2985" s="3" t="s">
        <v>209</v>
      </c>
      <c r="AU2985" s="6" t="str">
        <f>HYPERLINK("http://catalog.hathitrust.org/Record/000716904","HathiTrust Record")</f>
        <v>HathiTrust Record</v>
      </c>
      <c r="AV2985" s="6" t="str">
        <f>HYPERLINK("http://mcgill.on.worldcat.org/oclc/2124054","Catalog Record")</f>
        <v>Catalog Record</v>
      </c>
      <c r="AW2985" s="6" t="str">
        <f>HYPERLINK("http://www.worldcat.org/oclc/2124054","WorldCat Record")</f>
        <v>WorldCat Record</v>
      </c>
      <c r="AX2985" s="3" t="s">
        <v>29575</v>
      </c>
      <c r="AY2985" s="3" t="s">
        <v>29576</v>
      </c>
      <c r="AZ2985" s="3" t="s">
        <v>29577</v>
      </c>
      <c r="BA2985" s="3" t="s">
        <v>29577</v>
      </c>
      <c r="BB2985" s="3" t="s">
        <v>29578</v>
      </c>
      <c r="BC2985" s="3" t="s">
        <v>77</v>
      </c>
      <c r="BD2985" s="3" t="s">
        <v>78</v>
      </c>
      <c r="BF2985" s="3" t="s">
        <v>29578</v>
      </c>
      <c r="BG2985" s="3" t="s">
        <v>29579</v>
      </c>
    </row>
    <row r="2986" spans="1:59" ht="58" x14ac:dyDescent="0.35">
      <c r="A2986" s="2" t="s">
        <v>59</v>
      </c>
      <c r="B2986" s="2" t="s">
        <v>60</v>
      </c>
      <c r="C2986" s="2" t="s">
        <v>29580</v>
      </c>
      <c r="D2986" s="2" t="s">
        <v>29581</v>
      </c>
      <c r="E2986" s="2" t="s">
        <v>29582</v>
      </c>
      <c r="G2986" s="3" t="s">
        <v>65</v>
      </c>
      <c r="I2986" s="3" t="s">
        <v>65</v>
      </c>
      <c r="J2986" s="3" t="s">
        <v>65</v>
      </c>
      <c r="K2986" s="3" t="s">
        <v>66</v>
      </c>
      <c r="L2986" s="2" t="s">
        <v>27417</v>
      </c>
      <c r="M2986" s="2" t="s">
        <v>29583</v>
      </c>
      <c r="N2986" s="3" t="s">
        <v>1151</v>
      </c>
      <c r="O2986" s="2" t="s">
        <v>3829</v>
      </c>
      <c r="P2986" s="3" t="s">
        <v>140</v>
      </c>
      <c r="Q2986" s="2" t="s">
        <v>29584</v>
      </c>
      <c r="R2986" s="3" t="s">
        <v>71</v>
      </c>
      <c r="S2986" s="4">
        <v>2</v>
      </c>
      <c r="T2986" s="4">
        <v>2</v>
      </c>
      <c r="U2986" s="5" t="s">
        <v>5177</v>
      </c>
      <c r="V2986" s="5" t="s">
        <v>5177</v>
      </c>
      <c r="W2986" s="5" t="s">
        <v>72</v>
      </c>
      <c r="X2986" s="5" t="s">
        <v>72</v>
      </c>
      <c r="Y2986" s="4">
        <v>43</v>
      </c>
      <c r="Z2986" s="4">
        <v>5</v>
      </c>
      <c r="AA2986" s="4">
        <v>6</v>
      </c>
      <c r="AB2986" s="4">
        <v>1</v>
      </c>
      <c r="AC2986" s="4">
        <v>1</v>
      </c>
      <c r="AD2986" s="4">
        <v>26</v>
      </c>
      <c r="AE2986" s="4">
        <v>27</v>
      </c>
      <c r="AF2986" s="4">
        <v>0</v>
      </c>
      <c r="AG2986" s="4">
        <v>0</v>
      </c>
      <c r="AH2986" s="4">
        <v>25</v>
      </c>
      <c r="AI2986" s="4">
        <v>26</v>
      </c>
      <c r="AJ2986" s="4">
        <v>3</v>
      </c>
      <c r="AK2986" s="4">
        <v>4</v>
      </c>
      <c r="AL2986" s="4">
        <v>15</v>
      </c>
      <c r="AM2986" s="4">
        <v>15</v>
      </c>
      <c r="AN2986" s="4">
        <v>0</v>
      </c>
      <c r="AO2986" s="4">
        <v>0</v>
      </c>
      <c r="AP2986" s="4">
        <v>3</v>
      </c>
      <c r="AQ2986" s="4">
        <v>4</v>
      </c>
      <c r="AR2986" s="3" t="s">
        <v>65</v>
      </c>
      <c r="AS2986" s="3" t="s">
        <v>65</v>
      </c>
      <c r="AT2986" s="3" t="s">
        <v>65</v>
      </c>
      <c r="AV2986" s="6" t="str">
        <f>HYPERLINK("http://mcgill.on.worldcat.org/oclc/3185484","Catalog Record")</f>
        <v>Catalog Record</v>
      </c>
      <c r="AW2986" s="6" t="str">
        <f>HYPERLINK("http://www.worldcat.org/oclc/3185484","WorldCat Record")</f>
        <v>WorldCat Record</v>
      </c>
      <c r="AX2986" s="3" t="s">
        <v>29585</v>
      </c>
      <c r="AY2986" s="3" t="s">
        <v>29586</v>
      </c>
      <c r="AZ2986" s="3" t="s">
        <v>29587</v>
      </c>
      <c r="BA2986" s="3" t="s">
        <v>29587</v>
      </c>
      <c r="BB2986" s="3" t="s">
        <v>29588</v>
      </c>
      <c r="BC2986" s="3" t="s">
        <v>77</v>
      </c>
      <c r="BD2986" s="3" t="s">
        <v>78</v>
      </c>
      <c r="BF2986" s="3" t="s">
        <v>29588</v>
      </c>
      <c r="BG2986" s="3" t="s">
        <v>29589</v>
      </c>
    </row>
    <row r="2987" spans="1:59" ht="58" x14ac:dyDescent="0.35">
      <c r="A2987" s="2" t="s">
        <v>59</v>
      </c>
      <c r="B2987" s="2" t="s">
        <v>60</v>
      </c>
      <c r="C2987" s="2" t="s">
        <v>29590</v>
      </c>
      <c r="D2987" s="2" t="s">
        <v>29591</v>
      </c>
      <c r="E2987" s="2" t="s">
        <v>29592</v>
      </c>
      <c r="G2987" s="3" t="s">
        <v>65</v>
      </c>
      <c r="I2987" s="3" t="s">
        <v>65</v>
      </c>
      <c r="J2987" s="3" t="s">
        <v>65</v>
      </c>
      <c r="K2987" s="3" t="s">
        <v>66</v>
      </c>
      <c r="L2987" s="2" t="s">
        <v>27417</v>
      </c>
      <c r="M2987" s="2" t="s">
        <v>29593</v>
      </c>
      <c r="N2987" s="3" t="s">
        <v>5439</v>
      </c>
      <c r="P2987" s="3" t="s">
        <v>140</v>
      </c>
      <c r="Q2987" s="2" t="s">
        <v>29594</v>
      </c>
      <c r="R2987" s="3" t="s">
        <v>71</v>
      </c>
      <c r="S2987" s="4">
        <v>3</v>
      </c>
      <c r="T2987" s="4">
        <v>3</v>
      </c>
      <c r="U2987" s="5" t="s">
        <v>13846</v>
      </c>
      <c r="V2987" s="5" t="s">
        <v>13846</v>
      </c>
      <c r="W2987" s="5" t="s">
        <v>72</v>
      </c>
      <c r="X2987" s="5" t="s">
        <v>72</v>
      </c>
      <c r="Y2987" s="4">
        <v>1</v>
      </c>
      <c r="Z2987" s="4">
        <v>1</v>
      </c>
      <c r="AA2987" s="4">
        <v>1</v>
      </c>
      <c r="AB2987" s="4">
        <v>1</v>
      </c>
      <c r="AC2987" s="4">
        <v>1</v>
      </c>
      <c r="AD2987" s="4">
        <v>0</v>
      </c>
      <c r="AE2987" s="4">
        <v>0</v>
      </c>
      <c r="AF2987" s="4">
        <v>0</v>
      </c>
      <c r="AG2987" s="4">
        <v>0</v>
      </c>
      <c r="AH2987" s="4">
        <v>0</v>
      </c>
      <c r="AI2987" s="4">
        <v>0</v>
      </c>
      <c r="AJ2987" s="4">
        <v>0</v>
      </c>
      <c r="AK2987" s="4">
        <v>0</v>
      </c>
      <c r="AL2987" s="4">
        <v>0</v>
      </c>
      <c r="AM2987" s="4">
        <v>0</v>
      </c>
      <c r="AN2987" s="4">
        <v>0</v>
      </c>
      <c r="AO2987" s="4">
        <v>0</v>
      </c>
      <c r="AP2987" s="4">
        <v>0</v>
      </c>
      <c r="AQ2987" s="4">
        <v>0</v>
      </c>
      <c r="AR2987" s="3" t="s">
        <v>65</v>
      </c>
      <c r="AS2987" s="3" t="s">
        <v>65</v>
      </c>
      <c r="AT2987" s="3" t="s">
        <v>65</v>
      </c>
      <c r="AV2987" s="6" t="str">
        <f>HYPERLINK("http://mcgill.on.worldcat.org/oclc/61608997","Catalog Record")</f>
        <v>Catalog Record</v>
      </c>
      <c r="AW2987" s="6" t="str">
        <f>HYPERLINK("http://www.worldcat.org/oclc/61608997","WorldCat Record")</f>
        <v>WorldCat Record</v>
      </c>
      <c r="AX2987" s="3" t="s">
        <v>29595</v>
      </c>
      <c r="AY2987" s="3" t="s">
        <v>29596</v>
      </c>
      <c r="AZ2987" s="3" t="s">
        <v>29597</v>
      </c>
      <c r="BA2987" s="3" t="s">
        <v>29597</v>
      </c>
      <c r="BB2987" s="3" t="s">
        <v>29598</v>
      </c>
      <c r="BC2987" s="3" t="s">
        <v>77</v>
      </c>
      <c r="BD2987" s="3" t="s">
        <v>78</v>
      </c>
      <c r="BF2987" s="3" t="s">
        <v>29598</v>
      </c>
      <c r="BG2987" s="3" t="s">
        <v>29599</v>
      </c>
    </row>
    <row r="2988" spans="1:59" ht="58" x14ac:dyDescent="0.35">
      <c r="A2988" s="2" t="s">
        <v>59</v>
      </c>
      <c r="B2988" s="2" t="s">
        <v>60</v>
      </c>
      <c r="C2988" s="2" t="s">
        <v>29600</v>
      </c>
      <c r="D2988" s="2" t="s">
        <v>29601</v>
      </c>
      <c r="E2988" s="2" t="s">
        <v>29602</v>
      </c>
      <c r="G2988" s="3" t="s">
        <v>65</v>
      </c>
      <c r="I2988" s="3" t="s">
        <v>65</v>
      </c>
      <c r="J2988" s="3" t="s">
        <v>65</v>
      </c>
      <c r="K2988" s="3" t="s">
        <v>66</v>
      </c>
      <c r="L2988" s="2" t="s">
        <v>27417</v>
      </c>
      <c r="M2988" s="2" t="s">
        <v>29603</v>
      </c>
      <c r="N2988" s="3" t="s">
        <v>4042</v>
      </c>
      <c r="O2988" s="2" t="s">
        <v>29604</v>
      </c>
      <c r="P2988" s="3" t="s">
        <v>140</v>
      </c>
      <c r="Q2988" s="2" t="s">
        <v>29605</v>
      </c>
      <c r="R2988" s="3" t="s">
        <v>71</v>
      </c>
      <c r="S2988" s="4">
        <v>11</v>
      </c>
      <c r="T2988" s="4">
        <v>11</v>
      </c>
      <c r="U2988" s="5" t="s">
        <v>5095</v>
      </c>
      <c r="V2988" s="5" t="s">
        <v>5095</v>
      </c>
      <c r="W2988" s="5" t="s">
        <v>72</v>
      </c>
      <c r="X2988" s="5" t="s">
        <v>72</v>
      </c>
      <c r="Y2988" s="4">
        <v>1</v>
      </c>
      <c r="Z2988" s="4">
        <v>1</v>
      </c>
      <c r="AA2988" s="4">
        <v>27</v>
      </c>
      <c r="AB2988" s="4">
        <v>1</v>
      </c>
      <c r="AC2988" s="4">
        <v>6</v>
      </c>
      <c r="AD2988" s="4">
        <v>0</v>
      </c>
      <c r="AE2988" s="4">
        <v>96</v>
      </c>
      <c r="AF2988" s="4">
        <v>0</v>
      </c>
      <c r="AG2988" s="4">
        <v>4</v>
      </c>
      <c r="AH2988" s="4">
        <v>0</v>
      </c>
      <c r="AI2988" s="4">
        <v>86</v>
      </c>
      <c r="AJ2988" s="4">
        <v>0</v>
      </c>
      <c r="AK2988" s="4">
        <v>18</v>
      </c>
      <c r="AL2988" s="4">
        <v>0</v>
      </c>
      <c r="AM2988" s="4">
        <v>48</v>
      </c>
      <c r="AN2988" s="4">
        <v>0</v>
      </c>
      <c r="AO2988" s="4">
        <v>6</v>
      </c>
      <c r="AP2988" s="4">
        <v>0</v>
      </c>
      <c r="AQ2988" s="4">
        <v>16</v>
      </c>
      <c r="AR2988" s="3" t="s">
        <v>65</v>
      </c>
      <c r="AS2988" s="3" t="s">
        <v>65</v>
      </c>
      <c r="AT2988" s="3" t="s">
        <v>65</v>
      </c>
      <c r="AV2988" s="6" t="str">
        <f>HYPERLINK("http://mcgill.on.worldcat.org/oclc/427159449","Catalog Record")</f>
        <v>Catalog Record</v>
      </c>
      <c r="AW2988" s="6" t="str">
        <f>HYPERLINK("http://www.worldcat.org/oclc/427159449","WorldCat Record")</f>
        <v>WorldCat Record</v>
      </c>
      <c r="AX2988" s="3" t="s">
        <v>29606</v>
      </c>
      <c r="AY2988" s="3" t="s">
        <v>29607</v>
      </c>
      <c r="AZ2988" s="3" t="s">
        <v>29608</v>
      </c>
      <c r="BA2988" s="3" t="s">
        <v>29608</v>
      </c>
      <c r="BB2988" s="3" t="s">
        <v>29609</v>
      </c>
      <c r="BC2988" s="3" t="s">
        <v>77</v>
      </c>
      <c r="BD2988" s="3" t="s">
        <v>78</v>
      </c>
      <c r="BF2988" s="3" t="s">
        <v>29609</v>
      </c>
      <c r="BG2988" s="3" t="s">
        <v>29610</v>
      </c>
    </row>
    <row r="2989" spans="1:59" ht="58" x14ac:dyDescent="0.35">
      <c r="A2989" s="2" t="s">
        <v>59</v>
      </c>
      <c r="B2989" s="2" t="s">
        <v>60</v>
      </c>
      <c r="C2989" s="2" t="s">
        <v>29611</v>
      </c>
      <c r="D2989" s="2" t="s">
        <v>29612</v>
      </c>
      <c r="E2989" s="2" t="s">
        <v>29613</v>
      </c>
      <c r="G2989" s="3" t="s">
        <v>65</v>
      </c>
      <c r="I2989" s="3" t="s">
        <v>65</v>
      </c>
      <c r="J2989" s="3" t="s">
        <v>209</v>
      </c>
      <c r="K2989" s="3" t="s">
        <v>66</v>
      </c>
      <c r="L2989" s="2" t="s">
        <v>27417</v>
      </c>
      <c r="M2989" s="2" t="s">
        <v>29614</v>
      </c>
      <c r="N2989" s="3" t="s">
        <v>12751</v>
      </c>
      <c r="P2989" s="3" t="s">
        <v>69</v>
      </c>
      <c r="R2989" s="3" t="s">
        <v>71</v>
      </c>
      <c r="S2989" s="4">
        <v>5</v>
      </c>
      <c r="T2989" s="4">
        <v>5</v>
      </c>
      <c r="U2989" s="5" t="s">
        <v>15488</v>
      </c>
      <c r="V2989" s="5" t="s">
        <v>15488</v>
      </c>
      <c r="W2989" s="5" t="s">
        <v>72</v>
      </c>
      <c r="X2989" s="5" t="s">
        <v>72</v>
      </c>
      <c r="Y2989" s="4">
        <v>2</v>
      </c>
      <c r="Z2989" s="4">
        <v>1</v>
      </c>
      <c r="AA2989" s="4">
        <v>30</v>
      </c>
      <c r="AB2989" s="4">
        <v>1</v>
      </c>
      <c r="AC2989" s="4">
        <v>2</v>
      </c>
      <c r="AD2989" s="4">
        <v>1</v>
      </c>
      <c r="AE2989" s="4">
        <v>112</v>
      </c>
      <c r="AF2989" s="4">
        <v>0</v>
      </c>
      <c r="AG2989" s="4">
        <v>0</v>
      </c>
      <c r="AH2989" s="4">
        <v>1</v>
      </c>
      <c r="AI2989" s="4">
        <v>99</v>
      </c>
      <c r="AJ2989" s="4">
        <v>0</v>
      </c>
      <c r="AK2989" s="4">
        <v>16</v>
      </c>
      <c r="AL2989" s="4">
        <v>0</v>
      </c>
      <c r="AM2989" s="4">
        <v>57</v>
      </c>
      <c r="AN2989" s="4">
        <v>0</v>
      </c>
      <c r="AO2989" s="4">
        <v>0</v>
      </c>
      <c r="AP2989" s="4">
        <v>0</v>
      </c>
      <c r="AQ2989" s="4">
        <v>20</v>
      </c>
      <c r="AR2989" s="3" t="s">
        <v>65</v>
      </c>
      <c r="AS2989" s="3" t="s">
        <v>65</v>
      </c>
      <c r="AT2989" s="3" t="s">
        <v>65</v>
      </c>
      <c r="AV2989" s="6" t="str">
        <f>HYPERLINK("http://mcgill.on.worldcat.org/oclc/427974752","Catalog Record")</f>
        <v>Catalog Record</v>
      </c>
      <c r="AW2989" s="6" t="str">
        <f>HYPERLINK("http://www.worldcat.org/oclc/427974752","WorldCat Record")</f>
        <v>WorldCat Record</v>
      </c>
      <c r="AX2989" s="3" t="s">
        <v>29615</v>
      </c>
      <c r="AY2989" s="3" t="s">
        <v>29616</v>
      </c>
      <c r="AZ2989" s="3" t="s">
        <v>29617</v>
      </c>
      <c r="BA2989" s="3" t="s">
        <v>29617</v>
      </c>
      <c r="BB2989" s="3" t="s">
        <v>29618</v>
      </c>
      <c r="BC2989" s="3" t="s">
        <v>77</v>
      </c>
      <c r="BD2989" s="3" t="s">
        <v>78</v>
      </c>
      <c r="BF2989" s="3" t="s">
        <v>29618</v>
      </c>
      <c r="BG2989" s="3" t="s">
        <v>29619</v>
      </c>
    </row>
    <row r="2990" spans="1:59" ht="58" x14ac:dyDescent="0.35">
      <c r="A2990" s="2" t="s">
        <v>59</v>
      </c>
      <c r="B2990" s="2" t="s">
        <v>60</v>
      </c>
      <c r="C2990" s="2" t="s">
        <v>29620</v>
      </c>
      <c r="D2990" s="2" t="s">
        <v>29621</v>
      </c>
      <c r="E2990" s="2" t="s">
        <v>29622</v>
      </c>
      <c r="G2990" s="3" t="s">
        <v>65</v>
      </c>
      <c r="I2990" s="3" t="s">
        <v>65</v>
      </c>
      <c r="J2990" s="3" t="s">
        <v>65</v>
      </c>
      <c r="K2990" s="3" t="s">
        <v>66</v>
      </c>
      <c r="L2990" s="2" t="s">
        <v>29623</v>
      </c>
      <c r="M2990" s="2" t="s">
        <v>29624</v>
      </c>
      <c r="N2990" s="3" t="s">
        <v>577</v>
      </c>
      <c r="P2990" s="3" t="s">
        <v>140</v>
      </c>
      <c r="Q2990" s="2" t="s">
        <v>29625</v>
      </c>
      <c r="R2990" s="3" t="s">
        <v>71</v>
      </c>
      <c r="S2990" s="4">
        <v>6</v>
      </c>
      <c r="T2990" s="4">
        <v>6</v>
      </c>
      <c r="U2990" s="5" t="s">
        <v>3606</v>
      </c>
      <c r="V2990" s="5" t="s">
        <v>3606</v>
      </c>
      <c r="W2990" s="5" t="s">
        <v>72</v>
      </c>
      <c r="X2990" s="5" t="s">
        <v>72</v>
      </c>
      <c r="Y2990" s="4">
        <v>83</v>
      </c>
      <c r="Z2990" s="4">
        <v>7</v>
      </c>
      <c r="AA2990" s="4">
        <v>8</v>
      </c>
      <c r="AB2990" s="4">
        <v>1</v>
      </c>
      <c r="AC2990" s="4">
        <v>2</v>
      </c>
      <c r="AD2990" s="4">
        <v>50</v>
      </c>
      <c r="AE2990" s="4">
        <v>51</v>
      </c>
      <c r="AF2990" s="4">
        <v>0</v>
      </c>
      <c r="AG2990" s="4">
        <v>1</v>
      </c>
      <c r="AH2990" s="4">
        <v>46</v>
      </c>
      <c r="AI2990" s="4">
        <v>46</v>
      </c>
      <c r="AJ2990" s="4">
        <v>5</v>
      </c>
      <c r="AK2990" s="4">
        <v>6</v>
      </c>
      <c r="AL2990" s="4">
        <v>32</v>
      </c>
      <c r="AM2990" s="4">
        <v>32</v>
      </c>
      <c r="AN2990" s="4">
        <v>0</v>
      </c>
      <c r="AO2990" s="4">
        <v>0</v>
      </c>
      <c r="AP2990" s="4">
        <v>5</v>
      </c>
      <c r="AQ2990" s="4">
        <v>5</v>
      </c>
      <c r="AR2990" s="3" t="s">
        <v>65</v>
      </c>
      <c r="AS2990" s="3" t="s">
        <v>65</v>
      </c>
      <c r="AT2990" s="3" t="s">
        <v>65</v>
      </c>
      <c r="AV2990" s="6" t="str">
        <f>HYPERLINK("http://mcgill.on.worldcat.org/oclc/4666116","Catalog Record")</f>
        <v>Catalog Record</v>
      </c>
      <c r="AW2990" s="6" t="str">
        <f>HYPERLINK("http://www.worldcat.org/oclc/4666116","WorldCat Record")</f>
        <v>WorldCat Record</v>
      </c>
      <c r="AX2990" s="3" t="s">
        <v>29626</v>
      </c>
      <c r="AY2990" s="3" t="s">
        <v>29627</v>
      </c>
      <c r="AZ2990" s="3" t="s">
        <v>29628</v>
      </c>
      <c r="BA2990" s="3" t="s">
        <v>29628</v>
      </c>
      <c r="BB2990" s="3" t="s">
        <v>29629</v>
      </c>
      <c r="BC2990" s="3" t="s">
        <v>77</v>
      </c>
      <c r="BD2990" s="3" t="s">
        <v>78</v>
      </c>
      <c r="BF2990" s="3" t="s">
        <v>29629</v>
      </c>
      <c r="BG2990" s="3" t="s">
        <v>29630</v>
      </c>
    </row>
    <row r="2991" spans="1:59" ht="58" x14ac:dyDescent="0.35">
      <c r="A2991" s="2" t="s">
        <v>59</v>
      </c>
      <c r="B2991" s="2" t="s">
        <v>60</v>
      </c>
      <c r="C2991" s="2" t="s">
        <v>29631</v>
      </c>
      <c r="D2991" s="2" t="s">
        <v>29632</v>
      </c>
      <c r="E2991" s="2" t="s">
        <v>29633</v>
      </c>
      <c r="G2991" s="3" t="s">
        <v>65</v>
      </c>
      <c r="I2991" s="3" t="s">
        <v>65</v>
      </c>
      <c r="J2991" s="3" t="s">
        <v>65</v>
      </c>
      <c r="K2991" s="3" t="s">
        <v>66</v>
      </c>
      <c r="L2991" s="2" t="s">
        <v>27417</v>
      </c>
      <c r="M2991" s="2" t="s">
        <v>29634</v>
      </c>
      <c r="N2991" s="3" t="s">
        <v>2460</v>
      </c>
      <c r="P2991" s="3" t="s">
        <v>69</v>
      </c>
      <c r="R2991" s="3" t="s">
        <v>71</v>
      </c>
      <c r="S2991" s="4">
        <v>4</v>
      </c>
      <c r="T2991" s="4">
        <v>4</v>
      </c>
      <c r="U2991" s="5" t="s">
        <v>21116</v>
      </c>
      <c r="V2991" s="5" t="s">
        <v>21116</v>
      </c>
      <c r="W2991" s="5" t="s">
        <v>72</v>
      </c>
      <c r="X2991" s="5" t="s">
        <v>72</v>
      </c>
      <c r="Y2991" s="4">
        <v>3</v>
      </c>
      <c r="Z2991" s="4">
        <v>3</v>
      </c>
      <c r="AA2991" s="4">
        <v>15</v>
      </c>
      <c r="AB2991" s="4">
        <v>1</v>
      </c>
      <c r="AC2991" s="4">
        <v>1</v>
      </c>
      <c r="AD2991" s="4">
        <v>1</v>
      </c>
      <c r="AE2991" s="4">
        <v>51</v>
      </c>
      <c r="AF2991" s="4">
        <v>0</v>
      </c>
      <c r="AG2991" s="4">
        <v>0</v>
      </c>
      <c r="AH2991" s="4">
        <v>1</v>
      </c>
      <c r="AI2991" s="4">
        <v>47</v>
      </c>
      <c r="AJ2991" s="4">
        <v>1</v>
      </c>
      <c r="AK2991" s="4">
        <v>10</v>
      </c>
      <c r="AL2991" s="4">
        <v>1</v>
      </c>
      <c r="AM2991" s="4">
        <v>26</v>
      </c>
      <c r="AN2991" s="4">
        <v>0</v>
      </c>
      <c r="AO2991" s="4">
        <v>0</v>
      </c>
      <c r="AP2991" s="4">
        <v>1</v>
      </c>
      <c r="AQ2991" s="4">
        <v>10</v>
      </c>
      <c r="AR2991" s="3" t="s">
        <v>65</v>
      </c>
      <c r="AS2991" s="3" t="s">
        <v>65</v>
      </c>
      <c r="AT2991" s="3" t="s">
        <v>209</v>
      </c>
      <c r="AU2991" s="6" t="str">
        <f>HYPERLINK("http://catalog.hathitrust.org/Record/002233536","HathiTrust Record")</f>
        <v>HathiTrust Record</v>
      </c>
      <c r="AV2991" s="6" t="str">
        <f>HYPERLINK("http://mcgill.on.worldcat.org/oclc/427361533","Catalog Record")</f>
        <v>Catalog Record</v>
      </c>
      <c r="AW2991" s="6" t="str">
        <f>HYPERLINK("http://www.worldcat.org/oclc/427361533","WorldCat Record")</f>
        <v>WorldCat Record</v>
      </c>
      <c r="AX2991" s="3" t="s">
        <v>29635</v>
      </c>
      <c r="AY2991" s="3" t="s">
        <v>29636</v>
      </c>
      <c r="AZ2991" s="3" t="s">
        <v>29637</v>
      </c>
      <c r="BA2991" s="3" t="s">
        <v>29637</v>
      </c>
      <c r="BB2991" s="3" t="s">
        <v>29638</v>
      </c>
      <c r="BC2991" s="3" t="s">
        <v>77</v>
      </c>
      <c r="BD2991" s="3" t="s">
        <v>78</v>
      </c>
      <c r="BE2991" s="3" t="s">
        <v>29639</v>
      </c>
      <c r="BF2991" s="3" t="s">
        <v>29638</v>
      </c>
      <c r="BG2991" s="3" t="s">
        <v>29640</v>
      </c>
    </row>
    <row r="2992" spans="1:59" ht="58" x14ac:dyDescent="0.35">
      <c r="A2992" s="2" t="s">
        <v>59</v>
      </c>
      <c r="B2992" s="2" t="s">
        <v>60</v>
      </c>
      <c r="C2992" s="2" t="s">
        <v>29641</v>
      </c>
      <c r="D2992" s="2" t="s">
        <v>29642</v>
      </c>
      <c r="E2992" s="2" t="s">
        <v>29643</v>
      </c>
      <c r="G2992" s="3" t="s">
        <v>65</v>
      </c>
      <c r="I2992" s="3" t="s">
        <v>65</v>
      </c>
      <c r="J2992" s="3" t="s">
        <v>65</v>
      </c>
      <c r="K2992" s="3" t="s">
        <v>66</v>
      </c>
      <c r="L2992" s="2" t="s">
        <v>27417</v>
      </c>
      <c r="M2992" s="2" t="s">
        <v>29644</v>
      </c>
      <c r="N2992" s="3" t="s">
        <v>577</v>
      </c>
      <c r="O2992" s="2" t="s">
        <v>365</v>
      </c>
      <c r="P2992" s="3" t="s">
        <v>140</v>
      </c>
      <c r="Q2992" s="2" t="s">
        <v>29645</v>
      </c>
      <c r="R2992" s="3" t="s">
        <v>71</v>
      </c>
      <c r="S2992" s="4">
        <v>5</v>
      </c>
      <c r="T2992" s="4">
        <v>5</v>
      </c>
      <c r="U2992" s="5" t="s">
        <v>29646</v>
      </c>
      <c r="V2992" s="5" t="s">
        <v>29646</v>
      </c>
      <c r="W2992" s="5" t="s">
        <v>72</v>
      </c>
      <c r="X2992" s="5" t="s">
        <v>72</v>
      </c>
      <c r="Y2992" s="4">
        <v>172</v>
      </c>
      <c r="Z2992" s="4">
        <v>9</v>
      </c>
      <c r="AA2992" s="4">
        <v>15</v>
      </c>
      <c r="AB2992" s="4">
        <v>1</v>
      </c>
      <c r="AC2992" s="4">
        <v>3</v>
      </c>
      <c r="AD2992" s="4">
        <v>71</v>
      </c>
      <c r="AE2992" s="4">
        <v>81</v>
      </c>
      <c r="AF2992" s="4">
        <v>0</v>
      </c>
      <c r="AG2992" s="4">
        <v>2</v>
      </c>
      <c r="AH2992" s="4">
        <v>66</v>
      </c>
      <c r="AI2992" s="4">
        <v>75</v>
      </c>
      <c r="AJ2992" s="4">
        <v>7</v>
      </c>
      <c r="AK2992" s="4">
        <v>12</v>
      </c>
      <c r="AL2992" s="4">
        <v>45</v>
      </c>
      <c r="AM2992" s="4">
        <v>46</v>
      </c>
      <c r="AN2992" s="4">
        <v>0</v>
      </c>
      <c r="AO2992" s="4">
        <v>0</v>
      </c>
      <c r="AP2992" s="4">
        <v>7</v>
      </c>
      <c r="AQ2992" s="4">
        <v>11</v>
      </c>
      <c r="AR2992" s="3" t="s">
        <v>65</v>
      </c>
      <c r="AS2992" s="3" t="s">
        <v>65</v>
      </c>
      <c r="AT2992" s="3" t="s">
        <v>209</v>
      </c>
      <c r="AU2992" s="6" t="str">
        <f>HYPERLINK("http://catalog.hathitrust.org/Record/000044539","HathiTrust Record")</f>
        <v>HathiTrust Record</v>
      </c>
      <c r="AV2992" s="6" t="str">
        <f>HYPERLINK("http://mcgill.on.worldcat.org/oclc/4461921","Catalog Record")</f>
        <v>Catalog Record</v>
      </c>
      <c r="AW2992" s="6" t="str">
        <f>HYPERLINK("http://www.worldcat.org/oclc/4461921","WorldCat Record")</f>
        <v>WorldCat Record</v>
      </c>
      <c r="AX2992" s="3" t="s">
        <v>29647</v>
      </c>
      <c r="AY2992" s="3" t="s">
        <v>29648</v>
      </c>
      <c r="AZ2992" s="3" t="s">
        <v>29649</v>
      </c>
      <c r="BA2992" s="3" t="s">
        <v>29649</v>
      </c>
      <c r="BB2992" s="3" t="s">
        <v>29650</v>
      </c>
      <c r="BC2992" s="3" t="s">
        <v>77</v>
      </c>
      <c r="BD2992" s="3" t="s">
        <v>78</v>
      </c>
      <c r="BF2992" s="3" t="s">
        <v>29650</v>
      </c>
      <c r="BG2992" s="3" t="s">
        <v>29651</v>
      </c>
    </row>
    <row r="2993" spans="1:59" ht="58" x14ac:dyDescent="0.35">
      <c r="A2993" s="2" t="s">
        <v>59</v>
      </c>
      <c r="B2993" s="2" t="s">
        <v>60</v>
      </c>
      <c r="C2993" s="2" t="s">
        <v>29652</v>
      </c>
      <c r="D2993" s="2" t="s">
        <v>29653</v>
      </c>
      <c r="E2993" s="2" t="s">
        <v>29654</v>
      </c>
      <c r="G2993" s="3" t="s">
        <v>65</v>
      </c>
      <c r="I2993" s="3" t="s">
        <v>65</v>
      </c>
      <c r="J2993" s="3" t="s">
        <v>65</v>
      </c>
      <c r="K2993" s="3" t="s">
        <v>66</v>
      </c>
      <c r="L2993" s="2" t="s">
        <v>29655</v>
      </c>
      <c r="M2993" s="2" t="s">
        <v>1788</v>
      </c>
      <c r="N2993" s="3" t="s">
        <v>176</v>
      </c>
      <c r="P2993" s="3" t="s">
        <v>140</v>
      </c>
      <c r="Q2993" s="2" t="s">
        <v>29656</v>
      </c>
      <c r="R2993" s="3" t="s">
        <v>71</v>
      </c>
      <c r="S2993" s="4">
        <v>0</v>
      </c>
      <c r="T2993" s="4">
        <v>0</v>
      </c>
      <c r="W2993" s="5" t="s">
        <v>72</v>
      </c>
      <c r="X2993" s="5" t="s">
        <v>72</v>
      </c>
      <c r="Y2993" s="4">
        <v>38</v>
      </c>
      <c r="Z2993" s="4">
        <v>3</v>
      </c>
      <c r="AA2993" s="4">
        <v>3</v>
      </c>
      <c r="AB2993" s="4">
        <v>1</v>
      </c>
      <c r="AC2993" s="4">
        <v>1</v>
      </c>
      <c r="AD2993" s="4">
        <v>27</v>
      </c>
      <c r="AE2993" s="4">
        <v>27</v>
      </c>
      <c r="AF2993" s="4">
        <v>0</v>
      </c>
      <c r="AG2993" s="4">
        <v>0</v>
      </c>
      <c r="AH2993" s="4">
        <v>26</v>
      </c>
      <c r="AI2993" s="4">
        <v>26</v>
      </c>
      <c r="AJ2993" s="4">
        <v>1</v>
      </c>
      <c r="AK2993" s="4">
        <v>1</v>
      </c>
      <c r="AL2993" s="4">
        <v>21</v>
      </c>
      <c r="AM2993" s="4">
        <v>21</v>
      </c>
      <c r="AN2993" s="4">
        <v>0</v>
      </c>
      <c r="AO2993" s="4">
        <v>0</v>
      </c>
      <c r="AP2993" s="4">
        <v>1</v>
      </c>
      <c r="AQ2993" s="4">
        <v>1</v>
      </c>
      <c r="AR2993" s="3" t="s">
        <v>65</v>
      </c>
      <c r="AS2993" s="3" t="s">
        <v>65</v>
      </c>
      <c r="AT2993" s="3" t="s">
        <v>65</v>
      </c>
      <c r="AV2993" s="6" t="str">
        <f>HYPERLINK("http://mcgill.on.worldcat.org/oclc/913218085","Catalog Record")</f>
        <v>Catalog Record</v>
      </c>
      <c r="AW2993" s="6" t="str">
        <f>HYPERLINK("http://www.worldcat.org/oclc/913218085","WorldCat Record")</f>
        <v>WorldCat Record</v>
      </c>
      <c r="AX2993" s="3" t="s">
        <v>29657</v>
      </c>
      <c r="AY2993" s="3" t="s">
        <v>29658</v>
      </c>
      <c r="AZ2993" s="3" t="s">
        <v>29659</v>
      </c>
      <c r="BA2993" s="3" t="s">
        <v>29659</v>
      </c>
      <c r="BB2993" s="3" t="s">
        <v>29660</v>
      </c>
      <c r="BC2993" s="3" t="s">
        <v>77</v>
      </c>
      <c r="BD2993" s="3" t="s">
        <v>78</v>
      </c>
      <c r="BE2993" s="3" t="s">
        <v>29661</v>
      </c>
      <c r="BF2993" s="3" t="s">
        <v>29660</v>
      </c>
      <c r="BG2993" s="3" t="s">
        <v>29662</v>
      </c>
    </row>
    <row r="2994" spans="1:59" ht="58" x14ac:dyDescent="0.35">
      <c r="A2994" s="2" t="s">
        <v>59</v>
      </c>
      <c r="B2994" s="2" t="s">
        <v>60</v>
      </c>
      <c r="C2994" s="2" t="s">
        <v>29663</v>
      </c>
      <c r="D2994" s="2" t="s">
        <v>29664</v>
      </c>
      <c r="E2994" s="2" t="s">
        <v>29665</v>
      </c>
      <c r="G2994" s="3" t="s">
        <v>65</v>
      </c>
      <c r="I2994" s="3" t="s">
        <v>65</v>
      </c>
      <c r="J2994" s="3" t="s">
        <v>65</v>
      </c>
      <c r="K2994" s="3" t="s">
        <v>66</v>
      </c>
      <c r="L2994" s="2" t="s">
        <v>29666</v>
      </c>
      <c r="M2994" s="2" t="s">
        <v>29667</v>
      </c>
      <c r="N2994" s="3" t="s">
        <v>188</v>
      </c>
      <c r="P2994" s="3" t="s">
        <v>140</v>
      </c>
      <c r="Q2994" s="2" t="s">
        <v>29668</v>
      </c>
      <c r="R2994" s="3" t="s">
        <v>71</v>
      </c>
      <c r="S2994" s="4">
        <v>0</v>
      </c>
      <c r="T2994" s="4">
        <v>0</v>
      </c>
      <c r="W2994" s="5" t="s">
        <v>72</v>
      </c>
      <c r="X2994" s="5" t="s">
        <v>72</v>
      </c>
      <c r="Y2994" s="4">
        <v>29</v>
      </c>
      <c r="Z2994" s="4">
        <v>1</v>
      </c>
      <c r="AA2994" s="4">
        <v>1</v>
      </c>
      <c r="AB2994" s="4">
        <v>1</v>
      </c>
      <c r="AC2994" s="4">
        <v>1</v>
      </c>
      <c r="AD2994" s="4">
        <v>23</v>
      </c>
      <c r="AE2994" s="4">
        <v>23</v>
      </c>
      <c r="AF2994" s="4">
        <v>0</v>
      </c>
      <c r="AG2994" s="4">
        <v>0</v>
      </c>
      <c r="AH2994" s="4">
        <v>22</v>
      </c>
      <c r="AI2994" s="4">
        <v>22</v>
      </c>
      <c r="AJ2994" s="4">
        <v>0</v>
      </c>
      <c r="AK2994" s="4">
        <v>0</v>
      </c>
      <c r="AL2994" s="4">
        <v>17</v>
      </c>
      <c r="AM2994" s="4">
        <v>17</v>
      </c>
      <c r="AN2994" s="4">
        <v>0</v>
      </c>
      <c r="AO2994" s="4">
        <v>0</v>
      </c>
      <c r="AP2994" s="4">
        <v>0</v>
      </c>
      <c r="AQ2994" s="4">
        <v>0</v>
      </c>
      <c r="AR2994" s="3" t="s">
        <v>65</v>
      </c>
      <c r="AS2994" s="3" t="s">
        <v>65</v>
      </c>
      <c r="AT2994" s="3" t="s">
        <v>65</v>
      </c>
      <c r="AV2994" s="6" t="str">
        <f>HYPERLINK("http://mcgill.on.worldcat.org/oclc/1032290535","Catalog Record")</f>
        <v>Catalog Record</v>
      </c>
      <c r="AW2994" s="6" t="str">
        <f>HYPERLINK("http://www.worldcat.org/oclc/1032290535","WorldCat Record")</f>
        <v>WorldCat Record</v>
      </c>
      <c r="AX2994" s="3" t="s">
        <v>29669</v>
      </c>
      <c r="AY2994" s="3" t="s">
        <v>29670</v>
      </c>
      <c r="AZ2994" s="3" t="s">
        <v>29671</v>
      </c>
      <c r="BA2994" s="3" t="s">
        <v>29671</v>
      </c>
      <c r="BB2994" s="3" t="s">
        <v>29672</v>
      </c>
      <c r="BC2994" s="3" t="s">
        <v>77</v>
      </c>
      <c r="BD2994" s="3" t="s">
        <v>78</v>
      </c>
      <c r="BE2994" s="3" t="s">
        <v>29673</v>
      </c>
      <c r="BF2994" s="3" t="s">
        <v>29672</v>
      </c>
      <c r="BG2994" s="3" t="s">
        <v>29674</v>
      </c>
    </row>
    <row r="2995" spans="1:59" ht="58" x14ac:dyDescent="0.35">
      <c r="A2995" s="2" t="s">
        <v>59</v>
      </c>
      <c r="B2995" s="2" t="s">
        <v>60</v>
      </c>
      <c r="C2995" s="2" t="s">
        <v>29675</v>
      </c>
      <c r="D2995" s="2" t="s">
        <v>29676</v>
      </c>
      <c r="E2995" s="2" t="s">
        <v>29677</v>
      </c>
      <c r="G2995" s="3" t="s">
        <v>65</v>
      </c>
      <c r="I2995" s="3" t="s">
        <v>65</v>
      </c>
      <c r="J2995" s="3" t="s">
        <v>65</v>
      </c>
      <c r="K2995" s="3" t="s">
        <v>66</v>
      </c>
      <c r="L2995" s="2" t="s">
        <v>5582</v>
      </c>
      <c r="M2995" s="2" t="s">
        <v>29678</v>
      </c>
      <c r="N2995" s="3" t="s">
        <v>7187</v>
      </c>
      <c r="P2995" s="3" t="s">
        <v>140</v>
      </c>
      <c r="Q2995" s="2" t="s">
        <v>29679</v>
      </c>
      <c r="R2995" s="3" t="s">
        <v>71</v>
      </c>
      <c r="S2995" s="4">
        <v>6</v>
      </c>
      <c r="T2995" s="4">
        <v>6</v>
      </c>
      <c r="U2995" s="5" t="s">
        <v>3606</v>
      </c>
      <c r="V2995" s="5" t="s">
        <v>3606</v>
      </c>
      <c r="W2995" s="5" t="s">
        <v>72</v>
      </c>
      <c r="X2995" s="5" t="s">
        <v>72</v>
      </c>
      <c r="Y2995" s="4">
        <v>13</v>
      </c>
      <c r="Z2995" s="4">
        <v>1</v>
      </c>
      <c r="AA2995" s="4">
        <v>17</v>
      </c>
      <c r="AB2995" s="4">
        <v>1</v>
      </c>
      <c r="AC2995" s="4">
        <v>3</v>
      </c>
      <c r="AD2995" s="4">
        <v>1</v>
      </c>
      <c r="AE2995" s="4">
        <v>60</v>
      </c>
      <c r="AF2995" s="4">
        <v>0</v>
      </c>
      <c r="AG2995" s="4">
        <v>2</v>
      </c>
      <c r="AH2995" s="4">
        <v>1</v>
      </c>
      <c r="AI2995" s="4">
        <v>54</v>
      </c>
      <c r="AJ2995" s="4">
        <v>0</v>
      </c>
      <c r="AK2995" s="4">
        <v>12</v>
      </c>
      <c r="AL2995" s="4">
        <v>0</v>
      </c>
      <c r="AM2995" s="4">
        <v>38</v>
      </c>
      <c r="AN2995" s="4">
        <v>0</v>
      </c>
      <c r="AO2995" s="4">
        <v>0</v>
      </c>
      <c r="AP2995" s="4">
        <v>0</v>
      </c>
      <c r="AQ2995" s="4">
        <v>10</v>
      </c>
      <c r="AR2995" s="3" t="s">
        <v>65</v>
      </c>
      <c r="AS2995" s="3" t="s">
        <v>65</v>
      </c>
      <c r="AT2995" s="3" t="s">
        <v>65</v>
      </c>
      <c r="AV2995" s="6" t="str">
        <f>HYPERLINK("http://mcgill.on.worldcat.org/oclc/5047083","Catalog Record")</f>
        <v>Catalog Record</v>
      </c>
      <c r="AW2995" s="6" t="str">
        <f>HYPERLINK("http://www.worldcat.org/oclc/5047083","WorldCat Record")</f>
        <v>WorldCat Record</v>
      </c>
      <c r="AX2995" s="3" t="s">
        <v>29680</v>
      </c>
      <c r="AY2995" s="3" t="s">
        <v>29681</v>
      </c>
      <c r="AZ2995" s="3" t="s">
        <v>29682</v>
      </c>
      <c r="BA2995" s="3" t="s">
        <v>29682</v>
      </c>
      <c r="BB2995" s="3" t="s">
        <v>29683</v>
      </c>
      <c r="BC2995" s="3" t="s">
        <v>77</v>
      </c>
      <c r="BD2995" s="3" t="s">
        <v>78</v>
      </c>
      <c r="BF2995" s="3" t="s">
        <v>29683</v>
      </c>
      <c r="BG2995" s="3" t="s">
        <v>29684</v>
      </c>
    </row>
    <row r="2996" spans="1:59" ht="58" x14ac:dyDescent="0.35">
      <c r="A2996" s="2" t="s">
        <v>59</v>
      </c>
      <c r="B2996" s="2" t="s">
        <v>60</v>
      </c>
      <c r="C2996" s="2" t="s">
        <v>29685</v>
      </c>
      <c r="D2996" s="2" t="s">
        <v>29686</v>
      </c>
      <c r="E2996" s="2" t="s">
        <v>29687</v>
      </c>
      <c r="F2996" s="3" t="s">
        <v>29688</v>
      </c>
      <c r="G2996" s="3" t="s">
        <v>209</v>
      </c>
      <c r="I2996" s="3" t="s">
        <v>65</v>
      </c>
      <c r="J2996" s="3" t="s">
        <v>65</v>
      </c>
      <c r="K2996" s="3" t="s">
        <v>66</v>
      </c>
      <c r="L2996" s="2" t="s">
        <v>27417</v>
      </c>
      <c r="M2996" s="2" t="s">
        <v>29689</v>
      </c>
      <c r="N2996" s="3" t="s">
        <v>1944</v>
      </c>
      <c r="O2996" s="2" t="s">
        <v>29690</v>
      </c>
      <c r="P2996" s="3" t="s">
        <v>140</v>
      </c>
      <c r="Q2996" s="2" t="s">
        <v>29691</v>
      </c>
      <c r="R2996" s="3" t="s">
        <v>71</v>
      </c>
      <c r="S2996" s="4">
        <v>4</v>
      </c>
      <c r="T2996" s="4">
        <v>12</v>
      </c>
      <c r="U2996" s="5" t="s">
        <v>5177</v>
      </c>
      <c r="V2996" s="5" t="s">
        <v>5177</v>
      </c>
      <c r="W2996" s="5" t="s">
        <v>72</v>
      </c>
      <c r="X2996" s="5" t="s">
        <v>72</v>
      </c>
      <c r="Y2996" s="4">
        <v>22</v>
      </c>
      <c r="Z2996" s="4">
        <v>4</v>
      </c>
      <c r="AA2996" s="4">
        <v>4</v>
      </c>
      <c r="AB2996" s="4">
        <v>1</v>
      </c>
      <c r="AC2996" s="4">
        <v>1</v>
      </c>
      <c r="AD2996" s="4">
        <v>13</v>
      </c>
      <c r="AE2996" s="4">
        <v>13</v>
      </c>
      <c r="AF2996" s="4">
        <v>0</v>
      </c>
      <c r="AG2996" s="4">
        <v>0</v>
      </c>
      <c r="AH2996" s="4">
        <v>12</v>
      </c>
      <c r="AI2996" s="4">
        <v>12</v>
      </c>
      <c r="AJ2996" s="4">
        <v>2</v>
      </c>
      <c r="AK2996" s="4">
        <v>2</v>
      </c>
      <c r="AL2996" s="4">
        <v>7</v>
      </c>
      <c r="AM2996" s="4">
        <v>7</v>
      </c>
      <c r="AN2996" s="4">
        <v>0</v>
      </c>
      <c r="AO2996" s="4">
        <v>0</v>
      </c>
      <c r="AP2996" s="4">
        <v>2</v>
      </c>
      <c r="AQ2996" s="4">
        <v>2</v>
      </c>
      <c r="AR2996" s="3" t="s">
        <v>65</v>
      </c>
      <c r="AS2996" s="3" t="s">
        <v>65</v>
      </c>
      <c r="AT2996" s="3" t="s">
        <v>209</v>
      </c>
      <c r="AU2996" s="6" t="str">
        <f>HYPERLINK("http://catalog.hathitrust.org/Record/007964173","HathiTrust Record")</f>
        <v>HathiTrust Record</v>
      </c>
      <c r="AV2996" s="6" t="str">
        <f>HYPERLINK("http://mcgill.on.worldcat.org/oclc/53398251","Catalog Record")</f>
        <v>Catalog Record</v>
      </c>
      <c r="AW2996" s="6" t="str">
        <f>HYPERLINK("http://www.worldcat.org/oclc/53398251","WorldCat Record")</f>
        <v>WorldCat Record</v>
      </c>
      <c r="AX2996" s="3" t="s">
        <v>29692</v>
      </c>
      <c r="AY2996" s="3" t="s">
        <v>29693</v>
      </c>
      <c r="AZ2996" s="3" t="s">
        <v>29694</v>
      </c>
      <c r="BA2996" s="3" t="s">
        <v>29694</v>
      </c>
      <c r="BB2996" s="3" t="s">
        <v>29695</v>
      </c>
      <c r="BC2996" s="3" t="s">
        <v>77</v>
      </c>
      <c r="BD2996" s="3" t="s">
        <v>78</v>
      </c>
      <c r="BE2996" s="3" t="s">
        <v>29696</v>
      </c>
      <c r="BF2996" s="3" t="s">
        <v>29695</v>
      </c>
      <c r="BG2996" s="3" t="s">
        <v>29697</v>
      </c>
    </row>
    <row r="2997" spans="1:59" ht="58" x14ac:dyDescent="0.35">
      <c r="A2997" s="2" t="s">
        <v>59</v>
      </c>
      <c r="B2997" s="2" t="s">
        <v>60</v>
      </c>
      <c r="C2997" s="2" t="s">
        <v>29685</v>
      </c>
      <c r="D2997" s="2" t="s">
        <v>29686</v>
      </c>
      <c r="E2997" s="2" t="s">
        <v>29687</v>
      </c>
      <c r="F2997" s="3" t="s">
        <v>245</v>
      </c>
      <c r="G2997" s="3" t="s">
        <v>209</v>
      </c>
      <c r="I2997" s="3" t="s">
        <v>65</v>
      </c>
      <c r="J2997" s="3" t="s">
        <v>65</v>
      </c>
      <c r="K2997" s="3" t="s">
        <v>66</v>
      </c>
      <c r="L2997" s="2" t="s">
        <v>27417</v>
      </c>
      <c r="M2997" s="2" t="s">
        <v>29689</v>
      </c>
      <c r="N2997" s="3" t="s">
        <v>1944</v>
      </c>
      <c r="O2997" s="2" t="s">
        <v>29690</v>
      </c>
      <c r="P2997" s="3" t="s">
        <v>140</v>
      </c>
      <c r="Q2997" s="2" t="s">
        <v>29691</v>
      </c>
      <c r="R2997" s="3" t="s">
        <v>71</v>
      </c>
      <c r="S2997" s="4">
        <v>5</v>
      </c>
      <c r="T2997" s="4">
        <v>12</v>
      </c>
      <c r="U2997" s="5" t="s">
        <v>29698</v>
      </c>
      <c r="V2997" s="5" t="s">
        <v>5177</v>
      </c>
      <c r="W2997" s="5" t="s">
        <v>72</v>
      </c>
      <c r="X2997" s="5" t="s">
        <v>72</v>
      </c>
      <c r="Y2997" s="4">
        <v>22</v>
      </c>
      <c r="Z2997" s="4">
        <v>4</v>
      </c>
      <c r="AA2997" s="4">
        <v>4</v>
      </c>
      <c r="AB2997" s="4">
        <v>1</v>
      </c>
      <c r="AC2997" s="4">
        <v>1</v>
      </c>
      <c r="AD2997" s="4">
        <v>13</v>
      </c>
      <c r="AE2997" s="4">
        <v>13</v>
      </c>
      <c r="AF2997" s="4">
        <v>0</v>
      </c>
      <c r="AG2997" s="4">
        <v>0</v>
      </c>
      <c r="AH2997" s="4">
        <v>12</v>
      </c>
      <c r="AI2997" s="4">
        <v>12</v>
      </c>
      <c r="AJ2997" s="4">
        <v>2</v>
      </c>
      <c r="AK2997" s="4">
        <v>2</v>
      </c>
      <c r="AL2997" s="4">
        <v>7</v>
      </c>
      <c r="AM2997" s="4">
        <v>7</v>
      </c>
      <c r="AN2997" s="4">
        <v>0</v>
      </c>
      <c r="AO2997" s="4">
        <v>0</v>
      </c>
      <c r="AP2997" s="4">
        <v>2</v>
      </c>
      <c r="AQ2997" s="4">
        <v>2</v>
      </c>
      <c r="AR2997" s="3" t="s">
        <v>65</v>
      </c>
      <c r="AS2997" s="3" t="s">
        <v>65</v>
      </c>
      <c r="AT2997" s="3" t="s">
        <v>209</v>
      </c>
      <c r="AU2997" s="6" t="str">
        <f>HYPERLINK("http://catalog.hathitrust.org/Record/007964173","HathiTrust Record")</f>
        <v>HathiTrust Record</v>
      </c>
      <c r="AV2997" s="6" t="str">
        <f>HYPERLINK("http://mcgill.on.worldcat.org/oclc/53398251","Catalog Record")</f>
        <v>Catalog Record</v>
      </c>
      <c r="AW2997" s="6" t="str">
        <f>HYPERLINK("http://www.worldcat.org/oclc/53398251","WorldCat Record")</f>
        <v>WorldCat Record</v>
      </c>
      <c r="AX2997" s="3" t="s">
        <v>29692</v>
      </c>
      <c r="AY2997" s="3" t="s">
        <v>29693</v>
      </c>
      <c r="AZ2997" s="3" t="s">
        <v>29694</v>
      </c>
      <c r="BA2997" s="3" t="s">
        <v>29694</v>
      </c>
      <c r="BB2997" s="3" t="s">
        <v>29699</v>
      </c>
      <c r="BC2997" s="3" t="s">
        <v>77</v>
      </c>
      <c r="BD2997" s="3" t="s">
        <v>78</v>
      </c>
      <c r="BE2997" s="3" t="s">
        <v>29696</v>
      </c>
      <c r="BF2997" s="3" t="s">
        <v>29699</v>
      </c>
      <c r="BG2997" s="3" t="s">
        <v>29700</v>
      </c>
    </row>
    <row r="2998" spans="1:59" ht="58" x14ac:dyDescent="0.35">
      <c r="A2998" s="2" t="s">
        <v>59</v>
      </c>
      <c r="B2998" s="2" t="s">
        <v>60</v>
      </c>
      <c r="C2998" s="2" t="s">
        <v>29685</v>
      </c>
      <c r="D2998" s="2" t="s">
        <v>29686</v>
      </c>
      <c r="E2998" s="2" t="s">
        <v>29687</v>
      </c>
      <c r="F2998" s="3" t="s">
        <v>29701</v>
      </c>
      <c r="G2998" s="3" t="s">
        <v>209</v>
      </c>
      <c r="I2998" s="3" t="s">
        <v>65</v>
      </c>
      <c r="J2998" s="3" t="s">
        <v>65</v>
      </c>
      <c r="K2998" s="3" t="s">
        <v>66</v>
      </c>
      <c r="L2998" s="2" t="s">
        <v>27417</v>
      </c>
      <c r="M2998" s="2" t="s">
        <v>29689</v>
      </c>
      <c r="N2998" s="3" t="s">
        <v>1944</v>
      </c>
      <c r="O2998" s="2" t="s">
        <v>29690</v>
      </c>
      <c r="P2998" s="3" t="s">
        <v>140</v>
      </c>
      <c r="Q2998" s="2" t="s">
        <v>29691</v>
      </c>
      <c r="R2998" s="3" t="s">
        <v>71</v>
      </c>
      <c r="S2998" s="4">
        <v>1</v>
      </c>
      <c r="T2998" s="4">
        <v>12</v>
      </c>
      <c r="U2998" s="5" t="s">
        <v>29702</v>
      </c>
      <c r="V2998" s="5" t="s">
        <v>5177</v>
      </c>
      <c r="W2998" s="5" t="s">
        <v>72</v>
      </c>
      <c r="X2998" s="5" t="s">
        <v>72</v>
      </c>
      <c r="Y2998" s="4">
        <v>22</v>
      </c>
      <c r="Z2998" s="4">
        <v>4</v>
      </c>
      <c r="AA2998" s="4">
        <v>4</v>
      </c>
      <c r="AB2998" s="4">
        <v>1</v>
      </c>
      <c r="AC2998" s="4">
        <v>1</v>
      </c>
      <c r="AD2998" s="4">
        <v>13</v>
      </c>
      <c r="AE2998" s="4">
        <v>13</v>
      </c>
      <c r="AF2998" s="4">
        <v>0</v>
      </c>
      <c r="AG2998" s="4">
        <v>0</v>
      </c>
      <c r="AH2998" s="4">
        <v>12</v>
      </c>
      <c r="AI2998" s="4">
        <v>12</v>
      </c>
      <c r="AJ2998" s="4">
        <v>2</v>
      </c>
      <c r="AK2998" s="4">
        <v>2</v>
      </c>
      <c r="AL2998" s="4">
        <v>7</v>
      </c>
      <c r="AM2998" s="4">
        <v>7</v>
      </c>
      <c r="AN2998" s="4">
        <v>0</v>
      </c>
      <c r="AO2998" s="4">
        <v>0</v>
      </c>
      <c r="AP2998" s="4">
        <v>2</v>
      </c>
      <c r="AQ2998" s="4">
        <v>2</v>
      </c>
      <c r="AR2998" s="3" t="s">
        <v>65</v>
      </c>
      <c r="AS2998" s="3" t="s">
        <v>65</v>
      </c>
      <c r="AT2998" s="3" t="s">
        <v>209</v>
      </c>
      <c r="AU2998" s="6" t="str">
        <f>HYPERLINK("http://catalog.hathitrust.org/Record/007964173","HathiTrust Record")</f>
        <v>HathiTrust Record</v>
      </c>
      <c r="AV2998" s="6" t="str">
        <f>HYPERLINK("http://mcgill.on.worldcat.org/oclc/53398251","Catalog Record")</f>
        <v>Catalog Record</v>
      </c>
      <c r="AW2998" s="6" t="str">
        <f>HYPERLINK("http://www.worldcat.org/oclc/53398251","WorldCat Record")</f>
        <v>WorldCat Record</v>
      </c>
      <c r="AX2998" s="3" t="s">
        <v>29692</v>
      </c>
      <c r="AY2998" s="3" t="s">
        <v>29693</v>
      </c>
      <c r="AZ2998" s="3" t="s">
        <v>29694</v>
      </c>
      <c r="BA2998" s="3" t="s">
        <v>29694</v>
      </c>
      <c r="BB2998" s="3" t="s">
        <v>29703</v>
      </c>
      <c r="BC2998" s="3" t="s">
        <v>77</v>
      </c>
      <c r="BD2998" s="3" t="s">
        <v>78</v>
      </c>
      <c r="BE2998" s="3" t="s">
        <v>29696</v>
      </c>
      <c r="BF2998" s="3" t="s">
        <v>29703</v>
      </c>
      <c r="BG2998" s="3" t="s">
        <v>29704</v>
      </c>
    </row>
    <row r="2999" spans="1:59" ht="58" x14ac:dyDescent="0.35">
      <c r="A2999" s="2" t="s">
        <v>59</v>
      </c>
      <c r="B2999" s="2" t="s">
        <v>60</v>
      </c>
      <c r="C2999" s="2" t="s">
        <v>29685</v>
      </c>
      <c r="D2999" s="2" t="s">
        <v>29686</v>
      </c>
      <c r="E2999" s="2" t="s">
        <v>29687</v>
      </c>
      <c r="F2999" s="3" t="s">
        <v>258</v>
      </c>
      <c r="G2999" s="3" t="s">
        <v>209</v>
      </c>
      <c r="I2999" s="3" t="s">
        <v>65</v>
      </c>
      <c r="J2999" s="3" t="s">
        <v>65</v>
      </c>
      <c r="K2999" s="3" t="s">
        <v>66</v>
      </c>
      <c r="L2999" s="2" t="s">
        <v>27417</v>
      </c>
      <c r="M2999" s="2" t="s">
        <v>29689</v>
      </c>
      <c r="N2999" s="3" t="s">
        <v>1944</v>
      </c>
      <c r="O2999" s="2" t="s">
        <v>29690</v>
      </c>
      <c r="P2999" s="3" t="s">
        <v>140</v>
      </c>
      <c r="Q2999" s="2" t="s">
        <v>29691</v>
      </c>
      <c r="R2999" s="3" t="s">
        <v>71</v>
      </c>
      <c r="S2999" s="4">
        <v>2</v>
      </c>
      <c r="T2999" s="4">
        <v>12</v>
      </c>
      <c r="U2999" s="5" t="s">
        <v>29705</v>
      </c>
      <c r="V2999" s="5" t="s">
        <v>5177</v>
      </c>
      <c r="W2999" s="5" t="s">
        <v>72</v>
      </c>
      <c r="X2999" s="5" t="s">
        <v>72</v>
      </c>
      <c r="Y2999" s="4">
        <v>22</v>
      </c>
      <c r="Z2999" s="4">
        <v>4</v>
      </c>
      <c r="AA2999" s="4">
        <v>4</v>
      </c>
      <c r="AB2999" s="4">
        <v>1</v>
      </c>
      <c r="AC2999" s="4">
        <v>1</v>
      </c>
      <c r="AD2999" s="4">
        <v>13</v>
      </c>
      <c r="AE2999" s="4">
        <v>13</v>
      </c>
      <c r="AF2999" s="4">
        <v>0</v>
      </c>
      <c r="AG2999" s="4">
        <v>0</v>
      </c>
      <c r="AH2999" s="4">
        <v>12</v>
      </c>
      <c r="AI2999" s="4">
        <v>12</v>
      </c>
      <c r="AJ2999" s="4">
        <v>2</v>
      </c>
      <c r="AK2999" s="4">
        <v>2</v>
      </c>
      <c r="AL2999" s="4">
        <v>7</v>
      </c>
      <c r="AM2999" s="4">
        <v>7</v>
      </c>
      <c r="AN2999" s="4">
        <v>0</v>
      </c>
      <c r="AO2999" s="4">
        <v>0</v>
      </c>
      <c r="AP2999" s="4">
        <v>2</v>
      </c>
      <c r="AQ2999" s="4">
        <v>2</v>
      </c>
      <c r="AR2999" s="3" t="s">
        <v>65</v>
      </c>
      <c r="AS2999" s="3" t="s">
        <v>65</v>
      </c>
      <c r="AT2999" s="3" t="s">
        <v>209</v>
      </c>
      <c r="AU2999" s="6" t="str">
        <f>HYPERLINK("http://catalog.hathitrust.org/Record/007964173","HathiTrust Record")</f>
        <v>HathiTrust Record</v>
      </c>
      <c r="AV2999" s="6" t="str">
        <f>HYPERLINK("http://mcgill.on.worldcat.org/oclc/53398251","Catalog Record")</f>
        <v>Catalog Record</v>
      </c>
      <c r="AW2999" s="6" t="str">
        <f>HYPERLINK("http://www.worldcat.org/oclc/53398251","WorldCat Record")</f>
        <v>WorldCat Record</v>
      </c>
      <c r="AX2999" s="3" t="s">
        <v>29692</v>
      </c>
      <c r="AY2999" s="3" t="s">
        <v>29693</v>
      </c>
      <c r="AZ2999" s="3" t="s">
        <v>29694</v>
      </c>
      <c r="BA2999" s="3" t="s">
        <v>29694</v>
      </c>
      <c r="BB2999" s="3" t="s">
        <v>29706</v>
      </c>
      <c r="BC2999" s="3" t="s">
        <v>77</v>
      </c>
      <c r="BD2999" s="3" t="s">
        <v>78</v>
      </c>
      <c r="BE2999" s="3" t="s">
        <v>29696</v>
      </c>
      <c r="BF2999" s="3" t="s">
        <v>29706</v>
      </c>
      <c r="BG2999" s="3" t="s">
        <v>29707</v>
      </c>
    </row>
    <row r="3000" spans="1:59" ht="58" x14ac:dyDescent="0.35">
      <c r="A3000" s="2" t="s">
        <v>59</v>
      </c>
      <c r="B3000" s="2" t="s">
        <v>60</v>
      </c>
      <c r="C3000" s="2" t="s">
        <v>29685</v>
      </c>
      <c r="D3000" s="2" t="s">
        <v>29686</v>
      </c>
      <c r="E3000" s="2" t="s">
        <v>29687</v>
      </c>
      <c r="F3000" s="3" t="s">
        <v>792</v>
      </c>
      <c r="G3000" s="3" t="s">
        <v>209</v>
      </c>
      <c r="I3000" s="3" t="s">
        <v>65</v>
      </c>
      <c r="J3000" s="3" t="s">
        <v>65</v>
      </c>
      <c r="K3000" s="3" t="s">
        <v>66</v>
      </c>
      <c r="L3000" s="2" t="s">
        <v>27417</v>
      </c>
      <c r="M3000" s="2" t="s">
        <v>29689</v>
      </c>
      <c r="N3000" s="3" t="s">
        <v>1944</v>
      </c>
      <c r="O3000" s="2" t="s">
        <v>29690</v>
      </c>
      <c r="P3000" s="3" t="s">
        <v>140</v>
      </c>
      <c r="Q3000" s="2" t="s">
        <v>29691</v>
      </c>
      <c r="R3000" s="3" t="s">
        <v>71</v>
      </c>
      <c r="S3000" s="4">
        <v>0</v>
      </c>
      <c r="T3000" s="4">
        <v>12</v>
      </c>
      <c r="V3000" s="5" t="s">
        <v>5177</v>
      </c>
      <c r="W3000" s="5" t="s">
        <v>72</v>
      </c>
      <c r="X3000" s="5" t="s">
        <v>72</v>
      </c>
      <c r="Y3000" s="4">
        <v>22</v>
      </c>
      <c r="Z3000" s="4">
        <v>4</v>
      </c>
      <c r="AA3000" s="4">
        <v>4</v>
      </c>
      <c r="AB3000" s="4">
        <v>1</v>
      </c>
      <c r="AC3000" s="4">
        <v>1</v>
      </c>
      <c r="AD3000" s="4">
        <v>13</v>
      </c>
      <c r="AE3000" s="4">
        <v>13</v>
      </c>
      <c r="AF3000" s="4">
        <v>0</v>
      </c>
      <c r="AG3000" s="4">
        <v>0</v>
      </c>
      <c r="AH3000" s="4">
        <v>12</v>
      </c>
      <c r="AI3000" s="4">
        <v>12</v>
      </c>
      <c r="AJ3000" s="4">
        <v>2</v>
      </c>
      <c r="AK3000" s="4">
        <v>2</v>
      </c>
      <c r="AL3000" s="4">
        <v>7</v>
      </c>
      <c r="AM3000" s="4">
        <v>7</v>
      </c>
      <c r="AN3000" s="4">
        <v>0</v>
      </c>
      <c r="AO3000" s="4">
        <v>0</v>
      </c>
      <c r="AP3000" s="4">
        <v>2</v>
      </c>
      <c r="AQ3000" s="4">
        <v>2</v>
      </c>
      <c r="AR3000" s="3" t="s">
        <v>65</v>
      </c>
      <c r="AS3000" s="3" t="s">
        <v>65</v>
      </c>
      <c r="AT3000" s="3" t="s">
        <v>209</v>
      </c>
      <c r="AU3000" s="6" t="str">
        <f>HYPERLINK("http://catalog.hathitrust.org/Record/007964173","HathiTrust Record")</f>
        <v>HathiTrust Record</v>
      </c>
      <c r="AV3000" s="6" t="str">
        <f>HYPERLINK("http://mcgill.on.worldcat.org/oclc/53398251","Catalog Record")</f>
        <v>Catalog Record</v>
      </c>
      <c r="AW3000" s="6" t="str">
        <f>HYPERLINK("http://www.worldcat.org/oclc/53398251","WorldCat Record")</f>
        <v>WorldCat Record</v>
      </c>
      <c r="AX3000" s="3" t="s">
        <v>29692</v>
      </c>
      <c r="AY3000" s="3" t="s">
        <v>29693</v>
      </c>
      <c r="AZ3000" s="3" t="s">
        <v>29694</v>
      </c>
      <c r="BA3000" s="3" t="s">
        <v>29694</v>
      </c>
      <c r="BB3000" s="3" t="s">
        <v>29708</v>
      </c>
      <c r="BC3000" s="3" t="s">
        <v>77</v>
      </c>
      <c r="BD3000" s="3" t="s">
        <v>78</v>
      </c>
      <c r="BE3000" s="3" t="s">
        <v>29696</v>
      </c>
      <c r="BF3000" s="3" t="s">
        <v>29708</v>
      </c>
      <c r="BG3000" s="3" t="s">
        <v>29709</v>
      </c>
    </row>
    <row r="3001" spans="1:59" ht="58" x14ac:dyDescent="0.35">
      <c r="A3001" s="2" t="s">
        <v>59</v>
      </c>
      <c r="B3001" s="2" t="s">
        <v>60</v>
      </c>
      <c r="C3001" s="2" t="s">
        <v>29710</v>
      </c>
      <c r="D3001" s="2" t="s">
        <v>29711</v>
      </c>
      <c r="E3001" s="2" t="s">
        <v>29712</v>
      </c>
      <c r="F3001" s="3" t="s">
        <v>503</v>
      </c>
      <c r="G3001" s="3" t="s">
        <v>209</v>
      </c>
      <c r="I3001" s="3" t="s">
        <v>65</v>
      </c>
      <c r="J3001" s="3" t="s">
        <v>65</v>
      </c>
      <c r="K3001" s="3" t="s">
        <v>66</v>
      </c>
      <c r="L3001" s="2" t="s">
        <v>29713</v>
      </c>
      <c r="M3001" s="2" t="s">
        <v>24444</v>
      </c>
      <c r="N3001" s="3" t="s">
        <v>1151</v>
      </c>
      <c r="O3001" s="2" t="s">
        <v>365</v>
      </c>
      <c r="P3001" s="3" t="s">
        <v>140</v>
      </c>
      <c r="Q3001" s="2" t="s">
        <v>7116</v>
      </c>
      <c r="R3001" s="3" t="s">
        <v>71</v>
      </c>
      <c r="S3001" s="4">
        <v>0</v>
      </c>
      <c r="T3001" s="4">
        <v>1</v>
      </c>
      <c r="V3001" s="5" t="s">
        <v>25796</v>
      </c>
      <c r="W3001" s="5" t="s">
        <v>72</v>
      </c>
      <c r="X3001" s="5" t="s">
        <v>72</v>
      </c>
      <c r="Y3001" s="4">
        <v>103</v>
      </c>
      <c r="Z3001" s="4">
        <v>9</v>
      </c>
      <c r="AA3001" s="4">
        <v>9</v>
      </c>
      <c r="AB3001" s="4">
        <v>1</v>
      </c>
      <c r="AC3001" s="4">
        <v>1</v>
      </c>
      <c r="AD3001" s="4">
        <v>57</v>
      </c>
      <c r="AE3001" s="4">
        <v>58</v>
      </c>
      <c r="AF3001" s="4">
        <v>0</v>
      </c>
      <c r="AG3001" s="4">
        <v>0</v>
      </c>
      <c r="AH3001" s="4">
        <v>53</v>
      </c>
      <c r="AI3001" s="4">
        <v>54</v>
      </c>
      <c r="AJ3001" s="4">
        <v>7</v>
      </c>
      <c r="AK3001" s="4">
        <v>7</v>
      </c>
      <c r="AL3001" s="4">
        <v>37</v>
      </c>
      <c r="AM3001" s="4">
        <v>38</v>
      </c>
      <c r="AN3001" s="4">
        <v>0</v>
      </c>
      <c r="AO3001" s="4">
        <v>0</v>
      </c>
      <c r="AP3001" s="4">
        <v>7</v>
      </c>
      <c r="AQ3001" s="4">
        <v>7</v>
      </c>
      <c r="AR3001" s="3" t="s">
        <v>65</v>
      </c>
      <c r="AS3001" s="3" t="s">
        <v>65</v>
      </c>
      <c r="AT3001" s="3" t="s">
        <v>65</v>
      </c>
      <c r="AV3001" s="6" t="str">
        <f>HYPERLINK("http://mcgill.on.worldcat.org/oclc/3002597","Catalog Record")</f>
        <v>Catalog Record</v>
      </c>
      <c r="AW3001" s="6" t="str">
        <f>HYPERLINK("http://www.worldcat.org/oclc/3002597","WorldCat Record")</f>
        <v>WorldCat Record</v>
      </c>
      <c r="AX3001" s="3" t="s">
        <v>29714</v>
      </c>
      <c r="AY3001" s="3" t="s">
        <v>29715</v>
      </c>
      <c r="AZ3001" s="3" t="s">
        <v>29716</v>
      </c>
      <c r="BA3001" s="3" t="s">
        <v>29716</v>
      </c>
      <c r="BB3001" s="3" t="s">
        <v>29717</v>
      </c>
      <c r="BC3001" s="3" t="s">
        <v>77</v>
      </c>
      <c r="BD3001" s="3" t="s">
        <v>78</v>
      </c>
      <c r="BE3001" s="3" t="s">
        <v>29718</v>
      </c>
      <c r="BF3001" s="3" t="s">
        <v>29717</v>
      </c>
      <c r="BG3001" s="3" t="s">
        <v>29719</v>
      </c>
    </row>
    <row r="3002" spans="1:59" ht="58" x14ac:dyDescent="0.35">
      <c r="A3002" s="2" t="s">
        <v>59</v>
      </c>
      <c r="B3002" s="2" t="s">
        <v>60</v>
      </c>
      <c r="C3002" s="2" t="s">
        <v>29710</v>
      </c>
      <c r="D3002" s="2" t="s">
        <v>29711</v>
      </c>
      <c r="E3002" s="2" t="s">
        <v>29712</v>
      </c>
      <c r="F3002" s="3" t="s">
        <v>490</v>
      </c>
      <c r="G3002" s="3" t="s">
        <v>209</v>
      </c>
      <c r="I3002" s="3" t="s">
        <v>65</v>
      </c>
      <c r="J3002" s="3" t="s">
        <v>65</v>
      </c>
      <c r="K3002" s="3" t="s">
        <v>66</v>
      </c>
      <c r="L3002" s="2" t="s">
        <v>29713</v>
      </c>
      <c r="M3002" s="2" t="s">
        <v>24444</v>
      </c>
      <c r="N3002" s="3" t="s">
        <v>1151</v>
      </c>
      <c r="O3002" s="2" t="s">
        <v>365</v>
      </c>
      <c r="P3002" s="3" t="s">
        <v>140</v>
      </c>
      <c r="Q3002" s="2" t="s">
        <v>7116</v>
      </c>
      <c r="R3002" s="3" t="s">
        <v>71</v>
      </c>
      <c r="S3002" s="4">
        <v>1</v>
      </c>
      <c r="T3002" s="4">
        <v>1</v>
      </c>
      <c r="U3002" s="5" t="s">
        <v>25796</v>
      </c>
      <c r="V3002" s="5" t="s">
        <v>25796</v>
      </c>
      <c r="W3002" s="5" t="s">
        <v>72</v>
      </c>
      <c r="X3002" s="5" t="s">
        <v>72</v>
      </c>
      <c r="Y3002" s="4">
        <v>103</v>
      </c>
      <c r="Z3002" s="4">
        <v>9</v>
      </c>
      <c r="AA3002" s="4">
        <v>9</v>
      </c>
      <c r="AB3002" s="4">
        <v>1</v>
      </c>
      <c r="AC3002" s="4">
        <v>1</v>
      </c>
      <c r="AD3002" s="4">
        <v>57</v>
      </c>
      <c r="AE3002" s="4">
        <v>58</v>
      </c>
      <c r="AF3002" s="4">
        <v>0</v>
      </c>
      <c r="AG3002" s="4">
        <v>0</v>
      </c>
      <c r="AH3002" s="4">
        <v>53</v>
      </c>
      <c r="AI3002" s="4">
        <v>54</v>
      </c>
      <c r="AJ3002" s="4">
        <v>7</v>
      </c>
      <c r="AK3002" s="4">
        <v>7</v>
      </c>
      <c r="AL3002" s="4">
        <v>37</v>
      </c>
      <c r="AM3002" s="4">
        <v>38</v>
      </c>
      <c r="AN3002" s="4">
        <v>0</v>
      </c>
      <c r="AO3002" s="4">
        <v>0</v>
      </c>
      <c r="AP3002" s="4">
        <v>7</v>
      </c>
      <c r="AQ3002" s="4">
        <v>7</v>
      </c>
      <c r="AR3002" s="3" t="s">
        <v>65</v>
      </c>
      <c r="AS3002" s="3" t="s">
        <v>65</v>
      </c>
      <c r="AT3002" s="3" t="s">
        <v>65</v>
      </c>
      <c r="AV3002" s="6" t="str">
        <f>HYPERLINK("http://mcgill.on.worldcat.org/oclc/3002597","Catalog Record")</f>
        <v>Catalog Record</v>
      </c>
      <c r="AW3002" s="6" t="str">
        <f>HYPERLINK("http://www.worldcat.org/oclc/3002597","WorldCat Record")</f>
        <v>WorldCat Record</v>
      </c>
      <c r="AX3002" s="3" t="s">
        <v>29714</v>
      </c>
      <c r="AY3002" s="3" t="s">
        <v>29715</v>
      </c>
      <c r="AZ3002" s="3" t="s">
        <v>29716</v>
      </c>
      <c r="BA3002" s="3" t="s">
        <v>29716</v>
      </c>
      <c r="BB3002" s="3" t="s">
        <v>29720</v>
      </c>
      <c r="BC3002" s="3" t="s">
        <v>77</v>
      </c>
      <c r="BD3002" s="3" t="s">
        <v>78</v>
      </c>
      <c r="BE3002" s="3" t="s">
        <v>29718</v>
      </c>
      <c r="BF3002" s="3" t="s">
        <v>29720</v>
      </c>
      <c r="BG3002" s="3" t="s">
        <v>29721</v>
      </c>
    </row>
    <row r="3003" spans="1:59" ht="58" x14ac:dyDescent="0.35">
      <c r="A3003" s="2" t="s">
        <v>59</v>
      </c>
      <c r="B3003" s="2" t="s">
        <v>60</v>
      </c>
      <c r="C3003" s="2" t="s">
        <v>29722</v>
      </c>
      <c r="D3003" s="2" t="s">
        <v>29723</v>
      </c>
      <c r="E3003" s="2" t="s">
        <v>29724</v>
      </c>
      <c r="G3003" s="3" t="s">
        <v>65</v>
      </c>
      <c r="I3003" s="3" t="s">
        <v>65</v>
      </c>
      <c r="J3003" s="3" t="s">
        <v>65</v>
      </c>
      <c r="K3003" s="3" t="s">
        <v>66</v>
      </c>
      <c r="L3003" s="2" t="s">
        <v>29713</v>
      </c>
      <c r="M3003" s="2" t="s">
        <v>22607</v>
      </c>
      <c r="N3003" s="3" t="s">
        <v>113</v>
      </c>
      <c r="P3003" s="3" t="s">
        <v>140</v>
      </c>
      <c r="Q3003" s="2" t="s">
        <v>2269</v>
      </c>
      <c r="R3003" s="3" t="s">
        <v>71</v>
      </c>
      <c r="S3003" s="4">
        <v>0</v>
      </c>
      <c r="T3003" s="4">
        <v>0</v>
      </c>
      <c r="W3003" s="5" t="s">
        <v>72</v>
      </c>
      <c r="X3003" s="5" t="s">
        <v>72</v>
      </c>
      <c r="Y3003" s="4">
        <v>32</v>
      </c>
      <c r="Z3003" s="4">
        <v>4</v>
      </c>
      <c r="AA3003" s="4">
        <v>4</v>
      </c>
      <c r="AB3003" s="4">
        <v>1</v>
      </c>
      <c r="AC3003" s="4">
        <v>1</v>
      </c>
      <c r="AD3003" s="4">
        <v>25</v>
      </c>
      <c r="AE3003" s="4">
        <v>25</v>
      </c>
      <c r="AF3003" s="4">
        <v>0</v>
      </c>
      <c r="AG3003" s="4">
        <v>0</v>
      </c>
      <c r="AH3003" s="4">
        <v>24</v>
      </c>
      <c r="AI3003" s="4">
        <v>24</v>
      </c>
      <c r="AJ3003" s="4">
        <v>2</v>
      </c>
      <c r="AK3003" s="4">
        <v>2</v>
      </c>
      <c r="AL3003" s="4">
        <v>20</v>
      </c>
      <c r="AM3003" s="4">
        <v>20</v>
      </c>
      <c r="AN3003" s="4">
        <v>0</v>
      </c>
      <c r="AO3003" s="4">
        <v>0</v>
      </c>
      <c r="AP3003" s="4">
        <v>2</v>
      </c>
      <c r="AQ3003" s="4">
        <v>2</v>
      </c>
      <c r="AR3003" s="3" t="s">
        <v>65</v>
      </c>
      <c r="AS3003" s="3" t="s">
        <v>65</v>
      </c>
      <c r="AT3003" s="3" t="s">
        <v>65</v>
      </c>
      <c r="AV3003" s="6" t="str">
        <f>HYPERLINK("http://mcgill.on.worldcat.org/oclc/649311839","Catalog Record")</f>
        <v>Catalog Record</v>
      </c>
      <c r="AW3003" s="6" t="str">
        <f>HYPERLINK("http://www.worldcat.org/oclc/649311839","WorldCat Record")</f>
        <v>WorldCat Record</v>
      </c>
      <c r="AX3003" s="3" t="s">
        <v>29725</v>
      </c>
      <c r="AY3003" s="3" t="s">
        <v>29726</v>
      </c>
      <c r="AZ3003" s="3" t="s">
        <v>29727</v>
      </c>
      <c r="BA3003" s="3" t="s">
        <v>29727</v>
      </c>
      <c r="BB3003" s="3" t="s">
        <v>29728</v>
      </c>
      <c r="BC3003" s="3" t="s">
        <v>77</v>
      </c>
      <c r="BD3003" s="3" t="s">
        <v>78</v>
      </c>
      <c r="BE3003" s="3" t="s">
        <v>29729</v>
      </c>
      <c r="BF3003" s="3" t="s">
        <v>29728</v>
      </c>
      <c r="BG3003" s="3" t="s">
        <v>29730</v>
      </c>
    </row>
    <row r="3004" spans="1:59" ht="58" x14ac:dyDescent="0.35">
      <c r="A3004" s="2" t="s">
        <v>59</v>
      </c>
      <c r="B3004" s="2" t="s">
        <v>60</v>
      </c>
      <c r="C3004" s="2" t="s">
        <v>29731</v>
      </c>
      <c r="D3004" s="2" t="s">
        <v>29732</v>
      </c>
      <c r="E3004" s="2" t="s">
        <v>29733</v>
      </c>
      <c r="G3004" s="3" t="s">
        <v>65</v>
      </c>
      <c r="I3004" s="3" t="s">
        <v>65</v>
      </c>
      <c r="J3004" s="3" t="s">
        <v>65</v>
      </c>
      <c r="K3004" s="3" t="s">
        <v>66</v>
      </c>
      <c r="L3004" s="2" t="s">
        <v>29734</v>
      </c>
      <c r="M3004" s="2" t="s">
        <v>17829</v>
      </c>
      <c r="N3004" s="3" t="s">
        <v>126</v>
      </c>
      <c r="P3004" s="3" t="s">
        <v>140</v>
      </c>
      <c r="Q3004" s="2" t="s">
        <v>29735</v>
      </c>
      <c r="R3004" s="3" t="s">
        <v>71</v>
      </c>
      <c r="S3004" s="4">
        <v>0</v>
      </c>
      <c r="T3004" s="4">
        <v>0</v>
      </c>
      <c r="W3004" s="5" t="s">
        <v>72</v>
      </c>
      <c r="X3004" s="5" t="s">
        <v>72</v>
      </c>
      <c r="Y3004" s="4">
        <v>17</v>
      </c>
      <c r="Z3004" s="4">
        <v>2</v>
      </c>
      <c r="AA3004" s="4">
        <v>2</v>
      </c>
      <c r="AB3004" s="4">
        <v>1</v>
      </c>
      <c r="AC3004" s="4">
        <v>1</v>
      </c>
      <c r="AD3004" s="4">
        <v>12</v>
      </c>
      <c r="AE3004" s="4">
        <v>12</v>
      </c>
      <c r="AF3004" s="4">
        <v>0</v>
      </c>
      <c r="AG3004" s="4">
        <v>0</v>
      </c>
      <c r="AH3004" s="4">
        <v>11</v>
      </c>
      <c r="AI3004" s="4">
        <v>11</v>
      </c>
      <c r="AJ3004" s="4">
        <v>1</v>
      </c>
      <c r="AK3004" s="4">
        <v>1</v>
      </c>
      <c r="AL3004" s="4">
        <v>7</v>
      </c>
      <c r="AM3004" s="4">
        <v>7</v>
      </c>
      <c r="AN3004" s="4">
        <v>0</v>
      </c>
      <c r="AO3004" s="4">
        <v>0</v>
      </c>
      <c r="AP3004" s="4">
        <v>1</v>
      </c>
      <c r="AQ3004" s="4">
        <v>1</v>
      </c>
      <c r="AR3004" s="3" t="s">
        <v>65</v>
      </c>
      <c r="AS3004" s="3" t="s">
        <v>65</v>
      </c>
      <c r="AT3004" s="3" t="s">
        <v>65</v>
      </c>
      <c r="AV3004" s="6" t="str">
        <f>HYPERLINK("http://mcgill.on.worldcat.org/oclc/759152662","Catalog Record")</f>
        <v>Catalog Record</v>
      </c>
      <c r="AW3004" s="6" t="str">
        <f>HYPERLINK("http://www.worldcat.org/oclc/759152662","WorldCat Record")</f>
        <v>WorldCat Record</v>
      </c>
      <c r="AX3004" s="3" t="s">
        <v>29736</v>
      </c>
      <c r="AY3004" s="3" t="s">
        <v>29737</v>
      </c>
      <c r="AZ3004" s="3" t="s">
        <v>29738</v>
      </c>
      <c r="BA3004" s="3" t="s">
        <v>29738</v>
      </c>
      <c r="BB3004" s="3" t="s">
        <v>29739</v>
      </c>
      <c r="BC3004" s="3" t="s">
        <v>77</v>
      </c>
      <c r="BD3004" s="3" t="s">
        <v>78</v>
      </c>
      <c r="BE3004" s="3" t="s">
        <v>29740</v>
      </c>
      <c r="BF3004" s="3" t="s">
        <v>29739</v>
      </c>
      <c r="BG3004" s="3" t="s">
        <v>29741</v>
      </c>
    </row>
    <row r="3005" spans="1:59" ht="58" x14ac:dyDescent="0.35">
      <c r="A3005" s="2" t="s">
        <v>59</v>
      </c>
      <c r="B3005" s="2" t="s">
        <v>60</v>
      </c>
      <c r="C3005" s="2" t="s">
        <v>29742</v>
      </c>
      <c r="D3005" s="2" t="s">
        <v>29743</v>
      </c>
      <c r="E3005" s="2" t="s">
        <v>29744</v>
      </c>
      <c r="G3005" s="3" t="s">
        <v>65</v>
      </c>
      <c r="I3005" s="3" t="s">
        <v>65</v>
      </c>
      <c r="J3005" s="3" t="s">
        <v>65</v>
      </c>
      <c r="K3005" s="3" t="s">
        <v>66</v>
      </c>
      <c r="L3005" s="2" t="s">
        <v>29745</v>
      </c>
      <c r="M3005" s="2" t="s">
        <v>29746</v>
      </c>
      <c r="N3005" s="3" t="s">
        <v>139</v>
      </c>
      <c r="P3005" s="3" t="s">
        <v>140</v>
      </c>
      <c r="Q3005" s="2" t="s">
        <v>29747</v>
      </c>
      <c r="R3005" s="3" t="s">
        <v>71</v>
      </c>
      <c r="S3005" s="4">
        <v>0</v>
      </c>
      <c r="T3005" s="4">
        <v>0</v>
      </c>
      <c r="U3005" s="5" t="s">
        <v>2061</v>
      </c>
      <c r="V3005" s="5" t="s">
        <v>2061</v>
      </c>
      <c r="W3005" s="5" t="s">
        <v>72</v>
      </c>
      <c r="X3005" s="5" t="s">
        <v>72</v>
      </c>
      <c r="Y3005" s="4">
        <v>29</v>
      </c>
      <c r="Z3005" s="4">
        <v>4</v>
      </c>
      <c r="AA3005" s="4">
        <v>4</v>
      </c>
      <c r="AB3005" s="4">
        <v>1</v>
      </c>
      <c r="AC3005" s="4">
        <v>1</v>
      </c>
      <c r="AD3005" s="4">
        <v>21</v>
      </c>
      <c r="AE3005" s="4">
        <v>21</v>
      </c>
      <c r="AF3005" s="4">
        <v>0</v>
      </c>
      <c r="AG3005" s="4">
        <v>0</v>
      </c>
      <c r="AH3005" s="4">
        <v>20</v>
      </c>
      <c r="AI3005" s="4">
        <v>20</v>
      </c>
      <c r="AJ3005" s="4">
        <v>2</v>
      </c>
      <c r="AK3005" s="4">
        <v>2</v>
      </c>
      <c r="AL3005" s="4">
        <v>15</v>
      </c>
      <c r="AM3005" s="4">
        <v>15</v>
      </c>
      <c r="AN3005" s="4">
        <v>0</v>
      </c>
      <c r="AO3005" s="4">
        <v>0</v>
      </c>
      <c r="AP3005" s="4">
        <v>2</v>
      </c>
      <c r="AQ3005" s="4">
        <v>2</v>
      </c>
      <c r="AR3005" s="3" t="s">
        <v>65</v>
      </c>
      <c r="AS3005" s="3" t="s">
        <v>65</v>
      </c>
      <c r="AT3005" s="3" t="s">
        <v>65</v>
      </c>
      <c r="AV3005" s="6" t="str">
        <f>HYPERLINK("http://mcgill.on.worldcat.org/oclc/846459279","Catalog Record")</f>
        <v>Catalog Record</v>
      </c>
      <c r="AW3005" s="6" t="str">
        <f>HYPERLINK("http://www.worldcat.org/oclc/846459279","WorldCat Record")</f>
        <v>WorldCat Record</v>
      </c>
      <c r="AX3005" s="3" t="s">
        <v>29748</v>
      </c>
      <c r="AY3005" s="3" t="s">
        <v>29749</v>
      </c>
      <c r="AZ3005" s="3" t="s">
        <v>29750</v>
      </c>
      <c r="BA3005" s="3" t="s">
        <v>29750</v>
      </c>
      <c r="BB3005" s="3" t="s">
        <v>29751</v>
      </c>
      <c r="BC3005" s="3" t="s">
        <v>77</v>
      </c>
      <c r="BD3005" s="3" t="s">
        <v>78</v>
      </c>
      <c r="BE3005" s="3" t="s">
        <v>29752</v>
      </c>
      <c r="BF3005" s="3" t="s">
        <v>29751</v>
      </c>
      <c r="BG3005" s="3" t="s">
        <v>29753</v>
      </c>
    </row>
    <row r="3006" spans="1:59" ht="58" x14ac:dyDescent="0.35">
      <c r="A3006" s="2" t="s">
        <v>59</v>
      </c>
      <c r="B3006" s="2" t="s">
        <v>60</v>
      </c>
      <c r="C3006" s="2" t="s">
        <v>29754</v>
      </c>
      <c r="D3006" s="2" t="s">
        <v>29755</v>
      </c>
      <c r="E3006" s="2" t="s">
        <v>29756</v>
      </c>
      <c r="G3006" s="3" t="s">
        <v>65</v>
      </c>
      <c r="I3006" s="3" t="s">
        <v>65</v>
      </c>
      <c r="J3006" s="3" t="s">
        <v>65</v>
      </c>
      <c r="K3006" s="3" t="s">
        <v>66</v>
      </c>
      <c r="L3006" s="2" t="s">
        <v>29757</v>
      </c>
      <c r="M3006" s="2" t="s">
        <v>29758</v>
      </c>
      <c r="N3006" s="3" t="s">
        <v>1173</v>
      </c>
      <c r="P3006" s="3" t="s">
        <v>140</v>
      </c>
      <c r="Q3006" s="2" t="s">
        <v>29759</v>
      </c>
      <c r="R3006" s="3" t="s">
        <v>71</v>
      </c>
      <c r="S3006" s="4">
        <v>8</v>
      </c>
      <c r="T3006" s="4">
        <v>8</v>
      </c>
      <c r="U3006" s="5" t="s">
        <v>9328</v>
      </c>
      <c r="V3006" s="5" t="s">
        <v>9328</v>
      </c>
      <c r="W3006" s="5" t="s">
        <v>72</v>
      </c>
      <c r="X3006" s="5" t="s">
        <v>72</v>
      </c>
      <c r="Y3006" s="4">
        <v>7</v>
      </c>
      <c r="Z3006" s="4">
        <v>2</v>
      </c>
      <c r="AA3006" s="4">
        <v>2</v>
      </c>
      <c r="AB3006" s="4">
        <v>1</v>
      </c>
      <c r="AC3006" s="4">
        <v>1</v>
      </c>
      <c r="AD3006" s="4">
        <v>4</v>
      </c>
      <c r="AE3006" s="4">
        <v>4</v>
      </c>
      <c r="AF3006" s="4">
        <v>0</v>
      </c>
      <c r="AG3006" s="4">
        <v>0</v>
      </c>
      <c r="AH3006" s="4">
        <v>4</v>
      </c>
      <c r="AI3006" s="4">
        <v>4</v>
      </c>
      <c r="AJ3006" s="4">
        <v>1</v>
      </c>
      <c r="AK3006" s="4">
        <v>1</v>
      </c>
      <c r="AL3006" s="4">
        <v>1</v>
      </c>
      <c r="AM3006" s="4">
        <v>1</v>
      </c>
      <c r="AN3006" s="4">
        <v>0</v>
      </c>
      <c r="AO3006" s="4">
        <v>0</v>
      </c>
      <c r="AP3006" s="4">
        <v>1</v>
      </c>
      <c r="AQ3006" s="4">
        <v>1</v>
      </c>
      <c r="AR3006" s="3" t="s">
        <v>65</v>
      </c>
      <c r="AS3006" s="3" t="s">
        <v>65</v>
      </c>
      <c r="AT3006" s="3" t="s">
        <v>65</v>
      </c>
      <c r="AV3006" s="6" t="str">
        <f>HYPERLINK("http://mcgill.on.worldcat.org/oclc/6156443","Catalog Record")</f>
        <v>Catalog Record</v>
      </c>
      <c r="AW3006" s="6" t="str">
        <f>HYPERLINK("http://www.worldcat.org/oclc/6156443","WorldCat Record")</f>
        <v>WorldCat Record</v>
      </c>
      <c r="AX3006" s="3" t="s">
        <v>29760</v>
      </c>
      <c r="AY3006" s="3" t="s">
        <v>29761</v>
      </c>
      <c r="AZ3006" s="3" t="s">
        <v>29762</v>
      </c>
      <c r="BA3006" s="3" t="s">
        <v>29762</v>
      </c>
      <c r="BB3006" s="3" t="s">
        <v>29763</v>
      </c>
      <c r="BC3006" s="3" t="s">
        <v>77</v>
      </c>
      <c r="BD3006" s="3" t="s">
        <v>78</v>
      </c>
      <c r="BF3006" s="3" t="s">
        <v>29763</v>
      </c>
      <c r="BG3006" s="3" t="s">
        <v>29764</v>
      </c>
    </row>
    <row r="3007" spans="1:59" ht="58" x14ac:dyDescent="0.35">
      <c r="A3007" s="2" t="s">
        <v>59</v>
      </c>
      <c r="B3007" s="2" t="s">
        <v>60</v>
      </c>
      <c r="C3007" s="2" t="s">
        <v>29765</v>
      </c>
      <c r="D3007" s="2" t="s">
        <v>29766</v>
      </c>
      <c r="E3007" s="2" t="s">
        <v>29767</v>
      </c>
      <c r="F3007" s="3" t="s">
        <v>10601</v>
      </c>
      <c r="G3007" s="3" t="s">
        <v>209</v>
      </c>
      <c r="I3007" s="3" t="s">
        <v>209</v>
      </c>
      <c r="J3007" s="3" t="s">
        <v>65</v>
      </c>
      <c r="K3007" s="3" t="s">
        <v>66</v>
      </c>
      <c r="L3007" s="2" t="s">
        <v>29757</v>
      </c>
      <c r="M3007" s="2" t="s">
        <v>29768</v>
      </c>
      <c r="N3007" s="3" t="s">
        <v>5130</v>
      </c>
      <c r="P3007" s="3" t="s">
        <v>140</v>
      </c>
      <c r="Q3007" s="2" t="s">
        <v>29769</v>
      </c>
      <c r="R3007" s="3" t="s">
        <v>71</v>
      </c>
      <c r="S3007" s="4">
        <v>20</v>
      </c>
      <c r="T3007" s="4">
        <v>56</v>
      </c>
      <c r="U3007" s="5" t="s">
        <v>8657</v>
      </c>
      <c r="V3007" s="5" t="s">
        <v>8657</v>
      </c>
      <c r="W3007" s="5" t="s">
        <v>72</v>
      </c>
      <c r="X3007" s="5" t="s">
        <v>72</v>
      </c>
      <c r="Y3007" s="4">
        <v>105</v>
      </c>
      <c r="Z3007" s="4">
        <v>13</v>
      </c>
      <c r="AA3007" s="4">
        <v>15</v>
      </c>
      <c r="AB3007" s="4">
        <v>1</v>
      </c>
      <c r="AC3007" s="4">
        <v>1</v>
      </c>
      <c r="AD3007" s="4">
        <v>47</v>
      </c>
      <c r="AE3007" s="4">
        <v>58</v>
      </c>
      <c r="AF3007" s="4">
        <v>0</v>
      </c>
      <c r="AG3007" s="4">
        <v>0</v>
      </c>
      <c r="AH3007" s="4">
        <v>43</v>
      </c>
      <c r="AI3007" s="4">
        <v>54</v>
      </c>
      <c r="AJ3007" s="4">
        <v>8</v>
      </c>
      <c r="AK3007" s="4">
        <v>9</v>
      </c>
      <c r="AL3007" s="4">
        <v>27</v>
      </c>
      <c r="AM3007" s="4">
        <v>34</v>
      </c>
      <c r="AN3007" s="4">
        <v>0</v>
      </c>
      <c r="AO3007" s="4">
        <v>0</v>
      </c>
      <c r="AP3007" s="4">
        <v>8</v>
      </c>
      <c r="AQ3007" s="4">
        <v>9</v>
      </c>
      <c r="AR3007" s="3" t="s">
        <v>65</v>
      </c>
      <c r="AS3007" s="3" t="s">
        <v>65</v>
      </c>
      <c r="AT3007" s="3" t="s">
        <v>209</v>
      </c>
      <c r="AU3007" s="6" t="str">
        <f>HYPERLINK("http://catalog.hathitrust.org/Record/001806735","HathiTrust Record")</f>
        <v>HathiTrust Record</v>
      </c>
      <c r="AV3007" s="6" t="str">
        <f>HYPERLINK("http://mcgill.on.worldcat.org/oclc/1034787","Catalog Record")</f>
        <v>Catalog Record</v>
      </c>
      <c r="AW3007" s="6" t="str">
        <f>HYPERLINK("http://www.worldcat.org/oclc/1034787","WorldCat Record")</f>
        <v>WorldCat Record</v>
      </c>
      <c r="AX3007" s="3" t="s">
        <v>29770</v>
      </c>
      <c r="AY3007" s="3" t="s">
        <v>29771</v>
      </c>
      <c r="AZ3007" s="3" t="s">
        <v>29772</v>
      </c>
      <c r="BA3007" s="3" t="s">
        <v>29772</v>
      </c>
      <c r="BB3007" s="3" t="s">
        <v>29773</v>
      </c>
      <c r="BC3007" s="3" t="s">
        <v>77</v>
      </c>
      <c r="BD3007" s="3" t="s">
        <v>78</v>
      </c>
      <c r="BE3007" s="3" t="s">
        <v>29774</v>
      </c>
      <c r="BF3007" s="3" t="s">
        <v>29773</v>
      </c>
      <c r="BG3007" s="3" t="s">
        <v>29775</v>
      </c>
    </row>
    <row r="3008" spans="1:59" ht="58" x14ac:dyDescent="0.35">
      <c r="A3008" s="2" t="s">
        <v>59</v>
      </c>
      <c r="B3008" s="2" t="s">
        <v>60</v>
      </c>
      <c r="C3008" s="2" t="s">
        <v>29765</v>
      </c>
      <c r="D3008" s="2" t="s">
        <v>29766</v>
      </c>
      <c r="E3008" s="2" t="s">
        <v>29767</v>
      </c>
      <c r="F3008" s="3" t="s">
        <v>490</v>
      </c>
      <c r="G3008" s="3" t="s">
        <v>209</v>
      </c>
      <c r="I3008" s="3" t="s">
        <v>209</v>
      </c>
      <c r="J3008" s="3" t="s">
        <v>65</v>
      </c>
      <c r="K3008" s="3" t="s">
        <v>66</v>
      </c>
      <c r="L3008" s="2" t="s">
        <v>29757</v>
      </c>
      <c r="M3008" s="2" t="s">
        <v>29768</v>
      </c>
      <c r="N3008" s="3" t="s">
        <v>5130</v>
      </c>
      <c r="P3008" s="3" t="s">
        <v>140</v>
      </c>
      <c r="Q3008" s="2" t="s">
        <v>29769</v>
      </c>
      <c r="R3008" s="3" t="s">
        <v>71</v>
      </c>
      <c r="S3008" s="4">
        <v>8</v>
      </c>
      <c r="T3008" s="4">
        <v>56</v>
      </c>
      <c r="U3008" s="5" t="s">
        <v>29776</v>
      </c>
      <c r="V3008" s="5" t="s">
        <v>8657</v>
      </c>
      <c r="W3008" s="5" t="s">
        <v>72</v>
      </c>
      <c r="X3008" s="5" t="s">
        <v>72</v>
      </c>
      <c r="Y3008" s="4">
        <v>105</v>
      </c>
      <c r="Z3008" s="4">
        <v>13</v>
      </c>
      <c r="AA3008" s="4">
        <v>15</v>
      </c>
      <c r="AB3008" s="4">
        <v>1</v>
      </c>
      <c r="AC3008" s="4">
        <v>1</v>
      </c>
      <c r="AD3008" s="4">
        <v>47</v>
      </c>
      <c r="AE3008" s="4">
        <v>58</v>
      </c>
      <c r="AF3008" s="4">
        <v>0</v>
      </c>
      <c r="AG3008" s="4">
        <v>0</v>
      </c>
      <c r="AH3008" s="4">
        <v>43</v>
      </c>
      <c r="AI3008" s="4">
        <v>54</v>
      </c>
      <c r="AJ3008" s="4">
        <v>8</v>
      </c>
      <c r="AK3008" s="4">
        <v>9</v>
      </c>
      <c r="AL3008" s="4">
        <v>27</v>
      </c>
      <c r="AM3008" s="4">
        <v>34</v>
      </c>
      <c r="AN3008" s="4">
        <v>0</v>
      </c>
      <c r="AO3008" s="4">
        <v>0</v>
      </c>
      <c r="AP3008" s="4">
        <v>8</v>
      </c>
      <c r="AQ3008" s="4">
        <v>9</v>
      </c>
      <c r="AR3008" s="3" t="s">
        <v>65</v>
      </c>
      <c r="AS3008" s="3" t="s">
        <v>65</v>
      </c>
      <c r="AT3008" s="3" t="s">
        <v>209</v>
      </c>
      <c r="AU3008" s="6" t="str">
        <f>HYPERLINK("http://catalog.hathitrust.org/Record/001806735","HathiTrust Record")</f>
        <v>HathiTrust Record</v>
      </c>
      <c r="AV3008" s="6" t="str">
        <f>HYPERLINK("http://mcgill.on.worldcat.org/oclc/1034787","Catalog Record")</f>
        <v>Catalog Record</v>
      </c>
      <c r="AW3008" s="6" t="str">
        <f>HYPERLINK("http://www.worldcat.org/oclc/1034787","WorldCat Record")</f>
        <v>WorldCat Record</v>
      </c>
      <c r="AX3008" s="3" t="s">
        <v>29770</v>
      </c>
      <c r="AY3008" s="3" t="s">
        <v>29771</v>
      </c>
      <c r="AZ3008" s="3" t="s">
        <v>29772</v>
      </c>
      <c r="BA3008" s="3" t="s">
        <v>29772</v>
      </c>
      <c r="BB3008" s="3" t="s">
        <v>29777</v>
      </c>
      <c r="BC3008" s="3" t="s">
        <v>77</v>
      </c>
      <c r="BD3008" s="3" t="s">
        <v>78</v>
      </c>
      <c r="BE3008" s="3" t="s">
        <v>29774</v>
      </c>
      <c r="BF3008" s="3" t="s">
        <v>29777</v>
      </c>
      <c r="BG3008" s="3" t="s">
        <v>29778</v>
      </c>
    </row>
    <row r="3009" spans="1:59" ht="58" x14ac:dyDescent="0.35">
      <c r="A3009" s="2" t="s">
        <v>59</v>
      </c>
      <c r="B3009" s="2" t="s">
        <v>60</v>
      </c>
      <c r="C3009" s="2" t="s">
        <v>29765</v>
      </c>
      <c r="D3009" s="2" t="s">
        <v>29766</v>
      </c>
      <c r="E3009" s="2" t="s">
        <v>29767</v>
      </c>
      <c r="F3009" s="3" t="s">
        <v>10617</v>
      </c>
      <c r="G3009" s="3" t="s">
        <v>209</v>
      </c>
      <c r="I3009" s="3" t="s">
        <v>209</v>
      </c>
      <c r="J3009" s="3" t="s">
        <v>65</v>
      </c>
      <c r="K3009" s="3" t="s">
        <v>66</v>
      </c>
      <c r="L3009" s="2" t="s">
        <v>29757</v>
      </c>
      <c r="M3009" s="2" t="s">
        <v>29768</v>
      </c>
      <c r="N3009" s="3" t="s">
        <v>5130</v>
      </c>
      <c r="P3009" s="3" t="s">
        <v>140</v>
      </c>
      <c r="Q3009" s="2" t="s">
        <v>29769</v>
      </c>
      <c r="R3009" s="3" t="s">
        <v>71</v>
      </c>
      <c r="S3009" s="4">
        <v>10</v>
      </c>
      <c r="T3009" s="4">
        <v>56</v>
      </c>
      <c r="U3009" s="5" t="s">
        <v>29779</v>
      </c>
      <c r="V3009" s="5" t="s">
        <v>8657</v>
      </c>
      <c r="W3009" s="5" t="s">
        <v>72</v>
      </c>
      <c r="X3009" s="5" t="s">
        <v>72</v>
      </c>
      <c r="Y3009" s="4">
        <v>105</v>
      </c>
      <c r="Z3009" s="4">
        <v>13</v>
      </c>
      <c r="AA3009" s="4">
        <v>15</v>
      </c>
      <c r="AB3009" s="4">
        <v>1</v>
      </c>
      <c r="AC3009" s="4">
        <v>1</v>
      </c>
      <c r="AD3009" s="4">
        <v>47</v>
      </c>
      <c r="AE3009" s="4">
        <v>58</v>
      </c>
      <c r="AF3009" s="4">
        <v>0</v>
      </c>
      <c r="AG3009" s="4">
        <v>0</v>
      </c>
      <c r="AH3009" s="4">
        <v>43</v>
      </c>
      <c r="AI3009" s="4">
        <v>54</v>
      </c>
      <c r="AJ3009" s="4">
        <v>8</v>
      </c>
      <c r="AK3009" s="4">
        <v>9</v>
      </c>
      <c r="AL3009" s="4">
        <v>27</v>
      </c>
      <c r="AM3009" s="4">
        <v>34</v>
      </c>
      <c r="AN3009" s="4">
        <v>0</v>
      </c>
      <c r="AO3009" s="4">
        <v>0</v>
      </c>
      <c r="AP3009" s="4">
        <v>8</v>
      </c>
      <c r="AQ3009" s="4">
        <v>9</v>
      </c>
      <c r="AR3009" s="3" t="s">
        <v>65</v>
      </c>
      <c r="AS3009" s="3" t="s">
        <v>65</v>
      </c>
      <c r="AT3009" s="3" t="s">
        <v>209</v>
      </c>
      <c r="AU3009" s="6" t="str">
        <f>HYPERLINK("http://catalog.hathitrust.org/Record/001806735","HathiTrust Record")</f>
        <v>HathiTrust Record</v>
      </c>
      <c r="AV3009" s="6" t="str">
        <f>HYPERLINK("http://mcgill.on.worldcat.org/oclc/1034787","Catalog Record")</f>
        <v>Catalog Record</v>
      </c>
      <c r="AW3009" s="6" t="str">
        <f>HYPERLINK("http://www.worldcat.org/oclc/1034787","WorldCat Record")</f>
        <v>WorldCat Record</v>
      </c>
      <c r="AX3009" s="3" t="s">
        <v>29770</v>
      </c>
      <c r="AY3009" s="3" t="s">
        <v>29771</v>
      </c>
      <c r="AZ3009" s="3" t="s">
        <v>29772</v>
      </c>
      <c r="BA3009" s="3" t="s">
        <v>29772</v>
      </c>
      <c r="BB3009" s="3" t="s">
        <v>29780</v>
      </c>
      <c r="BC3009" s="3" t="s">
        <v>77</v>
      </c>
      <c r="BD3009" s="3" t="s">
        <v>78</v>
      </c>
      <c r="BE3009" s="3" t="s">
        <v>29774</v>
      </c>
      <c r="BF3009" s="3" t="s">
        <v>29780</v>
      </c>
      <c r="BG3009" s="3" t="s">
        <v>29781</v>
      </c>
    </row>
    <row r="3010" spans="1:59" ht="58" x14ac:dyDescent="0.35">
      <c r="A3010" s="2" t="s">
        <v>59</v>
      </c>
      <c r="B3010" s="2" t="s">
        <v>60</v>
      </c>
      <c r="C3010" s="2" t="s">
        <v>29765</v>
      </c>
      <c r="D3010" s="2" t="s">
        <v>29766</v>
      </c>
      <c r="E3010" s="2" t="s">
        <v>29767</v>
      </c>
      <c r="G3010" s="3" t="s">
        <v>209</v>
      </c>
      <c r="I3010" s="3" t="s">
        <v>209</v>
      </c>
      <c r="J3010" s="3" t="s">
        <v>65</v>
      </c>
      <c r="K3010" s="3" t="s">
        <v>66</v>
      </c>
      <c r="L3010" s="2" t="s">
        <v>29757</v>
      </c>
      <c r="M3010" s="2" t="s">
        <v>29768</v>
      </c>
      <c r="N3010" s="3" t="s">
        <v>5130</v>
      </c>
      <c r="P3010" s="3" t="s">
        <v>140</v>
      </c>
      <c r="Q3010" s="2" t="s">
        <v>29769</v>
      </c>
      <c r="R3010" s="3" t="s">
        <v>71</v>
      </c>
      <c r="S3010" s="4">
        <v>18</v>
      </c>
      <c r="T3010" s="4">
        <v>56</v>
      </c>
      <c r="U3010" s="5" t="s">
        <v>13773</v>
      </c>
      <c r="V3010" s="5" t="s">
        <v>8657</v>
      </c>
      <c r="W3010" s="5" t="s">
        <v>72</v>
      </c>
      <c r="X3010" s="5" t="s">
        <v>72</v>
      </c>
      <c r="Y3010" s="4">
        <v>105</v>
      </c>
      <c r="Z3010" s="4">
        <v>13</v>
      </c>
      <c r="AA3010" s="4">
        <v>15</v>
      </c>
      <c r="AB3010" s="4">
        <v>1</v>
      </c>
      <c r="AC3010" s="4">
        <v>1</v>
      </c>
      <c r="AD3010" s="4">
        <v>47</v>
      </c>
      <c r="AE3010" s="4">
        <v>58</v>
      </c>
      <c r="AF3010" s="4">
        <v>0</v>
      </c>
      <c r="AG3010" s="4">
        <v>0</v>
      </c>
      <c r="AH3010" s="4">
        <v>43</v>
      </c>
      <c r="AI3010" s="4">
        <v>54</v>
      </c>
      <c r="AJ3010" s="4">
        <v>8</v>
      </c>
      <c r="AK3010" s="4">
        <v>9</v>
      </c>
      <c r="AL3010" s="4">
        <v>27</v>
      </c>
      <c r="AM3010" s="4">
        <v>34</v>
      </c>
      <c r="AN3010" s="4">
        <v>0</v>
      </c>
      <c r="AO3010" s="4">
        <v>0</v>
      </c>
      <c r="AP3010" s="4">
        <v>8</v>
      </c>
      <c r="AQ3010" s="4">
        <v>9</v>
      </c>
      <c r="AR3010" s="3" t="s">
        <v>65</v>
      </c>
      <c r="AS3010" s="3" t="s">
        <v>65</v>
      </c>
      <c r="AT3010" s="3" t="s">
        <v>209</v>
      </c>
      <c r="AU3010" s="6" t="str">
        <f>HYPERLINK("http://catalog.hathitrust.org/Record/001806735","HathiTrust Record")</f>
        <v>HathiTrust Record</v>
      </c>
      <c r="AV3010" s="6" t="str">
        <f>HYPERLINK("http://mcgill.on.worldcat.org/oclc/1034787","Catalog Record")</f>
        <v>Catalog Record</v>
      </c>
      <c r="AW3010" s="6" t="str">
        <f>HYPERLINK("http://www.worldcat.org/oclc/1034787","WorldCat Record")</f>
        <v>WorldCat Record</v>
      </c>
      <c r="AX3010" s="3" t="s">
        <v>29770</v>
      </c>
      <c r="AY3010" s="3" t="s">
        <v>29771</v>
      </c>
      <c r="AZ3010" s="3" t="s">
        <v>29772</v>
      </c>
      <c r="BA3010" s="3" t="s">
        <v>29772</v>
      </c>
      <c r="BB3010" s="3" t="s">
        <v>29782</v>
      </c>
      <c r="BC3010" s="3" t="s">
        <v>77</v>
      </c>
      <c r="BD3010" s="3" t="s">
        <v>78</v>
      </c>
      <c r="BE3010" s="3" t="s">
        <v>29774</v>
      </c>
      <c r="BF3010" s="3" t="s">
        <v>29782</v>
      </c>
      <c r="BG3010" s="3" t="s">
        <v>29783</v>
      </c>
    </row>
    <row r="3011" spans="1:59" ht="58" x14ac:dyDescent="0.35">
      <c r="A3011" s="2" t="s">
        <v>59</v>
      </c>
      <c r="B3011" s="2" t="s">
        <v>60</v>
      </c>
      <c r="C3011" s="2" t="s">
        <v>29784</v>
      </c>
      <c r="D3011" s="2" t="s">
        <v>29785</v>
      </c>
      <c r="E3011" s="2" t="s">
        <v>29786</v>
      </c>
      <c r="F3011" s="3" t="s">
        <v>29787</v>
      </c>
      <c r="G3011" s="3" t="s">
        <v>209</v>
      </c>
      <c r="I3011" s="3" t="s">
        <v>65</v>
      </c>
      <c r="J3011" s="3" t="s">
        <v>209</v>
      </c>
      <c r="K3011" s="3" t="s">
        <v>66</v>
      </c>
      <c r="L3011" s="2" t="s">
        <v>29757</v>
      </c>
      <c r="M3011" s="2" t="s">
        <v>29788</v>
      </c>
      <c r="N3011" s="3" t="s">
        <v>4688</v>
      </c>
      <c r="O3011" s="2" t="s">
        <v>29789</v>
      </c>
      <c r="P3011" s="3" t="s">
        <v>140</v>
      </c>
      <c r="Q3011" s="2" t="s">
        <v>29769</v>
      </c>
      <c r="R3011" s="3" t="s">
        <v>71</v>
      </c>
      <c r="S3011" s="4">
        <v>4</v>
      </c>
      <c r="T3011" s="4">
        <v>38</v>
      </c>
      <c r="U3011" s="5" t="s">
        <v>29790</v>
      </c>
      <c r="V3011" s="5" t="s">
        <v>1211</v>
      </c>
      <c r="W3011" s="5" t="s">
        <v>72</v>
      </c>
      <c r="X3011" s="5" t="s">
        <v>72</v>
      </c>
      <c r="Y3011" s="4">
        <v>31</v>
      </c>
      <c r="Z3011" s="4">
        <v>2</v>
      </c>
      <c r="AA3011" s="4">
        <v>27</v>
      </c>
      <c r="AB3011" s="4">
        <v>1</v>
      </c>
      <c r="AC3011" s="4">
        <v>3</v>
      </c>
      <c r="AD3011" s="4">
        <v>15</v>
      </c>
      <c r="AE3011" s="4">
        <v>105</v>
      </c>
      <c r="AF3011" s="4">
        <v>0</v>
      </c>
      <c r="AG3011" s="4">
        <v>2</v>
      </c>
      <c r="AH3011" s="4">
        <v>15</v>
      </c>
      <c r="AI3011" s="4">
        <v>91</v>
      </c>
      <c r="AJ3011" s="4">
        <v>1</v>
      </c>
      <c r="AK3011" s="4">
        <v>16</v>
      </c>
      <c r="AL3011" s="4">
        <v>10</v>
      </c>
      <c r="AM3011" s="4">
        <v>55</v>
      </c>
      <c r="AN3011" s="4">
        <v>0</v>
      </c>
      <c r="AO3011" s="4">
        <v>0</v>
      </c>
      <c r="AP3011" s="4">
        <v>1</v>
      </c>
      <c r="AQ3011" s="4">
        <v>19</v>
      </c>
      <c r="AR3011" s="3" t="s">
        <v>65</v>
      </c>
      <c r="AS3011" s="3" t="s">
        <v>65</v>
      </c>
      <c r="AT3011" s="3" t="s">
        <v>209</v>
      </c>
      <c r="AU3011" s="6" t="str">
        <f t="shared" ref="AU3011:AU3016" si="48">HYPERLINK("http://catalog.hathitrust.org/Record/101877746","HathiTrust Record")</f>
        <v>HathiTrust Record</v>
      </c>
      <c r="AV3011" s="6" t="str">
        <f t="shared" ref="AV3011:AV3016" si="49">HYPERLINK("http://mcgill.on.worldcat.org/oclc/14447386","Catalog Record")</f>
        <v>Catalog Record</v>
      </c>
      <c r="AW3011" s="6" t="str">
        <f t="shared" ref="AW3011:AW3016" si="50">HYPERLINK("http://www.worldcat.org/oclc/14447386","WorldCat Record")</f>
        <v>WorldCat Record</v>
      </c>
      <c r="AX3011" s="3" t="s">
        <v>29791</v>
      </c>
      <c r="AY3011" s="3" t="s">
        <v>29792</v>
      </c>
      <c r="AZ3011" s="3" t="s">
        <v>29793</v>
      </c>
      <c r="BA3011" s="3" t="s">
        <v>29793</v>
      </c>
      <c r="BB3011" s="3" t="s">
        <v>29794</v>
      </c>
      <c r="BC3011" s="3" t="s">
        <v>77</v>
      </c>
      <c r="BD3011" s="3" t="s">
        <v>78</v>
      </c>
      <c r="BF3011" s="3" t="s">
        <v>29794</v>
      </c>
      <c r="BG3011" s="3" t="s">
        <v>29795</v>
      </c>
    </row>
    <row r="3012" spans="1:59" ht="58" x14ac:dyDescent="0.35">
      <c r="A3012" s="2" t="s">
        <v>59</v>
      </c>
      <c r="B3012" s="2" t="s">
        <v>60</v>
      </c>
      <c r="C3012" s="2" t="s">
        <v>29784</v>
      </c>
      <c r="D3012" s="2" t="s">
        <v>29785</v>
      </c>
      <c r="E3012" s="2" t="s">
        <v>29786</v>
      </c>
      <c r="F3012" s="3" t="s">
        <v>8612</v>
      </c>
      <c r="G3012" s="3" t="s">
        <v>209</v>
      </c>
      <c r="I3012" s="3" t="s">
        <v>65</v>
      </c>
      <c r="J3012" s="3" t="s">
        <v>209</v>
      </c>
      <c r="K3012" s="3" t="s">
        <v>66</v>
      </c>
      <c r="L3012" s="2" t="s">
        <v>29757</v>
      </c>
      <c r="M3012" s="2" t="s">
        <v>29788</v>
      </c>
      <c r="N3012" s="3" t="s">
        <v>4688</v>
      </c>
      <c r="O3012" s="2" t="s">
        <v>29789</v>
      </c>
      <c r="P3012" s="3" t="s">
        <v>140</v>
      </c>
      <c r="Q3012" s="2" t="s">
        <v>29769</v>
      </c>
      <c r="R3012" s="3" t="s">
        <v>71</v>
      </c>
      <c r="S3012" s="4">
        <v>3</v>
      </c>
      <c r="T3012" s="4">
        <v>38</v>
      </c>
      <c r="U3012" s="5" t="s">
        <v>29790</v>
      </c>
      <c r="V3012" s="5" t="s">
        <v>1211</v>
      </c>
      <c r="W3012" s="5" t="s">
        <v>72</v>
      </c>
      <c r="X3012" s="5" t="s">
        <v>72</v>
      </c>
      <c r="Y3012" s="4">
        <v>31</v>
      </c>
      <c r="Z3012" s="4">
        <v>2</v>
      </c>
      <c r="AA3012" s="4">
        <v>27</v>
      </c>
      <c r="AB3012" s="4">
        <v>1</v>
      </c>
      <c r="AC3012" s="4">
        <v>3</v>
      </c>
      <c r="AD3012" s="4">
        <v>15</v>
      </c>
      <c r="AE3012" s="4">
        <v>105</v>
      </c>
      <c r="AF3012" s="4">
        <v>0</v>
      </c>
      <c r="AG3012" s="4">
        <v>2</v>
      </c>
      <c r="AH3012" s="4">
        <v>15</v>
      </c>
      <c r="AI3012" s="4">
        <v>91</v>
      </c>
      <c r="AJ3012" s="4">
        <v>1</v>
      </c>
      <c r="AK3012" s="4">
        <v>16</v>
      </c>
      <c r="AL3012" s="4">
        <v>10</v>
      </c>
      <c r="AM3012" s="4">
        <v>55</v>
      </c>
      <c r="AN3012" s="4">
        <v>0</v>
      </c>
      <c r="AO3012" s="4">
        <v>0</v>
      </c>
      <c r="AP3012" s="4">
        <v>1</v>
      </c>
      <c r="AQ3012" s="4">
        <v>19</v>
      </c>
      <c r="AR3012" s="3" t="s">
        <v>65</v>
      </c>
      <c r="AS3012" s="3" t="s">
        <v>65</v>
      </c>
      <c r="AT3012" s="3" t="s">
        <v>209</v>
      </c>
      <c r="AU3012" s="6" t="str">
        <f t="shared" si="48"/>
        <v>HathiTrust Record</v>
      </c>
      <c r="AV3012" s="6" t="str">
        <f t="shared" si="49"/>
        <v>Catalog Record</v>
      </c>
      <c r="AW3012" s="6" t="str">
        <f t="shared" si="50"/>
        <v>WorldCat Record</v>
      </c>
      <c r="AX3012" s="3" t="s">
        <v>29791</v>
      </c>
      <c r="AY3012" s="3" t="s">
        <v>29792</v>
      </c>
      <c r="AZ3012" s="3" t="s">
        <v>29793</v>
      </c>
      <c r="BA3012" s="3" t="s">
        <v>29793</v>
      </c>
      <c r="BB3012" s="3" t="s">
        <v>29796</v>
      </c>
      <c r="BC3012" s="3" t="s">
        <v>77</v>
      </c>
      <c r="BD3012" s="3" t="s">
        <v>78</v>
      </c>
      <c r="BF3012" s="3" t="s">
        <v>29796</v>
      </c>
      <c r="BG3012" s="3" t="s">
        <v>29797</v>
      </c>
    </row>
    <row r="3013" spans="1:59" ht="58" x14ac:dyDescent="0.35">
      <c r="A3013" s="2" t="s">
        <v>59</v>
      </c>
      <c r="B3013" s="2" t="s">
        <v>60</v>
      </c>
      <c r="C3013" s="2" t="s">
        <v>29784</v>
      </c>
      <c r="D3013" s="2" t="s">
        <v>29785</v>
      </c>
      <c r="E3013" s="2" t="s">
        <v>29786</v>
      </c>
      <c r="F3013" s="3" t="s">
        <v>29798</v>
      </c>
      <c r="G3013" s="3" t="s">
        <v>209</v>
      </c>
      <c r="I3013" s="3" t="s">
        <v>65</v>
      </c>
      <c r="J3013" s="3" t="s">
        <v>209</v>
      </c>
      <c r="K3013" s="3" t="s">
        <v>66</v>
      </c>
      <c r="L3013" s="2" t="s">
        <v>29757</v>
      </c>
      <c r="M3013" s="2" t="s">
        <v>29788</v>
      </c>
      <c r="N3013" s="3" t="s">
        <v>4688</v>
      </c>
      <c r="O3013" s="2" t="s">
        <v>29789</v>
      </c>
      <c r="P3013" s="3" t="s">
        <v>140</v>
      </c>
      <c r="Q3013" s="2" t="s">
        <v>29769</v>
      </c>
      <c r="R3013" s="3" t="s">
        <v>71</v>
      </c>
      <c r="S3013" s="4">
        <v>9</v>
      </c>
      <c r="T3013" s="4">
        <v>38</v>
      </c>
      <c r="U3013" s="5" t="s">
        <v>1211</v>
      </c>
      <c r="V3013" s="5" t="s">
        <v>1211</v>
      </c>
      <c r="W3013" s="5" t="s">
        <v>72</v>
      </c>
      <c r="X3013" s="5" t="s">
        <v>72</v>
      </c>
      <c r="Y3013" s="4">
        <v>31</v>
      </c>
      <c r="Z3013" s="4">
        <v>2</v>
      </c>
      <c r="AA3013" s="4">
        <v>27</v>
      </c>
      <c r="AB3013" s="4">
        <v>1</v>
      </c>
      <c r="AC3013" s="4">
        <v>3</v>
      </c>
      <c r="AD3013" s="4">
        <v>15</v>
      </c>
      <c r="AE3013" s="4">
        <v>105</v>
      </c>
      <c r="AF3013" s="4">
        <v>0</v>
      </c>
      <c r="AG3013" s="4">
        <v>2</v>
      </c>
      <c r="AH3013" s="4">
        <v>15</v>
      </c>
      <c r="AI3013" s="4">
        <v>91</v>
      </c>
      <c r="AJ3013" s="4">
        <v>1</v>
      </c>
      <c r="AK3013" s="4">
        <v>16</v>
      </c>
      <c r="AL3013" s="4">
        <v>10</v>
      </c>
      <c r="AM3013" s="4">
        <v>55</v>
      </c>
      <c r="AN3013" s="4">
        <v>0</v>
      </c>
      <c r="AO3013" s="4">
        <v>0</v>
      </c>
      <c r="AP3013" s="4">
        <v>1</v>
      </c>
      <c r="AQ3013" s="4">
        <v>19</v>
      </c>
      <c r="AR3013" s="3" t="s">
        <v>65</v>
      </c>
      <c r="AS3013" s="3" t="s">
        <v>65</v>
      </c>
      <c r="AT3013" s="3" t="s">
        <v>209</v>
      </c>
      <c r="AU3013" s="6" t="str">
        <f t="shared" si="48"/>
        <v>HathiTrust Record</v>
      </c>
      <c r="AV3013" s="6" t="str">
        <f t="shared" si="49"/>
        <v>Catalog Record</v>
      </c>
      <c r="AW3013" s="6" t="str">
        <f t="shared" si="50"/>
        <v>WorldCat Record</v>
      </c>
      <c r="AX3013" s="3" t="s">
        <v>29791</v>
      </c>
      <c r="AY3013" s="3" t="s">
        <v>29792</v>
      </c>
      <c r="AZ3013" s="3" t="s">
        <v>29793</v>
      </c>
      <c r="BA3013" s="3" t="s">
        <v>29793</v>
      </c>
      <c r="BB3013" s="3" t="s">
        <v>29799</v>
      </c>
      <c r="BC3013" s="3" t="s">
        <v>77</v>
      </c>
      <c r="BD3013" s="3" t="s">
        <v>78</v>
      </c>
      <c r="BF3013" s="3" t="s">
        <v>29799</v>
      </c>
      <c r="BG3013" s="3" t="s">
        <v>29800</v>
      </c>
    </row>
    <row r="3014" spans="1:59" ht="58" x14ac:dyDescent="0.35">
      <c r="A3014" s="2" t="s">
        <v>59</v>
      </c>
      <c r="B3014" s="2" t="s">
        <v>60</v>
      </c>
      <c r="C3014" s="2" t="s">
        <v>29784</v>
      </c>
      <c r="D3014" s="2" t="s">
        <v>29785</v>
      </c>
      <c r="E3014" s="2" t="s">
        <v>29786</v>
      </c>
      <c r="F3014" s="3" t="s">
        <v>29801</v>
      </c>
      <c r="G3014" s="3" t="s">
        <v>209</v>
      </c>
      <c r="I3014" s="3" t="s">
        <v>65</v>
      </c>
      <c r="J3014" s="3" t="s">
        <v>209</v>
      </c>
      <c r="K3014" s="3" t="s">
        <v>66</v>
      </c>
      <c r="L3014" s="2" t="s">
        <v>29757</v>
      </c>
      <c r="M3014" s="2" t="s">
        <v>29788</v>
      </c>
      <c r="N3014" s="3" t="s">
        <v>4688</v>
      </c>
      <c r="O3014" s="2" t="s">
        <v>29789</v>
      </c>
      <c r="P3014" s="3" t="s">
        <v>140</v>
      </c>
      <c r="Q3014" s="2" t="s">
        <v>29769</v>
      </c>
      <c r="R3014" s="3" t="s">
        <v>71</v>
      </c>
      <c r="S3014" s="4">
        <v>6</v>
      </c>
      <c r="T3014" s="4">
        <v>38</v>
      </c>
      <c r="U3014" s="5" t="s">
        <v>1211</v>
      </c>
      <c r="V3014" s="5" t="s">
        <v>1211</v>
      </c>
      <c r="W3014" s="5" t="s">
        <v>72</v>
      </c>
      <c r="X3014" s="5" t="s">
        <v>72</v>
      </c>
      <c r="Y3014" s="4">
        <v>31</v>
      </c>
      <c r="Z3014" s="4">
        <v>2</v>
      </c>
      <c r="AA3014" s="4">
        <v>27</v>
      </c>
      <c r="AB3014" s="4">
        <v>1</v>
      </c>
      <c r="AC3014" s="4">
        <v>3</v>
      </c>
      <c r="AD3014" s="4">
        <v>15</v>
      </c>
      <c r="AE3014" s="4">
        <v>105</v>
      </c>
      <c r="AF3014" s="4">
        <v>0</v>
      </c>
      <c r="AG3014" s="4">
        <v>2</v>
      </c>
      <c r="AH3014" s="4">
        <v>15</v>
      </c>
      <c r="AI3014" s="4">
        <v>91</v>
      </c>
      <c r="AJ3014" s="4">
        <v>1</v>
      </c>
      <c r="AK3014" s="4">
        <v>16</v>
      </c>
      <c r="AL3014" s="4">
        <v>10</v>
      </c>
      <c r="AM3014" s="4">
        <v>55</v>
      </c>
      <c r="AN3014" s="4">
        <v>0</v>
      </c>
      <c r="AO3014" s="4">
        <v>0</v>
      </c>
      <c r="AP3014" s="4">
        <v>1</v>
      </c>
      <c r="AQ3014" s="4">
        <v>19</v>
      </c>
      <c r="AR3014" s="3" t="s">
        <v>65</v>
      </c>
      <c r="AS3014" s="3" t="s">
        <v>65</v>
      </c>
      <c r="AT3014" s="3" t="s">
        <v>209</v>
      </c>
      <c r="AU3014" s="6" t="str">
        <f t="shared" si="48"/>
        <v>HathiTrust Record</v>
      </c>
      <c r="AV3014" s="6" t="str">
        <f t="shared" si="49"/>
        <v>Catalog Record</v>
      </c>
      <c r="AW3014" s="6" t="str">
        <f t="shared" si="50"/>
        <v>WorldCat Record</v>
      </c>
      <c r="AX3014" s="3" t="s">
        <v>29791</v>
      </c>
      <c r="AY3014" s="3" t="s">
        <v>29792</v>
      </c>
      <c r="AZ3014" s="3" t="s">
        <v>29793</v>
      </c>
      <c r="BA3014" s="3" t="s">
        <v>29793</v>
      </c>
      <c r="BB3014" s="3" t="s">
        <v>29802</v>
      </c>
      <c r="BC3014" s="3" t="s">
        <v>77</v>
      </c>
      <c r="BD3014" s="3" t="s">
        <v>78</v>
      </c>
      <c r="BF3014" s="3" t="s">
        <v>29802</v>
      </c>
      <c r="BG3014" s="3" t="s">
        <v>29803</v>
      </c>
    </row>
    <row r="3015" spans="1:59" ht="58" x14ac:dyDescent="0.35">
      <c r="A3015" s="2" t="s">
        <v>59</v>
      </c>
      <c r="B3015" s="2" t="s">
        <v>60</v>
      </c>
      <c r="C3015" s="2" t="s">
        <v>29784</v>
      </c>
      <c r="D3015" s="2" t="s">
        <v>29785</v>
      </c>
      <c r="E3015" s="2" t="s">
        <v>29786</v>
      </c>
      <c r="F3015" s="3" t="s">
        <v>29804</v>
      </c>
      <c r="G3015" s="3" t="s">
        <v>209</v>
      </c>
      <c r="I3015" s="3" t="s">
        <v>65</v>
      </c>
      <c r="J3015" s="3" t="s">
        <v>209</v>
      </c>
      <c r="K3015" s="3" t="s">
        <v>66</v>
      </c>
      <c r="L3015" s="2" t="s">
        <v>29757</v>
      </c>
      <c r="M3015" s="2" t="s">
        <v>29788</v>
      </c>
      <c r="N3015" s="3" t="s">
        <v>4688</v>
      </c>
      <c r="O3015" s="2" t="s">
        <v>29789</v>
      </c>
      <c r="P3015" s="3" t="s">
        <v>140</v>
      </c>
      <c r="Q3015" s="2" t="s">
        <v>29769</v>
      </c>
      <c r="R3015" s="3" t="s">
        <v>71</v>
      </c>
      <c r="S3015" s="4">
        <v>8</v>
      </c>
      <c r="T3015" s="4">
        <v>38</v>
      </c>
      <c r="U3015" s="5" t="s">
        <v>29790</v>
      </c>
      <c r="V3015" s="5" t="s">
        <v>1211</v>
      </c>
      <c r="W3015" s="5" t="s">
        <v>72</v>
      </c>
      <c r="X3015" s="5" t="s">
        <v>72</v>
      </c>
      <c r="Y3015" s="4">
        <v>31</v>
      </c>
      <c r="Z3015" s="4">
        <v>2</v>
      </c>
      <c r="AA3015" s="4">
        <v>27</v>
      </c>
      <c r="AB3015" s="4">
        <v>1</v>
      </c>
      <c r="AC3015" s="4">
        <v>3</v>
      </c>
      <c r="AD3015" s="4">
        <v>15</v>
      </c>
      <c r="AE3015" s="4">
        <v>105</v>
      </c>
      <c r="AF3015" s="4">
        <v>0</v>
      </c>
      <c r="AG3015" s="4">
        <v>2</v>
      </c>
      <c r="AH3015" s="4">
        <v>15</v>
      </c>
      <c r="AI3015" s="4">
        <v>91</v>
      </c>
      <c r="AJ3015" s="4">
        <v>1</v>
      </c>
      <c r="AK3015" s="4">
        <v>16</v>
      </c>
      <c r="AL3015" s="4">
        <v>10</v>
      </c>
      <c r="AM3015" s="4">
        <v>55</v>
      </c>
      <c r="AN3015" s="4">
        <v>0</v>
      </c>
      <c r="AO3015" s="4">
        <v>0</v>
      </c>
      <c r="AP3015" s="4">
        <v>1</v>
      </c>
      <c r="AQ3015" s="4">
        <v>19</v>
      </c>
      <c r="AR3015" s="3" t="s">
        <v>65</v>
      </c>
      <c r="AS3015" s="3" t="s">
        <v>65</v>
      </c>
      <c r="AT3015" s="3" t="s">
        <v>209</v>
      </c>
      <c r="AU3015" s="6" t="str">
        <f t="shared" si="48"/>
        <v>HathiTrust Record</v>
      </c>
      <c r="AV3015" s="6" t="str">
        <f t="shared" si="49"/>
        <v>Catalog Record</v>
      </c>
      <c r="AW3015" s="6" t="str">
        <f t="shared" si="50"/>
        <v>WorldCat Record</v>
      </c>
      <c r="AX3015" s="3" t="s">
        <v>29791</v>
      </c>
      <c r="AY3015" s="3" t="s">
        <v>29792</v>
      </c>
      <c r="AZ3015" s="3" t="s">
        <v>29793</v>
      </c>
      <c r="BA3015" s="3" t="s">
        <v>29793</v>
      </c>
      <c r="BB3015" s="3" t="s">
        <v>29805</v>
      </c>
      <c r="BC3015" s="3" t="s">
        <v>77</v>
      </c>
      <c r="BD3015" s="3" t="s">
        <v>78</v>
      </c>
      <c r="BF3015" s="3" t="s">
        <v>29805</v>
      </c>
      <c r="BG3015" s="3" t="s">
        <v>29806</v>
      </c>
    </row>
    <row r="3016" spans="1:59" ht="58" x14ac:dyDescent="0.35">
      <c r="A3016" s="2" t="s">
        <v>59</v>
      </c>
      <c r="B3016" s="2" t="s">
        <v>60</v>
      </c>
      <c r="C3016" s="2" t="s">
        <v>29784</v>
      </c>
      <c r="D3016" s="2" t="s">
        <v>29785</v>
      </c>
      <c r="E3016" s="2" t="s">
        <v>29786</v>
      </c>
      <c r="F3016" s="3" t="s">
        <v>8603</v>
      </c>
      <c r="G3016" s="3" t="s">
        <v>209</v>
      </c>
      <c r="I3016" s="3" t="s">
        <v>65</v>
      </c>
      <c r="J3016" s="3" t="s">
        <v>209</v>
      </c>
      <c r="K3016" s="3" t="s">
        <v>66</v>
      </c>
      <c r="L3016" s="2" t="s">
        <v>29757</v>
      </c>
      <c r="M3016" s="2" t="s">
        <v>29788</v>
      </c>
      <c r="N3016" s="3" t="s">
        <v>4688</v>
      </c>
      <c r="O3016" s="2" t="s">
        <v>29789</v>
      </c>
      <c r="P3016" s="3" t="s">
        <v>140</v>
      </c>
      <c r="Q3016" s="2" t="s">
        <v>29769</v>
      </c>
      <c r="R3016" s="3" t="s">
        <v>71</v>
      </c>
      <c r="S3016" s="4">
        <v>8</v>
      </c>
      <c r="T3016" s="4">
        <v>38</v>
      </c>
      <c r="U3016" s="5" t="s">
        <v>1211</v>
      </c>
      <c r="V3016" s="5" t="s">
        <v>1211</v>
      </c>
      <c r="W3016" s="5" t="s">
        <v>72</v>
      </c>
      <c r="X3016" s="5" t="s">
        <v>72</v>
      </c>
      <c r="Y3016" s="4">
        <v>31</v>
      </c>
      <c r="Z3016" s="4">
        <v>2</v>
      </c>
      <c r="AA3016" s="4">
        <v>27</v>
      </c>
      <c r="AB3016" s="4">
        <v>1</v>
      </c>
      <c r="AC3016" s="4">
        <v>3</v>
      </c>
      <c r="AD3016" s="4">
        <v>15</v>
      </c>
      <c r="AE3016" s="4">
        <v>105</v>
      </c>
      <c r="AF3016" s="4">
        <v>0</v>
      </c>
      <c r="AG3016" s="4">
        <v>2</v>
      </c>
      <c r="AH3016" s="4">
        <v>15</v>
      </c>
      <c r="AI3016" s="4">
        <v>91</v>
      </c>
      <c r="AJ3016" s="4">
        <v>1</v>
      </c>
      <c r="AK3016" s="4">
        <v>16</v>
      </c>
      <c r="AL3016" s="4">
        <v>10</v>
      </c>
      <c r="AM3016" s="4">
        <v>55</v>
      </c>
      <c r="AN3016" s="4">
        <v>0</v>
      </c>
      <c r="AO3016" s="4">
        <v>0</v>
      </c>
      <c r="AP3016" s="4">
        <v>1</v>
      </c>
      <c r="AQ3016" s="4">
        <v>19</v>
      </c>
      <c r="AR3016" s="3" t="s">
        <v>65</v>
      </c>
      <c r="AS3016" s="3" t="s">
        <v>65</v>
      </c>
      <c r="AT3016" s="3" t="s">
        <v>209</v>
      </c>
      <c r="AU3016" s="6" t="str">
        <f t="shared" si="48"/>
        <v>HathiTrust Record</v>
      </c>
      <c r="AV3016" s="6" t="str">
        <f t="shared" si="49"/>
        <v>Catalog Record</v>
      </c>
      <c r="AW3016" s="6" t="str">
        <f t="shared" si="50"/>
        <v>WorldCat Record</v>
      </c>
      <c r="AX3016" s="3" t="s">
        <v>29791</v>
      </c>
      <c r="AY3016" s="3" t="s">
        <v>29792</v>
      </c>
      <c r="AZ3016" s="3" t="s">
        <v>29793</v>
      </c>
      <c r="BA3016" s="3" t="s">
        <v>29793</v>
      </c>
      <c r="BB3016" s="3" t="s">
        <v>29807</v>
      </c>
      <c r="BC3016" s="3" t="s">
        <v>77</v>
      </c>
      <c r="BD3016" s="3" t="s">
        <v>78</v>
      </c>
      <c r="BF3016" s="3" t="s">
        <v>29807</v>
      </c>
      <c r="BG3016" s="3" t="s">
        <v>29808</v>
      </c>
    </row>
    <row r="3017" spans="1:59" ht="58" x14ac:dyDescent="0.35">
      <c r="A3017" s="2" t="s">
        <v>59</v>
      </c>
      <c r="B3017" s="2" t="s">
        <v>60</v>
      </c>
      <c r="C3017" s="2" t="s">
        <v>29809</v>
      </c>
      <c r="D3017" s="2" t="s">
        <v>29810</v>
      </c>
      <c r="E3017" s="2" t="s">
        <v>29811</v>
      </c>
      <c r="F3017" s="3" t="s">
        <v>10614</v>
      </c>
      <c r="G3017" s="3" t="s">
        <v>209</v>
      </c>
      <c r="I3017" s="3" t="s">
        <v>65</v>
      </c>
      <c r="J3017" s="3" t="s">
        <v>209</v>
      </c>
      <c r="K3017" s="3" t="s">
        <v>66</v>
      </c>
      <c r="L3017" s="2" t="s">
        <v>29757</v>
      </c>
      <c r="M3017" s="2" t="s">
        <v>29812</v>
      </c>
      <c r="N3017" s="3" t="s">
        <v>1932</v>
      </c>
      <c r="O3017" s="2" t="s">
        <v>654</v>
      </c>
      <c r="P3017" s="3" t="s">
        <v>140</v>
      </c>
      <c r="Q3017" s="2" t="s">
        <v>29813</v>
      </c>
      <c r="R3017" s="3" t="s">
        <v>71</v>
      </c>
      <c r="S3017" s="4">
        <v>8</v>
      </c>
      <c r="T3017" s="4">
        <v>25</v>
      </c>
      <c r="U3017" s="5" t="s">
        <v>8657</v>
      </c>
      <c r="V3017" s="5" t="s">
        <v>8657</v>
      </c>
      <c r="W3017" s="5" t="s">
        <v>72</v>
      </c>
      <c r="X3017" s="5" t="s">
        <v>72</v>
      </c>
      <c r="Y3017" s="4">
        <v>50</v>
      </c>
      <c r="Z3017" s="4">
        <v>4</v>
      </c>
      <c r="AA3017" s="4">
        <v>27</v>
      </c>
      <c r="AB3017" s="4">
        <v>1</v>
      </c>
      <c r="AC3017" s="4">
        <v>3</v>
      </c>
      <c r="AD3017" s="4">
        <v>27</v>
      </c>
      <c r="AE3017" s="4">
        <v>105</v>
      </c>
      <c r="AF3017" s="4">
        <v>0</v>
      </c>
      <c r="AG3017" s="4">
        <v>2</v>
      </c>
      <c r="AH3017" s="4">
        <v>26</v>
      </c>
      <c r="AI3017" s="4">
        <v>91</v>
      </c>
      <c r="AJ3017" s="4">
        <v>2</v>
      </c>
      <c r="AK3017" s="4">
        <v>16</v>
      </c>
      <c r="AL3017" s="4">
        <v>23</v>
      </c>
      <c r="AM3017" s="4">
        <v>55</v>
      </c>
      <c r="AN3017" s="4">
        <v>0</v>
      </c>
      <c r="AO3017" s="4">
        <v>0</v>
      </c>
      <c r="AP3017" s="4">
        <v>2</v>
      </c>
      <c r="AQ3017" s="4">
        <v>19</v>
      </c>
      <c r="AR3017" s="3" t="s">
        <v>65</v>
      </c>
      <c r="AS3017" s="3" t="s">
        <v>65</v>
      </c>
      <c r="AT3017" s="3" t="s">
        <v>209</v>
      </c>
      <c r="AU3017" s="6" t="str">
        <f>HYPERLINK("http://catalog.hathitrust.org/Record/002938975","HathiTrust Record")</f>
        <v>HathiTrust Record</v>
      </c>
      <c r="AV3017" s="6" t="str">
        <f>HYPERLINK("http://mcgill.on.worldcat.org/oclc/32153972","Catalog Record")</f>
        <v>Catalog Record</v>
      </c>
      <c r="AW3017" s="6" t="str">
        <f>HYPERLINK("http://www.worldcat.org/oclc/32153972","WorldCat Record")</f>
        <v>WorldCat Record</v>
      </c>
      <c r="AX3017" s="3" t="s">
        <v>29791</v>
      </c>
      <c r="AY3017" s="3" t="s">
        <v>29814</v>
      </c>
      <c r="AZ3017" s="3" t="s">
        <v>29815</v>
      </c>
      <c r="BA3017" s="3" t="s">
        <v>29815</v>
      </c>
      <c r="BB3017" s="3" t="s">
        <v>29816</v>
      </c>
      <c r="BC3017" s="3" t="s">
        <v>77</v>
      </c>
      <c r="BD3017" s="3" t="s">
        <v>78</v>
      </c>
      <c r="BE3017" s="3" t="s">
        <v>29817</v>
      </c>
      <c r="BF3017" s="3" t="s">
        <v>29816</v>
      </c>
      <c r="BG3017" s="3" t="s">
        <v>29818</v>
      </c>
    </row>
    <row r="3018" spans="1:59" ht="58" x14ac:dyDescent="0.35">
      <c r="A3018" s="2" t="s">
        <v>59</v>
      </c>
      <c r="B3018" s="2" t="s">
        <v>60</v>
      </c>
      <c r="C3018" s="2" t="s">
        <v>29809</v>
      </c>
      <c r="D3018" s="2" t="s">
        <v>29810</v>
      </c>
      <c r="E3018" s="2" t="s">
        <v>29811</v>
      </c>
      <c r="F3018" s="3" t="s">
        <v>10601</v>
      </c>
      <c r="G3018" s="3" t="s">
        <v>209</v>
      </c>
      <c r="I3018" s="3" t="s">
        <v>65</v>
      </c>
      <c r="J3018" s="3" t="s">
        <v>209</v>
      </c>
      <c r="K3018" s="3" t="s">
        <v>66</v>
      </c>
      <c r="L3018" s="2" t="s">
        <v>29757</v>
      </c>
      <c r="M3018" s="2" t="s">
        <v>29812</v>
      </c>
      <c r="N3018" s="3" t="s">
        <v>1932</v>
      </c>
      <c r="O3018" s="2" t="s">
        <v>654</v>
      </c>
      <c r="P3018" s="3" t="s">
        <v>140</v>
      </c>
      <c r="Q3018" s="2" t="s">
        <v>29813</v>
      </c>
      <c r="R3018" s="3" t="s">
        <v>71</v>
      </c>
      <c r="S3018" s="4">
        <v>7</v>
      </c>
      <c r="T3018" s="4">
        <v>25</v>
      </c>
      <c r="U3018" s="5" t="s">
        <v>8657</v>
      </c>
      <c r="V3018" s="5" t="s">
        <v>8657</v>
      </c>
      <c r="W3018" s="5" t="s">
        <v>72</v>
      </c>
      <c r="X3018" s="5" t="s">
        <v>72</v>
      </c>
      <c r="Y3018" s="4">
        <v>50</v>
      </c>
      <c r="Z3018" s="4">
        <v>4</v>
      </c>
      <c r="AA3018" s="4">
        <v>27</v>
      </c>
      <c r="AB3018" s="4">
        <v>1</v>
      </c>
      <c r="AC3018" s="4">
        <v>3</v>
      </c>
      <c r="AD3018" s="4">
        <v>27</v>
      </c>
      <c r="AE3018" s="4">
        <v>105</v>
      </c>
      <c r="AF3018" s="4">
        <v>0</v>
      </c>
      <c r="AG3018" s="4">
        <v>2</v>
      </c>
      <c r="AH3018" s="4">
        <v>26</v>
      </c>
      <c r="AI3018" s="4">
        <v>91</v>
      </c>
      <c r="AJ3018" s="4">
        <v>2</v>
      </c>
      <c r="AK3018" s="4">
        <v>16</v>
      </c>
      <c r="AL3018" s="4">
        <v>23</v>
      </c>
      <c r="AM3018" s="4">
        <v>55</v>
      </c>
      <c r="AN3018" s="4">
        <v>0</v>
      </c>
      <c r="AO3018" s="4">
        <v>0</v>
      </c>
      <c r="AP3018" s="4">
        <v>2</v>
      </c>
      <c r="AQ3018" s="4">
        <v>19</v>
      </c>
      <c r="AR3018" s="3" t="s">
        <v>65</v>
      </c>
      <c r="AS3018" s="3" t="s">
        <v>65</v>
      </c>
      <c r="AT3018" s="3" t="s">
        <v>209</v>
      </c>
      <c r="AU3018" s="6" t="str">
        <f>HYPERLINK("http://catalog.hathitrust.org/Record/002938975","HathiTrust Record")</f>
        <v>HathiTrust Record</v>
      </c>
      <c r="AV3018" s="6" t="str">
        <f>HYPERLINK("http://mcgill.on.worldcat.org/oclc/32153972","Catalog Record")</f>
        <v>Catalog Record</v>
      </c>
      <c r="AW3018" s="6" t="str">
        <f>HYPERLINK("http://www.worldcat.org/oclc/32153972","WorldCat Record")</f>
        <v>WorldCat Record</v>
      </c>
      <c r="AX3018" s="3" t="s">
        <v>29791</v>
      </c>
      <c r="AY3018" s="3" t="s">
        <v>29814</v>
      </c>
      <c r="AZ3018" s="3" t="s">
        <v>29815</v>
      </c>
      <c r="BA3018" s="3" t="s">
        <v>29815</v>
      </c>
      <c r="BB3018" s="3" t="s">
        <v>29819</v>
      </c>
      <c r="BC3018" s="3" t="s">
        <v>77</v>
      </c>
      <c r="BD3018" s="3" t="s">
        <v>78</v>
      </c>
      <c r="BE3018" s="3" t="s">
        <v>29817</v>
      </c>
      <c r="BF3018" s="3" t="s">
        <v>29819</v>
      </c>
      <c r="BG3018" s="3" t="s">
        <v>29820</v>
      </c>
    </row>
    <row r="3019" spans="1:59" ht="58" x14ac:dyDescent="0.35">
      <c r="A3019" s="2" t="s">
        <v>59</v>
      </c>
      <c r="B3019" s="2" t="s">
        <v>60</v>
      </c>
      <c r="C3019" s="2" t="s">
        <v>29809</v>
      </c>
      <c r="D3019" s="2" t="s">
        <v>29810</v>
      </c>
      <c r="E3019" s="2" t="s">
        <v>29811</v>
      </c>
      <c r="F3019" s="3" t="s">
        <v>10617</v>
      </c>
      <c r="G3019" s="3" t="s">
        <v>209</v>
      </c>
      <c r="I3019" s="3" t="s">
        <v>65</v>
      </c>
      <c r="J3019" s="3" t="s">
        <v>209</v>
      </c>
      <c r="K3019" s="3" t="s">
        <v>66</v>
      </c>
      <c r="L3019" s="2" t="s">
        <v>29757</v>
      </c>
      <c r="M3019" s="2" t="s">
        <v>29812</v>
      </c>
      <c r="N3019" s="3" t="s">
        <v>1932</v>
      </c>
      <c r="O3019" s="2" t="s">
        <v>654</v>
      </c>
      <c r="P3019" s="3" t="s">
        <v>140</v>
      </c>
      <c r="Q3019" s="2" t="s">
        <v>29813</v>
      </c>
      <c r="R3019" s="3" t="s">
        <v>71</v>
      </c>
      <c r="S3019" s="4">
        <v>10</v>
      </c>
      <c r="T3019" s="4">
        <v>25</v>
      </c>
      <c r="U3019" s="5" t="s">
        <v>8657</v>
      </c>
      <c r="V3019" s="5" t="s">
        <v>8657</v>
      </c>
      <c r="W3019" s="5" t="s">
        <v>72</v>
      </c>
      <c r="X3019" s="5" t="s">
        <v>72</v>
      </c>
      <c r="Y3019" s="4">
        <v>50</v>
      </c>
      <c r="Z3019" s="4">
        <v>4</v>
      </c>
      <c r="AA3019" s="4">
        <v>27</v>
      </c>
      <c r="AB3019" s="4">
        <v>1</v>
      </c>
      <c r="AC3019" s="4">
        <v>3</v>
      </c>
      <c r="AD3019" s="4">
        <v>27</v>
      </c>
      <c r="AE3019" s="4">
        <v>105</v>
      </c>
      <c r="AF3019" s="4">
        <v>0</v>
      </c>
      <c r="AG3019" s="4">
        <v>2</v>
      </c>
      <c r="AH3019" s="4">
        <v>26</v>
      </c>
      <c r="AI3019" s="4">
        <v>91</v>
      </c>
      <c r="AJ3019" s="4">
        <v>2</v>
      </c>
      <c r="AK3019" s="4">
        <v>16</v>
      </c>
      <c r="AL3019" s="4">
        <v>23</v>
      </c>
      <c r="AM3019" s="4">
        <v>55</v>
      </c>
      <c r="AN3019" s="4">
        <v>0</v>
      </c>
      <c r="AO3019" s="4">
        <v>0</v>
      </c>
      <c r="AP3019" s="4">
        <v>2</v>
      </c>
      <c r="AQ3019" s="4">
        <v>19</v>
      </c>
      <c r="AR3019" s="3" t="s">
        <v>65</v>
      </c>
      <c r="AS3019" s="3" t="s">
        <v>65</v>
      </c>
      <c r="AT3019" s="3" t="s">
        <v>209</v>
      </c>
      <c r="AU3019" s="6" t="str">
        <f>HYPERLINK("http://catalog.hathitrust.org/Record/002938975","HathiTrust Record")</f>
        <v>HathiTrust Record</v>
      </c>
      <c r="AV3019" s="6" t="str">
        <f>HYPERLINK("http://mcgill.on.worldcat.org/oclc/32153972","Catalog Record")</f>
        <v>Catalog Record</v>
      </c>
      <c r="AW3019" s="6" t="str">
        <f>HYPERLINK("http://www.worldcat.org/oclc/32153972","WorldCat Record")</f>
        <v>WorldCat Record</v>
      </c>
      <c r="AX3019" s="3" t="s">
        <v>29791</v>
      </c>
      <c r="AY3019" s="3" t="s">
        <v>29814</v>
      </c>
      <c r="AZ3019" s="3" t="s">
        <v>29815</v>
      </c>
      <c r="BA3019" s="3" t="s">
        <v>29815</v>
      </c>
      <c r="BB3019" s="3" t="s">
        <v>29821</v>
      </c>
      <c r="BC3019" s="3" t="s">
        <v>77</v>
      </c>
      <c r="BD3019" s="3" t="s">
        <v>106</v>
      </c>
      <c r="BE3019" s="3" t="s">
        <v>29817</v>
      </c>
      <c r="BF3019" s="3" t="s">
        <v>29821</v>
      </c>
      <c r="BG3019" s="3" t="s">
        <v>29822</v>
      </c>
    </row>
    <row r="3020" spans="1:59" ht="58" x14ac:dyDescent="0.35">
      <c r="A3020" s="2" t="s">
        <v>59</v>
      </c>
      <c r="B3020" s="2" t="s">
        <v>60</v>
      </c>
      <c r="C3020" s="2" t="s">
        <v>29823</v>
      </c>
      <c r="D3020" s="2" t="s">
        <v>29824</v>
      </c>
      <c r="E3020" s="2" t="s">
        <v>29825</v>
      </c>
      <c r="F3020" s="3" t="s">
        <v>258</v>
      </c>
      <c r="G3020" s="3" t="s">
        <v>209</v>
      </c>
      <c r="I3020" s="3" t="s">
        <v>209</v>
      </c>
      <c r="J3020" s="3" t="s">
        <v>65</v>
      </c>
      <c r="K3020" s="3" t="s">
        <v>66</v>
      </c>
      <c r="L3020" s="2" t="s">
        <v>29757</v>
      </c>
      <c r="M3020" s="2" t="s">
        <v>29826</v>
      </c>
      <c r="N3020" s="3" t="s">
        <v>8188</v>
      </c>
      <c r="P3020" s="3" t="s">
        <v>69</v>
      </c>
      <c r="Q3020" s="2" t="s">
        <v>29827</v>
      </c>
      <c r="R3020" s="3" t="s">
        <v>71</v>
      </c>
      <c r="S3020" s="4">
        <v>26</v>
      </c>
      <c r="T3020" s="4">
        <v>87</v>
      </c>
      <c r="U3020" s="5" t="s">
        <v>29828</v>
      </c>
      <c r="V3020" s="5" t="s">
        <v>29829</v>
      </c>
      <c r="W3020" s="5" t="s">
        <v>72</v>
      </c>
      <c r="X3020" s="5" t="s">
        <v>72</v>
      </c>
      <c r="Y3020" s="4">
        <v>239</v>
      </c>
      <c r="Z3020" s="4">
        <v>17</v>
      </c>
      <c r="AA3020" s="4">
        <v>17</v>
      </c>
      <c r="AB3020" s="4">
        <v>3</v>
      </c>
      <c r="AC3020" s="4">
        <v>3</v>
      </c>
      <c r="AD3020" s="4">
        <v>67</v>
      </c>
      <c r="AE3020" s="4">
        <v>67</v>
      </c>
      <c r="AF3020" s="4">
        <v>1</v>
      </c>
      <c r="AG3020" s="4">
        <v>1</v>
      </c>
      <c r="AH3020" s="4">
        <v>61</v>
      </c>
      <c r="AI3020" s="4">
        <v>61</v>
      </c>
      <c r="AJ3020" s="4">
        <v>10</v>
      </c>
      <c r="AK3020" s="4">
        <v>10</v>
      </c>
      <c r="AL3020" s="4">
        <v>37</v>
      </c>
      <c r="AM3020" s="4">
        <v>37</v>
      </c>
      <c r="AN3020" s="4">
        <v>0</v>
      </c>
      <c r="AO3020" s="4">
        <v>0</v>
      </c>
      <c r="AP3020" s="4">
        <v>10</v>
      </c>
      <c r="AQ3020" s="4">
        <v>10</v>
      </c>
      <c r="AR3020" s="3" t="s">
        <v>65</v>
      </c>
      <c r="AS3020" s="3" t="s">
        <v>65</v>
      </c>
      <c r="AT3020" s="3" t="s">
        <v>209</v>
      </c>
      <c r="AU3020" s="6" t="str">
        <f>HYPERLINK("http://catalog.hathitrust.org/Record/000850867","HathiTrust Record")</f>
        <v>HathiTrust Record</v>
      </c>
      <c r="AV3020" s="6" t="str">
        <f>HYPERLINK("http://mcgill.on.worldcat.org/oclc/16511730","Catalog Record")</f>
        <v>Catalog Record</v>
      </c>
      <c r="AW3020" s="6" t="str">
        <f>HYPERLINK("http://www.worldcat.org/oclc/16511730","WorldCat Record")</f>
        <v>WorldCat Record</v>
      </c>
      <c r="AX3020" s="3" t="s">
        <v>29830</v>
      </c>
      <c r="AY3020" s="3" t="s">
        <v>29831</v>
      </c>
      <c r="AZ3020" s="3" t="s">
        <v>29832</v>
      </c>
      <c r="BA3020" s="3" t="s">
        <v>29832</v>
      </c>
      <c r="BB3020" s="3" t="s">
        <v>29833</v>
      </c>
      <c r="BC3020" s="3" t="s">
        <v>77</v>
      </c>
      <c r="BD3020" s="3" t="s">
        <v>78</v>
      </c>
      <c r="BE3020" s="3" t="s">
        <v>29834</v>
      </c>
      <c r="BF3020" s="3" t="s">
        <v>29833</v>
      </c>
      <c r="BG3020" s="3" t="s">
        <v>29835</v>
      </c>
    </row>
    <row r="3021" spans="1:59" ht="58" x14ac:dyDescent="0.35">
      <c r="A3021" s="2" t="s">
        <v>59</v>
      </c>
      <c r="B3021" s="2" t="s">
        <v>60</v>
      </c>
      <c r="C3021" s="2" t="s">
        <v>29823</v>
      </c>
      <c r="D3021" s="2" t="s">
        <v>29824</v>
      </c>
      <c r="E3021" s="2" t="s">
        <v>29825</v>
      </c>
      <c r="F3021" s="3" t="s">
        <v>258</v>
      </c>
      <c r="G3021" s="3" t="s">
        <v>209</v>
      </c>
      <c r="I3021" s="3" t="s">
        <v>209</v>
      </c>
      <c r="J3021" s="3" t="s">
        <v>65</v>
      </c>
      <c r="K3021" s="3" t="s">
        <v>66</v>
      </c>
      <c r="L3021" s="2" t="s">
        <v>29757</v>
      </c>
      <c r="M3021" s="2" t="s">
        <v>29826</v>
      </c>
      <c r="N3021" s="3" t="s">
        <v>8188</v>
      </c>
      <c r="P3021" s="3" t="s">
        <v>69</v>
      </c>
      <c r="Q3021" s="2" t="s">
        <v>29827</v>
      </c>
      <c r="R3021" s="3" t="s">
        <v>71</v>
      </c>
      <c r="S3021" s="4">
        <v>29</v>
      </c>
      <c r="T3021" s="4">
        <v>87</v>
      </c>
      <c r="U3021" s="5" t="s">
        <v>29836</v>
      </c>
      <c r="V3021" s="5" t="s">
        <v>29829</v>
      </c>
      <c r="W3021" s="5" t="s">
        <v>72</v>
      </c>
      <c r="X3021" s="5" t="s">
        <v>72</v>
      </c>
      <c r="Y3021" s="4">
        <v>239</v>
      </c>
      <c r="Z3021" s="4">
        <v>17</v>
      </c>
      <c r="AA3021" s="4">
        <v>17</v>
      </c>
      <c r="AB3021" s="4">
        <v>3</v>
      </c>
      <c r="AC3021" s="4">
        <v>3</v>
      </c>
      <c r="AD3021" s="4">
        <v>67</v>
      </c>
      <c r="AE3021" s="4">
        <v>67</v>
      </c>
      <c r="AF3021" s="4">
        <v>1</v>
      </c>
      <c r="AG3021" s="4">
        <v>1</v>
      </c>
      <c r="AH3021" s="4">
        <v>61</v>
      </c>
      <c r="AI3021" s="4">
        <v>61</v>
      </c>
      <c r="AJ3021" s="4">
        <v>10</v>
      </c>
      <c r="AK3021" s="4">
        <v>10</v>
      </c>
      <c r="AL3021" s="4">
        <v>37</v>
      </c>
      <c r="AM3021" s="4">
        <v>37</v>
      </c>
      <c r="AN3021" s="4">
        <v>0</v>
      </c>
      <c r="AO3021" s="4">
        <v>0</v>
      </c>
      <c r="AP3021" s="4">
        <v>10</v>
      </c>
      <c r="AQ3021" s="4">
        <v>10</v>
      </c>
      <c r="AR3021" s="3" t="s">
        <v>65</v>
      </c>
      <c r="AS3021" s="3" t="s">
        <v>65</v>
      </c>
      <c r="AT3021" s="3" t="s">
        <v>209</v>
      </c>
      <c r="AU3021" s="6" t="str">
        <f>HYPERLINK("http://catalog.hathitrust.org/Record/000850867","HathiTrust Record")</f>
        <v>HathiTrust Record</v>
      </c>
      <c r="AV3021" s="6" t="str">
        <f>HYPERLINK("http://mcgill.on.worldcat.org/oclc/16511730","Catalog Record")</f>
        <v>Catalog Record</v>
      </c>
      <c r="AW3021" s="6" t="str">
        <f>HYPERLINK("http://www.worldcat.org/oclc/16511730","WorldCat Record")</f>
        <v>WorldCat Record</v>
      </c>
      <c r="AX3021" s="3" t="s">
        <v>29830</v>
      </c>
      <c r="AY3021" s="3" t="s">
        <v>29831</v>
      </c>
      <c r="AZ3021" s="3" t="s">
        <v>29832</v>
      </c>
      <c r="BA3021" s="3" t="s">
        <v>29832</v>
      </c>
      <c r="BB3021" s="3" t="s">
        <v>29837</v>
      </c>
      <c r="BC3021" s="3" t="s">
        <v>77</v>
      </c>
      <c r="BD3021" s="3" t="s">
        <v>78</v>
      </c>
      <c r="BE3021" s="3" t="s">
        <v>29834</v>
      </c>
      <c r="BF3021" s="3" t="s">
        <v>29837</v>
      </c>
      <c r="BG3021" s="3" t="s">
        <v>29838</v>
      </c>
    </row>
    <row r="3022" spans="1:59" ht="58" x14ac:dyDescent="0.35">
      <c r="A3022" s="2" t="s">
        <v>59</v>
      </c>
      <c r="B3022" s="2" t="s">
        <v>60</v>
      </c>
      <c r="C3022" s="2" t="s">
        <v>29823</v>
      </c>
      <c r="D3022" s="2" t="s">
        <v>29824</v>
      </c>
      <c r="E3022" s="2" t="s">
        <v>29825</v>
      </c>
      <c r="F3022" s="3" t="s">
        <v>245</v>
      </c>
      <c r="G3022" s="3" t="s">
        <v>209</v>
      </c>
      <c r="I3022" s="3" t="s">
        <v>209</v>
      </c>
      <c r="J3022" s="3" t="s">
        <v>65</v>
      </c>
      <c r="K3022" s="3" t="s">
        <v>66</v>
      </c>
      <c r="L3022" s="2" t="s">
        <v>29757</v>
      </c>
      <c r="M3022" s="2" t="s">
        <v>29826</v>
      </c>
      <c r="N3022" s="3" t="s">
        <v>8188</v>
      </c>
      <c r="P3022" s="3" t="s">
        <v>69</v>
      </c>
      <c r="Q3022" s="2" t="s">
        <v>29827</v>
      </c>
      <c r="R3022" s="3" t="s">
        <v>71</v>
      </c>
      <c r="S3022" s="4">
        <v>17</v>
      </c>
      <c r="T3022" s="4">
        <v>87</v>
      </c>
      <c r="U3022" s="5" t="s">
        <v>5095</v>
      </c>
      <c r="V3022" s="5" t="s">
        <v>29829</v>
      </c>
      <c r="W3022" s="5" t="s">
        <v>72</v>
      </c>
      <c r="X3022" s="5" t="s">
        <v>72</v>
      </c>
      <c r="Y3022" s="4">
        <v>239</v>
      </c>
      <c r="Z3022" s="4">
        <v>17</v>
      </c>
      <c r="AA3022" s="4">
        <v>17</v>
      </c>
      <c r="AB3022" s="4">
        <v>3</v>
      </c>
      <c r="AC3022" s="4">
        <v>3</v>
      </c>
      <c r="AD3022" s="4">
        <v>67</v>
      </c>
      <c r="AE3022" s="4">
        <v>67</v>
      </c>
      <c r="AF3022" s="4">
        <v>1</v>
      </c>
      <c r="AG3022" s="4">
        <v>1</v>
      </c>
      <c r="AH3022" s="4">
        <v>61</v>
      </c>
      <c r="AI3022" s="4">
        <v>61</v>
      </c>
      <c r="AJ3022" s="4">
        <v>10</v>
      </c>
      <c r="AK3022" s="4">
        <v>10</v>
      </c>
      <c r="AL3022" s="4">
        <v>37</v>
      </c>
      <c r="AM3022" s="4">
        <v>37</v>
      </c>
      <c r="AN3022" s="4">
        <v>0</v>
      </c>
      <c r="AO3022" s="4">
        <v>0</v>
      </c>
      <c r="AP3022" s="4">
        <v>10</v>
      </c>
      <c r="AQ3022" s="4">
        <v>10</v>
      </c>
      <c r="AR3022" s="3" t="s">
        <v>65</v>
      </c>
      <c r="AS3022" s="3" t="s">
        <v>65</v>
      </c>
      <c r="AT3022" s="3" t="s">
        <v>209</v>
      </c>
      <c r="AU3022" s="6" t="str">
        <f>HYPERLINK("http://catalog.hathitrust.org/Record/000850867","HathiTrust Record")</f>
        <v>HathiTrust Record</v>
      </c>
      <c r="AV3022" s="6" t="str">
        <f>HYPERLINK("http://mcgill.on.worldcat.org/oclc/16511730","Catalog Record")</f>
        <v>Catalog Record</v>
      </c>
      <c r="AW3022" s="6" t="str">
        <f>HYPERLINK("http://www.worldcat.org/oclc/16511730","WorldCat Record")</f>
        <v>WorldCat Record</v>
      </c>
      <c r="AX3022" s="3" t="s">
        <v>29830</v>
      </c>
      <c r="AY3022" s="3" t="s">
        <v>29831</v>
      </c>
      <c r="AZ3022" s="3" t="s">
        <v>29832</v>
      </c>
      <c r="BA3022" s="3" t="s">
        <v>29832</v>
      </c>
      <c r="BB3022" s="3" t="s">
        <v>29839</v>
      </c>
      <c r="BC3022" s="3" t="s">
        <v>77</v>
      </c>
      <c r="BD3022" s="3" t="s">
        <v>78</v>
      </c>
      <c r="BE3022" s="3" t="s">
        <v>29834</v>
      </c>
      <c r="BF3022" s="3" t="s">
        <v>29839</v>
      </c>
      <c r="BG3022" s="3" t="s">
        <v>29840</v>
      </c>
    </row>
    <row r="3023" spans="1:59" ht="58" x14ac:dyDescent="0.35">
      <c r="A3023" s="2" t="s">
        <v>59</v>
      </c>
      <c r="B3023" s="2" t="s">
        <v>60</v>
      </c>
      <c r="C3023" s="2" t="s">
        <v>29823</v>
      </c>
      <c r="D3023" s="2" t="s">
        <v>29824</v>
      </c>
      <c r="E3023" s="2" t="s">
        <v>29825</v>
      </c>
      <c r="F3023" s="3" t="s">
        <v>255</v>
      </c>
      <c r="G3023" s="3" t="s">
        <v>209</v>
      </c>
      <c r="I3023" s="3" t="s">
        <v>209</v>
      </c>
      <c r="J3023" s="3" t="s">
        <v>65</v>
      </c>
      <c r="K3023" s="3" t="s">
        <v>66</v>
      </c>
      <c r="L3023" s="2" t="s">
        <v>29757</v>
      </c>
      <c r="M3023" s="2" t="s">
        <v>29826</v>
      </c>
      <c r="N3023" s="3" t="s">
        <v>8188</v>
      </c>
      <c r="P3023" s="3" t="s">
        <v>69</v>
      </c>
      <c r="Q3023" s="2" t="s">
        <v>29827</v>
      </c>
      <c r="R3023" s="3" t="s">
        <v>71</v>
      </c>
      <c r="S3023" s="4">
        <v>9</v>
      </c>
      <c r="T3023" s="4">
        <v>87</v>
      </c>
      <c r="U3023" s="5" t="s">
        <v>29829</v>
      </c>
      <c r="V3023" s="5" t="s">
        <v>29829</v>
      </c>
      <c r="W3023" s="5" t="s">
        <v>72</v>
      </c>
      <c r="X3023" s="5" t="s">
        <v>72</v>
      </c>
      <c r="Y3023" s="4">
        <v>239</v>
      </c>
      <c r="Z3023" s="4">
        <v>17</v>
      </c>
      <c r="AA3023" s="4">
        <v>17</v>
      </c>
      <c r="AB3023" s="4">
        <v>3</v>
      </c>
      <c r="AC3023" s="4">
        <v>3</v>
      </c>
      <c r="AD3023" s="4">
        <v>67</v>
      </c>
      <c r="AE3023" s="4">
        <v>67</v>
      </c>
      <c r="AF3023" s="4">
        <v>1</v>
      </c>
      <c r="AG3023" s="4">
        <v>1</v>
      </c>
      <c r="AH3023" s="4">
        <v>61</v>
      </c>
      <c r="AI3023" s="4">
        <v>61</v>
      </c>
      <c r="AJ3023" s="4">
        <v>10</v>
      </c>
      <c r="AK3023" s="4">
        <v>10</v>
      </c>
      <c r="AL3023" s="4">
        <v>37</v>
      </c>
      <c r="AM3023" s="4">
        <v>37</v>
      </c>
      <c r="AN3023" s="4">
        <v>0</v>
      </c>
      <c r="AO3023" s="4">
        <v>0</v>
      </c>
      <c r="AP3023" s="4">
        <v>10</v>
      </c>
      <c r="AQ3023" s="4">
        <v>10</v>
      </c>
      <c r="AR3023" s="3" t="s">
        <v>65</v>
      </c>
      <c r="AS3023" s="3" t="s">
        <v>65</v>
      </c>
      <c r="AT3023" s="3" t="s">
        <v>209</v>
      </c>
      <c r="AU3023" s="6" t="str">
        <f>HYPERLINK("http://catalog.hathitrust.org/Record/000850867","HathiTrust Record")</f>
        <v>HathiTrust Record</v>
      </c>
      <c r="AV3023" s="6" t="str">
        <f>HYPERLINK("http://mcgill.on.worldcat.org/oclc/16511730","Catalog Record")</f>
        <v>Catalog Record</v>
      </c>
      <c r="AW3023" s="6" t="str">
        <f>HYPERLINK("http://www.worldcat.org/oclc/16511730","WorldCat Record")</f>
        <v>WorldCat Record</v>
      </c>
      <c r="AX3023" s="3" t="s">
        <v>29830</v>
      </c>
      <c r="AY3023" s="3" t="s">
        <v>29831</v>
      </c>
      <c r="AZ3023" s="3" t="s">
        <v>29832</v>
      </c>
      <c r="BA3023" s="3" t="s">
        <v>29832</v>
      </c>
      <c r="BB3023" s="3" t="s">
        <v>29841</v>
      </c>
      <c r="BC3023" s="3" t="s">
        <v>77</v>
      </c>
      <c r="BD3023" s="3" t="s">
        <v>78</v>
      </c>
      <c r="BE3023" s="3" t="s">
        <v>29834</v>
      </c>
      <c r="BF3023" s="3" t="s">
        <v>29841</v>
      </c>
      <c r="BG3023" s="3" t="s">
        <v>29842</v>
      </c>
    </row>
    <row r="3024" spans="1:59" ht="58" x14ac:dyDescent="0.35">
      <c r="A3024" s="2" t="s">
        <v>59</v>
      </c>
      <c r="B3024" s="2" t="s">
        <v>60</v>
      </c>
      <c r="C3024" s="2" t="s">
        <v>29823</v>
      </c>
      <c r="D3024" s="2" t="s">
        <v>29824</v>
      </c>
      <c r="E3024" s="2" t="s">
        <v>29825</v>
      </c>
      <c r="F3024" s="3" t="s">
        <v>792</v>
      </c>
      <c r="G3024" s="3" t="s">
        <v>209</v>
      </c>
      <c r="I3024" s="3" t="s">
        <v>209</v>
      </c>
      <c r="J3024" s="3" t="s">
        <v>65</v>
      </c>
      <c r="K3024" s="3" t="s">
        <v>66</v>
      </c>
      <c r="L3024" s="2" t="s">
        <v>29757</v>
      </c>
      <c r="M3024" s="2" t="s">
        <v>29826</v>
      </c>
      <c r="N3024" s="3" t="s">
        <v>8188</v>
      </c>
      <c r="P3024" s="3" t="s">
        <v>69</v>
      </c>
      <c r="Q3024" s="2" t="s">
        <v>29827</v>
      </c>
      <c r="R3024" s="3" t="s">
        <v>71</v>
      </c>
      <c r="S3024" s="4">
        <v>6</v>
      </c>
      <c r="T3024" s="4">
        <v>87</v>
      </c>
      <c r="U3024" s="5" t="s">
        <v>29843</v>
      </c>
      <c r="V3024" s="5" t="s">
        <v>29829</v>
      </c>
      <c r="W3024" s="5" t="s">
        <v>72</v>
      </c>
      <c r="X3024" s="5" t="s">
        <v>72</v>
      </c>
      <c r="Y3024" s="4">
        <v>239</v>
      </c>
      <c r="Z3024" s="4">
        <v>17</v>
      </c>
      <c r="AA3024" s="4">
        <v>17</v>
      </c>
      <c r="AB3024" s="4">
        <v>3</v>
      </c>
      <c r="AC3024" s="4">
        <v>3</v>
      </c>
      <c r="AD3024" s="4">
        <v>67</v>
      </c>
      <c r="AE3024" s="4">
        <v>67</v>
      </c>
      <c r="AF3024" s="4">
        <v>1</v>
      </c>
      <c r="AG3024" s="4">
        <v>1</v>
      </c>
      <c r="AH3024" s="4">
        <v>61</v>
      </c>
      <c r="AI3024" s="4">
        <v>61</v>
      </c>
      <c r="AJ3024" s="4">
        <v>10</v>
      </c>
      <c r="AK3024" s="4">
        <v>10</v>
      </c>
      <c r="AL3024" s="4">
        <v>37</v>
      </c>
      <c r="AM3024" s="4">
        <v>37</v>
      </c>
      <c r="AN3024" s="4">
        <v>0</v>
      </c>
      <c r="AO3024" s="4">
        <v>0</v>
      </c>
      <c r="AP3024" s="4">
        <v>10</v>
      </c>
      <c r="AQ3024" s="4">
        <v>10</v>
      </c>
      <c r="AR3024" s="3" t="s">
        <v>65</v>
      </c>
      <c r="AS3024" s="3" t="s">
        <v>65</v>
      </c>
      <c r="AT3024" s="3" t="s">
        <v>209</v>
      </c>
      <c r="AU3024" s="6" t="str">
        <f>HYPERLINK("http://catalog.hathitrust.org/Record/000850867","HathiTrust Record")</f>
        <v>HathiTrust Record</v>
      </c>
      <c r="AV3024" s="6" t="str">
        <f>HYPERLINK("http://mcgill.on.worldcat.org/oclc/16511730","Catalog Record")</f>
        <v>Catalog Record</v>
      </c>
      <c r="AW3024" s="6" t="str">
        <f>HYPERLINK("http://www.worldcat.org/oclc/16511730","WorldCat Record")</f>
        <v>WorldCat Record</v>
      </c>
      <c r="AX3024" s="3" t="s">
        <v>29830</v>
      </c>
      <c r="AY3024" s="3" t="s">
        <v>29831</v>
      </c>
      <c r="AZ3024" s="3" t="s">
        <v>29832</v>
      </c>
      <c r="BA3024" s="3" t="s">
        <v>29832</v>
      </c>
      <c r="BB3024" s="3" t="s">
        <v>29844</v>
      </c>
      <c r="BC3024" s="3" t="s">
        <v>77</v>
      </c>
      <c r="BD3024" s="3" t="s">
        <v>78</v>
      </c>
      <c r="BE3024" s="3" t="s">
        <v>29834</v>
      </c>
      <c r="BF3024" s="3" t="s">
        <v>29844</v>
      </c>
      <c r="BG3024" s="3" t="s">
        <v>29845</v>
      </c>
    </row>
    <row r="3025" spans="1:59" ht="58" x14ac:dyDescent="0.35">
      <c r="A3025" s="2" t="s">
        <v>59</v>
      </c>
      <c r="B3025" s="2" t="s">
        <v>60</v>
      </c>
      <c r="C3025" s="2" t="s">
        <v>29846</v>
      </c>
      <c r="D3025" s="2" t="s">
        <v>29847</v>
      </c>
      <c r="E3025" s="2" t="s">
        <v>29848</v>
      </c>
      <c r="F3025" s="3" t="s">
        <v>16255</v>
      </c>
      <c r="G3025" s="3" t="s">
        <v>209</v>
      </c>
      <c r="I3025" s="3" t="s">
        <v>65</v>
      </c>
      <c r="J3025" s="3" t="s">
        <v>209</v>
      </c>
      <c r="K3025" s="3" t="s">
        <v>66</v>
      </c>
      <c r="L3025" s="2" t="s">
        <v>29757</v>
      </c>
      <c r="M3025" s="2" t="s">
        <v>29849</v>
      </c>
      <c r="N3025" s="3" t="s">
        <v>392</v>
      </c>
      <c r="O3025" s="2" t="s">
        <v>29850</v>
      </c>
      <c r="P3025" s="3" t="s">
        <v>140</v>
      </c>
      <c r="Q3025" s="2" t="s">
        <v>29769</v>
      </c>
      <c r="R3025" s="3" t="s">
        <v>71</v>
      </c>
      <c r="S3025" s="4">
        <v>7</v>
      </c>
      <c r="T3025" s="4">
        <v>20</v>
      </c>
      <c r="U3025" s="5" t="s">
        <v>6469</v>
      </c>
      <c r="V3025" s="5" t="s">
        <v>6469</v>
      </c>
      <c r="W3025" s="5" t="s">
        <v>72</v>
      </c>
      <c r="X3025" s="5" t="s">
        <v>72</v>
      </c>
      <c r="Y3025" s="4">
        <v>10</v>
      </c>
      <c r="Z3025" s="4">
        <v>1</v>
      </c>
      <c r="AA3025" s="4">
        <v>15</v>
      </c>
      <c r="AB3025" s="4">
        <v>1</v>
      </c>
      <c r="AC3025" s="4">
        <v>3</v>
      </c>
      <c r="AD3025" s="4">
        <v>5</v>
      </c>
      <c r="AE3025" s="4">
        <v>62</v>
      </c>
      <c r="AF3025" s="4">
        <v>0</v>
      </c>
      <c r="AG3025" s="4">
        <v>2</v>
      </c>
      <c r="AH3025" s="4">
        <v>4</v>
      </c>
      <c r="AI3025" s="4">
        <v>56</v>
      </c>
      <c r="AJ3025" s="4">
        <v>0</v>
      </c>
      <c r="AK3025" s="4">
        <v>8</v>
      </c>
      <c r="AL3025" s="4">
        <v>4</v>
      </c>
      <c r="AM3025" s="4">
        <v>35</v>
      </c>
      <c r="AN3025" s="4">
        <v>0</v>
      </c>
      <c r="AO3025" s="4">
        <v>1</v>
      </c>
      <c r="AP3025" s="4">
        <v>0</v>
      </c>
      <c r="AQ3025" s="4">
        <v>8</v>
      </c>
      <c r="AR3025" s="3" t="s">
        <v>65</v>
      </c>
      <c r="AS3025" s="3" t="s">
        <v>65</v>
      </c>
      <c r="AT3025" s="3" t="s">
        <v>209</v>
      </c>
      <c r="AU3025" s="6" t="str">
        <f>HYPERLINK("http://catalog.hathitrust.org/Record/000853148","HathiTrust Record")</f>
        <v>HathiTrust Record</v>
      </c>
      <c r="AV3025" s="6" t="str">
        <f>HYPERLINK("http://mcgill.on.worldcat.org/oclc/21378742","Catalog Record")</f>
        <v>Catalog Record</v>
      </c>
      <c r="AW3025" s="6" t="str">
        <f>HYPERLINK("http://www.worldcat.org/oclc/21378742","WorldCat Record")</f>
        <v>WorldCat Record</v>
      </c>
      <c r="AX3025" s="3" t="s">
        <v>29851</v>
      </c>
      <c r="AY3025" s="3" t="s">
        <v>29852</v>
      </c>
      <c r="AZ3025" s="3" t="s">
        <v>29853</v>
      </c>
      <c r="BA3025" s="3" t="s">
        <v>29853</v>
      </c>
      <c r="BB3025" s="3" t="s">
        <v>29854</v>
      </c>
      <c r="BC3025" s="3" t="s">
        <v>77</v>
      </c>
      <c r="BD3025" s="3" t="s">
        <v>78</v>
      </c>
      <c r="BE3025" s="3" t="s">
        <v>29855</v>
      </c>
      <c r="BF3025" s="3" t="s">
        <v>29854</v>
      </c>
      <c r="BG3025" s="3" t="s">
        <v>29856</v>
      </c>
    </row>
    <row r="3026" spans="1:59" ht="58" x14ac:dyDescent="0.35">
      <c r="A3026" s="2" t="s">
        <v>59</v>
      </c>
      <c r="B3026" s="2" t="s">
        <v>60</v>
      </c>
      <c r="C3026" s="2" t="s">
        <v>29846</v>
      </c>
      <c r="D3026" s="2" t="s">
        <v>29847</v>
      </c>
      <c r="E3026" s="2" t="s">
        <v>29848</v>
      </c>
      <c r="F3026" s="3" t="s">
        <v>8207</v>
      </c>
      <c r="G3026" s="3" t="s">
        <v>209</v>
      </c>
      <c r="I3026" s="3" t="s">
        <v>65</v>
      </c>
      <c r="J3026" s="3" t="s">
        <v>209</v>
      </c>
      <c r="K3026" s="3" t="s">
        <v>66</v>
      </c>
      <c r="L3026" s="2" t="s">
        <v>29757</v>
      </c>
      <c r="M3026" s="2" t="s">
        <v>29849</v>
      </c>
      <c r="N3026" s="3" t="s">
        <v>392</v>
      </c>
      <c r="O3026" s="2" t="s">
        <v>29850</v>
      </c>
      <c r="P3026" s="3" t="s">
        <v>140</v>
      </c>
      <c r="Q3026" s="2" t="s">
        <v>29769</v>
      </c>
      <c r="R3026" s="3" t="s">
        <v>71</v>
      </c>
      <c r="S3026" s="4">
        <v>13</v>
      </c>
      <c r="T3026" s="4">
        <v>20</v>
      </c>
      <c r="U3026" s="5" t="s">
        <v>6469</v>
      </c>
      <c r="V3026" s="5" t="s">
        <v>6469</v>
      </c>
      <c r="W3026" s="5" t="s">
        <v>72</v>
      </c>
      <c r="X3026" s="5" t="s">
        <v>72</v>
      </c>
      <c r="Y3026" s="4">
        <v>10</v>
      </c>
      <c r="Z3026" s="4">
        <v>1</v>
      </c>
      <c r="AA3026" s="4">
        <v>15</v>
      </c>
      <c r="AB3026" s="4">
        <v>1</v>
      </c>
      <c r="AC3026" s="4">
        <v>3</v>
      </c>
      <c r="AD3026" s="4">
        <v>5</v>
      </c>
      <c r="AE3026" s="4">
        <v>62</v>
      </c>
      <c r="AF3026" s="4">
        <v>0</v>
      </c>
      <c r="AG3026" s="4">
        <v>2</v>
      </c>
      <c r="AH3026" s="4">
        <v>4</v>
      </c>
      <c r="AI3026" s="4">
        <v>56</v>
      </c>
      <c r="AJ3026" s="4">
        <v>0</v>
      </c>
      <c r="AK3026" s="4">
        <v>8</v>
      </c>
      <c r="AL3026" s="4">
        <v>4</v>
      </c>
      <c r="AM3026" s="4">
        <v>35</v>
      </c>
      <c r="AN3026" s="4">
        <v>0</v>
      </c>
      <c r="AO3026" s="4">
        <v>1</v>
      </c>
      <c r="AP3026" s="4">
        <v>0</v>
      </c>
      <c r="AQ3026" s="4">
        <v>8</v>
      </c>
      <c r="AR3026" s="3" t="s">
        <v>65</v>
      </c>
      <c r="AS3026" s="3" t="s">
        <v>65</v>
      </c>
      <c r="AT3026" s="3" t="s">
        <v>209</v>
      </c>
      <c r="AU3026" s="6" t="str">
        <f>HYPERLINK("http://catalog.hathitrust.org/Record/000853148","HathiTrust Record")</f>
        <v>HathiTrust Record</v>
      </c>
      <c r="AV3026" s="6" t="str">
        <f>HYPERLINK("http://mcgill.on.worldcat.org/oclc/21378742","Catalog Record")</f>
        <v>Catalog Record</v>
      </c>
      <c r="AW3026" s="6" t="str">
        <f>HYPERLINK("http://www.worldcat.org/oclc/21378742","WorldCat Record")</f>
        <v>WorldCat Record</v>
      </c>
      <c r="AX3026" s="3" t="s">
        <v>29851</v>
      </c>
      <c r="AY3026" s="3" t="s">
        <v>29852</v>
      </c>
      <c r="AZ3026" s="3" t="s">
        <v>29853</v>
      </c>
      <c r="BA3026" s="3" t="s">
        <v>29853</v>
      </c>
      <c r="BB3026" s="3" t="s">
        <v>29857</v>
      </c>
      <c r="BC3026" s="3" t="s">
        <v>77</v>
      </c>
      <c r="BD3026" s="3" t="s">
        <v>78</v>
      </c>
      <c r="BE3026" s="3" t="s">
        <v>29855</v>
      </c>
      <c r="BF3026" s="3" t="s">
        <v>29857</v>
      </c>
      <c r="BG3026" s="3" t="s">
        <v>29858</v>
      </c>
    </row>
    <row r="3027" spans="1:59" ht="58" x14ac:dyDescent="0.35">
      <c r="A3027" s="2" t="s">
        <v>59</v>
      </c>
      <c r="B3027" s="2" t="s">
        <v>60</v>
      </c>
      <c r="C3027" s="2" t="s">
        <v>29859</v>
      </c>
      <c r="D3027" s="2" t="s">
        <v>29860</v>
      </c>
      <c r="E3027" s="2" t="s">
        <v>29861</v>
      </c>
      <c r="G3027" s="3" t="s">
        <v>65</v>
      </c>
      <c r="I3027" s="3" t="s">
        <v>65</v>
      </c>
      <c r="J3027" s="3" t="s">
        <v>209</v>
      </c>
      <c r="K3027" s="3" t="s">
        <v>66</v>
      </c>
      <c r="L3027" s="2" t="s">
        <v>29757</v>
      </c>
      <c r="M3027" s="2" t="s">
        <v>29862</v>
      </c>
      <c r="N3027" s="3" t="s">
        <v>26095</v>
      </c>
      <c r="O3027" s="2" t="s">
        <v>2438</v>
      </c>
      <c r="P3027" s="3" t="s">
        <v>69</v>
      </c>
      <c r="R3027" s="3" t="s">
        <v>71</v>
      </c>
      <c r="S3027" s="4">
        <v>1</v>
      </c>
      <c r="T3027" s="4">
        <v>1</v>
      </c>
      <c r="U3027" s="5" t="s">
        <v>29863</v>
      </c>
      <c r="V3027" s="5" t="s">
        <v>29863</v>
      </c>
      <c r="W3027" s="5" t="s">
        <v>72</v>
      </c>
      <c r="X3027" s="5" t="s">
        <v>72</v>
      </c>
      <c r="Y3027" s="4">
        <v>302</v>
      </c>
      <c r="Z3027" s="4">
        <v>13</v>
      </c>
      <c r="AA3027" s="4">
        <v>47</v>
      </c>
      <c r="AB3027" s="4">
        <v>3</v>
      </c>
      <c r="AC3027" s="4">
        <v>11</v>
      </c>
      <c r="AD3027" s="4">
        <v>72</v>
      </c>
      <c r="AE3027" s="4">
        <v>131</v>
      </c>
      <c r="AF3027" s="4">
        <v>2</v>
      </c>
      <c r="AG3027" s="4">
        <v>5</v>
      </c>
      <c r="AH3027" s="4">
        <v>64</v>
      </c>
      <c r="AI3027" s="4">
        <v>108</v>
      </c>
      <c r="AJ3027" s="4">
        <v>7</v>
      </c>
      <c r="AK3027" s="4">
        <v>22</v>
      </c>
      <c r="AL3027" s="4">
        <v>37</v>
      </c>
      <c r="AM3027" s="4">
        <v>60</v>
      </c>
      <c r="AN3027" s="4">
        <v>0</v>
      </c>
      <c r="AO3027" s="4">
        <v>9</v>
      </c>
      <c r="AP3027" s="4">
        <v>8</v>
      </c>
      <c r="AQ3027" s="4">
        <v>29</v>
      </c>
      <c r="AR3027" s="3" t="s">
        <v>65</v>
      </c>
      <c r="AS3027" s="3" t="s">
        <v>65</v>
      </c>
      <c r="AT3027" s="3" t="s">
        <v>65</v>
      </c>
      <c r="AU3027" s="6" t="str">
        <f>HYPERLINK("http://catalog.hathitrust.org/Record/001806736","HathiTrust Record")</f>
        <v>HathiTrust Record</v>
      </c>
      <c r="AV3027" s="6" t="str">
        <f>HYPERLINK("http://mcgill.on.worldcat.org/oclc/534716","Catalog Record")</f>
        <v>Catalog Record</v>
      </c>
      <c r="AW3027" s="6" t="str">
        <f>HYPERLINK("http://www.worldcat.org/oclc/534716","WorldCat Record")</f>
        <v>WorldCat Record</v>
      </c>
      <c r="AX3027" s="3" t="s">
        <v>29864</v>
      </c>
      <c r="AY3027" s="3" t="s">
        <v>29865</v>
      </c>
      <c r="AZ3027" s="3" t="s">
        <v>29866</v>
      </c>
      <c r="BA3027" s="3" t="s">
        <v>29866</v>
      </c>
      <c r="BB3027" s="3" t="s">
        <v>29867</v>
      </c>
      <c r="BC3027" s="3" t="s">
        <v>77</v>
      </c>
      <c r="BD3027" s="3" t="s">
        <v>78</v>
      </c>
      <c r="BF3027" s="3" t="s">
        <v>29867</v>
      </c>
      <c r="BG3027" s="3" t="s">
        <v>29868</v>
      </c>
    </row>
    <row r="3028" spans="1:59" ht="58" x14ac:dyDescent="0.35">
      <c r="A3028" s="2" t="s">
        <v>59</v>
      </c>
      <c r="B3028" s="2" t="s">
        <v>60</v>
      </c>
      <c r="C3028" s="2" t="s">
        <v>29869</v>
      </c>
      <c r="D3028" s="2" t="s">
        <v>29870</v>
      </c>
      <c r="E3028" s="2" t="s">
        <v>29871</v>
      </c>
      <c r="G3028" s="3" t="s">
        <v>65</v>
      </c>
      <c r="I3028" s="3" t="s">
        <v>65</v>
      </c>
      <c r="J3028" s="3" t="s">
        <v>65</v>
      </c>
      <c r="K3028" s="3" t="s">
        <v>66</v>
      </c>
      <c r="L3028" s="2" t="s">
        <v>29757</v>
      </c>
      <c r="M3028" s="2" t="s">
        <v>1647</v>
      </c>
      <c r="N3028" s="3" t="s">
        <v>126</v>
      </c>
      <c r="P3028" s="3" t="s">
        <v>69</v>
      </c>
      <c r="Q3028" s="2" t="s">
        <v>15279</v>
      </c>
      <c r="R3028" s="3" t="s">
        <v>71</v>
      </c>
      <c r="S3028" s="4">
        <v>3</v>
      </c>
      <c r="T3028" s="4">
        <v>3</v>
      </c>
      <c r="U3028" s="5" t="s">
        <v>29872</v>
      </c>
      <c r="V3028" s="5" t="s">
        <v>29872</v>
      </c>
      <c r="W3028" s="5" t="s">
        <v>72</v>
      </c>
      <c r="X3028" s="5" t="s">
        <v>72</v>
      </c>
      <c r="Y3028" s="4">
        <v>174</v>
      </c>
      <c r="Z3028" s="4">
        <v>25</v>
      </c>
      <c r="AA3028" s="4">
        <v>105</v>
      </c>
      <c r="AB3028" s="4">
        <v>2</v>
      </c>
      <c r="AC3028" s="4">
        <v>19</v>
      </c>
      <c r="AD3028" s="4">
        <v>83</v>
      </c>
      <c r="AE3028" s="4">
        <v>137</v>
      </c>
      <c r="AF3028" s="4">
        <v>1</v>
      </c>
      <c r="AG3028" s="4">
        <v>8</v>
      </c>
      <c r="AH3028" s="4">
        <v>71</v>
      </c>
      <c r="AI3028" s="4">
        <v>96</v>
      </c>
      <c r="AJ3028" s="4">
        <v>20</v>
      </c>
      <c r="AK3028" s="4">
        <v>27</v>
      </c>
      <c r="AL3028" s="4">
        <v>45</v>
      </c>
      <c r="AM3028" s="4">
        <v>55</v>
      </c>
      <c r="AN3028" s="4">
        <v>0</v>
      </c>
      <c r="AO3028" s="4">
        <v>0</v>
      </c>
      <c r="AP3028" s="4">
        <v>20</v>
      </c>
      <c r="AQ3028" s="4">
        <v>50</v>
      </c>
      <c r="AR3028" s="3" t="s">
        <v>209</v>
      </c>
      <c r="AS3028" s="3" t="s">
        <v>65</v>
      </c>
      <c r="AT3028" s="3" t="s">
        <v>65</v>
      </c>
      <c r="AV3028" s="6" t="str">
        <f>HYPERLINK("http://mcgill.on.worldcat.org/oclc/707818123","Catalog Record")</f>
        <v>Catalog Record</v>
      </c>
      <c r="AW3028" s="6" t="str">
        <f>HYPERLINK("http://www.worldcat.org/oclc/707818123","WorldCat Record")</f>
        <v>WorldCat Record</v>
      </c>
      <c r="AX3028" s="3" t="s">
        <v>29873</v>
      </c>
      <c r="AY3028" s="3" t="s">
        <v>29874</v>
      </c>
      <c r="AZ3028" s="3" t="s">
        <v>29875</v>
      </c>
      <c r="BA3028" s="3" t="s">
        <v>29875</v>
      </c>
      <c r="BB3028" s="3" t="s">
        <v>29876</v>
      </c>
      <c r="BC3028" s="3" t="s">
        <v>77</v>
      </c>
      <c r="BD3028" s="3" t="s">
        <v>106</v>
      </c>
      <c r="BE3028" s="3" t="s">
        <v>29877</v>
      </c>
      <c r="BF3028" s="3" t="s">
        <v>29876</v>
      </c>
      <c r="BG3028" s="3" t="s">
        <v>29878</v>
      </c>
    </row>
    <row r="3029" spans="1:59" ht="58" x14ac:dyDescent="0.35">
      <c r="A3029" s="2" t="s">
        <v>59</v>
      </c>
      <c r="B3029" s="2" t="s">
        <v>60</v>
      </c>
      <c r="C3029" s="2" t="s">
        <v>29879</v>
      </c>
      <c r="D3029" s="2" t="s">
        <v>29880</v>
      </c>
      <c r="E3029" s="2" t="s">
        <v>29881</v>
      </c>
      <c r="G3029" s="3" t="s">
        <v>65</v>
      </c>
      <c r="I3029" s="3" t="s">
        <v>65</v>
      </c>
      <c r="J3029" s="3" t="s">
        <v>65</v>
      </c>
      <c r="K3029" s="3" t="s">
        <v>66</v>
      </c>
      <c r="L3029" s="2" t="s">
        <v>29757</v>
      </c>
      <c r="M3029" s="2" t="s">
        <v>29882</v>
      </c>
      <c r="N3029" s="3" t="s">
        <v>7039</v>
      </c>
      <c r="P3029" s="3" t="s">
        <v>140</v>
      </c>
      <c r="Q3029" s="2" t="s">
        <v>29883</v>
      </c>
      <c r="R3029" s="3" t="s">
        <v>71</v>
      </c>
      <c r="S3029" s="4">
        <v>8</v>
      </c>
      <c r="T3029" s="4">
        <v>8</v>
      </c>
      <c r="U3029" s="5" t="s">
        <v>528</v>
      </c>
      <c r="V3029" s="5" t="s">
        <v>528</v>
      </c>
      <c r="W3029" s="5" t="s">
        <v>72</v>
      </c>
      <c r="X3029" s="5" t="s">
        <v>72</v>
      </c>
      <c r="Y3029" s="4">
        <v>14</v>
      </c>
      <c r="Z3029" s="4">
        <v>3</v>
      </c>
      <c r="AA3029" s="4">
        <v>9</v>
      </c>
      <c r="AB3029" s="4">
        <v>1</v>
      </c>
      <c r="AC3029" s="4">
        <v>3</v>
      </c>
      <c r="AD3029" s="4">
        <v>4</v>
      </c>
      <c r="AE3029" s="4">
        <v>35</v>
      </c>
      <c r="AF3029" s="4">
        <v>0</v>
      </c>
      <c r="AG3029" s="4">
        <v>2</v>
      </c>
      <c r="AH3029" s="4">
        <v>4</v>
      </c>
      <c r="AI3029" s="4">
        <v>31</v>
      </c>
      <c r="AJ3029" s="4">
        <v>1</v>
      </c>
      <c r="AK3029" s="4">
        <v>7</v>
      </c>
      <c r="AL3029" s="4">
        <v>2</v>
      </c>
      <c r="AM3029" s="4">
        <v>16</v>
      </c>
      <c r="AN3029" s="4">
        <v>0</v>
      </c>
      <c r="AO3029" s="4">
        <v>0</v>
      </c>
      <c r="AP3029" s="4">
        <v>1</v>
      </c>
      <c r="AQ3029" s="4">
        <v>6</v>
      </c>
      <c r="AR3029" s="3" t="s">
        <v>65</v>
      </c>
      <c r="AS3029" s="3" t="s">
        <v>65</v>
      </c>
      <c r="AT3029" s="3" t="s">
        <v>65</v>
      </c>
      <c r="AV3029" s="6" t="str">
        <f>HYPERLINK("http://mcgill.on.worldcat.org/oclc/12142886","Catalog Record")</f>
        <v>Catalog Record</v>
      </c>
      <c r="AW3029" s="6" t="str">
        <f>HYPERLINK("http://www.worldcat.org/oclc/12142886","WorldCat Record")</f>
        <v>WorldCat Record</v>
      </c>
      <c r="AX3029" s="3" t="s">
        <v>29884</v>
      </c>
      <c r="AY3029" s="3" t="s">
        <v>29885</v>
      </c>
      <c r="AZ3029" s="3" t="s">
        <v>29886</v>
      </c>
      <c r="BA3029" s="3" t="s">
        <v>29886</v>
      </c>
      <c r="BB3029" s="3" t="s">
        <v>29887</v>
      </c>
      <c r="BC3029" s="3" t="s">
        <v>77</v>
      </c>
      <c r="BD3029" s="3" t="s">
        <v>78</v>
      </c>
      <c r="BF3029" s="3" t="s">
        <v>29887</v>
      </c>
      <c r="BG3029" s="3" t="s">
        <v>29888</v>
      </c>
    </row>
    <row r="3030" spans="1:59" ht="58" x14ac:dyDescent="0.35">
      <c r="A3030" s="2" t="s">
        <v>59</v>
      </c>
      <c r="B3030" s="2" t="s">
        <v>60</v>
      </c>
      <c r="C3030" s="2" t="s">
        <v>29889</v>
      </c>
      <c r="D3030" s="2" t="s">
        <v>29890</v>
      </c>
      <c r="E3030" s="2" t="s">
        <v>29891</v>
      </c>
      <c r="G3030" s="3" t="s">
        <v>65</v>
      </c>
      <c r="I3030" s="3" t="s">
        <v>65</v>
      </c>
      <c r="J3030" s="3" t="s">
        <v>65</v>
      </c>
      <c r="K3030" s="3" t="s">
        <v>66</v>
      </c>
      <c r="L3030" s="2" t="s">
        <v>29757</v>
      </c>
      <c r="M3030" s="2" t="s">
        <v>29892</v>
      </c>
      <c r="N3030" s="3" t="s">
        <v>5060</v>
      </c>
      <c r="P3030" s="3" t="s">
        <v>140</v>
      </c>
      <c r="Q3030" s="2" t="s">
        <v>29893</v>
      </c>
      <c r="R3030" s="3" t="s">
        <v>71</v>
      </c>
      <c r="S3030" s="4">
        <v>15</v>
      </c>
      <c r="T3030" s="4">
        <v>15</v>
      </c>
      <c r="U3030" s="5" t="s">
        <v>4357</v>
      </c>
      <c r="V3030" s="5" t="s">
        <v>4357</v>
      </c>
      <c r="W3030" s="5" t="s">
        <v>72</v>
      </c>
      <c r="X3030" s="5" t="s">
        <v>72</v>
      </c>
      <c r="Y3030" s="4">
        <v>47</v>
      </c>
      <c r="Z3030" s="4">
        <v>3</v>
      </c>
      <c r="AA3030" s="4">
        <v>6</v>
      </c>
      <c r="AB3030" s="4">
        <v>1</v>
      </c>
      <c r="AC3030" s="4">
        <v>1</v>
      </c>
      <c r="AD3030" s="4">
        <v>17</v>
      </c>
      <c r="AE3030" s="4">
        <v>42</v>
      </c>
      <c r="AF3030" s="4">
        <v>0</v>
      </c>
      <c r="AG3030" s="4">
        <v>0</v>
      </c>
      <c r="AH3030" s="4">
        <v>16</v>
      </c>
      <c r="AI3030" s="4">
        <v>40</v>
      </c>
      <c r="AJ3030" s="4">
        <v>1</v>
      </c>
      <c r="AK3030" s="4">
        <v>3</v>
      </c>
      <c r="AL3030" s="4">
        <v>10</v>
      </c>
      <c r="AM3030" s="4">
        <v>28</v>
      </c>
      <c r="AN3030" s="4">
        <v>0</v>
      </c>
      <c r="AO3030" s="4">
        <v>5</v>
      </c>
      <c r="AP3030" s="4">
        <v>1</v>
      </c>
      <c r="AQ3030" s="4">
        <v>3</v>
      </c>
      <c r="AR3030" s="3" t="s">
        <v>65</v>
      </c>
      <c r="AS3030" s="3" t="s">
        <v>65</v>
      </c>
      <c r="AT3030" s="3" t="s">
        <v>65</v>
      </c>
      <c r="AV3030" s="6" t="str">
        <f>HYPERLINK("http://mcgill.on.worldcat.org/oclc/666367","Catalog Record")</f>
        <v>Catalog Record</v>
      </c>
      <c r="AW3030" s="6" t="str">
        <f>HYPERLINK("http://www.worldcat.org/oclc/666367","WorldCat Record")</f>
        <v>WorldCat Record</v>
      </c>
      <c r="AX3030" s="3" t="s">
        <v>29894</v>
      </c>
      <c r="AY3030" s="3" t="s">
        <v>29895</v>
      </c>
      <c r="AZ3030" s="3" t="s">
        <v>29896</v>
      </c>
      <c r="BA3030" s="3" t="s">
        <v>29896</v>
      </c>
      <c r="BB3030" s="3" t="s">
        <v>29897</v>
      </c>
      <c r="BC3030" s="3" t="s">
        <v>77</v>
      </c>
      <c r="BD3030" s="3" t="s">
        <v>78</v>
      </c>
      <c r="BF3030" s="3" t="s">
        <v>29897</v>
      </c>
      <c r="BG3030" s="3" t="s">
        <v>29898</v>
      </c>
    </row>
    <row r="3031" spans="1:59" ht="58" x14ac:dyDescent="0.35">
      <c r="A3031" s="2" t="s">
        <v>59</v>
      </c>
      <c r="B3031" s="2" t="s">
        <v>60</v>
      </c>
      <c r="C3031" s="2" t="s">
        <v>29899</v>
      </c>
      <c r="D3031" s="2" t="s">
        <v>29900</v>
      </c>
      <c r="E3031" s="2" t="s">
        <v>29901</v>
      </c>
      <c r="G3031" s="3" t="s">
        <v>65</v>
      </c>
      <c r="I3031" s="3" t="s">
        <v>65</v>
      </c>
      <c r="J3031" s="3" t="s">
        <v>65</v>
      </c>
      <c r="K3031" s="3" t="s">
        <v>66</v>
      </c>
      <c r="L3031" s="2" t="s">
        <v>29757</v>
      </c>
      <c r="M3031" s="2" t="s">
        <v>29902</v>
      </c>
      <c r="N3031" s="3" t="s">
        <v>2750</v>
      </c>
      <c r="P3031" s="3" t="s">
        <v>140</v>
      </c>
      <c r="Q3031" s="2" t="s">
        <v>29903</v>
      </c>
      <c r="R3031" s="3" t="s">
        <v>71</v>
      </c>
      <c r="S3031" s="4">
        <v>10</v>
      </c>
      <c r="T3031" s="4">
        <v>10</v>
      </c>
      <c r="U3031" s="5" t="s">
        <v>528</v>
      </c>
      <c r="V3031" s="5" t="s">
        <v>528</v>
      </c>
      <c r="W3031" s="5" t="s">
        <v>72</v>
      </c>
      <c r="X3031" s="5" t="s">
        <v>72</v>
      </c>
      <c r="Y3031" s="4">
        <v>16</v>
      </c>
      <c r="Z3031" s="4">
        <v>2</v>
      </c>
      <c r="AA3031" s="4">
        <v>2</v>
      </c>
      <c r="AB3031" s="4">
        <v>1</v>
      </c>
      <c r="AC3031" s="4">
        <v>1</v>
      </c>
      <c r="AD3031" s="4">
        <v>7</v>
      </c>
      <c r="AE3031" s="4">
        <v>7</v>
      </c>
      <c r="AF3031" s="4">
        <v>0</v>
      </c>
      <c r="AG3031" s="4">
        <v>0</v>
      </c>
      <c r="AH3031" s="4">
        <v>6</v>
      </c>
      <c r="AI3031" s="4">
        <v>6</v>
      </c>
      <c r="AJ3031" s="4">
        <v>1</v>
      </c>
      <c r="AK3031" s="4">
        <v>1</v>
      </c>
      <c r="AL3031" s="4">
        <v>3</v>
      </c>
      <c r="AM3031" s="4">
        <v>3</v>
      </c>
      <c r="AN3031" s="4">
        <v>0</v>
      </c>
      <c r="AO3031" s="4">
        <v>0</v>
      </c>
      <c r="AP3031" s="4">
        <v>1</v>
      </c>
      <c r="AQ3031" s="4">
        <v>1</v>
      </c>
      <c r="AR3031" s="3" t="s">
        <v>65</v>
      </c>
      <c r="AS3031" s="3" t="s">
        <v>65</v>
      </c>
      <c r="AT3031" s="3" t="s">
        <v>65</v>
      </c>
      <c r="AV3031" s="6" t="str">
        <f>HYPERLINK("http://mcgill.on.worldcat.org/oclc/3274193","Catalog Record")</f>
        <v>Catalog Record</v>
      </c>
      <c r="AW3031" s="6" t="str">
        <f>HYPERLINK("http://www.worldcat.org/oclc/3274193","WorldCat Record")</f>
        <v>WorldCat Record</v>
      </c>
      <c r="AX3031" s="3" t="s">
        <v>29904</v>
      </c>
      <c r="AY3031" s="3" t="s">
        <v>29905</v>
      </c>
      <c r="AZ3031" s="3" t="s">
        <v>29906</v>
      </c>
      <c r="BA3031" s="3" t="s">
        <v>29906</v>
      </c>
      <c r="BB3031" s="3" t="s">
        <v>29907</v>
      </c>
      <c r="BC3031" s="3" t="s">
        <v>77</v>
      </c>
      <c r="BD3031" s="3" t="s">
        <v>78</v>
      </c>
      <c r="BF3031" s="3" t="s">
        <v>29907</v>
      </c>
      <c r="BG3031" s="3" t="s">
        <v>29908</v>
      </c>
    </row>
    <row r="3032" spans="1:59" ht="58" x14ac:dyDescent="0.35">
      <c r="A3032" s="2" t="s">
        <v>59</v>
      </c>
      <c r="B3032" s="2" t="s">
        <v>60</v>
      </c>
      <c r="C3032" s="2" t="s">
        <v>29909</v>
      </c>
      <c r="D3032" s="2" t="s">
        <v>29910</v>
      </c>
      <c r="E3032" s="2" t="s">
        <v>29911</v>
      </c>
      <c r="G3032" s="3" t="s">
        <v>65</v>
      </c>
      <c r="I3032" s="3" t="s">
        <v>65</v>
      </c>
      <c r="J3032" s="3" t="s">
        <v>209</v>
      </c>
      <c r="K3032" s="3" t="s">
        <v>66</v>
      </c>
      <c r="L3032" s="2" t="s">
        <v>29912</v>
      </c>
      <c r="M3032" s="2" t="s">
        <v>29913</v>
      </c>
      <c r="N3032" s="3" t="s">
        <v>164</v>
      </c>
      <c r="P3032" s="3" t="s">
        <v>69</v>
      </c>
      <c r="Q3032" s="2" t="s">
        <v>9163</v>
      </c>
      <c r="R3032" s="3" t="s">
        <v>71</v>
      </c>
      <c r="S3032" s="4">
        <v>0</v>
      </c>
      <c r="T3032" s="4">
        <v>0</v>
      </c>
      <c r="W3032" s="5" t="s">
        <v>72</v>
      </c>
      <c r="X3032" s="5" t="s">
        <v>72</v>
      </c>
      <c r="Y3032" s="4">
        <v>134</v>
      </c>
      <c r="Z3032" s="4">
        <v>13</v>
      </c>
      <c r="AA3032" s="4">
        <v>44</v>
      </c>
      <c r="AB3032" s="4">
        <v>1</v>
      </c>
      <c r="AC3032" s="4">
        <v>12</v>
      </c>
      <c r="AD3032" s="4">
        <v>46</v>
      </c>
      <c r="AE3032" s="4">
        <v>126</v>
      </c>
      <c r="AF3032" s="4">
        <v>0</v>
      </c>
      <c r="AG3032" s="4">
        <v>5</v>
      </c>
      <c r="AH3032" s="4">
        <v>44</v>
      </c>
      <c r="AI3032" s="4">
        <v>106</v>
      </c>
      <c r="AJ3032" s="4">
        <v>9</v>
      </c>
      <c r="AK3032" s="4">
        <v>19</v>
      </c>
      <c r="AL3032" s="4">
        <v>27</v>
      </c>
      <c r="AM3032" s="4">
        <v>59</v>
      </c>
      <c r="AN3032" s="4">
        <v>0</v>
      </c>
      <c r="AO3032" s="4">
        <v>5</v>
      </c>
      <c r="AP3032" s="4">
        <v>9</v>
      </c>
      <c r="AQ3032" s="4">
        <v>26</v>
      </c>
      <c r="AR3032" s="3" t="s">
        <v>65</v>
      </c>
      <c r="AS3032" s="3" t="s">
        <v>65</v>
      </c>
      <c r="AT3032" s="3" t="s">
        <v>65</v>
      </c>
      <c r="AV3032" s="6" t="str">
        <f>HYPERLINK("http://mcgill.on.worldcat.org/oclc/869791755","Catalog Record")</f>
        <v>Catalog Record</v>
      </c>
      <c r="AW3032" s="6" t="str">
        <f>HYPERLINK("http://www.worldcat.org/oclc/869791755","WorldCat Record")</f>
        <v>WorldCat Record</v>
      </c>
      <c r="AX3032" s="3" t="s">
        <v>29914</v>
      </c>
      <c r="AY3032" s="3" t="s">
        <v>29915</v>
      </c>
      <c r="AZ3032" s="3" t="s">
        <v>29916</v>
      </c>
      <c r="BA3032" s="3" t="s">
        <v>29916</v>
      </c>
      <c r="BB3032" s="3" t="s">
        <v>29917</v>
      </c>
      <c r="BC3032" s="3" t="s">
        <v>77</v>
      </c>
      <c r="BD3032" s="3" t="s">
        <v>78</v>
      </c>
      <c r="BE3032" s="3" t="s">
        <v>29918</v>
      </c>
      <c r="BF3032" s="3" t="s">
        <v>29917</v>
      </c>
      <c r="BG3032" s="3" t="s">
        <v>29919</v>
      </c>
    </row>
    <row r="3033" spans="1:59" ht="58" x14ac:dyDescent="0.35">
      <c r="A3033" s="2" t="s">
        <v>59</v>
      </c>
      <c r="B3033" s="2" t="s">
        <v>60</v>
      </c>
      <c r="C3033" s="2" t="s">
        <v>29920</v>
      </c>
      <c r="D3033" s="2" t="s">
        <v>29921</v>
      </c>
      <c r="E3033" s="2" t="s">
        <v>29922</v>
      </c>
      <c r="G3033" s="3" t="s">
        <v>65</v>
      </c>
      <c r="I3033" s="3" t="s">
        <v>65</v>
      </c>
      <c r="J3033" s="3" t="s">
        <v>65</v>
      </c>
      <c r="K3033" s="3" t="s">
        <v>66</v>
      </c>
      <c r="L3033" s="2" t="s">
        <v>3550</v>
      </c>
      <c r="M3033" s="2" t="s">
        <v>29923</v>
      </c>
      <c r="N3033" s="3" t="s">
        <v>3385</v>
      </c>
      <c r="O3033" s="2" t="s">
        <v>365</v>
      </c>
      <c r="P3033" s="3" t="s">
        <v>140</v>
      </c>
      <c r="Q3033" s="2" t="s">
        <v>29924</v>
      </c>
      <c r="R3033" s="3" t="s">
        <v>71</v>
      </c>
      <c r="S3033" s="4">
        <v>37</v>
      </c>
      <c r="T3033" s="4">
        <v>37</v>
      </c>
      <c r="U3033" s="5" t="s">
        <v>3853</v>
      </c>
      <c r="V3033" s="5" t="s">
        <v>3853</v>
      </c>
      <c r="W3033" s="5" t="s">
        <v>72</v>
      </c>
      <c r="X3033" s="5" t="s">
        <v>72</v>
      </c>
      <c r="Y3033" s="4">
        <v>78</v>
      </c>
      <c r="Z3033" s="4">
        <v>5</v>
      </c>
      <c r="AA3033" s="4">
        <v>5</v>
      </c>
      <c r="AB3033" s="4">
        <v>1</v>
      </c>
      <c r="AC3033" s="4">
        <v>1</v>
      </c>
      <c r="AD3033" s="4">
        <v>42</v>
      </c>
      <c r="AE3033" s="4">
        <v>42</v>
      </c>
      <c r="AF3033" s="4">
        <v>0</v>
      </c>
      <c r="AG3033" s="4">
        <v>0</v>
      </c>
      <c r="AH3033" s="4">
        <v>40</v>
      </c>
      <c r="AI3033" s="4">
        <v>40</v>
      </c>
      <c r="AJ3033" s="4">
        <v>3</v>
      </c>
      <c r="AK3033" s="4">
        <v>3</v>
      </c>
      <c r="AL3033" s="4">
        <v>30</v>
      </c>
      <c r="AM3033" s="4">
        <v>30</v>
      </c>
      <c r="AN3033" s="4">
        <v>0</v>
      </c>
      <c r="AO3033" s="4">
        <v>0</v>
      </c>
      <c r="AP3033" s="4">
        <v>3</v>
      </c>
      <c r="AQ3033" s="4">
        <v>3</v>
      </c>
      <c r="AR3033" s="3" t="s">
        <v>65</v>
      </c>
      <c r="AS3033" s="3" t="s">
        <v>65</v>
      </c>
      <c r="AT3033" s="3" t="s">
        <v>209</v>
      </c>
      <c r="AU3033" s="6" t="str">
        <f>HYPERLINK("http://catalog.hathitrust.org/Record/004064706","HathiTrust Record")</f>
        <v>HathiTrust Record</v>
      </c>
      <c r="AV3033" s="6" t="str">
        <f>HYPERLINK("http://mcgill.on.worldcat.org/oclc/42755520","Catalog Record")</f>
        <v>Catalog Record</v>
      </c>
      <c r="AW3033" s="6" t="str">
        <f>HYPERLINK("http://www.worldcat.org/oclc/42755520","WorldCat Record")</f>
        <v>WorldCat Record</v>
      </c>
      <c r="AX3033" s="3" t="s">
        <v>29925</v>
      </c>
      <c r="AY3033" s="3" t="s">
        <v>29926</v>
      </c>
      <c r="AZ3033" s="3" t="s">
        <v>29927</v>
      </c>
      <c r="BA3033" s="3" t="s">
        <v>29927</v>
      </c>
      <c r="BB3033" s="3" t="s">
        <v>29928</v>
      </c>
      <c r="BC3033" s="3" t="s">
        <v>77</v>
      </c>
      <c r="BD3033" s="3" t="s">
        <v>78</v>
      </c>
      <c r="BE3033" s="3" t="s">
        <v>29929</v>
      </c>
      <c r="BF3033" s="3" t="s">
        <v>29928</v>
      </c>
      <c r="BG3033" s="3" t="s">
        <v>29930</v>
      </c>
    </row>
    <row r="3034" spans="1:59" ht="58" x14ac:dyDescent="0.35">
      <c r="A3034" s="2" t="s">
        <v>59</v>
      </c>
      <c r="B3034" s="2" t="s">
        <v>60</v>
      </c>
      <c r="C3034" s="2" t="s">
        <v>29931</v>
      </c>
      <c r="D3034" s="2" t="s">
        <v>29932</v>
      </c>
      <c r="E3034" s="2" t="s">
        <v>29933</v>
      </c>
      <c r="G3034" s="3" t="s">
        <v>65</v>
      </c>
      <c r="I3034" s="3" t="s">
        <v>65</v>
      </c>
      <c r="J3034" s="3" t="s">
        <v>65</v>
      </c>
      <c r="K3034" s="3" t="s">
        <v>66</v>
      </c>
      <c r="L3034" s="2" t="s">
        <v>29757</v>
      </c>
      <c r="M3034" s="2" t="s">
        <v>29934</v>
      </c>
      <c r="N3034" s="3" t="s">
        <v>1944</v>
      </c>
      <c r="P3034" s="3" t="s">
        <v>69</v>
      </c>
      <c r="Q3034" s="2" t="s">
        <v>26653</v>
      </c>
      <c r="R3034" s="3" t="s">
        <v>71</v>
      </c>
      <c r="S3034" s="4">
        <v>1</v>
      </c>
      <c r="T3034" s="4">
        <v>1</v>
      </c>
      <c r="U3034" s="5" t="s">
        <v>29935</v>
      </c>
      <c r="V3034" s="5" t="s">
        <v>29935</v>
      </c>
      <c r="W3034" s="5" t="s">
        <v>72</v>
      </c>
      <c r="X3034" s="5" t="s">
        <v>72</v>
      </c>
      <c r="Y3034" s="4">
        <v>27</v>
      </c>
      <c r="Z3034" s="4">
        <v>6</v>
      </c>
      <c r="AA3034" s="4">
        <v>6</v>
      </c>
      <c r="AB3034" s="4">
        <v>2</v>
      </c>
      <c r="AC3034" s="4">
        <v>2</v>
      </c>
      <c r="AD3034" s="4">
        <v>10</v>
      </c>
      <c r="AE3034" s="4">
        <v>10</v>
      </c>
      <c r="AF3034" s="4">
        <v>0</v>
      </c>
      <c r="AG3034" s="4">
        <v>0</v>
      </c>
      <c r="AH3034" s="4">
        <v>9</v>
      </c>
      <c r="AI3034" s="4">
        <v>9</v>
      </c>
      <c r="AJ3034" s="4">
        <v>3</v>
      </c>
      <c r="AK3034" s="4">
        <v>3</v>
      </c>
      <c r="AL3034" s="4">
        <v>4</v>
      </c>
      <c r="AM3034" s="4">
        <v>4</v>
      </c>
      <c r="AN3034" s="4">
        <v>0</v>
      </c>
      <c r="AO3034" s="4">
        <v>0</v>
      </c>
      <c r="AP3034" s="4">
        <v>3</v>
      </c>
      <c r="AQ3034" s="4">
        <v>3</v>
      </c>
      <c r="AR3034" s="3" t="s">
        <v>65</v>
      </c>
      <c r="AS3034" s="3" t="s">
        <v>65</v>
      </c>
      <c r="AT3034" s="3" t="s">
        <v>65</v>
      </c>
      <c r="AV3034" s="6" t="str">
        <f>HYPERLINK("http://mcgill.on.worldcat.org/oclc/47874124","Catalog Record")</f>
        <v>Catalog Record</v>
      </c>
      <c r="AW3034" s="6" t="str">
        <f>HYPERLINK("http://www.worldcat.org/oclc/47874124","WorldCat Record")</f>
        <v>WorldCat Record</v>
      </c>
      <c r="AX3034" s="3" t="s">
        <v>29936</v>
      </c>
      <c r="AY3034" s="3" t="s">
        <v>29937</v>
      </c>
      <c r="AZ3034" s="3" t="s">
        <v>29938</v>
      </c>
      <c r="BA3034" s="3" t="s">
        <v>29938</v>
      </c>
      <c r="BB3034" s="3" t="s">
        <v>29939</v>
      </c>
      <c r="BC3034" s="3" t="s">
        <v>77</v>
      </c>
      <c r="BD3034" s="3" t="s">
        <v>78</v>
      </c>
      <c r="BE3034" s="3" t="s">
        <v>29940</v>
      </c>
      <c r="BF3034" s="3" t="s">
        <v>29939</v>
      </c>
      <c r="BG3034" s="3" t="s">
        <v>29941</v>
      </c>
    </row>
    <row r="3035" spans="1:59" ht="58" x14ac:dyDescent="0.35">
      <c r="A3035" s="2" t="s">
        <v>59</v>
      </c>
      <c r="B3035" s="2" t="s">
        <v>60</v>
      </c>
      <c r="C3035" s="2" t="s">
        <v>29942</v>
      </c>
      <c r="D3035" s="2" t="s">
        <v>29943</v>
      </c>
      <c r="E3035" s="2" t="s">
        <v>29944</v>
      </c>
      <c r="G3035" s="3" t="s">
        <v>65</v>
      </c>
      <c r="I3035" s="3" t="s">
        <v>65</v>
      </c>
      <c r="J3035" s="3" t="s">
        <v>65</v>
      </c>
      <c r="K3035" s="3" t="s">
        <v>66</v>
      </c>
      <c r="L3035" s="2" t="s">
        <v>29757</v>
      </c>
      <c r="M3035" s="2" t="s">
        <v>29945</v>
      </c>
      <c r="N3035" s="3" t="s">
        <v>19139</v>
      </c>
      <c r="P3035" s="3" t="s">
        <v>69</v>
      </c>
      <c r="R3035" s="3" t="s">
        <v>71</v>
      </c>
      <c r="S3035" s="4">
        <v>3</v>
      </c>
      <c r="T3035" s="4">
        <v>3</v>
      </c>
      <c r="U3035" s="5" t="s">
        <v>29946</v>
      </c>
      <c r="V3035" s="5" t="s">
        <v>29946</v>
      </c>
      <c r="W3035" s="5" t="s">
        <v>72</v>
      </c>
      <c r="X3035" s="5" t="s">
        <v>72</v>
      </c>
      <c r="Y3035" s="4">
        <v>24</v>
      </c>
      <c r="Z3035" s="4">
        <v>3</v>
      </c>
      <c r="AA3035" s="4">
        <v>3</v>
      </c>
      <c r="AB3035" s="4">
        <v>1</v>
      </c>
      <c r="AC3035" s="4">
        <v>1</v>
      </c>
      <c r="AD3035" s="4">
        <v>8</v>
      </c>
      <c r="AE3035" s="4">
        <v>8</v>
      </c>
      <c r="AF3035" s="4">
        <v>0</v>
      </c>
      <c r="AG3035" s="4">
        <v>0</v>
      </c>
      <c r="AH3035" s="4">
        <v>8</v>
      </c>
      <c r="AI3035" s="4">
        <v>8</v>
      </c>
      <c r="AJ3035" s="4">
        <v>1</v>
      </c>
      <c r="AK3035" s="4">
        <v>1</v>
      </c>
      <c r="AL3035" s="4">
        <v>6</v>
      </c>
      <c r="AM3035" s="4">
        <v>6</v>
      </c>
      <c r="AN3035" s="4">
        <v>0</v>
      </c>
      <c r="AO3035" s="4">
        <v>0</v>
      </c>
      <c r="AP3035" s="4">
        <v>1</v>
      </c>
      <c r="AQ3035" s="4">
        <v>1</v>
      </c>
      <c r="AR3035" s="3" t="s">
        <v>65</v>
      </c>
      <c r="AS3035" s="3" t="s">
        <v>65</v>
      </c>
      <c r="AT3035" s="3" t="s">
        <v>65</v>
      </c>
      <c r="AV3035" s="6" t="str">
        <f>HYPERLINK("http://mcgill.on.worldcat.org/oclc/11209680","Catalog Record")</f>
        <v>Catalog Record</v>
      </c>
      <c r="AW3035" s="6" t="str">
        <f>HYPERLINK("http://www.worldcat.org/oclc/11209680","WorldCat Record")</f>
        <v>WorldCat Record</v>
      </c>
      <c r="AX3035" s="3" t="s">
        <v>29947</v>
      </c>
      <c r="AY3035" s="3" t="s">
        <v>29948</v>
      </c>
      <c r="AZ3035" s="3" t="s">
        <v>29949</v>
      </c>
      <c r="BA3035" s="3" t="s">
        <v>29949</v>
      </c>
      <c r="BB3035" s="3" t="s">
        <v>29950</v>
      </c>
      <c r="BC3035" s="3" t="s">
        <v>77</v>
      </c>
      <c r="BD3035" s="3" t="s">
        <v>78</v>
      </c>
      <c r="BF3035" s="3" t="s">
        <v>29950</v>
      </c>
      <c r="BG3035" s="3" t="s">
        <v>29951</v>
      </c>
    </row>
    <row r="3036" spans="1:59" ht="58" x14ac:dyDescent="0.35">
      <c r="A3036" s="2" t="s">
        <v>59</v>
      </c>
      <c r="B3036" s="2" t="s">
        <v>60</v>
      </c>
      <c r="C3036" s="2" t="s">
        <v>29952</v>
      </c>
      <c r="D3036" s="2" t="s">
        <v>29953</v>
      </c>
      <c r="E3036" s="2" t="s">
        <v>29954</v>
      </c>
      <c r="G3036" s="3" t="s">
        <v>65</v>
      </c>
      <c r="I3036" s="3" t="s">
        <v>65</v>
      </c>
      <c r="J3036" s="3" t="s">
        <v>65</v>
      </c>
      <c r="K3036" s="3" t="s">
        <v>66</v>
      </c>
      <c r="L3036" s="2" t="s">
        <v>29955</v>
      </c>
      <c r="M3036" s="2" t="s">
        <v>29956</v>
      </c>
      <c r="N3036" s="3" t="s">
        <v>4042</v>
      </c>
      <c r="P3036" s="3" t="s">
        <v>69</v>
      </c>
      <c r="Q3036" s="2" t="s">
        <v>29957</v>
      </c>
      <c r="R3036" s="3" t="s">
        <v>71</v>
      </c>
      <c r="S3036" s="4">
        <v>8</v>
      </c>
      <c r="T3036" s="4">
        <v>8</v>
      </c>
      <c r="U3036" s="5" t="s">
        <v>29958</v>
      </c>
      <c r="V3036" s="5" t="s">
        <v>29958</v>
      </c>
      <c r="W3036" s="5" t="s">
        <v>72</v>
      </c>
      <c r="X3036" s="5" t="s">
        <v>72</v>
      </c>
      <c r="Y3036" s="4">
        <v>50</v>
      </c>
      <c r="Z3036" s="4">
        <v>7</v>
      </c>
      <c r="AA3036" s="4">
        <v>7</v>
      </c>
      <c r="AB3036" s="4">
        <v>2</v>
      </c>
      <c r="AC3036" s="4">
        <v>2</v>
      </c>
      <c r="AD3036" s="4">
        <v>19</v>
      </c>
      <c r="AE3036" s="4">
        <v>19</v>
      </c>
      <c r="AF3036" s="4">
        <v>1</v>
      </c>
      <c r="AG3036" s="4">
        <v>1</v>
      </c>
      <c r="AH3036" s="4">
        <v>16</v>
      </c>
      <c r="AI3036" s="4">
        <v>16</v>
      </c>
      <c r="AJ3036" s="4">
        <v>5</v>
      </c>
      <c r="AK3036" s="4">
        <v>5</v>
      </c>
      <c r="AL3036" s="4">
        <v>11</v>
      </c>
      <c r="AM3036" s="4">
        <v>11</v>
      </c>
      <c r="AN3036" s="4">
        <v>0</v>
      </c>
      <c r="AO3036" s="4">
        <v>0</v>
      </c>
      <c r="AP3036" s="4">
        <v>5</v>
      </c>
      <c r="AQ3036" s="4">
        <v>5</v>
      </c>
      <c r="AR3036" s="3" t="s">
        <v>65</v>
      </c>
      <c r="AS3036" s="3" t="s">
        <v>65</v>
      </c>
      <c r="AT3036" s="3" t="s">
        <v>65</v>
      </c>
      <c r="AV3036" s="6" t="str">
        <f>HYPERLINK("http://mcgill.on.worldcat.org/oclc/1610586","Catalog Record")</f>
        <v>Catalog Record</v>
      </c>
      <c r="AW3036" s="6" t="str">
        <f>HYPERLINK("http://www.worldcat.org/oclc/1610586","WorldCat Record")</f>
        <v>WorldCat Record</v>
      </c>
      <c r="AX3036" s="3" t="s">
        <v>29959</v>
      </c>
      <c r="AY3036" s="3" t="s">
        <v>29960</v>
      </c>
      <c r="AZ3036" s="3" t="s">
        <v>29961</v>
      </c>
      <c r="BA3036" s="3" t="s">
        <v>29961</v>
      </c>
      <c r="BB3036" s="3" t="s">
        <v>29962</v>
      </c>
      <c r="BC3036" s="3" t="s">
        <v>77</v>
      </c>
      <c r="BD3036" s="3" t="s">
        <v>78</v>
      </c>
      <c r="BF3036" s="3" t="s">
        <v>29962</v>
      </c>
      <c r="BG3036" s="3" t="s">
        <v>29963</v>
      </c>
    </row>
    <row r="3037" spans="1:59" ht="72.5" x14ac:dyDescent="0.35">
      <c r="A3037" s="2" t="s">
        <v>59</v>
      </c>
      <c r="B3037" s="2" t="s">
        <v>60</v>
      </c>
      <c r="C3037" s="2" t="s">
        <v>29964</v>
      </c>
      <c r="D3037" s="2" t="s">
        <v>29965</v>
      </c>
      <c r="E3037" s="2" t="s">
        <v>29966</v>
      </c>
      <c r="G3037" s="3" t="s">
        <v>65</v>
      </c>
      <c r="I3037" s="3" t="s">
        <v>65</v>
      </c>
      <c r="J3037" s="3" t="s">
        <v>209</v>
      </c>
      <c r="K3037" s="3" t="s">
        <v>66</v>
      </c>
      <c r="L3037" s="2" t="s">
        <v>29757</v>
      </c>
      <c r="M3037" s="2" t="s">
        <v>29967</v>
      </c>
      <c r="N3037" s="3" t="s">
        <v>863</v>
      </c>
      <c r="O3037" s="2" t="s">
        <v>29968</v>
      </c>
      <c r="P3037" s="3" t="s">
        <v>140</v>
      </c>
      <c r="Q3037" s="2" t="s">
        <v>29969</v>
      </c>
      <c r="R3037" s="3" t="s">
        <v>71</v>
      </c>
      <c r="S3037" s="4">
        <v>29</v>
      </c>
      <c r="T3037" s="4">
        <v>29</v>
      </c>
      <c r="U3037" s="5" t="s">
        <v>29970</v>
      </c>
      <c r="V3037" s="5" t="s">
        <v>29970</v>
      </c>
      <c r="W3037" s="5" t="s">
        <v>72</v>
      </c>
      <c r="X3037" s="5" t="s">
        <v>72</v>
      </c>
      <c r="Y3037" s="4">
        <v>38</v>
      </c>
      <c r="Z3037" s="4">
        <v>6</v>
      </c>
      <c r="AA3037" s="4">
        <v>28</v>
      </c>
      <c r="AB3037" s="4">
        <v>3</v>
      </c>
      <c r="AC3037" s="4">
        <v>5</v>
      </c>
      <c r="AD3037" s="4">
        <v>16</v>
      </c>
      <c r="AE3037" s="4">
        <v>69</v>
      </c>
      <c r="AF3037" s="4">
        <v>1</v>
      </c>
      <c r="AG3037" s="4">
        <v>2</v>
      </c>
      <c r="AH3037" s="4">
        <v>15</v>
      </c>
      <c r="AI3037" s="4">
        <v>60</v>
      </c>
      <c r="AJ3037" s="4">
        <v>2</v>
      </c>
      <c r="AK3037" s="4">
        <v>10</v>
      </c>
      <c r="AL3037" s="4">
        <v>11</v>
      </c>
      <c r="AM3037" s="4">
        <v>37</v>
      </c>
      <c r="AN3037" s="4">
        <v>0</v>
      </c>
      <c r="AO3037" s="4">
        <v>2</v>
      </c>
      <c r="AP3037" s="4">
        <v>2</v>
      </c>
      <c r="AQ3037" s="4">
        <v>12</v>
      </c>
      <c r="AR3037" s="3" t="s">
        <v>65</v>
      </c>
      <c r="AS3037" s="3" t="s">
        <v>65</v>
      </c>
      <c r="AT3037" s="3" t="s">
        <v>209</v>
      </c>
      <c r="AU3037" s="6" t="str">
        <f>HYPERLINK("http://catalog.hathitrust.org/Record/002908200","HathiTrust Record")</f>
        <v>HathiTrust Record</v>
      </c>
      <c r="AV3037" s="6" t="str">
        <f>HYPERLINK("http://mcgill.on.worldcat.org/oclc/28456813","Catalog Record")</f>
        <v>Catalog Record</v>
      </c>
      <c r="AW3037" s="6" t="str">
        <f>HYPERLINK("http://www.worldcat.org/oclc/28456813","WorldCat Record")</f>
        <v>WorldCat Record</v>
      </c>
      <c r="AX3037" s="3" t="s">
        <v>29971</v>
      </c>
      <c r="AY3037" s="3" t="s">
        <v>29972</v>
      </c>
      <c r="AZ3037" s="3" t="s">
        <v>29973</v>
      </c>
      <c r="BA3037" s="3" t="s">
        <v>29973</v>
      </c>
      <c r="BB3037" s="3" t="s">
        <v>29974</v>
      </c>
      <c r="BC3037" s="3" t="s">
        <v>77</v>
      </c>
      <c r="BD3037" s="3" t="s">
        <v>78</v>
      </c>
      <c r="BE3037" s="3" t="s">
        <v>29975</v>
      </c>
      <c r="BF3037" s="3" t="s">
        <v>29974</v>
      </c>
      <c r="BG3037" s="3" t="s">
        <v>29976</v>
      </c>
    </row>
    <row r="3038" spans="1:59" ht="58" x14ac:dyDescent="0.35">
      <c r="A3038" s="2" t="s">
        <v>59</v>
      </c>
      <c r="B3038" s="2" t="s">
        <v>60</v>
      </c>
      <c r="C3038" s="2" t="s">
        <v>29977</v>
      </c>
      <c r="D3038" s="2" t="s">
        <v>29978</v>
      </c>
      <c r="E3038" s="2" t="s">
        <v>29979</v>
      </c>
      <c r="G3038" s="3" t="s">
        <v>65</v>
      </c>
      <c r="I3038" s="3" t="s">
        <v>65</v>
      </c>
      <c r="J3038" s="3" t="s">
        <v>65</v>
      </c>
      <c r="K3038" s="3" t="s">
        <v>66</v>
      </c>
      <c r="L3038" s="2" t="s">
        <v>29757</v>
      </c>
      <c r="M3038" s="2" t="s">
        <v>29980</v>
      </c>
      <c r="N3038" s="3" t="s">
        <v>1173</v>
      </c>
      <c r="P3038" s="3" t="s">
        <v>140</v>
      </c>
      <c r="Q3038" s="2" t="s">
        <v>29981</v>
      </c>
      <c r="R3038" s="3" t="s">
        <v>71</v>
      </c>
      <c r="S3038" s="4">
        <v>21</v>
      </c>
      <c r="T3038" s="4">
        <v>21</v>
      </c>
      <c r="U3038" s="5" t="s">
        <v>9486</v>
      </c>
      <c r="V3038" s="5" t="s">
        <v>9486</v>
      </c>
      <c r="W3038" s="5" t="s">
        <v>72</v>
      </c>
      <c r="X3038" s="5" t="s">
        <v>72</v>
      </c>
      <c r="Y3038" s="4">
        <v>3</v>
      </c>
      <c r="Z3038" s="4">
        <v>2</v>
      </c>
      <c r="AA3038" s="4">
        <v>2</v>
      </c>
      <c r="AB3038" s="4">
        <v>1</v>
      </c>
      <c r="AC3038" s="4">
        <v>1</v>
      </c>
      <c r="AD3038" s="4">
        <v>2</v>
      </c>
      <c r="AE3038" s="4">
        <v>2</v>
      </c>
      <c r="AF3038" s="4">
        <v>0</v>
      </c>
      <c r="AG3038" s="4">
        <v>0</v>
      </c>
      <c r="AH3038" s="4">
        <v>2</v>
      </c>
      <c r="AI3038" s="4">
        <v>2</v>
      </c>
      <c r="AJ3038" s="4">
        <v>1</v>
      </c>
      <c r="AK3038" s="4">
        <v>1</v>
      </c>
      <c r="AL3038" s="4">
        <v>0</v>
      </c>
      <c r="AM3038" s="4">
        <v>0</v>
      </c>
      <c r="AN3038" s="4">
        <v>0</v>
      </c>
      <c r="AO3038" s="4">
        <v>0</v>
      </c>
      <c r="AP3038" s="4">
        <v>1</v>
      </c>
      <c r="AQ3038" s="4">
        <v>1</v>
      </c>
      <c r="AR3038" s="3" t="s">
        <v>65</v>
      </c>
      <c r="AS3038" s="3" t="s">
        <v>65</v>
      </c>
      <c r="AT3038" s="3" t="s">
        <v>65</v>
      </c>
      <c r="AV3038" s="6" t="str">
        <f>HYPERLINK("http://mcgill.on.worldcat.org/oclc/61591368","Catalog Record")</f>
        <v>Catalog Record</v>
      </c>
      <c r="AW3038" s="6" t="str">
        <f>HYPERLINK("http://www.worldcat.org/oclc/61591368","WorldCat Record")</f>
        <v>WorldCat Record</v>
      </c>
      <c r="AX3038" s="3" t="s">
        <v>29982</v>
      </c>
      <c r="AY3038" s="3" t="s">
        <v>29983</v>
      </c>
      <c r="AZ3038" s="3" t="s">
        <v>29984</v>
      </c>
      <c r="BA3038" s="3" t="s">
        <v>29984</v>
      </c>
      <c r="BB3038" s="3" t="s">
        <v>29985</v>
      </c>
      <c r="BC3038" s="3" t="s">
        <v>77</v>
      </c>
      <c r="BD3038" s="3" t="s">
        <v>78</v>
      </c>
      <c r="BF3038" s="3" t="s">
        <v>29985</v>
      </c>
      <c r="BG3038" s="3" t="s">
        <v>29986</v>
      </c>
    </row>
    <row r="3039" spans="1:59" ht="58" x14ac:dyDescent="0.35">
      <c r="A3039" s="2" t="s">
        <v>59</v>
      </c>
      <c r="B3039" s="2" t="s">
        <v>60</v>
      </c>
      <c r="C3039" s="2" t="s">
        <v>29987</v>
      </c>
      <c r="D3039" s="2" t="s">
        <v>29988</v>
      </c>
      <c r="E3039" s="2" t="s">
        <v>29989</v>
      </c>
      <c r="G3039" s="3" t="s">
        <v>65</v>
      </c>
      <c r="I3039" s="3" t="s">
        <v>65</v>
      </c>
      <c r="J3039" s="3" t="s">
        <v>65</v>
      </c>
      <c r="K3039" s="3" t="s">
        <v>66</v>
      </c>
      <c r="L3039" s="2" t="s">
        <v>3550</v>
      </c>
      <c r="M3039" s="2" t="s">
        <v>29990</v>
      </c>
      <c r="N3039" s="3" t="s">
        <v>2377</v>
      </c>
      <c r="P3039" s="3" t="s">
        <v>140</v>
      </c>
      <c r="Q3039" s="2" t="s">
        <v>29562</v>
      </c>
      <c r="R3039" s="3" t="s">
        <v>71</v>
      </c>
      <c r="S3039" s="4">
        <v>35</v>
      </c>
      <c r="T3039" s="4">
        <v>35</v>
      </c>
      <c r="U3039" s="5" t="s">
        <v>29991</v>
      </c>
      <c r="V3039" s="5" t="s">
        <v>29991</v>
      </c>
      <c r="W3039" s="5" t="s">
        <v>72</v>
      </c>
      <c r="X3039" s="5" t="s">
        <v>72</v>
      </c>
      <c r="Y3039" s="4">
        <v>63</v>
      </c>
      <c r="Z3039" s="4">
        <v>7</v>
      </c>
      <c r="AA3039" s="4">
        <v>8</v>
      </c>
      <c r="AB3039" s="4">
        <v>1</v>
      </c>
      <c r="AC3039" s="4">
        <v>2</v>
      </c>
      <c r="AD3039" s="4">
        <v>33</v>
      </c>
      <c r="AE3039" s="4">
        <v>34</v>
      </c>
      <c r="AF3039" s="4">
        <v>0</v>
      </c>
      <c r="AG3039" s="4">
        <v>1</v>
      </c>
      <c r="AH3039" s="4">
        <v>30</v>
      </c>
      <c r="AI3039" s="4">
        <v>30</v>
      </c>
      <c r="AJ3039" s="4">
        <v>4</v>
      </c>
      <c r="AK3039" s="4">
        <v>5</v>
      </c>
      <c r="AL3039" s="4">
        <v>23</v>
      </c>
      <c r="AM3039" s="4">
        <v>23</v>
      </c>
      <c r="AN3039" s="4">
        <v>0</v>
      </c>
      <c r="AO3039" s="4">
        <v>0</v>
      </c>
      <c r="AP3039" s="4">
        <v>4</v>
      </c>
      <c r="AQ3039" s="4">
        <v>4</v>
      </c>
      <c r="AR3039" s="3" t="s">
        <v>65</v>
      </c>
      <c r="AS3039" s="3" t="s">
        <v>65</v>
      </c>
      <c r="AT3039" s="3" t="s">
        <v>209</v>
      </c>
      <c r="AU3039" s="6" t="str">
        <f>HYPERLINK("http://catalog.hathitrust.org/Record/002589690","HathiTrust Record")</f>
        <v>HathiTrust Record</v>
      </c>
      <c r="AV3039" s="6" t="str">
        <f>HYPERLINK("http://mcgill.on.worldcat.org/oclc/31776438","Catalog Record")</f>
        <v>Catalog Record</v>
      </c>
      <c r="AW3039" s="6" t="str">
        <f>HYPERLINK("http://www.worldcat.org/oclc/31776438","WorldCat Record")</f>
        <v>WorldCat Record</v>
      </c>
      <c r="AX3039" s="3" t="s">
        <v>29992</v>
      </c>
      <c r="AY3039" s="3" t="s">
        <v>29993</v>
      </c>
      <c r="AZ3039" s="3" t="s">
        <v>29994</v>
      </c>
      <c r="BA3039" s="3" t="s">
        <v>29994</v>
      </c>
      <c r="BB3039" s="3" t="s">
        <v>29995</v>
      </c>
      <c r="BC3039" s="3" t="s">
        <v>77</v>
      </c>
      <c r="BD3039" s="3" t="s">
        <v>78</v>
      </c>
      <c r="BE3039" s="3" t="s">
        <v>29996</v>
      </c>
      <c r="BF3039" s="3" t="s">
        <v>29995</v>
      </c>
      <c r="BG3039" s="3" t="s">
        <v>29997</v>
      </c>
    </row>
    <row r="3040" spans="1:59" ht="58" x14ac:dyDescent="0.35">
      <c r="A3040" s="2" t="s">
        <v>59</v>
      </c>
      <c r="B3040" s="2" t="s">
        <v>60</v>
      </c>
      <c r="C3040" s="2" t="s">
        <v>29998</v>
      </c>
      <c r="D3040" s="2" t="s">
        <v>29999</v>
      </c>
      <c r="E3040" s="2" t="s">
        <v>30000</v>
      </c>
      <c r="G3040" s="3" t="s">
        <v>65</v>
      </c>
      <c r="I3040" s="3" t="s">
        <v>65</v>
      </c>
      <c r="J3040" s="3" t="s">
        <v>65</v>
      </c>
      <c r="K3040" s="3" t="s">
        <v>66</v>
      </c>
      <c r="L3040" s="2" t="s">
        <v>29757</v>
      </c>
      <c r="M3040" s="2" t="s">
        <v>30001</v>
      </c>
      <c r="N3040" s="3" t="s">
        <v>3052</v>
      </c>
      <c r="P3040" s="3" t="s">
        <v>616</v>
      </c>
      <c r="Q3040" s="2" t="s">
        <v>30002</v>
      </c>
      <c r="R3040" s="3" t="s">
        <v>71</v>
      </c>
      <c r="S3040" s="4">
        <v>4</v>
      </c>
      <c r="T3040" s="4">
        <v>4</v>
      </c>
      <c r="U3040" s="5" t="s">
        <v>30003</v>
      </c>
      <c r="V3040" s="5" t="s">
        <v>30003</v>
      </c>
      <c r="W3040" s="5" t="s">
        <v>72</v>
      </c>
      <c r="X3040" s="5" t="s">
        <v>72</v>
      </c>
      <c r="Y3040" s="4">
        <v>2</v>
      </c>
      <c r="Z3040" s="4">
        <v>2</v>
      </c>
      <c r="AA3040" s="4">
        <v>22</v>
      </c>
      <c r="AB3040" s="4">
        <v>2</v>
      </c>
      <c r="AC3040" s="4">
        <v>12</v>
      </c>
      <c r="AD3040" s="4">
        <v>0</v>
      </c>
      <c r="AE3040" s="4">
        <v>18</v>
      </c>
      <c r="AF3040" s="4">
        <v>0</v>
      </c>
      <c r="AG3040" s="4">
        <v>4</v>
      </c>
      <c r="AH3040" s="4">
        <v>0</v>
      </c>
      <c r="AI3040" s="4">
        <v>10</v>
      </c>
      <c r="AJ3040" s="4">
        <v>0</v>
      </c>
      <c r="AK3040" s="4">
        <v>11</v>
      </c>
      <c r="AL3040" s="4">
        <v>0</v>
      </c>
      <c r="AM3040" s="4">
        <v>3</v>
      </c>
      <c r="AN3040" s="4">
        <v>0</v>
      </c>
      <c r="AO3040" s="4">
        <v>0</v>
      </c>
      <c r="AP3040" s="4">
        <v>0</v>
      </c>
      <c r="AQ3040" s="4">
        <v>10</v>
      </c>
      <c r="AR3040" s="3" t="s">
        <v>65</v>
      </c>
      <c r="AS3040" s="3" t="s">
        <v>65</v>
      </c>
      <c r="AT3040" s="3" t="s">
        <v>65</v>
      </c>
      <c r="AV3040" s="6" t="str">
        <f>HYPERLINK("http://mcgill.on.worldcat.org/oclc/61580246","Catalog Record")</f>
        <v>Catalog Record</v>
      </c>
      <c r="AW3040" s="6" t="str">
        <f>HYPERLINK("http://www.worldcat.org/oclc/61580246","WorldCat Record")</f>
        <v>WorldCat Record</v>
      </c>
      <c r="AX3040" s="3" t="s">
        <v>30004</v>
      </c>
      <c r="AY3040" s="3" t="s">
        <v>30005</v>
      </c>
      <c r="AZ3040" s="3" t="s">
        <v>30006</v>
      </c>
      <c r="BA3040" s="3" t="s">
        <v>30006</v>
      </c>
      <c r="BB3040" s="3" t="s">
        <v>30007</v>
      </c>
      <c r="BC3040" s="3" t="s">
        <v>77</v>
      </c>
      <c r="BD3040" s="3" t="s">
        <v>78</v>
      </c>
      <c r="BF3040" s="3" t="s">
        <v>30007</v>
      </c>
      <c r="BG3040" s="3" t="s">
        <v>30008</v>
      </c>
    </row>
    <row r="3041" spans="1:59" ht="58" x14ac:dyDescent="0.35">
      <c r="A3041" s="2" t="s">
        <v>59</v>
      </c>
      <c r="B3041" s="2" t="s">
        <v>60</v>
      </c>
      <c r="C3041" s="2" t="s">
        <v>30009</v>
      </c>
      <c r="D3041" s="2" t="s">
        <v>30010</v>
      </c>
      <c r="E3041" s="2" t="s">
        <v>30011</v>
      </c>
      <c r="G3041" s="3" t="s">
        <v>65</v>
      </c>
      <c r="I3041" s="3" t="s">
        <v>65</v>
      </c>
      <c r="J3041" s="3" t="s">
        <v>209</v>
      </c>
      <c r="K3041" s="3" t="s">
        <v>66</v>
      </c>
      <c r="L3041" s="2" t="s">
        <v>29757</v>
      </c>
      <c r="M3041" s="2" t="s">
        <v>24705</v>
      </c>
      <c r="N3041" s="3" t="s">
        <v>8188</v>
      </c>
      <c r="P3041" s="3" t="s">
        <v>69</v>
      </c>
      <c r="Q3041" s="2" t="s">
        <v>30012</v>
      </c>
      <c r="R3041" s="3" t="s">
        <v>71</v>
      </c>
      <c r="S3041" s="4">
        <v>30</v>
      </c>
      <c r="T3041" s="4">
        <v>30</v>
      </c>
      <c r="U3041" s="5" t="s">
        <v>7286</v>
      </c>
      <c r="V3041" s="5" t="s">
        <v>7286</v>
      </c>
      <c r="W3041" s="5" t="s">
        <v>72</v>
      </c>
      <c r="X3041" s="5" t="s">
        <v>72</v>
      </c>
      <c r="Y3041" s="4">
        <v>130</v>
      </c>
      <c r="Z3041" s="4">
        <v>10</v>
      </c>
      <c r="AA3041" s="4">
        <v>40</v>
      </c>
      <c r="AB3041" s="4">
        <v>2</v>
      </c>
      <c r="AC3041" s="4">
        <v>4</v>
      </c>
      <c r="AD3041" s="4">
        <v>58</v>
      </c>
      <c r="AE3041" s="4">
        <v>129</v>
      </c>
      <c r="AF3041" s="4">
        <v>0</v>
      </c>
      <c r="AG3041" s="4">
        <v>1</v>
      </c>
      <c r="AH3041" s="4">
        <v>53</v>
      </c>
      <c r="AI3041" s="4">
        <v>109</v>
      </c>
      <c r="AJ3041" s="4">
        <v>8</v>
      </c>
      <c r="AK3041" s="4">
        <v>20</v>
      </c>
      <c r="AL3041" s="4">
        <v>32</v>
      </c>
      <c r="AM3041" s="4">
        <v>60</v>
      </c>
      <c r="AN3041" s="4">
        <v>0</v>
      </c>
      <c r="AO3041" s="4">
        <v>6</v>
      </c>
      <c r="AP3041" s="4">
        <v>8</v>
      </c>
      <c r="AQ3041" s="4">
        <v>25</v>
      </c>
      <c r="AR3041" s="3" t="s">
        <v>65</v>
      </c>
      <c r="AS3041" s="3" t="s">
        <v>65</v>
      </c>
      <c r="AT3041" s="3" t="s">
        <v>209</v>
      </c>
      <c r="AU3041" s="6" t="str">
        <f>HYPERLINK("http://catalog.hathitrust.org/Record/000850463","HathiTrust Record")</f>
        <v>HathiTrust Record</v>
      </c>
      <c r="AV3041" s="6" t="str">
        <f>HYPERLINK("http://mcgill.on.worldcat.org/oclc/60063246","Catalog Record")</f>
        <v>Catalog Record</v>
      </c>
      <c r="AW3041" s="6" t="str">
        <f>HYPERLINK("http://www.worldcat.org/oclc/60063246","WorldCat Record")</f>
        <v>WorldCat Record</v>
      </c>
      <c r="AX3041" s="3" t="s">
        <v>30013</v>
      </c>
      <c r="AY3041" s="3" t="s">
        <v>30014</v>
      </c>
      <c r="AZ3041" s="3" t="s">
        <v>30015</v>
      </c>
      <c r="BA3041" s="3" t="s">
        <v>30015</v>
      </c>
      <c r="BB3041" s="3" t="s">
        <v>30016</v>
      </c>
      <c r="BC3041" s="3" t="s">
        <v>77</v>
      </c>
      <c r="BD3041" s="3" t="s">
        <v>78</v>
      </c>
      <c r="BE3041" s="3" t="s">
        <v>30017</v>
      </c>
      <c r="BF3041" s="3" t="s">
        <v>30016</v>
      </c>
      <c r="BG3041" s="3" t="s">
        <v>30018</v>
      </c>
    </row>
    <row r="3042" spans="1:59" ht="58" x14ac:dyDescent="0.35">
      <c r="A3042" s="2" t="s">
        <v>59</v>
      </c>
      <c r="B3042" s="2" t="s">
        <v>60</v>
      </c>
      <c r="C3042" s="2" t="s">
        <v>30019</v>
      </c>
      <c r="D3042" s="2" t="s">
        <v>30020</v>
      </c>
      <c r="E3042" s="2" t="s">
        <v>30021</v>
      </c>
      <c r="G3042" s="3" t="s">
        <v>65</v>
      </c>
      <c r="I3042" s="3" t="s">
        <v>65</v>
      </c>
      <c r="J3042" s="3" t="s">
        <v>65</v>
      </c>
      <c r="K3042" s="3" t="s">
        <v>66</v>
      </c>
      <c r="L3042" s="2" t="s">
        <v>30022</v>
      </c>
      <c r="M3042" s="2" t="s">
        <v>30023</v>
      </c>
      <c r="N3042" s="3" t="s">
        <v>577</v>
      </c>
      <c r="P3042" s="3" t="s">
        <v>140</v>
      </c>
      <c r="Q3042" s="2" t="s">
        <v>30024</v>
      </c>
      <c r="R3042" s="3" t="s">
        <v>71</v>
      </c>
      <c r="S3042" s="4">
        <v>14</v>
      </c>
      <c r="T3042" s="4">
        <v>14</v>
      </c>
      <c r="U3042" s="5" t="s">
        <v>22187</v>
      </c>
      <c r="V3042" s="5" t="s">
        <v>22187</v>
      </c>
      <c r="W3042" s="5" t="s">
        <v>72</v>
      </c>
      <c r="X3042" s="5" t="s">
        <v>72</v>
      </c>
      <c r="Y3042" s="4">
        <v>97</v>
      </c>
      <c r="Z3042" s="4">
        <v>5</v>
      </c>
      <c r="AA3042" s="4">
        <v>6</v>
      </c>
      <c r="AB3042" s="4">
        <v>1</v>
      </c>
      <c r="AC3042" s="4">
        <v>2</v>
      </c>
      <c r="AD3042" s="4">
        <v>50</v>
      </c>
      <c r="AE3042" s="4">
        <v>51</v>
      </c>
      <c r="AF3042" s="4">
        <v>0</v>
      </c>
      <c r="AG3042" s="4">
        <v>1</v>
      </c>
      <c r="AH3042" s="4">
        <v>46</v>
      </c>
      <c r="AI3042" s="4">
        <v>46</v>
      </c>
      <c r="AJ3042" s="4">
        <v>4</v>
      </c>
      <c r="AK3042" s="4">
        <v>5</v>
      </c>
      <c r="AL3042" s="4">
        <v>34</v>
      </c>
      <c r="AM3042" s="4">
        <v>34</v>
      </c>
      <c r="AN3042" s="4">
        <v>0</v>
      </c>
      <c r="AO3042" s="4">
        <v>0</v>
      </c>
      <c r="AP3042" s="4">
        <v>4</v>
      </c>
      <c r="AQ3042" s="4">
        <v>4</v>
      </c>
      <c r="AR3042" s="3" t="s">
        <v>65</v>
      </c>
      <c r="AS3042" s="3" t="s">
        <v>65</v>
      </c>
      <c r="AT3042" s="3" t="s">
        <v>65</v>
      </c>
      <c r="AV3042" s="6" t="str">
        <f>HYPERLINK("http://mcgill.on.worldcat.org/oclc/4569067","Catalog Record")</f>
        <v>Catalog Record</v>
      </c>
      <c r="AW3042" s="6" t="str">
        <f>HYPERLINK("http://www.worldcat.org/oclc/4569067","WorldCat Record")</f>
        <v>WorldCat Record</v>
      </c>
      <c r="AX3042" s="3" t="s">
        <v>30025</v>
      </c>
      <c r="AY3042" s="3" t="s">
        <v>30026</v>
      </c>
      <c r="AZ3042" s="3" t="s">
        <v>30027</v>
      </c>
      <c r="BA3042" s="3" t="s">
        <v>30027</v>
      </c>
      <c r="BB3042" s="3" t="s">
        <v>30028</v>
      </c>
      <c r="BC3042" s="3" t="s">
        <v>77</v>
      </c>
      <c r="BD3042" s="3" t="s">
        <v>78</v>
      </c>
      <c r="BF3042" s="3" t="s">
        <v>30028</v>
      </c>
      <c r="BG3042" s="3" t="s">
        <v>30029</v>
      </c>
    </row>
    <row r="3043" spans="1:59" ht="72.5" x14ac:dyDescent="0.35">
      <c r="A3043" s="2" t="s">
        <v>59</v>
      </c>
      <c r="B3043" s="2" t="s">
        <v>60</v>
      </c>
      <c r="C3043" s="2" t="s">
        <v>30030</v>
      </c>
      <c r="D3043" s="2" t="s">
        <v>30031</v>
      </c>
      <c r="E3043" s="2" t="s">
        <v>30032</v>
      </c>
      <c r="G3043" s="3" t="s">
        <v>65</v>
      </c>
      <c r="I3043" s="3" t="s">
        <v>65</v>
      </c>
      <c r="J3043" s="3" t="s">
        <v>65</v>
      </c>
      <c r="K3043" s="3" t="s">
        <v>66</v>
      </c>
      <c r="L3043" s="2" t="s">
        <v>30033</v>
      </c>
      <c r="M3043" s="2" t="s">
        <v>30034</v>
      </c>
      <c r="N3043" s="3" t="s">
        <v>221</v>
      </c>
      <c r="P3043" s="3" t="s">
        <v>140</v>
      </c>
      <c r="Q3043" s="2" t="s">
        <v>30035</v>
      </c>
      <c r="R3043" s="3" t="s">
        <v>71</v>
      </c>
      <c r="S3043" s="4">
        <v>1</v>
      </c>
      <c r="T3043" s="4">
        <v>1</v>
      </c>
      <c r="U3043" s="5" t="s">
        <v>3606</v>
      </c>
      <c r="V3043" s="5" t="s">
        <v>3606</v>
      </c>
      <c r="W3043" s="5" t="s">
        <v>72</v>
      </c>
      <c r="X3043" s="5" t="s">
        <v>72</v>
      </c>
      <c r="Y3043" s="4">
        <v>62</v>
      </c>
      <c r="Z3043" s="4">
        <v>7</v>
      </c>
      <c r="AA3043" s="4">
        <v>8</v>
      </c>
      <c r="AB3043" s="4">
        <v>1</v>
      </c>
      <c r="AC3043" s="4">
        <v>2</v>
      </c>
      <c r="AD3043" s="4">
        <v>44</v>
      </c>
      <c r="AE3043" s="4">
        <v>45</v>
      </c>
      <c r="AF3043" s="4">
        <v>0</v>
      </c>
      <c r="AG3043" s="4">
        <v>1</v>
      </c>
      <c r="AH3043" s="4">
        <v>42</v>
      </c>
      <c r="AI3043" s="4">
        <v>42</v>
      </c>
      <c r="AJ3043" s="4">
        <v>4</v>
      </c>
      <c r="AK3043" s="4">
        <v>5</v>
      </c>
      <c r="AL3043" s="4">
        <v>31</v>
      </c>
      <c r="AM3043" s="4">
        <v>31</v>
      </c>
      <c r="AN3043" s="4">
        <v>0</v>
      </c>
      <c r="AO3043" s="4">
        <v>0</v>
      </c>
      <c r="AP3043" s="4">
        <v>4</v>
      </c>
      <c r="AQ3043" s="4">
        <v>4</v>
      </c>
      <c r="AR3043" s="3" t="s">
        <v>65</v>
      </c>
      <c r="AS3043" s="3" t="s">
        <v>65</v>
      </c>
      <c r="AT3043" s="3" t="s">
        <v>209</v>
      </c>
      <c r="AU3043" s="6" t="str">
        <f>HYPERLINK("http://catalog.hathitrust.org/Record/005596315","HathiTrust Record")</f>
        <v>HathiTrust Record</v>
      </c>
      <c r="AV3043" s="6" t="str">
        <f>HYPERLINK("http://mcgill.on.worldcat.org/oclc/156956954","Catalog Record")</f>
        <v>Catalog Record</v>
      </c>
      <c r="AW3043" s="6" t="str">
        <f>HYPERLINK("http://www.worldcat.org/oclc/156956954","WorldCat Record")</f>
        <v>WorldCat Record</v>
      </c>
      <c r="AX3043" s="3" t="s">
        <v>30036</v>
      </c>
      <c r="AY3043" s="3" t="s">
        <v>30037</v>
      </c>
      <c r="AZ3043" s="3" t="s">
        <v>30038</v>
      </c>
      <c r="BA3043" s="3" t="s">
        <v>30038</v>
      </c>
      <c r="BB3043" s="3" t="s">
        <v>30039</v>
      </c>
      <c r="BC3043" s="3" t="s">
        <v>77</v>
      </c>
      <c r="BD3043" s="3" t="s">
        <v>78</v>
      </c>
      <c r="BE3043" s="3" t="s">
        <v>30040</v>
      </c>
      <c r="BF3043" s="3" t="s">
        <v>30039</v>
      </c>
      <c r="BG3043" s="3" t="s">
        <v>30041</v>
      </c>
    </row>
    <row r="3044" spans="1:59" ht="58" x14ac:dyDescent="0.35">
      <c r="A3044" s="2" t="s">
        <v>59</v>
      </c>
      <c r="B3044" s="2" t="s">
        <v>60</v>
      </c>
      <c r="C3044" s="2" t="s">
        <v>30042</v>
      </c>
      <c r="D3044" s="2" t="s">
        <v>30043</v>
      </c>
      <c r="E3044" s="2" t="s">
        <v>30044</v>
      </c>
      <c r="G3044" s="3" t="s">
        <v>65</v>
      </c>
      <c r="I3044" s="3" t="s">
        <v>65</v>
      </c>
      <c r="J3044" s="3" t="s">
        <v>65</v>
      </c>
      <c r="K3044" s="3" t="s">
        <v>66</v>
      </c>
      <c r="L3044" s="2" t="s">
        <v>30045</v>
      </c>
      <c r="M3044" s="2" t="s">
        <v>30046</v>
      </c>
      <c r="N3044" s="3" t="s">
        <v>1151</v>
      </c>
      <c r="P3044" s="3" t="s">
        <v>140</v>
      </c>
      <c r="Q3044" s="2" t="s">
        <v>30047</v>
      </c>
      <c r="R3044" s="3" t="s">
        <v>71</v>
      </c>
      <c r="S3044" s="4">
        <v>23</v>
      </c>
      <c r="T3044" s="4">
        <v>23</v>
      </c>
      <c r="U3044" s="5" t="s">
        <v>3091</v>
      </c>
      <c r="V3044" s="5" t="s">
        <v>3091</v>
      </c>
      <c r="W3044" s="5" t="s">
        <v>72</v>
      </c>
      <c r="X3044" s="5" t="s">
        <v>72</v>
      </c>
      <c r="Y3044" s="4">
        <v>111</v>
      </c>
      <c r="Z3044" s="4">
        <v>10</v>
      </c>
      <c r="AA3044" s="4">
        <v>14</v>
      </c>
      <c r="AB3044" s="4">
        <v>2</v>
      </c>
      <c r="AC3044" s="4">
        <v>3</v>
      </c>
      <c r="AD3044" s="4">
        <v>48</v>
      </c>
      <c r="AE3044" s="4">
        <v>52</v>
      </c>
      <c r="AF3044" s="4">
        <v>1</v>
      </c>
      <c r="AG3044" s="4">
        <v>2</v>
      </c>
      <c r="AH3044" s="4">
        <v>42</v>
      </c>
      <c r="AI3044" s="4">
        <v>45</v>
      </c>
      <c r="AJ3044" s="4">
        <v>7</v>
      </c>
      <c r="AK3044" s="4">
        <v>10</v>
      </c>
      <c r="AL3044" s="4">
        <v>30</v>
      </c>
      <c r="AM3044" s="4">
        <v>31</v>
      </c>
      <c r="AN3044" s="4">
        <v>0</v>
      </c>
      <c r="AO3044" s="4">
        <v>0</v>
      </c>
      <c r="AP3044" s="4">
        <v>7</v>
      </c>
      <c r="AQ3044" s="4">
        <v>9</v>
      </c>
      <c r="AR3044" s="3" t="s">
        <v>65</v>
      </c>
      <c r="AS3044" s="3" t="s">
        <v>65</v>
      </c>
      <c r="AT3044" s="3" t="s">
        <v>65</v>
      </c>
      <c r="AV3044" s="6" t="str">
        <f>HYPERLINK("http://mcgill.on.worldcat.org/oclc/3913777","Catalog Record")</f>
        <v>Catalog Record</v>
      </c>
      <c r="AW3044" s="6" t="str">
        <f>HYPERLINK("http://www.worldcat.org/oclc/3913777","WorldCat Record")</f>
        <v>WorldCat Record</v>
      </c>
      <c r="AX3044" s="3" t="s">
        <v>30048</v>
      </c>
      <c r="AY3044" s="3" t="s">
        <v>30049</v>
      </c>
      <c r="AZ3044" s="3" t="s">
        <v>30050</v>
      </c>
      <c r="BA3044" s="3" t="s">
        <v>30050</v>
      </c>
      <c r="BB3044" s="3" t="s">
        <v>30051</v>
      </c>
      <c r="BC3044" s="3" t="s">
        <v>77</v>
      </c>
      <c r="BD3044" s="3" t="s">
        <v>78</v>
      </c>
      <c r="BF3044" s="3" t="s">
        <v>30051</v>
      </c>
      <c r="BG3044" s="3" t="s">
        <v>30052</v>
      </c>
    </row>
    <row r="3045" spans="1:59" ht="58" x14ac:dyDescent="0.35">
      <c r="A3045" s="2" t="s">
        <v>59</v>
      </c>
      <c r="B3045" s="2" t="s">
        <v>60</v>
      </c>
      <c r="C3045" s="2" t="s">
        <v>30053</v>
      </c>
      <c r="D3045" s="2" t="s">
        <v>30054</v>
      </c>
      <c r="E3045" s="2" t="s">
        <v>30055</v>
      </c>
      <c r="G3045" s="3" t="s">
        <v>65</v>
      </c>
      <c r="I3045" s="3" t="s">
        <v>65</v>
      </c>
      <c r="J3045" s="3" t="s">
        <v>65</v>
      </c>
      <c r="K3045" s="3" t="s">
        <v>66</v>
      </c>
      <c r="M3045" s="2" t="s">
        <v>30056</v>
      </c>
      <c r="N3045" s="3" t="s">
        <v>1196</v>
      </c>
      <c r="P3045" s="3" t="s">
        <v>140</v>
      </c>
      <c r="Q3045" s="2" t="s">
        <v>30057</v>
      </c>
      <c r="R3045" s="3" t="s">
        <v>71</v>
      </c>
      <c r="S3045" s="4">
        <v>2</v>
      </c>
      <c r="T3045" s="4">
        <v>2</v>
      </c>
      <c r="U3045" s="5" t="s">
        <v>3606</v>
      </c>
      <c r="V3045" s="5" t="s">
        <v>3606</v>
      </c>
      <c r="W3045" s="5" t="s">
        <v>72</v>
      </c>
      <c r="X3045" s="5" t="s">
        <v>72</v>
      </c>
      <c r="Y3045" s="4">
        <v>54</v>
      </c>
      <c r="Z3045" s="4">
        <v>4</v>
      </c>
      <c r="AA3045" s="4">
        <v>4</v>
      </c>
      <c r="AB3045" s="4">
        <v>1</v>
      </c>
      <c r="AC3045" s="4">
        <v>1</v>
      </c>
      <c r="AD3045" s="4">
        <v>31</v>
      </c>
      <c r="AE3045" s="4">
        <v>31</v>
      </c>
      <c r="AF3045" s="4">
        <v>0</v>
      </c>
      <c r="AG3045" s="4">
        <v>0</v>
      </c>
      <c r="AH3045" s="4">
        <v>30</v>
      </c>
      <c r="AI3045" s="4">
        <v>30</v>
      </c>
      <c r="AJ3045" s="4">
        <v>1</v>
      </c>
      <c r="AK3045" s="4">
        <v>1</v>
      </c>
      <c r="AL3045" s="4">
        <v>24</v>
      </c>
      <c r="AM3045" s="4">
        <v>24</v>
      </c>
      <c r="AN3045" s="4">
        <v>0</v>
      </c>
      <c r="AO3045" s="4">
        <v>0</v>
      </c>
      <c r="AP3045" s="4">
        <v>1</v>
      </c>
      <c r="AQ3045" s="4">
        <v>1</v>
      </c>
      <c r="AR3045" s="3" t="s">
        <v>65</v>
      </c>
      <c r="AS3045" s="3" t="s">
        <v>65</v>
      </c>
      <c r="AT3045" s="3" t="s">
        <v>209</v>
      </c>
      <c r="AU3045" s="6" t="str">
        <f>HYPERLINK("http://catalog.hathitrust.org/Record/005225554","HathiTrust Record")</f>
        <v>HathiTrust Record</v>
      </c>
      <c r="AV3045" s="6" t="str">
        <f>HYPERLINK("http://mcgill.on.worldcat.org/oclc/64219934","Catalog Record")</f>
        <v>Catalog Record</v>
      </c>
      <c r="AW3045" s="6" t="str">
        <f>HYPERLINK("http://www.worldcat.org/oclc/64219934","WorldCat Record")</f>
        <v>WorldCat Record</v>
      </c>
      <c r="AX3045" s="3" t="s">
        <v>30058</v>
      </c>
      <c r="AY3045" s="3" t="s">
        <v>30059</v>
      </c>
      <c r="AZ3045" s="3" t="s">
        <v>30060</v>
      </c>
      <c r="BA3045" s="3" t="s">
        <v>30060</v>
      </c>
      <c r="BB3045" s="3" t="s">
        <v>30061</v>
      </c>
      <c r="BC3045" s="3" t="s">
        <v>77</v>
      </c>
      <c r="BD3045" s="3" t="s">
        <v>78</v>
      </c>
      <c r="BE3045" s="3" t="s">
        <v>30062</v>
      </c>
      <c r="BF3045" s="3" t="s">
        <v>30061</v>
      </c>
      <c r="BG3045" s="3" t="s">
        <v>30063</v>
      </c>
    </row>
    <row r="3046" spans="1:59" ht="58" x14ac:dyDescent="0.35">
      <c r="A3046" s="2" t="s">
        <v>59</v>
      </c>
      <c r="B3046" s="2" t="s">
        <v>60</v>
      </c>
      <c r="C3046" s="2" t="s">
        <v>30064</v>
      </c>
      <c r="D3046" s="2" t="s">
        <v>30065</v>
      </c>
      <c r="E3046" s="2" t="s">
        <v>30066</v>
      </c>
      <c r="G3046" s="3" t="s">
        <v>65</v>
      </c>
      <c r="I3046" s="3" t="s">
        <v>65</v>
      </c>
      <c r="J3046" s="3" t="s">
        <v>65</v>
      </c>
      <c r="K3046" s="3" t="s">
        <v>66</v>
      </c>
      <c r="L3046" s="2" t="s">
        <v>30067</v>
      </c>
      <c r="M3046" s="2" t="s">
        <v>30068</v>
      </c>
      <c r="N3046" s="3" t="s">
        <v>770</v>
      </c>
      <c r="P3046" s="3" t="s">
        <v>69</v>
      </c>
      <c r="Q3046" s="2" t="s">
        <v>30069</v>
      </c>
      <c r="R3046" s="3" t="s">
        <v>71</v>
      </c>
      <c r="S3046" s="4">
        <v>7</v>
      </c>
      <c r="T3046" s="4">
        <v>7</v>
      </c>
      <c r="U3046" s="5" t="s">
        <v>29991</v>
      </c>
      <c r="V3046" s="5" t="s">
        <v>29991</v>
      </c>
      <c r="W3046" s="5" t="s">
        <v>72</v>
      </c>
      <c r="X3046" s="5" t="s">
        <v>72</v>
      </c>
      <c r="Y3046" s="4">
        <v>192</v>
      </c>
      <c r="Z3046" s="4">
        <v>12</v>
      </c>
      <c r="AA3046" s="4">
        <v>12</v>
      </c>
      <c r="AB3046" s="4">
        <v>1</v>
      </c>
      <c r="AC3046" s="4">
        <v>1</v>
      </c>
      <c r="AD3046" s="4">
        <v>90</v>
      </c>
      <c r="AE3046" s="4">
        <v>90</v>
      </c>
      <c r="AF3046" s="4">
        <v>0</v>
      </c>
      <c r="AG3046" s="4">
        <v>0</v>
      </c>
      <c r="AH3046" s="4">
        <v>86</v>
      </c>
      <c r="AI3046" s="4">
        <v>86</v>
      </c>
      <c r="AJ3046" s="4">
        <v>9</v>
      </c>
      <c r="AK3046" s="4">
        <v>9</v>
      </c>
      <c r="AL3046" s="4">
        <v>51</v>
      </c>
      <c r="AM3046" s="4">
        <v>51</v>
      </c>
      <c r="AN3046" s="4">
        <v>0</v>
      </c>
      <c r="AO3046" s="4">
        <v>0</v>
      </c>
      <c r="AP3046" s="4">
        <v>9</v>
      </c>
      <c r="AQ3046" s="4">
        <v>9</v>
      </c>
      <c r="AR3046" s="3" t="s">
        <v>65</v>
      </c>
      <c r="AS3046" s="3" t="s">
        <v>65</v>
      </c>
      <c r="AT3046" s="3" t="s">
        <v>209</v>
      </c>
      <c r="AU3046" s="6" t="str">
        <f>HYPERLINK("http://catalog.hathitrust.org/Record/002545540","HathiTrust Record")</f>
        <v>HathiTrust Record</v>
      </c>
      <c r="AV3046" s="6" t="str">
        <f>HYPERLINK("http://mcgill.on.worldcat.org/oclc/25454635","Catalog Record")</f>
        <v>Catalog Record</v>
      </c>
      <c r="AW3046" s="6" t="str">
        <f>HYPERLINK("http://www.worldcat.org/oclc/25454635","WorldCat Record")</f>
        <v>WorldCat Record</v>
      </c>
      <c r="AX3046" s="3" t="s">
        <v>30070</v>
      </c>
      <c r="AY3046" s="3" t="s">
        <v>30071</v>
      </c>
      <c r="AZ3046" s="3" t="s">
        <v>30072</v>
      </c>
      <c r="BA3046" s="3" t="s">
        <v>30072</v>
      </c>
      <c r="BB3046" s="3" t="s">
        <v>30073</v>
      </c>
      <c r="BC3046" s="3" t="s">
        <v>77</v>
      </c>
      <c r="BD3046" s="3" t="s">
        <v>78</v>
      </c>
      <c r="BE3046" s="3" t="s">
        <v>30074</v>
      </c>
      <c r="BF3046" s="3" t="s">
        <v>30073</v>
      </c>
      <c r="BG3046" s="3" t="s">
        <v>30075</v>
      </c>
    </row>
    <row r="3047" spans="1:59" ht="58" x14ac:dyDescent="0.35">
      <c r="A3047" s="2" t="s">
        <v>59</v>
      </c>
      <c r="B3047" s="2" t="s">
        <v>60</v>
      </c>
      <c r="C3047" s="2" t="s">
        <v>30076</v>
      </c>
      <c r="D3047" s="2" t="s">
        <v>30077</v>
      </c>
      <c r="E3047" s="2" t="s">
        <v>30078</v>
      </c>
      <c r="G3047" s="3" t="s">
        <v>65</v>
      </c>
      <c r="I3047" s="3" t="s">
        <v>65</v>
      </c>
      <c r="J3047" s="3" t="s">
        <v>209</v>
      </c>
      <c r="K3047" s="3" t="s">
        <v>66</v>
      </c>
      <c r="L3047" s="2" t="s">
        <v>29757</v>
      </c>
      <c r="M3047" s="2" t="s">
        <v>30079</v>
      </c>
      <c r="N3047" s="3" t="s">
        <v>24676</v>
      </c>
      <c r="P3047" s="3" t="s">
        <v>69</v>
      </c>
      <c r="R3047" s="3" t="s">
        <v>71</v>
      </c>
      <c r="S3047" s="4">
        <v>7</v>
      </c>
      <c r="T3047" s="4">
        <v>7</v>
      </c>
      <c r="U3047" s="5" t="s">
        <v>30080</v>
      </c>
      <c r="V3047" s="5" t="s">
        <v>30080</v>
      </c>
      <c r="W3047" s="5" t="s">
        <v>72</v>
      </c>
      <c r="X3047" s="5" t="s">
        <v>72</v>
      </c>
      <c r="Y3047" s="4">
        <v>261</v>
      </c>
      <c r="Z3047" s="4">
        <v>6</v>
      </c>
      <c r="AA3047" s="4">
        <v>40</v>
      </c>
      <c r="AB3047" s="4">
        <v>1</v>
      </c>
      <c r="AC3047" s="4">
        <v>4</v>
      </c>
      <c r="AD3047" s="4">
        <v>78</v>
      </c>
      <c r="AE3047" s="4">
        <v>129</v>
      </c>
      <c r="AF3047" s="4">
        <v>0</v>
      </c>
      <c r="AG3047" s="4">
        <v>1</v>
      </c>
      <c r="AH3047" s="4">
        <v>73</v>
      </c>
      <c r="AI3047" s="4">
        <v>109</v>
      </c>
      <c r="AJ3047" s="4">
        <v>3</v>
      </c>
      <c r="AK3047" s="4">
        <v>20</v>
      </c>
      <c r="AL3047" s="4">
        <v>43</v>
      </c>
      <c r="AM3047" s="4">
        <v>60</v>
      </c>
      <c r="AN3047" s="4">
        <v>5</v>
      </c>
      <c r="AO3047" s="4">
        <v>6</v>
      </c>
      <c r="AP3047" s="4">
        <v>5</v>
      </c>
      <c r="AQ3047" s="4">
        <v>25</v>
      </c>
      <c r="AR3047" s="3" t="s">
        <v>65</v>
      </c>
      <c r="AS3047" s="3" t="s">
        <v>209</v>
      </c>
      <c r="AT3047" s="3" t="s">
        <v>65</v>
      </c>
      <c r="AU3047" s="6" t="str">
        <f>HYPERLINK("http://catalog.hathitrust.org/Record/102065818","HathiTrust Record")</f>
        <v>HathiTrust Record</v>
      </c>
      <c r="AV3047" s="6" t="str">
        <f>HYPERLINK("http://mcgill.on.worldcat.org/oclc/1823941","Catalog Record")</f>
        <v>Catalog Record</v>
      </c>
      <c r="AW3047" s="6" t="str">
        <f>HYPERLINK("http://www.worldcat.org/oclc/1823941","WorldCat Record")</f>
        <v>WorldCat Record</v>
      </c>
      <c r="AX3047" s="3" t="s">
        <v>30013</v>
      </c>
      <c r="AY3047" s="3" t="s">
        <v>30081</v>
      </c>
      <c r="AZ3047" s="3" t="s">
        <v>30082</v>
      </c>
      <c r="BA3047" s="3" t="s">
        <v>30082</v>
      </c>
      <c r="BB3047" s="3" t="s">
        <v>30083</v>
      </c>
      <c r="BC3047" s="3" t="s">
        <v>77</v>
      </c>
      <c r="BD3047" s="3" t="s">
        <v>78</v>
      </c>
      <c r="BF3047" s="3" t="s">
        <v>30083</v>
      </c>
      <c r="BG3047" s="3" t="s">
        <v>30084</v>
      </c>
    </row>
    <row r="3048" spans="1:59" ht="58" x14ac:dyDescent="0.35">
      <c r="A3048" s="2" t="s">
        <v>59</v>
      </c>
      <c r="B3048" s="2" t="s">
        <v>60</v>
      </c>
      <c r="C3048" s="2" t="s">
        <v>30085</v>
      </c>
      <c r="D3048" s="2" t="s">
        <v>30086</v>
      </c>
      <c r="E3048" s="2" t="s">
        <v>30087</v>
      </c>
      <c r="G3048" s="3" t="s">
        <v>65</v>
      </c>
      <c r="I3048" s="3" t="s">
        <v>65</v>
      </c>
      <c r="J3048" s="3" t="s">
        <v>65</v>
      </c>
      <c r="K3048" s="3" t="s">
        <v>66</v>
      </c>
      <c r="L3048" s="2" t="s">
        <v>29912</v>
      </c>
      <c r="M3048" s="2" t="s">
        <v>30088</v>
      </c>
      <c r="N3048" s="3" t="s">
        <v>2460</v>
      </c>
      <c r="O3048" s="2" t="s">
        <v>30089</v>
      </c>
      <c r="P3048" s="3" t="s">
        <v>140</v>
      </c>
      <c r="Q3048" s="2" t="s">
        <v>30090</v>
      </c>
      <c r="R3048" s="3" t="s">
        <v>71</v>
      </c>
      <c r="S3048" s="4">
        <v>2</v>
      </c>
      <c r="T3048" s="4">
        <v>2</v>
      </c>
      <c r="U3048" s="5" t="s">
        <v>9328</v>
      </c>
      <c r="V3048" s="5" t="s">
        <v>9328</v>
      </c>
      <c r="W3048" s="5" t="s">
        <v>72</v>
      </c>
      <c r="X3048" s="5" t="s">
        <v>72</v>
      </c>
      <c r="Y3048" s="4">
        <v>68</v>
      </c>
      <c r="Z3048" s="4">
        <v>1</v>
      </c>
      <c r="AA3048" s="4">
        <v>31</v>
      </c>
      <c r="AB3048" s="4">
        <v>1</v>
      </c>
      <c r="AC3048" s="4">
        <v>5</v>
      </c>
      <c r="AD3048" s="4">
        <v>6</v>
      </c>
      <c r="AE3048" s="4">
        <v>109</v>
      </c>
      <c r="AF3048" s="4">
        <v>0</v>
      </c>
      <c r="AG3048" s="4">
        <v>3</v>
      </c>
      <c r="AH3048" s="4">
        <v>6</v>
      </c>
      <c r="AI3048" s="4">
        <v>96</v>
      </c>
      <c r="AJ3048" s="4">
        <v>0</v>
      </c>
      <c r="AK3048" s="4">
        <v>20</v>
      </c>
      <c r="AL3048" s="4">
        <v>5</v>
      </c>
      <c r="AM3048" s="4">
        <v>54</v>
      </c>
      <c r="AN3048" s="4">
        <v>3</v>
      </c>
      <c r="AO3048" s="4">
        <v>5</v>
      </c>
      <c r="AP3048" s="4">
        <v>0</v>
      </c>
      <c r="AQ3048" s="4">
        <v>21</v>
      </c>
      <c r="AR3048" s="3" t="s">
        <v>65</v>
      </c>
      <c r="AS3048" s="3" t="s">
        <v>65</v>
      </c>
      <c r="AT3048" s="3" t="s">
        <v>209</v>
      </c>
      <c r="AU3048" s="6" t="str">
        <f>HYPERLINK("http://catalog.hathitrust.org/Record/102052356","HathiTrust Record")</f>
        <v>HathiTrust Record</v>
      </c>
      <c r="AV3048" s="6" t="str">
        <f>HYPERLINK("http://mcgill.on.worldcat.org/oclc/22431566","Catalog Record")</f>
        <v>Catalog Record</v>
      </c>
      <c r="AW3048" s="6" t="str">
        <f>HYPERLINK("http://www.worldcat.org/oclc/22431566","WorldCat Record")</f>
        <v>WorldCat Record</v>
      </c>
      <c r="AX3048" s="3" t="s">
        <v>30091</v>
      </c>
      <c r="AY3048" s="3" t="s">
        <v>30092</v>
      </c>
      <c r="AZ3048" s="3" t="s">
        <v>30093</v>
      </c>
      <c r="BA3048" s="3" t="s">
        <v>30093</v>
      </c>
      <c r="BB3048" s="3" t="s">
        <v>30094</v>
      </c>
      <c r="BC3048" s="3" t="s">
        <v>77</v>
      </c>
      <c r="BD3048" s="3" t="s">
        <v>78</v>
      </c>
      <c r="BE3048" s="3" t="s">
        <v>30095</v>
      </c>
      <c r="BF3048" s="3" t="s">
        <v>30094</v>
      </c>
      <c r="BG3048" s="3" t="s">
        <v>30096</v>
      </c>
    </row>
    <row r="3049" spans="1:59" ht="58" x14ac:dyDescent="0.35">
      <c r="A3049" s="2" t="s">
        <v>59</v>
      </c>
      <c r="B3049" s="2" t="s">
        <v>60</v>
      </c>
      <c r="C3049" s="2" t="s">
        <v>30097</v>
      </c>
      <c r="D3049" s="2" t="s">
        <v>30098</v>
      </c>
      <c r="E3049" s="2" t="s">
        <v>30099</v>
      </c>
      <c r="G3049" s="3" t="s">
        <v>65</v>
      </c>
      <c r="I3049" s="3" t="s">
        <v>65</v>
      </c>
      <c r="J3049" s="3" t="s">
        <v>65</v>
      </c>
      <c r="K3049" s="3" t="s">
        <v>66</v>
      </c>
      <c r="L3049" s="2" t="s">
        <v>29757</v>
      </c>
      <c r="M3049" s="2" t="s">
        <v>30100</v>
      </c>
      <c r="N3049" s="3" t="s">
        <v>3994</v>
      </c>
      <c r="O3049" s="2" t="s">
        <v>30101</v>
      </c>
      <c r="P3049" s="3" t="s">
        <v>13978</v>
      </c>
      <c r="Q3049" s="2" t="s">
        <v>30102</v>
      </c>
      <c r="R3049" s="3" t="s">
        <v>71</v>
      </c>
      <c r="S3049" s="4">
        <v>9</v>
      </c>
      <c r="T3049" s="4">
        <v>9</v>
      </c>
      <c r="U3049" s="5" t="s">
        <v>8178</v>
      </c>
      <c r="V3049" s="5" t="s">
        <v>8178</v>
      </c>
      <c r="W3049" s="5" t="s">
        <v>72</v>
      </c>
      <c r="X3049" s="5" t="s">
        <v>72</v>
      </c>
      <c r="Y3049" s="4">
        <v>3</v>
      </c>
      <c r="Z3049" s="4">
        <v>2</v>
      </c>
      <c r="AA3049" s="4">
        <v>3</v>
      </c>
      <c r="AB3049" s="4">
        <v>1</v>
      </c>
      <c r="AC3049" s="4">
        <v>1</v>
      </c>
      <c r="AD3049" s="4">
        <v>1</v>
      </c>
      <c r="AE3049" s="4">
        <v>2</v>
      </c>
      <c r="AF3049" s="4">
        <v>0</v>
      </c>
      <c r="AG3049" s="4">
        <v>0</v>
      </c>
      <c r="AH3049" s="4">
        <v>1</v>
      </c>
      <c r="AI3049" s="4">
        <v>2</v>
      </c>
      <c r="AJ3049" s="4">
        <v>1</v>
      </c>
      <c r="AK3049" s="4">
        <v>2</v>
      </c>
      <c r="AL3049" s="4">
        <v>0</v>
      </c>
      <c r="AM3049" s="4">
        <v>0</v>
      </c>
      <c r="AN3049" s="4">
        <v>0</v>
      </c>
      <c r="AO3049" s="4">
        <v>0</v>
      </c>
      <c r="AP3049" s="4">
        <v>1</v>
      </c>
      <c r="AQ3049" s="4">
        <v>2</v>
      </c>
      <c r="AR3049" s="3" t="s">
        <v>65</v>
      </c>
      <c r="AS3049" s="3" t="s">
        <v>65</v>
      </c>
      <c r="AT3049" s="3" t="s">
        <v>65</v>
      </c>
      <c r="AV3049" s="6" t="str">
        <f>HYPERLINK("http://mcgill.on.worldcat.org/oclc/614107961","Catalog Record")</f>
        <v>Catalog Record</v>
      </c>
      <c r="AW3049" s="6" t="str">
        <f>HYPERLINK("http://www.worldcat.org/oclc/614107961","WorldCat Record")</f>
        <v>WorldCat Record</v>
      </c>
      <c r="AX3049" s="3" t="s">
        <v>30103</v>
      </c>
      <c r="AY3049" s="3" t="s">
        <v>30104</v>
      </c>
      <c r="AZ3049" s="3" t="s">
        <v>30105</v>
      </c>
      <c r="BA3049" s="3" t="s">
        <v>30105</v>
      </c>
      <c r="BB3049" s="3" t="s">
        <v>30106</v>
      </c>
      <c r="BC3049" s="3" t="s">
        <v>77</v>
      </c>
      <c r="BD3049" s="3" t="s">
        <v>78</v>
      </c>
      <c r="BF3049" s="3" t="s">
        <v>30106</v>
      </c>
      <c r="BG3049" s="3" t="s">
        <v>30107</v>
      </c>
    </row>
    <row r="3050" spans="1:59" ht="58" x14ac:dyDescent="0.35">
      <c r="A3050" s="2" t="s">
        <v>59</v>
      </c>
      <c r="B3050" s="2" t="s">
        <v>60</v>
      </c>
      <c r="C3050" s="2" t="s">
        <v>30108</v>
      </c>
      <c r="D3050" s="2" t="s">
        <v>30109</v>
      </c>
      <c r="E3050" s="2" t="s">
        <v>30110</v>
      </c>
      <c r="G3050" s="3" t="s">
        <v>65</v>
      </c>
      <c r="I3050" s="3" t="s">
        <v>65</v>
      </c>
      <c r="J3050" s="3" t="s">
        <v>209</v>
      </c>
      <c r="K3050" s="3" t="s">
        <v>66</v>
      </c>
      <c r="L3050" s="2" t="s">
        <v>29757</v>
      </c>
      <c r="M3050" s="2" t="s">
        <v>30111</v>
      </c>
      <c r="N3050" s="3" t="s">
        <v>615</v>
      </c>
      <c r="P3050" s="3" t="s">
        <v>69</v>
      </c>
      <c r="R3050" s="3" t="s">
        <v>71</v>
      </c>
      <c r="S3050" s="4">
        <v>19</v>
      </c>
      <c r="T3050" s="4">
        <v>19</v>
      </c>
      <c r="U3050" s="5" t="s">
        <v>13871</v>
      </c>
      <c r="V3050" s="5" t="s">
        <v>13871</v>
      </c>
      <c r="W3050" s="5" t="s">
        <v>72</v>
      </c>
      <c r="X3050" s="5" t="s">
        <v>72</v>
      </c>
      <c r="Y3050" s="4">
        <v>159</v>
      </c>
      <c r="Z3050" s="4">
        <v>15</v>
      </c>
      <c r="AA3050" s="4">
        <v>47</v>
      </c>
      <c r="AB3050" s="4">
        <v>1</v>
      </c>
      <c r="AC3050" s="4">
        <v>11</v>
      </c>
      <c r="AD3050" s="4">
        <v>60</v>
      </c>
      <c r="AE3050" s="4">
        <v>131</v>
      </c>
      <c r="AF3050" s="4">
        <v>0</v>
      </c>
      <c r="AG3050" s="4">
        <v>5</v>
      </c>
      <c r="AH3050" s="4">
        <v>57</v>
      </c>
      <c r="AI3050" s="4">
        <v>108</v>
      </c>
      <c r="AJ3050" s="4">
        <v>10</v>
      </c>
      <c r="AK3050" s="4">
        <v>22</v>
      </c>
      <c r="AL3050" s="4">
        <v>33</v>
      </c>
      <c r="AM3050" s="4">
        <v>60</v>
      </c>
      <c r="AN3050" s="4">
        <v>0</v>
      </c>
      <c r="AO3050" s="4">
        <v>9</v>
      </c>
      <c r="AP3050" s="4">
        <v>11</v>
      </c>
      <c r="AQ3050" s="4">
        <v>29</v>
      </c>
      <c r="AR3050" s="3" t="s">
        <v>65</v>
      </c>
      <c r="AS3050" s="3" t="s">
        <v>65</v>
      </c>
      <c r="AT3050" s="3" t="s">
        <v>209</v>
      </c>
      <c r="AU3050" s="6" t="str">
        <f>HYPERLINK("http://catalog.hathitrust.org/Record/002231546","HathiTrust Record")</f>
        <v>HathiTrust Record</v>
      </c>
      <c r="AV3050" s="6" t="str">
        <f>HYPERLINK("http://mcgill.on.worldcat.org/oclc/10430509","Catalog Record")</f>
        <v>Catalog Record</v>
      </c>
      <c r="AW3050" s="6" t="str">
        <f>HYPERLINK("http://www.worldcat.org/oclc/10430509","WorldCat Record")</f>
        <v>WorldCat Record</v>
      </c>
      <c r="AX3050" s="3" t="s">
        <v>29864</v>
      </c>
      <c r="AY3050" s="3" t="s">
        <v>30112</v>
      </c>
      <c r="AZ3050" s="3" t="s">
        <v>30113</v>
      </c>
      <c r="BA3050" s="3" t="s">
        <v>30113</v>
      </c>
      <c r="BB3050" s="3" t="s">
        <v>30114</v>
      </c>
      <c r="BC3050" s="3" t="s">
        <v>77</v>
      </c>
      <c r="BD3050" s="3" t="s">
        <v>78</v>
      </c>
      <c r="BE3050" s="3" t="s">
        <v>30115</v>
      </c>
      <c r="BF3050" s="3" t="s">
        <v>30114</v>
      </c>
      <c r="BG3050" s="3" t="s">
        <v>30116</v>
      </c>
    </row>
    <row r="3051" spans="1:59" ht="58" x14ac:dyDescent="0.35">
      <c r="A3051" s="2" t="s">
        <v>59</v>
      </c>
      <c r="B3051" s="2" t="s">
        <v>60</v>
      </c>
      <c r="C3051" s="2" t="s">
        <v>30117</v>
      </c>
      <c r="D3051" s="2" t="s">
        <v>30118</v>
      </c>
      <c r="E3051" s="2" t="s">
        <v>30119</v>
      </c>
      <c r="G3051" s="3" t="s">
        <v>65</v>
      </c>
      <c r="I3051" s="3" t="s">
        <v>65</v>
      </c>
      <c r="J3051" s="3" t="s">
        <v>209</v>
      </c>
      <c r="K3051" s="3" t="s">
        <v>66</v>
      </c>
      <c r="L3051" s="2" t="s">
        <v>29757</v>
      </c>
      <c r="M3051" s="2" t="s">
        <v>30120</v>
      </c>
      <c r="N3051" s="3" t="s">
        <v>928</v>
      </c>
      <c r="P3051" s="3" t="s">
        <v>140</v>
      </c>
      <c r="R3051" s="3" t="s">
        <v>71</v>
      </c>
      <c r="S3051" s="4">
        <v>23</v>
      </c>
      <c r="T3051" s="4">
        <v>23</v>
      </c>
      <c r="U3051" s="5" t="s">
        <v>8836</v>
      </c>
      <c r="V3051" s="5" t="s">
        <v>8836</v>
      </c>
      <c r="W3051" s="5" t="s">
        <v>72</v>
      </c>
      <c r="X3051" s="5" t="s">
        <v>72</v>
      </c>
      <c r="Y3051" s="4">
        <v>1</v>
      </c>
      <c r="Z3051" s="4">
        <v>1</v>
      </c>
      <c r="AA3051" s="4">
        <v>14</v>
      </c>
      <c r="AB3051" s="4">
        <v>1</v>
      </c>
      <c r="AC3051" s="4">
        <v>2</v>
      </c>
      <c r="AD3051" s="4">
        <v>0</v>
      </c>
      <c r="AE3051" s="4">
        <v>73</v>
      </c>
      <c r="AF3051" s="4">
        <v>0</v>
      </c>
      <c r="AG3051" s="4">
        <v>1</v>
      </c>
      <c r="AH3051" s="4">
        <v>0</v>
      </c>
      <c r="AI3051" s="4">
        <v>67</v>
      </c>
      <c r="AJ3051" s="4">
        <v>0</v>
      </c>
      <c r="AK3051" s="4">
        <v>10</v>
      </c>
      <c r="AL3051" s="4">
        <v>0</v>
      </c>
      <c r="AM3051" s="4">
        <v>42</v>
      </c>
      <c r="AN3051" s="4">
        <v>0</v>
      </c>
      <c r="AO3051" s="4">
        <v>5</v>
      </c>
      <c r="AP3051" s="4">
        <v>0</v>
      </c>
      <c r="AQ3051" s="4">
        <v>12</v>
      </c>
      <c r="AR3051" s="3" t="s">
        <v>65</v>
      </c>
      <c r="AS3051" s="3" t="s">
        <v>65</v>
      </c>
      <c r="AT3051" s="3" t="s">
        <v>65</v>
      </c>
      <c r="AV3051" s="6" t="str">
        <f>HYPERLINK("http://mcgill.on.worldcat.org/oclc/427310526","Catalog Record")</f>
        <v>Catalog Record</v>
      </c>
      <c r="AW3051" s="6" t="str">
        <f>HYPERLINK("http://www.worldcat.org/oclc/427310526","WorldCat Record")</f>
        <v>WorldCat Record</v>
      </c>
      <c r="AX3051" s="3" t="s">
        <v>30121</v>
      </c>
      <c r="AY3051" s="3" t="s">
        <v>30122</v>
      </c>
      <c r="AZ3051" s="3" t="s">
        <v>30123</v>
      </c>
      <c r="BA3051" s="3" t="s">
        <v>30123</v>
      </c>
      <c r="BB3051" s="3" t="s">
        <v>30124</v>
      </c>
      <c r="BC3051" s="3" t="s">
        <v>77</v>
      </c>
      <c r="BD3051" s="3" t="s">
        <v>78</v>
      </c>
      <c r="BF3051" s="3" t="s">
        <v>30124</v>
      </c>
      <c r="BG3051" s="3" t="s">
        <v>30125</v>
      </c>
    </row>
    <row r="3052" spans="1:59" ht="58" x14ac:dyDescent="0.35">
      <c r="A3052" s="2" t="s">
        <v>59</v>
      </c>
      <c r="B3052" s="2" t="s">
        <v>60</v>
      </c>
      <c r="C3052" s="2" t="s">
        <v>30126</v>
      </c>
      <c r="D3052" s="2" t="s">
        <v>30127</v>
      </c>
      <c r="E3052" s="2" t="s">
        <v>30128</v>
      </c>
      <c r="G3052" s="3" t="s">
        <v>65</v>
      </c>
      <c r="I3052" s="3" t="s">
        <v>65</v>
      </c>
      <c r="J3052" s="3" t="s">
        <v>209</v>
      </c>
      <c r="K3052" s="3" t="s">
        <v>66</v>
      </c>
      <c r="L3052" s="2" t="s">
        <v>29757</v>
      </c>
      <c r="M3052" s="2" t="s">
        <v>30129</v>
      </c>
      <c r="N3052" s="3" t="s">
        <v>221</v>
      </c>
      <c r="P3052" s="3" t="s">
        <v>140</v>
      </c>
      <c r="Q3052" s="2" t="s">
        <v>30130</v>
      </c>
      <c r="R3052" s="3" t="s">
        <v>71</v>
      </c>
      <c r="S3052" s="4">
        <v>7</v>
      </c>
      <c r="T3052" s="4">
        <v>7</v>
      </c>
      <c r="U3052" s="5" t="s">
        <v>9486</v>
      </c>
      <c r="V3052" s="5" t="s">
        <v>9486</v>
      </c>
      <c r="W3052" s="5" t="s">
        <v>72</v>
      </c>
      <c r="X3052" s="5" t="s">
        <v>72</v>
      </c>
      <c r="Y3052" s="4">
        <v>19</v>
      </c>
      <c r="Z3052" s="4">
        <v>1</v>
      </c>
      <c r="AA3052" s="4">
        <v>14</v>
      </c>
      <c r="AB3052" s="4">
        <v>1</v>
      </c>
      <c r="AC3052" s="4">
        <v>2</v>
      </c>
      <c r="AD3052" s="4">
        <v>11</v>
      </c>
      <c r="AE3052" s="4">
        <v>73</v>
      </c>
      <c r="AF3052" s="4">
        <v>0</v>
      </c>
      <c r="AG3052" s="4">
        <v>1</v>
      </c>
      <c r="AH3052" s="4">
        <v>11</v>
      </c>
      <c r="AI3052" s="4">
        <v>67</v>
      </c>
      <c r="AJ3052" s="4">
        <v>0</v>
      </c>
      <c r="AK3052" s="4">
        <v>10</v>
      </c>
      <c r="AL3052" s="4">
        <v>9</v>
      </c>
      <c r="AM3052" s="4">
        <v>42</v>
      </c>
      <c r="AN3052" s="4">
        <v>0</v>
      </c>
      <c r="AO3052" s="4">
        <v>5</v>
      </c>
      <c r="AP3052" s="4">
        <v>0</v>
      </c>
      <c r="AQ3052" s="4">
        <v>12</v>
      </c>
      <c r="AR3052" s="3" t="s">
        <v>65</v>
      </c>
      <c r="AS3052" s="3" t="s">
        <v>65</v>
      </c>
      <c r="AT3052" s="3" t="s">
        <v>65</v>
      </c>
      <c r="AV3052" s="6" t="str">
        <f>HYPERLINK("http://mcgill.on.worldcat.org/oclc/180014322","Catalog Record")</f>
        <v>Catalog Record</v>
      </c>
      <c r="AW3052" s="6" t="str">
        <f>HYPERLINK("http://www.worldcat.org/oclc/180014322","WorldCat Record")</f>
        <v>WorldCat Record</v>
      </c>
      <c r="AX3052" s="3" t="s">
        <v>30121</v>
      </c>
      <c r="AY3052" s="3" t="s">
        <v>30131</v>
      </c>
      <c r="AZ3052" s="3" t="s">
        <v>30132</v>
      </c>
      <c r="BA3052" s="3" t="s">
        <v>30132</v>
      </c>
      <c r="BB3052" s="3" t="s">
        <v>30133</v>
      </c>
      <c r="BC3052" s="3" t="s">
        <v>77</v>
      </c>
      <c r="BD3052" s="3" t="s">
        <v>78</v>
      </c>
      <c r="BE3052" s="3" t="s">
        <v>30134</v>
      </c>
      <c r="BF3052" s="3" t="s">
        <v>30133</v>
      </c>
      <c r="BG3052" s="3" t="s">
        <v>30135</v>
      </c>
    </row>
    <row r="3053" spans="1:59" ht="58" x14ac:dyDescent="0.35">
      <c r="A3053" s="2" t="s">
        <v>59</v>
      </c>
      <c r="B3053" s="2" t="s">
        <v>60</v>
      </c>
      <c r="C3053" s="2" t="s">
        <v>30136</v>
      </c>
      <c r="D3053" s="2" t="s">
        <v>30137</v>
      </c>
      <c r="E3053" s="2" t="s">
        <v>30138</v>
      </c>
      <c r="G3053" s="3" t="s">
        <v>65</v>
      </c>
      <c r="I3053" s="3" t="s">
        <v>65</v>
      </c>
      <c r="J3053" s="3" t="s">
        <v>209</v>
      </c>
      <c r="K3053" s="3" t="s">
        <v>66</v>
      </c>
      <c r="L3053" s="2" t="s">
        <v>29757</v>
      </c>
      <c r="M3053" s="2" t="s">
        <v>30139</v>
      </c>
      <c r="N3053" s="3" t="s">
        <v>928</v>
      </c>
      <c r="P3053" s="3" t="s">
        <v>69</v>
      </c>
      <c r="Q3053" s="2" t="s">
        <v>30140</v>
      </c>
      <c r="R3053" s="3" t="s">
        <v>71</v>
      </c>
      <c r="S3053" s="4">
        <v>7</v>
      </c>
      <c r="T3053" s="4">
        <v>7</v>
      </c>
      <c r="U3053" s="5" t="s">
        <v>2048</v>
      </c>
      <c r="V3053" s="5" t="s">
        <v>2048</v>
      </c>
      <c r="W3053" s="5" t="s">
        <v>72</v>
      </c>
      <c r="X3053" s="5" t="s">
        <v>72</v>
      </c>
      <c r="Y3053" s="4">
        <v>143</v>
      </c>
      <c r="Z3053" s="4">
        <v>18</v>
      </c>
      <c r="AA3053" s="4">
        <v>58</v>
      </c>
      <c r="AB3053" s="4">
        <v>1</v>
      </c>
      <c r="AC3053" s="4">
        <v>8</v>
      </c>
      <c r="AD3053" s="4">
        <v>28</v>
      </c>
      <c r="AE3053" s="4">
        <v>129</v>
      </c>
      <c r="AF3053" s="4">
        <v>0</v>
      </c>
      <c r="AG3053" s="4">
        <v>3</v>
      </c>
      <c r="AH3053" s="4">
        <v>23</v>
      </c>
      <c r="AI3053" s="4">
        <v>105</v>
      </c>
      <c r="AJ3053" s="4">
        <v>6</v>
      </c>
      <c r="AK3053" s="4">
        <v>21</v>
      </c>
      <c r="AL3053" s="4">
        <v>15</v>
      </c>
      <c r="AM3053" s="4">
        <v>57</v>
      </c>
      <c r="AN3053" s="4">
        <v>0</v>
      </c>
      <c r="AO3053" s="4">
        <v>0</v>
      </c>
      <c r="AP3053" s="4">
        <v>9</v>
      </c>
      <c r="AQ3053" s="4">
        <v>33</v>
      </c>
      <c r="AR3053" s="3" t="s">
        <v>65</v>
      </c>
      <c r="AS3053" s="3" t="s">
        <v>65</v>
      </c>
      <c r="AT3053" s="3" t="s">
        <v>209</v>
      </c>
      <c r="AU3053" s="6" t="str">
        <f>HYPERLINK("http://catalog.hathitrust.org/Record/001806751","HathiTrust Record")</f>
        <v>HathiTrust Record</v>
      </c>
      <c r="AV3053" s="6" t="str">
        <f>HYPERLINK("http://mcgill.on.worldcat.org/oclc/4380105","Catalog Record")</f>
        <v>Catalog Record</v>
      </c>
      <c r="AW3053" s="6" t="str">
        <f>HYPERLINK("http://www.worldcat.org/oclc/4380105","WorldCat Record")</f>
        <v>WorldCat Record</v>
      </c>
      <c r="AX3053" s="3" t="s">
        <v>30141</v>
      </c>
      <c r="AY3053" s="3" t="s">
        <v>30142</v>
      </c>
      <c r="AZ3053" s="3" t="s">
        <v>30143</v>
      </c>
      <c r="BA3053" s="3" t="s">
        <v>30143</v>
      </c>
      <c r="BB3053" s="3" t="s">
        <v>30144</v>
      </c>
      <c r="BC3053" s="3" t="s">
        <v>77</v>
      </c>
      <c r="BD3053" s="3" t="s">
        <v>78</v>
      </c>
      <c r="BF3053" s="3" t="s">
        <v>30144</v>
      </c>
      <c r="BG3053" s="3" t="s">
        <v>30145</v>
      </c>
    </row>
    <row r="3054" spans="1:59" ht="58" x14ac:dyDescent="0.35">
      <c r="A3054" s="2" t="s">
        <v>59</v>
      </c>
      <c r="B3054" s="2" t="s">
        <v>60</v>
      </c>
      <c r="C3054" s="2" t="s">
        <v>30146</v>
      </c>
      <c r="D3054" s="2" t="s">
        <v>30147</v>
      </c>
      <c r="E3054" s="2" t="s">
        <v>30148</v>
      </c>
      <c r="G3054" s="3" t="s">
        <v>65</v>
      </c>
      <c r="I3054" s="3" t="s">
        <v>65</v>
      </c>
      <c r="J3054" s="3" t="s">
        <v>65</v>
      </c>
      <c r="K3054" s="3" t="s">
        <v>66</v>
      </c>
      <c r="L3054" s="2" t="s">
        <v>29757</v>
      </c>
      <c r="M3054" s="2" t="s">
        <v>30149</v>
      </c>
      <c r="N3054" s="3" t="s">
        <v>1032</v>
      </c>
      <c r="P3054" s="3" t="s">
        <v>69</v>
      </c>
      <c r="Q3054" s="2" t="s">
        <v>30150</v>
      </c>
      <c r="R3054" s="3" t="s">
        <v>71</v>
      </c>
      <c r="S3054" s="4">
        <v>29</v>
      </c>
      <c r="T3054" s="4">
        <v>29</v>
      </c>
      <c r="U3054" s="5" t="s">
        <v>11474</v>
      </c>
      <c r="V3054" s="5" t="s">
        <v>11474</v>
      </c>
      <c r="W3054" s="5" t="s">
        <v>72</v>
      </c>
      <c r="X3054" s="5" t="s">
        <v>72</v>
      </c>
      <c r="Y3054" s="4">
        <v>436</v>
      </c>
      <c r="Z3054" s="4">
        <v>18</v>
      </c>
      <c r="AA3054" s="4">
        <v>19</v>
      </c>
      <c r="AB3054" s="4">
        <v>1</v>
      </c>
      <c r="AC3054" s="4">
        <v>2</v>
      </c>
      <c r="AD3054" s="4">
        <v>50</v>
      </c>
      <c r="AE3054" s="4">
        <v>51</v>
      </c>
      <c r="AF3054" s="4">
        <v>0</v>
      </c>
      <c r="AG3054" s="4">
        <v>1</v>
      </c>
      <c r="AH3054" s="4">
        <v>44</v>
      </c>
      <c r="AI3054" s="4">
        <v>44</v>
      </c>
      <c r="AJ3054" s="4">
        <v>6</v>
      </c>
      <c r="AK3054" s="4">
        <v>7</v>
      </c>
      <c r="AL3054" s="4">
        <v>27</v>
      </c>
      <c r="AM3054" s="4">
        <v>27</v>
      </c>
      <c r="AN3054" s="4">
        <v>0</v>
      </c>
      <c r="AO3054" s="4">
        <v>0</v>
      </c>
      <c r="AP3054" s="4">
        <v>8</v>
      </c>
      <c r="AQ3054" s="4">
        <v>9</v>
      </c>
      <c r="AR3054" s="3" t="s">
        <v>65</v>
      </c>
      <c r="AS3054" s="3" t="s">
        <v>65</v>
      </c>
      <c r="AT3054" s="3" t="s">
        <v>65</v>
      </c>
      <c r="AV3054" s="6" t="str">
        <f>HYPERLINK("http://mcgill.on.worldcat.org/oclc/35001981","Catalog Record")</f>
        <v>Catalog Record</v>
      </c>
      <c r="AW3054" s="6" t="str">
        <f>HYPERLINK("http://www.worldcat.org/oclc/35001981","WorldCat Record")</f>
        <v>WorldCat Record</v>
      </c>
      <c r="AX3054" s="3" t="s">
        <v>30151</v>
      </c>
      <c r="AY3054" s="3" t="s">
        <v>30152</v>
      </c>
      <c r="AZ3054" s="3" t="s">
        <v>30153</v>
      </c>
      <c r="BA3054" s="3" t="s">
        <v>30153</v>
      </c>
      <c r="BB3054" s="3" t="s">
        <v>30154</v>
      </c>
      <c r="BC3054" s="3" t="s">
        <v>77</v>
      </c>
      <c r="BD3054" s="3" t="s">
        <v>78</v>
      </c>
      <c r="BE3054" s="3" t="s">
        <v>30155</v>
      </c>
      <c r="BF3054" s="3" t="s">
        <v>30154</v>
      </c>
      <c r="BG3054" s="3" t="s">
        <v>30156</v>
      </c>
    </row>
    <row r="3055" spans="1:59" ht="58" x14ac:dyDescent="0.35">
      <c r="A3055" s="2" t="s">
        <v>59</v>
      </c>
      <c r="B3055" s="2" t="s">
        <v>60</v>
      </c>
      <c r="C3055" s="2" t="s">
        <v>30157</v>
      </c>
      <c r="D3055" s="2" t="s">
        <v>30158</v>
      </c>
      <c r="E3055" s="2" t="s">
        <v>30159</v>
      </c>
      <c r="G3055" s="3" t="s">
        <v>65</v>
      </c>
      <c r="I3055" s="3" t="s">
        <v>65</v>
      </c>
      <c r="J3055" s="3" t="s">
        <v>209</v>
      </c>
      <c r="K3055" s="3" t="s">
        <v>66</v>
      </c>
      <c r="L3055" s="2" t="s">
        <v>29757</v>
      </c>
      <c r="M3055" s="2" t="s">
        <v>30160</v>
      </c>
      <c r="N3055" s="3" t="s">
        <v>1967</v>
      </c>
      <c r="P3055" s="3" t="s">
        <v>69</v>
      </c>
      <c r="Q3055" s="2" t="s">
        <v>18803</v>
      </c>
      <c r="R3055" s="3" t="s">
        <v>71</v>
      </c>
      <c r="S3055" s="4">
        <v>16</v>
      </c>
      <c r="T3055" s="4">
        <v>16</v>
      </c>
      <c r="U3055" s="5" t="s">
        <v>9486</v>
      </c>
      <c r="V3055" s="5" t="s">
        <v>9486</v>
      </c>
      <c r="W3055" s="5" t="s">
        <v>72</v>
      </c>
      <c r="X3055" s="5" t="s">
        <v>72</v>
      </c>
      <c r="Y3055" s="4">
        <v>103</v>
      </c>
      <c r="Z3055" s="4">
        <v>7</v>
      </c>
      <c r="AA3055" s="4">
        <v>58</v>
      </c>
      <c r="AB3055" s="4">
        <v>1</v>
      </c>
      <c r="AC3055" s="4">
        <v>8</v>
      </c>
      <c r="AD3055" s="4">
        <v>34</v>
      </c>
      <c r="AE3055" s="4">
        <v>129</v>
      </c>
      <c r="AF3055" s="4">
        <v>0</v>
      </c>
      <c r="AG3055" s="4">
        <v>3</v>
      </c>
      <c r="AH3055" s="4">
        <v>29</v>
      </c>
      <c r="AI3055" s="4">
        <v>105</v>
      </c>
      <c r="AJ3055" s="4">
        <v>2</v>
      </c>
      <c r="AK3055" s="4">
        <v>21</v>
      </c>
      <c r="AL3055" s="4">
        <v>19</v>
      </c>
      <c r="AM3055" s="4">
        <v>57</v>
      </c>
      <c r="AN3055" s="4">
        <v>0</v>
      </c>
      <c r="AO3055" s="4">
        <v>0</v>
      </c>
      <c r="AP3055" s="4">
        <v>4</v>
      </c>
      <c r="AQ3055" s="4">
        <v>33</v>
      </c>
      <c r="AR3055" s="3" t="s">
        <v>65</v>
      </c>
      <c r="AS3055" s="3" t="s">
        <v>65</v>
      </c>
      <c r="AT3055" s="3" t="s">
        <v>65</v>
      </c>
      <c r="AV3055" s="6" t="str">
        <f>HYPERLINK("http://mcgill.on.worldcat.org/oclc/52916678","Catalog Record")</f>
        <v>Catalog Record</v>
      </c>
      <c r="AW3055" s="6" t="str">
        <f>HYPERLINK("http://www.worldcat.org/oclc/52916678","WorldCat Record")</f>
        <v>WorldCat Record</v>
      </c>
      <c r="AX3055" s="3" t="s">
        <v>30141</v>
      </c>
      <c r="AY3055" s="3" t="s">
        <v>30161</v>
      </c>
      <c r="AZ3055" s="3" t="s">
        <v>30162</v>
      </c>
      <c r="BA3055" s="3" t="s">
        <v>30162</v>
      </c>
      <c r="BB3055" s="3" t="s">
        <v>30163</v>
      </c>
      <c r="BC3055" s="3" t="s">
        <v>77</v>
      </c>
      <c r="BD3055" s="3" t="s">
        <v>78</v>
      </c>
      <c r="BE3055" s="3" t="s">
        <v>30164</v>
      </c>
      <c r="BF3055" s="3" t="s">
        <v>30163</v>
      </c>
      <c r="BG3055" s="3" t="s">
        <v>30165</v>
      </c>
    </row>
    <row r="3056" spans="1:59" ht="58" x14ac:dyDescent="0.35">
      <c r="A3056" s="2" t="s">
        <v>59</v>
      </c>
      <c r="B3056" s="2" t="s">
        <v>60</v>
      </c>
      <c r="C3056" s="2" t="s">
        <v>30166</v>
      </c>
      <c r="D3056" s="2" t="s">
        <v>30167</v>
      </c>
      <c r="E3056" s="2" t="s">
        <v>30168</v>
      </c>
      <c r="G3056" s="3" t="s">
        <v>65</v>
      </c>
      <c r="I3056" s="3" t="s">
        <v>65</v>
      </c>
      <c r="J3056" s="3" t="s">
        <v>209</v>
      </c>
      <c r="K3056" s="3" t="s">
        <v>66</v>
      </c>
      <c r="L3056" s="2" t="s">
        <v>29757</v>
      </c>
      <c r="M3056" s="2" t="s">
        <v>30169</v>
      </c>
      <c r="N3056" s="3" t="s">
        <v>525</v>
      </c>
      <c r="P3056" s="3" t="s">
        <v>69</v>
      </c>
      <c r="Q3056" s="2" t="s">
        <v>30170</v>
      </c>
      <c r="R3056" s="3" t="s">
        <v>71</v>
      </c>
      <c r="S3056" s="4">
        <v>22</v>
      </c>
      <c r="T3056" s="4">
        <v>22</v>
      </c>
      <c r="U3056" s="5" t="s">
        <v>22731</v>
      </c>
      <c r="V3056" s="5" t="s">
        <v>22731</v>
      </c>
      <c r="W3056" s="5" t="s">
        <v>72</v>
      </c>
      <c r="X3056" s="5" t="s">
        <v>72</v>
      </c>
      <c r="Y3056" s="4">
        <v>123</v>
      </c>
      <c r="Z3056" s="4">
        <v>10</v>
      </c>
      <c r="AA3056" s="4">
        <v>58</v>
      </c>
      <c r="AB3056" s="4">
        <v>3</v>
      </c>
      <c r="AC3056" s="4">
        <v>8</v>
      </c>
      <c r="AD3056" s="4">
        <v>42</v>
      </c>
      <c r="AE3056" s="4">
        <v>129</v>
      </c>
      <c r="AF3056" s="4">
        <v>2</v>
      </c>
      <c r="AG3056" s="4">
        <v>3</v>
      </c>
      <c r="AH3056" s="4">
        <v>36</v>
      </c>
      <c r="AI3056" s="4">
        <v>105</v>
      </c>
      <c r="AJ3056" s="4">
        <v>5</v>
      </c>
      <c r="AK3056" s="4">
        <v>21</v>
      </c>
      <c r="AL3056" s="4">
        <v>25</v>
      </c>
      <c r="AM3056" s="4">
        <v>57</v>
      </c>
      <c r="AN3056" s="4">
        <v>0</v>
      </c>
      <c r="AO3056" s="4">
        <v>0</v>
      </c>
      <c r="AP3056" s="4">
        <v>6</v>
      </c>
      <c r="AQ3056" s="4">
        <v>33</v>
      </c>
      <c r="AR3056" s="3" t="s">
        <v>65</v>
      </c>
      <c r="AS3056" s="3" t="s">
        <v>65</v>
      </c>
      <c r="AT3056" s="3" t="s">
        <v>209</v>
      </c>
      <c r="AU3056" s="6" t="str">
        <f>HYPERLINK("http://catalog.hathitrust.org/Record/004378942","HathiTrust Record")</f>
        <v>HathiTrust Record</v>
      </c>
      <c r="AV3056" s="6" t="str">
        <f>HYPERLINK("http://mcgill.on.worldcat.org/oclc/53871073","Catalog Record")</f>
        <v>Catalog Record</v>
      </c>
      <c r="AW3056" s="6" t="str">
        <f>HYPERLINK("http://www.worldcat.org/oclc/53871073","WorldCat Record")</f>
        <v>WorldCat Record</v>
      </c>
      <c r="AX3056" s="3" t="s">
        <v>30141</v>
      </c>
      <c r="AY3056" s="3" t="s">
        <v>30171</v>
      </c>
      <c r="AZ3056" s="3" t="s">
        <v>30172</v>
      </c>
      <c r="BA3056" s="3" t="s">
        <v>30172</v>
      </c>
      <c r="BB3056" s="3" t="s">
        <v>30173</v>
      </c>
      <c r="BC3056" s="3" t="s">
        <v>77</v>
      </c>
      <c r="BD3056" s="3" t="s">
        <v>78</v>
      </c>
      <c r="BE3056" s="3" t="s">
        <v>30174</v>
      </c>
      <c r="BF3056" s="3" t="s">
        <v>30173</v>
      </c>
      <c r="BG3056" s="3" t="s">
        <v>30175</v>
      </c>
    </row>
    <row r="3057" spans="1:59" ht="58" x14ac:dyDescent="0.35">
      <c r="A3057" s="2" t="s">
        <v>59</v>
      </c>
      <c r="B3057" s="2" t="s">
        <v>60</v>
      </c>
      <c r="C3057" s="2" t="s">
        <v>30176</v>
      </c>
      <c r="D3057" s="2" t="s">
        <v>30177</v>
      </c>
      <c r="E3057" s="2" t="s">
        <v>30178</v>
      </c>
      <c r="G3057" s="3" t="s">
        <v>65</v>
      </c>
      <c r="I3057" s="3" t="s">
        <v>65</v>
      </c>
      <c r="J3057" s="3" t="s">
        <v>65</v>
      </c>
      <c r="K3057" s="3" t="s">
        <v>66</v>
      </c>
      <c r="L3057" s="2" t="s">
        <v>30179</v>
      </c>
      <c r="M3057" s="2" t="s">
        <v>30180</v>
      </c>
      <c r="N3057" s="3" t="s">
        <v>1196</v>
      </c>
      <c r="P3057" s="3" t="s">
        <v>69</v>
      </c>
      <c r="Q3057" s="2" t="s">
        <v>30181</v>
      </c>
      <c r="R3057" s="3" t="s">
        <v>71</v>
      </c>
      <c r="S3057" s="4">
        <v>14</v>
      </c>
      <c r="T3057" s="4">
        <v>14</v>
      </c>
      <c r="U3057" s="5" t="s">
        <v>11748</v>
      </c>
      <c r="V3057" s="5" t="s">
        <v>11748</v>
      </c>
      <c r="W3057" s="5" t="s">
        <v>72</v>
      </c>
      <c r="X3057" s="5" t="s">
        <v>72</v>
      </c>
      <c r="Y3057" s="4">
        <v>282</v>
      </c>
      <c r="Z3057" s="4">
        <v>20</v>
      </c>
      <c r="AA3057" s="4">
        <v>23</v>
      </c>
      <c r="AB3057" s="4">
        <v>2</v>
      </c>
      <c r="AC3057" s="4">
        <v>4</v>
      </c>
      <c r="AD3057" s="4">
        <v>97</v>
      </c>
      <c r="AE3057" s="4">
        <v>101</v>
      </c>
      <c r="AF3057" s="4">
        <v>1</v>
      </c>
      <c r="AG3057" s="4">
        <v>3</v>
      </c>
      <c r="AH3057" s="4">
        <v>90</v>
      </c>
      <c r="AI3057" s="4">
        <v>92</v>
      </c>
      <c r="AJ3057" s="4">
        <v>14</v>
      </c>
      <c r="AK3057" s="4">
        <v>17</v>
      </c>
      <c r="AL3057" s="4">
        <v>50</v>
      </c>
      <c r="AM3057" s="4">
        <v>51</v>
      </c>
      <c r="AN3057" s="4">
        <v>0</v>
      </c>
      <c r="AO3057" s="4">
        <v>0</v>
      </c>
      <c r="AP3057" s="4">
        <v>14</v>
      </c>
      <c r="AQ3057" s="4">
        <v>17</v>
      </c>
      <c r="AR3057" s="3" t="s">
        <v>65</v>
      </c>
      <c r="AS3057" s="3" t="s">
        <v>65</v>
      </c>
      <c r="AT3057" s="3" t="s">
        <v>65</v>
      </c>
      <c r="AV3057" s="6" t="str">
        <f>HYPERLINK("http://mcgill.on.worldcat.org/oclc/54852903","Catalog Record")</f>
        <v>Catalog Record</v>
      </c>
      <c r="AW3057" s="6" t="str">
        <f>HYPERLINK("http://www.worldcat.org/oclc/54852903","WorldCat Record")</f>
        <v>WorldCat Record</v>
      </c>
      <c r="AX3057" s="3" t="s">
        <v>30182</v>
      </c>
      <c r="AY3057" s="3" t="s">
        <v>30183</v>
      </c>
      <c r="AZ3057" s="3" t="s">
        <v>30184</v>
      </c>
      <c r="BA3057" s="3" t="s">
        <v>30184</v>
      </c>
      <c r="BB3057" s="3" t="s">
        <v>30185</v>
      </c>
      <c r="BC3057" s="3" t="s">
        <v>77</v>
      </c>
      <c r="BD3057" s="3" t="s">
        <v>78</v>
      </c>
      <c r="BE3057" s="3" t="s">
        <v>30186</v>
      </c>
      <c r="BF3057" s="3" t="s">
        <v>30185</v>
      </c>
      <c r="BG3057" s="3" t="s">
        <v>30187</v>
      </c>
    </row>
    <row r="3058" spans="1:59" ht="58" x14ac:dyDescent="0.35">
      <c r="A3058" s="2" t="s">
        <v>59</v>
      </c>
      <c r="B3058" s="2" t="s">
        <v>60</v>
      </c>
      <c r="C3058" s="2" t="s">
        <v>30188</v>
      </c>
      <c r="D3058" s="2" t="s">
        <v>30189</v>
      </c>
      <c r="E3058" s="2" t="s">
        <v>30190</v>
      </c>
      <c r="G3058" s="3" t="s">
        <v>65</v>
      </c>
      <c r="I3058" s="3" t="s">
        <v>65</v>
      </c>
      <c r="J3058" s="3" t="s">
        <v>65</v>
      </c>
      <c r="K3058" s="3" t="s">
        <v>66</v>
      </c>
      <c r="L3058" s="2" t="s">
        <v>29757</v>
      </c>
      <c r="M3058" s="2" t="s">
        <v>15546</v>
      </c>
      <c r="N3058" s="3" t="s">
        <v>1196</v>
      </c>
      <c r="P3058" s="3" t="s">
        <v>69</v>
      </c>
      <c r="Q3058" s="2" t="s">
        <v>30191</v>
      </c>
      <c r="R3058" s="3" t="s">
        <v>71</v>
      </c>
      <c r="S3058" s="4">
        <v>2</v>
      </c>
      <c r="T3058" s="4">
        <v>2</v>
      </c>
      <c r="U3058" s="5" t="s">
        <v>30192</v>
      </c>
      <c r="V3058" s="5" t="s">
        <v>30192</v>
      </c>
      <c r="W3058" s="5" t="s">
        <v>72</v>
      </c>
      <c r="X3058" s="5" t="s">
        <v>72</v>
      </c>
      <c r="Y3058" s="4">
        <v>163</v>
      </c>
      <c r="Z3058" s="4">
        <v>17</v>
      </c>
      <c r="AA3058" s="4">
        <v>20</v>
      </c>
      <c r="AB3058" s="4">
        <v>1</v>
      </c>
      <c r="AC3058" s="4">
        <v>2</v>
      </c>
      <c r="AD3058" s="4">
        <v>65</v>
      </c>
      <c r="AE3058" s="4">
        <v>67</v>
      </c>
      <c r="AF3058" s="4">
        <v>0</v>
      </c>
      <c r="AG3058" s="4">
        <v>0</v>
      </c>
      <c r="AH3058" s="4">
        <v>57</v>
      </c>
      <c r="AI3058" s="4">
        <v>58</v>
      </c>
      <c r="AJ3058" s="4">
        <v>9</v>
      </c>
      <c r="AK3058" s="4">
        <v>11</v>
      </c>
      <c r="AL3058" s="4">
        <v>38</v>
      </c>
      <c r="AM3058" s="4">
        <v>38</v>
      </c>
      <c r="AN3058" s="4">
        <v>0</v>
      </c>
      <c r="AO3058" s="4">
        <v>0</v>
      </c>
      <c r="AP3058" s="4">
        <v>10</v>
      </c>
      <c r="AQ3058" s="4">
        <v>12</v>
      </c>
      <c r="AR3058" s="3" t="s">
        <v>65</v>
      </c>
      <c r="AS3058" s="3" t="s">
        <v>65</v>
      </c>
      <c r="AT3058" s="3" t="s">
        <v>65</v>
      </c>
      <c r="AV3058" s="6" t="str">
        <f>HYPERLINK("http://mcgill.on.worldcat.org/oclc/58843056","Catalog Record")</f>
        <v>Catalog Record</v>
      </c>
      <c r="AW3058" s="6" t="str">
        <f>HYPERLINK("http://www.worldcat.org/oclc/58843056","WorldCat Record")</f>
        <v>WorldCat Record</v>
      </c>
      <c r="AX3058" s="3" t="s">
        <v>30193</v>
      </c>
      <c r="AY3058" s="3" t="s">
        <v>30194</v>
      </c>
      <c r="AZ3058" s="3" t="s">
        <v>30195</v>
      </c>
      <c r="BA3058" s="3" t="s">
        <v>30195</v>
      </c>
      <c r="BB3058" s="3" t="s">
        <v>30196</v>
      </c>
      <c r="BC3058" s="3" t="s">
        <v>77</v>
      </c>
      <c r="BD3058" s="3" t="s">
        <v>78</v>
      </c>
      <c r="BE3058" s="3" t="s">
        <v>30197</v>
      </c>
      <c r="BF3058" s="3" t="s">
        <v>30196</v>
      </c>
      <c r="BG3058" s="3" t="s">
        <v>30198</v>
      </c>
    </row>
    <row r="3059" spans="1:59" ht="72.5" x14ac:dyDescent="0.35">
      <c r="A3059" s="2" t="s">
        <v>59</v>
      </c>
      <c r="B3059" s="2" t="s">
        <v>60</v>
      </c>
      <c r="C3059" s="2" t="s">
        <v>30199</v>
      </c>
      <c r="D3059" s="2" t="s">
        <v>30200</v>
      </c>
      <c r="E3059" s="2" t="s">
        <v>30201</v>
      </c>
      <c r="G3059" s="3" t="s">
        <v>65</v>
      </c>
      <c r="I3059" s="3" t="s">
        <v>65</v>
      </c>
      <c r="J3059" s="3" t="s">
        <v>65</v>
      </c>
      <c r="K3059" s="3" t="s">
        <v>66</v>
      </c>
      <c r="L3059" s="2" t="s">
        <v>30202</v>
      </c>
      <c r="M3059" s="2" t="s">
        <v>30203</v>
      </c>
      <c r="N3059" s="3" t="s">
        <v>139</v>
      </c>
      <c r="P3059" s="3" t="s">
        <v>140</v>
      </c>
      <c r="Q3059" s="2" t="s">
        <v>1777</v>
      </c>
      <c r="R3059" s="3" t="s">
        <v>71</v>
      </c>
      <c r="S3059" s="4">
        <v>0</v>
      </c>
      <c r="T3059" s="4">
        <v>0</v>
      </c>
      <c r="W3059" s="5" t="s">
        <v>72</v>
      </c>
      <c r="X3059" s="5" t="s">
        <v>72</v>
      </c>
      <c r="Y3059" s="4">
        <v>16</v>
      </c>
      <c r="Z3059" s="4">
        <v>1</v>
      </c>
      <c r="AA3059" s="4">
        <v>6</v>
      </c>
      <c r="AB3059" s="4">
        <v>1</v>
      </c>
      <c r="AC3059" s="4">
        <v>1</v>
      </c>
      <c r="AD3059" s="4">
        <v>11</v>
      </c>
      <c r="AE3059" s="4">
        <v>26</v>
      </c>
      <c r="AF3059" s="4">
        <v>0</v>
      </c>
      <c r="AG3059" s="4">
        <v>0</v>
      </c>
      <c r="AH3059" s="4">
        <v>11</v>
      </c>
      <c r="AI3059" s="4">
        <v>25</v>
      </c>
      <c r="AJ3059" s="4">
        <v>0</v>
      </c>
      <c r="AK3059" s="4">
        <v>3</v>
      </c>
      <c r="AL3059" s="4">
        <v>7</v>
      </c>
      <c r="AM3059" s="4">
        <v>19</v>
      </c>
      <c r="AN3059" s="4">
        <v>0</v>
      </c>
      <c r="AO3059" s="4">
        <v>0</v>
      </c>
      <c r="AP3059" s="4">
        <v>0</v>
      </c>
      <c r="AQ3059" s="4">
        <v>3</v>
      </c>
      <c r="AR3059" s="3" t="s">
        <v>65</v>
      </c>
      <c r="AS3059" s="3" t="s">
        <v>65</v>
      </c>
      <c r="AT3059" s="3" t="s">
        <v>65</v>
      </c>
      <c r="AV3059" s="6" t="str">
        <f>HYPERLINK("http://mcgill.on.worldcat.org/oclc/796780474","Catalog Record")</f>
        <v>Catalog Record</v>
      </c>
      <c r="AW3059" s="6" t="str">
        <f>HYPERLINK("http://www.worldcat.org/oclc/796780474","WorldCat Record")</f>
        <v>WorldCat Record</v>
      </c>
      <c r="AX3059" s="3" t="s">
        <v>30204</v>
      </c>
      <c r="AY3059" s="3" t="s">
        <v>30205</v>
      </c>
      <c r="AZ3059" s="3" t="s">
        <v>30206</v>
      </c>
      <c r="BA3059" s="3" t="s">
        <v>30206</v>
      </c>
      <c r="BB3059" s="3" t="s">
        <v>30207</v>
      </c>
      <c r="BC3059" s="3" t="s">
        <v>77</v>
      </c>
      <c r="BD3059" s="3" t="s">
        <v>78</v>
      </c>
      <c r="BE3059" s="3" t="s">
        <v>30208</v>
      </c>
      <c r="BF3059" s="3" t="s">
        <v>30207</v>
      </c>
      <c r="BG3059" s="3" t="s">
        <v>30209</v>
      </c>
    </row>
    <row r="3060" spans="1:59" ht="58" x14ac:dyDescent="0.35">
      <c r="A3060" s="2" t="s">
        <v>59</v>
      </c>
      <c r="B3060" s="2" t="s">
        <v>60</v>
      </c>
      <c r="C3060" s="2" t="s">
        <v>30210</v>
      </c>
      <c r="D3060" s="2" t="s">
        <v>30211</v>
      </c>
      <c r="E3060" s="2" t="s">
        <v>30212</v>
      </c>
      <c r="G3060" s="3" t="s">
        <v>65</v>
      </c>
      <c r="I3060" s="3" t="s">
        <v>65</v>
      </c>
      <c r="J3060" s="3" t="s">
        <v>65</v>
      </c>
      <c r="K3060" s="3" t="s">
        <v>66</v>
      </c>
      <c r="L3060" s="2" t="s">
        <v>29757</v>
      </c>
      <c r="M3060" s="2" t="s">
        <v>30213</v>
      </c>
      <c r="N3060" s="3" t="s">
        <v>14003</v>
      </c>
      <c r="P3060" s="3" t="s">
        <v>69</v>
      </c>
      <c r="R3060" s="3" t="s">
        <v>71</v>
      </c>
      <c r="S3060" s="4">
        <v>16</v>
      </c>
      <c r="T3060" s="4">
        <v>16</v>
      </c>
      <c r="U3060" s="5" t="s">
        <v>21132</v>
      </c>
      <c r="V3060" s="5" t="s">
        <v>21132</v>
      </c>
      <c r="W3060" s="5" t="s">
        <v>72</v>
      </c>
      <c r="X3060" s="5" t="s">
        <v>72</v>
      </c>
      <c r="Y3060" s="4">
        <v>195</v>
      </c>
      <c r="Z3060" s="4">
        <v>5</v>
      </c>
      <c r="AA3060" s="4">
        <v>24</v>
      </c>
      <c r="AB3060" s="4">
        <v>1</v>
      </c>
      <c r="AC3060" s="4">
        <v>3</v>
      </c>
      <c r="AD3060" s="4">
        <v>58</v>
      </c>
      <c r="AE3060" s="4">
        <v>105</v>
      </c>
      <c r="AF3060" s="4">
        <v>0</v>
      </c>
      <c r="AG3060" s="4">
        <v>2</v>
      </c>
      <c r="AH3060" s="4">
        <v>57</v>
      </c>
      <c r="AI3060" s="4">
        <v>94</v>
      </c>
      <c r="AJ3060" s="4">
        <v>2</v>
      </c>
      <c r="AK3060" s="4">
        <v>14</v>
      </c>
      <c r="AL3060" s="4">
        <v>33</v>
      </c>
      <c r="AM3060" s="4">
        <v>52</v>
      </c>
      <c r="AN3060" s="4">
        <v>5</v>
      </c>
      <c r="AO3060" s="4">
        <v>5</v>
      </c>
      <c r="AP3060" s="4">
        <v>3</v>
      </c>
      <c r="AQ3060" s="4">
        <v>16</v>
      </c>
      <c r="AR3060" s="3" t="s">
        <v>65</v>
      </c>
      <c r="AS3060" s="3" t="s">
        <v>65</v>
      </c>
      <c r="AT3060" s="3" t="s">
        <v>209</v>
      </c>
      <c r="AU3060" s="6" t="str">
        <f>HYPERLINK("http://catalog.hathitrust.org/Record/004463766","HathiTrust Record")</f>
        <v>HathiTrust Record</v>
      </c>
      <c r="AV3060" s="6" t="str">
        <f>HYPERLINK("http://mcgill.on.worldcat.org/oclc/1193399","Catalog Record")</f>
        <v>Catalog Record</v>
      </c>
      <c r="AW3060" s="6" t="str">
        <f>HYPERLINK("http://www.worldcat.org/oclc/1193399","WorldCat Record")</f>
        <v>WorldCat Record</v>
      </c>
      <c r="AX3060" s="3" t="s">
        <v>30214</v>
      </c>
      <c r="AY3060" s="3" t="s">
        <v>30215</v>
      </c>
      <c r="AZ3060" s="3" t="s">
        <v>30216</v>
      </c>
      <c r="BA3060" s="3" t="s">
        <v>30216</v>
      </c>
      <c r="BB3060" s="3" t="s">
        <v>30217</v>
      </c>
      <c r="BC3060" s="3" t="s">
        <v>77</v>
      </c>
      <c r="BD3060" s="3" t="s">
        <v>78</v>
      </c>
      <c r="BF3060" s="3" t="s">
        <v>30217</v>
      </c>
      <c r="BG3060" s="3" t="s">
        <v>30218</v>
      </c>
    </row>
    <row r="3061" spans="1:59" ht="58" x14ac:dyDescent="0.35">
      <c r="A3061" s="2" t="s">
        <v>59</v>
      </c>
      <c r="B3061" s="2" t="s">
        <v>60</v>
      </c>
      <c r="C3061" s="2" t="s">
        <v>30219</v>
      </c>
      <c r="D3061" s="2" t="s">
        <v>30220</v>
      </c>
      <c r="E3061" s="2" t="s">
        <v>30221</v>
      </c>
      <c r="G3061" s="3" t="s">
        <v>65</v>
      </c>
      <c r="I3061" s="3" t="s">
        <v>65</v>
      </c>
      <c r="J3061" s="3" t="s">
        <v>209</v>
      </c>
      <c r="K3061" s="3" t="s">
        <v>66</v>
      </c>
      <c r="L3061" s="2" t="s">
        <v>29757</v>
      </c>
      <c r="M3061" s="2" t="s">
        <v>30222</v>
      </c>
      <c r="N3061" s="3" t="s">
        <v>1932</v>
      </c>
      <c r="O3061" s="2" t="s">
        <v>365</v>
      </c>
      <c r="P3061" s="3" t="s">
        <v>140</v>
      </c>
      <c r="Q3061" s="2" t="s">
        <v>30223</v>
      </c>
      <c r="R3061" s="3" t="s">
        <v>71</v>
      </c>
      <c r="S3061" s="4">
        <v>17</v>
      </c>
      <c r="T3061" s="4">
        <v>17</v>
      </c>
      <c r="U3061" s="5" t="s">
        <v>4241</v>
      </c>
      <c r="V3061" s="5" t="s">
        <v>4241</v>
      </c>
      <c r="W3061" s="5" t="s">
        <v>72</v>
      </c>
      <c r="X3061" s="5" t="s">
        <v>72</v>
      </c>
      <c r="Y3061" s="4">
        <v>23</v>
      </c>
      <c r="Z3061" s="4">
        <v>2</v>
      </c>
      <c r="AA3061" s="4">
        <v>12</v>
      </c>
      <c r="AB3061" s="4">
        <v>2</v>
      </c>
      <c r="AC3061" s="4">
        <v>4</v>
      </c>
      <c r="AD3061" s="4">
        <v>11</v>
      </c>
      <c r="AE3061" s="4">
        <v>65</v>
      </c>
      <c r="AF3061" s="4">
        <v>1</v>
      </c>
      <c r="AG3061" s="4">
        <v>2</v>
      </c>
      <c r="AH3061" s="4">
        <v>10</v>
      </c>
      <c r="AI3061" s="4">
        <v>59</v>
      </c>
      <c r="AJ3061" s="4">
        <v>1</v>
      </c>
      <c r="AK3061" s="4">
        <v>7</v>
      </c>
      <c r="AL3061" s="4">
        <v>8</v>
      </c>
      <c r="AM3061" s="4">
        <v>39</v>
      </c>
      <c r="AN3061" s="4">
        <v>0</v>
      </c>
      <c r="AO3061" s="4">
        <v>3</v>
      </c>
      <c r="AP3061" s="4">
        <v>1</v>
      </c>
      <c r="AQ3061" s="4">
        <v>7</v>
      </c>
      <c r="AR3061" s="3" t="s">
        <v>65</v>
      </c>
      <c r="AS3061" s="3" t="s">
        <v>65</v>
      </c>
      <c r="AT3061" s="3" t="s">
        <v>65</v>
      </c>
      <c r="AV3061" s="6" t="str">
        <f>HYPERLINK("http://mcgill.on.worldcat.org/oclc/34194324","Catalog Record")</f>
        <v>Catalog Record</v>
      </c>
      <c r="AW3061" s="6" t="str">
        <f>HYPERLINK("http://www.worldcat.org/oclc/34194324","WorldCat Record")</f>
        <v>WorldCat Record</v>
      </c>
      <c r="AX3061" s="3" t="s">
        <v>30224</v>
      </c>
      <c r="AY3061" s="3" t="s">
        <v>30225</v>
      </c>
      <c r="AZ3061" s="3" t="s">
        <v>30226</v>
      </c>
      <c r="BA3061" s="3" t="s">
        <v>30226</v>
      </c>
      <c r="BB3061" s="3" t="s">
        <v>30227</v>
      </c>
      <c r="BC3061" s="3" t="s">
        <v>77</v>
      </c>
      <c r="BD3061" s="3" t="s">
        <v>78</v>
      </c>
      <c r="BE3061" s="3" t="s">
        <v>30228</v>
      </c>
      <c r="BF3061" s="3" t="s">
        <v>30227</v>
      </c>
      <c r="BG3061" s="3" t="s">
        <v>30229</v>
      </c>
    </row>
    <row r="3062" spans="1:59" ht="58" x14ac:dyDescent="0.35">
      <c r="A3062" s="2" t="s">
        <v>59</v>
      </c>
      <c r="B3062" s="2" t="s">
        <v>60</v>
      </c>
      <c r="C3062" s="2" t="s">
        <v>30230</v>
      </c>
      <c r="D3062" s="2" t="s">
        <v>30231</v>
      </c>
      <c r="E3062" s="2" t="s">
        <v>30232</v>
      </c>
      <c r="G3062" s="3" t="s">
        <v>65</v>
      </c>
      <c r="I3062" s="3" t="s">
        <v>65</v>
      </c>
      <c r="J3062" s="3" t="s">
        <v>65</v>
      </c>
      <c r="K3062" s="3" t="s">
        <v>66</v>
      </c>
      <c r="L3062" s="2" t="s">
        <v>30233</v>
      </c>
      <c r="M3062" s="2" t="s">
        <v>18701</v>
      </c>
      <c r="N3062" s="3" t="s">
        <v>113</v>
      </c>
      <c r="O3062" s="2" t="s">
        <v>365</v>
      </c>
      <c r="P3062" s="3" t="s">
        <v>140</v>
      </c>
      <c r="Q3062" s="2" t="s">
        <v>565</v>
      </c>
      <c r="R3062" s="3" t="s">
        <v>71</v>
      </c>
      <c r="S3062" s="4">
        <v>0</v>
      </c>
      <c r="T3062" s="4">
        <v>0</v>
      </c>
      <c r="W3062" s="5" t="s">
        <v>72</v>
      </c>
      <c r="X3062" s="5" t="s">
        <v>72</v>
      </c>
      <c r="Y3062" s="4">
        <v>55</v>
      </c>
      <c r="Z3062" s="4">
        <v>5</v>
      </c>
      <c r="AA3062" s="4">
        <v>5</v>
      </c>
      <c r="AB3062" s="4">
        <v>2</v>
      </c>
      <c r="AC3062" s="4">
        <v>2</v>
      </c>
      <c r="AD3062" s="4">
        <v>38</v>
      </c>
      <c r="AE3062" s="4">
        <v>38</v>
      </c>
      <c r="AF3062" s="4">
        <v>1</v>
      </c>
      <c r="AG3062" s="4">
        <v>1</v>
      </c>
      <c r="AH3062" s="4">
        <v>36</v>
      </c>
      <c r="AI3062" s="4">
        <v>36</v>
      </c>
      <c r="AJ3062" s="4">
        <v>2</v>
      </c>
      <c r="AK3062" s="4">
        <v>2</v>
      </c>
      <c r="AL3062" s="4">
        <v>30</v>
      </c>
      <c r="AM3062" s="4">
        <v>30</v>
      </c>
      <c r="AN3062" s="4">
        <v>0</v>
      </c>
      <c r="AO3062" s="4">
        <v>0</v>
      </c>
      <c r="AP3062" s="4">
        <v>2</v>
      </c>
      <c r="AQ3062" s="4">
        <v>2</v>
      </c>
      <c r="AR3062" s="3" t="s">
        <v>65</v>
      </c>
      <c r="AS3062" s="3" t="s">
        <v>65</v>
      </c>
      <c r="AT3062" s="3" t="s">
        <v>65</v>
      </c>
      <c r="AV3062" s="6" t="str">
        <f>HYPERLINK("http://mcgill.on.worldcat.org/oclc/609530065","Catalog Record")</f>
        <v>Catalog Record</v>
      </c>
      <c r="AW3062" s="6" t="str">
        <f>HYPERLINK("http://www.worldcat.org/oclc/609530065","WorldCat Record")</f>
        <v>WorldCat Record</v>
      </c>
      <c r="AX3062" s="3" t="s">
        <v>30234</v>
      </c>
      <c r="AY3062" s="3" t="s">
        <v>30235</v>
      </c>
      <c r="AZ3062" s="3" t="s">
        <v>30236</v>
      </c>
      <c r="BA3062" s="3" t="s">
        <v>30236</v>
      </c>
      <c r="BB3062" s="3" t="s">
        <v>30237</v>
      </c>
      <c r="BC3062" s="3" t="s">
        <v>77</v>
      </c>
      <c r="BD3062" s="3" t="s">
        <v>78</v>
      </c>
      <c r="BE3062" s="3" t="s">
        <v>30238</v>
      </c>
      <c r="BF3062" s="3" t="s">
        <v>30237</v>
      </c>
      <c r="BG3062" s="3" t="s">
        <v>30239</v>
      </c>
    </row>
    <row r="3063" spans="1:59" ht="58" x14ac:dyDescent="0.35">
      <c r="A3063" s="2" t="s">
        <v>59</v>
      </c>
      <c r="B3063" s="2" t="s">
        <v>60</v>
      </c>
      <c r="C3063" s="2" t="s">
        <v>30240</v>
      </c>
      <c r="D3063" s="2" t="s">
        <v>30241</v>
      </c>
      <c r="E3063" s="2" t="s">
        <v>30242</v>
      </c>
      <c r="G3063" s="3" t="s">
        <v>65</v>
      </c>
      <c r="I3063" s="3" t="s">
        <v>65</v>
      </c>
      <c r="J3063" s="3" t="s">
        <v>65</v>
      </c>
      <c r="K3063" s="3" t="s">
        <v>66</v>
      </c>
      <c r="L3063" s="2" t="s">
        <v>30243</v>
      </c>
      <c r="M3063" s="2" t="s">
        <v>30244</v>
      </c>
      <c r="N3063" s="3" t="s">
        <v>2210</v>
      </c>
      <c r="P3063" s="3" t="s">
        <v>140</v>
      </c>
      <c r="R3063" s="3" t="s">
        <v>71</v>
      </c>
      <c r="S3063" s="4">
        <v>3</v>
      </c>
      <c r="T3063" s="4">
        <v>3</v>
      </c>
      <c r="U3063" s="5" t="s">
        <v>8190</v>
      </c>
      <c r="V3063" s="5" t="s">
        <v>8190</v>
      </c>
      <c r="W3063" s="5" t="s">
        <v>72</v>
      </c>
      <c r="X3063" s="5" t="s">
        <v>72</v>
      </c>
      <c r="Y3063" s="4">
        <v>44</v>
      </c>
      <c r="Z3063" s="4">
        <v>4</v>
      </c>
      <c r="AA3063" s="4">
        <v>4</v>
      </c>
      <c r="AB3063" s="4">
        <v>1</v>
      </c>
      <c r="AC3063" s="4">
        <v>1</v>
      </c>
      <c r="AD3063" s="4">
        <v>26</v>
      </c>
      <c r="AE3063" s="4">
        <v>32</v>
      </c>
      <c r="AF3063" s="4">
        <v>0</v>
      </c>
      <c r="AG3063" s="4">
        <v>0</v>
      </c>
      <c r="AH3063" s="4">
        <v>26</v>
      </c>
      <c r="AI3063" s="4">
        <v>31</v>
      </c>
      <c r="AJ3063" s="4">
        <v>2</v>
      </c>
      <c r="AK3063" s="4">
        <v>2</v>
      </c>
      <c r="AL3063" s="4">
        <v>18</v>
      </c>
      <c r="AM3063" s="4">
        <v>23</v>
      </c>
      <c r="AN3063" s="4">
        <v>0</v>
      </c>
      <c r="AO3063" s="4">
        <v>0</v>
      </c>
      <c r="AP3063" s="4">
        <v>2</v>
      </c>
      <c r="AQ3063" s="4">
        <v>2</v>
      </c>
      <c r="AR3063" s="3" t="s">
        <v>65</v>
      </c>
      <c r="AS3063" s="3" t="s">
        <v>65</v>
      </c>
      <c r="AT3063" s="3" t="s">
        <v>209</v>
      </c>
      <c r="AU3063" s="6" t="str">
        <f>HYPERLINK("http://catalog.hathitrust.org/Record/004311842","HathiTrust Record")</f>
        <v>HathiTrust Record</v>
      </c>
      <c r="AV3063" s="6" t="str">
        <f>HYPERLINK("http://mcgill.on.worldcat.org/oclc/51567158","Catalog Record")</f>
        <v>Catalog Record</v>
      </c>
      <c r="AW3063" s="6" t="str">
        <f>HYPERLINK("http://www.worldcat.org/oclc/51567158","WorldCat Record")</f>
        <v>WorldCat Record</v>
      </c>
      <c r="AX3063" s="3" t="s">
        <v>30245</v>
      </c>
      <c r="AY3063" s="3" t="s">
        <v>30246</v>
      </c>
      <c r="AZ3063" s="3" t="s">
        <v>30247</v>
      </c>
      <c r="BA3063" s="3" t="s">
        <v>30247</v>
      </c>
      <c r="BB3063" s="3" t="s">
        <v>30248</v>
      </c>
      <c r="BC3063" s="3" t="s">
        <v>77</v>
      </c>
      <c r="BD3063" s="3" t="s">
        <v>78</v>
      </c>
      <c r="BE3063" s="3" t="s">
        <v>30249</v>
      </c>
      <c r="BF3063" s="3" t="s">
        <v>30248</v>
      </c>
      <c r="BG3063" s="3" t="s">
        <v>30250</v>
      </c>
    </row>
    <row r="3064" spans="1:59" ht="87" x14ac:dyDescent="0.35">
      <c r="A3064" s="2" t="s">
        <v>59</v>
      </c>
      <c r="B3064" s="2" t="s">
        <v>60</v>
      </c>
      <c r="C3064" s="2" t="s">
        <v>30251</v>
      </c>
      <c r="D3064" s="2" t="s">
        <v>30252</v>
      </c>
      <c r="E3064" s="2" t="s">
        <v>30253</v>
      </c>
      <c r="G3064" s="3" t="s">
        <v>65</v>
      </c>
      <c r="I3064" s="3" t="s">
        <v>65</v>
      </c>
      <c r="J3064" s="3" t="s">
        <v>65</v>
      </c>
      <c r="K3064" s="3" t="s">
        <v>66</v>
      </c>
      <c r="L3064" s="2" t="s">
        <v>29757</v>
      </c>
      <c r="M3064" s="2" t="s">
        <v>30254</v>
      </c>
      <c r="N3064" s="3" t="s">
        <v>247</v>
      </c>
      <c r="O3064" s="2" t="s">
        <v>30255</v>
      </c>
      <c r="P3064" s="3" t="s">
        <v>140</v>
      </c>
      <c r="Q3064" s="2" t="s">
        <v>30256</v>
      </c>
      <c r="R3064" s="3" t="s">
        <v>71</v>
      </c>
      <c r="S3064" s="4">
        <v>16</v>
      </c>
      <c r="T3064" s="4">
        <v>16</v>
      </c>
      <c r="U3064" s="5" t="s">
        <v>11250</v>
      </c>
      <c r="V3064" s="5" t="s">
        <v>11250</v>
      </c>
      <c r="W3064" s="5" t="s">
        <v>72</v>
      </c>
      <c r="X3064" s="5" t="s">
        <v>72</v>
      </c>
      <c r="Y3064" s="4">
        <v>36</v>
      </c>
      <c r="Z3064" s="4">
        <v>2</v>
      </c>
      <c r="AA3064" s="4">
        <v>20</v>
      </c>
      <c r="AB3064" s="4">
        <v>2</v>
      </c>
      <c r="AC3064" s="4">
        <v>4</v>
      </c>
      <c r="AD3064" s="4">
        <v>17</v>
      </c>
      <c r="AE3064" s="4">
        <v>78</v>
      </c>
      <c r="AF3064" s="4">
        <v>1</v>
      </c>
      <c r="AG3064" s="4">
        <v>2</v>
      </c>
      <c r="AH3064" s="4">
        <v>15</v>
      </c>
      <c r="AI3064" s="4">
        <v>72</v>
      </c>
      <c r="AJ3064" s="4">
        <v>1</v>
      </c>
      <c r="AK3064" s="4">
        <v>12</v>
      </c>
      <c r="AL3064" s="4">
        <v>13</v>
      </c>
      <c r="AM3064" s="4">
        <v>48</v>
      </c>
      <c r="AN3064" s="4">
        <v>0</v>
      </c>
      <c r="AO3064" s="4">
        <v>9</v>
      </c>
      <c r="AP3064" s="4">
        <v>1</v>
      </c>
      <c r="AQ3064" s="4">
        <v>13</v>
      </c>
      <c r="AR3064" s="3" t="s">
        <v>65</v>
      </c>
      <c r="AS3064" s="3" t="s">
        <v>65</v>
      </c>
      <c r="AT3064" s="3" t="s">
        <v>209</v>
      </c>
      <c r="AU3064" s="6" t="str">
        <f>HYPERLINK("http://catalog.hathitrust.org/Record/002865613","HathiTrust Record")</f>
        <v>HathiTrust Record</v>
      </c>
      <c r="AV3064" s="6" t="str">
        <f>HYPERLINK("http://mcgill.on.worldcat.org/oclc/30139292","Catalog Record")</f>
        <v>Catalog Record</v>
      </c>
      <c r="AW3064" s="6" t="str">
        <f>HYPERLINK("http://www.worldcat.org/oclc/30139292","WorldCat Record")</f>
        <v>WorldCat Record</v>
      </c>
      <c r="AX3064" s="3" t="s">
        <v>30257</v>
      </c>
      <c r="AY3064" s="3" t="s">
        <v>30258</v>
      </c>
      <c r="AZ3064" s="3" t="s">
        <v>30259</v>
      </c>
      <c r="BA3064" s="3" t="s">
        <v>30259</v>
      </c>
      <c r="BB3064" s="3" t="s">
        <v>30260</v>
      </c>
      <c r="BC3064" s="3" t="s">
        <v>77</v>
      </c>
      <c r="BD3064" s="3" t="s">
        <v>78</v>
      </c>
      <c r="BE3064" s="3" t="s">
        <v>30261</v>
      </c>
      <c r="BF3064" s="3" t="s">
        <v>30260</v>
      </c>
      <c r="BG3064" s="3" t="s">
        <v>30262</v>
      </c>
    </row>
    <row r="3065" spans="1:59" ht="58" x14ac:dyDescent="0.35">
      <c r="A3065" s="2" t="s">
        <v>59</v>
      </c>
      <c r="B3065" s="2" t="s">
        <v>60</v>
      </c>
      <c r="C3065" s="2" t="s">
        <v>30263</v>
      </c>
      <c r="D3065" s="2" t="s">
        <v>30264</v>
      </c>
      <c r="E3065" s="2" t="s">
        <v>30265</v>
      </c>
      <c r="G3065" s="3" t="s">
        <v>65</v>
      </c>
      <c r="I3065" s="3" t="s">
        <v>65</v>
      </c>
      <c r="J3065" s="3" t="s">
        <v>209</v>
      </c>
      <c r="K3065" s="3" t="s">
        <v>66</v>
      </c>
      <c r="L3065" s="2" t="s">
        <v>29757</v>
      </c>
      <c r="M3065" s="2" t="s">
        <v>30266</v>
      </c>
      <c r="N3065" s="3" t="s">
        <v>2377</v>
      </c>
      <c r="P3065" s="3" t="s">
        <v>69</v>
      </c>
      <c r="Q3065" s="2" t="s">
        <v>30267</v>
      </c>
      <c r="R3065" s="3" t="s">
        <v>71</v>
      </c>
      <c r="S3065" s="4">
        <v>27</v>
      </c>
      <c r="T3065" s="4">
        <v>27</v>
      </c>
      <c r="U3065" s="5" t="s">
        <v>30268</v>
      </c>
      <c r="V3065" s="5" t="s">
        <v>30268</v>
      </c>
      <c r="W3065" s="5" t="s">
        <v>72</v>
      </c>
      <c r="X3065" s="5" t="s">
        <v>72</v>
      </c>
      <c r="Y3065" s="4">
        <v>227</v>
      </c>
      <c r="Z3065" s="4">
        <v>9</v>
      </c>
      <c r="AA3065" s="4">
        <v>19</v>
      </c>
      <c r="AB3065" s="4">
        <v>1</v>
      </c>
      <c r="AC3065" s="4">
        <v>3</v>
      </c>
      <c r="AD3065" s="4">
        <v>58</v>
      </c>
      <c r="AE3065" s="4">
        <v>102</v>
      </c>
      <c r="AF3065" s="4">
        <v>0</v>
      </c>
      <c r="AG3065" s="4">
        <v>1</v>
      </c>
      <c r="AH3065" s="4">
        <v>53</v>
      </c>
      <c r="AI3065" s="4">
        <v>92</v>
      </c>
      <c r="AJ3065" s="4">
        <v>5</v>
      </c>
      <c r="AK3065" s="4">
        <v>11</v>
      </c>
      <c r="AL3065" s="4">
        <v>38</v>
      </c>
      <c r="AM3065" s="4">
        <v>57</v>
      </c>
      <c r="AN3065" s="4">
        <v>0</v>
      </c>
      <c r="AO3065" s="4">
        <v>0</v>
      </c>
      <c r="AP3065" s="4">
        <v>5</v>
      </c>
      <c r="AQ3065" s="4">
        <v>12</v>
      </c>
      <c r="AR3065" s="3" t="s">
        <v>65</v>
      </c>
      <c r="AS3065" s="3" t="s">
        <v>65</v>
      </c>
      <c r="AT3065" s="3" t="s">
        <v>209</v>
      </c>
      <c r="AU3065" s="6" t="str">
        <f>HYPERLINK("http://catalog.hathitrust.org/Record/002787717","HathiTrust Record")</f>
        <v>HathiTrust Record</v>
      </c>
      <c r="AV3065" s="6" t="str">
        <f>HYPERLINK("http://mcgill.on.worldcat.org/oclc/22289237","Catalog Record")</f>
        <v>Catalog Record</v>
      </c>
      <c r="AW3065" s="6" t="str">
        <f>HYPERLINK("http://www.worldcat.org/oclc/22289237","WorldCat Record")</f>
        <v>WorldCat Record</v>
      </c>
      <c r="AX3065" s="3" t="s">
        <v>30269</v>
      </c>
      <c r="AY3065" s="3" t="s">
        <v>30270</v>
      </c>
      <c r="AZ3065" s="3" t="s">
        <v>30271</v>
      </c>
      <c r="BA3065" s="3" t="s">
        <v>30271</v>
      </c>
      <c r="BB3065" s="3" t="s">
        <v>30272</v>
      </c>
      <c r="BC3065" s="3" t="s">
        <v>77</v>
      </c>
      <c r="BD3065" s="3" t="s">
        <v>78</v>
      </c>
      <c r="BE3065" s="3" t="s">
        <v>30273</v>
      </c>
      <c r="BF3065" s="3" t="s">
        <v>30272</v>
      </c>
      <c r="BG3065" s="3" t="s">
        <v>30274</v>
      </c>
    </row>
    <row r="3066" spans="1:59" ht="58" x14ac:dyDescent="0.35">
      <c r="A3066" s="2" t="s">
        <v>59</v>
      </c>
      <c r="B3066" s="2" t="s">
        <v>60</v>
      </c>
      <c r="C3066" s="2" t="s">
        <v>30275</v>
      </c>
      <c r="D3066" s="2" t="s">
        <v>30276</v>
      </c>
      <c r="E3066" s="2" t="s">
        <v>30277</v>
      </c>
      <c r="G3066" s="3" t="s">
        <v>65</v>
      </c>
      <c r="I3066" s="3" t="s">
        <v>65</v>
      </c>
      <c r="J3066" s="3" t="s">
        <v>209</v>
      </c>
      <c r="K3066" s="3" t="s">
        <v>66</v>
      </c>
      <c r="L3066" s="2" t="s">
        <v>29757</v>
      </c>
      <c r="M3066" s="2" t="s">
        <v>30278</v>
      </c>
      <c r="N3066" s="3" t="s">
        <v>8390</v>
      </c>
      <c r="P3066" s="3" t="s">
        <v>69</v>
      </c>
      <c r="R3066" s="3" t="s">
        <v>71</v>
      </c>
      <c r="S3066" s="4">
        <v>8</v>
      </c>
      <c r="T3066" s="4">
        <v>8</v>
      </c>
      <c r="U3066" s="5" t="s">
        <v>30279</v>
      </c>
      <c r="V3066" s="5" t="s">
        <v>30279</v>
      </c>
      <c r="W3066" s="5" t="s">
        <v>72</v>
      </c>
      <c r="X3066" s="5" t="s">
        <v>72</v>
      </c>
      <c r="Y3066" s="4">
        <v>151</v>
      </c>
      <c r="Z3066" s="4">
        <v>3</v>
      </c>
      <c r="AA3066" s="4">
        <v>19</v>
      </c>
      <c r="AB3066" s="4">
        <v>1</v>
      </c>
      <c r="AC3066" s="4">
        <v>3</v>
      </c>
      <c r="AD3066" s="4">
        <v>49</v>
      </c>
      <c r="AE3066" s="4">
        <v>102</v>
      </c>
      <c r="AF3066" s="4">
        <v>0</v>
      </c>
      <c r="AG3066" s="4">
        <v>1</v>
      </c>
      <c r="AH3066" s="4">
        <v>45</v>
      </c>
      <c r="AI3066" s="4">
        <v>92</v>
      </c>
      <c r="AJ3066" s="4">
        <v>2</v>
      </c>
      <c r="AK3066" s="4">
        <v>11</v>
      </c>
      <c r="AL3066" s="4">
        <v>30</v>
      </c>
      <c r="AM3066" s="4">
        <v>57</v>
      </c>
      <c r="AN3066" s="4">
        <v>0</v>
      </c>
      <c r="AO3066" s="4">
        <v>0</v>
      </c>
      <c r="AP3066" s="4">
        <v>2</v>
      </c>
      <c r="AQ3066" s="4">
        <v>12</v>
      </c>
      <c r="AR3066" s="3" t="s">
        <v>65</v>
      </c>
      <c r="AS3066" s="3" t="s">
        <v>65</v>
      </c>
      <c r="AT3066" s="3" t="s">
        <v>65</v>
      </c>
      <c r="AU3066" s="6" t="str">
        <f>HYPERLINK("http://catalog.hathitrust.org/Record/001219779","HathiTrust Record")</f>
        <v>HathiTrust Record</v>
      </c>
      <c r="AV3066" s="6" t="str">
        <f>HYPERLINK("http://mcgill.on.worldcat.org/oclc/1843016","Catalog Record")</f>
        <v>Catalog Record</v>
      </c>
      <c r="AW3066" s="6" t="str">
        <f>HYPERLINK("http://www.worldcat.org/oclc/1843016","WorldCat Record")</f>
        <v>WorldCat Record</v>
      </c>
      <c r="AX3066" s="3" t="s">
        <v>30269</v>
      </c>
      <c r="AY3066" s="3" t="s">
        <v>30280</v>
      </c>
      <c r="AZ3066" s="3" t="s">
        <v>30281</v>
      </c>
      <c r="BA3066" s="3" t="s">
        <v>30281</v>
      </c>
      <c r="BB3066" s="3" t="s">
        <v>30282</v>
      </c>
      <c r="BC3066" s="3" t="s">
        <v>77</v>
      </c>
      <c r="BD3066" s="3" t="s">
        <v>78</v>
      </c>
      <c r="BF3066" s="3" t="s">
        <v>30282</v>
      </c>
      <c r="BG3066" s="3" t="s">
        <v>30283</v>
      </c>
    </row>
    <row r="3067" spans="1:59" ht="58" x14ac:dyDescent="0.35">
      <c r="A3067" s="2" t="s">
        <v>59</v>
      </c>
      <c r="B3067" s="2" t="s">
        <v>60</v>
      </c>
      <c r="C3067" s="2" t="s">
        <v>30284</v>
      </c>
      <c r="D3067" s="2" t="s">
        <v>30285</v>
      </c>
      <c r="E3067" s="2" t="s">
        <v>30286</v>
      </c>
      <c r="G3067" s="3" t="s">
        <v>65</v>
      </c>
      <c r="I3067" s="3" t="s">
        <v>65</v>
      </c>
      <c r="J3067" s="3" t="s">
        <v>65</v>
      </c>
      <c r="K3067" s="3" t="s">
        <v>66</v>
      </c>
      <c r="L3067" s="2" t="s">
        <v>29757</v>
      </c>
      <c r="M3067" s="2" t="s">
        <v>30287</v>
      </c>
      <c r="N3067" s="3" t="s">
        <v>5338</v>
      </c>
      <c r="O3067" s="2" t="s">
        <v>30288</v>
      </c>
      <c r="P3067" s="3" t="s">
        <v>140</v>
      </c>
      <c r="Q3067" s="2" t="s">
        <v>30289</v>
      </c>
      <c r="R3067" s="3" t="s">
        <v>71</v>
      </c>
      <c r="S3067" s="4">
        <v>11</v>
      </c>
      <c r="T3067" s="4">
        <v>11</v>
      </c>
      <c r="U3067" s="5" t="s">
        <v>8583</v>
      </c>
      <c r="V3067" s="5" t="s">
        <v>8583</v>
      </c>
      <c r="W3067" s="5" t="s">
        <v>72</v>
      </c>
      <c r="X3067" s="5" t="s">
        <v>72</v>
      </c>
      <c r="Y3067" s="4">
        <v>18</v>
      </c>
      <c r="Z3067" s="4">
        <v>3</v>
      </c>
      <c r="AA3067" s="4">
        <v>12</v>
      </c>
      <c r="AB3067" s="4">
        <v>1</v>
      </c>
      <c r="AC3067" s="4">
        <v>1</v>
      </c>
      <c r="AD3067" s="4">
        <v>6</v>
      </c>
      <c r="AE3067" s="4">
        <v>63</v>
      </c>
      <c r="AF3067" s="4">
        <v>0</v>
      </c>
      <c r="AG3067" s="4">
        <v>0</v>
      </c>
      <c r="AH3067" s="4">
        <v>6</v>
      </c>
      <c r="AI3067" s="4">
        <v>58</v>
      </c>
      <c r="AJ3067" s="4">
        <v>2</v>
      </c>
      <c r="AK3067" s="4">
        <v>6</v>
      </c>
      <c r="AL3067" s="4">
        <v>2</v>
      </c>
      <c r="AM3067" s="4">
        <v>39</v>
      </c>
      <c r="AN3067" s="4">
        <v>0</v>
      </c>
      <c r="AO3067" s="4">
        <v>0</v>
      </c>
      <c r="AP3067" s="4">
        <v>2</v>
      </c>
      <c r="AQ3067" s="4">
        <v>8</v>
      </c>
      <c r="AR3067" s="3" t="s">
        <v>65</v>
      </c>
      <c r="AS3067" s="3" t="s">
        <v>65</v>
      </c>
      <c r="AT3067" s="3" t="s">
        <v>65</v>
      </c>
      <c r="AV3067" s="6" t="str">
        <f>HYPERLINK("http://mcgill.on.worldcat.org/oclc/5399367","Catalog Record")</f>
        <v>Catalog Record</v>
      </c>
      <c r="AW3067" s="6" t="str">
        <f>HYPERLINK("http://www.worldcat.org/oclc/5399367","WorldCat Record")</f>
        <v>WorldCat Record</v>
      </c>
      <c r="AX3067" s="3" t="s">
        <v>30290</v>
      </c>
      <c r="AY3067" s="3" t="s">
        <v>30291</v>
      </c>
      <c r="AZ3067" s="3" t="s">
        <v>30292</v>
      </c>
      <c r="BA3067" s="3" t="s">
        <v>30292</v>
      </c>
      <c r="BB3067" s="3" t="s">
        <v>30293</v>
      </c>
      <c r="BC3067" s="3" t="s">
        <v>77</v>
      </c>
      <c r="BD3067" s="3" t="s">
        <v>78</v>
      </c>
      <c r="BF3067" s="3" t="s">
        <v>30293</v>
      </c>
      <c r="BG3067" s="3" t="s">
        <v>30294</v>
      </c>
    </row>
    <row r="3068" spans="1:59" ht="58" x14ac:dyDescent="0.35">
      <c r="A3068" s="2" t="s">
        <v>59</v>
      </c>
      <c r="B3068" s="2" t="s">
        <v>60</v>
      </c>
      <c r="C3068" s="2" t="s">
        <v>30295</v>
      </c>
      <c r="D3068" s="2" t="s">
        <v>30296</v>
      </c>
      <c r="E3068" s="2" t="s">
        <v>30297</v>
      </c>
      <c r="G3068" s="3" t="s">
        <v>65</v>
      </c>
      <c r="I3068" s="3" t="s">
        <v>65</v>
      </c>
      <c r="J3068" s="3" t="s">
        <v>65</v>
      </c>
      <c r="K3068" s="3" t="s">
        <v>66</v>
      </c>
      <c r="L3068" s="2" t="s">
        <v>30298</v>
      </c>
      <c r="M3068" s="2" t="s">
        <v>30299</v>
      </c>
      <c r="N3068" s="3" t="s">
        <v>99</v>
      </c>
      <c r="P3068" s="3" t="s">
        <v>140</v>
      </c>
      <c r="Q3068" s="2" t="s">
        <v>30300</v>
      </c>
      <c r="R3068" s="3" t="s">
        <v>71</v>
      </c>
      <c r="S3068" s="4">
        <v>1</v>
      </c>
      <c r="T3068" s="4">
        <v>1</v>
      </c>
      <c r="U3068" s="5" t="s">
        <v>30301</v>
      </c>
      <c r="V3068" s="5" t="s">
        <v>30301</v>
      </c>
      <c r="W3068" s="5" t="s">
        <v>72</v>
      </c>
      <c r="X3068" s="5" t="s">
        <v>72</v>
      </c>
      <c r="Y3068" s="4">
        <v>2</v>
      </c>
      <c r="Z3068" s="4">
        <v>2</v>
      </c>
      <c r="AA3068" s="4">
        <v>2</v>
      </c>
      <c r="AB3068" s="4">
        <v>1</v>
      </c>
      <c r="AC3068" s="4">
        <v>1</v>
      </c>
      <c r="AD3068" s="4">
        <v>1</v>
      </c>
      <c r="AE3068" s="4">
        <v>1</v>
      </c>
      <c r="AF3068" s="4">
        <v>0</v>
      </c>
      <c r="AG3068" s="4">
        <v>0</v>
      </c>
      <c r="AH3068" s="4">
        <v>1</v>
      </c>
      <c r="AI3068" s="4">
        <v>1</v>
      </c>
      <c r="AJ3068" s="4">
        <v>1</v>
      </c>
      <c r="AK3068" s="4">
        <v>1</v>
      </c>
      <c r="AL3068" s="4">
        <v>0</v>
      </c>
      <c r="AM3068" s="4">
        <v>0</v>
      </c>
      <c r="AN3068" s="4">
        <v>0</v>
      </c>
      <c r="AO3068" s="4">
        <v>0</v>
      </c>
      <c r="AP3068" s="4">
        <v>1</v>
      </c>
      <c r="AQ3068" s="4">
        <v>1</v>
      </c>
      <c r="AR3068" s="3" t="s">
        <v>65</v>
      </c>
      <c r="AS3068" s="3" t="s">
        <v>65</v>
      </c>
      <c r="AT3068" s="3" t="s">
        <v>65</v>
      </c>
      <c r="AV3068" s="6" t="str">
        <f>HYPERLINK("http://mcgill.on.worldcat.org/oclc/742050654","Catalog Record")</f>
        <v>Catalog Record</v>
      </c>
      <c r="AW3068" s="6" t="str">
        <f>HYPERLINK("http://www.worldcat.org/oclc/742050654","WorldCat Record")</f>
        <v>WorldCat Record</v>
      </c>
      <c r="AX3068" s="3" t="s">
        <v>30302</v>
      </c>
      <c r="AY3068" s="3" t="s">
        <v>30303</v>
      </c>
      <c r="AZ3068" s="3" t="s">
        <v>30304</v>
      </c>
      <c r="BA3068" s="3" t="s">
        <v>30304</v>
      </c>
      <c r="BB3068" s="3" t="s">
        <v>30305</v>
      </c>
      <c r="BC3068" s="3" t="s">
        <v>77</v>
      </c>
      <c r="BD3068" s="3" t="s">
        <v>78</v>
      </c>
      <c r="BE3068" s="3" t="s">
        <v>30306</v>
      </c>
      <c r="BF3068" s="3" t="s">
        <v>30305</v>
      </c>
      <c r="BG3068" s="3" t="s">
        <v>30307</v>
      </c>
    </row>
    <row r="3069" spans="1:59" ht="58" x14ac:dyDescent="0.35">
      <c r="A3069" s="2" t="s">
        <v>59</v>
      </c>
      <c r="B3069" s="2" t="s">
        <v>60</v>
      </c>
      <c r="C3069" s="2" t="s">
        <v>30308</v>
      </c>
      <c r="D3069" s="2" t="s">
        <v>30309</v>
      </c>
      <c r="E3069" s="2" t="s">
        <v>30310</v>
      </c>
      <c r="G3069" s="3" t="s">
        <v>65</v>
      </c>
      <c r="I3069" s="3" t="s">
        <v>65</v>
      </c>
      <c r="J3069" s="3" t="s">
        <v>65</v>
      </c>
      <c r="K3069" s="3" t="s">
        <v>66</v>
      </c>
      <c r="L3069" s="2" t="s">
        <v>30311</v>
      </c>
      <c r="M3069" s="2" t="s">
        <v>30312</v>
      </c>
      <c r="N3069" s="3" t="s">
        <v>113</v>
      </c>
      <c r="P3069" s="3" t="s">
        <v>69</v>
      </c>
      <c r="Q3069" s="2" t="s">
        <v>2245</v>
      </c>
      <c r="R3069" s="3" t="s">
        <v>71</v>
      </c>
      <c r="S3069" s="4">
        <v>0</v>
      </c>
      <c r="T3069" s="4">
        <v>0</v>
      </c>
      <c r="W3069" s="5" t="s">
        <v>72</v>
      </c>
      <c r="X3069" s="5" t="s">
        <v>72</v>
      </c>
      <c r="Y3069" s="4">
        <v>54</v>
      </c>
      <c r="Z3069" s="4">
        <v>7</v>
      </c>
      <c r="AA3069" s="4">
        <v>7</v>
      </c>
      <c r="AB3069" s="4">
        <v>1</v>
      </c>
      <c r="AC3069" s="4">
        <v>1</v>
      </c>
      <c r="AD3069" s="4">
        <v>34</v>
      </c>
      <c r="AE3069" s="4">
        <v>34</v>
      </c>
      <c r="AF3069" s="4">
        <v>0</v>
      </c>
      <c r="AG3069" s="4">
        <v>0</v>
      </c>
      <c r="AH3069" s="4">
        <v>33</v>
      </c>
      <c r="AI3069" s="4">
        <v>33</v>
      </c>
      <c r="AJ3069" s="4">
        <v>4</v>
      </c>
      <c r="AK3069" s="4">
        <v>4</v>
      </c>
      <c r="AL3069" s="4">
        <v>24</v>
      </c>
      <c r="AM3069" s="4">
        <v>24</v>
      </c>
      <c r="AN3069" s="4">
        <v>0</v>
      </c>
      <c r="AO3069" s="4">
        <v>0</v>
      </c>
      <c r="AP3069" s="4">
        <v>4</v>
      </c>
      <c r="AQ3069" s="4">
        <v>4</v>
      </c>
      <c r="AR3069" s="3" t="s">
        <v>65</v>
      </c>
      <c r="AS3069" s="3" t="s">
        <v>65</v>
      </c>
      <c r="AT3069" s="3" t="s">
        <v>65</v>
      </c>
      <c r="AV3069" s="6" t="str">
        <f>HYPERLINK("http://mcgill.on.worldcat.org/oclc/654771844","Catalog Record")</f>
        <v>Catalog Record</v>
      </c>
      <c r="AW3069" s="6" t="str">
        <f>HYPERLINK("http://www.worldcat.org/oclc/654771844","WorldCat Record")</f>
        <v>WorldCat Record</v>
      </c>
      <c r="AX3069" s="3" t="s">
        <v>30313</v>
      </c>
      <c r="AY3069" s="3" t="s">
        <v>30314</v>
      </c>
      <c r="AZ3069" s="3" t="s">
        <v>30315</v>
      </c>
      <c r="BA3069" s="3" t="s">
        <v>30315</v>
      </c>
      <c r="BB3069" s="3" t="s">
        <v>30316</v>
      </c>
      <c r="BC3069" s="3" t="s">
        <v>77</v>
      </c>
      <c r="BD3069" s="3" t="s">
        <v>78</v>
      </c>
      <c r="BE3069" s="3" t="s">
        <v>30317</v>
      </c>
      <c r="BF3069" s="3" t="s">
        <v>30316</v>
      </c>
      <c r="BG3069" s="3" t="s">
        <v>30318</v>
      </c>
    </row>
    <row r="3070" spans="1:59" ht="58" x14ac:dyDescent="0.35">
      <c r="A3070" s="2" t="s">
        <v>59</v>
      </c>
      <c r="B3070" s="2" t="s">
        <v>60</v>
      </c>
      <c r="C3070" s="2" t="s">
        <v>30319</v>
      </c>
      <c r="D3070" s="2" t="s">
        <v>30320</v>
      </c>
      <c r="E3070" s="2" t="s">
        <v>30321</v>
      </c>
      <c r="G3070" s="3" t="s">
        <v>65</v>
      </c>
      <c r="I3070" s="3" t="s">
        <v>65</v>
      </c>
      <c r="J3070" s="3" t="s">
        <v>65</v>
      </c>
      <c r="K3070" s="3" t="s">
        <v>66</v>
      </c>
      <c r="L3070" s="2" t="s">
        <v>30322</v>
      </c>
      <c r="M3070" s="2" t="s">
        <v>30323</v>
      </c>
      <c r="N3070" s="3" t="s">
        <v>1967</v>
      </c>
      <c r="P3070" s="3" t="s">
        <v>140</v>
      </c>
      <c r="Q3070" s="2" t="s">
        <v>30324</v>
      </c>
      <c r="R3070" s="3" t="s">
        <v>71</v>
      </c>
      <c r="S3070" s="4">
        <v>2</v>
      </c>
      <c r="T3070" s="4">
        <v>2</v>
      </c>
      <c r="U3070" s="5" t="s">
        <v>5132</v>
      </c>
      <c r="V3070" s="5" t="s">
        <v>5132</v>
      </c>
      <c r="W3070" s="5" t="s">
        <v>72</v>
      </c>
      <c r="X3070" s="5" t="s">
        <v>72</v>
      </c>
      <c r="Y3070" s="4">
        <v>55</v>
      </c>
      <c r="Z3070" s="4">
        <v>6</v>
      </c>
      <c r="AA3070" s="4">
        <v>6</v>
      </c>
      <c r="AB3070" s="4">
        <v>2</v>
      </c>
      <c r="AC3070" s="4">
        <v>2</v>
      </c>
      <c r="AD3070" s="4">
        <v>39</v>
      </c>
      <c r="AE3070" s="4">
        <v>39</v>
      </c>
      <c r="AF3070" s="4">
        <v>1</v>
      </c>
      <c r="AG3070" s="4">
        <v>1</v>
      </c>
      <c r="AH3070" s="4">
        <v>37</v>
      </c>
      <c r="AI3070" s="4">
        <v>37</v>
      </c>
      <c r="AJ3070" s="4">
        <v>3</v>
      </c>
      <c r="AK3070" s="4">
        <v>3</v>
      </c>
      <c r="AL3070" s="4">
        <v>27</v>
      </c>
      <c r="AM3070" s="4">
        <v>27</v>
      </c>
      <c r="AN3070" s="4">
        <v>0</v>
      </c>
      <c r="AO3070" s="4">
        <v>0</v>
      </c>
      <c r="AP3070" s="4">
        <v>3</v>
      </c>
      <c r="AQ3070" s="4">
        <v>3</v>
      </c>
      <c r="AR3070" s="3" t="s">
        <v>65</v>
      </c>
      <c r="AS3070" s="3" t="s">
        <v>65</v>
      </c>
      <c r="AT3070" s="3" t="s">
        <v>209</v>
      </c>
      <c r="AU3070" s="6" t="str">
        <f>HYPERLINK("http://catalog.hathitrust.org/Record/004357816","HathiTrust Record")</f>
        <v>HathiTrust Record</v>
      </c>
      <c r="AV3070" s="6" t="str">
        <f>HYPERLINK("http://mcgill.on.worldcat.org/oclc/54392850","Catalog Record")</f>
        <v>Catalog Record</v>
      </c>
      <c r="AW3070" s="6" t="str">
        <f>HYPERLINK("http://www.worldcat.org/oclc/54392850","WorldCat Record")</f>
        <v>WorldCat Record</v>
      </c>
      <c r="AX3070" s="3" t="s">
        <v>30325</v>
      </c>
      <c r="AY3070" s="3" t="s">
        <v>30326</v>
      </c>
      <c r="AZ3070" s="3" t="s">
        <v>30327</v>
      </c>
      <c r="BA3070" s="3" t="s">
        <v>30327</v>
      </c>
      <c r="BB3070" s="3" t="s">
        <v>30328</v>
      </c>
      <c r="BC3070" s="3" t="s">
        <v>77</v>
      </c>
      <c r="BD3070" s="3" t="s">
        <v>78</v>
      </c>
      <c r="BE3070" s="3" t="s">
        <v>30329</v>
      </c>
      <c r="BF3070" s="3" t="s">
        <v>30328</v>
      </c>
      <c r="BG3070" s="3" t="s">
        <v>30330</v>
      </c>
    </row>
    <row r="3071" spans="1:59" ht="58" x14ac:dyDescent="0.35">
      <c r="A3071" s="2" t="s">
        <v>59</v>
      </c>
      <c r="B3071" s="2" t="s">
        <v>60</v>
      </c>
      <c r="C3071" s="2" t="s">
        <v>30331</v>
      </c>
      <c r="D3071" s="2" t="s">
        <v>30332</v>
      </c>
      <c r="E3071" s="2" t="s">
        <v>30333</v>
      </c>
      <c r="G3071" s="3" t="s">
        <v>65</v>
      </c>
      <c r="I3071" s="3" t="s">
        <v>65</v>
      </c>
      <c r="J3071" s="3" t="s">
        <v>65</v>
      </c>
      <c r="K3071" s="3" t="s">
        <v>66</v>
      </c>
      <c r="L3071" s="2" t="s">
        <v>30334</v>
      </c>
      <c r="M3071" s="2" t="s">
        <v>30335</v>
      </c>
      <c r="N3071" s="3" t="s">
        <v>188</v>
      </c>
      <c r="O3071" s="2" t="s">
        <v>235</v>
      </c>
      <c r="P3071" s="3" t="s">
        <v>140</v>
      </c>
      <c r="R3071" s="3" t="s">
        <v>71</v>
      </c>
      <c r="S3071" s="4">
        <v>1</v>
      </c>
      <c r="T3071" s="4">
        <v>1</v>
      </c>
      <c r="U3071" s="5" t="s">
        <v>1211</v>
      </c>
      <c r="V3071" s="5" t="s">
        <v>1211</v>
      </c>
      <c r="W3071" s="5" t="s">
        <v>72</v>
      </c>
      <c r="X3071" s="5" t="s">
        <v>72</v>
      </c>
      <c r="Y3071" s="4">
        <v>43</v>
      </c>
      <c r="Z3071" s="4">
        <v>2</v>
      </c>
      <c r="AA3071" s="4">
        <v>2</v>
      </c>
      <c r="AB3071" s="4">
        <v>1</v>
      </c>
      <c r="AC3071" s="4">
        <v>1</v>
      </c>
      <c r="AD3071" s="4">
        <v>34</v>
      </c>
      <c r="AE3071" s="4">
        <v>34</v>
      </c>
      <c r="AF3071" s="4">
        <v>0</v>
      </c>
      <c r="AG3071" s="4">
        <v>0</v>
      </c>
      <c r="AH3071" s="4">
        <v>33</v>
      </c>
      <c r="AI3071" s="4">
        <v>33</v>
      </c>
      <c r="AJ3071" s="4">
        <v>1</v>
      </c>
      <c r="AK3071" s="4">
        <v>1</v>
      </c>
      <c r="AL3071" s="4">
        <v>25</v>
      </c>
      <c r="AM3071" s="4">
        <v>25</v>
      </c>
      <c r="AN3071" s="4">
        <v>0</v>
      </c>
      <c r="AO3071" s="4">
        <v>0</v>
      </c>
      <c r="AP3071" s="4">
        <v>1</v>
      </c>
      <c r="AQ3071" s="4">
        <v>1</v>
      </c>
      <c r="AR3071" s="3" t="s">
        <v>65</v>
      </c>
      <c r="AS3071" s="3" t="s">
        <v>65</v>
      </c>
      <c r="AT3071" s="3" t="s">
        <v>65</v>
      </c>
      <c r="AV3071" s="6" t="str">
        <f>HYPERLINK("http://mcgill.on.worldcat.org/oclc/989906291","Catalog Record")</f>
        <v>Catalog Record</v>
      </c>
      <c r="AW3071" s="6" t="str">
        <f>HYPERLINK("http://www.worldcat.org/oclc/989906291","WorldCat Record")</f>
        <v>WorldCat Record</v>
      </c>
      <c r="AX3071" s="3" t="s">
        <v>30336</v>
      </c>
      <c r="AY3071" s="3" t="s">
        <v>30337</v>
      </c>
      <c r="AZ3071" s="3" t="s">
        <v>30338</v>
      </c>
      <c r="BA3071" s="3" t="s">
        <v>30338</v>
      </c>
      <c r="BB3071" s="3" t="s">
        <v>30339</v>
      </c>
      <c r="BC3071" s="3" t="s">
        <v>77</v>
      </c>
      <c r="BD3071" s="3" t="s">
        <v>78</v>
      </c>
      <c r="BE3071" s="3" t="s">
        <v>30340</v>
      </c>
      <c r="BF3071" s="3" t="s">
        <v>30339</v>
      </c>
      <c r="BG3071" s="3" t="s">
        <v>30341</v>
      </c>
    </row>
    <row r="3072" spans="1:59" ht="72.5" x14ac:dyDescent="0.35">
      <c r="A3072" s="2" t="s">
        <v>59</v>
      </c>
      <c r="B3072" s="2" t="s">
        <v>60</v>
      </c>
      <c r="C3072" s="2" t="s">
        <v>30342</v>
      </c>
      <c r="D3072" s="2" t="s">
        <v>30343</v>
      </c>
      <c r="E3072" s="2" t="s">
        <v>30344</v>
      </c>
      <c r="G3072" s="3" t="s">
        <v>65</v>
      </c>
      <c r="I3072" s="3" t="s">
        <v>65</v>
      </c>
      <c r="J3072" s="3" t="s">
        <v>65</v>
      </c>
      <c r="K3072" s="3" t="s">
        <v>66</v>
      </c>
      <c r="M3072" s="2" t="s">
        <v>30345</v>
      </c>
      <c r="N3072" s="3" t="s">
        <v>863</v>
      </c>
      <c r="O3072" s="2" t="s">
        <v>8201</v>
      </c>
      <c r="P3072" s="3" t="s">
        <v>140</v>
      </c>
      <c r="Q3072" s="2" t="s">
        <v>7116</v>
      </c>
      <c r="R3072" s="3" t="s">
        <v>71</v>
      </c>
      <c r="S3072" s="4">
        <v>4</v>
      </c>
      <c r="T3072" s="4">
        <v>4</v>
      </c>
      <c r="U3072" s="5" t="s">
        <v>8657</v>
      </c>
      <c r="V3072" s="5" t="s">
        <v>8657</v>
      </c>
      <c r="W3072" s="5" t="s">
        <v>72</v>
      </c>
      <c r="X3072" s="5" t="s">
        <v>72</v>
      </c>
      <c r="Y3072" s="4">
        <v>83</v>
      </c>
      <c r="Z3072" s="4">
        <v>5</v>
      </c>
      <c r="AA3072" s="4">
        <v>5</v>
      </c>
      <c r="AB3072" s="4">
        <v>2</v>
      </c>
      <c r="AC3072" s="4">
        <v>2</v>
      </c>
      <c r="AD3072" s="4">
        <v>42</v>
      </c>
      <c r="AE3072" s="4">
        <v>42</v>
      </c>
      <c r="AF3072" s="4">
        <v>1</v>
      </c>
      <c r="AG3072" s="4">
        <v>1</v>
      </c>
      <c r="AH3072" s="4">
        <v>40</v>
      </c>
      <c r="AI3072" s="4">
        <v>40</v>
      </c>
      <c r="AJ3072" s="4">
        <v>3</v>
      </c>
      <c r="AK3072" s="4">
        <v>3</v>
      </c>
      <c r="AL3072" s="4">
        <v>32</v>
      </c>
      <c r="AM3072" s="4">
        <v>32</v>
      </c>
      <c r="AN3072" s="4">
        <v>0</v>
      </c>
      <c r="AO3072" s="4">
        <v>0</v>
      </c>
      <c r="AP3072" s="4">
        <v>3</v>
      </c>
      <c r="AQ3072" s="4">
        <v>3</v>
      </c>
      <c r="AR3072" s="3" t="s">
        <v>65</v>
      </c>
      <c r="AS3072" s="3" t="s">
        <v>65</v>
      </c>
      <c r="AT3072" s="3" t="s">
        <v>209</v>
      </c>
      <c r="AU3072" s="6" t="str">
        <f>HYPERLINK("http://catalog.hathitrust.org/Record/002795031","HathiTrust Record")</f>
        <v>HathiTrust Record</v>
      </c>
      <c r="AV3072" s="6" t="str">
        <f>HYPERLINK("http://mcgill.on.worldcat.org/oclc/27856398","Catalog Record")</f>
        <v>Catalog Record</v>
      </c>
      <c r="AW3072" s="6" t="str">
        <f>HYPERLINK("http://www.worldcat.org/oclc/27856398","WorldCat Record")</f>
        <v>WorldCat Record</v>
      </c>
      <c r="AX3072" s="3" t="s">
        <v>30346</v>
      </c>
      <c r="AY3072" s="3" t="s">
        <v>30347</v>
      </c>
      <c r="AZ3072" s="3" t="s">
        <v>30348</v>
      </c>
      <c r="BA3072" s="3" t="s">
        <v>30348</v>
      </c>
      <c r="BB3072" s="3" t="s">
        <v>30349</v>
      </c>
      <c r="BC3072" s="3" t="s">
        <v>77</v>
      </c>
      <c r="BD3072" s="3" t="s">
        <v>78</v>
      </c>
      <c r="BE3072" s="3" t="s">
        <v>30350</v>
      </c>
      <c r="BF3072" s="3" t="s">
        <v>30349</v>
      </c>
      <c r="BG3072" s="3" t="s">
        <v>30351</v>
      </c>
    </row>
    <row r="3073" spans="1:59" ht="72.5" x14ac:dyDescent="0.35">
      <c r="A3073" s="2" t="s">
        <v>59</v>
      </c>
      <c r="B3073" s="2" t="s">
        <v>60</v>
      </c>
      <c r="C3073" s="2" t="s">
        <v>30352</v>
      </c>
      <c r="D3073" s="2" t="s">
        <v>30353</v>
      </c>
      <c r="E3073" s="2" t="s">
        <v>30354</v>
      </c>
      <c r="G3073" s="3" t="s">
        <v>65</v>
      </c>
      <c r="I3073" s="3" t="s">
        <v>65</v>
      </c>
      <c r="J3073" s="3" t="s">
        <v>65</v>
      </c>
      <c r="K3073" s="3" t="s">
        <v>66</v>
      </c>
      <c r="L3073" s="2" t="s">
        <v>30355</v>
      </c>
      <c r="M3073" s="2" t="s">
        <v>18701</v>
      </c>
      <c r="N3073" s="3" t="s">
        <v>113</v>
      </c>
      <c r="O3073" s="2" t="s">
        <v>365</v>
      </c>
      <c r="P3073" s="3" t="s">
        <v>140</v>
      </c>
      <c r="Q3073" s="2" t="s">
        <v>3947</v>
      </c>
      <c r="R3073" s="3" t="s">
        <v>71</v>
      </c>
      <c r="S3073" s="4">
        <v>0</v>
      </c>
      <c r="T3073" s="4">
        <v>0</v>
      </c>
      <c r="W3073" s="5" t="s">
        <v>72</v>
      </c>
      <c r="X3073" s="5" t="s">
        <v>72</v>
      </c>
      <c r="Y3073" s="4">
        <v>50</v>
      </c>
      <c r="Z3073" s="4">
        <v>4</v>
      </c>
      <c r="AA3073" s="4">
        <v>4</v>
      </c>
      <c r="AB3073" s="4">
        <v>1</v>
      </c>
      <c r="AC3073" s="4">
        <v>1</v>
      </c>
      <c r="AD3073" s="4">
        <v>31</v>
      </c>
      <c r="AE3073" s="4">
        <v>31</v>
      </c>
      <c r="AF3073" s="4">
        <v>0</v>
      </c>
      <c r="AG3073" s="4">
        <v>0</v>
      </c>
      <c r="AH3073" s="4">
        <v>30</v>
      </c>
      <c r="AI3073" s="4">
        <v>30</v>
      </c>
      <c r="AJ3073" s="4">
        <v>2</v>
      </c>
      <c r="AK3073" s="4">
        <v>2</v>
      </c>
      <c r="AL3073" s="4">
        <v>22</v>
      </c>
      <c r="AM3073" s="4">
        <v>22</v>
      </c>
      <c r="AN3073" s="4">
        <v>0</v>
      </c>
      <c r="AO3073" s="4">
        <v>0</v>
      </c>
      <c r="AP3073" s="4">
        <v>2</v>
      </c>
      <c r="AQ3073" s="4">
        <v>2</v>
      </c>
      <c r="AR3073" s="3" t="s">
        <v>65</v>
      </c>
      <c r="AS3073" s="3" t="s">
        <v>65</v>
      </c>
      <c r="AT3073" s="3" t="s">
        <v>65</v>
      </c>
      <c r="AV3073" s="6" t="str">
        <f>HYPERLINK("http://mcgill.on.worldcat.org/oclc/642806321","Catalog Record")</f>
        <v>Catalog Record</v>
      </c>
      <c r="AW3073" s="6" t="str">
        <f>HYPERLINK("http://www.worldcat.org/oclc/642806321","WorldCat Record")</f>
        <v>WorldCat Record</v>
      </c>
      <c r="AX3073" s="3" t="s">
        <v>30356</v>
      </c>
      <c r="AY3073" s="3" t="s">
        <v>30357</v>
      </c>
      <c r="AZ3073" s="3" t="s">
        <v>30358</v>
      </c>
      <c r="BA3073" s="3" t="s">
        <v>30358</v>
      </c>
      <c r="BB3073" s="3" t="s">
        <v>30359</v>
      </c>
      <c r="BC3073" s="3" t="s">
        <v>77</v>
      </c>
      <c r="BD3073" s="3" t="s">
        <v>78</v>
      </c>
      <c r="BE3073" s="3" t="s">
        <v>30360</v>
      </c>
      <c r="BF3073" s="3" t="s">
        <v>30359</v>
      </c>
      <c r="BG3073" s="3" t="s">
        <v>30361</v>
      </c>
    </row>
    <row r="3074" spans="1:59" ht="72.5" x14ac:dyDescent="0.35">
      <c r="A3074" s="2" t="s">
        <v>59</v>
      </c>
      <c r="B3074" s="2" t="s">
        <v>60</v>
      </c>
      <c r="C3074" s="2" t="s">
        <v>30362</v>
      </c>
      <c r="D3074" s="2" t="s">
        <v>30363</v>
      </c>
      <c r="E3074" s="2" t="s">
        <v>30364</v>
      </c>
      <c r="G3074" s="3" t="s">
        <v>65</v>
      </c>
      <c r="I3074" s="3" t="s">
        <v>65</v>
      </c>
      <c r="J3074" s="3" t="s">
        <v>65</v>
      </c>
      <c r="K3074" s="3" t="s">
        <v>66</v>
      </c>
      <c r="L3074" s="2" t="s">
        <v>30365</v>
      </c>
      <c r="M3074" s="2" t="s">
        <v>30366</v>
      </c>
      <c r="N3074" s="3" t="s">
        <v>113</v>
      </c>
      <c r="O3074" s="2" t="s">
        <v>365</v>
      </c>
      <c r="P3074" s="3" t="s">
        <v>140</v>
      </c>
      <c r="Q3074" s="2" t="s">
        <v>1777</v>
      </c>
      <c r="R3074" s="3" t="s">
        <v>71</v>
      </c>
      <c r="S3074" s="4">
        <v>1</v>
      </c>
      <c r="T3074" s="4">
        <v>1</v>
      </c>
      <c r="U3074" s="5" t="s">
        <v>1211</v>
      </c>
      <c r="V3074" s="5" t="s">
        <v>1211</v>
      </c>
      <c r="W3074" s="5" t="s">
        <v>72</v>
      </c>
      <c r="X3074" s="5" t="s">
        <v>72</v>
      </c>
      <c r="Y3074" s="4">
        <v>45</v>
      </c>
      <c r="Z3074" s="4">
        <v>5</v>
      </c>
      <c r="AA3074" s="4">
        <v>5</v>
      </c>
      <c r="AB3074" s="4">
        <v>1</v>
      </c>
      <c r="AC3074" s="4">
        <v>1</v>
      </c>
      <c r="AD3074" s="4">
        <v>34</v>
      </c>
      <c r="AE3074" s="4">
        <v>34</v>
      </c>
      <c r="AF3074" s="4">
        <v>0</v>
      </c>
      <c r="AG3074" s="4">
        <v>0</v>
      </c>
      <c r="AH3074" s="4">
        <v>33</v>
      </c>
      <c r="AI3074" s="4">
        <v>33</v>
      </c>
      <c r="AJ3074" s="4">
        <v>2</v>
      </c>
      <c r="AK3074" s="4">
        <v>2</v>
      </c>
      <c r="AL3074" s="4">
        <v>27</v>
      </c>
      <c r="AM3074" s="4">
        <v>27</v>
      </c>
      <c r="AN3074" s="4">
        <v>0</v>
      </c>
      <c r="AO3074" s="4">
        <v>0</v>
      </c>
      <c r="AP3074" s="4">
        <v>2</v>
      </c>
      <c r="AQ3074" s="4">
        <v>2</v>
      </c>
      <c r="AR3074" s="3" t="s">
        <v>65</v>
      </c>
      <c r="AS3074" s="3" t="s">
        <v>65</v>
      </c>
      <c r="AT3074" s="3" t="s">
        <v>65</v>
      </c>
      <c r="AV3074" s="6" t="str">
        <f>HYPERLINK("http://mcgill.on.worldcat.org/oclc/690103294","Catalog Record")</f>
        <v>Catalog Record</v>
      </c>
      <c r="AW3074" s="6" t="str">
        <f>HYPERLINK("http://www.worldcat.org/oclc/690103294","WorldCat Record")</f>
        <v>WorldCat Record</v>
      </c>
      <c r="AX3074" s="3" t="s">
        <v>30367</v>
      </c>
      <c r="AY3074" s="3" t="s">
        <v>30368</v>
      </c>
      <c r="AZ3074" s="3" t="s">
        <v>30369</v>
      </c>
      <c r="BA3074" s="3" t="s">
        <v>30369</v>
      </c>
      <c r="BB3074" s="3" t="s">
        <v>30370</v>
      </c>
      <c r="BC3074" s="3" t="s">
        <v>77</v>
      </c>
      <c r="BD3074" s="3" t="s">
        <v>78</v>
      </c>
      <c r="BE3074" s="3" t="s">
        <v>30371</v>
      </c>
      <c r="BF3074" s="3" t="s">
        <v>30370</v>
      </c>
      <c r="BG3074" s="3" t="s">
        <v>30372</v>
      </c>
    </row>
    <row r="3075" spans="1:59" ht="58" x14ac:dyDescent="0.35">
      <c r="A3075" s="2" t="s">
        <v>59</v>
      </c>
      <c r="B3075" s="2" t="s">
        <v>60</v>
      </c>
      <c r="C3075" s="2" t="s">
        <v>30373</v>
      </c>
      <c r="D3075" s="2" t="s">
        <v>30374</v>
      </c>
      <c r="E3075" s="2" t="s">
        <v>30375</v>
      </c>
      <c r="G3075" s="3" t="s">
        <v>65</v>
      </c>
      <c r="I3075" s="3" t="s">
        <v>65</v>
      </c>
      <c r="J3075" s="3" t="s">
        <v>65</v>
      </c>
      <c r="K3075" s="3" t="s">
        <v>66</v>
      </c>
      <c r="L3075" s="2" t="s">
        <v>30376</v>
      </c>
      <c r="M3075" s="2" t="s">
        <v>30377</v>
      </c>
      <c r="N3075" s="3" t="s">
        <v>3385</v>
      </c>
      <c r="P3075" s="3" t="s">
        <v>140</v>
      </c>
      <c r="Q3075" s="2" t="s">
        <v>30378</v>
      </c>
      <c r="R3075" s="3" t="s">
        <v>71</v>
      </c>
      <c r="S3075" s="4">
        <v>2</v>
      </c>
      <c r="T3075" s="4">
        <v>2</v>
      </c>
      <c r="U3075" s="5" t="s">
        <v>3606</v>
      </c>
      <c r="V3075" s="5" t="s">
        <v>3606</v>
      </c>
      <c r="W3075" s="5" t="s">
        <v>72</v>
      </c>
      <c r="X3075" s="5" t="s">
        <v>72</v>
      </c>
      <c r="Y3075" s="4">
        <v>12</v>
      </c>
      <c r="Z3075" s="4">
        <v>1</v>
      </c>
      <c r="AA3075" s="4">
        <v>3</v>
      </c>
      <c r="AB3075" s="4">
        <v>1</v>
      </c>
      <c r="AC3075" s="4">
        <v>1</v>
      </c>
      <c r="AD3075" s="4">
        <v>2</v>
      </c>
      <c r="AE3075" s="4">
        <v>34</v>
      </c>
      <c r="AF3075" s="4">
        <v>0</v>
      </c>
      <c r="AG3075" s="4">
        <v>0</v>
      </c>
      <c r="AH3075" s="4">
        <v>2</v>
      </c>
      <c r="AI3075" s="4">
        <v>33</v>
      </c>
      <c r="AJ3075" s="4">
        <v>0</v>
      </c>
      <c r="AK3075" s="4">
        <v>1</v>
      </c>
      <c r="AL3075" s="4">
        <v>1</v>
      </c>
      <c r="AM3075" s="4">
        <v>29</v>
      </c>
      <c r="AN3075" s="4">
        <v>0</v>
      </c>
      <c r="AO3075" s="4">
        <v>0</v>
      </c>
      <c r="AP3075" s="4">
        <v>0</v>
      </c>
      <c r="AQ3075" s="4">
        <v>1</v>
      </c>
      <c r="AR3075" s="3" t="s">
        <v>65</v>
      </c>
      <c r="AS3075" s="3" t="s">
        <v>65</v>
      </c>
      <c r="AT3075" s="3" t="s">
        <v>209</v>
      </c>
      <c r="AU3075" s="6" t="str">
        <f>HYPERLINK("http://catalog.hathitrust.org/Record/004061900","HathiTrust Record")</f>
        <v>HathiTrust Record</v>
      </c>
      <c r="AV3075" s="6" t="str">
        <f>HYPERLINK("http://mcgill.on.worldcat.org/oclc/222794069","Catalog Record")</f>
        <v>Catalog Record</v>
      </c>
      <c r="AW3075" s="6" t="str">
        <f>HYPERLINK("http://www.worldcat.org/oclc/222794069","WorldCat Record")</f>
        <v>WorldCat Record</v>
      </c>
      <c r="AX3075" s="3" t="s">
        <v>30379</v>
      </c>
      <c r="AY3075" s="3" t="s">
        <v>30380</v>
      </c>
      <c r="AZ3075" s="3" t="s">
        <v>30381</v>
      </c>
      <c r="BA3075" s="3" t="s">
        <v>30381</v>
      </c>
      <c r="BB3075" s="3" t="s">
        <v>30382</v>
      </c>
      <c r="BC3075" s="3" t="s">
        <v>77</v>
      </c>
      <c r="BD3075" s="3" t="s">
        <v>78</v>
      </c>
      <c r="BE3075" s="3" t="s">
        <v>30383</v>
      </c>
      <c r="BF3075" s="3" t="s">
        <v>30382</v>
      </c>
      <c r="BG3075" s="3" t="s">
        <v>30384</v>
      </c>
    </row>
    <row r="3076" spans="1:59" ht="58" x14ac:dyDescent="0.35">
      <c r="A3076" s="2" t="s">
        <v>59</v>
      </c>
      <c r="B3076" s="2" t="s">
        <v>60</v>
      </c>
      <c r="C3076" s="2" t="s">
        <v>30385</v>
      </c>
      <c r="D3076" s="2" t="s">
        <v>30386</v>
      </c>
      <c r="E3076" s="2" t="s">
        <v>30387</v>
      </c>
      <c r="G3076" s="3" t="s">
        <v>65</v>
      </c>
      <c r="I3076" s="3" t="s">
        <v>65</v>
      </c>
      <c r="J3076" s="3" t="s">
        <v>65</v>
      </c>
      <c r="K3076" s="3" t="s">
        <v>66</v>
      </c>
      <c r="L3076" s="2" t="s">
        <v>30388</v>
      </c>
      <c r="M3076" s="2" t="s">
        <v>30389</v>
      </c>
      <c r="N3076" s="3" t="s">
        <v>113</v>
      </c>
      <c r="P3076" s="3" t="s">
        <v>140</v>
      </c>
      <c r="Q3076" s="2" t="s">
        <v>30390</v>
      </c>
      <c r="R3076" s="3" t="s">
        <v>71</v>
      </c>
      <c r="S3076" s="4">
        <v>0</v>
      </c>
      <c r="T3076" s="4">
        <v>0</v>
      </c>
      <c r="W3076" s="5" t="s">
        <v>72</v>
      </c>
      <c r="X3076" s="5" t="s">
        <v>72</v>
      </c>
      <c r="Y3076" s="4">
        <v>36</v>
      </c>
      <c r="Z3076" s="4">
        <v>3</v>
      </c>
      <c r="AA3076" s="4">
        <v>3</v>
      </c>
      <c r="AB3076" s="4">
        <v>1</v>
      </c>
      <c r="AC3076" s="4">
        <v>1</v>
      </c>
      <c r="AD3076" s="4">
        <v>22</v>
      </c>
      <c r="AE3076" s="4">
        <v>22</v>
      </c>
      <c r="AF3076" s="4">
        <v>0</v>
      </c>
      <c r="AG3076" s="4">
        <v>0</v>
      </c>
      <c r="AH3076" s="4">
        <v>21</v>
      </c>
      <c r="AI3076" s="4">
        <v>21</v>
      </c>
      <c r="AJ3076" s="4">
        <v>1</v>
      </c>
      <c r="AK3076" s="4">
        <v>1</v>
      </c>
      <c r="AL3076" s="4">
        <v>18</v>
      </c>
      <c r="AM3076" s="4">
        <v>18</v>
      </c>
      <c r="AN3076" s="4">
        <v>0</v>
      </c>
      <c r="AO3076" s="4">
        <v>0</v>
      </c>
      <c r="AP3076" s="4">
        <v>1</v>
      </c>
      <c r="AQ3076" s="4">
        <v>1</v>
      </c>
      <c r="AR3076" s="3" t="s">
        <v>65</v>
      </c>
      <c r="AS3076" s="3" t="s">
        <v>65</v>
      </c>
      <c r="AT3076" s="3" t="s">
        <v>65</v>
      </c>
      <c r="AV3076" s="6" t="str">
        <f>HYPERLINK("http://mcgill.on.worldcat.org/oclc/664797608","Catalog Record")</f>
        <v>Catalog Record</v>
      </c>
      <c r="AW3076" s="6" t="str">
        <f>HYPERLINK("http://www.worldcat.org/oclc/664797608","WorldCat Record")</f>
        <v>WorldCat Record</v>
      </c>
      <c r="AX3076" s="3" t="s">
        <v>30391</v>
      </c>
      <c r="AY3076" s="3" t="s">
        <v>30392</v>
      </c>
      <c r="AZ3076" s="3" t="s">
        <v>30393</v>
      </c>
      <c r="BA3076" s="3" t="s">
        <v>30393</v>
      </c>
      <c r="BB3076" s="3" t="s">
        <v>30394</v>
      </c>
      <c r="BC3076" s="3" t="s">
        <v>77</v>
      </c>
      <c r="BD3076" s="3" t="s">
        <v>78</v>
      </c>
      <c r="BE3076" s="3" t="s">
        <v>30395</v>
      </c>
      <c r="BF3076" s="3" t="s">
        <v>30394</v>
      </c>
      <c r="BG3076" s="3" t="s">
        <v>30396</v>
      </c>
    </row>
    <row r="3077" spans="1:59" ht="58" x14ac:dyDescent="0.35">
      <c r="A3077" s="2" t="s">
        <v>59</v>
      </c>
      <c r="B3077" s="2" t="s">
        <v>60</v>
      </c>
      <c r="C3077" s="2" t="s">
        <v>30397</v>
      </c>
      <c r="D3077" s="2" t="s">
        <v>30398</v>
      </c>
      <c r="E3077" s="2" t="s">
        <v>30399</v>
      </c>
      <c r="G3077" s="3" t="s">
        <v>65</v>
      </c>
      <c r="I3077" s="3" t="s">
        <v>65</v>
      </c>
      <c r="J3077" s="3" t="s">
        <v>65</v>
      </c>
      <c r="K3077" s="3" t="s">
        <v>66</v>
      </c>
      <c r="M3077" s="2" t="s">
        <v>30400</v>
      </c>
      <c r="N3077" s="3" t="s">
        <v>1932</v>
      </c>
      <c r="P3077" s="3" t="s">
        <v>140</v>
      </c>
      <c r="Q3077" s="2" t="s">
        <v>30401</v>
      </c>
      <c r="R3077" s="3" t="s">
        <v>71</v>
      </c>
      <c r="S3077" s="4">
        <v>3</v>
      </c>
      <c r="T3077" s="4">
        <v>3</v>
      </c>
      <c r="U3077" s="5" t="s">
        <v>1211</v>
      </c>
      <c r="V3077" s="5" t="s">
        <v>1211</v>
      </c>
      <c r="W3077" s="5" t="s">
        <v>72</v>
      </c>
      <c r="X3077" s="5" t="s">
        <v>72</v>
      </c>
      <c r="Y3077" s="4">
        <v>86</v>
      </c>
      <c r="Z3077" s="4">
        <v>8</v>
      </c>
      <c r="AA3077" s="4">
        <v>8</v>
      </c>
      <c r="AB3077" s="4">
        <v>1</v>
      </c>
      <c r="AC3077" s="4">
        <v>1</v>
      </c>
      <c r="AD3077" s="4">
        <v>40</v>
      </c>
      <c r="AE3077" s="4">
        <v>40</v>
      </c>
      <c r="AF3077" s="4">
        <v>0</v>
      </c>
      <c r="AG3077" s="4">
        <v>0</v>
      </c>
      <c r="AH3077" s="4">
        <v>36</v>
      </c>
      <c r="AI3077" s="4">
        <v>36</v>
      </c>
      <c r="AJ3077" s="4">
        <v>4</v>
      </c>
      <c r="AK3077" s="4">
        <v>4</v>
      </c>
      <c r="AL3077" s="4">
        <v>26</v>
      </c>
      <c r="AM3077" s="4">
        <v>26</v>
      </c>
      <c r="AN3077" s="4">
        <v>0</v>
      </c>
      <c r="AO3077" s="4">
        <v>0</v>
      </c>
      <c r="AP3077" s="4">
        <v>5</v>
      </c>
      <c r="AQ3077" s="4">
        <v>5</v>
      </c>
      <c r="AR3077" s="3" t="s">
        <v>65</v>
      </c>
      <c r="AS3077" s="3" t="s">
        <v>65</v>
      </c>
      <c r="AT3077" s="3" t="s">
        <v>209</v>
      </c>
      <c r="AU3077" s="6" t="str">
        <f>HYPERLINK("http://catalog.hathitrust.org/Record/002965490","HathiTrust Record")</f>
        <v>HathiTrust Record</v>
      </c>
      <c r="AV3077" s="6" t="str">
        <f>HYPERLINK("http://mcgill.on.worldcat.org/oclc/32464718","Catalog Record")</f>
        <v>Catalog Record</v>
      </c>
      <c r="AW3077" s="6" t="str">
        <f>HYPERLINK("http://www.worldcat.org/oclc/32464718","WorldCat Record")</f>
        <v>WorldCat Record</v>
      </c>
      <c r="AX3077" s="3" t="s">
        <v>30402</v>
      </c>
      <c r="AY3077" s="3" t="s">
        <v>30403</v>
      </c>
      <c r="AZ3077" s="3" t="s">
        <v>30404</v>
      </c>
      <c r="BA3077" s="3" t="s">
        <v>30404</v>
      </c>
      <c r="BB3077" s="3" t="s">
        <v>30405</v>
      </c>
      <c r="BC3077" s="3" t="s">
        <v>77</v>
      </c>
      <c r="BD3077" s="3" t="s">
        <v>78</v>
      </c>
      <c r="BE3077" s="3" t="s">
        <v>30406</v>
      </c>
      <c r="BF3077" s="3" t="s">
        <v>30405</v>
      </c>
      <c r="BG3077" s="3" t="s">
        <v>30407</v>
      </c>
    </row>
    <row r="3078" spans="1:59" ht="58" x14ac:dyDescent="0.35">
      <c r="A3078" s="2" t="s">
        <v>59</v>
      </c>
      <c r="B3078" s="2" t="s">
        <v>60</v>
      </c>
      <c r="C3078" s="2" t="s">
        <v>30408</v>
      </c>
      <c r="D3078" s="2" t="s">
        <v>30409</v>
      </c>
      <c r="E3078" s="2" t="s">
        <v>30410</v>
      </c>
      <c r="G3078" s="3" t="s">
        <v>65</v>
      </c>
      <c r="I3078" s="3" t="s">
        <v>65</v>
      </c>
      <c r="J3078" s="3" t="s">
        <v>65</v>
      </c>
      <c r="K3078" s="3" t="s">
        <v>66</v>
      </c>
      <c r="L3078" s="2" t="s">
        <v>30411</v>
      </c>
      <c r="M3078" s="2" t="s">
        <v>30412</v>
      </c>
      <c r="N3078" s="3" t="s">
        <v>479</v>
      </c>
      <c r="P3078" s="3" t="s">
        <v>140</v>
      </c>
      <c r="Q3078" s="2" t="s">
        <v>30413</v>
      </c>
      <c r="R3078" s="3" t="s">
        <v>71</v>
      </c>
      <c r="S3078" s="4">
        <v>1</v>
      </c>
      <c r="T3078" s="4">
        <v>1</v>
      </c>
      <c r="U3078" s="5" t="s">
        <v>6020</v>
      </c>
      <c r="V3078" s="5" t="s">
        <v>6020</v>
      </c>
      <c r="W3078" s="5" t="s">
        <v>72</v>
      </c>
      <c r="X3078" s="5" t="s">
        <v>72</v>
      </c>
      <c r="Y3078" s="4">
        <v>45</v>
      </c>
      <c r="Z3078" s="4">
        <v>3</v>
      </c>
      <c r="AA3078" s="4">
        <v>3</v>
      </c>
      <c r="AB3078" s="4">
        <v>1</v>
      </c>
      <c r="AC3078" s="4">
        <v>1</v>
      </c>
      <c r="AD3078" s="4">
        <v>29</v>
      </c>
      <c r="AE3078" s="4">
        <v>29</v>
      </c>
      <c r="AF3078" s="4">
        <v>0</v>
      </c>
      <c r="AG3078" s="4">
        <v>0</v>
      </c>
      <c r="AH3078" s="4">
        <v>28</v>
      </c>
      <c r="AI3078" s="4">
        <v>28</v>
      </c>
      <c r="AJ3078" s="4">
        <v>1</v>
      </c>
      <c r="AK3078" s="4">
        <v>1</v>
      </c>
      <c r="AL3078" s="4">
        <v>22</v>
      </c>
      <c r="AM3078" s="4">
        <v>22</v>
      </c>
      <c r="AN3078" s="4">
        <v>0</v>
      </c>
      <c r="AO3078" s="4">
        <v>0</v>
      </c>
      <c r="AP3078" s="4">
        <v>1</v>
      </c>
      <c r="AQ3078" s="4">
        <v>1</v>
      </c>
      <c r="AR3078" s="3" t="s">
        <v>65</v>
      </c>
      <c r="AS3078" s="3" t="s">
        <v>65</v>
      </c>
      <c r="AT3078" s="3" t="s">
        <v>209</v>
      </c>
      <c r="AU3078" s="6" t="str">
        <f>HYPERLINK("http://catalog.hathitrust.org/Record/005803918","HathiTrust Record")</f>
        <v>HathiTrust Record</v>
      </c>
      <c r="AV3078" s="6" t="str">
        <f>HYPERLINK("http://mcgill.on.worldcat.org/oclc/228365735","Catalog Record")</f>
        <v>Catalog Record</v>
      </c>
      <c r="AW3078" s="6" t="str">
        <f>HYPERLINK("http://www.worldcat.org/oclc/228365735","WorldCat Record")</f>
        <v>WorldCat Record</v>
      </c>
      <c r="AX3078" s="3" t="s">
        <v>30414</v>
      </c>
      <c r="AY3078" s="3" t="s">
        <v>30415</v>
      </c>
      <c r="AZ3078" s="3" t="s">
        <v>30416</v>
      </c>
      <c r="BA3078" s="3" t="s">
        <v>30416</v>
      </c>
      <c r="BB3078" s="3" t="s">
        <v>30417</v>
      </c>
      <c r="BC3078" s="3" t="s">
        <v>77</v>
      </c>
      <c r="BD3078" s="3" t="s">
        <v>78</v>
      </c>
      <c r="BE3078" s="3" t="s">
        <v>30418</v>
      </c>
      <c r="BF3078" s="3" t="s">
        <v>30417</v>
      </c>
      <c r="BG3078" s="3" t="s">
        <v>30419</v>
      </c>
    </row>
    <row r="3079" spans="1:59" ht="58" x14ac:dyDescent="0.35">
      <c r="A3079" s="2" t="s">
        <v>59</v>
      </c>
      <c r="B3079" s="2" t="s">
        <v>60</v>
      </c>
      <c r="C3079" s="2" t="s">
        <v>30420</v>
      </c>
      <c r="D3079" s="2" t="s">
        <v>30421</v>
      </c>
      <c r="E3079" s="2" t="s">
        <v>30422</v>
      </c>
      <c r="G3079" s="3" t="s">
        <v>65</v>
      </c>
      <c r="I3079" s="3" t="s">
        <v>65</v>
      </c>
      <c r="J3079" s="3" t="s">
        <v>65</v>
      </c>
      <c r="K3079" s="3" t="s">
        <v>66</v>
      </c>
      <c r="L3079" s="2" t="s">
        <v>30423</v>
      </c>
      <c r="M3079" s="2" t="s">
        <v>30424</v>
      </c>
      <c r="N3079" s="3" t="s">
        <v>126</v>
      </c>
      <c r="P3079" s="3" t="s">
        <v>140</v>
      </c>
      <c r="Q3079" s="2" t="s">
        <v>30425</v>
      </c>
      <c r="R3079" s="3" t="s">
        <v>71</v>
      </c>
      <c r="S3079" s="4">
        <v>0</v>
      </c>
      <c r="T3079" s="4">
        <v>0</v>
      </c>
      <c r="W3079" s="5" t="s">
        <v>72</v>
      </c>
      <c r="X3079" s="5" t="s">
        <v>72</v>
      </c>
      <c r="Y3079" s="4">
        <v>28</v>
      </c>
      <c r="Z3079" s="4">
        <v>3</v>
      </c>
      <c r="AA3079" s="4">
        <v>3</v>
      </c>
      <c r="AB3079" s="4">
        <v>1</v>
      </c>
      <c r="AC3079" s="4">
        <v>1</v>
      </c>
      <c r="AD3079" s="4">
        <v>20</v>
      </c>
      <c r="AE3079" s="4">
        <v>20</v>
      </c>
      <c r="AF3079" s="4">
        <v>0</v>
      </c>
      <c r="AG3079" s="4">
        <v>0</v>
      </c>
      <c r="AH3079" s="4">
        <v>18</v>
      </c>
      <c r="AI3079" s="4">
        <v>18</v>
      </c>
      <c r="AJ3079" s="4">
        <v>2</v>
      </c>
      <c r="AK3079" s="4">
        <v>2</v>
      </c>
      <c r="AL3079" s="4">
        <v>13</v>
      </c>
      <c r="AM3079" s="4">
        <v>13</v>
      </c>
      <c r="AN3079" s="4">
        <v>0</v>
      </c>
      <c r="AO3079" s="4">
        <v>0</v>
      </c>
      <c r="AP3079" s="4">
        <v>2</v>
      </c>
      <c r="AQ3079" s="4">
        <v>2</v>
      </c>
      <c r="AR3079" s="3" t="s">
        <v>65</v>
      </c>
      <c r="AS3079" s="3" t="s">
        <v>65</v>
      </c>
      <c r="AT3079" s="3" t="s">
        <v>65</v>
      </c>
      <c r="AV3079" s="6" t="str">
        <f>HYPERLINK("http://mcgill.on.worldcat.org/oclc/715912386","Catalog Record")</f>
        <v>Catalog Record</v>
      </c>
      <c r="AW3079" s="6" t="str">
        <f>HYPERLINK("http://www.worldcat.org/oclc/715912386","WorldCat Record")</f>
        <v>WorldCat Record</v>
      </c>
      <c r="AX3079" s="3" t="s">
        <v>30426</v>
      </c>
      <c r="AY3079" s="3" t="s">
        <v>30427</v>
      </c>
      <c r="AZ3079" s="3" t="s">
        <v>30428</v>
      </c>
      <c r="BA3079" s="3" t="s">
        <v>30428</v>
      </c>
      <c r="BB3079" s="3" t="s">
        <v>30429</v>
      </c>
      <c r="BC3079" s="3" t="s">
        <v>77</v>
      </c>
      <c r="BD3079" s="3" t="s">
        <v>78</v>
      </c>
      <c r="BE3079" s="3" t="s">
        <v>30430</v>
      </c>
      <c r="BF3079" s="3" t="s">
        <v>30429</v>
      </c>
      <c r="BG3079" s="3" t="s">
        <v>30431</v>
      </c>
    </row>
    <row r="3080" spans="1:59" ht="58" x14ac:dyDescent="0.35">
      <c r="A3080" s="2" t="s">
        <v>59</v>
      </c>
      <c r="B3080" s="2" t="s">
        <v>60</v>
      </c>
      <c r="C3080" s="2" t="s">
        <v>30432</v>
      </c>
      <c r="D3080" s="2" t="s">
        <v>30433</v>
      </c>
      <c r="E3080" s="2" t="s">
        <v>30434</v>
      </c>
      <c r="G3080" s="3" t="s">
        <v>65</v>
      </c>
      <c r="I3080" s="3" t="s">
        <v>65</v>
      </c>
      <c r="J3080" s="3" t="s">
        <v>65</v>
      </c>
      <c r="K3080" s="3" t="s">
        <v>66</v>
      </c>
      <c r="L3080" s="2" t="s">
        <v>30435</v>
      </c>
      <c r="M3080" s="2" t="s">
        <v>30436</v>
      </c>
      <c r="N3080" s="3" t="s">
        <v>7187</v>
      </c>
      <c r="P3080" s="3" t="s">
        <v>140</v>
      </c>
      <c r="R3080" s="3" t="s">
        <v>71</v>
      </c>
      <c r="S3080" s="4">
        <v>6</v>
      </c>
      <c r="T3080" s="4">
        <v>6</v>
      </c>
      <c r="U3080" s="5" t="s">
        <v>5132</v>
      </c>
      <c r="V3080" s="5" t="s">
        <v>5132</v>
      </c>
      <c r="W3080" s="5" t="s">
        <v>72</v>
      </c>
      <c r="X3080" s="5" t="s">
        <v>72</v>
      </c>
      <c r="Y3080" s="4">
        <v>106</v>
      </c>
      <c r="Z3080" s="4">
        <v>12</v>
      </c>
      <c r="AA3080" s="4">
        <v>13</v>
      </c>
      <c r="AB3080" s="4">
        <v>2</v>
      </c>
      <c r="AC3080" s="4">
        <v>3</v>
      </c>
      <c r="AD3080" s="4">
        <v>48</v>
      </c>
      <c r="AE3080" s="4">
        <v>49</v>
      </c>
      <c r="AF3080" s="4">
        <v>1</v>
      </c>
      <c r="AG3080" s="4">
        <v>2</v>
      </c>
      <c r="AH3080" s="4">
        <v>45</v>
      </c>
      <c r="AI3080" s="4">
        <v>45</v>
      </c>
      <c r="AJ3080" s="4">
        <v>7</v>
      </c>
      <c r="AK3080" s="4">
        <v>8</v>
      </c>
      <c r="AL3080" s="4">
        <v>27</v>
      </c>
      <c r="AM3080" s="4">
        <v>27</v>
      </c>
      <c r="AN3080" s="4">
        <v>0</v>
      </c>
      <c r="AO3080" s="4">
        <v>0</v>
      </c>
      <c r="AP3080" s="4">
        <v>7</v>
      </c>
      <c r="AQ3080" s="4">
        <v>7</v>
      </c>
      <c r="AR3080" s="3" t="s">
        <v>65</v>
      </c>
      <c r="AS3080" s="3" t="s">
        <v>65</v>
      </c>
      <c r="AT3080" s="3" t="s">
        <v>209</v>
      </c>
      <c r="AU3080" s="6" t="str">
        <f>HYPERLINK("http://catalog.hathitrust.org/Record/000177531","HathiTrust Record")</f>
        <v>HathiTrust Record</v>
      </c>
      <c r="AV3080" s="6" t="str">
        <f>HYPERLINK("http://mcgill.on.worldcat.org/oclc/4033867","Catalog Record")</f>
        <v>Catalog Record</v>
      </c>
      <c r="AW3080" s="6" t="str">
        <f>HYPERLINK("http://www.worldcat.org/oclc/4033867","WorldCat Record")</f>
        <v>WorldCat Record</v>
      </c>
      <c r="AX3080" s="3" t="s">
        <v>30437</v>
      </c>
      <c r="AY3080" s="3" t="s">
        <v>30438</v>
      </c>
      <c r="AZ3080" s="3" t="s">
        <v>30439</v>
      </c>
      <c r="BA3080" s="3" t="s">
        <v>30439</v>
      </c>
      <c r="BB3080" s="3" t="s">
        <v>30440</v>
      </c>
      <c r="BC3080" s="3" t="s">
        <v>77</v>
      </c>
      <c r="BD3080" s="3" t="s">
        <v>78</v>
      </c>
      <c r="BF3080" s="3" t="s">
        <v>30440</v>
      </c>
      <c r="BG3080" s="3" t="s">
        <v>30441</v>
      </c>
    </row>
    <row r="3081" spans="1:59" ht="58" x14ac:dyDescent="0.35">
      <c r="A3081" s="2" t="s">
        <v>59</v>
      </c>
      <c r="B3081" s="2" t="s">
        <v>60</v>
      </c>
      <c r="C3081" s="2" t="s">
        <v>30442</v>
      </c>
      <c r="D3081" s="2" t="s">
        <v>30443</v>
      </c>
      <c r="E3081" s="2" t="s">
        <v>30444</v>
      </c>
      <c r="G3081" s="3" t="s">
        <v>65</v>
      </c>
      <c r="I3081" s="3" t="s">
        <v>65</v>
      </c>
      <c r="J3081" s="3" t="s">
        <v>65</v>
      </c>
      <c r="K3081" s="3" t="s">
        <v>66</v>
      </c>
      <c r="L3081" s="2" t="s">
        <v>30445</v>
      </c>
      <c r="M3081" s="2" t="s">
        <v>7139</v>
      </c>
      <c r="N3081" s="3" t="s">
        <v>126</v>
      </c>
      <c r="P3081" s="3" t="s">
        <v>140</v>
      </c>
      <c r="Q3081" s="2" t="s">
        <v>3513</v>
      </c>
      <c r="R3081" s="3" t="s">
        <v>71</v>
      </c>
      <c r="S3081" s="4">
        <v>0</v>
      </c>
      <c r="T3081" s="4">
        <v>0</v>
      </c>
      <c r="W3081" s="5" t="s">
        <v>72</v>
      </c>
      <c r="X3081" s="5" t="s">
        <v>72</v>
      </c>
      <c r="Y3081" s="4">
        <v>44</v>
      </c>
      <c r="Z3081" s="4">
        <v>6</v>
      </c>
      <c r="AA3081" s="4">
        <v>6</v>
      </c>
      <c r="AB3081" s="4">
        <v>1</v>
      </c>
      <c r="AC3081" s="4">
        <v>1</v>
      </c>
      <c r="AD3081" s="4">
        <v>31</v>
      </c>
      <c r="AE3081" s="4">
        <v>31</v>
      </c>
      <c r="AF3081" s="4">
        <v>0</v>
      </c>
      <c r="AG3081" s="4">
        <v>0</v>
      </c>
      <c r="AH3081" s="4">
        <v>30</v>
      </c>
      <c r="AI3081" s="4">
        <v>30</v>
      </c>
      <c r="AJ3081" s="4">
        <v>3</v>
      </c>
      <c r="AK3081" s="4">
        <v>3</v>
      </c>
      <c r="AL3081" s="4">
        <v>24</v>
      </c>
      <c r="AM3081" s="4">
        <v>24</v>
      </c>
      <c r="AN3081" s="4">
        <v>0</v>
      </c>
      <c r="AO3081" s="4">
        <v>0</v>
      </c>
      <c r="AP3081" s="4">
        <v>3</v>
      </c>
      <c r="AQ3081" s="4">
        <v>3</v>
      </c>
      <c r="AR3081" s="3" t="s">
        <v>65</v>
      </c>
      <c r="AS3081" s="3" t="s">
        <v>65</v>
      </c>
      <c r="AT3081" s="3" t="s">
        <v>65</v>
      </c>
      <c r="AV3081" s="6" t="str">
        <f>HYPERLINK("http://mcgill.on.worldcat.org/oclc/719413395","Catalog Record")</f>
        <v>Catalog Record</v>
      </c>
      <c r="AW3081" s="6" t="str">
        <f>HYPERLINK("http://www.worldcat.org/oclc/719413395","WorldCat Record")</f>
        <v>WorldCat Record</v>
      </c>
      <c r="AX3081" s="3" t="s">
        <v>30446</v>
      </c>
      <c r="AY3081" s="3" t="s">
        <v>30447</v>
      </c>
      <c r="AZ3081" s="3" t="s">
        <v>30448</v>
      </c>
      <c r="BA3081" s="3" t="s">
        <v>30448</v>
      </c>
      <c r="BB3081" s="3" t="s">
        <v>30449</v>
      </c>
      <c r="BC3081" s="3" t="s">
        <v>77</v>
      </c>
      <c r="BD3081" s="3" t="s">
        <v>78</v>
      </c>
      <c r="BE3081" s="3" t="s">
        <v>30450</v>
      </c>
      <c r="BF3081" s="3" t="s">
        <v>30449</v>
      </c>
      <c r="BG3081" s="3" t="s">
        <v>30451</v>
      </c>
    </row>
    <row r="3082" spans="1:59" ht="58" x14ac:dyDescent="0.35">
      <c r="A3082" s="2" t="s">
        <v>59</v>
      </c>
      <c r="B3082" s="2" t="s">
        <v>60</v>
      </c>
      <c r="C3082" s="2" t="s">
        <v>30452</v>
      </c>
      <c r="D3082" s="2" t="s">
        <v>30453</v>
      </c>
      <c r="E3082" s="2" t="s">
        <v>30454</v>
      </c>
      <c r="G3082" s="3" t="s">
        <v>65</v>
      </c>
      <c r="I3082" s="3" t="s">
        <v>65</v>
      </c>
      <c r="J3082" s="3" t="s">
        <v>65</v>
      </c>
      <c r="K3082" s="3" t="s">
        <v>66</v>
      </c>
      <c r="L3082" s="2" t="s">
        <v>30455</v>
      </c>
      <c r="M3082" s="2" t="s">
        <v>30456</v>
      </c>
      <c r="N3082" s="3" t="s">
        <v>221</v>
      </c>
      <c r="P3082" s="3" t="s">
        <v>140</v>
      </c>
      <c r="Q3082" s="2" t="s">
        <v>30457</v>
      </c>
      <c r="R3082" s="3" t="s">
        <v>71</v>
      </c>
      <c r="S3082" s="4">
        <v>4</v>
      </c>
      <c r="T3082" s="4">
        <v>4</v>
      </c>
      <c r="U3082" s="5" t="s">
        <v>8657</v>
      </c>
      <c r="V3082" s="5" t="s">
        <v>8657</v>
      </c>
      <c r="W3082" s="5" t="s">
        <v>72</v>
      </c>
      <c r="X3082" s="5" t="s">
        <v>72</v>
      </c>
      <c r="Y3082" s="4">
        <v>32</v>
      </c>
      <c r="Z3082" s="4">
        <v>1</v>
      </c>
      <c r="AA3082" s="4">
        <v>4</v>
      </c>
      <c r="AB3082" s="4">
        <v>1</v>
      </c>
      <c r="AC3082" s="4">
        <v>1</v>
      </c>
      <c r="AD3082" s="4">
        <v>21</v>
      </c>
      <c r="AE3082" s="4">
        <v>22</v>
      </c>
      <c r="AF3082" s="4">
        <v>0</v>
      </c>
      <c r="AG3082" s="4">
        <v>0</v>
      </c>
      <c r="AH3082" s="4">
        <v>20</v>
      </c>
      <c r="AI3082" s="4">
        <v>21</v>
      </c>
      <c r="AJ3082" s="4">
        <v>0</v>
      </c>
      <c r="AK3082" s="4">
        <v>1</v>
      </c>
      <c r="AL3082" s="4">
        <v>16</v>
      </c>
      <c r="AM3082" s="4">
        <v>17</v>
      </c>
      <c r="AN3082" s="4">
        <v>0</v>
      </c>
      <c r="AO3082" s="4">
        <v>0</v>
      </c>
      <c r="AP3082" s="4">
        <v>0</v>
      </c>
      <c r="AQ3082" s="4">
        <v>1</v>
      </c>
      <c r="AR3082" s="3" t="s">
        <v>65</v>
      </c>
      <c r="AS3082" s="3" t="s">
        <v>65</v>
      </c>
      <c r="AT3082" s="3" t="s">
        <v>65</v>
      </c>
      <c r="AV3082" s="6" t="str">
        <f>HYPERLINK("http://mcgill.on.worldcat.org/oclc/143593390","Catalog Record")</f>
        <v>Catalog Record</v>
      </c>
      <c r="AW3082" s="6" t="str">
        <f>HYPERLINK("http://www.worldcat.org/oclc/143593390","WorldCat Record")</f>
        <v>WorldCat Record</v>
      </c>
      <c r="AX3082" s="3" t="s">
        <v>30458</v>
      </c>
      <c r="AY3082" s="3" t="s">
        <v>30459</v>
      </c>
      <c r="AZ3082" s="3" t="s">
        <v>30460</v>
      </c>
      <c r="BA3082" s="3" t="s">
        <v>30460</v>
      </c>
      <c r="BB3082" s="3" t="s">
        <v>30461</v>
      </c>
      <c r="BC3082" s="3" t="s">
        <v>77</v>
      </c>
      <c r="BD3082" s="3" t="s">
        <v>78</v>
      </c>
      <c r="BF3082" s="3" t="s">
        <v>30461</v>
      </c>
      <c r="BG3082" s="3" t="s">
        <v>30462</v>
      </c>
    </row>
    <row r="3083" spans="1:59" ht="58" x14ac:dyDescent="0.35">
      <c r="A3083" s="2" t="s">
        <v>59</v>
      </c>
      <c r="B3083" s="2" t="s">
        <v>60</v>
      </c>
      <c r="C3083" s="2" t="s">
        <v>30463</v>
      </c>
      <c r="D3083" s="2" t="s">
        <v>30464</v>
      </c>
      <c r="E3083" s="2" t="s">
        <v>30465</v>
      </c>
      <c r="G3083" s="3" t="s">
        <v>65</v>
      </c>
      <c r="I3083" s="3" t="s">
        <v>65</v>
      </c>
      <c r="J3083" s="3" t="s">
        <v>65</v>
      </c>
      <c r="K3083" s="3" t="s">
        <v>66</v>
      </c>
      <c r="L3083" s="2" t="s">
        <v>30466</v>
      </c>
      <c r="M3083" s="2" t="s">
        <v>22505</v>
      </c>
      <c r="N3083" s="3" t="s">
        <v>113</v>
      </c>
      <c r="P3083" s="3" t="s">
        <v>140</v>
      </c>
      <c r="Q3083" s="2" t="s">
        <v>30467</v>
      </c>
      <c r="R3083" s="3" t="s">
        <v>71</v>
      </c>
      <c r="S3083" s="4">
        <v>0</v>
      </c>
      <c r="T3083" s="4">
        <v>0</v>
      </c>
      <c r="W3083" s="5" t="s">
        <v>72</v>
      </c>
      <c r="X3083" s="5" t="s">
        <v>72</v>
      </c>
      <c r="Y3083" s="4">
        <v>43</v>
      </c>
      <c r="Z3083" s="4">
        <v>5</v>
      </c>
      <c r="AA3083" s="4">
        <v>5</v>
      </c>
      <c r="AB3083" s="4">
        <v>1</v>
      </c>
      <c r="AC3083" s="4">
        <v>1</v>
      </c>
      <c r="AD3083" s="4">
        <v>32</v>
      </c>
      <c r="AE3083" s="4">
        <v>32</v>
      </c>
      <c r="AF3083" s="4">
        <v>0</v>
      </c>
      <c r="AG3083" s="4">
        <v>0</v>
      </c>
      <c r="AH3083" s="4">
        <v>31</v>
      </c>
      <c r="AI3083" s="4">
        <v>31</v>
      </c>
      <c r="AJ3083" s="4">
        <v>2</v>
      </c>
      <c r="AK3083" s="4">
        <v>2</v>
      </c>
      <c r="AL3083" s="4">
        <v>26</v>
      </c>
      <c r="AM3083" s="4">
        <v>26</v>
      </c>
      <c r="AN3083" s="4">
        <v>0</v>
      </c>
      <c r="AO3083" s="4">
        <v>0</v>
      </c>
      <c r="AP3083" s="4">
        <v>2</v>
      </c>
      <c r="AQ3083" s="4">
        <v>2</v>
      </c>
      <c r="AR3083" s="3" t="s">
        <v>65</v>
      </c>
      <c r="AS3083" s="3" t="s">
        <v>65</v>
      </c>
      <c r="AT3083" s="3" t="s">
        <v>65</v>
      </c>
      <c r="AV3083" s="6" t="str">
        <f>HYPERLINK("http://mcgill.on.worldcat.org/oclc/694058362","Catalog Record")</f>
        <v>Catalog Record</v>
      </c>
      <c r="AW3083" s="6" t="str">
        <f>HYPERLINK("http://www.worldcat.org/oclc/694058362","WorldCat Record")</f>
        <v>WorldCat Record</v>
      </c>
      <c r="AX3083" s="3" t="s">
        <v>30468</v>
      </c>
      <c r="AY3083" s="3" t="s">
        <v>30469</v>
      </c>
      <c r="AZ3083" s="3" t="s">
        <v>30470</v>
      </c>
      <c r="BA3083" s="3" t="s">
        <v>30470</v>
      </c>
      <c r="BB3083" s="3" t="s">
        <v>30471</v>
      </c>
      <c r="BC3083" s="3" t="s">
        <v>77</v>
      </c>
      <c r="BD3083" s="3" t="s">
        <v>78</v>
      </c>
      <c r="BE3083" s="3" t="s">
        <v>30472</v>
      </c>
      <c r="BF3083" s="3" t="s">
        <v>30471</v>
      </c>
      <c r="BG3083" s="3" t="s">
        <v>30473</v>
      </c>
    </row>
    <row r="3084" spans="1:59" ht="58" x14ac:dyDescent="0.35">
      <c r="A3084" s="2" t="s">
        <v>59</v>
      </c>
      <c r="B3084" s="2" t="s">
        <v>60</v>
      </c>
      <c r="C3084" s="2" t="s">
        <v>30474</v>
      </c>
      <c r="D3084" s="2" t="s">
        <v>30475</v>
      </c>
      <c r="E3084" s="2" t="s">
        <v>30476</v>
      </c>
      <c r="G3084" s="3" t="s">
        <v>65</v>
      </c>
      <c r="I3084" s="3" t="s">
        <v>65</v>
      </c>
      <c r="J3084" s="3" t="s">
        <v>65</v>
      </c>
      <c r="K3084" s="3" t="s">
        <v>66</v>
      </c>
      <c r="L3084" s="2" t="s">
        <v>30477</v>
      </c>
      <c r="M3084" s="2" t="s">
        <v>30478</v>
      </c>
      <c r="N3084" s="3" t="s">
        <v>955</v>
      </c>
      <c r="P3084" s="3" t="s">
        <v>140</v>
      </c>
      <c r="Q3084" s="2" t="s">
        <v>30479</v>
      </c>
      <c r="R3084" s="3" t="s">
        <v>71</v>
      </c>
      <c r="S3084" s="4">
        <v>9</v>
      </c>
      <c r="T3084" s="4">
        <v>9</v>
      </c>
      <c r="U3084" s="5" t="s">
        <v>865</v>
      </c>
      <c r="V3084" s="5" t="s">
        <v>865</v>
      </c>
      <c r="W3084" s="5" t="s">
        <v>72</v>
      </c>
      <c r="X3084" s="5" t="s">
        <v>72</v>
      </c>
      <c r="Y3084" s="4">
        <v>78</v>
      </c>
      <c r="Z3084" s="4">
        <v>7</v>
      </c>
      <c r="AA3084" s="4">
        <v>7</v>
      </c>
      <c r="AB3084" s="4">
        <v>1</v>
      </c>
      <c r="AC3084" s="4">
        <v>1</v>
      </c>
      <c r="AD3084" s="4">
        <v>44</v>
      </c>
      <c r="AE3084" s="4">
        <v>44</v>
      </c>
      <c r="AF3084" s="4">
        <v>0</v>
      </c>
      <c r="AG3084" s="4">
        <v>0</v>
      </c>
      <c r="AH3084" s="4">
        <v>41</v>
      </c>
      <c r="AI3084" s="4">
        <v>41</v>
      </c>
      <c r="AJ3084" s="4">
        <v>5</v>
      </c>
      <c r="AK3084" s="4">
        <v>5</v>
      </c>
      <c r="AL3084" s="4">
        <v>29</v>
      </c>
      <c r="AM3084" s="4">
        <v>29</v>
      </c>
      <c r="AN3084" s="4">
        <v>0</v>
      </c>
      <c r="AO3084" s="4">
        <v>0</v>
      </c>
      <c r="AP3084" s="4">
        <v>5</v>
      </c>
      <c r="AQ3084" s="4">
        <v>5</v>
      </c>
      <c r="AR3084" s="3" t="s">
        <v>65</v>
      </c>
      <c r="AS3084" s="3" t="s">
        <v>65</v>
      </c>
      <c r="AT3084" s="3" t="s">
        <v>65</v>
      </c>
      <c r="AV3084" s="6" t="str">
        <f>HYPERLINK("http://mcgill.on.worldcat.org/oclc/7652852","Catalog Record")</f>
        <v>Catalog Record</v>
      </c>
      <c r="AW3084" s="6" t="str">
        <f>HYPERLINK("http://www.worldcat.org/oclc/7652852","WorldCat Record")</f>
        <v>WorldCat Record</v>
      </c>
      <c r="AX3084" s="3" t="s">
        <v>30480</v>
      </c>
      <c r="AY3084" s="3" t="s">
        <v>30481</v>
      </c>
      <c r="AZ3084" s="3" t="s">
        <v>30482</v>
      </c>
      <c r="BA3084" s="3" t="s">
        <v>30482</v>
      </c>
      <c r="BB3084" s="3" t="s">
        <v>30483</v>
      </c>
      <c r="BC3084" s="3" t="s">
        <v>77</v>
      </c>
      <c r="BD3084" s="3" t="s">
        <v>78</v>
      </c>
      <c r="BF3084" s="3" t="s">
        <v>30483</v>
      </c>
      <c r="BG3084" s="3" t="s">
        <v>30484</v>
      </c>
    </row>
    <row r="3085" spans="1:59" ht="58" x14ac:dyDescent="0.35">
      <c r="A3085" s="2" t="s">
        <v>59</v>
      </c>
      <c r="B3085" s="2" t="s">
        <v>60</v>
      </c>
      <c r="C3085" s="2" t="s">
        <v>30485</v>
      </c>
      <c r="D3085" s="2" t="s">
        <v>30486</v>
      </c>
      <c r="E3085" s="2" t="s">
        <v>30487</v>
      </c>
      <c r="G3085" s="3" t="s">
        <v>65</v>
      </c>
      <c r="I3085" s="3" t="s">
        <v>65</v>
      </c>
      <c r="J3085" s="3" t="s">
        <v>65</v>
      </c>
      <c r="K3085" s="3" t="s">
        <v>66</v>
      </c>
      <c r="L3085" s="2" t="s">
        <v>30488</v>
      </c>
      <c r="M3085" s="2" t="s">
        <v>1788</v>
      </c>
      <c r="N3085" s="3" t="s">
        <v>176</v>
      </c>
      <c r="P3085" s="3" t="s">
        <v>140</v>
      </c>
      <c r="Q3085" s="2" t="s">
        <v>30489</v>
      </c>
      <c r="R3085" s="3" t="s">
        <v>71</v>
      </c>
      <c r="S3085" s="4">
        <v>0</v>
      </c>
      <c r="T3085" s="4">
        <v>0</v>
      </c>
      <c r="W3085" s="5" t="s">
        <v>72</v>
      </c>
      <c r="X3085" s="5" t="s">
        <v>72</v>
      </c>
      <c r="Y3085" s="4">
        <v>29</v>
      </c>
      <c r="Z3085" s="4">
        <v>4</v>
      </c>
      <c r="AA3085" s="4">
        <v>4</v>
      </c>
      <c r="AB3085" s="4">
        <v>1</v>
      </c>
      <c r="AC3085" s="4">
        <v>1</v>
      </c>
      <c r="AD3085" s="4">
        <v>22</v>
      </c>
      <c r="AE3085" s="4">
        <v>22</v>
      </c>
      <c r="AF3085" s="4">
        <v>0</v>
      </c>
      <c r="AG3085" s="4">
        <v>0</v>
      </c>
      <c r="AH3085" s="4">
        <v>21</v>
      </c>
      <c r="AI3085" s="4">
        <v>21</v>
      </c>
      <c r="AJ3085" s="4">
        <v>2</v>
      </c>
      <c r="AK3085" s="4">
        <v>2</v>
      </c>
      <c r="AL3085" s="4">
        <v>14</v>
      </c>
      <c r="AM3085" s="4">
        <v>14</v>
      </c>
      <c r="AN3085" s="4">
        <v>0</v>
      </c>
      <c r="AO3085" s="4">
        <v>0</v>
      </c>
      <c r="AP3085" s="4">
        <v>2</v>
      </c>
      <c r="AQ3085" s="4">
        <v>2</v>
      </c>
      <c r="AR3085" s="3" t="s">
        <v>65</v>
      </c>
      <c r="AS3085" s="3" t="s">
        <v>65</v>
      </c>
      <c r="AT3085" s="3" t="s">
        <v>65</v>
      </c>
      <c r="AV3085" s="6" t="str">
        <f>HYPERLINK("http://mcgill.on.worldcat.org/oclc/913217990","Catalog Record")</f>
        <v>Catalog Record</v>
      </c>
      <c r="AW3085" s="6" t="str">
        <f>HYPERLINK("http://www.worldcat.org/oclc/913217990","WorldCat Record")</f>
        <v>WorldCat Record</v>
      </c>
      <c r="AX3085" s="3" t="s">
        <v>30490</v>
      </c>
      <c r="AY3085" s="3" t="s">
        <v>30491</v>
      </c>
      <c r="AZ3085" s="3" t="s">
        <v>30492</v>
      </c>
      <c r="BA3085" s="3" t="s">
        <v>30492</v>
      </c>
      <c r="BB3085" s="3" t="s">
        <v>30493</v>
      </c>
      <c r="BC3085" s="3" t="s">
        <v>77</v>
      </c>
      <c r="BD3085" s="3" t="s">
        <v>78</v>
      </c>
      <c r="BE3085" s="3" t="s">
        <v>30494</v>
      </c>
      <c r="BF3085" s="3" t="s">
        <v>30493</v>
      </c>
      <c r="BG3085" s="3" t="s">
        <v>30495</v>
      </c>
    </row>
    <row r="3086" spans="1:59" ht="58" x14ac:dyDescent="0.35">
      <c r="A3086" s="2" t="s">
        <v>59</v>
      </c>
      <c r="B3086" s="2" t="s">
        <v>60</v>
      </c>
      <c r="C3086" s="2" t="s">
        <v>30496</v>
      </c>
      <c r="D3086" s="2" t="s">
        <v>30497</v>
      </c>
      <c r="E3086" s="2" t="s">
        <v>30498</v>
      </c>
      <c r="G3086" s="3" t="s">
        <v>65</v>
      </c>
      <c r="I3086" s="3" t="s">
        <v>65</v>
      </c>
      <c r="J3086" s="3" t="s">
        <v>65</v>
      </c>
      <c r="K3086" s="3" t="s">
        <v>66</v>
      </c>
      <c r="L3086" s="2" t="s">
        <v>30499</v>
      </c>
      <c r="M3086" s="2" t="s">
        <v>19901</v>
      </c>
      <c r="N3086" s="3" t="s">
        <v>139</v>
      </c>
      <c r="O3086" s="2" t="s">
        <v>365</v>
      </c>
      <c r="P3086" s="3" t="s">
        <v>140</v>
      </c>
      <c r="Q3086" s="2" t="s">
        <v>30500</v>
      </c>
      <c r="R3086" s="3" t="s">
        <v>71</v>
      </c>
      <c r="S3086" s="4">
        <v>0</v>
      </c>
      <c r="T3086" s="4">
        <v>0</v>
      </c>
      <c r="W3086" s="5" t="s">
        <v>72</v>
      </c>
      <c r="X3086" s="5" t="s">
        <v>72</v>
      </c>
      <c r="Y3086" s="4">
        <v>36</v>
      </c>
      <c r="Z3086" s="4">
        <v>5</v>
      </c>
      <c r="AA3086" s="4">
        <v>5</v>
      </c>
      <c r="AB3086" s="4">
        <v>1</v>
      </c>
      <c r="AC3086" s="4">
        <v>1</v>
      </c>
      <c r="AD3086" s="4">
        <v>25</v>
      </c>
      <c r="AE3086" s="4">
        <v>25</v>
      </c>
      <c r="AF3086" s="4">
        <v>0</v>
      </c>
      <c r="AG3086" s="4">
        <v>0</v>
      </c>
      <c r="AH3086" s="4">
        <v>24</v>
      </c>
      <c r="AI3086" s="4">
        <v>24</v>
      </c>
      <c r="AJ3086" s="4">
        <v>2</v>
      </c>
      <c r="AK3086" s="4">
        <v>2</v>
      </c>
      <c r="AL3086" s="4">
        <v>20</v>
      </c>
      <c r="AM3086" s="4">
        <v>20</v>
      </c>
      <c r="AN3086" s="4">
        <v>0</v>
      </c>
      <c r="AO3086" s="4">
        <v>0</v>
      </c>
      <c r="AP3086" s="4">
        <v>2</v>
      </c>
      <c r="AQ3086" s="4">
        <v>2</v>
      </c>
      <c r="AR3086" s="3" t="s">
        <v>65</v>
      </c>
      <c r="AS3086" s="3" t="s">
        <v>65</v>
      </c>
      <c r="AT3086" s="3" t="s">
        <v>65</v>
      </c>
      <c r="AV3086" s="6" t="str">
        <f>HYPERLINK("http://mcgill.on.worldcat.org/oclc/798053389","Catalog Record")</f>
        <v>Catalog Record</v>
      </c>
      <c r="AW3086" s="6" t="str">
        <f>HYPERLINK("http://www.worldcat.org/oclc/798053389","WorldCat Record")</f>
        <v>WorldCat Record</v>
      </c>
      <c r="AX3086" s="3" t="s">
        <v>30501</v>
      </c>
      <c r="AY3086" s="3" t="s">
        <v>30502</v>
      </c>
      <c r="AZ3086" s="3" t="s">
        <v>30503</v>
      </c>
      <c r="BA3086" s="3" t="s">
        <v>30503</v>
      </c>
      <c r="BB3086" s="3" t="s">
        <v>30504</v>
      </c>
      <c r="BC3086" s="3" t="s">
        <v>77</v>
      </c>
      <c r="BD3086" s="3" t="s">
        <v>78</v>
      </c>
      <c r="BE3086" s="3" t="s">
        <v>30505</v>
      </c>
      <c r="BF3086" s="3" t="s">
        <v>30504</v>
      </c>
      <c r="BG3086" s="3" t="s">
        <v>30506</v>
      </c>
    </row>
    <row r="3087" spans="1:59" ht="58" x14ac:dyDescent="0.35">
      <c r="A3087" s="2" t="s">
        <v>59</v>
      </c>
      <c r="B3087" s="2" t="s">
        <v>60</v>
      </c>
      <c r="C3087" s="2" t="s">
        <v>30507</v>
      </c>
      <c r="D3087" s="2" t="s">
        <v>30508</v>
      </c>
      <c r="E3087" s="2" t="s">
        <v>30509</v>
      </c>
      <c r="G3087" s="3" t="s">
        <v>65</v>
      </c>
      <c r="I3087" s="3" t="s">
        <v>65</v>
      </c>
      <c r="J3087" s="3" t="s">
        <v>65</v>
      </c>
      <c r="K3087" s="3" t="s">
        <v>66</v>
      </c>
      <c r="L3087" s="2" t="s">
        <v>30510</v>
      </c>
      <c r="M3087" s="2" t="s">
        <v>30511</v>
      </c>
      <c r="N3087" s="3" t="s">
        <v>164</v>
      </c>
      <c r="P3087" s="3" t="s">
        <v>140</v>
      </c>
      <c r="Q3087" s="2" t="s">
        <v>30512</v>
      </c>
      <c r="R3087" s="3" t="s">
        <v>71</v>
      </c>
      <c r="S3087" s="4">
        <v>0</v>
      </c>
      <c r="T3087" s="4">
        <v>0</v>
      </c>
      <c r="W3087" s="5" t="s">
        <v>72</v>
      </c>
      <c r="X3087" s="5" t="s">
        <v>72</v>
      </c>
      <c r="Y3087" s="4">
        <v>37</v>
      </c>
      <c r="Z3087" s="4">
        <v>3</v>
      </c>
      <c r="AA3087" s="4">
        <v>3</v>
      </c>
      <c r="AB3087" s="4">
        <v>1</v>
      </c>
      <c r="AC3087" s="4">
        <v>1</v>
      </c>
      <c r="AD3087" s="4">
        <v>28</v>
      </c>
      <c r="AE3087" s="4">
        <v>28</v>
      </c>
      <c r="AF3087" s="4">
        <v>0</v>
      </c>
      <c r="AG3087" s="4">
        <v>0</v>
      </c>
      <c r="AH3087" s="4">
        <v>27</v>
      </c>
      <c r="AI3087" s="4">
        <v>27</v>
      </c>
      <c r="AJ3087" s="4">
        <v>1</v>
      </c>
      <c r="AK3087" s="4">
        <v>1</v>
      </c>
      <c r="AL3087" s="4">
        <v>22</v>
      </c>
      <c r="AM3087" s="4">
        <v>22</v>
      </c>
      <c r="AN3087" s="4">
        <v>0</v>
      </c>
      <c r="AO3087" s="4">
        <v>0</v>
      </c>
      <c r="AP3087" s="4">
        <v>1</v>
      </c>
      <c r="AQ3087" s="4">
        <v>1</v>
      </c>
      <c r="AR3087" s="3" t="s">
        <v>65</v>
      </c>
      <c r="AS3087" s="3" t="s">
        <v>65</v>
      </c>
      <c r="AT3087" s="3" t="s">
        <v>65</v>
      </c>
      <c r="AV3087" s="6" t="str">
        <f>HYPERLINK("http://mcgill.on.worldcat.org/oclc/922332029","Catalog Record")</f>
        <v>Catalog Record</v>
      </c>
      <c r="AW3087" s="6" t="str">
        <f>HYPERLINK("http://www.worldcat.org/oclc/922332029","WorldCat Record")</f>
        <v>WorldCat Record</v>
      </c>
      <c r="AX3087" s="3" t="s">
        <v>30513</v>
      </c>
      <c r="AY3087" s="3" t="s">
        <v>30514</v>
      </c>
      <c r="AZ3087" s="3" t="s">
        <v>30515</v>
      </c>
      <c r="BA3087" s="3" t="s">
        <v>30515</v>
      </c>
      <c r="BB3087" s="3" t="s">
        <v>30516</v>
      </c>
      <c r="BC3087" s="3" t="s">
        <v>77</v>
      </c>
      <c r="BD3087" s="3" t="s">
        <v>78</v>
      </c>
      <c r="BE3087" s="3" t="s">
        <v>30517</v>
      </c>
      <c r="BF3087" s="3" t="s">
        <v>30516</v>
      </c>
      <c r="BG3087" s="3" t="s">
        <v>30518</v>
      </c>
    </row>
    <row r="3088" spans="1:59" ht="72.5" x14ac:dyDescent="0.35">
      <c r="A3088" s="2" t="s">
        <v>59</v>
      </c>
      <c r="B3088" s="2" t="s">
        <v>60</v>
      </c>
      <c r="C3088" s="2" t="s">
        <v>30519</v>
      </c>
      <c r="D3088" s="2" t="s">
        <v>30520</v>
      </c>
      <c r="E3088" s="2" t="s">
        <v>30521</v>
      </c>
      <c r="G3088" s="3" t="s">
        <v>65</v>
      </c>
      <c r="I3088" s="3" t="s">
        <v>65</v>
      </c>
      <c r="J3088" s="3" t="s">
        <v>65</v>
      </c>
      <c r="K3088" s="3" t="s">
        <v>66</v>
      </c>
      <c r="L3088" s="2" t="s">
        <v>30522</v>
      </c>
      <c r="M3088" s="2" t="s">
        <v>18422</v>
      </c>
      <c r="N3088" s="3" t="s">
        <v>113</v>
      </c>
      <c r="P3088" s="3" t="s">
        <v>140</v>
      </c>
      <c r="Q3088" s="2" t="s">
        <v>30523</v>
      </c>
      <c r="R3088" s="3" t="s">
        <v>71</v>
      </c>
      <c r="S3088" s="4">
        <v>0</v>
      </c>
      <c r="T3088" s="4">
        <v>0</v>
      </c>
      <c r="W3088" s="5" t="s">
        <v>72</v>
      </c>
      <c r="X3088" s="5" t="s">
        <v>72</v>
      </c>
      <c r="Y3088" s="4">
        <v>46</v>
      </c>
      <c r="Z3088" s="4">
        <v>4</v>
      </c>
      <c r="AA3088" s="4">
        <v>4</v>
      </c>
      <c r="AB3088" s="4">
        <v>1</v>
      </c>
      <c r="AC3088" s="4">
        <v>1</v>
      </c>
      <c r="AD3088" s="4">
        <v>33</v>
      </c>
      <c r="AE3088" s="4">
        <v>33</v>
      </c>
      <c r="AF3088" s="4">
        <v>0</v>
      </c>
      <c r="AG3088" s="4">
        <v>0</v>
      </c>
      <c r="AH3088" s="4">
        <v>32</v>
      </c>
      <c r="AI3088" s="4">
        <v>32</v>
      </c>
      <c r="AJ3088" s="4">
        <v>2</v>
      </c>
      <c r="AK3088" s="4">
        <v>2</v>
      </c>
      <c r="AL3088" s="4">
        <v>24</v>
      </c>
      <c r="AM3088" s="4">
        <v>24</v>
      </c>
      <c r="AN3088" s="4">
        <v>0</v>
      </c>
      <c r="AO3088" s="4">
        <v>0</v>
      </c>
      <c r="AP3088" s="4">
        <v>2</v>
      </c>
      <c r="AQ3088" s="4">
        <v>2</v>
      </c>
      <c r="AR3088" s="3" t="s">
        <v>65</v>
      </c>
      <c r="AS3088" s="3" t="s">
        <v>65</v>
      </c>
      <c r="AT3088" s="3" t="s">
        <v>65</v>
      </c>
      <c r="AV3088" s="6" t="str">
        <f>HYPERLINK("http://mcgill.on.worldcat.org/oclc/658003728","Catalog Record")</f>
        <v>Catalog Record</v>
      </c>
      <c r="AW3088" s="6" t="str">
        <f>HYPERLINK("http://www.worldcat.org/oclc/658003728","WorldCat Record")</f>
        <v>WorldCat Record</v>
      </c>
      <c r="AX3088" s="3" t="s">
        <v>30524</v>
      </c>
      <c r="AY3088" s="3" t="s">
        <v>30525</v>
      </c>
      <c r="AZ3088" s="3" t="s">
        <v>30526</v>
      </c>
      <c r="BA3088" s="3" t="s">
        <v>30526</v>
      </c>
      <c r="BB3088" s="3" t="s">
        <v>30527</v>
      </c>
      <c r="BC3088" s="3" t="s">
        <v>77</v>
      </c>
      <c r="BD3088" s="3" t="s">
        <v>78</v>
      </c>
      <c r="BE3088" s="3" t="s">
        <v>30528</v>
      </c>
      <c r="BF3088" s="3" t="s">
        <v>30527</v>
      </c>
      <c r="BG3088" s="3" t="s">
        <v>30529</v>
      </c>
    </row>
    <row r="3089" spans="1:59" ht="58" x14ac:dyDescent="0.35">
      <c r="A3089" s="2" t="s">
        <v>59</v>
      </c>
      <c r="B3089" s="2" t="s">
        <v>60</v>
      </c>
      <c r="C3089" s="2" t="s">
        <v>30530</v>
      </c>
      <c r="D3089" s="2" t="s">
        <v>30531</v>
      </c>
      <c r="E3089" s="2" t="s">
        <v>30532</v>
      </c>
      <c r="G3089" s="3" t="s">
        <v>65</v>
      </c>
      <c r="I3089" s="3" t="s">
        <v>65</v>
      </c>
      <c r="J3089" s="3" t="s">
        <v>65</v>
      </c>
      <c r="K3089" s="3" t="s">
        <v>66</v>
      </c>
      <c r="L3089" s="2" t="s">
        <v>30533</v>
      </c>
      <c r="M3089" s="2" t="s">
        <v>30534</v>
      </c>
      <c r="N3089" s="3" t="s">
        <v>247</v>
      </c>
      <c r="P3089" s="3" t="s">
        <v>140</v>
      </c>
      <c r="Q3089" s="2" t="s">
        <v>30535</v>
      </c>
      <c r="R3089" s="3" t="s">
        <v>71</v>
      </c>
      <c r="S3089" s="4">
        <v>7</v>
      </c>
      <c r="T3089" s="4">
        <v>7</v>
      </c>
      <c r="U3089" s="5" t="s">
        <v>865</v>
      </c>
      <c r="V3089" s="5" t="s">
        <v>865</v>
      </c>
      <c r="W3089" s="5" t="s">
        <v>72</v>
      </c>
      <c r="X3089" s="5" t="s">
        <v>72</v>
      </c>
      <c r="Y3089" s="4">
        <v>70</v>
      </c>
      <c r="Z3089" s="4">
        <v>5</v>
      </c>
      <c r="AA3089" s="4">
        <v>5</v>
      </c>
      <c r="AB3089" s="4">
        <v>2</v>
      </c>
      <c r="AC3089" s="4">
        <v>2</v>
      </c>
      <c r="AD3089" s="4">
        <v>35</v>
      </c>
      <c r="AE3089" s="4">
        <v>35</v>
      </c>
      <c r="AF3089" s="4">
        <v>1</v>
      </c>
      <c r="AG3089" s="4">
        <v>1</v>
      </c>
      <c r="AH3089" s="4">
        <v>33</v>
      </c>
      <c r="AI3089" s="4">
        <v>33</v>
      </c>
      <c r="AJ3089" s="4">
        <v>3</v>
      </c>
      <c r="AK3089" s="4">
        <v>3</v>
      </c>
      <c r="AL3089" s="4">
        <v>23</v>
      </c>
      <c r="AM3089" s="4">
        <v>23</v>
      </c>
      <c r="AN3089" s="4">
        <v>0</v>
      </c>
      <c r="AO3089" s="4">
        <v>0</v>
      </c>
      <c r="AP3089" s="4">
        <v>3</v>
      </c>
      <c r="AQ3089" s="4">
        <v>3</v>
      </c>
      <c r="AR3089" s="3" t="s">
        <v>65</v>
      </c>
      <c r="AS3089" s="3" t="s">
        <v>65</v>
      </c>
      <c r="AT3089" s="3" t="s">
        <v>209</v>
      </c>
      <c r="AU3089" s="6" t="str">
        <f>HYPERLINK("http://catalog.hathitrust.org/Record/002856789","HathiTrust Record")</f>
        <v>HathiTrust Record</v>
      </c>
      <c r="AV3089" s="6" t="str">
        <f>HYPERLINK("http://mcgill.on.worldcat.org/oclc/30348479","Catalog Record")</f>
        <v>Catalog Record</v>
      </c>
      <c r="AW3089" s="6" t="str">
        <f>HYPERLINK("http://www.worldcat.org/oclc/30348479","WorldCat Record")</f>
        <v>WorldCat Record</v>
      </c>
      <c r="AX3089" s="3" t="s">
        <v>30536</v>
      </c>
      <c r="AY3089" s="3" t="s">
        <v>30537</v>
      </c>
      <c r="AZ3089" s="3" t="s">
        <v>30538</v>
      </c>
      <c r="BA3089" s="3" t="s">
        <v>30538</v>
      </c>
      <c r="BB3089" s="3" t="s">
        <v>30539</v>
      </c>
      <c r="BC3089" s="3" t="s">
        <v>77</v>
      </c>
      <c r="BD3089" s="3" t="s">
        <v>78</v>
      </c>
      <c r="BF3089" s="3" t="s">
        <v>30539</v>
      </c>
      <c r="BG3089" s="3" t="s">
        <v>30540</v>
      </c>
    </row>
    <row r="3090" spans="1:59" ht="58" x14ac:dyDescent="0.35">
      <c r="A3090" s="2" t="s">
        <v>59</v>
      </c>
      <c r="B3090" s="2" t="s">
        <v>60</v>
      </c>
      <c r="C3090" s="2" t="s">
        <v>30541</v>
      </c>
      <c r="D3090" s="2" t="s">
        <v>30542</v>
      </c>
      <c r="E3090" s="2" t="s">
        <v>30543</v>
      </c>
      <c r="G3090" s="3" t="s">
        <v>65</v>
      </c>
      <c r="I3090" s="3" t="s">
        <v>209</v>
      </c>
      <c r="J3090" s="3" t="s">
        <v>65</v>
      </c>
      <c r="K3090" s="3" t="s">
        <v>66</v>
      </c>
      <c r="L3090" s="2" t="s">
        <v>30544</v>
      </c>
      <c r="M3090" s="2" t="s">
        <v>30545</v>
      </c>
      <c r="N3090" s="3" t="s">
        <v>2750</v>
      </c>
      <c r="P3090" s="3" t="s">
        <v>69</v>
      </c>
      <c r="R3090" s="3" t="s">
        <v>71</v>
      </c>
      <c r="S3090" s="4">
        <v>12</v>
      </c>
      <c r="T3090" s="4">
        <v>21</v>
      </c>
      <c r="U3090" s="5" t="s">
        <v>11520</v>
      </c>
      <c r="V3090" s="5" t="s">
        <v>11520</v>
      </c>
      <c r="W3090" s="5" t="s">
        <v>72</v>
      </c>
      <c r="X3090" s="5" t="s">
        <v>72</v>
      </c>
      <c r="Y3090" s="4">
        <v>767</v>
      </c>
      <c r="Z3090" s="4">
        <v>42</v>
      </c>
      <c r="AA3090" s="4">
        <v>42</v>
      </c>
      <c r="AB3090" s="4">
        <v>4</v>
      </c>
      <c r="AC3090" s="4">
        <v>4</v>
      </c>
      <c r="AD3090" s="4">
        <v>119</v>
      </c>
      <c r="AE3090" s="4">
        <v>119</v>
      </c>
      <c r="AF3090" s="4">
        <v>2</v>
      </c>
      <c r="AG3090" s="4">
        <v>2</v>
      </c>
      <c r="AH3090" s="4">
        <v>98</v>
      </c>
      <c r="AI3090" s="4">
        <v>98</v>
      </c>
      <c r="AJ3090" s="4">
        <v>18</v>
      </c>
      <c r="AK3090" s="4">
        <v>18</v>
      </c>
      <c r="AL3090" s="4">
        <v>54</v>
      </c>
      <c r="AM3090" s="4">
        <v>54</v>
      </c>
      <c r="AN3090" s="4">
        <v>0</v>
      </c>
      <c r="AO3090" s="4">
        <v>0</v>
      </c>
      <c r="AP3090" s="4">
        <v>28</v>
      </c>
      <c r="AQ3090" s="4">
        <v>28</v>
      </c>
      <c r="AR3090" s="3" t="s">
        <v>65</v>
      </c>
      <c r="AS3090" s="3" t="s">
        <v>65</v>
      </c>
      <c r="AT3090" s="3" t="s">
        <v>209</v>
      </c>
      <c r="AU3090" s="6" t="str">
        <f>HYPERLINK("http://catalog.hathitrust.org/Record/000043312","HathiTrust Record")</f>
        <v>HathiTrust Record</v>
      </c>
      <c r="AV3090" s="6" t="str">
        <f>HYPERLINK("http://mcgill.on.worldcat.org/oclc/1188188","Catalog Record")</f>
        <v>Catalog Record</v>
      </c>
      <c r="AW3090" s="6" t="str">
        <f>HYPERLINK("http://www.worldcat.org/oclc/1188188","WorldCat Record")</f>
        <v>WorldCat Record</v>
      </c>
      <c r="AX3090" s="3" t="s">
        <v>30546</v>
      </c>
      <c r="AY3090" s="3" t="s">
        <v>30547</v>
      </c>
      <c r="AZ3090" s="3" t="s">
        <v>30548</v>
      </c>
      <c r="BA3090" s="3" t="s">
        <v>30548</v>
      </c>
      <c r="BB3090" s="3" t="s">
        <v>30549</v>
      </c>
      <c r="BC3090" s="3" t="s">
        <v>77</v>
      </c>
      <c r="BD3090" s="3" t="s">
        <v>78</v>
      </c>
      <c r="BE3090" s="3" t="s">
        <v>30550</v>
      </c>
      <c r="BF3090" s="3" t="s">
        <v>30549</v>
      </c>
      <c r="BG3090" s="3" t="s">
        <v>30551</v>
      </c>
    </row>
    <row r="3091" spans="1:59" ht="58" x14ac:dyDescent="0.35">
      <c r="A3091" s="2" t="s">
        <v>59</v>
      </c>
      <c r="B3091" s="2" t="s">
        <v>60</v>
      </c>
      <c r="C3091" s="2" t="s">
        <v>30541</v>
      </c>
      <c r="D3091" s="2" t="s">
        <v>30542</v>
      </c>
      <c r="E3091" s="2" t="s">
        <v>30543</v>
      </c>
      <c r="G3091" s="3" t="s">
        <v>65</v>
      </c>
      <c r="I3091" s="3" t="s">
        <v>209</v>
      </c>
      <c r="J3091" s="3" t="s">
        <v>65</v>
      </c>
      <c r="K3091" s="3" t="s">
        <v>66</v>
      </c>
      <c r="L3091" s="2" t="s">
        <v>30544</v>
      </c>
      <c r="M3091" s="2" t="s">
        <v>30545</v>
      </c>
      <c r="N3091" s="3" t="s">
        <v>2750</v>
      </c>
      <c r="P3091" s="3" t="s">
        <v>69</v>
      </c>
      <c r="R3091" s="3" t="s">
        <v>71</v>
      </c>
      <c r="S3091" s="4">
        <v>9</v>
      </c>
      <c r="T3091" s="4">
        <v>21</v>
      </c>
      <c r="U3091" s="5" t="s">
        <v>30552</v>
      </c>
      <c r="V3091" s="5" t="s">
        <v>11520</v>
      </c>
      <c r="W3091" s="5" t="s">
        <v>72</v>
      </c>
      <c r="X3091" s="5" t="s">
        <v>72</v>
      </c>
      <c r="Y3091" s="4">
        <v>767</v>
      </c>
      <c r="Z3091" s="4">
        <v>42</v>
      </c>
      <c r="AA3091" s="4">
        <v>42</v>
      </c>
      <c r="AB3091" s="4">
        <v>4</v>
      </c>
      <c r="AC3091" s="4">
        <v>4</v>
      </c>
      <c r="AD3091" s="4">
        <v>119</v>
      </c>
      <c r="AE3091" s="4">
        <v>119</v>
      </c>
      <c r="AF3091" s="4">
        <v>2</v>
      </c>
      <c r="AG3091" s="4">
        <v>2</v>
      </c>
      <c r="AH3091" s="4">
        <v>98</v>
      </c>
      <c r="AI3091" s="4">
        <v>98</v>
      </c>
      <c r="AJ3091" s="4">
        <v>18</v>
      </c>
      <c r="AK3091" s="4">
        <v>18</v>
      </c>
      <c r="AL3091" s="4">
        <v>54</v>
      </c>
      <c r="AM3091" s="4">
        <v>54</v>
      </c>
      <c r="AN3091" s="4">
        <v>0</v>
      </c>
      <c r="AO3091" s="4">
        <v>0</v>
      </c>
      <c r="AP3091" s="4">
        <v>28</v>
      </c>
      <c r="AQ3091" s="4">
        <v>28</v>
      </c>
      <c r="AR3091" s="3" t="s">
        <v>65</v>
      </c>
      <c r="AS3091" s="3" t="s">
        <v>65</v>
      </c>
      <c r="AT3091" s="3" t="s">
        <v>209</v>
      </c>
      <c r="AU3091" s="6" t="str">
        <f>HYPERLINK("http://catalog.hathitrust.org/Record/000043312","HathiTrust Record")</f>
        <v>HathiTrust Record</v>
      </c>
      <c r="AV3091" s="6" t="str">
        <f>HYPERLINK("http://mcgill.on.worldcat.org/oclc/1188188","Catalog Record")</f>
        <v>Catalog Record</v>
      </c>
      <c r="AW3091" s="6" t="str">
        <f>HYPERLINK("http://www.worldcat.org/oclc/1188188","WorldCat Record")</f>
        <v>WorldCat Record</v>
      </c>
      <c r="AX3091" s="3" t="s">
        <v>30546</v>
      </c>
      <c r="AY3091" s="3" t="s">
        <v>30547</v>
      </c>
      <c r="AZ3091" s="3" t="s">
        <v>30548</v>
      </c>
      <c r="BA3091" s="3" t="s">
        <v>30548</v>
      </c>
      <c r="BB3091" s="3" t="s">
        <v>30553</v>
      </c>
      <c r="BC3091" s="3" t="s">
        <v>77</v>
      </c>
      <c r="BD3091" s="3" t="s">
        <v>78</v>
      </c>
      <c r="BE3091" s="3" t="s">
        <v>30550</v>
      </c>
      <c r="BF3091" s="3" t="s">
        <v>30553</v>
      </c>
      <c r="BG3091" s="3" t="s">
        <v>30554</v>
      </c>
    </row>
    <row r="3092" spans="1:59" ht="58" x14ac:dyDescent="0.35">
      <c r="A3092" s="2" t="s">
        <v>59</v>
      </c>
      <c r="B3092" s="2" t="s">
        <v>60</v>
      </c>
      <c r="C3092" s="2" t="s">
        <v>30555</v>
      </c>
      <c r="D3092" s="2" t="s">
        <v>30556</v>
      </c>
      <c r="E3092" s="2" t="s">
        <v>30557</v>
      </c>
      <c r="G3092" s="3" t="s">
        <v>65</v>
      </c>
      <c r="I3092" s="3" t="s">
        <v>65</v>
      </c>
      <c r="J3092" s="3" t="s">
        <v>65</v>
      </c>
      <c r="K3092" s="3" t="s">
        <v>66</v>
      </c>
      <c r="L3092" s="2" t="s">
        <v>30558</v>
      </c>
      <c r="M3092" s="2" t="s">
        <v>3487</v>
      </c>
      <c r="N3092" s="3" t="s">
        <v>113</v>
      </c>
      <c r="P3092" s="3" t="s">
        <v>140</v>
      </c>
      <c r="Q3092" s="2" t="s">
        <v>30559</v>
      </c>
      <c r="R3092" s="3" t="s">
        <v>71</v>
      </c>
      <c r="S3092" s="4">
        <v>0</v>
      </c>
      <c r="T3092" s="4">
        <v>0</v>
      </c>
      <c r="W3092" s="5" t="s">
        <v>72</v>
      </c>
      <c r="X3092" s="5" t="s">
        <v>72</v>
      </c>
      <c r="Y3092" s="4">
        <v>36</v>
      </c>
      <c r="Z3092" s="4">
        <v>4</v>
      </c>
      <c r="AA3092" s="4">
        <v>4</v>
      </c>
      <c r="AB3092" s="4">
        <v>1</v>
      </c>
      <c r="AC3092" s="4">
        <v>1</v>
      </c>
      <c r="AD3092" s="4">
        <v>24</v>
      </c>
      <c r="AE3092" s="4">
        <v>24</v>
      </c>
      <c r="AF3092" s="4">
        <v>0</v>
      </c>
      <c r="AG3092" s="4">
        <v>0</v>
      </c>
      <c r="AH3092" s="4">
        <v>24</v>
      </c>
      <c r="AI3092" s="4">
        <v>24</v>
      </c>
      <c r="AJ3092" s="4">
        <v>1</v>
      </c>
      <c r="AK3092" s="4">
        <v>1</v>
      </c>
      <c r="AL3092" s="4">
        <v>17</v>
      </c>
      <c r="AM3092" s="4">
        <v>17</v>
      </c>
      <c r="AN3092" s="4">
        <v>0</v>
      </c>
      <c r="AO3092" s="4">
        <v>0</v>
      </c>
      <c r="AP3092" s="4">
        <v>1</v>
      </c>
      <c r="AQ3092" s="4">
        <v>1</v>
      </c>
      <c r="AR3092" s="3" t="s">
        <v>65</v>
      </c>
      <c r="AS3092" s="3" t="s">
        <v>65</v>
      </c>
      <c r="AT3092" s="3" t="s">
        <v>65</v>
      </c>
      <c r="AV3092" s="6" t="str">
        <f>HYPERLINK("http://mcgill.on.worldcat.org/oclc/666218588","Catalog Record")</f>
        <v>Catalog Record</v>
      </c>
      <c r="AW3092" s="6" t="str">
        <f>HYPERLINK("http://www.worldcat.org/oclc/666218588","WorldCat Record")</f>
        <v>WorldCat Record</v>
      </c>
      <c r="AX3092" s="3" t="s">
        <v>30560</v>
      </c>
      <c r="AY3092" s="3" t="s">
        <v>30561</v>
      </c>
      <c r="AZ3092" s="3" t="s">
        <v>30562</v>
      </c>
      <c r="BA3092" s="3" t="s">
        <v>30562</v>
      </c>
      <c r="BB3092" s="3" t="s">
        <v>30563</v>
      </c>
      <c r="BC3092" s="3" t="s">
        <v>77</v>
      </c>
      <c r="BD3092" s="3" t="s">
        <v>78</v>
      </c>
      <c r="BE3092" s="3" t="s">
        <v>30564</v>
      </c>
      <c r="BF3092" s="3" t="s">
        <v>30563</v>
      </c>
      <c r="BG3092" s="3" t="s">
        <v>30565</v>
      </c>
    </row>
    <row r="3093" spans="1:59" ht="58" x14ac:dyDescent="0.35">
      <c r="A3093" s="2" t="s">
        <v>59</v>
      </c>
      <c r="B3093" s="2" t="s">
        <v>60</v>
      </c>
      <c r="C3093" s="2" t="s">
        <v>30566</v>
      </c>
      <c r="D3093" s="2" t="s">
        <v>30567</v>
      </c>
      <c r="E3093" s="2" t="s">
        <v>30568</v>
      </c>
      <c r="G3093" s="3" t="s">
        <v>65</v>
      </c>
      <c r="I3093" s="3" t="s">
        <v>65</v>
      </c>
      <c r="J3093" s="3" t="s">
        <v>65</v>
      </c>
      <c r="K3093" s="3" t="s">
        <v>66</v>
      </c>
      <c r="M3093" s="2" t="s">
        <v>30569</v>
      </c>
      <c r="N3093" s="3" t="s">
        <v>552</v>
      </c>
      <c r="P3093" s="3" t="s">
        <v>140</v>
      </c>
      <c r="Q3093" s="2" t="s">
        <v>30570</v>
      </c>
      <c r="R3093" s="3" t="s">
        <v>71</v>
      </c>
      <c r="S3093" s="4">
        <v>3</v>
      </c>
      <c r="T3093" s="4">
        <v>3</v>
      </c>
      <c r="U3093" s="5" t="s">
        <v>1211</v>
      </c>
      <c r="V3093" s="5" t="s">
        <v>1211</v>
      </c>
      <c r="W3093" s="5" t="s">
        <v>72</v>
      </c>
      <c r="X3093" s="5" t="s">
        <v>72</v>
      </c>
      <c r="Y3093" s="4">
        <v>65</v>
      </c>
      <c r="Z3093" s="4">
        <v>5</v>
      </c>
      <c r="AA3093" s="4">
        <v>5</v>
      </c>
      <c r="AB3093" s="4">
        <v>1</v>
      </c>
      <c r="AC3093" s="4">
        <v>1</v>
      </c>
      <c r="AD3093" s="4">
        <v>33</v>
      </c>
      <c r="AE3093" s="4">
        <v>33</v>
      </c>
      <c r="AF3093" s="4">
        <v>0</v>
      </c>
      <c r="AG3093" s="4">
        <v>0</v>
      </c>
      <c r="AH3093" s="4">
        <v>30</v>
      </c>
      <c r="AI3093" s="4">
        <v>30</v>
      </c>
      <c r="AJ3093" s="4">
        <v>2</v>
      </c>
      <c r="AK3093" s="4">
        <v>2</v>
      </c>
      <c r="AL3093" s="4">
        <v>25</v>
      </c>
      <c r="AM3093" s="4">
        <v>25</v>
      </c>
      <c r="AN3093" s="4">
        <v>0</v>
      </c>
      <c r="AO3093" s="4">
        <v>0</v>
      </c>
      <c r="AP3093" s="4">
        <v>3</v>
      </c>
      <c r="AQ3093" s="4">
        <v>3</v>
      </c>
      <c r="AR3093" s="3" t="s">
        <v>65</v>
      </c>
      <c r="AS3093" s="3" t="s">
        <v>65</v>
      </c>
      <c r="AT3093" s="3" t="s">
        <v>209</v>
      </c>
      <c r="AU3093" s="6" t="str">
        <f>HYPERLINK("http://catalog.hathitrust.org/Record/003962254","HathiTrust Record")</f>
        <v>HathiTrust Record</v>
      </c>
      <c r="AV3093" s="6" t="str">
        <f>HYPERLINK("http://mcgill.on.worldcat.org/oclc/38113649","Catalog Record")</f>
        <v>Catalog Record</v>
      </c>
      <c r="AW3093" s="6" t="str">
        <f>HYPERLINK("http://www.worldcat.org/oclc/38113649","WorldCat Record")</f>
        <v>WorldCat Record</v>
      </c>
      <c r="AX3093" s="3" t="s">
        <v>30571</v>
      </c>
      <c r="AY3093" s="3" t="s">
        <v>30572</v>
      </c>
      <c r="AZ3093" s="3" t="s">
        <v>30573</v>
      </c>
      <c r="BA3093" s="3" t="s">
        <v>30573</v>
      </c>
      <c r="BB3093" s="3" t="s">
        <v>30574</v>
      </c>
      <c r="BC3093" s="3" t="s">
        <v>77</v>
      </c>
      <c r="BD3093" s="3" t="s">
        <v>78</v>
      </c>
      <c r="BE3093" s="3" t="s">
        <v>30575</v>
      </c>
      <c r="BF3093" s="3" t="s">
        <v>30574</v>
      </c>
      <c r="BG3093" s="3" t="s">
        <v>30576</v>
      </c>
    </row>
    <row r="3094" spans="1:59" ht="58" x14ac:dyDescent="0.35">
      <c r="A3094" s="2" t="s">
        <v>59</v>
      </c>
      <c r="B3094" s="2" t="s">
        <v>60</v>
      </c>
      <c r="C3094" s="2" t="s">
        <v>30577</v>
      </c>
      <c r="D3094" s="2" t="s">
        <v>30578</v>
      </c>
      <c r="E3094" s="2" t="s">
        <v>30579</v>
      </c>
      <c r="G3094" s="3" t="s">
        <v>65</v>
      </c>
      <c r="I3094" s="3" t="s">
        <v>65</v>
      </c>
      <c r="J3094" s="3" t="s">
        <v>65</v>
      </c>
      <c r="K3094" s="3" t="s">
        <v>66</v>
      </c>
      <c r="L3094" s="2" t="s">
        <v>30580</v>
      </c>
      <c r="M3094" s="2" t="s">
        <v>12876</v>
      </c>
      <c r="N3094" s="3" t="s">
        <v>188</v>
      </c>
      <c r="P3094" s="3" t="s">
        <v>140</v>
      </c>
      <c r="Q3094" s="2" t="s">
        <v>30581</v>
      </c>
      <c r="R3094" s="3" t="s">
        <v>71</v>
      </c>
      <c r="S3094" s="4">
        <v>0</v>
      </c>
      <c r="T3094" s="4">
        <v>0</v>
      </c>
      <c r="W3094" s="5" t="s">
        <v>72</v>
      </c>
      <c r="X3094" s="5" t="s">
        <v>72</v>
      </c>
      <c r="Y3094" s="4">
        <v>42</v>
      </c>
      <c r="Z3094" s="4">
        <v>3</v>
      </c>
      <c r="AA3094" s="4">
        <v>3</v>
      </c>
      <c r="AB3094" s="4">
        <v>1</v>
      </c>
      <c r="AC3094" s="4">
        <v>1</v>
      </c>
      <c r="AD3094" s="4">
        <v>32</v>
      </c>
      <c r="AE3094" s="4">
        <v>32</v>
      </c>
      <c r="AF3094" s="4">
        <v>0</v>
      </c>
      <c r="AG3094" s="4">
        <v>0</v>
      </c>
      <c r="AH3094" s="4">
        <v>31</v>
      </c>
      <c r="AI3094" s="4">
        <v>31</v>
      </c>
      <c r="AJ3094" s="4">
        <v>2</v>
      </c>
      <c r="AK3094" s="4">
        <v>2</v>
      </c>
      <c r="AL3094" s="4">
        <v>23</v>
      </c>
      <c r="AM3094" s="4">
        <v>23</v>
      </c>
      <c r="AN3094" s="4">
        <v>0</v>
      </c>
      <c r="AO3094" s="4">
        <v>0</v>
      </c>
      <c r="AP3094" s="4">
        <v>2</v>
      </c>
      <c r="AQ3094" s="4">
        <v>2</v>
      </c>
      <c r="AR3094" s="3" t="s">
        <v>65</v>
      </c>
      <c r="AS3094" s="3" t="s">
        <v>65</v>
      </c>
      <c r="AT3094" s="3" t="s">
        <v>65</v>
      </c>
      <c r="AV3094" s="6" t="str">
        <f>HYPERLINK("http://mcgill.on.worldcat.org/oclc/1011552427","Catalog Record")</f>
        <v>Catalog Record</v>
      </c>
      <c r="AW3094" s="6" t="str">
        <f>HYPERLINK("http://www.worldcat.org/oclc/1011552427","WorldCat Record")</f>
        <v>WorldCat Record</v>
      </c>
      <c r="AX3094" s="3" t="s">
        <v>30582</v>
      </c>
      <c r="AY3094" s="3" t="s">
        <v>30583</v>
      </c>
      <c r="AZ3094" s="3" t="s">
        <v>30584</v>
      </c>
      <c r="BA3094" s="3" t="s">
        <v>30584</v>
      </c>
      <c r="BB3094" s="3" t="s">
        <v>30585</v>
      </c>
      <c r="BC3094" s="3" t="s">
        <v>77</v>
      </c>
      <c r="BD3094" s="3" t="s">
        <v>78</v>
      </c>
      <c r="BE3094" s="3" t="s">
        <v>30586</v>
      </c>
      <c r="BF3094" s="3" t="s">
        <v>30585</v>
      </c>
      <c r="BG3094" s="3" t="s">
        <v>30587</v>
      </c>
    </row>
    <row r="3095" spans="1:59" ht="58" x14ac:dyDescent="0.35">
      <c r="A3095" s="2" t="s">
        <v>59</v>
      </c>
      <c r="B3095" s="2" t="s">
        <v>60</v>
      </c>
      <c r="C3095" s="2" t="s">
        <v>30588</v>
      </c>
      <c r="D3095" s="2" t="s">
        <v>30589</v>
      </c>
      <c r="E3095" s="2" t="s">
        <v>30590</v>
      </c>
      <c r="G3095" s="3" t="s">
        <v>65</v>
      </c>
      <c r="I3095" s="3" t="s">
        <v>65</v>
      </c>
      <c r="J3095" s="3" t="s">
        <v>65</v>
      </c>
      <c r="K3095" s="3" t="s">
        <v>66</v>
      </c>
      <c r="L3095" s="2" t="s">
        <v>30591</v>
      </c>
      <c r="M3095" s="2" t="s">
        <v>30592</v>
      </c>
      <c r="N3095" s="3" t="s">
        <v>1173</v>
      </c>
      <c r="P3095" s="3" t="s">
        <v>140</v>
      </c>
      <c r="Q3095" s="2" t="s">
        <v>30593</v>
      </c>
      <c r="R3095" s="3" t="s">
        <v>71</v>
      </c>
      <c r="S3095" s="4">
        <v>7</v>
      </c>
      <c r="T3095" s="4">
        <v>7</v>
      </c>
      <c r="U3095" s="5" t="s">
        <v>785</v>
      </c>
      <c r="V3095" s="5" t="s">
        <v>785</v>
      </c>
      <c r="W3095" s="5" t="s">
        <v>72</v>
      </c>
      <c r="X3095" s="5" t="s">
        <v>72</v>
      </c>
      <c r="Y3095" s="4">
        <v>41</v>
      </c>
      <c r="Z3095" s="4">
        <v>8</v>
      </c>
      <c r="AA3095" s="4">
        <v>15</v>
      </c>
      <c r="AB3095" s="4">
        <v>2</v>
      </c>
      <c r="AC3095" s="4">
        <v>4</v>
      </c>
      <c r="AD3095" s="4">
        <v>20</v>
      </c>
      <c r="AE3095" s="4">
        <v>50</v>
      </c>
      <c r="AF3095" s="4">
        <v>1</v>
      </c>
      <c r="AG3095" s="4">
        <v>3</v>
      </c>
      <c r="AH3095" s="4">
        <v>18</v>
      </c>
      <c r="AI3095" s="4">
        <v>45</v>
      </c>
      <c r="AJ3095" s="4">
        <v>5</v>
      </c>
      <c r="AK3095" s="4">
        <v>10</v>
      </c>
      <c r="AL3095" s="4">
        <v>8</v>
      </c>
      <c r="AM3095" s="4">
        <v>22</v>
      </c>
      <c r="AN3095" s="4">
        <v>0</v>
      </c>
      <c r="AO3095" s="4">
        <v>0</v>
      </c>
      <c r="AP3095" s="4">
        <v>5</v>
      </c>
      <c r="AQ3095" s="4">
        <v>9</v>
      </c>
      <c r="AR3095" s="3" t="s">
        <v>65</v>
      </c>
      <c r="AS3095" s="3" t="s">
        <v>65</v>
      </c>
      <c r="AT3095" s="3" t="s">
        <v>65</v>
      </c>
      <c r="AV3095" s="6" t="str">
        <f>HYPERLINK("http://mcgill.on.worldcat.org/oclc/2850669","Catalog Record")</f>
        <v>Catalog Record</v>
      </c>
      <c r="AW3095" s="6" t="str">
        <f>HYPERLINK("http://www.worldcat.org/oclc/2850669","WorldCat Record")</f>
        <v>WorldCat Record</v>
      </c>
      <c r="AX3095" s="3" t="s">
        <v>30594</v>
      </c>
      <c r="AY3095" s="3" t="s">
        <v>30595</v>
      </c>
      <c r="AZ3095" s="3" t="s">
        <v>30596</v>
      </c>
      <c r="BA3095" s="3" t="s">
        <v>30596</v>
      </c>
      <c r="BB3095" s="3" t="s">
        <v>30597</v>
      </c>
      <c r="BC3095" s="3" t="s">
        <v>77</v>
      </c>
      <c r="BD3095" s="3" t="s">
        <v>78</v>
      </c>
      <c r="BF3095" s="3" t="s">
        <v>30597</v>
      </c>
      <c r="BG3095" s="3" t="s">
        <v>30598</v>
      </c>
    </row>
    <row r="3096" spans="1:59" ht="58" x14ac:dyDescent="0.35">
      <c r="A3096" s="2" t="s">
        <v>59</v>
      </c>
      <c r="B3096" s="2" t="s">
        <v>60</v>
      </c>
      <c r="C3096" s="2" t="s">
        <v>30599</v>
      </c>
      <c r="D3096" s="2" t="s">
        <v>30600</v>
      </c>
      <c r="E3096" s="2" t="s">
        <v>30601</v>
      </c>
      <c r="G3096" s="3" t="s">
        <v>65</v>
      </c>
      <c r="I3096" s="3" t="s">
        <v>65</v>
      </c>
      <c r="J3096" s="3" t="s">
        <v>65</v>
      </c>
      <c r="K3096" s="3" t="s">
        <v>66</v>
      </c>
      <c r="L3096" s="2" t="s">
        <v>30602</v>
      </c>
      <c r="M3096" s="2" t="s">
        <v>30603</v>
      </c>
      <c r="N3096" s="3" t="s">
        <v>176</v>
      </c>
      <c r="P3096" s="3" t="s">
        <v>140</v>
      </c>
      <c r="Q3096" s="2" t="s">
        <v>30604</v>
      </c>
      <c r="R3096" s="3" t="s">
        <v>71</v>
      </c>
      <c r="S3096" s="4">
        <v>1</v>
      </c>
      <c r="T3096" s="4">
        <v>1</v>
      </c>
      <c r="U3096" s="5" t="s">
        <v>969</v>
      </c>
      <c r="V3096" s="5" t="s">
        <v>969</v>
      </c>
      <c r="W3096" s="5" t="s">
        <v>72</v>
      </c>
      <c r="X3096" s="5" t="s">
        <v>72</v>
      </c>
      <c r="Y3096" s="4">
        <v>27</v>
      </c>
      <c r="Z3096" s="4">
        <v>4</v>
      </c>
      <c r="AA3096" s="4">
        <v>4</v>
      </c>
      <c r="AB3096" s="4">
        <v>1</v>
      </c>
      <c r="AC3096" s="4">
        <v>1</v>
      </c>
      <c r="AD3096" s="4">
        <v>18</v>
      </c>
      <c r="AE3096" s="4">
        <v>18</v>
      </c>
      <c r="AF3096" s="4">
        <v>0</v>
      </c>
      <c r="AG3096" s="4">
        <v>0</v>
      </c>
      <c r="AH3096" s="4">
        <v>18</v>
      </c>
      <c r="AI3096" s="4">
        <v>18</v>
      </c>
      <c r="AJ3096" s="4">
        <v>2</v>
      </c>
      <c r="AK3096" s="4">
        <v>2</v>
      </c>
      <c r="AL3096" s="4">
        <v>12</v>
      </c>
      <c r="AM3096" s="4">
        <v>12</v>
      </c>
      <c r="AN3096" s="4">
        <v>0</v>
      </c>
      <c r="AO3096" s="4">
        <v>0</v>
      </c>
      <c r="AP3096" s="4">
        <v>2</v>
      </c>
      <c r="AQ3096" s="4">
        <v>2</v>
      </c>
      <c r="AR3096" s="3" t="s">
        <v>65</v>
      </c>
      <c r="AS3096" s="3" t="s">
        <v>65</v>
      </c>
      <c r="AT3096" s="3" t="s">
        <v>65</v>
      </c>
      <c r="AV3096" s="6" t="str">
        <f>HYPERLINK("http://mcgill.on.worldcat.org/oclc/913745292","Catalog Record")</f>
        <v>Catalog Record</v>
      </c>
      <c r="AW3096" s="6" t="str">
        <f>HYPERLINK("http://www.worldcat.org/oclc/913745292","WorldCat Record")</f>
        <v>WorldCat Record</v>
      </c>
      <c r="AX3096" s="3" t="s">
        <v>30605</v>
      </c>
      <c r="AY3096" s="3" t="s">
        <v>30606</v>
      </c>
      <c r="AZ3096" s="3" t="s">
        <v>30607</v>
      </c>
      <c r="BA3096" s="3" t="s">
        <v>30607</v>
      </c>
      <c r="BB3096" s="3" t="s">
        <v>30608</v>
      </c>
      <c r="BC3096" s="3" t="s">
        <v>77</v>
      </c>
      <c r="BD3096" s="3" t="s">
        <v>78</v>
      </c>
      <c r="BE3096" s="3" t="s">
        <v>30609</v>
      </c>
      <c r="BF3096" s="3" t="s">
        <v>30608</v>
      </c>
      <c r="BG3096" s="3" t="s">
        <v>30610</v>
      </c>
    </row>
    <row r="3097" spans="1:59" ht="58" x14ac:dyDescent="0.35">
      <c r="A3097" s="2" t="s">
        <v>59</v>
      </c>
      <c r="B3097" s="2" t="s">
        <v>60</v>
      </c>
      <c r="C3097" s="2" t="s">
        <v>30611</v>
      </c>
      <c r="D3097" s="2" t="s">
        <v>30612</v>
      </c>
      <c r="E3097" s="2" t="s">
        <v>30613</v>
      </c>
      <c r="G3097" s="3" t="s">
        <v>65</v>
      </c>
      <c r="I3097" s="3" t="s">
        <v>65</v>
      </c>
      <c r="J3097" s="3" t="s">
        <v>65</v>
      </c>
      <c r="K3097" s="3" t="s">
        <v>66</v>
      </c>
      <c r="L3097" s="2" t="s">
        <v>30614</v>
      </c>
      <c r="M3097" s="2" t="s">
        <v>30615</v>
      </c>
      <c r="N3097" s="3" t="s">
        <v>5961</v>
      </c>
      <c r="O3097" s="2" t="s">
        <v>11613</v>
      </c>
      <c r="P3097" s="3" t="s">
        <v>140</v>
      </c>
      <c r="Q3097" s="2" t="s">
        <v>30616</v>
      </c>
      <c r="R3097" s="3" t="s">
        <v>71</v>
      </c>
      <c r="S3097" s="4">
        <v>2</v>
      </c>
      <c r="T3097" s="4">
        <v>2</v>
      </c>
      <c r="U3097" s="5" t="s">
        <v>3091</v>
      </c>
      <c r="V3097" s="5" t="s">
        <v>3091</v>
      </c>
      <c r="W3097" s="5" t="s">
        <v>72</v>
      </c>
      <c r="X3097" s="5" t="s">
        <v>72</v>
      </c>
      <c r="Y3097" s="4">
        <v>65</v>
      </c>
      <c r="Z3097" s="4">
        <v>8</v>
      </c>
      <c r="AA3097" s="4">
        <v>8</v>
      </c>
      <c r="AB3097" s="4">
        <v>1</v>
      </c>
      <c r="AC3097" s="4">
        <v>1</v>
      </c>
      <c r="AD3097" s="4">
        <v>35</v>
      </c>
      <c r="AE3097" s="4">
        <v>35</v>
      </c>
      <c r="AF3097" s="4">
        <v>0</v>
      </c>
      <c r="AG3097" s="4">
        <v>0</v>
      </c>
      <c r="AH3097" s="4">
        <v>32</v>
      </c>
      <c r="AI3097" s="4">
        <v>32</v>
      </c>
      <c r="AJ3097" s="4">
        <v>5</v>
      </c>
      <c r="AK3097" s="4">
        <v>5</v>
      </c>
      <c r="AL3097" s="4">
        <v>24</v>
      </c>
      <c r="AM3097" s="4">
        <v>24</v>
      </c>
      <c r="AN3097" s="4">
        <v>0</v>
      </c>
      <c r="AO3097" s="4">
        <v>0</v>
      </c>
      <c r="AP3097" s="4">
        <v>5</v>
      </c>
      <c r="AQ3097" s="4">
        <v>5</v>
      </c>
      <c r="AR3097" s="3" t="s">
        <v>65</v>
      </c>
      <c r="AS3097" s="3" t="s">
        <v>65</v>
      </c>
      <c r="AT3097" s="3" t="s">
        <v>65</v>
      </c>
      <c r="AV3097" s="6" t="str">
        <f>HYPERLINK("http://mcgill.on.worldcat.org/oclc/17398114","Catalog Record")</f>
        <v>Catalog Record</v>
      </c>
      <c r="AW3097" s="6" t="str">
        <f>HYPERLINK("http://www.worldcat.org/oclc/17398114","WorldCat Record")</f>
        <v>WorldCat Record</v>
      </c>
      <c r="AX3097" s="3" t="s">
        <v>30617</v>
      </c>
      <c r="AY3097" s="3" t="s">
        <v>30618</v>
      </c>
      <c r="AZ3097" s="3" t="s">
        <v>30619</v>
      </c>
      <c r="BA3097" s="3" t="s">
        <v>30619</v>
      </c>
      <c r="BB3097" s="3" t="s">
        <v>30620</v>
      </c>
      <c r="BC3097" s="3" t="s">
        <v>77</v>
      </c>
      <c r="BD3097" s="3" t="s">
        <v>78</v>
      </c>
      <c r="BE3097" s="3" t="s">
        <v>30621</v>
      </c>
      <c r="BF3097" s="3" t="s">
        <v>30620</v>
      </c>
      <c r="BG3097" s="3" t="s">
        <v>30622</v>
      </c>
    </row>
    <row r="3098" spans="1:59" ht="58" x14ac:dyDescent="0.35">
      <c r="A3098" s="2" t="s">
        <v>59</v>
      </c>
      <c r="B3098" s="2" t="s">
        <v>60</v>
      </c>
      <c r="C3098" s="2" t="s">
        <v>30623</v>
      </c>
      <c r="D3098" s="2" t="s">
        <v>30624</v>
      </c>
      <c r="E3098" s="2" t="s">
        <v>30625</v>
      </c>
      <c r="G3098" s="3" t="s">
        <v>65</v>
      </c>
      <c r="I3098" s="3" t="s">
        <v>65</v>
      </c>
      <c r="J3098" s="3" t="s">
        <v>65</v>
      </c>
      <c r="K3098" s="3" t="s">
        <v>66</v>
      </c>
      <c r="L3098" s="2" t="s">
        <v>30626</v>
      </c>
      <c r="M3098" s="2" t="s">
        <v>30627</v>
      </c>
      <c r="N3098" s="3" t="s">
        <v>1085</v>
      </c>
      <c r="P3098" s="3" t="s">
        <v>140</v>
      </c>
      <c r="Q3098" s="2" t="s">
        <v>30628</v>
      </c>
      <c r="R3098" s="3" t="s">
        <v>71</v>
      </c>
      <c r="S3098" s="4">
        <v>2</v>
      </c>
      <c r="T3098" s="4">
        <v>2</v>
      </c>
      <c r="U3098" s="5" t="s">
        <v>3091</v>
      </c>
      <c r="V3098" s="5" t="s">
        <v>3091</v>
      </c>
      <c r="W3098" s="5" t="s">
        <v>72</v>
      </c>
      <c r="X3098" s="5" t="s">
        <v>72</v>
      </c>
      <c r="Y3098" s="4">
        <v>26</v>
      </c>
      <c r="Z3098" s="4">
        <v>2</v>
      </c>
      <c r="AA3098" s="4">
        <v>5</v>
      </c>
      <c r="AB3098" s="4">
        <v>1</v>
      </c>
      <c r="AC3098" s="4">
        <v>1</v>
      </c>
      <c r="AD3098" s="4">
        <v>15</v>
      </c>
      <c r="AE3098" s="4">
        <v>35</v>
      </c>
      <c r="AF3098" s="4">
        <v>0</v>
      </c>
      <c r="AG3098" s="4">
        <v>0</v>
      </c>
      <c r="AH3098" s="4">
        <v>14</v>
      </c>
      <c r="AI3098" s="4">
        <v>33</v>
      </c>
      <c r="AJ3098" s="4">
        <v>1</v>
      </c>
      <c r="AK3098" s="4">
        <v>3</v>
      </c>
      <c r="AL3098" s="4">
        <v>11</v>
      </c>
      <c r="AM3098" s="4">
        <v>26</v>
      </c>
      <c r="AN3098" s="4">
        <v>0</v>
      </c>
      <c r="AO3098" s="4">
        <v>0</v>
      </c>
      <c r="AP3098" s="4">
        <v>1</v>
      </c>
      <c r="AQ3098" s="4">
        <v>3</v>
      </c>
      <c r="AR3098" s="3" t="s">
        <v>65</v>
      </c>
      <c r="AS3098" s="3" t="s">
        <v>65</v>
      </c>
      <c r="AT3098" s="3" t="s">
        <v>65</v>
      </c>
      <c r="AV3098" s="6" t="str">
        <f>HYPERLINK("http://mcgill.on.worldcat.org/oclc/36079077","Catalog Record")</f>
        <v>Catalog Record</v>
      </c>
      <c r="AW3098" s="6" t="str">
        <f>HYPERLINK("http://www.worldcat.org/oclc/36079077","WorldCat Record")</f>
        <v>WorldCat Record</v>
      </c>
      <c r="AX3098" s="3" t="s">
        <v>30629</v>
      </c>
      <c r="AY3098" s="3" t="s">
        <v>30630</v>
      </c>
      <c r="AZ3098" s="3" t="s">
        <v>30631</v>
      </c>
      <c r="BA3098" s="3" t="s">
        <v>30631</v>
      </c>
      <c r="BB3098" s="3" t="s">
        <v>30632</v>
      </c>
      <c r="BC3098" s="3" t="s">
        <v>77</v>
      </c>
      <c r="BD3098" s="3" t="s">
        <v>78</v>
      </c>
      <c r="BF3098" s="3" t="s">
        <v>30632</v>
      </c>
      <c r="BG3098" s="3" t="s">
        <v>30633</v>
      </c>
    </row>
    <row r="3099" spans="1:59" ht="72.5" x14ac:dyDescent="0.35">
      <c r="A3099" s="2" t="s">
        <v>59</v>
      </c>
      <c r="B3099" s="2" t="s">
        <v>60</v>
      </c>
      <c r="C3099" s="2" t="s">
        <v>30634</v>
      </c>
      <c r="D3099" s="2" t="s">
        <v>30635</v>
      </c>
      <c r="E3099" s="2" t="s">
        <v>30636</v>
      </c>
      <c r="G3099" s="3" t="s">
        <v>65</v>
      </c>
      <c r="I3099" s="3" t="s">
        <v>65</v>
      </c>
      <c r="J3099" s="3" t="s">
        <v>65</v>
      </c>
      <c r="K3099" s="3" t="s">
        <v>66</v>
      </c>
      <c r="L3099" s="2" t="s">
        <v>30637</v>
      </c>
      <c r="M3099" s="2" t="s">
        <v>17689</v>
      </c>
      <c r="N3099" s="3" t="s">
        <v>2210</v>
      </c>
      <c r="P3099" s="3" t="s">
        <v>140</v>
      </c>
      <c r="Q3099" s="2" t="s">
        <v>30638</v>
      </c>
      <c r="R3099" s="3" t="s">
        <v>71</v>
      </c>
      <c r="S3099" s="4">
        <v>1</v>
      </c>
      <c r="T3099" s="4">
        <v>1</v>
      </c>
      <c r="U3099" s="5" t="s">
        <v>30639</v>
      </c>
      <c r="V3099" s="5" t="s">
        <v>30639</v>
      </c>
      <c r="W3099" s="5" t="s">
        <v>72</v>
      </c>
      <c r="X3099" s="5" t="s">
        <v>72</v>
      </c>
      <c r="Y3099" s="4">
        <v>69</v>
      </c>
      <c r="Z3099" s="4">
        <v>5</v>
      </c>
      <c r="AA3099" s="4">
        <v>5</v>
      </c>
      <c r="AB3099" s="4">
        <v>1</v>
      </c>
      <c r="AC3099" s="4">
        <v>1</v>
      </c>
      <c r="AD3099" s="4">
        <v>41</v>
      </c>
      <c r="AE3099" s="4">
        <v>41</v>
      </c>
      <c r="AF3099" s="4">
        <v>0</v>
      </c>
      <c r="AG3099" s="4">
        <v>0</v>
      </c>
      <c r="AH3099" s="4">
        <v>40</v>
      </c>
      <c r="AI3099" s="4">
        <v>40</v>
      </c>
      <c r="AJ3099" s="4">
        <v>3</v>
      </c>
      <c r="AK3099" s="4">
        <v>3</v>
      </c>
      <c r="AL3099" s="4">
        <v>29</v>
      </c>
      <c r="AM3099" s="4">
        <v>29</v>
      </c>
      <c r="AN3099" s="4">
        <v>0</v>
      </c>
      <c r="AO3099" s="4">
        <v>0</v>
      </c>
      <c r="AP3099" s="4">
        <v>3</v>
      </c>
      <c r="AQ3099" s="4">
        <v>3</v>
      </c>
      <c r="AR3099" s="3" t="s">
        <v>65</v>
      </c>
      <c r="AS3099" s="3" t="s">
        <v>65</v>
      </c>
      <c r="AT3099" s="3" t="s">
        <v>209</v>
      </c>
      <c r="AU3099" s="6" t="str">
        <f>HYPERLINK("http://catalog.hathitrust.org/Record/004311841","HathiTrust Record")</f>
        <v>HathiTrust Record</v>
      </c>
      <c r="AV3099" s="6" t="str">
        <f>HYPERLINK("http://mcgill.on.worldcat.org/oclc/51567184","Catalog Record")</f>
        <v>Catalog Record</v>
      </c>
      <c r="AW3099" s="6" t="str">
        <f>HYPERLINK("http://www.worldcat.org/oclc/51567184","WorldCat Record")</f>
        <v>WorldCat Record</v>
      </c>
      <c r="AX3099" s="3" t="s">
        <v>30640</v>
      </c>
      <c r="AY3099" s="3" t="s">
        <v>30641</v>
      </c>
      <c r="AZ3099" s="3" t="s">
        <v>30642</v>
      </c>
      <c r="BA3099" s="3" t="s">
        <v>30642</v>
      </c>
      <c r="BB3099" s="3" t="s">
        <v>30643</v>
      </c>
      <c r="BC3099" s="3" t="s">
        <v>77</v>
      </c>
      <c r="BD3099" s="3" t="s">
        <v>78</v>
      </c>
      <c r="BE3099" s="3" t="s">
        <v>30644</v>
      </c>
      <c r="BF3099" s="3" t="s">
        <v>30643</v>
      </c>
      <c r="BG3099" s="3" t="s">
        <v>30645</v>
      </c>
    </row>
    <row r="3100" spans="1:59" ht="58" x14ac:dyDescent="0.35">
      <c r="A3100" s="2" t="s">
        <v>59</v>
      </c>
      <c r="B3100" s="2" t="s">
        <v>60</v>
      </c>
      <c r="C3100" s="2" t="s">
        <v>30646</v>
      </c>
      <c r="D3100" s="2" t="s">
        <v>30647</v>
      </c>
      <c r="E3100" s="2" t="s">
        <v>30648</v>
      </c>
      <c r="G3100" s="3" t="s">
        <v>65</v>
      </c>
      <c r="I3100" s="3" t="s">
        <v>65</v>
      </c>
      <c r="J3100" s="3" t="s">
        <v>65</v>
      </c>
      <c r="K3100" s="3" t="s">
        <v>66</v>
      </c>
      <c r="L3100" s="2" t="s">
        <v>30649</v>
      </c>
      <c r="M3100" s="2" t="s">
        <v>30650</v>
      </c>
      <c r="N3100" s="3" t="s">
        <v>164</v>
      </c>
      <c r="P3100" s="3" t="s">
        <v>140</v>
      </c>
      <c r="Q3100" s="2" t="s">
        <v>30651</v>
      </c>
      <c r="R3100" s="3" t="s">
        <v>71</v>
      </c>
      <c r="S3100" s="4">
        <v>1</v>
      </c>
      <c r="T3100" s="4">
        <v>1</v>
      </c>
      <c r="U3100" s="5" t="s">
        <v>5132</v>
      </c>
      <c r="V3100" s="5" t="s">
        <v>5132</v>
      </c>
      <c r="W3100" s="5" t="s">
        <v>72</v>
      </c>
      <c r="X3100" s="5" t="s">
        <v>72</v>
      </c>
      <c r="Y3100" s="4">
        <v>29</v>
      </c>
      <c r="Z3100" s="4">
        <v>4</v>
      </c>
      <c r="AA3100" s="4">
        <v>4</v>
      </c>
      <c r="AB3100" s="4">
        <v>1</v>
      </c>
      <c r="AC3100" s="4">
        <v>1</v>
      </c>
      <c r="AD3100" s="4">
        <v>20</v>
      </c>
      <c r="AE3100" s="4">
        <v>20</v>
      </c>
      <c r="AF3100" s="4">
        <v>0</v>
      </c>
      <c r="AG3100" s="4">
        <v>0</v>
      </c>
      <c r="AH3100" s="4">
        <v>20</v>
      </c>
      <c r="AI3100" s="4">
        <v>20</v>
      </c>
      <c r="AJ3100" s="4">
        <v>1</v>
      </c>
      <c r="AK3100" s="4">
        <v>1</v>
      </c>
      <c r="AL3100" s="4">
        <v>14</v>
      </c>
      <c r="AM3100" s="4">
        <v>14</v>
      </c>
      <c r="AN3100" s="4">
        <v>0</v>
      </c>
      <c r="AO3100" s="4">
        <v>0</v>
      </c>
      <c r="AP3100" s="4">
        <v>1</v>
      </c>
      <c r="AQ3100" s="4">
        <v>1</v>
      </c>
      <c r="AR3100" s="3" t="s">
        <v>65</v>
      </c>
      <c r="AS3100" s="3" t="s">
        <v>65</v>
      </c>
      <c r="AT3100" s="3" t="s">
        <v>65</v>
      </c>
      <c r="AV3100" s="6" t="str">
        <f>HYPERLINK("http://mcgill.on.worldcat.org/oclc/909285132","Catalog Record")</f>
        <v>Catalog Record</v>
      </c>
      <c r="AW3100" s="6" t="str">
        <f>HYPERLINK("http://www.worldcat.org/oclc/909285132","WorldCat Record")</f>
        <v>WorldCat Record</v>
      </c>
      <c r="AX3100" s="3" t="s">
        <v>30652</v>
      </c>
      <c r="AY3100" s="3" t="s">
        <v>30653</v>
      </c>
      <c r="AZ3100" s="3" t="s">
        <v>30654</v>
      </c>
      <c r="BA3100" s="3" t="s">
        <v>30654</v>
      </c>
      <c r="BB3100" s="3" t="s">
        <v>30655</v>
      </c>
      <c r="BC3100" s="3" t="s">
        <v>77</v>
      </c>
      <c r="BD3100" s="3" t="s">
        <v>78</v>
      </c>
      <c r="BE3100" s="3" t="s">
        <v>30656</v>
      </c>
      <c r="BF3100" s="3" t="s">
        <v>30655</v>
      </c>
      <c r="BG3100" s="3" t="s">
        <v>30657</v>
      </c>
    </row>
    <row r="3101" spans="1:59" ht="58" x14ac:dyDescent="0.35">
      <c r="A3101" s="2" t="s">
        <v>59</v>
      </c>
      <c r="B3101" s="2" t="s">
        <v>60</v>
      </c>
      <c r="C3101" s="2" t="s">
        <v>30658</v>
      </c>
      <c r="D3101" s="2" t="s">
        <v>30659</v>
      </c>
      <c r="E3101" s="2" t="s">
        <v>30660</v>
      </c>
      <c r="G3101" s="3" t="s">
        <v>65</v>
      </c>
      <c r="I3101" s="3" t="s">
        <v>65</v>
      </c>
      <c r="J3101" s="3" t="s">
        <v>65</v>
      </c>
      <c r="K3101" s="3" t="s">
        <v>66</v>
      </c>
      <c r="L3101" s="2" t="s">
        <v>12015</v>
      </c>
      <c r="M3101" s="2" t="s">
        <v>30661</v>
      </c>
      <c r="N3101" s="3" t="s">
        <v>1122</v>
      </c>
      <c r="O3101" s="2" t="s">
        <v>526</v>
      </c>
      <c r="P3101" s="3" t="s">
        <v>69</v>
      </c>
      <c r="R3101" s="3" t="s">
        <v>71</v>
      </c>
      <c r="S3101" s="4">
        <v>2</v>
      </c>
      <c r="T3101" s="4">
        <v>2</v>
      </c>
      <c r="U3101" s="5" t="s">
        <v>30662</v>
      </c>
      <c r="V3101" s="5" t="s">
        <v>30662</v>
      </c>
      <c r="W3101" s="5" t="s">
        <v>72</v>
      </c>
      <c r="X3101" s="5" t="s">
        <v>72</v>
      </c>
      <c r="Y3101" s="4">
        <v>306</v>
      </c>
      <c r="Z3101" s="4">
        <v>27</v>
      </c>
      <c r="AA3101" s="4">
        <v>30</v>
      </c>
      <c r="AB3101" s="4">
        <v>2</v>
      </c>
      <c r="AC3101" s="4">
        <v>5</v>
      </c>
      <c r="AD3101" s="4">
        <v>97</v>
      </c>
      <c r="AE3101" s="4">
        <v>100</v>
      </c>
      <c r="AF3101" s="4">
        <v>1</v>
      </c>
      <c r="AG3101" s="4">
        <v>4</v>
      </c>
      <c r="AH3101" s="4">
        <v>85</v>
      </c>
      <c r="AI3101" s="4">
        <v>86</v>
      </c>
      <c r="AJ3101" s="4">
        <v>15</v>
      </c>
      <c r="AK3101" s="4">
        <v>18</v>
      </c>
      <c r="AL3101" s="4">
        <v>48</v>
      </c>
      <c r="AM3101" s="4">
        <v>48</v>
      </c>
      <c r="AN3101" s="4">
        <v>0</v>
      </c>
      <c r="AO3101" s="4">
        <v>0</v>
      </c>
      <c r="AP3101" s="4">
        <v>19</v>
      </c>
      <c r="AQ3101" s="4">
        <v>21</v>
      </c>
      <c r="AR3101" s="3" t="s">
        <v>65</v>
      </c>
      <c r="AS3101" s="3" t="s">
        <v>65</v>
      </c>
      <c r="AT3101" s="3" t="s">
        <v>65</v>
      </c>
      <c r="AV3101" s="6" t="str">
        <f>HYPERLINK("http://mcgill.on.worldcat.org/oclc/317588176","Catalog Record")</f>
        <v>Catalog Record</v>
      </c>
      <c r="AW3101" s="6" t="str">
        <f>HYPERLINK("http://www.worldcat.org/oclc/317588176","WorldCat Record")</f>
        <v>WorldCat Record</v>
      </c>
      <c r="AX3101" s="3" t="s">
        <v>30663</v>
      </c>
      <c r="AY3101" s="3" t="s">
        <v>30664</v>
      </c>
      <c r="AZ3101" s="3" t="s">
        <v>30665</v>
      </c>
      <c r="BA3101" s="3" t="s">
        <v>30665</v>
      </c>
      <c r="BB3101" s="3" t="s">
        <v>30666</v>
      </c>
      <c r="BC3101" s="3" t="s">
        <v>77</v>
      </c>
      <c r="BD3101" s="3" t="s">
        <v>78</v>
      </c>
      <c r="BE3101" s="3" t="s">
        <v>30667</v>
      </c>
      <c r="BF3101" s="3" t="s">
        <v>30666</v>
      </c>
      <c r="BG3101" s="3" t="s">
        <v>30668</v>
      </c>
    </row>
    <row r="3102" spans="1:59" ht="58" x14ac:dyDescent="0.35">
      <c r="A3102" s="2" t="s">
        <v>59</v>
      </c>
      <c r="B3102" s="2" t="s">
        <v>60</v>
      </c>
      <c r="C3102" s="2" t="s">
        <v>30669</v>
      </c>
      <c r="D3102" s="2" t="s">
        <v>30670</v>
      </c>
      <c r="E3102" s="2" t="s">
        <v>30671</v>
      </c>
      <c r="G3102" s="3" t="s">
        <v>65</v>
      </c>
      <c r="I3102" s="3" t="s">
        <v>65</v>
      </c>
      <c r="J3102" s="3" t="s">
        <v>65</v>
      </c>
      <c r="K3102" s="3" t="s">
        <v>66</v>
      </c>
      <c r="M3102" s="2" t="s">
        <v>30672</v>
      </c>
      <c r="N3102" s="3" t="s">
        <v>113</v>
      </c>
      <c r="P3102" s="3" t="s">
        <v>140</v>
      </c>
      <c r="Q3102" s="2" t="s">
        <v>30673</v>
      </c>
      <c r="R3102" s="3" t="s">
        <v>71</v>
      </c>
      <c r="S3102" s="4">
        <v>0</v>
      </c>
      <c r="T3102" s="4">
        <v>0</v>
      </c>
      <c r="W3102" s="5" t="s">
        <v>72</v>
      </c>
      <c r="X3102" s="5" t="s">
        <v>72</v>
      </c>
      <c r="Y3102" s="4">
        <v>41</v>
      </c>
      <c r="Z3102" s="4">
        <v>3</v>
      </c>
      <c r="AA3102" s="4">
        <v>3</v>
      </c>
      <c r="AB3102" s="4">
        <v>1</v>
      </c>
      <c r="AC3102" s="4">
        <v>1</v>
      </c>
      <c r="AD3102" s="4">
        <v>23</v>
      </c>
      <c r="AE3102" s="4">
        <v>23</v>
      </c>
      <c r="AF3102" s="4">
        <v>0</v>
      </c>
      <c r="AG3102" s="4">
        <v>0</v>
      </c>
      <c r="AH3102" s="4">
        <v>22</v>
      </c>
      <c r="AI3102" s="4">
        <v>22</v>
      </c>
      <c r="AJ3102" s="4">
        <v>1</v>
      </c>
      <c r="AK3102" s="4">
        <v>1</v>
      </c>
      <c r="AL3102" s="4">
        <v>19</v>
      </c>
      <c r="AM3102" s="4">
        <v>19</v>
      </c>
      <c r="AN3102" s="4">
        <v>0</v>
      </c>
      <c r="AO3102" s="4">
        <v>0</v>
      </c>
      <c r="AP3102" s="4">
        <v>1</v>
      </c>
      <c r="AQ3102" s="4">
        <v>1</v>
      </c>
      <c r="AR3102" s="3" t="s">
        <v>65</v>
      </c>
      <c r="AS3102" s="3" t="s">
        <v>65</v>
      </c>
      <c r="AT3102" s="3" t="s">
        <v>65</v>
      </c>
      <c r="AV3102" s="6" t="str">
        <f>HYPERLINK("http://mcgill.on.worldcat.org/oclc/668177866","Catalog Record")</f>
        <v>Catalog Record</v>
      </c>
      <c r="AW3102" s="6" t="str">
        <f>HYPERLINK("http://www.worldcat.org/oclc/668177866","WorldCat Record")</f>
        <v>WorldCat Record</v>
      </c>
      <c r="AX3102" s="3" t="s">
        <v>30674</v>
      </c>
      <c r="AY3102" s="3" t="s">
        <v>30675</v>
      </c>
      <c r="AZ3102" s="3" t="s">
        <v>30676</v>
      </c>
      <c r="BA3102" s="3" t="s">
        <v>30676</v>
      </c>
      <c r="BB3102" s="3" t="s">
        <v>30677</v>
      </c>
      <c r="BC3102" s="3" t="s">
        <v>77</v>
      </c>
      <c r="BD3102" s="3" t="s">
        <v>78</v>
      </c>
      <c r="BE3102" s="3" t="s">
        <v>30678</v>
      </c>
      <c r="BF3102" s="3" t="s">
        <v>30677</v>
      </c>
      <c r="BG3102" s="3" t="s">
        <v>30679</v>
      </c>
    </row>
    <row r="3103" spans="1:59" ht="72.5" x14ac:dyDescent="0.35">
      <c r="A3103" s="2" t="s">
        <v>59</v>
      </c>
      <c r="B3103" s="2" t="s">
        <v>60</v>
      </c>
      <c r="C3103" s="2" t="s">
        <v>30680</v>
      </c>
      <c r="D3103" s="2" t="s">
        <v>30681</v>
      </c>
      <c r="E3103" s="2" t="s">
        <v>30682</v>
      </c>
      <c r="G3103" s="3" t="s">
        <v>65</v>
      </c>
      <c r="I3103" s="3" t="s">
        <v>65</v>
      </c>
      <c r="J3103" s="3" t="s">
        <v>65</v>
      </c>
      <c r="K3103" s="3" t="s">
        <v>66</v>
      </c>
      <c r="M3103" s="2" t="s">
        <v>30683</v>
      </c>
      <c r="N3103" s="3" t="s">
        <v>4688</v>
      </c>
      <c r="P3103" s="3" t="s">
        <v>140</v>
      </c>
      <c r="Q3103" s="2" t="s">
        <v>30684</v>
      </c>
      <c r="R3103" s="3" t="s">
        <v>71</v>
      </c>
      <c r="S3103" s="4">
        <v>14</v>
      </c>
      <c r="T3103" s="4">
        <v>14</v>
      </c>
      <c r="U3103" s="5" t="s">
        <v>5132</v>
      </c>
      <c r="V3103" s="5" t="s">
        <v>5132</v>
      </c>
      <c r="W3103" s="5" t="s">
        <v>72</v>
      </c>
      <c r="X3103" s="5" t="s">
        <v>72</v>
      </c>
      <c r="Y3103" s="4">
        <v>73</v>
      </c>
      <c r="Z3103" s="4">
        <v>9</v>
      </c>
      <c r="AA3103" s="4">
        <v>10</v>
      </c>
      <c r="AB3103" s="4">
        <v>2</v>
      </c>
      <c r="AC3103" s="4">
        <v>3</v>
      </c>
      <c r="AD3103" s="4">
        <v>44</v>
      </c>
      <c r="AE3103" s="4">
        <v>46</v>
      </c>
      <c r="AF3103" s="4">
        <v>1</v>
      </c>
      <c r="AG3103" s="4">
        <v>2</v>
      </c>
      <c r="AH3103" s="4">
        <v>39</v>
      </c>
      <c r="AI3103" s="4">
        <v>40</v>
      </c>
      <c r="AJ3103" s="4">
        <v>5</v>
      </c>
      <c r="AK3103" s="4">
        <v>6</v>
      </c>
      <c r="AL3103" s="4">
        <v>29</v>
      </c>
      <c r="AM3103" s="4">
        <v>30</v>
      </c>
      <c r="AN3103" s="4">
        <v>0</v>
      </c>
      <c r="AO3103" s="4">
        <v>0</v>
      </c>
      <c r="AP3103" s="4">
        <v>6</v>
      </c>
      <c r="AQ3103" s="4">
        <v>6</v>
      </c>
      <c r="AR3103" s="3" t="s">
        <v>65</v>
      </c>
      <c r="AS3103" s="3" t="s">
        <v>65</v>
      </c>
      <c r="AT3103" s="3" t="s">
        <v>65</v>
      </c>
      <c r="AV3103" s="6" t="str">
        <f>HYPERLINK("http://mcgill.on.worldcat.org/oclc/13298850","Catalog Record")</f>
        <v>Catalog Record</v>
      </c>
      <c r="AW3103" s="6" t="str">
        <f>HYPERLINK("http://www.worldcat.org/oclc/13298850","WorldCat Record")</f>
        <v>WorldCat Record</v>
      </c>
      <c r="AX3103" s="3" t="s">
        <v>30685</v>
      </c>
      <c r="AY3103" s="3" t="s">
        <v>30686</v>
      </c>
      <c r="AZ3103" s="3" t="s">
        <v>30687</v>
      </c>
      <c r="BA3103" s="3" t="s">
        <v>30687</v>
      </c>
      <c r="BB3103" s="3" t="s">
        <v>30688</v>
      </c>
      <c r="BC3103" s="3" t="s">
        <v>77</v>
      </c>
      <c r="BD3103" s="3" t="s">
        <v>78</v>
      </c>
      <c r="BF3103" s="3" t="s">
        <v>30688</v>
      </c>
      <c r="BG3103" s="3" t="s">
        <v>30689</v>
      </c>
    </row>
    <row r="3104" spans="1:59" ht="72.5" x14ac:dyDescent="0.35">
      <c r="A3104" s="2" t="s">
        <v>59</v>
      </c>
      <c r="B3104" s="2" t="s">
        <v>60</v>
      </c>
      <c r="C3104" s="2" t="s">
        <v>30690</v>
      </c>
      <c r="D3104" s="2" t="s">
        <v>30691</v>
      </c>
      <c r="E3104" s="2" t="s">
        <v>30692</v>
      </c>
      <c r="G3104" s="3" t="s">
        <v>65</v>
      </c>
      <c r="I3104" s="3" t="s">
        <v>65</v>
      </c>
      <c r="J3104" s="3" t="s">
        <v>65</v>
      </c>
      <c r="K3104" s="3" t="s">
        <v>66</v>
      </c>
      <c r="M3104" s="2" t="s">
        <v>30693</v>
      </c>
      <c r="N3104" s="3" t="s">
        <v>615</v>
      </c>
      <c r="P3104" s="3" t="s">
        <v>140</v>
      </c>
      <c r="Q3104" s="2" t="s">
        <v>30694</v>
      </c>
      <c r="R3104" s="3" t="s">
        <v>71</v>
      </c>
      <c r="S3104" s="4">
        <v>10</v>
      </c>
      <c r="T3104" s="4">
        <v>10</v>
      </c>
      <c r="U3104" s="5" t="s">
        <v>3091</v>
      </c>
      <c r="V3104" s="5" t="s">
        <v>3091</v>
      </c>
      <c r="W3104" s="5" t="s">
        <v>72</v>
      </c>
      <c r="X3104" s="5" t="s">
        <v>72</v>
      </c>
      <c r="Y3104" s="4">
        <v>94</v>
      </c>
      <c r="Z3104" s="4">
        <v>12</v>
      </c>
      <c r="AA3104" s="4">
        <v>12</v>
      </c>
      <c r="AB3104" s="4">
        <v>2</v>
      </c>
      <c r="AC3104" s="4">
        <v>2</v>
      </c>
      <c r="AD3104" s="4">
        <v>56</v>
      </c>
      <c r="AE3104" s="4">
        <v>56</v>
      </c>
      <c r="AF3104" s="4">
        <v>1</v>
      </c>
      <c r="AG3104" s="4">
        <v>1</v>
      </c>
      <c r="AH3104" s="4">
        <v>51</v>
      </c>
      <c r="AI3104" s="4">
        <v>51</v>
      </c>
      <c r="AJ3104" s="4">
        <v>9</v>
      </c>
      <c r="AK3104" s="4">
        <v>9</v>
      </c>
      <c r="AL3104" s="4">
        <v>36</v>
      </c>
      <c r="AM3104" s="4">
        <v>36</v>
      </c>
      <c r="AN3104" s="4">
        <v>1</v>
      </c>
      <c r="AO3104" s="4">
        <v>1</v>
      </c>
      <c r="AP3104" s="4">
        <v>9</v>
      </c>
      <c r="AQ3104" s="4">
        <v>9</v>
      </c>
      <c r="AR3104" s="3" t="s">
        <v>65</v>
      </c>
      <c r="AS3104" s="3" t="s">
        <v>65</v>
      </c>
      <c r="AT3104" s="3" t="s">
        <v>209</v>
      </c>
      <c r="AU3104" s="6" t="str">
        <f>HYPERLINK("http://catalog.hathitrust.org/Record/000858726","HathiTrust Record")</f>
        <v>HathiTrust Record</v>
      </c>
      <c r="AV3104" s="6" t="str">
        <f>HYPERLINK("http://mcgill.on.worldcat.org/oclc/13870706","Catalog Record")</f>
        <v>Catalog Record</v>
      </c>
      <c r="AW3104" s="6" t="str">
        <f>HYPERLINK("http://www.worldcat.org/oclc/13870706","WorldCat Record")</f>
        <v>WorldCat Record</v>
      </c>
      <c r="AX3104" s="3" t="s">
        <v>30695</v>
      </c>
      <c r="AY3104" s="3" t="s">
        <v>30696</v>
      </c>
      <c r="AZ3104" s="3" t="s">
        <v>30697</v>
      </c>
      <c r="BA3104" s="3" t="s">
        <v>30697</v>
      </c>
      <c r="BB3104" s="3" t="s">
        <v>30698</v>
      </c>
      <c r="BC3104" s="3" t="s">
        <v>77</v>
      </c>
      <c r="BD3104" s="3" t="s">
        <v>78</v>
      </c>
      <c r="BF3104" s="3" t="s">
        <v>30698</v>
      </c>
      <c r="BG3104" s="3" t="s">
        <v>30699</v>
      </c>
    </row>
    <row r="3105" spans="1:59" ht="72.5" x14ac:dyDescent="0.35">
      <c r="A3105" s="2" t="s">
        <v>59</v>
      </c>
      <c r="B3105" s="2" t="s">
        <v>60</v>
      </c>
      <c r="C3105" s="2" t="s">
        <v>30700</v>
      </c>
      <c r="D3105" s="2" t="s">
        <v>30701</v>
      </c>
      <c r="E3105" s="2" t="s">
        <v>30702</v>
      </c>
      <c r="G3105" s="3" t="s">
        <v>65</v>
      </c>
      <c r="I3105" s="3" t="s">
        <v>65</v>
      </c>
      <c r="J3105" s="3" t="s">
        <v>65</v>
      </c>
      <c r="K3105" s="3" t="s">
        <v>66</v>
      </c>
      <c r="M3105" s="2" t="s">
        <v>14061</v>
      </c>
      <c r="N3105" s="3" t="s">
        <v>863</v>
      </c>
      <c r="P3105" s="3" t="s">
        <v>140</v>
      </c>
      <c r="Q3105" s="2" t="s">
        <v>30703</v>
      </c>
      <c r="R3105" s="3" t="s">
        <v>71</v>
      </c>
      <c r="S3105" s="4">
        <v>3</v>
      </c>
      <c r="T3105" s="4">
        <v>3</v>
      </c>
      <c r="U3105" s="5" t="s">
        <v>6020</v>
      </c>
      <c r="V3105" s="5" t="s">
        <v>6020</v>
      </c>
      <c r="W3105" s="5" t="s">
        <v>72</v>
      </c>
      <c r="X3105" s="5" t="s">
        <v>72</v>
      </c>
      <c r="Y3105" s="4">
        <v>69</v>
      </c>
      <c r="Z3105" s="4">
        <v>9</v>
      </c>
      <c r="AA3105" s="4">
        <v>9</v>
      </c>
      <c r="AB3105" s="4">
        <v>2</v>
      </c>
      <c r="AC3105" s="4">
        <v>2</v>
      </c>
      <c r="AD3105" s="4">
        <v>43</v>
      </c>
      <c r="AE3105" s="4">
        <v>43</v>
      </c>
      <c r="AF3105" s="4">
        <v>1</v>
      </c>
      <c r="AG3105" s="4">
        <v>1</v>
      </c>
      <c r="AH3105" s="4">
        <v>38</v>
      </c>
      <c r="AI3105" s="4">
        <v>38</v>
      </c>
      <c r="AJ3105" s="4">
        <v>7</v>
      </c>
      <c r="AK3105" s="4">
        <v>7</v>
      </c>
      <c r="AL3105" s="4">
        <v>30</v>
      </c>
      <c r="AM3105" s="4">
        <v>30</v>
      </c>
      <c r="AN3105" s="4">
        <v>0</v>
      </c>
      <c r="AO3105" s="4">
        <v>0</v>
      </c>
      <c r="AP3105" s="4">
        <v>7</v>
      </c>
      <c r="AQ3105" s="4">
        <v>7</v>
      </c>
      <c r="AR3105" s="3" t="s">
        <v>65</v>
      </c>
      <c r="AS3105" s="3" t="s">
        <v>65</v>
      </c>
      <c r="AT3105" s="3" t="s">
        <v>209</v>
      </c>
      <c r="AU3105" s="6" t="str">
        <f>HYPERLINK("http://catalog.hathitrust.org/Record/002703226","HathiTrust Record")</f>
        <v>HathiTrust Record</v>
      </c>
      <c r="AV3105" s="6" t="str">
        <f>HYPERLINK("http://mcgill.on.worldcat.org/oclc/28441309","Catalog Record")</f>
        <v>Catalog Record</v>
      </c>
      <c r="AW3105" s="6" t="str">
        <f>HYPERLINK("http://www.worldcat.org/oclc/28441309","WorldCat Record")</f>
        <v>WorldCat Record</v>
      </c>
      <c r="AX3105" s="3" t="s">
        <v>30704</v>
      </c>
      <c r="AY3105" s="3" t="s">
        <v>30705</v>
      </c>
      <c r="AZ3105" s="3" t="s">
        <v>30706</v>
      </c>
      <c r="BA3105" s="3" t="s">
        <v>30706</v>
      </c>
      <c r="BB3105" s="3" t="s">
        <v>30707</v>
      </c>
      <c r="BC3105" s="3" t="s">
        <v>77</v>
      </c>
      <c r="BD3105" s="3" t="s">
        <v>78</v>
      </c>
      <c r="BE3105" s="3" t="s">
        <v>30708</v>
      </c>
      <c r="BF3105" s="3" t="s">
        <v>30707</v>
      </c>
      <c r="BG3105" s="3" t="s">
        <v>30709</v>
      </c>
    </row>
    <row r="3106" spans="1:59" ht="72.5" x14ac:dyDescent="0.35">
      <c r="A3106" s="2" t="s">
        <v>59</v>
      </c>
      <c r="B3106" s="2" t="s">
        <v>60</v>
      </c>
      <c r="C3106" s="2" t="s">
        <v>30710</v>
      </c>
      <c r="D3106" s="2" t="s">
        <v>30711</v>
      </c>
      <c r="E3106" s="2" t="s">
        <v>30712</v>
      </c>
      <c r="G3106" s="3" t="s">
        <v>65</v>
      </c>
      <c r="I3106" s="3" t="s">
        <v>65</v>
      </c>
      <c r="J3106" s="3" t="s">
        <v>65</v>
      </c>
      <c r="K3106" s="3" t="s">
        <v>66</v>
      </c>
      <c r="M3106" s="2" t="s">
        <v>30713</v>
      </c>
      <c r="N3106" s="3" t="s">
        <v>188</v>
      </c>
      <c r="P3106" s="3" t="s">
        <v>140</v>
      </c>
      <c r="Q3106" s="2" t="s">
        <v>30714</v>
      </c>
      <c r="R3106" s="3" t="s">
        <v>71</v>
      </c>
      <c r="S3106" s="4">
        <v>0</v>
      </c>
      <c r="T3106" s="4">
        <v>0</v>
      </c>
      <c r="W3106" s="5" t="s">
        <v>72</v>
      </c>
      <c r="X3106" s="5" t="s">
        <v>72</v>
      </c>
      <c r="Y3106" s="4">
        <v>29</v>
      </c>
      <c r="Z3106" s="4">
        <v>1</v>
      </c>
      <c r="AA3106" s="4">
        <v>1</v>
      </c>
      <c r="AB3106" s="4">
        <v>1</v>
      </c>
      <c r="AC3106" s="4">
        <v>1</v>
      </c>
      <c r="AD3106" s="4">
        <v>21</v>
      </c>
      <c r="AE3106" s="4">
        <v>23</v>
      </c>
      <c r="AF3106" s="4">
        <v>0</v>
      </c>
      <c r="AG3106" s="4">
        <v>0</v>
      </c>
      <c r="AH3106" s="4">
        <v>20</v>
      </c>
      <c r="AI3106" s="4">
        <v>22</v>
      </c>
      <c r="AJ3106" s="4">
        <v>0</v>
      </c>
      <c r="AK3106" s="4">
        <v>0</v>
      </c>
      <c r="AL3106" s="4">
        <v>17</v>
      </c>
      <c r="AM3106" s="4">
        <v>19</v>
      </c>
      <c r="AN3106" s="4">
        <v>0</v>
      </c>
      <c r="AO3106" s="4">
        <v>0</v>
      </c>
      <c r="AP3106" s="4">
        <v>0</v>
      </c>
      <c r="AQ3106" s="4">
        <v>0</v>
      </c>
      <c r="AR3106" s="3" t="s">
        <v>65</v>
      </c>
      <c r="AS3106" s="3" t="s">
        <v>65</v>
      </c>
      <c r="AT3106" s="3" t="s">
        <v>65</v>
      </c>
      <c r="AV3106" s="6" t="str">
        <f>HYPERLINK("http://mcgill.on.worldcat.org/oclc/1009716877","Catalog Record")</f>
        <v>Catalog Record</v>
      </c>
      <c r="AW3106" s="6" t="str">
        <f>HYPERLINK("http://www.worldcat.org/oclc/1009716877","WorldCat Record")</f>
        <v>WorldCat Record</v>
      </c>
      <c r="AX3106" s="3" t="s">
        <v>30715</v>
      </c>
      <c r="AY3106" s="3" t="s">
        <v>30716</v>
      </c>
      <c r="AZ3106" s="3" t="s">
        <v>30717</v>
      </c>
      <c r="BA3106" s="3" t="s">
        <v>30717</v>
      </c>
      <c r="BB3106" s="3" t="s">
        <v>30718</v>
      </c>
      <c r="BC3106" s="3" t="s">
        <v>77</v>
      </c>
      <c r="BD3106" s="3" t="s">
        <v>78</v>
      </c>
      <c r="BE3106" s="3" t="s">
        <v>30719</v>
      </c>
      <c r="BF3106" s="3" t="s">
        <v>30718</v>
      </c>
      <c r="BG3106" s="3" t="s">
        <v>30720</v>
      </c>
    </row>
    <row r="3107" spans="1:59" ht="58" x14ac:dyDescent="0.35">
      <c r="A3107" s="2" t="s">
        <v>59</v>
      </c>
      <c r="B3107" s="2" t="s">
        <v>60</v>
      </c>
      <c r="C3107" s="2" t="s">
        <v>30721</v>
      </c>
      <c r="D3107" s="2" t="s">
        <v>30722</v>
      </c>
      <c r="E3107" s="2" t="s">
        <v>30723</v>
      </c>
      <c r="G3107" s="3" t="s">
        <v>65</v>
      </c>
      <c r="I3107" s="3" t="s">
        <v>65</v>
      </c>
      <c r="J3107" s="3" t="s">
        <v>65</v>
      </c>
      <c r="K3107" s="3" t="s">
        <v>66</v>
      </c>
      <c r="L3107" s="2" t="s">
        <v>30724</v>
      </c>
      <c r="M3107" s="2" t="s">
        <v>17230</v>
      </c>
      <c r="N3107" s="3" t="s">
        <v>1944</v>
      </c>
      <c r="P3107" s="3" t="s">
        <v>140</v>
      </c>
      <c r="Q3107" s="2" t="s">
        <v>30725</v>
      </c>
      <c r="R3107" s="3" t="s">
        <v>71</v>
      </c>
      <c r="S3107" s="4">
        <v>3</v>
      </c>
      <c r="T3107" s="4">
        <v>3</v>
      </c>
      <c r="U3107" s="5" t="s">
        <v>6020</v>
      </c>
      <c r="V3107" s="5" t="s">
        <v>6020</v>
      </c>
      <c r="W3107" s="5" t="s">
        <v>72</v>
      </c>
      <c r="X3107" s="5" t="s">
        <v>72</v>
      </c>
      <c r="Y3107" s="4">
        <v>78</v>
      </c>
      <c r="Z3107" s="4">
        <v>8</v>
      </c>
      <c r="AA3107" s="4">
        <v>8</v>
      </c>
      <c r="AB3107" s="4">
        <v>2</v>
      </c>
      <c r="AC3107" s="4">
        <v>2</v>
      </c>
      <c r="AD3107" s="4">
        <v>45</v>
      </c>
      <c r="AE3107" s="4">
        <v>45</v>
      </c>
      <c r="AF3107" s="4">
        <v>1</v>
      </c>
      <c r="AG3107" s="4">
        <v>1</v>
      </c>
      <c r="AH3107" s="4">
        <v>43</v>
      </c>
      <c r="AI3107" s="4">
        <v>43</v>
      </c>
      <c r="AJ3107" s="4">
        <v>6</v>
      </c>
      <c r="AK3107" s="4">
        <v>6</v>
      </c>
      <c r="AL3107" s="4">
        <v>32</v>
      </c>
      <c r="AM3107" s="4">
        <v>32</v>
      </c>
      <c r="AN3107" s="4">
        <v>0</v>
      </c>
      <c r="AO3107" s="4">
        <v>0</v>
      </c>
      <c r="AP3107" s="4">
        <v>6</v>
      </c>
      <c r="AQ3107" s="4">
        <v>6</v>
      </c>
      <c r="AR3107" s="3" t="s">
        <v>65</v>
      </c>
      <c r="AS3107" s="3" t="s">
        <v>65</v>
      </c>
      <c r="AT3107" s="3" t="s">
        <v>209</v>
      </c>
      <c r="AU3107" s="6" t="str">
        <f>HYPERLINK("http://catalog.hathitrust.org/Record/004128965","HathiTrust Record")</f>
        <v>HathiTrust Record</v>
      </c>
      <c r="AV3107" s="6" t="str">
        <f>HYPERLINK("http://mcgill.on.worldcat.org/oclc/44745908","Catalog Record")</f>
        <v>Catalog Record</v>
      </c>
      <c r="AW3107" s="6" t="str">
        <f>HYPERLINK("http://www.worldcat.org/oclc/44745908","WorldCat Record")</f>
        <v>WorldCat Record</v>
      </c>
      <c r="AX3107" s="3" t="s">
        <v>30726</v>
      </c>
      <c r="AY3107" s="3" t="s">
        <v>30727</v>
      </c>
      <c r="AZ3107" s="3" t="s">
        <v>30728</v>
      </c>
      <c r="BA3107" s="3" t="s">
        <v>30728</v>
      </c>
      <c r="BB3107" s="3" t="s">
        <v>30729</v>
      </c>
      <c r="BC3107" s="3" t="s">
        <v>77</v>
      </c>
      <c r="BD3107" s="3" t="s">
        <v>78</v>
      </c>
      <c r="BE3107" s="3" t="s">
        <v>30730</v>
      </c>
      <c r="BF3107" s="3" t="s">
        <v>30729</v>
      </c>
      <c r="BG3107" s="3" t="s">
        <v>30731</v>
      </c>
    </row>
    <row r="3108" spans="1:59" ht="58" x14ac:dyDescent="0.35">
      <c r="A3108" s="2" t="s">
        <v>59</v>
      </c>
      <c r="B3108" s="2" t="s">
        <v>60</v>
      </c>
      <c r="C3108" s="2" t="s">
        <v>30732</v>
      </c>
      <c r="D3108" s="2" t="s">
        <v>30733</v>
      </c>
      <c r="E3108" s="2" t="s">
        <v>30734</v>
      </c>
      <c r="G3108" s="3" t="s">
        <v>65</v>
      </c>
      <c r="I3108" s="3" t="s">
        <v>65</v>
      </c>
      <c r="J3108" s="3" t="s">
        <v>65</v>
      </c>
      <c r="K3108" s="3" t="s">
        <v>66</v>
      </c>
      <c r="L3108" s="2" t="s">
        <v>5259</v>
      </c>
      <c r="M3108" s="2" t="s">
        <v>30735</v>
      </c>
      <c r="N3108" s="3" t="s">
        <v>7187</v>
      </c>
      <c r="P3108" s="3" t="s">
        <v>69</v>
      </c>
      <c r="R3108" s="3" t="s">
        <v>71</v>
      </c>
      <c r="S3108" s="4">
        <v>11</v>
      </c>
      <c r="T3108" s="4">
        <v>11</v>
      </c>
      <c r="U3108" s="5" t="s">
        <v>3606</v>
      </c>
      <c r="V3108" s="5" t="s">
        <v>3606</v>
      </c>
      <c r="W3108" s="5" t="s">
        <v>72</v>
      </c>
      <c r="X3108" s="5" t="s">
        <v>72</v>
      </c>
      <c r="Y3108" s="4">
        <v>11</v>
      </c>
      <c r="Z3108" s="4">
        <v>4</v>
      </c>
      <c r="AA3108" s="4">
        <v>25</v>
      </c>
      <c r="AB3108" s="4">
        <v>1</v>
      </c>
      <c r="AC3108" s="4">
        <v>3</v>
      </c>
      <c r="AD3108" s="4">
        <v>6</v>
      </c>
      <c r="AE3108" s="4">
        <v>110</v>
      </c>
      <c r="AF3108" s="4">
        <v>0</v>
      </c>
      <c r="AG3108" s="4">
        <v>2</v>
      </c>
      <c r="AH3108" s="4">
        <v>4</v>
      </c>
      <c r="AI3108" s="4">
        <v>96</v>
      </c>
      <c r="AJ3108" s="4">
        <v>3</v>
      </c>
      <c r="AK3108" s="4">
        <v>16</v>
      </c>
      <c r="AL3108" s="4">
        <v>2</v>
      </c>
      <c r="AM3108" s="4">
        <v>51</v>
      </c>
      <c r="AN3108" s="4">
        <v>0</v>
      </c>
      <c r="AO3108" s="4">
        <v>0</v>
      </c>
      <c r="AP3108" s="4">
        <v>3</v>
      </c>
      <c r="AQ3108" s="4">
        <v>20</v>
      </c>
      <c r="AR3108" s="3" t="s">
        <v>65</v>
      </c>
      <c r="AS3108" s="3" t="s">
        <v>65</v>
      </c>
      <c r="AT3108" s="3" t="s">
        <v>209</v>
      </c>
      <c r="AU3108" s="6" t="str">
        <f>HYPERLINK("http://catalog.hathitrust.org/Record/000252034","HathiTrust Record")</f>
        <v>HathiTrust Record</v>
      </c>
      <c r="AV3108" s="6" t="str">
        <f>HYPERLINK("http://mcgill.on.worldcat.org/oclc/427359371","Catalog Record")</f>
        <v>Catalog Record</v>
      </c>
      <c r="AW3108" s="6" t="str">
        <f>HYPERLINK("http://www.worldcat.org/oclc/427359371","WorldCat Record")</f>
        <v>WorldCat Record</v>
      </c>
      <c r="AX3108" s="3" t="s">
        <v>30736</v>
      </c>
      <c r="AY3108" s="3" t="s">
        <v>30737</v>
      </c>
      <c r="AZ3108" s="3" t="s">
        <v>30738</v>
      </c>
      <c r="BA3108" s="3" t="s">
        <v>30738</v>
      </c>
      <c r="BB3108" s="3" t="s">
        <v>30739</v>
      </c>
      <c r="BC3108" s="3" t="s">
        <v>77</v>
      </c>
      <c r="BD3108" s="3" t="s">
        <v>78</v>
      </c>
      <c r="BE3108" s="3" t="s">
        <v>30740</v>
      </c>
      <c r="BF3108" s="3" t="s">
        <v>30739</v>
      </c>
      <c r="BG3108" s="3" t="s">
        <v>30741</v>
      </c>
    </row>
    <row r="3109" spans="1:59" ht="58" x14ac:dyDescent="0.35">
      <c r="A3109" s="2" t="s">
        <v>59</v>
      </c>
      <c r="B3109" s="2" t="s">
        <v>60</v>
      </c>
      <c r="C3109" s="2" t="s">
        <v>30742</v>
      </c>
      <c r="D3109" s="2" t="s">
        <v>30743</v>
      </c>
      <c r="E3109" s="2" t="s">
        <v>30744</v>
      </c>
      <c r="G3109" s="3" t="s">
        <v>65</v>
      </c>
      <c r="I3109" s="3" t="s">
        <v>65</v>
      </c>
      <c r="J3109" s="3" t="s">
        <v>65</v>
      </c>
      <c r="K3109" s="3" t="s">
        <v>66</v>
      </c>
      <c r="M3109" s="2" t="s">
        <v>30745</v>
      </c>
      <c r="N3109" s="3" t="s">
        <v>1151</v>
      </c>
      <c r="P3109" s="3" t="s">
        <v>140</v>
      </c>
      <c r="R3109" s="3" t="s">
        <v>71</v>
      </c>
      <c r="S3109" s="4">
        <v>17</v>
      </c>
      <c r="T3109" s="4">
        <v>17</v>
      </c>
      <c r="U3109" s="5" t="s">
        <v>5537</v>
      </c>
      <c r="V3109" s="5" t="s">
        <v>5537</v>
      </c>
      <c r="W3109" s="5" t="s">
        <v>72</v>
      </c>
      <c r="X3109" s="5" t="s">
        <v>72</v>
      </c>
      <c r="Y3109" s="4">
        <v>94</v>
      </c>
      <c r="Z3109" s="4">
        <v>11</v>
      </c>
      <c r="AA3109" s="4">
        <v>11</v>
      </c>
      <c r="AB3109" s="4">
        <v>1</v>
      </c>
      <c r="AC3109" s="4">
        <v>1</v>
      </c>
      <c r="AD3109" s="4">
        <v>43</v>
      </c>
      <c r="AE3109" s="4">
        <v>43</v>
      </c>
      <c r="AF3109" s="4">
        <v>0</v>
      </c>
      <c r="AG3109" s="4">
        <v>0</v>
      </c>
      <c r="AH3109" s="4">
        <v>39</v>
      </c>
      <c r="AI3109" s="4">
        <v>39</v>
      </c>
      <c r="AJ3109" s="4">
        <v>8</v>
      </c>
      <c r="AK3109" s="4">
        <v>8</v>
      </c>
      <c r="AL3109" s="4">
        <v>28</v>
      </c>
      <c r="AM3109" s="4">
        <v>28</v>
      </c>
      <c r="AN3109" s="4">
        <v>0</v>
      </c>
      <c r="AO3109" s="4">
        <v>0</v>
      </c>
      <c r="AP3109" s="4">
        <v>8</v>
      </c>
      <c r="AQ3109" s="4">
        <v>8</v>
      </c>
      <c r="AR3109" s="3" t="s">
        <v>65</v>
      </c>
      <c r="AS3109" s="3" t="s">
        <v>65</v>
      </c>
      <c r="AT3109" s="3" t="s">
        <v>65</v>
      </c>
      <c r="AV3109" s="6" t="str">
        <f>HYPERLINK("http://mcgill.on.worldcat.org/oclc/3893239","Catalog Record")</f>
        <v>Catalog Record</v>
      </c>
      <c r="AW3109" s="6" t="str">
        <f>HYPERLINK("http://www.worldcat.org/oclc/3893239","WorldCat Record")</f>
        <v>WorldCat Record</v>
      </c>
      <c r="AX3109" s="3" t="s">
        <v>30746</v>
      </c>
      <c r="AY3109" s="3" t="s">
        <v>30747</v>
      </c>
      <c r="AZ3109" s="3" t="s">
        <v>30748</v>
      </c>
      <c r="BA3109" s="3" t="s">
        <v>30748</v>
      </c>
      <c r="BB3109" s="3" t="s">
        <v>30749</v>
      </c>
      <c r="BC3109" s="3" t="s">
        <v>77</v>
      </c>
      <c r="BD3109" s="3" t="s">
        <v>78</v>
      </c>
      <c r="BF3109" s="3" t="s">
        <v>30749</v>
      </c>
      <c r="BG3109" s="3" t="s">
        <v>30750</v>
      </c>
    </row>
    <row r="3110" spans="1:59" ht="72.5" x14ac:dyDescent="0.35">
      <c r="A3110" s="2" t="s">
        <v>59</v>
      </c>
      <c r="B3110" s="2" t="s">
        <v>60</v>
      </c>
      <c r="C3110" s="2" t="s">
        <v>30751</v>
      </c>
      <c r="D3110" s="2" t="s">
        <v>30752</v>
      </c>
      <c r="E3110" s="2" t="s">
        <v>30753</v>
      </c>
      <c r="G3110" s="3" t="s">
        <v>65</v>
      </c>
      <c r="I3110" s="3" t="s">
        <v>65</v>
      </c>
      <c r="J3110" s="3" t="s">
        <v>65</v>
      </c>
      <c r="K3110" s="3" t="s">
        <v>66</v>
      </c>
      <c r="L3110" s="2" t="s">
        <v>30754</v>
      </c>
      <c r="M3110" s="2" t="s">
        <v>539</v>
      </c>
      <c r="N3110" s="3" t="s">
        <v>152</v>
      </c>
      <c r="P3110" s="3" t="s">
        <v>140</v>
      </c>
      <c r="Q3110" s="2" t="s">
        <v>30755</v>
      </c>
      <c r="R3110" s="3" t="s">
        <v>71</v>
      </c>
      <c r="S3110" s="4">
        <v>0</v>
      </c>
      <c r="T3110" s="4">
        <v>0</v>
      </c>
      <c r="W3110" s="5" t="s">
        <v>72</v>
      </c>
      <c r="X3110" s="5" t="s">
        <v>72</v>
      </c>
      <c r="Y3110" s="4">
        <v>40</v>
      </c>
      <c r="Z3110" s="4">
        <v>4</v>
      </c>
      <c r="AA3110" s="4">
        <v>5</v>
      </c>
      <c r="AB3110" s="4">
        <v>1</v>
      </c>
      <c r="AC3110" s="4">
        <v>1</v>
      </c>
      <c r="AD3110" s="4">
        <v>26</v>
      </c>
      <c r="AE3110" s="4">
        <v>29</v>
      </c>
      <c r="AF3110" s="4">
        <v>0</v>
      </c>
      <c r="AG3110" s="4">
        <v>0</v>
      </c>
      <c r="AH3110" s="4">
        <v>25</v>
      </c>
      <c r="AI3110" s="4">
        <v>28</v>
      </c>
      <c r="AJ3110" s="4">
        <v>1</v>
      </c>
      <c r="AK3110" s="4">
        <v>2</v>
      </c>
      <c r="AL3110" s="4">
        <v>22</v>
      </c>
      <c r="AM3110" s="4">
        <v>23</v>
      </c>
      <c r="AN3110" s="4">
        <v>0</v>
      </c>
      <c r="AO3110" s="4">
        <v>0</v>
      </c>
      <c r="AP3110" s="4">
        <v>1</v>
      </c>
      <c r="AQ3110" s="4">
        <v>2</v>
      </c>
      <c r="AR3110" s="3" t="s">
        <v>65</v>
      </c>
      <c r="AS3110" s="3" t="s">
        <v>65</v>
      </c>
      <c r="AT3110" s="3" t="s">
        <v>65</v>
      </c>
      <c r="AV3110" s="6" t="str">
        <f>HYPERLINK("http://mcgill.on.worldcat.org/oclc/830363102","Catalog Record")</f>
        <v>Catalog Record</v>
      </c>
      <c r="AW3110" s="6" t="str">
        <f>HYPERLINK("http://www.worldcat.org/oclc/830363102","WorldCat Record")</f>
        <v>WorldCat Record</v>
      </c>
      <c r="AX3110" s="3" t="s">
        <v>30756</v>
      </c>
      <c r="AY3110" s="3" t="s">
        <v>30757</v>
      </c>
      <c r="AZ3110" s="3" t="s">
        <v>30758</v>
      </c>
      <c r="BA3110" s="3" t="s">
        <v>30758</v>
      </c>
      <c r="BB3110" s="3" t="s">
        <v>30759</v>
      </c>
      <c r="BC3110" s="3" t="s">
        <v>77</v>
      </c>
      <c r="BD3110" s="3" t="s">
        <v>78</v>
      </c>
      <c r="BE3110" s="3" t="s">
        <v>30760</v>
      </c>
      <c r="BF3110" s="3" t="s">
        <v>30759</v>
      </c>
      <c r="BG3110" s="3" t="s">
        <v>30761</v>
      </c>
    </row>
    <row r="3111" spans="1:59" ht="58" x14ac:dyDescent="0.35">
      <c r="A3111" s="2" t="s">
        <v>59</v>
      </c>
      <c r="B3111" s="2" t="s">
        <v>60</v>
      </c>
      <c r="C3111" s="2" t="s">
        <v>30762</v>
      </c>
      <c r="D3111" s="2" t="s">
        <v>30763</v>
      </c>
      <c r="E3111" s="2" t="s">
        <v>30764</v>
      </c>
      <c r="G3111" s="3" t="s">
        <v>65</v>
      </c>
      <c r="I3111" s="3" t="s">
        <v>65</v>
      </c>
      <c r="J3111" s="3" t="s">
        <v>65</v>
      </c>
      <c r="K3111" s="3" t="s">
        <v>66</v>
      </c>
      <c r="L3111" s="2" t="s">
        <v>30765</v>
      </c>
      <c r="M3111" s="2" t="s">
        <v>30766</v>
      </c>
      <c r="N3111" s="3" t="s">
        <v>392</v>
      </c>
      <c r="P3111" s="3" t="s">
        <v>140</v>
      </c>
      <c r="Q3111" s="2" t="s">
        <v>30767</v>
      </c>
      <c r="R3111" s="3" t="s">
        <v>71</v>
      </c>
      <c r="S3111" s="4">
        <v>3</v>
      </c>
      <c r="T3111" s="4">
        <v>3</v>
      </c>
      <c r="U3111" s="5" t="s">
        <v>3091</v>
      </c>
      <c r="V3111" s="5" t="s">
        <v>3091</v>
      </c>
      <c r="W3111" s="5" t="s">
        <v>72</v>
      </c>
      <c r="X3111" s="5" t="s">
        <v>72</v>
      </c>
      <c r="Y3111" s="4">
        <v>111</v>
      </c>
      <c r="Z3111" s="4">
        <v>11</v>
      </c>
      <c r="AA3111" s="4">
        <v>12</v>
      </c>
      <c r="AB3111" s="4">
        <v>2</v>
      </c>
      <c r="AC3111" s="4">
        <v>3</v>
      </c>
      <c r="AD3111" s="4">
        <v>51</v>
      </c>
      <c r="AE3111" s="4">
        <v>52</v>
      </c>
      <c r="AF3111" s="4">
        <v>1</v>
      </c>
      <c r="AG3111" s="4">
        <v>2</v>
      </c>
      <c r="AH3111" s="4">
        <v>46</v>
      </c>
      <c r="AI3111" s="4">
        <v>46</v>
      </c>
      <c r="AJ3111" s="4">
        <v>9</v>
      </c>
      <c r="AK3111" s="4">
        <v>10</v>
      </c>
      <c r="AL3111" s="4">
        <v>31</v>
      </c>
      <c r="AM3111" s="4">
        <v>31</v>
      </c>
      <c r="AN3111" s="4">
        <v>0</v>
      </c>
      <c r="AO3111" s="4">
        <v>0</v>
      </c>
      <c r="AP3111" s="4">
        <v>9</v>
      </c>
      <c r="AQ3111" s="4">
        <v>9</v>
      </c>
      <c r="AR3111" s="3" t="s">
        <v>65</v>
      </c>
      <c r="AS3111" s="3" t="s">
        <v>65</v>
      </c>
      <c r="AT3111" s="3" t="s">
        <v>209</v>
      </c>
      <c r="AU3111" s="6" t="str">
        <f>HYPERLINK("http://catalog.hathitrust.org/Record/001837256","HathiTrust Record")</f>
        <v>HathiTrust Record</v>
      </c>
      <c r="AV3111" s="6" t="str">
        <f>HYPERLINK("http://mcgill.on.worldcat.org/oclc/21305530","Catalog Record")</f>
        <v>Catalog Record</v>
      </c>
      <c r="AW3111" s="6" t="str">
        <f>HYPERLINK("http://www.worldcat.org/oclc/21305530","WorldCat Record")</f>
        <v>WorldCat Record</v>
      </c>
      <c r="AX3111" s="3" t="s">
        <v>30768</v>
      </c>
      <c r="AY3111" s="3" t="s">
        <v>30769</v>
      </c>
      <c r="AZ3111" s="3" t="s">
        <v>30770</v>
      </c>
      <c r="BA3111" s="3" t="s">
        <v>30770</v>
      </c>
      <c r="BB3111" s="3" t="s">
        <v>30771</v>
      </c>
      <c r="BC3111" s="3" t="s">
        <v>77</v>
      </c>
      <c r="BD3111" s="3" t="s">
        <v>78</v>
      </c>
      <c r="BE3111" s="3" t="s">
        <v>30772</v>
      </c>
      <c r="BF3111" s="3" t="s">
        <v>30771</v>
      </c>
      <c r="BG3111" s="3" t="s">
        <v>30773</v>
      </c>
    </row>
    <row r="3112" spans="1:59" ht="58" x14ac:dyDescent="0.35">
      <c r="A3112" s="2" t="s">
        <v>59</v>
      </c>
      <c r="B3112" s="2" t="s">
        <v>60</v>
      </c>
      <c r="C3112" s="2" t="s">
        <v>30774</v>
      </c>
      <c r="D3112" s="2" t="s">
        <v>30775</v>
      </c>
      <c r="E3112" s="2" t="s">
        <v>30776</v>
      </c>
      <c r="G3112" s="3" t="s">
        <v>65</v>
      </c>
      <c r="I3112" s="3" t="s">
        <v>65</v>
      </c>
      <c r="J3112" s="3" t="s">
        <v>65</v>
      </c>
      <c r="K3112" s="3" t="s">
        <v>66</v>
      </c>
      <c r="L3112" s="2" t="s">
        <v>30765</v>
      </c>
      <c r="M3112" s="2" t="s">
        <v>30777</v>
      </c>
      <c r="N3112" s="3" t="s">
        <v>493</v>
      </c>
      <c r="P3112" s="3" t="s">
        <v>140</v>
      </c>
      <c r="Q3112" s="2" t="s">
        <v>30778</v>
      </c>
      <c r="R3112" s="3" t="s">
        <v>71</v>
      </c>
      <c r="S3112" s="4">
        <v>13</v>
      </c>
      <c r="T3112" s="4">
        <v>13</v>
      </c>
      <c r="U3112" s="5" t="s">
        <v>8657</v>
      </c>
      <c r="V3112" s="5" t="s">
        <v>8657</v>
      </c>
      <c r="W3112" s="5" t="s">
        <v>72</v>
      </c>
      <c r="X3112" s="5" t="s">
        <v>72</v>
      </c>
      <c r="Y3112" s="4">
        <v>2</v>
      </c>
      <c r="Z3112" s="4">
        <v>1</v>
      </c>
      <c r="AA3112" s="4">
        <v>18</v>
      </c>
      <c r="AB3112" s="4">
        <v>1</v>
      </c>
      <c r="AC3112" s="4">
        <v>3</v>
      </c>
      <c r="AD3112" s="4">
        <v>1</v>
      </c>
      <c r="AE3112" s="4">
        <v>75</v>
      </c>
      <c r="AF3112" s="4">
        <v>0</v>
      </c>
      <c r="AG3112" s="4">
        <v>2</v>
      </c>
      <c r="AH3112" s="4">
        <v>1</v>
      </c>
      <c r="AI3112" s="4">
        <v>67</v>
      </c>
      <c r="AJ3112" s="4">
        <v>0</v>
      </c>
      <c r="AK3112" s="4">
        <v>13</v>
      </c>
      <c r="AL3112" s="4">
        <v>1</v>
      </c>
      <c r="AM3112" s="4">
        <v>46</v>
      </c>
      <c r="AN3112" s="4">
        <v>0</v>
      </c>
      <c r="AO3112" s="4">
        <v>5</v>
      </c>
      <c r="AP3112" s="4">
        <v>0</v>
      </c>
      <c r="AQ3112" s="4">
        <v>12</v>
      </c>
      <c r="AR3112" s="3" t="s">
        <v>65</v>
      </c>
      <c r="AS3112" s="3" t="s">
        <v>65</v>
      </c>
      <c r="AT3112" s="3" t="s">
        <v>65</v>
      </c>
      <c r="AV3112" s="6" t="str">
        <f>HYPERLINK("http://mcgill.on.worldcat.org/oclc/427115110","Catalog Record")</f>
        <v>Catalog Record</v>
      </c>
      <c r="AW3112" s="6" t="str">
        <f>HYPERLINK("http://www.worldcat.org/oclc/427115110","WorldCat Record")</f>
        <v>WorldCat Record</v>
      </c>
      <c r="AX3112" s="3" t="s">
        <v>30779</v>
      </c>
      <c r="AY3112" s="3" t="s">
        <v>30780</v>
      </c>
      <c r="AZ3112" s="3" t="s">
        <v>30781</v>
      </c>
      <c r="BA3112" s="3" t="s">
        <v>30781</v>
      </c>
      <c r="BB3112" s="3" t="s">
        <v>30782</v>
      </c>
      <c r="BC3112" s="3" t="s">
        <v>77</v>
      </c>
      <c r="BD3112" s="3" t="s">
        <v>78</v>
      </c>
      <c r="BF3112" s="3" t="s">
        <v>30782</v>
      </c>
      <c r="BG3112" s="3" t="s">
        <v>30783</v>
      </c>
    </row>
    <row r="3113" spans="1:59" ht="58" x14ac:dyDescent="0.35">
      <c r="A3113" s="2" t="s">
        <v>59</v>
      </c>
      <c r="B3113" s="2" t="s">
        <v>60</v>
      </c>
      <c r="C3113" s="2" t="s">
        <v>30784</v>
      </c>
      <c r="D3113" s="2" t="s">
        <v>30785</v>
      </c>
      <c r="E3113" s="2" t="s">
        <v>30786</v>
      </c>
      <c r="G3113" s="3" t="s">
        <v>65</v>
      </c>
      <c r="I3113" s="3" t="s">
        <v>65</v>
      </c>
      <c r="J3113" s="3" t="s">
        <v>65</v>
      </c>
      <c r="K3113" s="3" t="s">
        <v>66</v>
      </c>
      <c r="L3113" s="2" t="s">
        <v>5582</v>
      </c>
      <c r="M3113" s="2" t="s">
        <v>30787</v>
      </c>
      <c r="N3113" s="3" t="s">
        <v>139</v>
      </c>
      <c r="P3113" s="3" t="s">
        <v>140</v>
      </c>
      <c r="Q3113" s="2" t="s">
        <v>30788</v>
      </c>
      <c r="R3113" s="3" t="s">
        <v>71</v>
      </c>
      <c r="S3113" s="4">
        <v>0</v>
      </c>
      <c r="T3113" s="4">
        <v>0</v>
      </c>
      <c r="W3113" s="5" t="s">
        <v>72</v>
      </c>
      <c r="X3113" s="5" t="s">
        <v>72</v>
      </c>
      <c r="Y3113" s="4">
        <v>43</v>
      </c>
      <c r="Z3113" s="4">
        <v>4</v>
      </c>
      <c r="AA3113" s="4">
        <v>6</v>
      </c>
      <c r="AB3113" s="4">
        <v>1</v>
      </c>
      <c r="AC3113" s="4">
        <v>3</v>
      </c>
      <c r="AD3113" s="4">
        <v>32</v>
      </c>
      <c r="AE3113" s="4">
        <v>33</v>
      </c>
      <c r="AF3113" s="4">
        <v>0</v>
      </c>
      <c r="AG3113" s="4">
        <v>1</v>
      </c>
      <c r="AH3113" s="4">
        <v>31</v>
      </c>
      <c r="AI3113" s="4">
        <v>31</v>
      </c>
      <c r="AJ3113" s="4">
        <v>2</v>
      </c>
      <c r="AK3113" s="4">
        <v>3</v>
      </c>
      <c r="AL3113" s="4">
        <v>25</v>
      </c>
      <c r="AM3113" s="4">
        <v>25</v>
      </c>
      <c r="AN3113" s="4">
        <v>0</v>
      </c>
      <c r="AO3113" s="4">
        <v>0</v>
      </c>
      <c r="AP3113" s="4">
        <v>2</v>
      </c>
      <c r="AQ3113" s="4">
        <v>2</v>
      </c>
      <c r="AR3113" s="3" t="s">
        <v>65</v>
      </c>
      <c r="AS3113" s="3" t="s">
        <v>65</v>
      </c>
      <c r="AT3113" s="3" t="s">
        <v>65</v>
      </c>
      <c r="AV3113" s="6" t="str">
        <f>HYPERLINK("http://mcgill.on.worldcat.org/oclc/785335852","Catalog Record")</f>
        <v>Catalog Record</v>
      </c>
      <c r="AW3113" s="6" t="str">
        <f>HYPERLINK("http://www.worldcat.org/oclc/785335852","WorldCat Record")</f>
        <v>WorldCat Record</v>
      </c>
      <c r="AX3113" s="3" t="s">
        <v>30789</v>
      </c>
      <c r="AY3113" s="3" t="s">
        <v>30790</v>
      </c>
      <c r="AZ3113" s="3" t="s">
        <v>30791</v>
      </c>
      <c r="BA3113" s="3" t="s">
        <v>30791</v>
      </c>
      <c r="BB3113" s="3" t="s">
        <v>30792</v>
      </c>
      <c r="BC3113" s="3" t="s">
        <v>77</v>
      </c>
      <c r="BD3113" s="3" t="s">
        <v>78</v>
      </c>
      <c r="BE3113" s="3" t="s">
        <v>30793</v>
      </c>
      <c r="BF3113" s="3" t="s">
        <v>30792</v>
      </c>
      <c r="BG3113" s="3" t="s">
        <v>30794</v>
      </c>
    </row>
    <row r="3114" spans="1:59" ht="58" x14ac:dyDescent="0.35">
      <c r="A3114" s="2" t="s">
        <v>59</v>
      </c>
      <c r="B3114" s="2" t="s">
        <v>60</v>
      </c>
      <c r="C3114" s="2" t="s">
        <v>30795</v>
      </c>
      <c r="D3114" s="2" t="s">
        <v>30796</v>
      </c>
      <c r="E3114" s="2" t="s">
        <v>30797</v>
      </c>
      <c r="G3114" s="3" t="s">
        <v>65</v>
      </c>
      <c r="I3114" s="3" t="s">
        <v>65</v>
      </c>
      <c r="J3114" s="3" t="s">
        <v>65</v>
      </c>
      <c r="K3114" s="3" t="s">
        <v>66</v>
      </c>
      <c r="L3114" s="2" t="s">
        <v>30798</v>
      </c>
      <c r="M3114" s="2" t="s">
        <v>30799</v>
      </c>
      <c r="N3114" s="3" t="s">
        <v>392</v>
      </c>
      <c r="P3114" s="3" t="s">
        <v>140</v>
      </c>
      <c r="Q3114" s="2" t="s">
        <v>30800</v>
      </c>
      <c r="R3114" s="3" t="s">
        <v>71</v>
      </c>
      <c r="S3114" s="4">
        <v>14</v>
      </c>
      <c r="T3114" s="4">
        <v>14</v>
      </c>
      <c r="U3114" s="5" t="s">
        <v>8657</v>
      </c>
      <c r="V3114" s="5" t="s">
        <v>8657</v>
      </c>
      <c r="W3114" s="5" t="s">
        <v>72</v>
      </c>
      <c r="X3114" s="5" t="s">
        <v>72</v>
      </c>
      <c r="Y3114" s="4">
        <v>44</v>
      </c>
      <c r="Z3114" s="4">
        <v>4</v>
      </c>
      <c r="AA3114" s="4">
        <v>4</v>
      </c>
      <c r="AB3114" s="4">
        <v>1</v>
      </c>
      <c r="AC3114" s="4">
        <v>1</v>
      </c>
      <c r="AD3114" s="4">
        <v>26</v>
      </c>
      <c r="AE3114" s="4">
        <v>26</v>
      </c>
      <c r="AF3114" s="4">
        <v>0</v>
      </c>
      <c r="AG3114" s="4">
        <v>0</v>
      </c>
      <c r="AH3114" s="4">
        <v>24</v>
      </c>
      <c r="AI3114" s="4">
        <v>24</v>
      </c>
      <c r="AJ3114" s="4">
        <v>2</v>
      </c>
      <c r="AK3114" s="4">
        <v>2</v>
      </c>
      <c r="AL3114" s="4">
        <v>22</v>
      </c>
      <c r="AM3114" s="4">
        <v>22</v>
      </c>
      <c r="AN3114" s="4">
        <v>0</v>
      </c>
      <c r="AO3114" s="4">
        <v>0</v>
      </c>
      <c r="AP3114" s="4">
        <v>2</v>
      </c>
      <c r="AQ3114" s="4">
        <v>2</v>
      </c>
      <c r="AR3114" s="3" t="s">
        <v>65</v>
      </c>
      <c r="AS3114" s="3" t="s">
        <v>65</v>
      </c>
      <c r="AT3114" s="3" t="s">
        <v>209</v>
      </c>
      <c r="AU3114" s="6" t="str">
        <f>HYPERLINK("http://catalog.hathitrust.org/Record/002182783","HathiTrust Record")</f>
        <v>HathiTrust Record</v>
      </c>
      <c r="AV3114" s="6" t="str">
        <f>HYPERLINK("http://mcgill.on.worldcat.org/oclc/21949767","Catalog Record")</f>
        <v>Catalog Record</v>
      </c>
      <c r="AW3114" s="6" t="str">
        <f>HYPERLINK("http://www.worldcat.org/oclc/21949767","WorldCat Record")</f>
        <v>WorldCat Record</v>
      </c>
      <c r="AX3114" s="3" t="s">
        <v>30801</v>
      </c>
      <c r="AY3114" s="3" t="s">
        <v>30802</v>
      </c>
      <c r="AZ3114" s="3" t="s">
        <v>30803</v>
      </c>
      <c r="BA3114" s="3" t="s">
        <v>30803</v>
      </c>
      <c r="BB3114" s="3" t="s">
        <v>30804</v>
      </c>
      <c r="BC3114" s="3" t="s">
        <v>77</v>
      </c>
      <c r="BD3114" s="3" t="s">
        <v>78</v>
      </c>
      <c r="BF3114" s="3" t="s">
        <v>30804</v>
      </c>
      <c r="BG3114" s="3" t="s">
        <v>30805</v>
      </c>
    </row>
    <row r="3115" spans="1:59" ht="58" x14ac:dyDescent="0.35">
      <c r="A3115" s="2" t="s">
        <v>59</v>
      </c>
      <c r="B3115" s="2" t="s">
        <v>60</v>
      </c>
      <c r="C3115" s="2" t="s">
        <v>30806</v>
      </c>
      <c r="D3115" s="2" t="s">
        <v>30807</v>
      </c>
      <c r="E3115" s="2" t="s">
        <v>30808</v>
      </c>
      <c r="G3115" s="3" t="s">
        <v>65</v>
      </c>
      <c r="I3115" s="3" t="s">
        <v>65</v>
      </c>
      <c r="J3115" s="3" t="s">
        <v>65</v>
      </c>
      <c r="K3115" s="3" t="s">
        <v>66</v>
      </c>
      <c r="L3115" s="2" t="s">
        <v>30809</v>
      </c>
      <c r="M3115" s="2" t="s">
        <v>30810</v>
      </c>
      <c r="N3115" s="3" t="s">
        <v>113</v>
      </c>
      <c r="P3115" s="3" t="s">
        <v>140</v>
      </c>
      <c r="Q3115" s="2" t="s">
        <v>30811</v>
      </c>
      <c r="R3115" s="3" t="s">
        <v>71</v>
      </c>
      <c r="S3115" s="4">
        <v>1</v>
      </c>
      <c r="T3115" s="4">
        <v>1</v>
      </c>
      <c r="U3115" s="5" t="s">
        <v>30812</v>
      </c>
      <c r="V3115" s="5" t="s">
        <v>30812</v>
      </c>
      <c r="W3115" s="5" t="s">
        <v>72</v>
      </c>
      <c r="X3115" s="5" t="s">
        <v>72</v>
      </c>
      <c r="Y3115" s="4">
        <v>30</v>
      </c>
      <c r="Z3115" s="4">
        <v>4</v>
      </c>
      <c r="AA3115" s="4">
        <v>4</v>
      </c>
      <c r="AB3115" s="4">
        <v>1</v>
      </c>
      <c r="AC3115" s="4">
        <v>1</v>
      </c>
      <c r="AD3115" s="4">
        <v>21</v>
      </c>
      <c r="AE3115" s="4">
        <v>21</v>
      </c>
      <c r="AF3115" s="4">
        <v>0</v>
      </c>
      <c r="AG3115" s="4">
        <v>0</v>
      </c>
      <c r="AH3115" s="4">
        <v>20</v>
      </c>
      <c r="AI3115" s="4">
        <v>20</v>
      </c>
      <c r="AJ3115" s="4">
        <v>2</v>
      </c>
      <c r="AK3115" s="4">
        <v>2</v>
      </c>
      <c r="AL3115" s="4">
        <v>15</v>
      </c>
      <c r="AM3115" s="4">
        <v>15</v>
      </c>
      <c r="AN3115" s="4">
        <v>0</v>
      </c>
      <c r="AO3115" s="4">
        <v>0</v>
      </c>
      <c r="AP3115" s="4">
        <v>2</v>
      </c>
      <c r="AQ3115" s="4">
        <v>2</v>
      </c>
      <c r="AR3115" s="3" t="s">
        <v>65</v>
      </c>
      <c r="AS3115" s="3" t="s">
        <v>65</v>
      </c>
      <c r="AT3115" s="3" t="s">
        <v>65</v>
      </c>
      <c r="AV3115" s="6" t="str">
        <f>HYPERLINK("http://mcgill.on.worldcat.org/oclc/703207254","Catalog Record")</f>
        <v>Catalog Record</v>
      </c>
      <c r="AW3115" s="6" t="str">
        <f>HYPERLINK("http://www.worldcat.org/oclc/703207254","WorldCat Record")</f>
        <v>WorldCat Record</v>
      </c>
      <c r="AX3115" s="3" t="s">
        <v>30813</v>
      </c>
      <c r="AY3115" s="3" t="s">
        <v>30814</v>
      </c>
      <c r="AZ3115" s="3" t="s">
        <v>30815</v>
      </c>
      <c r="BA3115" s="3" t="s">
        <v>30815</v>
      </c>
      <c r="BB3115" s="3" t="s">
        <v>30816</v>
      </c>
      <c r="BC3115" s="3" t="s">
        <v>77</v>
      </c>
      <c r="BD3115" s="3" t="s">
        <v>78</v>
      </c>
      <c r="BE3115" s="3" t="s">
        <v>30817</v>
      </c>
      <c r="BF3115" s="3" t="s">
        <v>30816</v>
      </c>
      <c r="BG3115" s="3" t="s">
        <v>30818</v>
      </c>
    </row>
    <row r="3116" spans="1:59" ht="58" x14ac:dyDescent="0.35">
      <c r="A3116" s="2" t="s">
        <v>59</v>
      </c>
      <c r="B3116" s="2" t="s">
        <v>60</v>
      </c>
      <c r="C3116" s="2" t="s">
        <v>30819</v>
      </c>
      <c r="D3116" s="2" t="s">
        <v>30820</v>
      </c>
      <c r="E3116" s="2" t="s">
        <v>30821</v>
      </c>
      <c r="G3116" s="3" t="s">
        <v>65</v>
      </c>
      <c r="I3116" s="3" t="s">
        <v>65</v>
      </c>
      <c r="J3116" s="3" t="s">
        <v>65</v>
      </c>
      <c r="K3116" s="3" t="s">
        <v>66</v>
      </c>
      <c r="L3116" s="2" t="s">
        <v>30822</v>
      </c>
      <c r="M3116" s="2" t="s">
        <v>30823</v>
      </c>
      <c r="N3116" s="3" t="s">
        <v>247</v>
      </c>
      <c r="O3116" s="2" t="s">
        <v>365</v>
      </c>
      <c r="P3116" s="3" t="s">
        <v>140</v>
      </c>
      <c r="Q3116" s="2" t="s">
        <v>565</v>
      </c>
      <c r="R3116" s="3" t="s">
        <v>71</v>
      </c>
      <c r="S3116" s="4">
        <v>5</v>
      </c>
      <c r="T3116" s="4">
        <v>5</v>
      </c>
      <c r="U3116" s="5" t="s">
        <v>5132</v>
      </c>
      <c r="V3116" s="5" t="s">
        <v>5132</v>
      </c>
      <c r="W3116" s="5" t="s">
        <v>72</v>
      </c>
      <c r="X3116" s="5" t="s">
        <v>72</v>
      </c>
      <c r="Y3116" s="4">
        <v>91</v>
      </c>
      <c r="Z3116" s="4">
        <v>8</v>
      </c>
      <c r="AA3116" s="4">
        <v>9</v>
      </c>
      <c r="AB3116" s="4">
        <v>1</v>
      </c>
      <c r="AC3116" s="4">
        <v>2</v>
      </c>
      <c r="AD3116" s="4">
        <v>40</v>
      </c>
      <c r="AE3116" s="4">
        <v>42</v>
      </c>
      <c r="AF3116" s="4">
        <v>0</v>
      </c>
      <c r="AG3116" s="4">
        <v>1</v>
      </c>
      <c r="AH3116" s="4">
        <v>36</v>
      </c>
      <c r="AI3116" s="4">
        <v>37</v>
      </c>
      <c r="AJ3116" s="4">
        <v>5</v>
      </c>
      <c r="AK3116" s="4">
        <v>6</v>
      </c>
      <c r="AL3116" s="4">
        <v>28</v>
      </c>
      <c r="AM3116" s="4">
        <v>29</v>
      </c>
      <c r="AN3116" s="4">
        <v>0</v>
      </c>
      <c r="AO3116" s="4">
        <v>0</v>
      </c>
      <c r="AP3116" s="4">
        <v>6</v>
      </c>
      <c r="AQ3116" s="4">
        <v>6</v>
      </c>
      <c r="AR3116" s="3" t="s">
        <v>65</v>
      </c>
      <c r="AS3116" s="3" t="s">
        <v>65</v>
      </c>
      <c r="AT3116" s="3" t="s">
        <v>209</v>
      </c>
      <c r="AU3116" s="6" t="str">
        <f>HYPERLINK("http://catalog.hathitrust.org/Record/002780614","HathiTrust Record")</f>
        <v>HathiTrust Record</v>
      </c>
      <c r="AV3116" s="6" t="str">
        <f>HYPERLINK("http://mcgill.on.worldcat.org/oclc/32133830","Catalog Record")</f>
        <v>Catalog Record</v>
      </c>
      <c r="AW3116" s="6" t="str">
        <f>HYPERLINK("http://www.worldcat.org/oclc/32133830","WorldCat Record")</f>
        <v>WorldCat Record</v>
      </c>
      <c r="AX3116" s="3" t="s">
        <v>30824</v>
      </c>
      <c r="AY3116" s="3" t="s">
        <v>30825</v>
      </c>
      <c r="AZ3116" s="3" t="s">
        <v>30826</v>
      </c>
      <c r="BA3116" s="3" t="s">
        <v>30826</v>
      </c>
      <c r="BB3116" s="3" t="s">
        <v>30827</v>
      </c>
      <c r="BC3116" s="3" t="s">
        <v>77</v>
      </c>
      <c r="BD3116" s="3" t="s">
        <v>78</v>
      </c>
      <c r="BE3116" s="3" t="s">
        <v>30828</v>
      </c>
      <c r="BF3116" s="3" t="s">
        <v>30827</v>
      </c>
      <c r="BG3116" s="3" t="s">
        <v>30829</v>
      </c>
    </row>
    <row r="3117" spans="1:59" ht="72.5" x14ac:dyDescent="0.35">
      <c r="A3117" s="2" t="s">
        <v>59</v>
      </c>
      <c r="B3117" s="2" t="s">
        <v>60</v>
      </c>
      <c r="C3117" s="2" t="s">
        <v>30830</v>
      </c>
      <c r="D3117" s="2" t="s">
        <v>30831</v>
      </c>
      <c r="E3117" s="2" t="s">
        <v>30832</v>
      </c>
      <c r="G3117" s="3" t="s">
        <v>65</v>
      </c>
      <c r="I3117" s="3" t="s">
        <v>65</v>
      </c>
      <c r="J3117" s="3" t="s">
        <v>65</v>
      </c>
      <c r="K3117" s="3" t="s">
        <v>66</v>
      </c>
      <c r="L3117" s="2" t="s">
        <v>23017</v>
      </c>
      <c r="M3117" s="2" t="s">
        <v>1322</v>
      </c>
      <c r="N3117" s="3" t="s">
        <v>164</v>
      </c>
      <c r="P3117" s="3" t="s">
        <v>140</v>
      </c>
      <c r="Q3117" s="2" t="s">
        <v>30833</v>
      </c>
      <c r="R3117" s="3" t="s">
        <v>71</v>
      </c>
      <c r="S3117" s="4">
        <v>0</v>
      </c>
      <c r="T3117" s="4">
        <v>0</v>
      </c>
      <c r="W3117" s="5" t="s">
        <v>72</v>
      </c>
      <c r="X3117" s="5" t="s">
        <v>72</v>
      </c>
      <c r="Y3117" s="4">
        <v>44</v>
      </c>
      <c r="Z3117" s="4">
        <v>5</v>
      </c>
      <c r="AA3117" s="4">
        <v>5</v>
      </c>
      <c r="AB3117" s="4">
        <v>1</v>
      </c>
      <c r="AC3117" s="4">
        <v>1</v>
      </c>
      <c r="AD3117" s="4">
        <v>26</v>
      </c>
      <c r="AE3117" s="4">
        <v>26</v>
      </c>
      <c r="AF3117" s="4">
        <v>0</v>
      </c>
      <c r="AG3117" s="4">
        <v>0</v>
      </c>
      <c r="AH3117" s="4">
        <v>25</v>
      </c>
      <c r="AI3117" s="4">
        <v>25</v>
      </c>
      <c r="AJ3117" s="4">
        <v>2</v>
      </c>
      <c r="AK3117" s="4">
        <v>2</v>
      </c>
      <c r="AL3117" s="4">
        <v>19</v>
      </c>
      <c r="AM3117" s="4">
        <v>19</v>
      </c>
      <c r="AN3117" s="4">
        <v>0</v>
      </c>
      <c r="AO3117" s="4">
        <v>0</v>
      </c>
      <c r="AP3117" s="4">
        <v>2</v>
      </c>
      <c r="AQ3117" s="4">
        <v>2</v>
      </c>
      <c r="AR3117" s="3" t="s">
        <v>65</v>
      </c>
      <c r="AS3117" s="3" t="s">
        <v>65</v>
      </c>
      <c r="AT3117" s="3" t="s">
        <v>65</v>
      </c>
      <c r="AV3117" s="6" t="str">
        <f>HYPERLINK("http://mcgill.on.worldcat.org/oclc/879868157","Catalog Record")</f>
        <v>Catalog Record</v>
      </c>
      <c r="AW3117" s="6" t="str">
        <f>HYPERLINK("http://www.worldcat.org/oclc/879868157","WorldCat Record")</f>
        <v>WorldCat Record</v>
      </c>
      <c r="AX3117" s="3" t="s">
        <v>30834</v>
      </c>
      <c r="AY3117" s="3" t="s">
        <v>30835</v>
      </c>
      <c r="AZ3117" s="3" t="s">
        <v>30836</v>
      </c>
      <c r="BA3117" s="3" t="s">
        <v>30836</v>
      </c>
      <c r="BB3117" s="3" t="s">
        <v>30837</v>
      </c>
      <c r="BC3117" s="3" t="s">
        <v>77</v>
      </c>
      <c r="BD3117" s="3" t="s">
        <v>78</v>
      </c>
      <c r="BE3117" s="3" t="s">
        <v>30838</v>
      </c>
      <c r="BF3117" s="3" t="s">
        <v>30837</v>
      </c>
      <c r="BG3117" s="3" t="s">
        <v>30839</v>
      </c>
    </row>
    <row r="3118" spans="1:59" ht="72.5" x14ac:dyDescent="0.35">
      <c r="A3118" s="2" t="s">
        <v>59</v>
      </c>
      <c r="B3118" s="2" t="s">
        <v>60</v>
      </c>
      <c r="C3118" s="2" t="s">
        <v>30840</v>
      </c>
      <c r="D3118" s="2" t="s">
        <v>30841</v>
      </c>
      <c r="E3118" s="2" t="s">
        <v>30842</v>
      </c>
      <c r="G3118" s="3" t="s">
        <v>65</v>
      </c>
      <c r="I3118" s="3" t="s">
        <v>65</v>
      </c>
      <c r="J3118" s="3" t="s">
        <v>65</v>
      </c>
      <c r="K3118" s="3" t="s">
        <v>66</v>
      </c>
      <c r="L3118" s="2" t="s">
        <v>21992</v>
      </c>
      <c r="M3118" s="2" t="s">
        <v>7139</v>
      </c>
      <c r="N3118" s="3" t="s">
        <v>126</v>
      </c>
      <c r="P3118" s="3" t="s">
        <v>140</v>
      </c>
      <c r="Q3118" s="2" t="s">
        <v>7140</v>
      </c>
      <c r="R3118" s="3" t="s">
        <v>71</v>
      </c>
      <c r="S3118" s="4">
        <v>0</v>
      </c>
      <c r="T3118" s="4">
        <v>0</v>
      </c>
      <c r="W3118" s="5" t="s">
        <v>72</v>
      </c>
      <c r="X3118" s="5" t="s">
        <v>72</v>
      </c>
      <c r="Y3118" s="4">
        <v>54</v>
      </c>
      <c r="Z3118" s="4">
        <v>7</v>
      </c>
      <c r="AA3118" s="4">
        <v>7</v>
      </c>
      <c r="AB3118" s="4">
        <v>1</v>
      </c>
      <c r="AC3118" s="4">
        <v>1</v>
      </c>
      <c r="AD3118" s="4">
        <v>36</v>
      </c>
      <c r="AE3118" s="4">
        <v>36</v>
      </c>
      <c r="AF3118" s="4">
        <v>0</v>
      </c>
      <c r="AG3118" s="4">
        <v>0</v>
      </c>
      <c r="AH3118" s="4">
        <v>34</v>
      </c>
      <c r="AI3118" s="4">
        <v>34</v>
      </c>
      <c r="AJ3118" s="4">
        <v>4</v>
      </c>
      <c r="AK3118" s="4">
        <v>4</v>
      </c>
      <c r="AL3118" s="4">
        <v>25</v>
      </c>
      <c r="AM3118" s="4">
        <v>25</v>
      </c>
      <c r="AN3118" s="4">
        <v>0</v>
      </c>
      <c r="AO3118" s="4">
        <v>0</v>
      </c>
      <c r="AP3118" s="4">
        <v>4</v>
      </c>
      <c r="AQ3118" s="4">
        <v>4</v>
      </c>
      <c r="AR3118" s="3" t="s">
        <v>65</v>
      </c>
      <c r="AS3118" s="3" t="s">
        <v>65</v>
      </c>
      <c r="AT3118" s="3" t="s">
        <v>65</v>
      </c>
      <c r="AV3118" s="6" t="str">
        <f>HYPERLINK("http://mcgill.on.worldcat.org/oclc/747531458","Catalog Record")</f>
        <v>Catalog Record</v>
      </c>
      <c r="AW3118" s="6" t="str">
        <f>HYPERLINK("http://www.worldcat.org/oclc/747531458","WorldCat Record")</f>
        <v>WorldCat Record</v>
      </c>
      <c r="AX3118" s="3" t="s">
        <v>30843</v>
      </c>
      <c r="AY3118" s="3" t="s">
        <v>30844</v>
      </c>
      <c r="AZ3118" s="3" t="s">
        <v>30845</v>
      </c>
      <c r="BA3118" s="3" t="s">
        <v>30845</v>
      </c>
      <c r="BB3118" s="3" t="s">
        <v>30846</v>
      </c>
      <c r="BC3118" s="3" t="s">
        <v>77</v>
      </c>
      <c r="BD3118" s="3" t="s">
        <v>78</v>
      </c>
      <c r="BE3118" s="3" t="s">
        <v>30847</v>
      </c>
      <c r="BF3118" s="3" t="s">
        <v>30846</v>
      </c>
      <c r="BG3118" s="3" t="s">
        <v>30848</v>
      </c>
    </row>
    <row r="3119" spans="1:59" ht="58" x14ac:dyDescent="0.35">
      <c r="A3119" s="2" t="s">
        <v>59</v>
      </c>
      <c r="B3119" s="2" t="s">
        <v>60</v>
      </c>
      <c r="C3119" s="2" t="s">
        <v>30849</v>
      </c>
      <c r="D3119" s="2" t="s">
        <v>30850</v>
      </c>
      <c r="E3119" s="2" t="s">
        <v>30851</v>
      </c>
      <c r="G3119" s="3" t="s">
        <v>65</v>
      </c>
      <c r="I3119" s="3" t="s">
        <v>65</v>
      </c>
      <c r="J3119" s="3" t="s">
        <v>65</v>
      </c>
      <c r="K3119" s="3" t="s">
        <v>66</v>
      </c>
      <c r="L3119" s="2" t="s">
        <v>21992</v>
      </c>
      <c r="M3119" s="2" t="s">
        <v>30852</v>
      </c>
      <c r="N3119" s="3" t="s">
        <v>2210</v>
      </c>
      <c r="P3119" s="3" t="s">
        <v>140</v>
      </c>
      <c r="Q3119" s="2" t="s">
        <v>30853</v>
      </c>
      <c r="R3119" s="3" t="s">
        <v>71</v>
      </c>
      <c r="S3119" s="4">
        <v>3</v>
      </c>
      <c r="T3119" s="4">
        <v>3</v>
      </c>
      <c r="U3119" s="5" t="s">
        <v>3091</v>
      </c>
      <c r="V3119" s="5" t="s">
        <v>3091</v>
      </c>
      <c r="W3119" s="5" t="s">
        <v>72</v>
      </c>
      <c r="X3119" s="5" t="s">
        <v>72</v>
      </c>
      <c r="Y3119" s="4">
        <v>70</v>
      </c>
      <c r="Z3119" s="4">
        <v>6</v>
      </c>
      <c r="AA3119" s="4">
        <v>6</v>
      </c>
      <c r="AB3119" s="4">
        <v>3</v>
      </c>
      <c r="AC3119" s="4">
        <v>3</v>
      </c>
      <c r="AD3119" s="4">
        <v>43</v>
      </c>
      <c r="AE3119" s="4">
        <v>43</v>
      </c>
      <c r="AF3119" s="4">
        <v>1</v>
      </c>
      <c r="AG3119" s="4">
        <v>1</v>
      </c>
      <c r="AH3119" s="4">
        <v>41</v>
      </c>
      <c r="AI3119" s="4">
        <v>41</v>
      </c>
      <c r="AJ3119" s="4">
        <v>3</v>
      </c>
      <c r="AK3119" s="4">
        <v>3</v>
      </c>
      <c r="AL3119" s="4">
        <v>31</v>
      </c>
      <c r="AM3119" s="4">
        <v>31</v>
      </c>
      <c r="AN3119" s="4">
        <v>0</v>
      </c>
      <c r="AO3119" s="4">
        <v>0</v>
      </c>
      <c r="AP3119" s="4">
        <v>3</v>
      </c>
      <c r="AQ3119" s="4">
        <v>3</v>
      </c>
      <c r="AR3119" s="3" t="s">
        <v>65</v>
      </c>
      <c r="AS3119" s="3" t="s">
        <v>65</v>
      </c>
      <c r="AT3119" s="3" t="s">
        <v>209</v>
      </c>
      <c r="AU3119" s="6" t="str">
        <f>HYPERLINK("http://catalog.hathitrust.org/Record/004254431","HathiTrust Record")</f>
        <v>HathiTrust Record</v>
      </c>
      <c r="AV3119" s="6" t="str">
        <f>HYPERLINK("http://mcgill.on.worldcat.org/oclc/49791097","Catalog Record")</f>
        <v>Catalog Record</v>
      </c>
      <c r="AW3119" s="6" t="str">
        <f>HYPERLINK("http://www.worldcat.org/oclc/49791097","WorldCat Record")</f>
        <v>WorldCat Record</v>
      </c>
      <c r="AX3119" s="3" t="s">
        <v>30854</v>
      </c>
      <c r="AY3119" s="3" t="s">
        <v>30855</v>
      </c>
      <c r="AZ3119" s="3" t="s">
        <v>30856</v>
      </c>
      <c r="BA3119" s="3" t="s">
        <v>30856</v>
      </c>
      <c r="BB3119" s="3" t="s">
        <v>30857</v>
      </c>
      <c r="BC3119" s="3" t="s">
        <v>77</v>
      </c>
      <c r="BD3119" s="3" t="s">
        <v>78</v>
      </c>
      <c r="BE3119" s="3" t="s">
        <v>30858</v>
      </c>
      <c r="BF3119" s="3" t="s">
        <v>30857</v>
      </c>
      <c r="BG3119" s="3" t="s">
        <v>30859</v>
      </c>
    </row>
    <row r="3120" spans="1:59" ht="87" x14ac:dyDescent="0.35">
      <c r="A3120" s="2" t="s">
        <v>59</v>
      </c>
      <c r="B3120" s="2" t="s">
        <v>60</v>
      </c>
      <c r="C3120" s="2" t="s">
        <v>30860</v>
      </c>
      <c r="D3120" s="2" t="s">
        <v>30861</v>
      </c>
      <c r="E3120" s="2" t="s">
        <v>30862</v>
      </c>
      <c r="G3120" s="3" t="s">
        <v>65</v>
      </c>
      <c r="I3120" s="3" t="s">
        <v>65</v>
      </c>
      <c r="J3120" s="3" t="s">
        <v>65</v>
      </c>
      <c r="K3120" s="3" t="s">
        <v>66</v>
      </c>
      <c r="L3120" s="2" t="s">
        <v>30863</v>
      </c>
      <c r="M3120" s="2" t="s">
        <v>2914</v>
      </c>
      <c r="N3120" s="3" t="s">
        <v>113</v>
      </c>
      <c r="O3120" s="2" t="s">
        <v>30864</v>
      </c>
      <c r="P3120" s="3" t="s">
        <v>140</v>
      </c>
      <c r="R3120" s="3" t="s">
        <v>71</v>
      </c>
      <c r="S3120" s="4">
        <v>0</v>
      </c>
      <c r="T3120" s="4">
        <v>0</v>
      </c>
      <c r="W3120" s="5" t="s">
        <v>72</v>
      </c>
      <c r="X3120" s="5" t="s">
        <v>72</v>
      </c>
      <c r="Y3120" s="4">
        <v>23</v>
      </c>
      <c r="Z3120" s="4">
        <v>3</v>
      </c>
      <c r="AA3120" s="4">
        <v>3</v>
      </c>
      <c r="AB3120" s="4">
        <v>1</v>
      </c>
      <c r="AC3120" s="4">
        <v>1</v>
      </c>
      <c r="AD3120" s="4">
        <v>16</v>
      </c>
      <c r="AE3120" s="4">
        <v>16</v>
      </c>
      <c r="AF3120" s="4">
        <v>0</v>
      </c>
      <c r="AG3120" s="4">
        <v>0</v>
      </c>
      <c r="AH3120" s="4">
        <v>15</v>
      </c>
      <c r="AI3120" s="4">
        <v>15</v>
      </c>
      <c r="AJ3120" s="4">
        <v>1</v>
      </c>
      <c r="AK3120" s="4">
        <v>1</v>
      </c>
      <c r="AL3120" s="4">
        <v>14</v>
      </c>
      <c r="AM3120" s="4">
        <v>14</v>
      </c>
      <c r="AN3120" s="4">
        <v>0</v>
      </c>
      <c r="AO3120" s="4">
        <v>0</v>
      </c>
      <c r="AP3120" s="4">
        <v>1</v>
      </c>
      <c r="AQ3120" s="4">
        <v>1</v>
      </c>
      <c r="AR3120" s="3" t="s">
        <v>65</v>
      </c>
      <c r="AS3120" s="3" t="s">
        <v>65</v>
      </c>
      <c r="AT3120" s="3" t="s">
        <v>65</v>
      </c>
      <c r="AV3120" s="6" t="str">
        <f>HYPERLINK("http://mcgill.on.worldcat.org/oclc/666218502","Catalog Record")</f>
        <v>Catalog Record</v>
      </c>
      <c r="AW3120" s="6" t="str">
        <f>HYPERLINK("http://www.worldcat.org/oclc/666218502","WorldCat Record")</f>
        <v>WorldCat Record</v>
      </c>
      <c r="AX3120" s="3" t="s">
        <v>30865</v>
      </c>
      <c r="AY3120" s="3" t="s">
        <v>30866</v>
      </c>
      <c r="AZ3120" s="3" t="s">
        <v>30867</v>
      </c>
      <c r="BA3120" s="3" t="s">
        <v>30867</v>
      </c>
      <c r="BB3120" s="3" t="s">
        <v>30868</v>
      </c>
      <c r="BC3120" s="3" t="s">
        <v>77</v>
      </c>
      <c r="BD3120" s="3" t="s">
        <v>78</v>
      </c>
      <c r="BE3120" s="3" t="s">
        <v>30869</v>
      </c>
      <c r="BF3120" s="3" t="s">
        <v>30868</v>
      </c>
      <c r="BG3120" s="3" t="s">
        <v>30870</v>
      </c>
    </row>
    <row r="3121" spans="1:59" ht="58" x14ac:dyDescent="0.35">
      <c r="A3121" s="2" t="s">
        <v>59</v>
      </c>
      <c r="B3121" s="2" t="s">
        <v>60</v>
      </c>
      <c r="C3121" s="2" t="s">
        <v>30871</v>
      </c>
      <c r="D3121" s="2" t="s">
        <v>30872</v>
      </c>
      <c r="E3121" s="2" t="s">
        <v>30873</v>
      </c>
      <c r="G3121" s="3" t="s">
        <v>65</v>
      </c>
      <c r="I3121" s="3" t="s">
        <v>65</v>
      </c>
      <c r="J3121" s="3" t="s">
        <v>65</v>
      </c>
      <c r="K3121" s="3" t="s">
        <v>66</v>
      </c>
      <c r="L3121" s="2" t="s">
        <v>30863</v>
      </c>
      <c r="M3121" s="2" t="s">
        <v>30874</v>
      </c>
      <c r="N3121" s="3" t="s">
        <v>139</v>
      </c>
      <c r="P3121" s="3" t="s">
        <v>140</v>
      </c>
      <c r="R3121" s="3" t="s">
        <v>71</v>
      </c>
      <c r="S3121" s="4">
        <v>0</v>
      </c>
      <c r="T3121" s="4">
        <v>0</v>
      </c>
      <c r="W3121" s="5" t="s">
        <v>72</v>
      </c>
      <c r="X3121" s="5" t="s">
        <v>72</v>
      </c>
      <c r="Y3121" s="4">
        <v>16</v>
      </c>
      <c r="Z3121" s="4">
        <v>3</v>
      </c>
      <c r="AA3121" s="4">
        <v>3</v>
      </c>
      <c r="AB3121" s="4">
        <v>1</v>
      </c>
      <c r="AC3121" s="4">
        <v>1</v>
      </c>
      <c r="AD3121" s="4">
        <v>10</v>
      </c>
      <c r="AE3121" s="4">
        <v>10</v>
      </c>
      <c r="AF3121" s="4">
        <v>0</v>
      </c>
      <c r="AG3121" s="4">
        <v>0</v>
      </c>
      <c r="AH3121" s="4">
        <v>10</v>
      </c>
      <c r="AI3121" s="4">
        <v>10</v>
      </c>
      <c r="AJ3121" s="4">
        <v>1</v>
      </c>
      <c r="AK3121" s="4">
        <v>1</v>
      </c>
      <c r="AL3121" s="4">
        <v>8</v>
      </c>
      <c r="AM3121" s="4">
        <v>8</v>
      </c>
      <c r="AN3121" s="4">
        <v>0</v>
      </c>
      <c r="AO3121" s="4">
        <v>0</v>
      </c>
      <c r="AP3121" s="4">
        <v>1</v>
      </c>
      <c r="AQ3121" s="4">
        <v>1</v>
      </c>
      <c r="AR3121" s="3" t="s">
        <v>65</v>
      </c>
      <c r="AS3121" s="3" t="s">
        <v>65</v>
      </c>
      <c r="AT3121" s="3" t="s">
        <v>65</v>
      </c>
      <c r="AV3121" s="6" t="str">
        <f>HYPERLINK("http://mcgill.on.worldcat.org/oclc/783121054","Catalog Record")</f>
        <v>Catalog Record</v>
      </c>
      <c r="AW3121" s="6" t="str">
        <f>HYPERLINK("http://www.worldcat.org/oclc/783121054","WorldCat Record")</f>
        <v>WorldCat Record</v>
      </c>
      <c r="AX3121" s="3" t="s">
        <v>30875</v>
      </c>
      <c r="AY3121" s="3" t="s">
        <v>30876</v>
      </c>
      <c r="AZ3121" s="3" t="s">
        <v>30877</v>
      </c>
      <c r="BA3121" s="3" t="s">
        <v>30877</v>
      </c>
      <c r="BB3121" s="3" t="s">
        <v>30878</v>
      </c>
      <c r="BC3121" s="3" t="s">
        <v>77</v>
      </c>
      <c r="BD3121" s="3" t="s">
        <v>78</v>
      </c>
      <c r="BE3121" s="3" t="s">
        <v>30879</v>
      </c>
      <c r="BF3121" s="3" t="s">
        <v>30878</v>
      </c>
      <c r="BG3121" s="3" t="s">
        <v>30880</v>
      </c>
    </row>
    <row r="3122" spans="1:59" ht="58" x14ac:dyDescent="0.35">
      <c r="A3122" s="2" t="s">
        <v>59</v>
      </c>
      <c r="B3122" s="2" t="s">
        <v>60</v>
      </c>
      <c r="C3122" s="2" t="s">
        <v>30881</v>
      </c>
      <c r="D3122" s="2" t="s">
        <v>30882</v>
      </c>
      <c r="E3122" s="2" t="s">
        <v>30883</v>
      </c>
      <c r="G3122" s="3" t="s">
        <v>65</v>
      </c>
      <c r="I3122" s="3" t="s">
        <v>65</v>
      </c>
      <c r="J3122" s="3" t="s">
        <v>65</v>
      </c>
      <c r="K3122" s="3" t="s">
        <v>66</v>
      </c>
      <c r="L3122" s="2" t="s">
        <v>30884</v>
      </c>
      <c r="M3122" s="2" t="s">
        <v>30885</v>
      </c>
      <c r="N3122" s="3" t="s">
        <v>8188</v>
      </c>
      <c r="O3122" s="2" t="s">
        <v>30886</v>
      </c>
      <c r="P3122" s="3" t="s">
        <v>616</v>
      </c>
      <c r="Q3122" s="2" t="s">
        <v>30887</v>
      </c>
      <c r="R3122" s="3" t="s">
        <v>71</v>
      </c>
      <c r="S3122" s="4">
        <v>1</v>
      </c>
      <c r="T3122" s="4">
        <v>1</v>
      </c>
      <c r="U3122" s="5" t="s">
        <v>30888</v>
      </c>
      <c r="V3122" s="5" t="s">
        <v>30888</v>
      </c>
      <c r="W3122" s="5" t="s">
        <v>72</v>
      </c>
      <c r="X3122" s="5" t="s">
        <v>72</v>
      </c>
      <c r="Y3122" s="4">
        <v>19</v>
      </c>
      <c r="Z3122" s="4">
        <v>3</v>
      </c>
      <c r="AA3122" s="4">
        <v>4</v>
      </c>
      <c r="AB3122" s="4">
        <v>2</v>
      </c>
      <c r="AC3122" s="4">
        <v>2</v>
      </c>
      <c r="AD3122" s="4">
        <v>1</v>
      </c>
      <c r="AE3122" s="4">
        <v>3</v>
      </c>
      <c r="AF3122" s="4">
        <v>0</v>
      </c>
      <c r="AG3122" s="4">
        <v>0</v>
      </c>
      <c r="AH3122" s="4">
        <v>1</v>
      </c>
      <c r="AI3122" s="4">
        <v>3</v>
      </c>
      <c r="AJ3122" s="4">
        <v>1</v>
      </c>
      <c r="AK3122" s="4">
        <v>1</v>
      </c>
      <c r="AL3122" s="4">
        <v>0</v>
      </c>
      <c r="AM3122" s="4">
        <v>2</v>
      </c>
      <c r="AN3122" s="4">
        <v>0</v>
      </c>
      <c r="AO3122" s="4">
        <v>0</v>
      </c>
      <c r="AP3122" s="4">
        <v>1</v>
      </c>
      <c r="AQ3122" s="4">
        <v>1</v>
      </c>
      <c r="AR3122" s="3" t="s">
        <v>65</v>
      </c>
      <c r="AS3122" s="3" t="s">
        <v>65</v>
      </c>
      <c r="AT3122" s="3" t="s">
        <v>65</v>
      </c>
      <c r="AV3122" s="6" t="str">
        <f>HYPERLINK("http://mcgill.on.worldcat.org/oclc/489906015","Catalog Record")</f>
        <v>Catalog Record</v>
      </c>
      <c r="AW3122" s="6" t="str">
        <f>HYPERLINK("http://www.worldcat.org/oclc/489906015","WorldCat Record")</f>
        <v>WorldCat Record</v>
      </c>
      <c r="AX3122" s="3" t="s">
        <v>30889</v>
      </c>
      <c r="AY3122" s="3" t="s">
        <v>30890</v>
      </c>
      <c r="AZ3122" s="3" t="s">
        <v>30891</v>
      </c>
      <c r="BA3122" s="3" t="s">
        <v>30891</v>
      </c>
      <c r="BB3122" s="3" t="s">
        <v>30892</v>
      </c>
      <c r="BC3122" s="3" t="s">
        <v>77</v>
      </c>
      <c r="BD3122" s="3" t="s">
        <v>78</v>
      </c>
      <c r="BF3122" s="3" t="s">
        <v>30892</v>
      </c>
      <c r="BG3122" s="3" t="s">
        <v>30893</v>
      </c>
    </row>
    <row r="3123" spans="1:59" ht="58" x14ac:dyDescent="0.35">
      <c r="A3123" s="2" t="s">
        <v>59</v>
      </c>
      <c r="B3123" s="2" t="s">
        <v>60</v>
      </c>
      <c r="C3123" s="2" t="s">
        <v>30894</v>
      </c>
      <c r="D3123" s="2" t="s">
        <v>30895</v>
      </c>
      <c r="E3123" s="2" t="s">
        <v>30896</v>
      </c>
      <c r="G3123" s="3" t="s">
        <v>65</v>
      </c>
      <c r="I3123" s="3" t="s">
        <v>65</v>
      </c>
      <c r="J3123" s="3" t="s">
        <v>65</v>
      </c>
      <c r="K3123" s="3" t="s">
        <v>66</v>
      </c>
      <c r="L3123" s="2" t="s">
        <v>30897</v>
      </c>
      <c r="M3123" s="2" t="s">
        <v>30898</v>
      </c>
      <c r="N3123" s="3" t="s">
        <v>139</v>
      </c>
      <c r="P3123" s="3" t="s">
        <v>140</v>
      </c>
      <c r="Q3123" s="2" t="s">
        <v>30899</v>
      </c>
      <c r="R3123" s="3" t="s">
        <v>71</v>
      </c>
      <c r="S3123" s="4">
        <v>0</v>
      </c>
      <c r="T3123" s="4">
        <v>0</v>
      </c>
      <c r="W3123" s="5" t="s">
        <v>72</v>
      </c>
      <c r="X3123" s="5" t="s">
        <v>72</v>
      </c>
      <c r="Y3123" s="4">
        <v>17</v>
      </c>
      <c r="Z3123" s="4">
        <v>1</v>
      </c>
      <c r="AA3123" s="4">
        <v>1</v>
      </c>
      <c r="AB3123" s="4">
        <v>1</v>
      </c>
      <c r="AC3123" s="4">
        <v>1</v>
      </c>
      <c r="AD3123" s="4">
        <v>11</v>
      </c>
      <c r="AE3123" s="4">
        <v>11</v>
      </c>
      <c r="AF3123" s="4">
        <v>0</v>
      </c>
      <c r="AG3123" s="4">
        <v>0</v>
      </c>
      <c r="AH3123" s="4">
        <v>11</v>
      </c>
      <c r="AI3123" s="4">
        <v>11</v>
      </c>
      <c r="AJ3123" s="4">
        <v>0</v>
      </c>
      <c r="AK3123" s="4">
        <v>0</v>
      </c>
      <c r="AL3123" s="4">
        <v>8</v>
      </c>
      <c r="AM3123" s="4">
        <v>8</v>
      </c>
      <c r="AN3123" s="4">
        <v>0</v>
      </c>
      <c r="AO3123" s="4">
        <v>0</v>
      </c>
      <c r="AP3123" s="4">
        <v>0</v>
      </c>
      <c r="AQ3123" s="4">
        <v>0</v>
      </c>
      <c r="AR3123" s="3" t="s">
        <v>65</v>
      </c>
      <c r="AS3123" s="3" t="s">
        <v>65</v>
      </c>
      <c r="AT3123" s="3" t="s">
        <v>65</v>
      </c>
      <c r="AV3123" s="6" t="str">
        <f>HYPERLINK("http://mcgill.on.worldcat.org/oclc/805054685","Catalog Record")</f>
        <v>Catalog Record</v>
      </c>
      <c r="AW3123" s="6" t="str">
        <f>HYPERLINK("http://www.worldcat.org/oclc/805054685","WorldCat Record")</f>
        <v>WorldCat Record</v>
      </c>
      <c r="AX3123" s="3" t="s">
        <v>30900</v>
      </c>
      <c r="AY3123" s="3" t="s">
        <v>30901</v>
      </c>
      <c r="AZ3123" s="3" t="s">
        <v>30902</v>
      </c>
      <c r="BA3123" s="3" t="s">
        <v>30902</v>
      </c>
      <c r="BB3123" s="3" t="s">
        <v>30903</v>
      </c>
      <c r="BC3123" s="3" t="s">
        <v>77</v>
      </c>
      <c r="BD3123" s="3" t="s">
        <v>78</v>
      </c>
      <c r="BE3123" s="3" t="s">
        <v>30904</v>
      </c>
      <c r="BF3123" s="3" t="s">
        <v>30903</v>
      </c>
      <c r="BG3123" s="3" t="s">
        <v>30905</v>
      </c>
    </row>
    <row r="3124" spans="1:59" ht="58" x14ac:dyDescent="0.35">
      <c r="A3124" s="2" t="s">
        <v>59</v>
      </c>
      <c r="B3124" s="2" t="s">
        <v>60</v>
      </c>
      <c r="C3124" s="2" t="s">
        <v>30906</v>
      </c>
      <c r="D3124" s="2" t="s">
        <v>30907</v>
      </c>
      <c r="E3124" s="2" t="s">
        <v>30908</v>
      </c>
      <c r="G3124" s="3" t="s">
        <v>65</v>
      </c>
      <c r="I3124" s="3" t="s">
        <v>65</v>
      </c>
      <c r="J3124" s="3" t="s">
        <v>65</v>
      </c>
      <c r="K3124" s="3" t="s">
        <v>66</v>
      </c>
      <c r="L3124" s="2" t="s">
        <v>30909</v>
      </c>
      <c r="M3124" s="2" t="s">
        <v>30910</v>
      </c>
      <c r="N3124" s="3" t="s">
        <v>126</v>
      </c>
      <c r="P3124" s="3" t="s">
        <v>69</v>
      </c>
      <c r="R3124" s="3" t="s">
        <v>71</v>
      </c>
      <c r="S3124" s="4">
        <v>1</v>
      </c>
      <c r="T3124" s="4">
        <v>1</v>
      </c>
      <c r="U3124" s="5" t="s">
        <v>30911</v>
      </c>
      <c r="V3124" s="5" t="s">
        <v>30911</v>
      </c>
      <c r="W3124" s="5" t="s">
        <v>72</v>
      </c>
      <c r="X3124" s="5" t="s">
        <v>72</v>
      </c>
      <c r="Y3124" s="4">
        <v>96</v>
      </c>
      <c r="Z3124" s="4">
        <v>12</v>
      </c>
      <c r="AA3124" s="4">
        <v>14</v>
      </c>
      <c r="AB3124" s="4">
        <v>1</v>
      </c>
      <c r="AC3124" s="4">
        <v>3</v>
      </c>
      <c r="AD3124" s="4">
        <v>46</v>
      </c>
      <c r="AE3124" s="4">
        <v>50</v>
      </c>
      <c r="AF3124" s="4">
        <v>0</v>
      </c>
      <c r="AG3124" s="4">
        <v>0</v>
      </c>
      <c r="AH3124" s="4">
        <v>43</v>
      </c>
      <c r="AI3124" s="4">
        <v>47</v>
      </c>
      <c r="AJ3124" s="4">
        <v>8</v>
      </c>
      <c r="AK3124" s="4">
        <v>8</v>
      </c>
      <c r="AL3124" s="4">
        <v>30</v>
      </c>
      <c r="AM3124" s="4">
        <v>32</v>
      </c>
      <c r="AN3124" s="4">
        <v>0</v>
      </c>
      <c r="AO3124" s="4">
        <v>0</v>
      </c>
      <c r="AP3124" s="4">
        <v>8</v>
      </c>
      <c r="AQ3124" s="4">
        <v>8</v>
      </c>
      <c r="AR3124" s="3" t="s">
        <v>65</v>
      </c>
      <c r="AS3124" s="3" t="s">
        <v>65</v>
      </c>
      <c r="AT3124" s="3" t="s">
        <v>65</v>
      </c>
      <c r="AV3124" s="6" t="str">
        <f>HYPERLINK("http://mcgill.on.worldcat.org/oclc/720549215","Catalog Record")</f>
        <v>Catalog Record</v>
      </c>
      <c r="AW3124" s="6" t="str">
        <f>HYPERLINK("http://www.worldcat.org/oclc/720549215","WorldCat Record")</f>
        <v>WorldCat Record</v>
      </c>
      <c r="AX3124" s="3" t="s">
        <v>30912</v>
      </c>
      <c r="AY3124" s="3" t="s">
        <v>30913</v>
      </c>
      <c r="AZ3124" s="3" t="s">
        <v>30914</v>
      </c>
      <c r="BA3124" s="3" t="s">
        <v>30914</v>
      </c>
      <c r="BB3124" s="3" t="s">
        <v>30915</v>
      </c>
      <c r="BC3124" s="3" t="s">
        <v>77</v>
      </c>
      <c r="BD3124" s="3" t="s">
        <v>78</v>
      </c>
      <c r="BE3124" s="3" t="s">
        <v>30916</v>
      </c>
      <c r="BF3124" s="3" t="s">
        <v>30915</v>
      </c>
      <c r="BG3124" s="3" t="s">
        <v>30917</v>
      </c>
    </row>
    <row r="3125" spans="1:59" ht="58" x14ac:dyDescent="0.35">
      <c r="A3125" s="2" t="s">
        <v>59</v>
      </c>
      <c r="B3125" s="2" t="s">
        <v>60</v>
      </c>
      <c r="C3125" s="2" t="s">
        <v>30918</v>
      </c>
      <c r="D3125" s="2" t="s">
        <v>30919</v>
      </c>
      <c r="E3125" s="2" t="s">
        <v>30920</v>
      </c>
      <c r="G3125" s="3" t="s">
        <v>65</v>
      </c>
      <c r="I3125" s="3" t="s">
        <v>65</v>
      </c>
      <c r="J3125" s="3" t="s">
        <v>65</v>
      </c>
      <c r="K3125" s="3" t="s">
        <v>66</v>
      </c>
      <c r="L3125" s="2" t="s">
        <v>30921</v>
      </c>
      <c r="M3125" s="2" t="s">
        <v>30922</v>
      </c>
      <c r="N3125" s="3" t="s">
        <v>126</v>
      </c>
      <c r="P3125" s="3" t="s">
        <v>69</v>
      </c>
      <c r="Q3125" s="2" t="s">
        <v>1600</v>
      </c>
      <c r="R3125" s="3" t="s">
        <v>71</v>
      </c>
      <c r="S3125" s="4">
        <v>0</v>
      </c>
      <c r="T3125" s="4">
        <v>0</v>
      </c>
      <c r="W3125" s="5" t="s">
        <v>72</v>
      </c>
      <c r="X3125" s="5" t="s">
        <v>72</v>
      </c>
      <c r="Y3125" s="4">
        <v>114</v>
      </c>
      <c r="Z3125" s="4">
        <v>13</v>
      </c>
      <c r="AA3125" s="4">
        <v>73</v>
      </c>
      <c r="AB3125" s="4">
        <v>1</v>
      </c>
      <c r="AC3125" s="4">
        <v>14</v>
      </c>
      <c r="AD3125" s="4">
        <v>71</v>
      </c>
      <c r="AE3125" s="4">
        <v>124</v>
      </c>
      <c r="AF3125" s="4">
        <v>0</v>
      </c>
      <c r="AG3125" s="4">
        <v>8</v>
      </c>
      <c r="AH3125" s="4">
        <v>68</v>
      </c>
      <c r="AI3125" s="4">
        <v>94</v>
      </c>
      <c r="AJ3125" s="4">
        <v>11</v>
      </c>
      <c r="AK3125" s="4">
        <v>23</v>
      </c>
      <c r="AL3125" s="4">
        <v>43</v>
      </c>
      <c r="AM3125" s="4">
        <v>51</v>
      </c>
      <c r="AN3125" s="4">
        <v>0</v>
      </c>
      <c r="AO3125" s="4">
        <v>0</v>
      </c>
      <c r="AP3125" s="4">
        <v>11</v>
      </c>
      <c r="AQ3125" s="4">
        <v>39</v>
      </c>
      <c r="AR3125" s="3" t="s">
        <v>65</v>
      </c>
      <c r="AS3125" s="3" t="s">
        <v>65</v>
      </c>
      <c r="AT3125" s="3" t="s">
        <v>65</v>
      </c>
      <c r="AV3125" s="6" t="str">
        <f>HYPERLINK("http://mcgill.on.worldcat.org/oclc/724674350","Catalog Record")</f>
        <v>Catalog Record</v>
      </c>
      <c r="AW3125" s="6" t="str">
        <f>HYPERLINK("http://www.worldcat.org/oclc/724674350","WorldCat Record")</f>
        <v>WorldCat Record</v>
      </c>
      <c r="AX3125" s="3" t="s">
        <v>30923</v>
      </c>
      <c r="AY3125" s="3" t="s">
        <v>30924</v>
      </c>
      <c r="AZ3125" s="3" t="s">
        <v>30925</v>
      </c>
      <c r="BA3125" s="3" t="s">
        <v>30925</v>
      </c>
      <c r="BB3125" s="3" t="s">
        <v>30926</v>
      </c>
      <c r="BC3125" s="3" t="s">
        <v>77</v>
      </c>
      <c r="BD3125" s="3" t="s">
        <v>78</v>
      </c>
      <c r="BE3125" s="3" t="s">
        <v>30927</v>
      </c>
      <c r="BF3125" s="3" t="s">
        <v>30926</v>
      </c>
      <c r="BG3125" s="3" t="s">
        <v>30928</v>
      </c>
    </row>
    <row r="3126" spans="1:59" ht="58" x14ac:dyDescent="0.35">
      <c r="A3126" s="2" t="s">
        <v>59</v>
      </c>
      <c r="B3126" s="2" t="s">
        <v>60</v>
      </c>
      <c r="C3126" s="2" t="s">
        <v>30929</v>
      </c>
      <c r="D3126" s="2" t="s">
        <v>30930</v>
      </c>
      <c r="E3126" s="2" t="s">
        <v>30931</v>
      </c>
      <c r="G3126" s="3" t="s">
        <v>65</v>
      </c>
      <c r="I3126" s="3" t="s">
        <v>65</v>
      </c>
      <c r="J3126" s="3" t="s">
        <v>65</v>
      </c>
      <c r="K3126" s="3" t="s">
        <v>66</v>
      </c>
      <c r="L3126" s="2" t="s">
        <v>30932</v>
      </c>
      <c r="M3126" s="2" t="s">
        <v>30933</v>
      </c>
      <c r="N3126" s="3" t="s">
        <v>188</v>
      </c>
      <c r="P3126" s="3" t="s">
        <v>140</v>
      </c>
      <c r="Q3126" s="2" t="s">
        <v>30934</v>
      </c>
      <c r="R3126" s="3" t="s">
        <v>71</v>
      </c>
      <c r="S3126" s="4">
        <v>0</v>
      </c>
      <c r="T3126" s="4">
        <v>0</v>
      </c>
      <c r="W3126" s="5" t="s">
        <v>72</v>
      </c>
      <c r="X3126" s="5" t="s">
        <v>72</v>
      </c>
      <c r="Y3126" s="4">
        <v>41</v>
      </c>
      <c r="Z3126" s="4">
        <v>1</v>
      </c>
      <c r="AA3126" s="4">
        <v>1</v>
      </c>
      <c r="AB3126" s="4">
        <v>1</v>
      </c>
      <c r="AC3126" s="4">
        <v>1</v>
      </c>
      <c r="AD3126" s="4">
        <v>28</v>
      </c>
      <c r="AE3126" s="4">
        <v>28</v>
      </c>
      <c r="AF3126" s="4">
        <v>0</v>
      </c>
      <c r="AG3126" s="4">
        <v>0</v>
      </c>
      <c r="AH3126" s="4">
        <v>27</v>
      </c>
      <c r="AI3126" s="4">
        <v>27</v>
      </c>
      <c r="AJ3126" s="4">
        <v>0</v>
      </c>
      <c r="AK3126" s="4">
        <v>0</v>
      </c>
      <c r="AL3126" s="4">
        <v>21</v>
      </c>
      <c r="AM3126" s="4">
        <v>21</v>
      </c>
      <c r="AN3126" s="4">
        <v>0</v>
      </c>
      <c r="AO3126" s="4">
        <v>0</v>
      </c>
      <c r="AP3126" s="4">
        <v>0</v>
      </c>
      <c r="AQ3126" s="4">
        <v>0</v>
      </c>
      <c r="AR3126" s="3" t="s">
        <v>65</v>
      </c>
      <c r="AS3126" s="3" t="s">
        <v>65</v>
      </c>
      <c r="AT3126" s="3" t="s">
        <v>65</v>
      </c>
      <c r="AV3126" s="6" t="str">
        <f>HYPERLINK("http://mcgill.on.worldcat.org/oclc/1004296092","Catalog Record")</f>
        <v>Catalog Record</v>
      </c>
      <c r="AW3126" s="6" t="str">
        <f>HYPERLINK("http://www.worldcat.org/oclc/1004296092","WorldCat Record")</f>
        <v>WorldCat Record</v>
      </c>
      <c r="AX3126" s="3" t="s">
        <v>30935</v>
      </c>
      <c r="AY3126" s="3" t="s">
        <v>30936</v>
      </c>
      <c r="AZ3126" s="3" t="s">
        <v>30937</v>
      </c>
      <c r="BA3126" s="3" t="s">
        <v>30937</v>
      </c>
      <c r="BB3126" s="3" t="s">
        <v>30938</v>
      </c>
      <c r="BC3126" s="3" t="s">
        <v>77</v>
      </c>
      <c r="BD3126" s="3" t="s">
        <v>78</v>
      </c>
      <c r="BE3126" s="3" t="s">
        <v>30939</v>
      </c>
      <c r="BF3126" s="3" t="s">
        <v>30938</v>
      </c>
      <c r="BG3126" s="3" t="s">
        <v>30940</v>
      </c>
    </row>
    <row r="3127" spans="1:59" ht="58" x14ac:dyDescent="0.35">
      <c r="A3127" s="2" t="s">
        <v>59</v>
      </c>
      <c r="B3127" s="2" t="s">
        <v>60</v>
      </c>
      <c r="C3127" s="2" t="s">
        <v>30941</v>
      </c>
      <c r="D3127" s="2" t="s">
        <v>30942</v>
      </c>
      <c r="E3127" s="2" t="s">
        <v>30943</v>
      </c>
      <c r="G3127" s="3" t="s">
        <v>65</v>
      </c>
      <c r="I3127" s="3" t="s">
        <v>65</v>
      </c>
      <c r="J3127" s="3" t="s">
        <v>65</v>
      </c>
      <c r="K3127" s="3" t="s">
        <v>66</v>
      </c>
      <c r="L3127" s="2" t="s">
        <v>30944</v>
      </c>
      <c r="M3127" s="2" t="s">
        <v>30945</v>
      </c>
      <c r="N3127" s="3" t="s">
        <v>113</v>
      </c>
      <c r="P3127" s="3" t="s">
        <v>140</v>
      </c>
      <c r="R3127" s="3" t="s">
        <v>71</v>
      </c>
      <c r="S3127" s="4">
        <v>0</v>
      </c>
      <c r="T3127" s="4">
        <v>0</v>
      </c>
      <c r="W3127" s="5" t="s">
        <v>72</v>
      </c>
      <c r="X3127" s="5" t="s">
        <v>72</v>
      </c>
      <c r="Y3127" s="4">
        <v>18</v>
      </c>
      <c r="Z3127" s="4">
        <v>3</v>
      </c>
      <c r="AA3127" s="4">
        <v>3</v>
      </c>
      <c r="AB3127" s="4">
        <v>1</v>
      </c>
      <c r="AC3127" s="4">
        <v>1</v>
      </c>
      <c r="AD3127" s="4">
        <v>14</v>
      </c>
      <c r="AE3127" s="4">
        <v>14</v>
      </c>
      <c r="AF3127" s="4">
        <v>0</v>
      </c>
      <c r="AG3127" s="4">
        <v>0</v>
      </c>
      <c r="AH3127" s="4">
        <v>13</v>
      </c>
      <c r="AI3127" s="4">
        <v>13</v>
      </c>
      <c r="AJ3127" s="4">
        <v>1</v>
      </c>
      <c r="AK3127" s="4">
        <v>1</v>
      </c>
      <c r="AL3127" s="4">
        <v>10</v>
      </c>
      <c r="AM3127" s="4">
        <v>10</v>
      </c>
      <c r="AN3127" s="4">
        <v>0</v>
      </c>
      <c r="AO3127" s="4">
        <v>0</v>
      </c>
      <c r="AP3127" s="4">
        <v>1</v>
      </c>
      <c r="AQ3127" s="4">
        <v>1</v>
      </c>
      <c r="AR3127" s="3" t="s">
        <v>65</v>
      </c>
      <c r="AS3127" s="3" t="s">
        <v>65</v>
      </c>
      <c r="AT3127" s="3" t="s">
        <v>65</v>
      </c>
      <c r="AV3127" s="6" t="str">
        <f>HYPERLINK("http://mcgill.on.worldcat.org/oclc/707959986","Catalog Record")</f>
        <v>Catalog Record</v>
      </c>
      <c r="AW3127" s="6" t="str">
        <f>HYPERLINK("http://www.worldcat.org/oclc/707959986","WorldCat Record")</f>
        <v>WorldCat Record</v>
      </c>
      <c r="AX3127" s="3" t="s">
        <v>30946</v>
      </c>
      <c r="AY3127" s="3" t="s">
        <v>30947</v>
      </c>
      <c r="AZ3127" s="3" t="s">
        <v>30948</v>
      </c>
      <c r="BA3127" s="3" t="s">
        <v>30948</v>
      </c>
      <c r="BB3127" s="3" t="s">
        <v>30949</v>
      </c>
      <c r="BC3127" s="3" t="s">
        <v>77</v>
      </c>
      <c r="BD3127" s="3" t="s">
        <v>78</v>
      </c>
      <c r="BE3127" s="3" t="s">
        <v>30950</v>
      </c>
      <c r="BF3127" s="3" t="s">
        <v>30949</v>
      </c>
      <c r="BG3127" s="3" t="s">
        <v>30951</v>
      </c>
    </row>
    <row r="3128" spans="1:59" ht="58" x14ac:dyDescent="0.35">
      <c r="A3128" s="2" t="s">
        <v>59</v>
      </c>
      <c r="B3128" s="2" t="s">
        <v>60</v>
      </c>
      <c r="C3128" s="2" t="s">
        <v>30952</v>
      </c>
      <c r="D3128" s="2" t="s">
        <v>30953</v>
      </c>
      <c r="E3128" s="2" t="s">
        <v>30954</v>
      </c>
      <c r="G3128" s="3" t="s">
        <v>65</v>
      </c>
      <c r="I3128" s="3" t="s">
        <v>65</v>
      </c>
      <c r="J3128" s="3" t="s">
        <v>65</v>
      </c>
      <c r="K3128" s="3" t="s">
        <v>66</v>
      </c>
      <c r="M3128" s="2" t="s">
        <v>30955</v>
      </c>
      <c r="N3128" s="3" t="s">
        <v>176</v>
      </c>
      <c r="P3128" s="3" t="s">
        <v>140</v>
      </c>
      <c r="Q3128" s="2" t="s">
        <v>30956</v>
      </c>
      <c r="R3128" s="3" t="s">
        <v>71</v>
      </c>
      <c r="S3128" s="4">
        <v>0</v>
      </c>
      <c r="T3128" s="4">
        <v>0</v>
      </c>
      <c r="W3128" s="5" t="s">
        <v>72</v>
      </c>
      <c r="X3128" s="5" t="s">
        <v>72</v>
      </c>
      <c r="Y3128" s="4">
        <v>38</v>
      </c>
      <c r="Z3128" s="4">
        <v>3</v>
      </c>
      <c r="AA3128" s="4">
        <v>3</v>
      </c>
      <c r="AB3128" s="4">
        <v>1</v>
      </c>
      <c r="AC3128" s="4">
        <v>1</v>
      </c>
      <c r="AD3128" s="4">
        <v>28</v>
      </c>
      <c r="AE3128" s="4">
        <v>28</v>
      </c>
      <c r="AF3128" s="4">
        <v>0</v>
      </c>
      <c r="AG3128" s="4">
        <v>0</v>
      </c>
      <c r="AH3128" s="4">
        <v>27</v>
      </c>
      <c r="AI3128" s="4">
        <v>27</v>
      </c>
      <c r="AJ3128" s="4">
        <v>1</v>
      </c>
      <c r="AK3128" s="4">
        <v>1</v>
      </c>
      <c r="AL3128" s="4">
        <v>23</v>
      </c>
      <c r="AM3128" s="4">
        <v>23</v>
      </c>
      <c r="AN3128" s="4">
        <v>0</v>
      </c>
      <c r="AO3128" s="4">
        <v>0</v>
      </c>
      <c r="AP3128" s="4">
        <v>1</v>
      </c>
      <c r="AQ3128" s="4">
        <v>1</v>
      </c>
      <c r="AR3128" s="3" t="s">
        <v>65</v>
      </c>
      <c r="AS3128" s="3" t="s">
        <v>65</v>
      </c>
      <c r="AT3128" s="3" t="s">
        <v>65</v>
      </c>
      <c r="AV3128" s="6" t="str">
        <f>HYPERLINK("http://mcgill.on.worldcat.org/oclc/905624564","Catalog Record")</f>
        <v>Catalog Record</v>
      </c>
      <c r="AW3128" s="6" t="str">
        <f>HYPERLINK("http://www.worldcat.org/oclc/905624564","WorldCat Record")</f>
        <v>WorldCat Record</v>
      </c>
      <c r="AX3128" s="3" t="s">
        <v>30957</v>
      </c>
      <c r="AY3128" s="3" t="s">
        <v>30958</v>
      </c>
      <c r="AZ3128" s="3" t="s">
        <v>30959</v>
      </c>
      <c r="BA3128" s="3" t="s">
        <v>30959</v>
      </c>
      <c r="BB3128" s="3" t="s">
        <v>30960</v>
      </c>
      <c r="BC3128" s="3" t="s">
        <v>77</v>
      </c>
      <c r="BD3128" s="3" t="s">
        <v>78</v>
      </c>
      <c r="BE3128" s="3" t="s">
        <v>30961</v>
      </c>
      <c r="BF3128" s="3" t="s">
        <v>30960</v>
      </c>
      <c r="BG3128" s="3" t="s">
        <v>30962</v>
      </c>
    </row>
    <row r="3129" spans="1:59" ht="58" x14ac:dyDescent="0.35">
      <c r="A3129" s="2" t="s">
        <v>59</v>
      </c>
      <c r="B3129" s="2" t="s">
        <v>60</v>
      </c>
      <c r="C3129" s="2" t="s">
        <v>30963</v>
      </c>
      <c r="D3129" s="2" t="s">
        <v>30964</v>
      </c>
      <c r="E3129" s="2" t="s">
        <v>30965</v>
      </c>
      <c r="G3129" s="3" t="s">
        <v>65</v>
      </c>
      <c r="I3129" s="3" t="s">
        <v>65</v>
      </c>
      <c r="J3129" s="3" t="s">
        <v>65</v>
      </c>
      <c r="K3129" s="3" t="s">
        <v>66</v>
      </c>
      <c r="L3129" s="2" t="s">
        <v>1149</v>
      </c>
      <c r="M3129" s="2" t="s">
        <v>30966</v>
      </c>
      <c r="N3129" s="3" t="s">
        <v>1173</v>
      </c>
      <c r="O3129" s="2" t="s">
        <v>13135</v>
      </c>
      <c r="P3129" s="3" t="s">
        <v>140</v>
      </c>
      <c r="Q3129" s="2" t="s">
        <v>30967</v>
      </c>
      <c r="R3129" s="3" t="s">
        <v>71</v>
      </c>
      <c r="S3129" s="4">
        <v>3</v>
      </c>
      <c r="T3129" s="4">
        <v>3</v>
      </c>
      <c r="U3129" s="5" t="s">
        <v>18069</v>
      </c>
      <c r="V3129" s="5" t="s">
        <v>18069</v>
      </c>
      <c r="W3129" s="5" t="s">
        <v>72</v>
      </c>
      <c r="X3129" s="5" t="s">
        <v>72</v>
      </c>
      <c r="Y3129" s="4">
        <v>24</v>
      </c>
      <c r="Z3129" s="4">
        <v>2</v>
      </c>
      <c r="AA3129" s="4">
        <v>5</v>
      </c>
      <c r="AB3129" s="4">
        <v>1</v>
      </c>
      <c r="AC3129" s="4">
        <v>2</v>
      </c>
      <c r="AD3129" s="4">
        <v>16</v>
      </c>
      <c r="AE3129" s="4">
        <v>38</v>
      </c>
      <c r="AF3129" s="4">
        <v>0</v>
      </c>
      <c r="AG3129" s="4">
        <v>1</v>
      </c>
      <c r="AH3129" s="4">
        <v>15</v>
      </c>
      <c r="AI3129" s="4">
        <v>36</v>
      </c>
      <c r="AJ3129" s="4">
        <v>1</v>
      </c>
      <c r="AK3129" s="4">
        <v>3</v>
      </c>
      <c r="AL3129" s="4">
        <v>11</v>
      </c>
      <c r="AM3129" s="4">
        <v>25</v>
      </c>
      <c r="AN3129" s="4">
        <v>0</v>
      </c>
      <c r="AO3129" s="4">
        <v>0</v>
      </c>
      <c r="AP3129" s="4">
        <v>1</v>
      </c>
      <c r="AQ3129" s="4">
        <v>3</v>
      </c>
      <c r="AR3129" s="3" t="s">
        <v>65</v>
      </c>
      <c r="AS3129" s="3" t="s">
        <v>65</v>
      </c>
      <c r="AT3129" s="3" t="s">
        <v>209</v>
      </c>
      <c r="AU3129" s="6" t="str">
        <f>HYPERLINK("http://catalog.hathitrust.org/Record/007583476","HathiTrust Record")</f>
        <v>HathiTrust Record</v>
      </c>
      <c r="AV3129" s="6" t="str">
        <f>HYPERLINK("http://mcgill.on.worldcat.org/oclc/742231","Catalog Record")</f>
        <v>Catalog Record</v>
      </c>
      <c r="AW3129" s="6" t="str">
        <f>HYPERLINK("http://www.worldcat.org/oclc/742231","WorldCat Record")</f>
        <v>WorldCat Record</v>
      </c>
      <c r="AX3129" s="3" t="s">
        <v>30968</v>
      </c>
      <c r="AY3129" s="3" t="s">
        <v>30969</v>
      </c>
      <c r="AZ3129" s="3" t="s">
        <v>30970</v>
      </c>
      <c r="BA3129" s="3" t="s">
        <v>30970</v>
      </c>
      <c r="BB3129" s="3" t="s">
        <v>30971</v>
      </c>
      <c r="BC3129" s="3" t="s">
        <v>77</v>
      </c>
      <c r="BD3129" s="3" t="s">
        <v>78</v>
      </c>
      <c r="BF3129" s="3" t="s">
        <v>30971</v>
      </c>
      <c r="BG3129" s="3" t="s">
        <v>30972</v>
      </c>
    </row>
    <row r="3130" spans="1:59" ht="58" x14ac:dyDescent="0.35">
      <c r="A3130" s="2" t="s">
        <v>59</v>
      </c>
      <c r="B3130" s="2" t="s">
        <v>60</v>
      </c>
      <c r="C3130" s="2" t="s">
        <v>30973</v>
      </c>
      <c r="D3130" s="2" t="s">
        <v>30974</v>
      </c>
      <c r="E3130" s="2" t="s">
        <v>30975</v>
      </c>
      <c r="G3130" s="3" t="s">
        <v>65</v>
      </c>
      <c r="I3130" s="3" t="s">
        <v>65</v>
      </c>
      <c r="J3130" s="3" t="s">
        <v>65</v>
      </c>
      <c r="K3130" s="3" t="s">
        <v>66</v>
      </c>
      <c r="L3130" s="2" t="s">
        <v>1149</v>
      </c>
      <c r="M3130" s="2" t="s">
        <v>30976</v>
      </c>
      <c r="N3130" s="3" t="s">
        <v>3448</v>
      </c>
      <c r="P3130" s="3" t="s">
        <v>140</v>
      </c>
      <c r="Q3130" s="2" t="s">
        <v>30977</v>
      </c>
      <c r="R3130" s="3" t="s">
        <v>71</v>
      </c>
      <c r="S3130" s="4">
        <v>1</v>
      </c>
      <c r="T3130" s="4">
        <v>1</v>
      </c>
      <c r="U3130" s="5" t="s">
        <v>30978</v>
      </c>
      <c r="V3130" s="5" t="s">
        <v>30978</v>
      </c>
      <c r="W3130" s="5" t="s">
        <v>72</v>
      </c>
      <c r="X3130" s="5" t="s">
        <v>72</v>
      </c>
      <c r="Y3130" s="4">
        <v>50</v>
      </c>
      <c r="Z3130" s="4">
        <v>6</v>
      </c>
      <c r="AA3130" s="4">
        <v>6</v>
      </c>
      <c r="AB3130" s="4">
        <v>1</v>
      </c>
      <c r="AC3130" s="4">
        <v>1</v>
      </c>
      <c r="AD3130" s="4">
        <v>31</v>
      </c>
      <c r="AE3130" s="4">
        <v>33</v>
      </c>
      <c r="AF3130" s="4">
        <v>0</v>
      </c>
      <c r="AG3130" s="4">
        <v>0</v>
      </c>
      <c r="AH3130" s="4">
        <v>27</v>
      </c>
      <c r="AI3130" s="4">
        <v>29</v>
      </c>
      <c r="AJ3130" s="4">
        <v>4</v>
      </c>
      <c r="AK3130" s="4">
        <v>4</v>
      </c>
      <c r="AL3130" s="4">
        <v>20</v>
      </c>
      <c r="AM3130" s="4">
        <v>22</v>
      </c>
      <c r="AN3130" s="4">
        <v>0</v>
      </c>
      <c r="AO3130" s="4">
        <v>0</v>
      </c>
      <c r="AP3130" s="4">
        <v>4</v>
      </c>
      <c r="AQ3130" s="4">
        <v>4</v>
      </c>
      <c r="AR3130" s="3" t="s">
        <v>65</v>
      </c>
      <c r="AS3130" s="3" t="s">
        <v>65</v>
      </c>
      <c r="AT3130" s="3" t="s">
        <v>65</v>
      </c>
      <c r="AV3130" s="6" t="str">
        <f>HYPERLINK("http://mcgill.on.worldcat.org/oclc/5717097","Catalog Record")</f>
        <v>Catalog Record</v>
      </c>
      <c r="AW3130" s="6" t="str">
        <f>HYPERLINK("http://www.worldcat.org/oclc/5717097","WorldCat Record")</f>
        <v>WorldCat Record</v>
      </c>
      <c r="AX3130" s="3" t="s">
        <v>30979</v>
      </c>
      <c r="AY3130" s="3" t="s">
        <v>30980</v>
      </c>
      <c r="AZ3130" s="3" t="s">
        <v>30981</v>
      </c>
      <c r="BA3130" s="3" t="s">
        <v>30981</v>
      </c>
      <c r="BB3130" s="3" t="s">
        <v>30982</v>
      </c>
      <c r="BC3130" s="3" t="s">
        <v>77</v>
      </c>
      <c r="BD3130" s="3" t="s">
        <v>78</v>
      </c>
      <c r="BF3130" s="3" t="s">
        <v>30982</v>
      </c>
      <c r="BG3130" s="3" t="s">
        <v>30983</v>
      </c>
    </row>
    <row r="3131" spans="1:59" ht="58" x14ac:dyDescent="0.35">
      <c r="A3131" s="2" t="s">
        <v>59</v>
      </c>
      <c r="B3131" s="2" t="s">
        <v>60</v>
      </c>
      <c r="C3131" s="2" t="s">
        <v>30984</v>
      </c>
      <c r="D3131" s="2" t="s">
        <v>30985</v>
      </c>
      <c r="E3131" s="2" t="s">
        <v>30986</v>
      </c>
      <c r="G3131" s="3" t="s">
        <v>65</v>
      </c>
      <c r="I3131" s="3" t="s">
        <v>65</v>
      </c>
      <c r="J3131" s="3" t="s">
        <v>65</v>
      </c>
      <c r="K3131" s="3" t="s">
        <v>66</v>
      </c>
      <c r="L3131" s="2" t="s">
        <v>1149</v>
      </c>
      <c r="M3131" s="2" t="s">
        <v>30987</v>
      </c>
      <c r="N3131" s="3" t="s">
        <v>4688</v>
      </c>
      <c r="P3131" s="3" t="s">
        <v>140</v>
      </c>
      <c r="Q3131" s="2" t="s">
        <v>30988</v>
      </c>
      <c r="R3131" s="3" t="s">
        <v>71</v>
      </c>
      <c r="S3131" s="4">
        <v>1</v>
      </c>
      <c r="T3131" s="4">
        <v>1</v>
      </c>
      <c r="U3131" s="5" t="s">
        <v>29646</v>
      </c>
      <c r="V3131" s="5" t="s">
        <v>29646</v>
      </c>
      <c r="W3131" s="5" t="s">
        <v>72</v>
      </c>
      <c r="X3131" s="5" t="s">
        <v>72</v>
      </c>
      <c r="Y3131" s="4">
        <v>38</v>
      </c>
      <c r="Z3131" s="4">
        <v>4</v>
      </c>
      <c r="AA3131" s="4">
        <v>4</v>
      </c>
      <c r="AB3131" s="4">
        <v>1</v>
      </c>
      <c r="AC3131" s="4">
        <v>1</v>
      </c>
      <c r="AD3131" s="4">
        <v>28</v>
      </c>
      <c r="AE3131" s="4">
        <v>28</v>
      </c>
      <c r="AF3131" s="4">
        <v>0</v>
      </c>
      <c r="AG3131" s="4">
        <v>0</v>
      </c>
      <c r="AH3131" s="4">
        <v>26</v>
      </c>
      <c r="AI3131" s="4">
        <v>26</v>
      </c>
      <c r="AJ3131" s="4">
        <v>3</v>
      </c>
      <c r="AK3131" s="4">
        <v>3</v>
      </c>
      <c r="AL3131" s="4">
        <v>19</v>
      </c>
      <c r="AM3131" s="4">
        <v>19</v>
      </c>
      <c r="AN3131" s="4">
        <v>0</v>
      </c>
      <c r="AO3131" s="4">
        <v>0</v>
      </c>
      <c r="AP3131" s="4">
        <v>3</v>
      </c>
      <c r="AQ3131" s="4">
        <v>3</v>
      </c>
      <c r="AR3131" s="3" t="s">
        <v>65</v>
      </c>
      <c r="AS3131" s="3" t="s">
        <v>65</v>
      </c>
      <c r="AT3131" s="3" t="s">
        <v>65</v>
      </c>
      <c r="AV3131" s="6" t="str">
        <f>HYPERLINK("http://mcgill.on.worldcat.org/oclc/14371443","Catalog Record")</f>
        <v>Catalog Record</v>
      </c>
      <c r="AW3131" s="6" t="str">
        <f>HYPERLINK("http://www.worldcat.org/oclc/14371443","WorldCat Record")</f>
        <v>WorldCat Record</v>
      </c>
      <c r="AX3131" s="3" t="s">
        <v>30989</v>
      </c>
      <c r="AY3131" s="3" t="s">
        <v>30990</v>
      </c>
      <c r="AZ3131" s="3" t="s">
        <v>30991</v>
      </c>
      <c r="BA3131" s="3" t="s">
        <v>30991</v>
      </c>
      <c r="BB3131" s="3" t="s">
        <v>30992</v>
      </c>
      <c r="BC3131" s="3" t="s">
        <v>77</v>
      </c>
      <c r="BD3131" s="3" t="s">
        <v>78</v>
      </c>
      <c r="BE3131" s="3" t="s">
        <v>30993</v>
      </c>
      <c r="BF3131" s="3" t="s">
        <v>30992</v>
      </c>
      <c r="BG3131" s="3" t="s">
        <v>30994</v>
      </c>
    </row>
    <row r="3132" spans="1:59" ht="58" x14ac:dyDescent="0.35">
      <c r="A3132" s="2" t="s">
        <v>59</v>
      </c>
      <c r="B3132" s="2" t="s">
        <v>60</v>
      </c>
      <c r="C3132" s="2" t="s">
        <v>30995</v>
      </c>
      <c r="D3132" s="2" t="s">
        <v>30996</v>
      </c>
      <c r="E3132" s="2" t="s">
        <v>30997</v>
      </c>
      <c r="F3132" s="3" t="s">
        <v>503</v>
      </c>
      <c r="G3132" s="3" t="s">
        <v>209</v>
      </c>
      <c r="I3132" s="3" t="s">
        <v>65</v>
      </c>
      <c r="J3132" s="3" t="s">
        <v>65</v>
      </c>
      <c r="K3132" s="3" t="s">
        <v>66</v>
      </c>
      <c r="L3132" s="2" t="s">
        <v>1149</v>
      </c>
      <c r="M3132" s="2" t="s">
        <v>30998</v>
      </c>
      <c r="N3132" s="3" t="s">
        <v>577</v>
      </c>
      <c r="O3132" s="2" t="s">
        <v>365</v>
      </c>
      <c r="P3132" s="3" t="s">
        <v>140</v>
      </c>
      <c r="R3132" s="3" t="s">
        <v>71</v>
      </c>
      <c r="S3132" s="4">
        <v>0</v>
      </c>
      <c r="T3132" s="4">
        <v>1</v>
      </c>
      <c r="V3132" s="5" t="s">
        <v>30999</v>
      </c>
      <c r="W3132" s="5" t="s">
        <v>72</v>
      </c>
      <c r="X3132" s="5" t="s">
        <v>72</v>
      </c>
      <c r="Y3132" s="4">
        <v>74</v>
      </c>
      <c r="Z3132" s="4">
        <v>9</v>
      </c>
      <c r="AA3132" s="4">
        <v>10</v>
      </c>
      <c r="AB3132" s="4">
        <v>2</v>
      </c>
      <c r="AC3132" s="4">
        <v>2</v>
      </c>
      <c r="AD3132" s="4">
        <v>50</v>
      </c>
      <c r="AE3132" s="4">
        <v>53</v>
      </c>
      <c r="AF3132" s="4">
        <v>1</v>
      </c>
      <c r="AG3132" s="4">
        <v>1</v>
      </c>
      <c r="AH3132" s="4">
        <v>46</v>
      </c>
      <c r="AI3132" s="4">
        <v>49</v>
      </c>
      <c r="AJ3132" s="4">
        <v>6</v>
      </c>
      <c r="AK3132" s="4">
        <v>7</v>
      </c>
      <c r="AL3132" s="4">
        <v>36</v>
      </c>
      <c r="AM3132" s="4">
        <v>37</v>
      </c>
      <c r="AN3132" s="4">
        <v>0</v>
      </c>
      <c r="AO3132" s="4">
        <v>0</v>
      </c>
      <c r="AP3132" s="4">
        <v>6</v>
      </c>
      <c r="AQ3132" s="4">
        <v>7</v>
      </c>
      <c r="AR3132" s="3" t="s">
        <v>65</v>
      </c>
      <c r="AS3132" s="3" t="s">
        <v>65</v>
      </c>
      <c r="AT3132" s="3" t="s">
        <v>209</v>
      </c>
      <c r="AU3132" s="6" t="str">
        <f>HYPERLINK("http://catalog.hathitrust.org/Record/000588699","HathiTrust Record")</f>
        <v>HathiTrust Record</v>
      </c>
      <c r="AV3132" s="6" t="str">
        <f>HYPERLINK("http://mcgill.on.worldcat.org/oclc/4775891","Catalog Record")</f>
        <v>Catalog Record</v>
      </c>
      <c r="AW3132" s="6" t="str">
        <f>HYPERLINK("http://www.worldcat.org/oclc/4775891","WorldCat Record")</f>
        <v>WorldCat Record</v>
      </c>
      <c r="AX3132" s="3" t="s">
        <v>31000</v>
      </c>
      <c r="AY3132" s="3" t="s">
        <v>31001</v>
      </c>
      <c r="AZ3132" s="3" t="s">
        <v>31002</v>
      </c>
      <c r="BA3132" s="3" t="s">
        <v>31002</v>
      </c>
      <c r="BB3132" s="3" t="s">
        <v>31003</v>
      </c>
      <c r="BC3132" s="3" t="s">
        <v>77</v>
      </c>
      <c r="BD3132" s="3" t="s">
        <v>78</v>
      </c>
      <c r="BF3132" s="3" t="s">
        <v>31003</v>
      </c>
      <c r="BG3132" s="3" t="s">
        <v>31004</v>
      </c>
    </row>
    <row r="3133" spans="1:59" ht="58" x14ac:dyDescent="0.35">
      <c r="A3133" s="2" t="s">
        <v>59</v>
      </c>
      <c r="B3133" s="2" t="s">
        <v>60</v>
      </c>
      <c r="C3133" s="2" t="s">
        <v>30995</v>
      </c>
      <c r="D3133" s="2" t="s">
        <v>30996</v>
      </c>
      <c r="E3133" s="2" t="s">
        <v>30997</v>
      </c>
      <c r="F3133" s="3" t="s">
        <v>490</v>
      </c>
      <c r="G3133" s="3" t="s">
        <v>209</v>
      </c>
      <c r="I3133" s="3" t="s">
        <v>65</v>
      </c>
      <c r="J3133" s="3" t="s">
        <v>65</v>
      </c>
      <c r="K3133" s="3" t="s">
        <v>66</v>
      </c>
      <c r="L3133" s="2" t="s">
        <v>1149</v>
      </c>
      <c r="M3133" s="2" t="s">
        <v>30998</v>
      </c>
      <c r="N3133" s="3" t="s">
        <v>577</v>
      </c>
      <c r="O3133" s="2" t="s">
        <v>365</v>
      </c>
      <c r="P3133" s="3" t="s">
        <v>140</v>
      </c>
      <c r="R3133" s="3" t="s">
        <v>71</v>
      </c>
      <c r="S3133" s="4">
        <v>1</v>
      </c>
      <c r="T3133" s="4">
        <v>1</v>
      </c>
      <c r="U3133" s="5" t="s">
        <v>30999</v>
      </c>
      <c r="V3133" s="5" t="s">
        <v>30999</v>
      </c>
      <c r="W3133" s="5" t="s">
        <v>72</v>
      </c>
      <c r="X3133" s="5" t="s">
        <v>72</v>
      </c>
      <c r="Y3133" s="4">
        <v>74</v>
      </c>
      <c r="Z3133" s="4">
        <v>9</v>
      </c>
      <c r="AA3133" s="4">
        <v>10</v>
      </c>
      <c r="AB3133" s="4">
        <v>2</v>
      </c>
      <c r="AC3133" s="4">
        <v>2</v>
      </c>
      <c r="AD3133" s="4">
        <v>50</v>
      </c>
      <c r="AE3133" s="4">
        <v>53</v>
      </c>
      <c r="AF3133" s="4">
        <v>1</v>
      </c>
      <c r="AG3133" s="4">
        <v>1</v>
      </c>
      <c r="AH3133" s="4">
        <v>46</v>
      </c>
      <c r="AI3133" s="4">
        <v>49</v>
      </c>
      <c r="AJ3133" s="4">
        <v>6</v>
      </c>
      <c r="AK3133" s="4">
        <v>7</v>
      </c>
      <c r="AL3133" s="4">
        <v>36</v>
      </c>
      <c r="AM3133" s="4">
        <v>37</v>
      </c>
      <c r="AN3133" s="4">
        <v>0</v>
      </c>
      <c r="AO3133" s="4">
        <v>0</v>
      </c>
      <c r="AP3133" s="4">
        <v>6</v>
      </c>
      <c r="AQ3133" s="4">
        <v>7</v>
      </c>
      <c r="AR3133" s="3" t="s">
        <v>65</v>
      </c>
      <c r="AS3133" s="3" t="s">
        <v>65</v>
      </c>
      <c r="AT3133" s="3" t="s">
        <v>209</v>
      </c>
      <c r="AU3133" s="6" t="str">
        <f>HYPERLINK("http://catalog.hathitrust.org/Record/000588699","HathiTrust Record")</f>
        <v>HathiTrust Record</v>
      </c>
      <c r="AV3133" s="6" t="str">
        <f>HYPERLINK("http://mcgill.on.worldcat.org/oclc/4775891","Catalog Record")</f>
        <v>Catalog Record</v>
      </c>
      <c r="AW3133" s="6" t="str">
        <f>HYPERLINK("http://www.worldcat.org/oclc/4775891","WorldCat Record")</f>
        <v>WorldCat Record</v>
      </c>
      <c r="AX3133" s="3" t="s">
        <v>31000</v>
      </c>
      <c r="AY3133" s="3" t="s">
        <v>31001</v>
      </c>
      <c r="AZ3133" s="3" t="s">
        <v>31002</v>
      </c>
      <c r="BA3133" s="3" t="s">
        <v>31002</v>
      </c>
      <c r="BB3133" s="3" t="s">
        <v>31005</v>
      </c>
      <c r="BC3133" s="3" t="s">
        <v>77</v>
      </c>
      <c r="BD3133" s="3" t="s">
        <v>78</v>
      </c>
      <c r="BF3133" s="3" t="s">
        <v>31005</v>
      </c>
      <c r="BG3133" s="3" t="s">
        <v>31006</v>
      </c>
    </row>
    <row r="3134" spans="1:59" ht="58" x14ac:dyDescent="0.35">
      <c r="A3134" s="2" t="s">
        <v>59</v>
      </c>
      <c r="B3134" s="2" t="s">
        <v>60</v>
      </c>
      <c r="C3134" s="2" t="s">
        <v>31007</v>
      </c>
      <c r="D3134" s="2" t="s">
        <v>31008</v>
      </c>
      <c r="E3134" s="2" t="s">
        <v>31009</v>
      </c>
      <c r="G3134" s="3" t="s">
        <v>65</v>
      </c>
      <c r="I3134" s="3" t="s">
        <v>65</v>
      </c>
      <c r="J3134" s="3" t="s">
        <v>65</v>
      </c>
      <c r="K3134" s="3" t="s">
        <v>66</v>
      </c>
      <c r="M3134" s="2" t="s">
        <v>31010</v>
      </c>
      <c r="N3134" s="3" t="s">
        <v>139</v>
      </c>
      <c r="P3134" s="3" t="s">
        <v>140</v>
      </c>
      <c r="Q3134" s="2" t="s">
        <v>31011</v>
      </c>
      <c r="R3134" s="3" t="s">
        <v>71</v>
      </c>
      <c r="S3134" s="4">
        <v>0</v>
      </c>
      <c r="T3134" s="4">
        <v>0</v>
      </c>
      <c r="W3134" s="5" t="s">
        <v>72</v>
      </c>
      <c r="X3134" s="5" t="s">
        <v>72</v>
      </c>
      <c r="Y3134" s="4">
        <v>12</v>
      </c>
      <c r="Z3134" s="4">
        <v>1</v>
      </c>
      <c r="AA3134" s="4">
        <v>1</v>
      </c>
      <c r="AB3134" s="4">
        <v>1</v>
      </c>
      <c r="AC3134" s="4">
        <v>1</v>
      </c>
      <c r="AD3134" s="4">
        <v>7</v>
      </c>
      <c r="AE3134" s="4">
        <v>7</v>
      </c>
      <c r="AF3134" s="4">
        <v>0</v>
      </c>
      <c r="AG3134" s="4">
        <v>0</v>
      </c>
      <c r="AH3134" s="4">
        <v>7</v>
      </c>
      <c r="AI3134" s="4">
        <v>7</v>
      </c>
      <c r="AJ3134" s="4">
        <v>0</v>
      </c>
      <c r="AK3134" s="4">
        <v>0</v>
      </c>
      <c r="AL3134" s="4">
        <v>5</v>
      </c>
      <c r="AM3134" s="4">
        <v>5</v>
      </c>
      <c r="AN3134" s="4">
        <v>0</v>
      </c>
      <c r="AO3134" s="4">
        <v>0</v>
      </c>
      <c r="AP3134" s="4">
        <v>0</v>
      </c>
      <c r="AQ3134" s="4">
        <v>0</v>
      </c>
      <c r="AR3134" s="3" t="s">
        <v>65</v>
      </c>
      <c r="AS3134" s="3" t="s">
        <v>65</v>
      </c>
      <c r="AT3134" s="3" t="s">
        <v>65</v>
      </c>
      <c r="AV3134" s="6" t="str">
        <f>HYPERLINK("http://mcgill.on.worldcat.org/oclc/828889583","Catalog Record")</f>
        <v>Catalog Record</v>
      </c>
      <c r="AW3134" s="6" t="str">
        <f>HYPERLINK("http://www.worldcat.org/oclc/828889583","WorldCat Record")</f>
        <v>WorldCat Record</v>
      </c>
      <c r="AX3134" s="3" t="s">
        <v>31012</v>
      </c>
      <c r="AY3134" s="3" t="s">
        <v>31013</v>
      </c>
      <c r="AZ3134" s="3" t="s">
        <v>31014</v>
      </c>
      <c r="BA3134" s="3" t="s">
        <v>31014</v>
      </c>
      <c r="BB3134" s="3" t="s">
        <v>31015</v>
      </c>
      <c r="BC3134" s="3" t="s">
        <v>77</v>
      </c>
      <c r="BD3134" s="3" t="s">
        <v>78</v>
      </c>
      <c r="BE3134" s="3" t="s">
        <v>31016</v>
      </c>
      <c r="BF3134" s="3" t="s">
        <v>31015</v>
      </c>
      <c r="BG3134" s="3" t="s">
        <v>31017</v>
      </c>
    </row>
    <row r="3135" spans="1:59" ht="58" x14ac:dyDescent="0.35">
      <c r="A3135" s="2" t="s">
        <v>59</v>
      </c>
      <c r="B3135" s="2" t="s">
        <v>60</v>
      </c>
      <c r="C3135" s="2" t="s">
        <v>31018</v>
      </c>
      <c r="D3135" s="2" t="s">
        <v>31019</v>
      </c>
      <c r="E3135" s="2" t="s">
        <v>31020</v>
      </c>
      <c r="G3135" s="3" t="s">
        <v>65</v>
      </c>
      <c r="I3135" s="3" t="s">
        <v>65</v>
      </c>
      <c r="J3135" s="3" t="s">
        <v>65</v>
      </c>
      <c r="K3135" s="3" t="s">
        <v>66</v>
      </c>
      <c r="L3135" s="2" t="s">
        <v>31021</v>
      </c>
      <c r="M3135" s="2" t="s">
        <v>31022</v>
      </c>
      <c r="N3135" s="3" t="s">
        <v>176</v>
      </c>
      <c r="P3135" s="3" t="s">
        <v>140</v>
      </c>
      <c r="Q3135" s="2" t="s">
        <v>31023</v>
      </c>
      <c r="R3135" s="3" t="s">
        <v>71</v>
      </c>
      <c r="S3135" s="4">
        <v>0</v>
      </c>
      <c r="T3135" s="4">
        <v>0</v>
      </c>
      <c r="W3135" s="5" t="s">
        <v>72</v>
      </c>
      <c r="X3135" s="5" t="s">
        <v>72</v>
      </c>
      <c r="Y3135" s="4">
        <v>39</v>
      </c>
      <c r="Z3135" s="4">
        <v>2</v>
      </c>
      <c r="AA3135" s="4">
        <v>2</v>
      </c>
      <c r="AB3135" s="4">
        <v>1</v>
      </c>
      <c r="AC3135" s="4">
        <v>1</v>
      </c>
      <c r="AD3135" s="4">
        <v>31</v>
      </c>
      <c r="AE3135" s="4">
        <v>31</v>
      </c>
      <c r="AF3135" s="4">
        <v>0</v>
      </c>
      <c r="AG3135" s="4">
        <v>0</v>
      </c>
      <c r="AH3135" s="4">
        <v>30</v>
      </c>
      <c r="AI3135" s="4">
        <v>30</v>
      </c>
      <c r="AJ3135" s="4">
        <v>1</v>
      </c>
      <c r="AK3135" s="4">
        <v>1</v>
      </c>
      <c r="AL3135" s="4">
        <v>24</v>
      </c>
      <c r="AM3135" s="4">
        <v>24</v>
      </c>
      <c r="AN3135" s="4">
        <v>0</v>
      </c>
      <c r="AO3135" s="4">
        <v>0</v>
      </c>
      <c r="AP3135" s="4">
        <v>1</v>
      </c>
      <c r="AQ3135" s="4">
        <v>1</v>
      </c>
      <c r="AR3135" s="3" t="s">
        <v>65</v>
      </c>
      <c r="AS3135" s="3" t="s">
        <v>65</v>
      </c>
      <c r="AT3135" s="3" t="s">
        <v>65</v>
      </c>
      <c r="AV3135" s="6" t="str">
        <f>HYPERLINK("http://mcgill.on.worldcat.org/oclc/925734393","Catalog Record")</f>
        <v>Catalog Record</v>
      </c>
      <c r="AW3135" s="6" t="str">
        <f>HYPERLINK("http://www.worldcat.org/oclc/925734393","WorldCat Record")</f>
        <v>WorldCat Record</v>
      </c>
      <c r="AX3135" s="3" t="s">
        <v>31024</v>
      </c>
      <c r="AY3135" s="3" t="s">
        <v>31025</v>
      </c>
      <c r="AZ3135" s="3" t="s">
        <v>31026</v>
      </c>
      <c r="BA3135" s="3" t="s">
        <v>31026</v>
      </c>
      <c r="BB3135" s="3" t="s">
        <v>31027</v>
      </c>
      <c r="BC3135" s="3" t="s">
        <v>77</v>
      </c>
      <c r="BD3135" s="3" t="s">
        <v>78</v>
      </c>
      <c r="BE3135" s="3" t="s">
        <v>31028</v>
      </c>
      <c r="BF3135" s="3" t="s">
        <v>31027</v>
      </c>
      <c r="BG3135" s="3" t="s">
        <v>31029</v>
      </c>
    </row>
    <row r="3136" spans="1:59" ht="58" x14ac:dyDescent="0.35">
      <c r="A3136" s="2" t="s">
        <v>59</v>
      </c>
      <c r="B3136" s="2" t="s">
        <v>60</v>
      </c>
      <c r="C3136" s="2" t="s">
        <v>31030</v>
      </c>
      <c r="D3136" s="2" t="s">
        <v>31031</v>
      </c>
      <c r="E3136" s="2" t="s">
        <v>31032</v>
      </c>
      <c r="G3136" s="3" t="s">
        <v>65</v>
      </c>
      <c r="I3136" s="3" t="s">
        <v>65</v>
      </c>
      <c r="J3136" s="3" t="s">
        <v>65</v>
      </c>
      <c r="K3136" s="3" t="s">
        <v>66</v>
      </c>
      <c r="M3136" s="2" t="s">
        <v>31033</v>
      </c>
      <c r="N3136" s="3" t="s">
        <v>113</v>
      </c>
      <c r="P3136" s="3" t="s">
        <v>140</v>
      </c>
      <c r="R3136" s="3" t="s">
        <v>71</v>
      </c>
      <c r="S3136" s="4">
        <v>0</v>
      </c>
      <c r="T3136" s="4">
        <v>0</v>
      </c>
      <c r="W3136" s="5" t="s">
        <v>72</v>
      </c>
      <c r="X3136" s="5" t="s">
        <v>72</v>
      </c>
      <c r="Y3136" s="4">
        <v>21</v>
      </c>
      <c r="Z3136" s="4">
        <v>3</v>
      </c>
      <c r="AA3136" s="4">
        <v>3</v>
      </c>
      <c r="AB3136" s="4">
        <v>1</v>
      </c>
      <c r="AC3136" s="4">
        <v>1</v>
      </c>
      <c r="AD3136" s="4">
        <v>15</v>
      </c>
      <c r="AE3136" s="4">
        <v>15</v>
      </c>
      <c r="AF3136" s="4">
        <v>0</v>
      </c>
      <c r="AG3136" s="4">
        <v>0</v>
      </c>
      <c r="AH3136" s="4">
        <v>14</v>
      </c>
      <c r="AI3136" s="4">
        <v>14</v>
      </c>
      <c r="AJ3136" s="4">
        <v>1</v>
      </c>
      <c r="AK3136" s="4">
        <v>1</v>
      </c>
      <c r="AL3136" s="4">
        <v>13</v>
      </c>
      <c r="AM3136" s="4">
        <v>13</v>
      </c>
      <c r="AN3136" s="4">
        <v>5</v>
      </c>
      <c r="AO3136" s="4">
        <v>5</v>
      </c>
      <c r="AP3136" s="4">
        <v>1</v>
      </c>
      <c r="AQ3136" s="4">
        <v>1</v>
      </c>
      <c r="AR3136" s="3" t="s">
        <v>65</v>
      </c>
      <c r="AS3136" s="3" t="s">
        <v>65</v>
      </c>
      <c r="AT3136" s="3" t="s">
        <v>209</v>
      </c>
      <c r="AU3136" s="6" t="str">
        <f>HYPERLINK("http://catalog.hathitrust.org/Record/011266988","HathiTrust Record")</f>
        <v>HathiTrust Record</v>
      </c>
      <c r="AV3136" s="6" t="str">
        <f>HYPERLINK("http://mcgill.on.worldcat.org/oclc/753624702","Catalog Record")</f>
        <v>Catalog Record</v>
      </c>
      <c r="AW3136" s="6" t="str">
        <f>HYPERLINK("http://www.worldcat.org/oclc/753624702","WorldCat Record")</f>
        <v>WorldCat Record</v>
      </c>
      <c r="AX3136" s="3" t="s">
        <v>31034</v>
      </c>
      <c r="AY3136" s="3" t="s">
        <v>31035</v>
      </c>
      <c r="AZ3136" s="3" t="s">
        <v>31036</v>
      </c>
      <c r="BA3136" s="3" t="s">
        <v>31036</v>
      </c>
      <c r="BB3136" s="3" t="s">
        <v>31037</v>
      </c>
      <c r="BC3136" s="3" t="s">
        <v>77</v>
      </c>
      <c r="BD3136" s="3" t="s">
        <v>78</v>
      </c>
      <c r="BE3136" s="3" t="s">
        <v>31038</v>
      </c>
      <c r="BF3136" s="3" t="s">
        <v>31037</v>
      </c>
      <c r="BG3136" s="3" t="s">
        <v>31039</v>
      </c>
    </row>
    <row r="3137" spans="1:59" ht="72.5" x14ac:dyDescent="0.35">
      <c r="A3137" s="2" t="s">
        <v>59</v>
      </c>
      <c r="B3137" s="2" t="s">
        <v>60</v>
      </c>
      <c r="C3137" s="2" t="s">
        <v>31040</v>
      </c>
      <c r="D3137" s="2" t="s">
        <v>31041</v>
      </c>
      <c r="E3137" s="2" t="s">
        <v>31042</v>
      </c>
      <c r="G3137" s="3" t="s">
        <v>65</v>
      </c>
      <c r="I3137" s="3" t="s">
        <v>65</v>
      </c>
      <c r="J3137" s="3" t="s">
        <v>65</v>
      </c>
      <c r="K3137" s="3" t="s">
        <v>66</v>
      </c>
      <c r="M3137" s="2" t="s">
        <v>20934</v>
      </c>
      <c r="N3137" s="3" t="s">
        <v>126</v>
      </c>
      <c r="P3137" s="3" t="s">
        <v>140</v>
      </c>
      <c r="Q3137" s="2" t="s">
        <v>31043</v>
      </c>
      <c r="R3137" s="3" t="s">
        <v>71</v>
      </c>
      <c r="S3137" s="4">
        <v>0</v>
      </c>
      <c r="T3137" s="4">
        <v>0</v>
      </c>
      <c r="W3137" s="5" t="s">
        <v>72</v>
      </c>
      <c r="X3137" s="5" t="s">
        <v>72</v>
      </c>
      <c r="Y3137" s="4">
        <v>27</v>
      </c>
      <c r="Z3137" s="4">
        <v>3</v>
      </c>
      <c r="AA3137" s="4">
        <v>3</v>
      </c>
      <c r="AB3137" s="4">
        <v>1</v>
      </c>
      <c r="AC3137" s="4">
        <v>1</v>
      </c>
      <c r="AD3137" s="4">
        <v>18</v>
      </c>
      <c r="AE3137" s="4">
        <v>18</v>
      </c>
      <c r="AF3137" s="4">
        <v>0</v>
      </c>
      <c r="AG3137" s="4">
        <v>0</v>
      </c>
      <c r="AH3137" s="4">
        <v>17</v>
      </c>
      <c r="AI3137" s="4">
        <v>17</v>
      </c>
      <c r="AJ3137" s="4">
        <v>1</v>
      </c>
      <c r="AK3137" s="4">
        <v>1</v>
      </c>
      <c r="AL3137" s="4">
        <v>13</v>
      </c>
      <c r="AM3137" s="4">
        <v>13</v>
      </c>
      <c r="AN3137" s="4">
        <v>0</v>
      </c>
      <c r="AO3137" s="4">
        <v>0</v>
      </c>
      <c r="AP3137" s="4">
        <v>1</v>
      </c>
      <c r="AQ3137" s="4">
        <v>1</v>
      </c>
      <c r="AR3137" s="3" t="s">
        <v>65</v>
      </c>
      <c r="AS3137" s="3" t="s">
        <v>65</v>
      </c>
      <c r="AT3137" s="3" t="s">
        <v>65</v>
      </c>
      <c r="AV3137" s="6" t="str">
        <f>HYPERLINK("http://mcgill.on.worldcat.org/oclc/775024981","Catalog Record")</f>
        <v>Catalog Record</v>
      </c>
      <c r="AW3137" s="6" t="str">
        <f>HYPERLINK("http://www.worldcat.org/oclc/775024981","WorldCat Record")</f>
        <v>WorldCat Record</v>
      </c>
      <c r="AX3137" s="3" t="s">
        <v>31044</v>
      </c>
      <c r="AY3137" s="3" t="s">
        <v>31045</v>
      </c>
      <c r="AZ3137" s="3" t="s">
        <v>31046</v>
      </c>
      <c r="BA3137" s="3" t="s">
        <v>31046</v>
      </c>
      <c r="BB3137" s="3" t="s">
        <v>31047</v>
      </c>
      <c r="BC3137" s="3" t="s">
        <v>77</v>
      </c>
      <c r="BD3137" s="3" t="s">
        <v>78</v>
      </c>
      <c r="BE3137" s="3" t="s">
        <v>31048</v>
      </c>
      <c r="BF3137" s="3" t="s">
        <v>31047</v>
      </c>
      <c r="BG3137" s="3" t="s">
        <v>31049</v>
      </c>
    </row>
    <row r="3138" spans="1:59" ht="58" x14ac:dyDescent="0.35">
      <c r="A3138" s="2" t="s">
        <v>59</v>
      </c>
      <c r="B3138" s="2" t="s">
        <v>60</v>
      </c>
      <c r="C3138" s="2" t="s">
        <v>31050</v>
      </c>
      <c r="D3138" s="2" t="s">
        <v>31051</v>
      </c>
      <c r="E3138" s="2" t="s">
        <v>31052</v>
      </c>
      <c r="G3138" s="3" t="s">
        <v>65</v>
      </c>
      <c r="I3138" s="3" t="s">
        <v>65</v>
      </c>
      <c r="J3138" s="3" t="s">
        <v>65</v>
      </c>
      <c r="K3138" s="3" t="s">
        <v>66</v>
      </c>
      <c r="L3138" s="2" t="s">
        <v>31053</v>
      </c>
      <c r="M3138" s="2" t="s">
        <v>31054</v>
      </c>
      <c r="N3138" s="3" t="s">
        <v>11262</v>
      </c>
      <c r="P3138" s="3" t="s">
        <v>69</v>
      </c>
      <c r="R3138" s="3" t="s">
        <v>71</v>
      </c>
      <c r="S3138" s="4">
        <v>6</v>
      </c>
      <c r="T3138" s="4">
        <v>6</v>
      </c>
      <c r="U3138" s="5" t="s">
        <v>785</v>
      </c>
      <c r="V3138" s="5" t="s">
        <v>785</v>
      </c>
      <c r="W3138" s="5" t="s">
        <v>72</v>
      </c>
      <c r="X3138" s="5" t="s">
        <v>72</v>
      </c>
      <c r="Y3138" s="4">
        <v>716</v>
      </c>
      <c r="Z3138" s="4">
        <v>14</v>
      </c>
      <c r="AA3138" s="4">
        <v>18</v>
      </c>
      <c r="AB3138" s="4">
        <v>1</v>
      </c>
      <c r="AC3138" s="4">
        <v>1</v>
      </c>
      <c r="AD3138" s="4">
        <v>100</v>
      </c>
      <c r="AE3138" s="4">
        <v>101</v>
      </c>
      <c r="AF3138" s="4">
        <v>0</v>
      </c>
      <c r="AG3138" s="4">
        <v>0</v>
      </c>
      <c r="AH3138" s="4">
        <v>92</v>
      </c>
      <c r="AI3138" s="4">
        <v>93</v>
      </c>
      <c r="AJ3138" s="4">
        <v>8</v>
      </c>
      <c r="AK3138" s="4">
        <v>9</v>
      </c>
      <c r="AL3138" s="4">
        <v>51</v>
      </c>
      <c r="AM3138" s="4">
        <v>51</v>
      </c>
      <c r="AN3138" s="4">
        <v>0</v>
      </c>
      <c r="AO3138" s="4">
        <v>0</v>
      </c>
      <c r="AP3138" s="4">
        <v>8</v>
      </c>
      <c r="AQ3138" s="4">
        <v>9</v>
      </c>
      <c r="AR3138" s="3" t="s">
        <v>65</v>
      </c>
      <c r="AS3138" s="3" t="s">
        <v>65</v>
      </c>
      <c r="AT3138" s="3" t="s">
        <v>209</v>
      </c>
      <c r="AU3138" s="6" t="str">
        <f>HYPERLINK("http://catalog.hathitrust.org/Record/001015876","HathiTrust Record")</f>
        <v>HathiTrust Record</v>
      </c>
      <c r="AV3138" s="6" t="str">
        <f>HYPERLINK("http://mcgill.on.worldcat.org/oclc/345390","Catalog Record")</f>
        <v>Catalog Record</v>
      </c>
      <c r="AW3138" s="6" t="str">
        <f>HYPERLINK("http://www.worldcat.org/oclc/345390","WorldCat Record")</f>
        <v>WorldCat Record</v>
      </c>
      <c r="AX3138" s="3" t="s">
        <v>31055</v>
      </c>
      <c r="AY3138" s="3" t="s">
        <v>31056</v>
      </c>
      <c r="AZ3138" s="3" t="s">
        <v>31057</v>
      </c>
      <c r="BA3138" s="3" t="s">
        <v>31057</v>
      </c>
      <c r="BB3138" s="3" t="s">
        <v>31058</v>
      </c>
      <c r="BC3138" s="3" t="s">
        <v>77</v>
      </c>
      <c r="BD3138" s="3" t="s">
        <v>78</v>
      </c>
      <c r="BF3138" s="3" t="s">
        <v>31058</v>
      </c>
      <c r="BG3138" s="3" t="s">
        <v>31059</v>
      </c>
    </row>
    <row r="3139" spans="1:59" ht="58" x14ac:dyDescent="0.35">
      <c r="A3139" s="2" t="s">
        <v>59</v>
      </c>
      <c r="B3139" s="2" t="s">
        <v>60</v>
      </c>
      <c r="C3139" s="2" t="s">
        <v>31060</v>
      </c>
      <c r="D3139" s="2" t="s">
        <v>31061</v>
      </c>
      <c r="E3139" s="2" t="s">
        <v>31062</v>
      </c>
      <c r="G3139" s="3" t="s">
        <v>65</v>
      </c>
      <c r="I3139" s="3" t="s">
        <v>65</v>
      </c>
      <c r="J3139" s="3" t="s">
        <v>209</v>
      </c>
      <c r="K3139" s="3" t="s">
        <v>66</v>
      </c>
      <c r="L3139" s="2" t="s">
        <v>31053</v>
      </c>
      <c r="M3139" s="2" t="s">
        <v>31063</v>
      </c>
      <c r="N3139" s="3" t="s">
        <v>214</v>
      </c>
      <c r="P3139" s="3" t="s">
        <v>140</v>
      </c>
      <c r="Q3139" s="2" t="s">
        <v>7116</v>
      </c>
      <c r="R3139" s="3" t="s">
        <v>71</v>
      </c>
      <c r="S3139" s="4">
        <v>8</v>
      </c>
      <c r="T3139" s="4">
        <v>8</v>
      </c>
      <c r="U3139" s="5" t="s">
        <v>31064</v>
      </c>
      <c r="V3139" s="5" t="s">
        <v>31064</v>
      </c>
      <c r="W3139" s="5" t="s">
        <v>72</v>
      </c>
      <c r="X3139" s="5" t="s">
        <v>72</v>
      </c>
      <c r="Y3139" s="4">
        <v>9</v>
      </c>
      <c r="Z3139" s="4">
        <v>2</v>
      </c>
      <c r="AA3139" s="4">
        <v>16</v>
      </c>
      <c r="AB3139" s="4">
        <v>1</v>
      </c>
      <c r="AC3139" s="4">
        <v>1</v>
      </c>
      <c r="AD3139" s="4">
        <v>2</v>
      </c>
      <c r="AE3139" s="4">
        <v>69</v>
      </c>
      <c r="AF3139" s="4">
        <v>0</v>
      </c>
      <c r="AG3139" s="4">
        <v>0</v>
      </c>
      <c r="AH3139" s="4">
        <v>2</v>
      </c>
      <c r="AI3139" s="4">
        <v>64</v>
      </c>
      <c r="AJ3139" s="4">
        <v>0</v>
      </c>
      <c r="AK3139" s="4">
        <v>9</v>
      </c>
      <c r="AL3139" s="4">
        <v>0</v>
      </c>
      <c r="AM3139" s="4">
        <v>44</v>
      </c>
      <c r="AN3139" s="4">
        <v>0</v>
      </c>
      <c r="AO3139" s="4">
        <v>0</v>
      </c>
      <c r="AP3139" s="4">
        <v>0</v>
      </c>
      <c r="AQ3139" s="4">
        <v>9</v>
      </c>
      <c r="AR3139" s="3" t="s">
        <v>65</v>
      </c>
      <c r="AS3139" s="3" t="s">
        <v>65</v>
      </c>
      <c r="AT3139" s="3" t="s">
        <v>65</v>
      </c>
      <c r="AV3139" s="6" t="str">
        <f>HYPERLINK("http://mcgill.on.worldcat.org/oclc/16141230","Catalog Record")</f>
        <v>Catalog Record</v>
      </c>
      <c r="AW3139" s="6" t="str">
        <f>HYPERLINK("http://www.worldcat.org/oclc/16141230","WorldCat Record")</f>
        <v>WorldCat Record</v>
      </c>
      <c r="AX3139" s="3" t="s">
        <v>31065</v>
      </c>
      <c r="AY3139" s="3" t="s">
        <v>31066</v>
      </c>
      <c r="AZ3139" s="3" t="s">
        <v>31067</v>
      </c>
      <c r="BA3139" s="3" t="s">
        <v>31067</v>
      </c>
      <c r="BB3139" s="3" t="s">
        <v>31068</v>
      </c>
      <c r="BC3139" s="3" t="s">
        <v>77</v>
      </c>
      <c r="BD3139" s="3" t="s">
        <v>78</v>
      </c>
      <c r="BF3139" s="3" t="s">
        <v>31068</v>
      </c>
      <c r="BG3139" s="3" t="s">
        <v>31069</v>
      </c>
    </row>
    <row r="3140" spans="1:59" ht="58" x14ac:dyDescent="0.35">
      <c r="A3140" s="2" t="s">
        <v>59</v>
      </c>
      <c r="B3140" s="2" t="s">
        <v>60</v>
      </c>
      <c r="C3140" s="2" t="s">
        <v>31070</v>
      </c>
      <c r="D3140" s="2" t="s">
        <v>31071</v>
      </c>
      <c r="E3140" s="2" t="s">
        <v>31072</v>
      </c>
      <c r="G3140" s="3" t="s">
        <v>65</v>
      </c>
      <c r="I3140" s="3" t="s">
        <v>65</v>
      </c>
      <c r="J3140" s="3" t="s">
        <v>65</v>
      </c>
      <c r="K3140" s="3" t="s">
        <v>66</v>
      </c>
      <c r="L3140" s="2" t="s">
        <v>31073</v>
      </c>
      <c r="M3140" s="2" t="s">
        <v>31074</v>
      </c>
      <c r="N3140" s="3" t="s">
        <v>139</v>
      </c>
      <c r="P3140" s="3" t="s">
        <v>140</v>
      </c>
      <c r="Q3140" s="2" t="s">
        <v>31075</v>
      </c>
      <c r="R3140" s="3" t="s">
        <v>71</v>
      </c>
      <c r="S3140" s="4">
        <v>1</v>
      </c>
      <c r="T3140" s="4">
        <v>1</v>
      </c>
      <c r="U3140" s="5" t="s">
        <v>31076</v>
      </c>
      <c r="V3140" s="5" t="s">
        <v>31076</v>
      </c>
      <c r="W3140" s="5" t="s">
        <v>72</v>
      </c>
      <c r="X3140" s="5" t="s">
        <v>72</v>
      </c>
      <c r="Y3140" s="4">
        <v>28</v>
      </c>
      <c r="Z3140" s="4">
        <v>2</v>
      </c>
      <c r="AA3140" s="4">
        <v>2</v>
      </c>
      <c r="AB3140" s="4">
        <v>1</v>
      </c>
      <c r="AC3140" s="4">
        <v>1</v>
      </c>
      <c r="AD3140" s="4">
        <v>20</v>
      </c>
      <c r="AE3140" s="4">
        <v>20</v>
      </c>
      <c r="AF3140" s="4">
        <v>0</v>
      </c>
      <c r="AG3140" s="4">
        <v>0</v>
      </c>
      <c r="AH3140" s="4">
        <v>19</v>
      </c>
      <c r="AI3140" s="4">
        <v>19</v>
      </c>
      <c r="AJ3140" s="4">
        <v>1</v>
      </c>
      <c r="AK3140" s="4">
        <v>1</v>
      </c>
      <c r="AL3140" s="4">
        <v>16</v>
      </c>
      <c r="AM3140" s="4">
        <v>16</v>
      </c>
      <c r="AN3140" s="4">
        <v>0</v>
      </c>
      <c r="AO3140" s="4">
        <v>0</v>
      </c>
      <c r="AP3140" s="4">
        <v>1</v>
      </c>
      <c r="AQ3140" s="4">
        <v>1</v>
      </c>
      <c r="AR3140" s="3" t="s">
        <v>65</v>
      </c>
      <c r="AS3140" s="3" t="s">
        <v>65</v>
      </c>
      <c r="AT3140" s="3" t="s">
        <v>65</v>
      </c>
      <c r="AV3140" s="6" t="str">
        <f>HYPERLINK("http://mcgill.on.worldcat.org/oclc/824351102","Catalog Record")</f>
        <v>Catalog Record</v>
      </c>
      <c r="AW3140" s="6" t="str">
        <f>HYPERLINK("http://www.worldcat.org/oclc/824351102","WorldCat Record")</f>
        <v>WorldCat Record</v>
      </c>
      <c r="AX3140" s="3" t="s">
        <v>31077</v>
      </c>
      <c r="AY3140" s="3" t="s">
        <v>31078</v>
      </c>
      <c r="AZ3140" s="3" t="s">
        <v>31079</v>
      </c>
      <c r="BA3140" s="3" t="s">
        <v>31079</v>
      </c>
      <c r="BB3140" s="3" t="s">
        <v>31080</v>
      </c>
      <c r="BC3140" s="3" t="s">
        <v>77</v>
      </c>
      <c r="BD3140" s="3" t="s">
        <v>78</v>
      </c>
      <c r="BE3140" s="3" t="s">
        <v>31081</v>
      </c>
      <c r="BF3140" s="3" t="s">
        <v>31080</v>
      </c>
      <c r="BG3140" s="3" t="s">
        <v>31082</v>
      </c>
    </row>
    <row r="3141" spans="1:59" ht="58" x14ac:dyDescent="0.35">
      <c r="A3141" s="2" t="s">
        <v>59</v>
      </c>
      <c r="B3141" s="2" t="s">
        <v>60</v>
      </c>
      <c r="C3141" s="2" t="s">
        <v>31083</v>
      </c>
      <c r="D3141" s="2" t="s">
        <v>31084</v>
      </c>
      <c r="E3141" s="2" t="s">
        <v>31085</v>
      </c>
      <c r="G3141" s="3" t="s">
        <v>65</v>
      </c>
      <c r="I3141" s="3" t="s">
        <v>65</v>
      </c>
      <c r="J3141" s="3" t="s">
        <v>65</v>
      </c>
      <c r="K3141" s="3" t="s">
        <v>66</v>
      </c>
      <c r="L3141" s="2" t="s">
        <v>31086</v>
      </c>
      <c r="M3141" s="2" t="s">
        <v>338</v>
      </c>
      <c r="N3141" s="3" t="s">
        <v>113</v>
      </c>
      <c r="O3141" s="2" t="s">
        <v>339</v>
      </c>
      <c r="P3141" s="3" t="s">
        <v>140</v>
      </c>
      <c r="Q3141" s="2" t="s">
        <v>31087</v>
      </c>
      <c r="R3141" s="3" t="s">
        <v>71</v>
      </c>
      <c r="S3141" s="4">
        <v>0</v>
      </c>
      <c r="T3141" s="4">
        <v>0</v>
      </c>
      <c r="W3141" s="5" t="s">
        <v>72</v>
      </c>
      <c r="X3141" s="5" t="s">
        <v>72</v>
      </c>
      <c r="Y3141" s="4">
        <v>27</v>
      </c>
      <c r="Z3141" s="4">
        <v>4</v>
      </c>
      <c r="AA3141" s="4">
        <v>4</v>
      </c>
      <c r="AB3141" s="4">
        <v>1</v>
      </c>
      <c r="AC3141" s="4">
        <v>1</v>
      </c>
      <c r="AD3141" s="4">
        <v>21</v>
      </c>
      <c r="AE3141" s="4">
        <v>21</v>
      </c>
      <c r="AF3141" s="4">
        <v>0</v>
      </c>
      <c r="AG3141" s="4">
        <v>0</v>
      </c>
      <c r="AH3141" s="4">
        <v>19</v>
      </c>
      <c r="AI3141" s="4">
        <v>19</v>
      </c>
      <c r="AJ3141" s="4">
        <v>2</v>
      </c>
      <c r="AK3141" s="4">
        <v>2</v>
      </c>
      <c r="AL3141" s="4">
        <v>16</v>
      </c>
      <c r="AM3141" s="4">
        <v>16</v>
      </c>
      <c r="AN3141" s="4">
        <v>0</v>
      </c>
      <c r="AO3141" s="4">
        <v>0</v>
      </c>
      <c r="AP3141" s="4">
        <v>2</v>
      </c>
      <c r="AQ3141" s="4">
        <v>2</v>
      </c>
      <c r="AR3141" s="3" t="s">
        <v>65</v>
      </c>
      <c r="AS3141" s="3" t="s">
        <v>65</v>
      </c>
      <c r="AT3141" s="3" t="s">
        <v>65</v>
      </c>
      <c r="AV3141" s="6" t="str">
        <f>HYPERLINK("http://mcgill.on.worldcat.org/oclc/620110573","Catalog Record")</f>
        <v>Catalog Record</v>
      </c>
      <c r="AW3141" s="6" t="str">
        <f>HYPERLINK("http://www.worldcat.org/oclc/620110573","WorldCat Record")</f>
        <v>WorldCat Record</v>
      </c>
      <c r="AX3141" s="3" t="s">
        <v>31088</v>
      </c>
      <c r="AY3141" s="3" t="s">
        <v>31089</v>
      </c>
      <c r="AZ3141" s="3" t="s">
        <v>31090</v>
      </c>
      <c r="BA3141" s="3" t="s">
        <v>31090</v>
      </c>
      <c r="BB3141" s="3" t="s">
        <v>31091</v>
      </c>
      <c r="BC3141" s="3" t="s">
        <v>77</v>
      </c>
      <c r="BD3141" s="3" t="s">
        <v>78</v>
      </c>
      <c r="BE3141" s="3" t="s">
        <v>31092</v>
      </c>
      <c r="BF3141" s="3" t="s">
        <v>31091</v>
      </c>
      <c r="BG3141" s="3" t="s">
        <v>31093</v>
      </c>
    </row>
    <row r="3142" spans="1:59" ht="58" x14ac:dyDescent="0.35">
      <c r="A3142" s="2" t="s">
        <v>59</v>
      </c>
      <c r="B3142" s="2" t="s">
        <v>60</v>
      </c>
      <c r="C3142" s="2" t="s">
        <v>31094</v>
      </c>
      <c r="D3142" s="2" t="s">
        <v>31095</v>
      </c>
      <c r="E3142" s="2" t="s">
        <v>31096</v>
      </c>
      <c r="G3142" s="3" t="s">
        <v>65</v>
      </c>
      <c r="I3142" s="3" t="s">
        <v>65</v>
      </c>
      <c r="J3142" s="3" t="s">
        <v>65</v>
      </c>
      <c r="K3142" s="3" t="s">
        <v>66</v>
      </c>
      <c r="L3142" s="2" t="s">
        <v>31097</v>
      </c>
      <c r="M3142" s="2" t="s">
        <v>31098</v>
      </c>
      <c r="N3142" s="3" t="s">
        <v>1085</v>
      </c>
      <c r="P3142" s="3" t="s">
        <v>140</v>
      </c>
      <c r="Q3142" s="2" t="s">
        <v>31099</v>
      </c>
      <c r="R3142" s="3" t="s">
        <v>71</v>
      </c>
      <c r="S3142" s="4">
        <v>1</v>
      </c>
      <c r="T3142" s="4">
        <v>1</v>
      </c>
      <c r="U3142" s="5" t="s">
        <v>17342</v>
      </c>
      <c r="V3142" s="5" t="s">
        <v>17342</v>
      </c>
      <c r="W3142" s="5" t="s">
        <v>72</v>
      </c>
      <c r="X3142" s="5" t="s">
        <v>72</v>
      </c>
      <c r="Y3142" s="4">
        <v>23</v>
      </c>
      <c r="Z3142" s="4">
        <v>3</v>
      </c>
      <c r="AA3142" s="4">
        <v>3</v>
      </c>
      <c r="AB3142" s="4">
        <v>1</v>
      </c>
      <c r="AC3142" s="4">
        <v>1</v>
      </c>
      <c r="AD3142" s="4">
        <v>14</v>
      </c>
      <c r="AE3142" s="4">
        <v>14</v>
      </c>
      <c r="AF3142" s="4">
        <v>0</v>
      </c>
      <c r="AG3142" s="4">
        <v>0</v>
      </c>
      <c r="AH3142" s="4">
        <v>14</v>
      </c>
      <c r="AI3142" s="4">
        <v>14</v>
      </c>
      <c r="AJ3142" s="4">
        <v>1</v>
      </c>
      <c r="AK3142" s="4">
        <v>1</v>
      </c>
      <c r="AL3142" s="4">
        <v>12</v>
      </c>
      <c r="AM3142" s="4">
        <v>12</v>
      </c>
      <c r="AN3142" s="4">
        <v>0</v>
      </c>
      <c r="AO3142" s="4">
        <v>0</v>
      </c>
      <c r="AP3142" s="4">
        <v>1</v>
      </c>
      <c r="AQ3142" s="4">
        <v>1</v>
      </c>
      <c r="AR3142" s="3" t="s">
        <v>65</v>
      </c>
      <c r="AS3142" s="3" t="s">
        <v>65</v>
      </c>
      <c r="AT3142" s="3" t="s">
        <v>209</v>
      </c>
      <c r="AU3142" s="6" t="str">
        <f>HYPERLINK("http://catalog.hathitrust.org/Record/007964795","HathiTrust Record")</f>
        <v>HathiTrust Record</v>
      </c>
      <c r="AV3142" s="6" t="str">
        <f>HYPERLINK("http://mcgill.on.worldcat.org/oclc/39170647","Catalog Record")</f>
        <v>Catalog Record</v>
      </c>
      <c r="AW3142" s="6" t="str">
        <f>HYPERLINK("http://www.worldcat.org/oclc/39170647","WorldCat Record")</f>
        <v>WorldCat Record</v>
      </c>
      <c r="AX3142" s="3" t="s">
        <v>31100</v>
      </c>
      <c r="AY3142" s="3" t="s">
        <v>31101</v>
      </c>
      <c r="AZ3142" s="3" t="s">
        <v>31102</v>
      </c>
      <c r="BA3142" s="3" t="s">
        <v>31102</v>
      </c>
      <c r="BB3142" s="3" t="s">
        <v>31103</v>
      </c>
      <c r="BC3142" s="3" t="s">
        <v>77</v>
      </c>
      <c r="BD3142" s="3" t="s">
        <v>78</v>
      </c>
      <c r="BE3142" s="3" t="s">
        <v>31104</v>
      </c>
      <c r="BF3142" s="3" t="s">
        <v>31103</v>
      </c>
      <c r="BG3142" s="3" t="s">
        <v>31105</v>
      </c>
    </row>
    <row r="3143" spans="1:59" ht="58" x14ac:dyDescent="0.35">
      <c r="A3143" s="2" t="s">
        <v>59</v>
      </c>
      <c r="B3143" s="2" t="s">
        <v>60</v>
      </c>
      <c r="C3143" s="2" t="s">
        <v>31106</v>
      </c>
      <c r="D3143" s="2" t="s">
        <v>31107</v>
      </c>
      <c r="E3143" s="2" t="s">
        <v>31108</v>
      </c>
      <c r="G3143" s="3" t="s">
        <v>65</v>
      </c>
      <c r="I3143" s="3" t="s">
        <v>65</v>
      </c>
      <c r="J3143" s="3" t="s">
        <v>65</v>
      </c>
      <c r="K3143" s="3" t="s">
        <v>66</v>
      </c>
      <c r="M3143" s="2" t="s">
        <v>31109</v>
      </c>
      <c r="N3143" s="3" t="s">
        <v>86</v>
      </c>
      <c r="P3143" s="3" t="s">
        <v>140</v>
      </c>
      <c r="R3143" s="3" t="s">
        <v>71</v>
      </c>
      <c r="S3143" s="4">
        <v>3</v>
      </c>
      <c r="T3143" s="4">
        <v>3</v>
      </c>
      <c r="W3143" s="5" t="s">
        <v>72</v>
      </c>
      <c r="X3143" s="5" t="s">
        <v>72</v>
      </c>
      <c r="Y3143" s="4">
        <v>9</v>
      </c>
      <c r="Z3143" s="4">
        <v>1</v>
      </c>
      <c r="AA3143" s="4">
        <v>1</v>
      </c>
      <c r="AB3143" s="4">
        <v>1</v>
      </c>
      <c r="AC3143" s="4">
        <v>1</v>
      </c>
      <c r="AD3143" s="4">
        <v>6</v>
      </c>
      <c r="AE3143" s="4">
        <v>6</v>
      </c>
      <c r="AF3143" s="4">
        <v>0</v>
      </c>
      <c r="AG3143" s="4">
        <v>0</v>
      </c>
      <c r="AH3143" s="4">
        <v>5</v>
      </c>
      <c r="AI3143" s="4">
        <v>5</v>
      </c>
      <c r="AJ3143" s="4">
        <v>0</v>
      </c>
      <c r="AK3143" s="4">
        <v>0</v>
      </c>
      <c r="AL3143" s="4">
        <v>5</v>
      </c>
      <c r="AM3143" s="4">
        <v>5</v>
      </c>
      <c r="AN3143" s="4">
        <v>0</v>
      </c>
      <c r="AO3143" s="4">
        <v>0</v>
      </c>
      <c r="AP3143" s="4">
        <v>0</v>
      </c>
      <c r="AQ3143" s="4">
        <v>0</v>
      </c>
      <c r="AR3143" s="3" t="s">
        <v>65</v>
      </c>
      <c r="AS3143" s="3" t="s">
        <v>65</v>
      </c>
      <c r="AT3143" s="3" t="s">
        <v>65</v>
      </c>
      <c r="AV3143" s="6" t="str">
        <f>HYPERLINK("http://mcgill.on.worldcat.org/oclc/1027773400","Catalog Record")</f>
        <v>Catalog Record</v>
      </c>
      <c r="AW3143" s="6" t="str">
        <f>HYPERLINK("http://www.worldcat.org/oclc/1027773400","WorldCat Record")</f>
        <v>WorldCat Record</v>
      </c>
      <c r="AX3143" s="3" t="s">
        <v>31110</v>
      </c>
      <c r="AY3143" s="3" t="s">
        <v>31111</v>
      </c>
      <c r="AZ3143" s="3" t="s">
        <v>31112</v>
      </c>
      <c r="BA3143" s="3" t="s">
        <v>31112</v>
      </c>
      <c r="BB3143" s="3" t="s">
        <v>31113</v>
      </c>
      <c r="BC3143" s="3" t="s">
        <v>77</v>
      </c>
      <c r="BD3143" s="3" t="s">
        <v>106</v>
      </c>
      <c r="BE3143" s="3" t="s">
        <v>31114</v>
      </c>
      <c r="BF3143" s="3" t="s">
        <v>31113</v>
      </c>
      <c r="BG3143" s="3" t="s">
        <v>31115</v>
      </c>
    </row>
    <row r="3144" spans="1:59" ht="58" x14ac:dyDescent="0.35">
      <c r="A3144" s="2" t="s">
        <v>59</v>
      </c>
      <c r="B3144" s="2" t="s">
        <v>60</v>
      </c>
      <c r="C3144" s="2" t="s">
        <v>31116</v>
      </c>
      <c r="D3144" s="2" t="s">
        <v>31117</v>
      </c>
      <c r="E3144" s="2" t="s">
        <v>31118</v>
      </c>
      <c r="G3144" s="3" t="s">
        <v>65</v>
      </c>
      <c r="I3144" s="3" t="s">
        <v>65</v>
      </c>
      <c r="J3144" s="3" t="s">
        <v>65</v>
      </c>
      <c r="K3144" s="3" t="s">
        <v>66</v>
      </c>
      <c r="L3144" s="2" t="s">
        <v>31119</v>
      </c>
      <c r="M3144" s="2" t="s">
        <v>31120</v>
      </c>
      <c r="N3144" s="3" t="s">
        <v>615</v>
      </c>
      <c r="O3144" s="2" t="s">
        <v>21359</v>
      </c>
      <c r="P3144" s="3" t="s">
        <v>140</v>
      </c>
      <c r="Q3144" s="2" t="s">
        <v>7116</v>
      </c>
      <c r="R3144" s="3" t="s">
        <v>71</v>
      </c>
      <c r="S3144" s="4">
        <v>2</v>
      </c>
      <c r="T3144" s="4">
        <v>2</v>
      </c>
      <c r="U3144" s="5" t="s">
        <v>5949</v>
      </c>
      <c r="V3144" s="5" t="s">
        <v>5949</v>
      </c>
      <c r="W3144" s="5" t="s">
        <v>72</v>
      </c>
      <c r="X3144" s="5" t="s">
        <v>72</v>
      </c>
      <c r="Y3144" s="4">
        <v>99</v>
      </c>
      <c r="Z3144" s="4">
        <v>4</v>
      </c>
      <c r="AA3144" s="4">
        <v>7</v>
      </c>
      <c r="AB3144" s="4">
        <v>1</v>
      </c>
      <c r="AC3144" s="4">
        <v>1</v>
      </c>
      <c r="AD3144" s="4">
        <v>51</v>
      </c>
      <c r="AE3144" s="4">
        <v>57</v>
      </c>
      <c r="AF3144" s="4">
        <v>0</v>
      </c>
      <c r="AG3144" s="4">
        <v>0</v>
      </c>
      <c r="AH3144" s="4">
        <v>49</v>
      </c>
      <c r="AI3144" s="4">
        <v>55</v>
      </c>
      <c r="AJ3144" s="4">
        <v>2</v>
      </c>
      <c r="AK3144" s="4">
        <v>4</v>
      </c>
      <c r="AL3144" s="4">
        <v>37</v>
      </c>
      <c r="AM3144" s="4">
        <v>40</v>
      </c>
      <c r="AN3144" s="4">
        <v>0</v>
      </c>
      <c r="AO3144" s="4">
        <v>0</v>
      </c>
      <c r="AP3144" s="4">
        <v>2</v>
      </c>
      <c r="AQ3144" s="4">
        <v>4</v>
      </c>
      <c r="AR3144" s="3" t="s">
        <v>65</v>
      </c>
      <c r="AS3144" s="3" t="s">
        <v>65</v>
      </c>
      <c r="AT3144" s="3" t="s">
        <v>65</v>
      </c>
      <c r="AV3144" s="6" t="str">
        <f>HYPERLINK("http://mcgill.on.worldcat.org/oclc/11449523","Catalog Record")</f>
        <v>Catalog Record</v>
      </c>
      <c r="AW3144" s="6" t="str">
        <f>HYPERLINK("http://www.worldcat.org/oclc/11449523","WorldCat Record")</f>
        <v>WorldCat Record</v>
      </c>
      <c r="AX3144" s="3" t="s">
        <v>31121</v>
      </c>
      <c r="AY3144" s="3" t="s">
        <v>31122</v>
      </c>
      <c r="AZ3144" s="3" t="s">
        <v>31123</v>
      </c>
      <c r="BA3144" s="3" t="s">
        <v>31123</v>
      </c>
      <c r="BB3144" s="3" t="s">
        <v>31124</v>
      </c>
      <c r="BC3144" s="3" t="s">
        <v>77</v>
      </c>
      <c r="BD3144" s="3" t="s">
        <v>78</v>
      </c>
      <c r="BF3144" s="3" t="s">
        <v>31124</v>
      </c>
      <c r="BG3144" s="3" t="s">
        <v>31125</v>
      </c>
    </row>
    <row r="3145" spans="1:59" ht="58" x14ac:dyDescent="0.35">
      <c r="A3145" s="2" t="s">
        <v>59</v>
      </c>
      <c r="B3145" s="2" t="s">
        <v>60</v>
      </c>
      <c r="C3145" s="2" t="s">
        <v>31126</v>
      </c>
      <c r="D3145" s="2" t="s">
        <v>31127</v>
      </c>
      <c r="E3145" s="2" t="s">
        <v>31128</v>
      </c>
      <c r="F3145" s="3" t="s">
        <v>503</v>
      </c>
      <c r="G3145" s="3" t="s">
        <v>209</v>
      </c>
      <c r="I3145" s="3" t="s">
        <v>65</v>
      </c>
      <c r="J3145" s="3" t="s">
        <v>209</v>
      </c>
      <c r="K3145" s="3" t="s">
        <v>66</v>
      </c>
      <c r="L3145" s="2" t="s">
        <v>31119</v>
      </c>
      <c r="M3145" s="2" t="s">
        <v>31129</v>
      </c>
      <c r="N3145" s="3" t="s">
        <v>8834</v>
      </c>
      <c r="O3145" s="2" t="s">
        <v>28443</v>
      </c>
      <c r="P3145" s="3" t="s">
        <v>140</v>
      </c>
      <c r="R3145" s="3" t="s">
        <v>71</v>
      </c>
      <c r="S3145" s="4">
        <v>0</v>
      </c>
      <c r="T3145" s="4">
        <v>3</v>
      </c>
      <c r="V3145" s="5" t="s">
        <v>23374</v>
      </c>
      <c r="W3145" s="5" t="s">
        <v>72</v>
      </c>
      <c r="X3145" s="5" t="s">
        <v>72</v>
      </c>
      <c r="Y3145" s="4">
        <v>11</v>
      </c>
      <c r="Z3145" s="4">
        <v>1</v>
      </c>
      <c r="AA3145" s="4">
        <v>21</v>
      </c>
      <c r="AB3145" s="4">
        <v>1</v>
      </c>
      <c r="AC3145" s="4">
        <v>6</v>
      </c>
      <c r="AD3145" s="4">
        <v>5</v>
      </c>
      <c r="AE3145" s="4">
        <v>85</v>
      </c>
      <c r="AF3145" s="4">
        <v>0</v>
      </c>
      <c r="AG3145" s="4">
        <v>2</v>
      </c>
      <c r="AH3145" s="4">
        <v>5</v>
      </c>
      <c r="AI3145" s="4">
        <v>76</v>
      </c>
      <c r="AJ3145" s="4">
        <v>0</v>
      </c>
      <c r="AK3145" s="4">
        <v>12</v>
      </c>
      <c r="AL3145" s="4">
        <v>5</v>
      </c>
      <c r="AM3145" s="4">
        <v>52</v>
      </c>
      <c r="AN3145" s="4">
        <v>0</v>
      </c>
      <c r="AO3145" s="4">
        <v>3</v>
      </c>
      <c r="AP3145" s="4">
        <v>0</v>
      </c>
      <c r="AQ3145" s="4">
        <v>13</v>
      </c>
      <c r="AR3145" s="3" t="s">
        <v>65</v>
      </c>
      <c r="AS3145" s="3" t="s">
        <v>65</v>
      </c>
      <c r="AT3145" s="3" t="s">
        <v>65</v>
      </c>
      <c r="AU3145" s="6" t="str">
        <f>HYPERLINK("http://catalog.hathitrust.org/Record/100209216","HathiTrust Record")</f>
        <v>HathiTrust Record</v>
      </c>
      <c r="AV3145" s="6" t="str">
        <f>HYPERLINK("http://mcgill.on.worldcat.org/oclc/15806221","Catalog Record")</f>
        <v>Catalog Record</v>
      </c>
      <c r="AW3145" s="6" t="str">
        <f>HYPERLINK("http://www.worldcat.org/oclc/15806221","WorldCat Record")</f>
        <v>WorldCat Record</v>
      </c>
      <c r="AX3145" s="3" t="s">
        <v>31130</v>
      </c>
      <c r="AY3145" s="3" t="s">
        <v>31131</v>
      </c>
      <c r="AZ3145" s="3" t="s">
        <v>31132</v>
      </c>
      <c r="BA3145" s="3" t="s">
        <v>31132</v>
      </c>
      <c r="BB3145" s="3" t="s">
        <v>31133</v>
      </c>
      <c r="BC3145" s="3" t="s">
        <v>77</v>
      </c>
      <c r="BD3145" s="3" t="s">
        <v>78</v>
      </c>
      <c r="BF3145" s="3" t="s">
        <v>31133</v>
      </c>
      <c r="BG3145" s="3" t="s">
        <v>31134</v>
      </c>
    </row>
    <row r="3146" spans="1:59" ht="58" x14ac:dyDescent="0.35">
      <c r="A3146" s="2" t="s">
        <v>59</v>
      </c>
      <c r="B3146" s="2" t="s">
        <v>60</v>
      </c>
      <c r="C3146" s="2" t="s">
        <v>31126</v>
      </c>
      <c r="D3146" s="2" t="s">
        <v>31127</v>
      </c>
      <c r="E3146" s="2" t="s">
        <v>31128</v>
      </c>
      <c r="F3146" s="3" t="s">
        <v>490</v>
      </c>
      <c r="G3146" s="3" t="s">
        <v>209</v>
      </c>
      <c r="I3146" s="3" t="s">
        <v>65</v>
      </c>
      <c r="J3146" s="3" t="s">
        <v>209</v>
      </c>
      <c r="K3146" s="3" t="s">
        <v>66</v>
      </c>
      <c r="L3146" s="2" t="s">
        <v>31119</v>
      </c>
      <c r="M3146" s="2" t="s">
        <v>31129</v>
      </c>
      <c r="N3146" s="3" t="s">
        <v>8834</v>
      </c>
      <c r="O3146" s="2" t="s">
        <v>28443</v>
      </c>
      <c r="P3146" s="3" t="s">
        <v>140</v>
      </c>
      <c r="R3146" s="3" t="s">
        <v>71</v>
      </c>
      <c r="S3146" s="4">
        <v>3</v>
      </c>
      <c r="T3146" s="4">
        <v>3</v>
      </c>
      <c r="U3146" s="5" t="s">
        <v>23374</v>
      </c>
      <c r="V3146" s="5" t="s">
        <v>23374</v>
      </c>
      <c r="W3146" s="5" t="s">
        <v>72</v>
      </c>
      <c r="X3146" s="5" t="s">
        <v>72</v>
      </c>
      <c r="Y3146" s="4">
        <v>11</v>
      </c>
      <c r="Z3146" s="4">
        <v>1</v>
      </c>
      <c r="AA3146" s="4">
        <v>21</v>
      </c>
      <c r="AB3146" s="4">
        <v>1</v>
      </c>
      <c r="AC3146" s="4">
        <v>6</v>
      </c>
      <c r="AD3146" s="4">
        <v>5</v>
      </c>
      <c r="AE3146" s="4">
        <v>85</v>
      </c>
      <c r="AF3146" s="4">
        <v>0</v>
      </c>
      <c r="AG3146" s="4">
        <v>2</v>
      </c>
      <c r="AH3146" s="4">
        <v>5</v>
      </c>
      <c r="AI3146" s="4">
        <v>76</v>
      </c>
      <c r="AJ3146" s="4">
        <v>0</v>
      </c>
      <c r="AK3146" s="4">
        <v>12</v>
      </c>
      <c r="AL3146" s="4">
        <v>5</v>
      </c>
      <c r="AM3146" s="4">
        <v>52</v>
      </c>
      <c r="AN3146" s="4">
        <v>0</v>
      </c>
      <c r="AO3146" s="4">
        <v>3</v>
      </c>
      <c r="AP3146" s="4">
        <v>0</v>
      </c>
      <c r="AQ3146" s="4">
        <v>13</v>
      </c>
      <c r="AR3146" s="3" t="s">
        <v>65</v>
      </c>
      <c r="AS3146" s="3" t="s">
        <v>65</v>
      </c>
      <c r="AT3146" s="3" t="s">
        <v>65</v>
      </c>
      <c r="AU3146" s="6" t="str">
        <f>HYPERLINK("http://catalog.hathitrust.org/Record/100209216","HathiTrust Record")</f>
        <v>HathiTrust Record</v>
      </c>
      <c r="AV3146" s="6" t="str">
        <f>HYPERLINK("http://mcgill.on.worldcat.org/oclc/15806221","Catalog Record")</f>
        <v>Catalog Record</v>
      </c>
      <c r="AW3146" s="6" t="str">
        <f>HYPERLINK("http://www.worldcat.org/oclc/15806221","WorldCat Record")</f>
        <v>WorldCat Record</v>
      </c>
      <c r="AX3146" s="3" t="s">
        <v>31130</v>
      </c>
      <c r="AY3146" s="3" t="s">
        <v>31131</v>
      </c>
      <c r="AZ3146" s="3" t="s">
        <v>31132</v>
      </c>
      <c r="BA3146" s="3" t="s">
        <v>31132</v>
      </c>
      <c r="BB3146" s="3" t="s">
        <v>31135</v>
      </c>
      <c r="BC3146" s="3" t="s">
        <v>77</v>
      </c>
      <c r="BD3146" s="3" t="s">
        <v>78</v>
      </c>
      <c r="BF3146" s="3" t="s">
        <v>31135</v>
      </c>
      <c r="BG3146" s="3" t="s">
        <v>31136</v>
      </c>
    </row>
    <row r="3147" spans="1:59" ht="58" x14ac:dyDescent="0.35">
      <c r="A3147" s="2" t="s">
        <v>59</v>
      </c>
      <c r="B3147" s="2" t="s">
        <v>60</v>
      </c>
      <c r="C3147" s="2" t="s">
        <v>31137</v>
      </c>
      <c r="D3147" s="2" t="s">
        <v>31138</v>
      </c>
      <c r="E3147" s="2" t="s">
        <v>31139</v>
      </c>
      <c r="G3147" s="3" t="s">
        <v>65</v>
      </c>
      <c r="I3147" s="3" t="s">
        <v>65</v>
      </c>
      <c r="J3147" s="3" t="s">
        <v>209</v>
      </c>
      <c r="K3147" s="3" t="s">
        <v>66</v>
      </c>
      <c r="L3147" s="2" t="s">
        <v>31119</v>
      </c>
      <c r="M3147" s="2" t="s">
        <v>31140</v>
      </c>
      <c r="N3147" s="3" t="s">
        <v>615</v>
      </c>
      <c r="O3147" s="2" t="s">
        <v>365</v>
      </c>
      <c r="P3147" s="3" t="s">
        <v>140</v>
      </c>
      <c r="Q3147" s="2" t="s">
        <v>31141</v>
      </c>
      <c r="R3147" s="3" t="s">
        <v>71</v>
      </c>
      <c r="S3147" s="4">
        <v>3</v>
      </c>
      <c r="T3147" s="4">
        <v>3</v>
      </c>
      <c r="U3147" s="5" t="s">
        <v>15733</v>
      </c>
      <c r="V3147" s="5" t="s">
        <v>15733</v>
      </c>
      <c r="W3147" s="5" t="s">
        <v>72</v>
      </c>
      <c r="X3147" s="5" t="s">
        <v>72</v>
      </c>
      <c r="Y3147" s="4">
        <v>10</v>
      </c>
      <c r="Z3147" s="4">
        <v>5</v>
      </c>
      <c r="AA3147" s="4">
        <v>21</v>
      </c>
      <c r="AB3147" s="4">
        <v>2</v>
      </c>
      <c r="AC3147" s="4">
        <v>6</v>
      </c>
      <c r="AD3147" s="4">
        <v>5</v>
      </c>
      <c r="AE3147" s="4">
        <v>85</v>
      </c>
      <c r="AF3147" s="4">
        <v>0</v>
      </c>
      <c r="AG3147" s="4">
        <v>2</v>
      </c>
      <c r="AH3147" s="4">
        <v>4</v>
      </c>
      <c r="AI3147" s="4">
        <v>76</v>
      </c>
      <c r="AJ3147" s="4">
        <v>3</v>
      </c>
      <c r="AK3147" s="4">
        <v>12</v>
      </c>
      <c r="AL3147" s="4">
        <v>1</v>
      </c>
      <c r="AM3147" s="4">
        <v>52</v>
      </c>
      <c r="AN3147" s="4">
        <v>0</v>
      </c>
      <c r="AO3147" s="4">
        <v>3</v>
      </c>
      <c r="AP3147" s="4">
        <v>3</v>
      </c>
      <c r="AQ3147" s="4">
        <v>13</v>
      </c>
      <c r="AR3147" s="3" t="s">
        <v>65</v>
      </c>
      <c r="AS3147" s="3" t="s">
        <v>65</v>
      </c>
      <c r="AT3147" s="3" t="s">
        <v>65</v>
      </c>
      <c r="AV3147" s="6" t="str">
        <f>HYPERLINK("http://mcgill.on.worldcat.org/oclc/27884717","Catalog Record")</f>
        <v>Catalog Record</v>
      </c>
      <c r="AW3147" s="6" t="str">
        <f>HYPERLINK("http://www.worldcat.org/oclc/27884717","WorldCat Record")</f>
        <v>WorldCat Record</v>
      </c>
      <c r="AX3147" s="3" t="s">
        <v>31130</v>
      </c>
      <c r="AY3147" s="3" t="s">
        <v>31142</v>
      </c>
      <c r="AZ3147" s="3" t="s">
        <v>31143</v>
      </c>
      <c r="BA3147" s="3" t="s">
        <v>31143</v>
      </c>
      <c r="BB3147" s="3" t="s">
        <v>31144</v>
      </c>
      <c r="BC3147" s="3" t="s">
        <v>77</v>
      </c>
      <c r="BD3147" s="3" t="s">
        <v>78</v>
      </c>
      <c r="BF3147" s="3" t="s">
        <v>31144</v>
      </c>
      <c r="BG3147" s="3" t="s">
        <v>31145</v>
      </c>
    </row>
    <row r="3148" spans="1:59" ht="58" x14ac:dyDescent="0.35">
      <c r="A3148" s="2" t="s">
        <v>59</v>
      </c>
      <c r="B3148" s="2" t="s">
        <v>60</v>
      </c>
      <c r="C3148" s="2" t="s">
        <v>31146</v>
      </c>
      <c r="D3148" s="2" t="s">
        <v>31147</v>
      </c>
      <c r="E3148" s="2" t="s">
        <v>31148</v>
      </c>
      <c r="G3148" s="3" t="s">
        <v>65</v>
      </c>
      <c r="I3148" s="3" t="s">
        <v>65</v>
      </c>
      <c r="J3148" s="3" t="s">
        <v>65</v>
      </c>
      <c r="K3148" s="3" t="s">
        <v>66</v>
      </c>
      <c r="L3148" s="2" t="s">
        <v>31119</v>
      </c>
      <c r="M3148" s="2" t="s">
        <v>31149</v>
      </c>
      <c r="N3148" s="3" t="s">
        <v>5439</v>
      </c>
      <c r="O3148" s="2" t="s">
        <v>22220</v>
      </c>
      <c r="P3148" s="3" t="s">
        <v>69</v>
      </c>
      <c r="R3148" s="3" t="s">
        <v>71</v>
      </c>
      <c r="S3148" s="4">
        <v>4</v>
      </c>
      <c r="T3148" s="4">
        <v>4</v>
      </c>
      <c r="U3148" s="5" t="s">
        <v>15733</v>
      </c>
      <c r="V3148" s="5" t="s">
        <v>15733</v>
      </c>
      <c r="W3148" s="5" t="s">
        <v>72</v>
      </c>
      <c r="X3148" s="5" t="s">
        <v>72</v>
      </c>
      <c r="Y3148" s="4">
        <v>267</v>
      </c>
      <c r="Z3148" s="4">
        <v>5</v>
      </c>
      <c r="AA3148" s="4">
        <v>17</v>
      </c>
      <c r="AB3148" s="4">
        <v>1</v>
      </c>
      <c r="AC3148" s="4">
        <v>3</v>
      </c>
      <c r="AD3148" s="4">
        <v>73</v>
      </c>
      <c r="AE3148" s="4">
        <v>86</v>
      </c>
      <c r="AF3148" s="4">
        <v>0</v>
      </c>
      <c r="AG3148" s="4">
        <v>0</v>
      </c>
      <c r="AH3148" s="4">
        <v>68</v>
      </c>
      <c r="AI3148" s="4">
        <v>80</v>
      </c>
      <c r="AJ3148" s="4">
        <v>2</v>
      </c>
      <c r="AK3148" s="4">
        <v>8</v>
      </c>
      <c r="AL3148" s="4">
        <v>44</v>
      </c>
      <c r="AM3148" s="4">
        <v>48</v>
      </c>
      <c r="AN3148" s="4">
        <v>0</v>
      </c>
      <c r="AO3148" s="4">
        <v>0</v>
      </c>
      <c r="AP3148" s="4">
        <v>2</v>
      </c>
      <c r="AQ3148" s="4">
        <v>8</v>
      </c>
      <c r="AR3148" s="3" t="s">
        <v>65</v>
      </c>
      <c r="AS3148" s="3" t="s">
        <v>65</v>
      </c>
      <c r="AT3148" s="3" t="s">
        <v>209</v>
      </c>
      <c r="AU3148" s="6" t="str">
        <f>HYPERLINK("http://catalog.hathitrust.org/Record/001219903","HathiTrust Record")</f>
        <v>HathiTrust Record</v>
      </c>
      <c r="AV3148" s="6" t="str">
        <f>HYPERLINK("http://mcgill.on.worldcat.org/oclc/1337852","Catalog Record")</f>
        <v>Catalog Record</v>
      </c>
      <c r="AW3148" s="6" t="str">
        <f>HYPERLINK("http://www.worldcat.org/oclc/1337852","WorldCat Record")</f>
        <v>WorldCat Record</v>
      </c>
      <c r="AX3148" s="3" t="s">
        <v>31150</v>
      </c>
      <c r="AY3148" s="3" t="s">
        <v>31151</v>
      </c>
      <c r="AZ3148" s="3" t="s">
        <v>31152</v>
      </c>
      <c r="BA3148" s="3" t="s">
        <v>31152</v>
      </c>
      <c r="BB3148" s="3" t="s">
        <v>31153</v>
      </c>
      <c r="BC3148" s="3" t="s">
        <v>77</v>
      </c>
      <c r="BD3148" s="3" t="s">
        <v>78</v>
      </c>
      <c r="BF3148" s="3" t="s">
        <v>31153</v>
      </c>
      <c r="BG3148" s="3" t="s">
        <v>31154</v>
      </c>
    </row>
    <row r="3149" spans="1:59" ht="58" x14ac:dyDescent="0.35">
      <c r="A3149" s="2" t="s">
        <v>59</v>
      </c>
      <c r="B3149" s="2" t="s">
        <v>60</v>
      </c>
      <c r="C3149" s="2" t="s">
        <v>31155</v>
      </c>
      <c r="D3149" s="2" t="s">
        <v>31156</v>
      </c>
      <c r="E3149" s="2" t="s">
        <v>31157</v>
      </c>
      <c r="G3149" s="3" t="s">
        <v>65</v>
      </c>
      <c r="I3149" s="3" t="s">
        <v>65</v>
      </c>
      <c r="J3149" s="3" t="s">
        <v>65</v>
      </c>
      <c r="K3149" s="3" t="s">
        <v>66</v>
      </c>
      <c r="L3149" s="2" t="s">
        <v>31158</v>
      </c>
      <c r="M3149" s="2" t="s">
        <v>16309</v>
      </c>
      <c r="N3149" s="3" t="s">
        <v>1032</v>
      </c>
      <c r="P3149" s="3" t="s">
        <v>140</v>
      </c>
      <c r="Q3149" s="2" t="s">
        <v>31159</v>
      </c>
      <c r="R3149" s="3" t="s">
        <v>71</v>
      </c>
      <c r="S3149" s="4">
        <v>1</v>
      </c>
      <c r="T3149" s="4">
        <v>1</v>
      </c>
      <c r="U3149" s="5" t="s">
        <v>6068</v>
      </c>
      <c r="V3149" s="5" t="s">
        <v>6068</v>
      </c>
      <c r="W3149" s="5" t="s">
        <v>72</v>
      </c>
      <c r="X3149" s="5" t="s">
        <v>72</v>
      </c>
      <c r="Y3149" s="4">
        <v>52</v>
      </c>
      <c r="Z3149" s="4">
        <v>7</v>
      </c>
      <c r="AA3149" s="4">
        <v>7</v>
      </c>
      <c r="AB3149" s="4">
        <v>1</v>
      </c>
      <c r="AC3149" s="4">
        <v>1</v>
      </c>
      <c r="AD3149" s="4">
        <v>27</v>
      </c>
      <c r="AE3149" s="4">
        <v>27</v>
      </c>
      <c r="AF3149" s="4">
        <v>0</v>
      </c>
      <c r="AG3149" s="4">
        <v>0</v>
      </c>
      <c r="AH3149" s="4">
        <v>26</v>
      </c>
      <c r="AI3149" s="4">
        <v>26</v>
      </c>
      <c r="AJ3149" s="4">
        <v>5</v>
      </c>
      <c r="AK3149" s="4">
        <v>5</v>
      </c>
      <c r="AL3149" s="4">
        <v>21</v>
      </c>
      <c r="AM3149" s="4">
        <v>21</v>
      </c>
      <c r="AN3149" s="4">
        <v>0</v>
      </c>
      <c r="AO3149" s="4">
        <v>0</v>
      </c>
      <c r="AP3149" s="4">
        <v>5</v>
      </c>
      <c r="AQ3149" s="4">
        <v>5</v>
      </c>
      <c r="AR3149" s="3" t="s">
        <v>65</v>
      </c>
      <c r="AS3149" s="3" t="s">
        <v>65</v>
      </c>
      <c r="AT3149" s="3" t="s">
        <v>209</v>
      </c>
      <c r="AU3149" s="6" t="str">
        <f>HYPERLINK("http://catalog.hathitrust.org/Record/003028117","HathiTrust Record")</f>
        <v>HathiTrust Record</v>
      </c>
      <c r="AV3149" s="6" t="str">
        <f>HYPERLINK("http://mcgill.on.worldcat.org/oclc/33418510","Catalog Record")</f>
        <v>Catalog Record</v>
      </c>
      <c r="AW3149" s="6" t="str">
        <f>HYPERLINK("http://www.worldcat.org/oclc/33418510","WorldCat Record")</f>
        <v>WorldCat Record</v>
      </c>
      <c r="AX3149" s="3" t="s">
        <v>31160</v>
      </c>
      <c r="AY3149" s="3" t="s">
        <v>31161</v>
      </c>
      <c r="AZ3149" s="3" t="s">
        <v>31162</v>
      </c>
      <c r="BA3149" s="3" t="s">
        <v>31162</v>
      </c>
      <c r="BB3149" s="3" t="s">
        <v>31163</v>
      </c>
      <c r="BC3149" s="3" t="s">
        <v>77</v>
      </c>
      <c r="BD3149" s="3" t="s">
        <v>78</v>
      </c>
      <c r="BE3149" s="3" t="s">
        <v>31164</v>
      </c>
      <c r="BF3149" s="3" t="s">
        <v>31163</v>
      </c>
      <c r="BG3149" s="3" t="s">
        <v>31165</v>
      </c>
    </row>
    <row r="3150" spans="1:59" ht="58" x14ac:dyDescent="0.35">
      <c r="A3150" s="2" t="s">
        <v>59</v>
      </c>
      <c r="B3150" s="2" t="s">
        <v>60</v>
      </c>
      <c r="C3150" s="2" t="s">
        <v>31166</v>
      </c>
      <c r="D3150" s="2" t="s">
        <v>31167</v>
      </c>
      <c r="E3150" s="2" t="s">
        <v>31168</v>
      </c>
      <c r="G3150" s="3" t="s">
        <v>65</v>
      </c>
      <c r="I3150" s="3" t="s">
        <v>65</v>
      </c>
      <c r="J3150" s="3" t="s">
        <v>65</v>
      </c>
      <c r="K3150" s="3" t="s">
        <v>66</v>
      </c>
      <c r="L3150" s="2" t="s">
        <v>26630</v>
      </c>
      <c r="M3150" s="2" t="s">
        <v>31169</v>
      </c>
      <c r="N3150" s="3" t="s">
        <v>831</v>
      </c>
      <c r="P3150" s="3" t="s">
        <v>140</v>
      </c>
      <c r="Q3150" s="2" t="s">
        <v>31170</v>
      </c>
      <c r="R3150" s="3" t="s">
        <v>71</v>
      </c>
      <c r="S3150" s="4">
        <v>28</v>
      </c>
      <c r="T3150" s="4">
        <v>28</v>
      </c>
      <c r="U3150" s="5" t="s">
        <v>6068</v>
      </c>
      <c r="V3150" s="5" t="s">
        <v>6068</v>
      </c>
      <c r="W3150" s="5" t="s">
        <v>72</v>
      </c>
      <c r="X3150" s="5" t="s">
        <v>72</v>
      </c>
      <c r="Y3150" s="4">
        <v>77</v>
      </c>
      <c r="Z3150" s="4">
        <v>4</v>
      </c>
      <c r="AA3150" s="4">
        <v>4</v>
      </c>
      <c r="AB3150" s="4">
        <v>1</v>
      </c>
      <c r="AC3150" s="4">
        <v>1</v>
      </c>
      <c r="AD3150" s="4">
        <v>42</v>
      </c>
      <c r="AE3150" s="4">
        <v>42</v>
      </c>
      <c r="AF3150" s="4">
        <v>0</v>
      </c>
      <c r="AG3150" s="4">
        <v>0</v>
      </c>
      <c r="AH3150" s="4">
        <v>40</v>
      </c>
      <c r="AI3150" s="4">
        <v>40</v>
      </c>
      <c r="AJ3150" s="4">
        <v>2</v>
      </c>
      <c r="AK3150" s="4">
        <v>2</v>
      </c>
      <c r="AL3150" s="4">
        <v>30</v>
      </c>
      <c r="AM3150" s="4">
        <v>30</v>
      </c>
      <c r="AN3150" s="4">
        <v>0</v>
      </c>
      <c r="AO3150" s="4">
        <v>0</v>
      </c>
      <c r="AP3150" s="4">
        <v>2</v>
      </c>
      <c r="AQ3150" s="4">
        <v>2</v>
      </c>
      <c r="AR3150" s="3" t="s">
        <v>65</v>
      </c>
      <c r="AS3150" s="3" t="s">
        <v>65</v>
      </c>
      <c r="AT3150" s="3" t="s">
        <v>65</v>
      </c>
      <c r="AV3150" s="6" t="str">
        <f>HYPERLINK("http://mcgill.on.worldcat.org/oclc/10606892","Catalog Record")</f>
        <v>Catalog Record</v>
      </c>
      <c r="AW3150" s="6" t="str">
        <f>HYPERLINK("http://www.worldcat.org/oclc/10606892","WorldCat Record")</f>
        <v>WorldCat Record</v>
      </c>
      <c r="AX3150" s="3" t="s">
        <v>31171</v>
      </c>
      <c r="AY3150" s="3" t="s">
        <v>31172</v>
      </c>
      <c r="AZ3150" s="3" t="s">
        <v>31173</v>
      </c>
      <c r="BA3150" s="3" t="s">
        <v>31173</v>
      </c>
      <c r="BB3150" s="3" t="s">
        <v>31174</v>
      </c>
      <c r="BC3150" s="3" t="s">
        <v>77</v>
      </c>
      <c r="BD3150" s="3" t="s">
        <v>78</v>
      </c>
      <c r="BE3150" s="3" t="s">
        <v>31175</v>
      </c>
      <c r="BF3150" s="3" t="s">
        <v>31174</v>
      </c>
      <c r="BG3150" s="3" t="s">
        <v>31176</v>
      </c>
    </row>
    <row r="3151" spans="1:59" ht="58" x14ac:dyDescent="0.35">
      <c r="A3151" s="2" t="s">
        <v>59</v>
      </c>
      <c r="B3151" s="2" t="s">
        <v>60</v>
      </c>
      <c r="C3151" s="2" t="s">
        <v>31177</v>
      </c>
      <c r="D3151" s="2" t="s">
        <v>31178</v>
      </c>
      <c r="E3151" s="2" t="s">
        <v>31179</v>
      </c>
      <c r="G3151" s="3" t="s">
        <v>65</v>
      </c>
      <c r="I3151" s="3" t="s">
        <v>65</v>
      </c>
      <c r="J3151" s="3" t="s">
        <v>65</v>
      </c>
      <c r="K3151" s="3" t="s">
        <v>66</v>
      </c>
      <c r="L3151" s="2" t="s">
        <v>31119</v>
      </c>
      <c r="M3151" s="2" t="s">
        <v>31180</v>
      </c>
      <c r="N3151" s="3" t="s">
        <v>577</v>
      </c>
      <c r="P3151" s="3" t="s">
        <v>140</v>
      </c>
      <c r="Q3151" s="2" t="s">
        <v>31181</v>
      </c>
      <c r="R3151" s="3" t="s">
        <v>71</v>
      </c>
      <c r="S3151" s="4">
        <v>2</v>
      </c>
      <c r="T3151" s="4">
        <v>2</v>
      </c>
      <c r="U3151" s="5" t="s">
        <v>7885</v>
      </c>
      <c r="V3151" s="5" t="s">
        <v>7885</v>
      </c>
      <c r="W3151" s="5" t="s">
        <v>72</v>
      </c>
      <c r="X3151" s="5" t="s">
        <v>72</v>
      </c>
      <c r="Y3151" s="4">
        <v>33</v>
      </c>
      <c r="Z3151" s="4">
        <v>2</v>
      </c>
      <c r="AA3151" s="4">
        <v>2</v>
      </c>
      <c r="AB3151" s="4">
        <v>1</v>
      </c>
      <c r="AC3151" s="4">
        <v>1</v>
      </c>
      <c r="AD3151" s="4">
        <v>17</v>
      </c>
      <c r="AE3151" s="4">
        <v>17</v>
      </c>
      <c r="AF3151" s="4">
        <v>0</v>
      </c>
      <c r="AG3151" s="4">
        <v>0</v>
      </c>
      <c r="AH3151" s="4">
        <v>17</v>
      </c>
      <c r="AI3151" s="4">
        <v>17</v>
      </c>
      <c r="AJ3151" s="4">
        <v>1</v>
      </c>
      <c r="AK3151" s="4">
        <v>1</v>
      </c>
      <c r="AL3151" s="4">
        <v>12</v>
      </c>
      <c r="AM3151" s="4">
        <v>12</v>
      </c>
      <c r="AN3151" s="4">
        <v>0</v>
      </c>
      <c r="AO3151" s="4">
        <v>0</v>
      </c>
      <c r="AP3151" s="4">
        <v>1</v>
      </c>
      <c r="AQ3151" s="4">
        <v>1</v>
      </c>
      <c r="AR3151" s="3" t="s">
        <v>65</v>
      </c>
      <c r="AS3151" s="3" t="s">
        <v>65</v>
      </c>
      <c r="AT3151" s="3" t="s">
        <v>209</v>
      </c>
      <c r="AU3151" s="6" t="str">
        <f>HYPERLINK("http://catalog.hathitrust.org/Record/007862050","HathiTrust Record")</f>
        <v>HathiTrust Record</v>
      </c>
      <c r="AV3151" s="6" t="str">
        <f>HYPERLINK("http://mcgill.on.worldcat.org/oclc/4229341","Catalog Record")</f>
        <v>Catalog Record</v>
      </c>
      <c r="AW3151" s="6" t="str">
        <f>HYPERLINK("http://www.worldcat.org/oclc/4229341","WorldCat Record")</f>
        <v>WorldCat Record</v>
      </c>
      <c r="AX3151" s="3" t="s">
        <v>31182</v>
      </c>
      <c r="AY3151" s="3" t="s">
        <v>31183</v>
      </c>
      <c r="AZ3151" s="3" t="s">
        <v>31184</v>
      </c>
      <c r="BA3151" s="3" t="s">
        <v>31184</v>
      </c>
      <c r="BB3151" s="3" t="s">
        <v>31185</v>
      </c>
      <c r="BC3151" s="3" t="s">
        <v>77</v>
      </c>
      <c r="BD3151" s="3" t="s">
        <v>78</v>
      </c>
      <c r="BF3151" s="3" t="s">
        <v>31185</v>
      </c>
      <c r="BG3151" s="3" t="s">
        <v>31186</v>
      </c>
    </row>
    <row r="3152" spans="1:59" ht="58" x14ac:dyDescent="0.35">
      <c r="A3152" s="2" t="s">
        <v>59</v>
      </c>
      <c r="B3152" s="2" t="s">
        <v>60</v>
      </c>
      <c r="C3152" s="2" t="s">
        <v>31187</v>
      </c>
      <c r="D3152" s="2" t="s">
        <v>31188</v>
      </c>
      <c r="E3152" s="2" t="s">
        <v>31189</v>
      </c>
      <c r="G3152" s="3" t="s">
        <v>65</v>
      </c>
      <c r="I3152" s="3" t="s">
        <v>65</v>
      </c>
      <c r="J3152" s="3" t="s">
        <v>65</v>
      </c>
      <c r="K3152" s="3" t="s">
        <v>66</v>
      </c>
      <c r="L3152" s="2" t="s">
        <v>22762</v>
      </c>
      <c r="M3152" s="2" t="s">
        <v>31190</v>
      </c>
      <c r="N3152" s="3" t="s">
        <v>2460</v>
      </c>
      <c r="P3152" s="3" t="s">
        <v>140</v>
      </c>
      <c r="Q3152" s="2" t="s">
        <v>31191</v>
      </c>
      <c r="R3152" s="3" t="s">
        <v>71</v>
      </c>
      <c r="S3152" s="4">
        <v>1</v>
      </c>
      <c r="T3152" s="4">
        <v>1</v>
      </c>
      <c r="U3152" s="5" t="s">
        <v>6068</v>
      </c>
      <c r="V3152" s="5" t="s">
        <v>6068</v>
      </c>
      <c r="W3152" s="5" t="s">
        <v>72</v>
      </c>
      <c r="X3152" s="5" t="s">
        <v>72</v>
      </c>
      <c r="Y3152" s="4">
        <v>37</v>
      </c>
      <c r="Z3152" s="4">
        <v>5</v>
      </c>
      <c r="AA3152" s="4">
        <v>5</v>
      </c>
      <c r="AB3152" s="4">
        <v>1</v>
      </c>
      <c r="AC3152" s="4">
        <v>1</v>
      </c>
      <c r="AD3152" s="4">
        <v>17</v>
      </c>
      <c r="AE3152" s="4">
        <v>17</v>
      </c>
      <c r="AF3152" s="4">
        <v>0</v>
      </c>
      <c r="AG3152" s="4">
        <v>0</v>
      </c>
      <c r="AH3152" s="4">
        <v>16</v>
      </c>
      <c r="AI3152" s="4">
        <v>16</v>
      </c>
      <c r="AJ3152" s="4">
        <v>3</v>
      </c>
      <c r="AK3152" s="4">
        <v>3</v>
      </c>
      <c r="AL3152" s="4">
        <v>12</v>
      </c>
      <c r="AM3152" s="4">
        <v>12</v>
      </c>
      <c r="AN3152" s="4">
        <v>0</v>
      </c>
      <c r="AO3152" s="4">
        <v>0</v>
      </c>
      <c r="AP3152" s="4">
        <v>3</v>
      </c>
      <c r="AQ3152" s="4">
        <v>3</v>
      </c>
      <c r="AR3152" s="3" t="s">
        <v>65</v>
      </c>
      <c r="AS3152" s="3" t="s">
        <v>65</v>
      </c>
      <c r="AT3152" s="3" t="s">
        <v>65</v>
      </c>
      <c r="AV3152" s="6" t="str">
        <f>HYPERLINK("http://mcgill.on.worldcat.org/oclc/19722062","Catalog Record")</f>
        <v>Catalog Record</v>
      </c>
      <c r="AW3152" s="6" t="str">
        <f>HYPERLINK("http://www.worldcat.org/oclc/19722062","WorldCat Record")</f>
        <v>WorldCat Record</v>
      </c>
      <c r="AX3152" s="3" t="s">
        <v>31192</v>
      </c>
      <c r="AY3152" s="3" t="s">
        <v>31193</v>
      </c>
      <c r="AZ3152" s="3" t="s">
        <v>31194</v>
      </c>
      <c r="BA3152" s="3" t="s">
        <v>31194</v>
      </c>
      <c r="BB3152" s="3" t="s">
        <v>31195</v>
      </c>
      <c r="BC3152" s="3" t="s">
        <v>77</v>
      </c>
      <c r="BD3152" s="3" t="s">
        <v>78</v>
      </c>
      <c r="BF3152" s="3" t="s">
        <v>31195</v>
      </c>
      <c r="BG3152" s="3" t="s">
        <v>31196</v>
      </c>
    </row>
    <row r="3153" spans="1:59" ht="58" x14ac:dyDescent="0.35">
      <c r="A3153" s="2" t="s">
        <v>59</v>
      </c>
      <c r="B3153" s="2" t="s">
        <v>60</v>
      </c>
      <c r="C3153" s="2" t="s">
        <v>31197</v>
      </c>
      <c r="D3153" s="2" t="s">
        <v>31198</v>
      </c>
      <c r="E3153" s="2" t="s">
        <v>31199</v>
      </c>
      <c r="G3153" s="3" t="s">
        <v>65</v>
      </c>
      <c r="I3153" s="3" t="s">
        <v>65</v>
      </c>
      <c r="J3153" s="3" t="s">
        <v>65</v>
      </c>
      <c r="K3153" s="3" t="s">
        <v>66</v>
      </c>
      <c r="L3153" s="2" t="s">
        <v>31200</v>
      </c>
      <c r="M3153" s="2" t="s">
        <v>31201</v>
      </c>
      <c r="N3153" s="3" t="s">
        <v>126</v>
      </c>
      <c r="P3153" s="3" t="s">
        <v>69</v>
      </c>
      <c r="Q3153" s="2" t="s">
        <v>31202</v>
      </c>
      <c r="R3153" s="3" t="s">
        <v>71</v>
      </c>
      <c r="S3153" s="4">
        <v>3</v>
      </c>
      <c r="T3153" s="4">
        <v>3</v>
      </c>
      <c r="U3153" s="5" t="s">
        <v>6068</v>
      </c>
      <c r="V3153" s="5" t="s">
        <v>6068</v>
      </c>
      <c r="W3153" s="5" t="s">
        <v>72</v>
      </c>
      <c r="X3153" s="5" t="s">
        <v>72</v>
      </c>
      <c r="Y3153" s="4">
        <v>45</v>
      </c>
      <c r="Z3153" s="4">
        <v>9</v>
      </c>
      <c r="AA3153" s="4">
        <v>9</v>
      </c>
      <c r="AB3153" s="4">
        <v>1</v>
      </c>
      <c r="AC3153" s="4">
        <v>1</v>
      </c>
      <c r="AD3153" s="4">
        <v>31</v>
      </c>
      <c r="AE3153" s="4">
        <v>31</v>
      </c>
      <c r="AF3153" s="4">
        <v>0</v>
      </c>
      <c r="AG3153" s="4">
        <v>0</v>
      </c>
      <c r="AH3153" s="4">
        <v>30</v>
      </c>
      <c r="AI3153" s="4">
        <v>30</v>
      </c>
      <c r="AJ3153" s="4">
        <v>7</v>
      </c>
      <c r="AK3153" s="4">
        <v>7</v>
      </c>
      <c r="AL3153" s="4">
        <v>18</v>
      </c>
      <c r="AM3153" s="4">
        <v>18</v>
      </c>
      <c r="AN3153" s="4">
        <v>0</v>
      </c>
      <c r="AO3153" s="4">
        <v>0</v>
      </c>
      <c r="AP3153" s="4">
        <v>7</v>
      </c>
      <c r="AQ3153" s="4">
        <v>7</v>
      </c>
      <c r="AR3153" s="3" t="s">
        <v>65</v>
      </c>
      <c r="AS3153" s="3" t="s">
        <v>65</v>
      </c>
      <c r="AT3153" s="3" t="s">
        <v>65</v>
      </c>
      <c r="AV3153" s="6" t="str">
        <f>HYPERLINK("http://mcgill.on.worldcat.org/oclc/754993953","Catalog Record")</f>
        <v>Catalog Record</v>
      </c>
      <c r="AW3153" s="6" t="str">
        <f>HYPERLINK("http://www.worldcat.org/oclc/754993953","WorldCat Record")</f>
        <v>WorldCat Record</v>
      </c>
      <c r="AX3153" s="3" t="s">
        <v>31203</v>
      </c>
      <c r="AY3153" s="3" t="s">
        <v>31204</v>
      </c>
      <c r="AZ3153" s="3" t="s">
        <v>31205</v>
      </c>
      <c r="BA3153" s="3" t="s">
        <v>31205</v>
      </c>
      <c r="BB3153" s="3" t="s">
        <v>31206</v>
      </c>
      <c r="BC3153" s="3" t="s">
        <v>77</v>
      </c>
      <c r="BD3153" s="3" t="s">
        <v>78</v>
      </c>
      <c r="BE3153" s="3" t="s">
        <v>31207</v>
      </c>
      <c r="BF3153" s="3" t="s">
        <v>31206</v>
      </c>
      <c r="BG3153" s="3" t="s">
        <v>31208</v>
      </c>
    </row>
    <row r="3154" spans="1:59" ht="72.5" x14ac:dyDescent="0.35">
      <c r="A3154" s="2" t="s">
        <v>59</v>
      </c>
      <c r="B3154" s="2" t="s">
        <v>60</v>
      </c>
      <c r="C3154" s="2" t="s">
        <v>31209</v>
      </c>
      <c r="D3154" s="2" t="s">
        <v>31210</v>
      </c>
      <c r="E3154" s="2" t="s">
        <v>31211</v>
      </c>
      <c r="G3154" s="3" t="s">
        <v>65</v>
      </c>
      <c r="I3154" s="3" t="s">
        <v>65</v>
      </c>
      <c r="J3154" s="3" t="s">
        <v>65</v>
      </c>
      <c r="K3154" s="3" t="s">
        <v>66</v>
      </c>
      <c r="M3154" s="2" t="s">
        <v>200</v>
      </c>
      <c r="N3154" s="3" t="s">
        <v>139</v>
      </c>
      <c r="P3154" s="3" t="s">
        <v>140</v>
      </c>
      <c r="Q3154" s="2" t="s">
        <v>31212</v>
      </c>
      <c r="R3154" s="3" t="s">
        <v>71</v>
      </c>
      <c r="S3154" s="4">
        <v>0</v>
      </c>
      <c r="T3154" s="4">
        <v>0</v>
      </c>
      <c r="W3154" s="5" t="s">
        <v>72</v>
      </c>
      <c r="X3154" s="5" t="s">
        <v>72</v>
      </c>
      <c r="Y3154" s="4">
        <v>30</v>
      </c>
      <c r="Z3154" s="4">
        <v>3</v>
      </c>
      <c r="AA3154" s="4">
        <v>3</v>
      </c>
      <c r="AB3154" s="4">
        <v>1</v>
      </c>
      <c r="AC3154" s="4">
        <v>1</v>
      </c>
      <c r="AD3154" s="4">
        <v>17</v>
      </c>
      <c r="AE3154" s="4">
        <v>17</v>
      </c>
      <c r="AF3154" s="4">
        <v>0</v>
      </c>
      <c r="AG3154" s="4">
        <v>0</v>
      </c>
      <c r="AH3154" s="4">
        <v>16</v>
      </c>
      <c r="AI3154" s="4">
        <v>16</v>
      </c>
      <c r="AJ3154" s="4">
        <v>1</v>
      </c>
      <c r="AK3154" s="4">
        <v>1</v>
      </c>
      <c r="AL3154" s="4">
        <v>14</v>
      </c>
      <c r="AM3154" s="4">
        <v>14</v>
      </c>
      <c r="AN3154" s="4">
        <v>0</v>
      </c>
      <c r="AO3154" s="4">
        <v>0</v>
      </c>
      <c r="AP3154" s="4">
        <v>1</v>
      </c>
      <c r="AQ3154" s="4">
        <v>1</v>
      </c>
      <c r="AR3154" s="3" t="s">
        <v>65</v>
      </c>
      <c r="AS3154" s="3" t="s">
        <v>65</v>
      </c>
      <c r="AT3154" s="3" t="s">
        <v>65</v>
      </c>
      <c r="AV3154" s="6" t="str">
        <f>HYPERLINK("http://mcgill.on.worldcat.org/oclc/824728055","Catalog Record")</f>
        <v>Catalog Record</v>
      </c>
      <c r="AW3154" s="6" t="str">
        <f>HYPERLINK("http://www.worldcat.org/oclc/824728055","WorldCat Record")</f>
        <v>WorldCat Record</v>
      </c>
      <c r="AX3154" s="3" t="s">
        <v>31213</v>
      </c>
      <c r="AY3154" s="3" t="s">
        <v>31214</v>
      </c>
      <c r="AZ3154" s="3" t="s">
        <v>31215</v>
      </c>
      <c r="BA3154" s="3" t="s">
        <v>31215</v>
      </c>
      <c r="BB3154" s="3" t="s">
        <v>31216</v>
      </c>
      <c r="BC3154" s="3" t="s">
        <v>77</v>
      </c>
      <c r="BD3154" s="3" t="s">
        <v>78</v>
      </c>
      <c r="BE3154" s="3" t="s">
        <v>31217</v>
      </c>
      <c r="BF3154" s="3" t="s">
        <v>31216</v>
      </c>
      <c r="BG3154" s="3" t="s">
        <v>31218</v>
      </c>
    </row>
    <row r="3155" spans="1:59" ht="58" x14ac:dyDescent="0.35">
      <c r="A3155" s="2" t="s">
        <v>59</v>
      </c>
      <c r="B3155" s="2" t="s">
        <v>60</v>
      </c>
      <c r="C3155" s="2" t="s">
        <v>31219</v>
      </c>
      <c r="D3155" s="2" t="s">
        <v>31220</v>
      </c>
      <c r="E3155" s="2" t="s">
        <v>31221</v>
      </c>
      <c r="G3155" s="3" t="s">
        <v>65</v>
      </c>
      <c r="I3155" s="3" t="s">
        <v>65</v>
      </c>
      <c r="J3155" s="3" t="s">
        <v>65</v>
      </c>
      <c r="K3155" s="3" t="s">
        <v>66</v>
      </c>
      <c r="L3155" s="2" t="s">
        <v>31222</v>
      </c>
      <c r="M3155" s="2" t="s">
        <v>31223</v>
      </c>
      <c r="N3155" s="3" t="s">
        <v>139</v>
      </c>
      <c r="P3155" s="3" t="s">
        <v>140</v>
      </c>
      <c r="Q3155" s="2" t="s">
        <v>31224</v>
      </c>
      <c r="R3155" s="3" t="s">
        <v>71</v>
      </c>
      <c r="S3155" s="4">
        <v>0</v>
      </c>
      <c r="T3155" s="4">
        <v>0</v>
      </c>
      <c r="W3155" s="5" t="s">
        <v>72</v>
      </c>
      <c r="X3155" s="5" t="s">
        <v>72</v>
      </c>
      <c r="Y3155" s="4">
        <v>6</v>
      </c>
      <c r="Z3155" s="4">
        <v>1</v>
      </c>
      <c r="AA3155" s="4">
        <v>1</v>
      </c>
      <c r="AB3155" s="4">
        <v>1</v>
      </c>
      <c r="AC3155" s="4">
        <v>1</v>
      </c>
      <c r="AD3155" s="4">
        <v>1</v>
      </c>
      <c r="AE3155" s="4">
        <v>2</v>
      </c>
      <c r="AF3155" s="4">
        <v>0</v>
      </c>
      <c r="AG3155" s="4">
        <v>0</v>
      </c>
      <c r="AH3155" s="4">
        <v>1</v>
      </c>
      <c r="AI3155" s="4">
        <v>1</v>
      </c>
      <c r="AJ3155" s="4">
        <v>0</v>
      </c>
      <c r="AK3155" s="4">
        <v>0</v>
      </c>
      <c r="AL3155" s="4">
        <v>1</v>
      </c>
      <c r="AM3155" s="4">
        <v>2</v>
      </c>
      <c r="AN3155" s="4">
        <v>0</v>
      </c>
      <c r="AO3155" s="4">
        <v>0</v>
      </c>
      <c r="AP3155" s="4">
        <v>0</v>
      </c>
      <c r="AQ3155" s="4">
        <v>0</v>
      </c>
      <c r="AR3155" s="3" t="s">
        <v>65</v>
      </c>
      <c r="AS3155" s="3" t="s">
        <v>65</v>
      </c>
      <c r="AT3155" s="3" t="s">
        <v>65</v>
      </c>
      <c r="AV3155" s="6" t="str">
        <f>HYPERLINK("http://mcgill.on.worldcat.org/oclc/793723473","Catalog Record")</f>
        <v>Catalog Record</v>
      </c>
      <c r="AW3155" s="6" t="str">
        <f>HYPERLINK("http://www.worldcat.org/oclc/793723473","WorldCat Record")</f>
        <v>WorldCat Record</v>
      </c>
      <c r="AX3155" s="3" t="s">
        <v>31225</v>
      </c>
      <c r="AY3155" s="3" t="s">
        <v>31226</v>
      </c>
      <c r="AZ3155" s="3" t="s">
        <v>31227</v>
      </c>
      <c r="BA3155" s="3" t="s">
        <v>31227</v>
      </c>
      <c r="BB3155" s="3" t="s">
        <v>31228</v>
      </c>
      <c r="BC3155" s="3" t="s">
        <v>77</v>
      </c>
      <c r="BD3155" s="3" t="s">
        <v>78</v>
      </c>
      <c r="BF3155" s="3" t="s">
        <v>31228</v>
      </c>
      <c r="BG3155" s="3" t="s">
        <v>31229</v>
      </c>
    </row>
    <row r="3156" spans="1:59" ht="58" x14ac:dyDescent="0.35">
      <c r="A3156" s="2" t="s">
        <v>59</v>
      </c>
      <c r="B3156" s="2" t="s">
        <v>60</v>
      </c>
      <c r="C3156" s="2" t="s">
        <v>31230</v>
      </c>
      <c r="D3156" s="2" t="s">
        <v>31231</v>
      </c>
      <c r="E3156" s="2" t="s">
        <v>31232</v>
      </c>
      <c r="G3156" s="3" t="s">
        <v>65</v>
      </c>
      <c r="I3156" s="3" t="s">
        <v>65</v>
      </c>
      <c r="J3156" s="3" t="s">
        <v>65</v>
      </c>
      <c r="K3156" s="3" t="s">
        <v>66</v>
      </c>
      <c r="L3156" s="2" t="s">
        <v>5187</v>
      </c>
      <c r="M3156" s="2" t="s">
        <v>28264</v>
      </c>
      <c r="N3156" s="3" t="s">
        <v>364</v>
      </c>
      <c r="O3156" s="2" t="s">
        <v>365</v>
      </c>
      <c r="P3156" s="3" t="s">
        <v>140</v>
      </c>
      <c r="Q3156" s="2" t="s">
        <v>6617</v>
      </c>
      <c r="R3156" s="3" t="s">
        <v>71</v>
      </c>
      <c r="S3156" s="4">
        <v>3</v>
      </c>
      <c r="T3156" s="4">
        <v>3</v>
      </c>
      <c r="U3156" s="5" t="s">
        <v>31233</v>
      </c>
      <c r="V3156" s="5" t="s">
        <v>31233</v>
      </c>
      <c r="W3156" s="5" t="s">
        <v>72</v>
      </c>
      <c r="X3156" s="5" t="s">
        <v>72</v>
      </c>
      <c r="Y3156" s="4">
        <v>71</v>
      </c>
      <c r="Z3156" s="4">
        <v>5</v>
      </c>
      <c r="AA3156" s="4">
        <v>7</v>
      </c>
      <c r="AB3156" s="4">
        <v>1</v>
      </c>
      <c r="AC3156" s="4">
        <v>2</v>
      </c>
      <c r="AD3156" s="4">
        <v>36</v>
      </c>
      <c r="AE3156" s="4">
        <v>39</v>
      </c>
      <c r="AF3156" s="4">
        <v>0</v>
      </c>
      <c r="AG3156" s="4">
        <v>1</v>
      </c>
      <c r="AH3156" s="4">
        <v>33</v>
      </c>
      <c r="AI3156" s="4">
        <v>35</v>
      </c>
      <c r="AJ3156" s="4">
        <v>3</v>
      </c>
      <c r="AK3156" s="4">
        <v>5</v>
      </c>
      <c r="AL3156" s="4">
        <v>27</v>
      </c>
      <c r="AM3156" s="4">
        <v>28</v>
      </c>
      <c r="AN3156" s="4">
        <v>0</v>
      </c>
      <c r="AO3156" s="4">
        <v>0</v>
      </c>
      <c r="AP3156" s="4">
        <v>3</v>
      </c>
      <c r="AQ3156" s="4">
        <v>4</v>
      </c>
      <c r="AR3156" s="3" t="s">
        <v>65</v>
      </c>
      <c r="AS3156" s="3" t="s">
        <v>65</v>
      </c>
      <c r="AT3156" s="3" t="s">
        <v>65</v>
      </c>
      <c r="AV3156" s="6" t="str">
        <f>HYPERLINK("http://mcgill.on.worldcat.org/oclc/49375812","Catalog Record")</f>
        <v>Catalog Record</v>
      </c>
      <c r="AW3156" s="6" t="str">
        <f>HYPERLINK("http://www.worldcat.org/oclc/49375812","WorldCat Record")</f>
        <v>WorldCat Record</v>
      </c>
      <c r="AX3156" s="3" t="s">
        <v>31234</v>
      </c>
      <c r="AY3156" s="3" t="s">
        <v>31235</v>
      </c>
      <c r="AZ3156" s="3" t="s">
        <v>31236</v>
      </c>
      <c r="BA3156" s="3" t="s">
        <v>31236</v>
      </c>
      <c r="BB3156" s="3" t="s">
        <v>31237</v>
      </c>
      <c r="BC3156" s="3" t="s">
        <v>77</v>
      </c>
      <c r="BD3156" s="3" t="s">
        <v>78</v>
      </c>
      <c r="BE3156" s="3" t="s">
        <v>31238</v>
      </c>
      <c r="BF3156" s="3" t="s">
        <v>31237</v>
      </c>
      <c r="BG3156" s="3" t="s">
        <v>31239</v>
      </c>
    </row>
    <row r="3157" spans="1:59" ht="58" x14ac:dyDescent="0.35">
      <c r="A3157" s="2" t="s">
        <v>59</v>
      </c>
      <c r="B3157" s="2" t="s">
        <v>60</v>
      </c>
      <c r="C3157" s="2" t="s">
        <v>31240</v>
      </c>
      <c r="D3157" s="2" t="s">
        <v>31241</v>
      </c>
      <c r="E3157" s="2" t="s">
        <v>31242</v>
      </c>
      <c r="G3157" s="3" t="s">
        <v>65</v>
      </c>
      <c r="I3157" s="3" t="s">
        <v>65</v>
      </c>
      <c r="J3157" s="3" t="s">
        <v>65</v>
      </c>
      <c r="K3157" s="3" t="s">
        <v>66</v>
      </c>
      <c r="L3157" s="2" t="s">
        <v>5187</v>
      </c>
      <c r="M3157" s="2" t="s">
        <v>23586</v>
      </c>
      <c r="N3157" s="3" t="s">
        <v>1932</v>
      </c>
      <c r="O3157" s="2" t="s">
        <v>31243</v>
      </c>
      <c r="P3157" s="3" t="s">
        <v>140</v>
      </c>
      <c r="Q3157" s="2" t="s">
        <v>31244</v>
      </c>
      <c r="R3157" s="3" t="s">
        <v>71</v>
      </c>
      <c r="S3157" s="4">
        <v>20</v>
      </c>
      <c r="T3157" s="4">
        <v>20</v>
      </c>
      <c r="U3157" s="5" t="s">
        <v>31233</v>
      </c>
      <c r="V3157" s="5" t="s">
        <v>31233</v>
      </c>
      <c r="W3157" s="5" t="s">
        <v>72</v>
      </c>
      <c r="X3157" s="5" t="s">
        <v>72</v>
      </c>
      <c r="Y3157" s="4">
        <v>2</v>
      </c>
      <c r="Z3157" s="4">
        <v>1</v>
      </c>
      <c r="AA3157" s="4">
        <v>14</v>
      </c>
      <c r="AB3157" s="4">
        <v>1</v>
      </c>
      <c r="AC3157" s="4">
        <v>2</v>
      </c>
      <c r="AD3157" s="4">
        <v>0</v>
      </c>
      <c r="AE3157" s="4">
        <v>62</v>
      </c>
      <c r="AF3157" s="4">
        <v>0</v>
      </c>
      <c r="AG3157" s="4">
        <v>1</v>
      </c>
      <c r="AH3157" s="4">
        <v>0</v>
      </c>
      <c r="AI3157" s="4">
        <v>57</v>
      </c>
      <c r="AJ3157" s="4">
        <v>0</v>
      </c>
      <c r="AK3157" s="4">
        <v>11</v>
      </c>
      <c r="AL3157" s="4">
        <v>0</v>
      </c>
      <c r="AM3157" s="4">
        <v>37</v>
      </c>
      <c r="AN3157" s="4">
        <v>0</v>
      </c>
      <c r="AO3157" s="4">
        <v>0</v>
      </c>
      <c r="AP3157" s="4">
        <v>0</v>
      </c>
      <c r="AQ3157" s="4">
        <v>10</v>
      </c>
      <c r="AR3157" s="3" t="s">
        <v>65</v>
      </c>
      <c r="AS3157" s="3" t="s">
        <v>65</v>
      </c>
      <c r="AT3157" s="3" t="s">
        <v>209</v>
      </c>
      <c r="AU3157" s="6" t="str">
        <f>HYPERLINK("http://catalog.hathitrust.org/Record/001072213","HathiTrust Record")</f>
        <v>HathiTrust Record</v>
      </c>
      <c r="AV3157" s="6" t="str">
        <f>HYPERLINK("http://mcgill.on.worldcat.org/oclc/427978451","Catalog Record")</f>
        <v>Catalog Record</v>
      </c>
      <c r="AW3157" s="6" t="str">
        <f>HYPERLINK("http://www.worldcat.org/oclc/427978451","WorldCat Record")</f>
        <v>WorldCat Record</v>
      </c>
      <c r="AX3157" s="3" t="s">
        <v>31245</v>
      </c>
      <c r="AY3157" s="3" t="s">
        <v>31246</v>
      </c>
      <c r="AZ3157" s="3" t="s">
        <v>31247</v>
      </c>
      <c r="BA3157" s="3" t="s">
        <v>31247</v>
      </c>
      <c r="BB3157" s="3" t="s">
        <v>31248</v>
      </c>
      <c r="BC3157" s="3" t="s">
        <v>77</v>
      </c>
      <c r="BD3157" s="3" t="s">
        <v>106</v>
      </c>
      <c r="BE3157" s="3" t="s">
        <v>31249</v>
      </c>
      <c r="BF3157" s="3" t="s">
        <v>31248</v>
      </c>
      <c r="BG3157" s="3" t="s">
        <v>31250</v>
      </c>
    </row>
    <row r="3158" spans="1:59" ht="58" x14ac:dyDescent="0.35">
      <c r="A3158" s="2" t="s">
        <v>59</v>
      </c>
      <c r="B3158" s="2" t="s">
        <v>60</v>
      </c>
      <c r="C3158" s="2" t="s">
        <v>31251</v>
      </c>
      <c r="D3158" s="2" t="s">
        <v>31252</v>
      </c>
      <c r="E3158" s="2" t="s">
        <v>31253</v>
      </c>
      <c r="G3158" s="3" t="s">
        <v>65</v>
      </c>
      <c r="I3158" s="3" t="s">
        <v>65</v>
      </c>
      <c r="J3158" s="3" t="s">
        <v>65</v>
      </c>
      <c r="K3158" s="3" t="s">
        <v>66</v>
      </c>
      <c r="L3158" s="2" t="s">
        <v>5187</v>
      </c>
      <c r="M3158" s="2" t="s">
        <v>24389</v>
      </c>
      <c r="N3158" s="3" t="s">
        <v>1835</v>
      </c>
      <c r="O3158" s="2" t="s">
        <v>31254</v>
      </c>
      <c r="P3158" s="3" t="s">
        <v>140</v>
      </c>
      <c r="Q3158" s="2" t="s">
        <v>31255</v>
      </c>
      <c r="R3158" s="3" t="s">
        <v>71</v>
      </c>
      <c r="S3158" s="4">
        <v>12</v>
      </c>
      <c r="T3158" s="4">
        <v>12</v>
      </c>
      <c r="U3158" s="5" t="s">
        <v>27799</v>
      </c>
      <c r="V3158" s="5" t="s">
        <v>27799</v>
      </c>
      <c r="W3158" s="5" t="s">
        <v>72</v>
      </c>
      <c r="X3158" s="5" t="s">
        <v>72</v>
      </c>
      <c r="Y3158" s="4">
        <v>107</v>
      </c>
      <c r="Z3158" s="4">
        <v>10</v>
      </c>
      <c r="AA3158" s="4">
        <v>10</v>
      </c>
      <c r="AB3158" s="4">
        <v>2</v>
      </c>
      <c r="AC3158" s="4">
        <v>2</v>
      </c>
      <c r="AD3158" s="4">
        <v>50</v>
      </c>
      <c r="AE3158" s="4">
        <v>50</v>
      </c>
      <c r="AF3158" s="4">
        <v>1</v>
      </c>
      <c r="AG3158" s="4">
        <v>1</v>
      </c>
      <c r="AH3158" s="4">
        <v>44</v>
      </c>
      <c r="AI3158" s="4">
        <v>44</v>
      </c>
      <c r="AJ3158" s="4">
        <v>8</v>
      </c>
      <c r="AK3158" s="4">
        <v>8</v>
      </c>
      <c r="AL3158" s="4">
        <v>30</v>
      </c>
      <c r="AM3158" s="4">
        <v>30</v>
      </c>
      <c r="AN3158" s="4">
        <v>0</v>
      </c>
      <c r="AO3158" s="4">
        <v>0</v>
      </c>
      <c r="AP3158" s="4">
        <v>8</v>
      </c>
      <c r="AQ3158" s="4">
        <v>8</v>
      </c>
      <c r="AR3158" s="3" t="s">
        <v>65</v>
      </c>
      <c r="AS3158" s="3" t="s">
        <v>65</v>
      </c>
      <c r="AT3158" s="3" t="s">
        <v>209</v>
      </c>
      <c r="AU3158" s="6" t="str">
        <f>HYPERLINK("http://catalog.hathitrust.org/Record/000310817","HathiTrust Record")</f>
        <v>HathiTrust Record</v>
      </c>
      <c r="AV3158" s="6" t="str">
        <f>HYPERLINK("http://mcgill.on.worldcat.org/oclc/8491638","Catalog Record")</f>
        <v>Catalog Record</v>
      </c>
      <c r="AW3158" s="6" t="str">
        <f>HYPERLINK("http://www.worldcat.org/oclc/8491638","WorldCat Record")</f>
        <v>WorldCat Record</v>
      </c>
      <c r="AX3158" s="3" t="s">
        <v>31256</v>
      </c>
      <c r="AY3158" s="3" t="s">
        <v>31257</v>
      </c>
      <c r="AZ3158" s="3" t="s">
        <v>31258</v>
      </c>
      <c r="BA3158" s="3" t="s">
        <v>31258</v>
      </c>
      <c r="BB3158" s="3" t="s">
        <v>31259</v>
      </c>
      <c r="BC3158" s="3" t="s">
        <v>77</v>
      </c>
      <c r="BD3158" s="3" t="s">
        <v>78</v>
      </c>
      <c r="BF3158" s="3" t="s">
        <v>31259</v>
      </c>
      <c r="BG3158" s="3" t="s">
        <v>31260</v>
      </c>
    </row>
    <row r="3159" spans="1:59" ht="58" x14ac:dyDescent="0.35">
      <c r="A3159" s="2" t="s">
        <v>59</v>
      </c>
      <c r="B3159" s="2" t="s">
        <v>60</v>
      </c>
      <c r="C3159" s="2" t="s">
        <v>31261</v>
      </c>
      <c r="D3159" s="2" t="s">
        <v>31262</v>
      </c>
      <c r="E3159" s="2" t="s">
        <v>31263</v>
      </c>
      <c r="G3159" s="3" t="s">
        <v>65</v>
      </c>
      <c r="I3159" s="3" t="s">
        <v>65</v>
      </c>
      <c r="J3159" s="3" t="s">
        <v>65</v>
      </c>
      <c r="K3159" s="3" t="s">
        <v>66</v>
      </c>
      <c r="L3159" s="2" t="s">
        <v>5187</v>
      </c>
      <c r="M3159" s="2" t="s">
        <v>31264</v>
      </c>
      <c r="N3159" s="3" t="s">
        <v>12171</v>
      </c>
      <c r="O3159" s="2" t="s">
        <v>3829</v>
      </c>
      <c r="P3159" s="3" t="s">
        <v>140</v>
      </c>
      <c r="Q3159" s="2" t="s">
        <v>31265</v>
      </c>
      <c r="R3159" s="3" t="s">
        <v>71</v>
      </c>
      <c r="S3159" s="4">
        <v>11</v>
      </c>
      <c r="T3159" s="4">
        <v>11</v>
      </c>
      <c r="U3159" s="5" t="s">
        <v>8881</v>
      </c>
      <c r="V3159" s="5" t="s">
        <v>8881</v>
      </c>
      <c r="W3159" s="5" t="s">
        <v>72</v>
      </c>
      <c r="X3159" s="5" t="s">
        <v>72</v>
      </c>
      <c r="Y3159" s="4">
        <v>2</v>
      </c>
      <c r="Z3159" s="4">
        <v>1</v>
      </c>
      <c r="AA3159" s="4">
        <v>3</v>
      </c>
      <c r="AB3159" s="4">
        <v>1</v>
      </c>
      <c r="AC3159" s="4">
        <v>1</v>
      </c>
      <c r="AD3159" s="4">
        <v>0</v>
      </c>
      <c r="AE3159" s="4">
        <v>26</v>
      </c>
      <c r="AF3159" s="4">
        <v>0</v>
      </c>
      <c r="AG3159" s="4">
        <v>0</v>
      </c>
      <c r="AH3159" s="4">
        <v>0</v>
      </c>
      <c r="AI3159" s="4">
        <v>26</v>
      </c>
      <c r="AJ3159" s="4">
        <v>0</v>
      </c>
      <c r="AK3159" s="4">
        <v>2</v>
      </c>
      <c r="AL3159" s="4">
        <v>0</v>
      </c>
      <c r="AM3159" s="4">
        <v>18</v>
      </c>
      <c r="AN3159" s="4">
        <v>0</v>
      </c>
      <c r="AO3159" s="4">
        <v>5</v>
      </c>
      <c r="AP3159" s="4">
        <v>0</v>
      </c>
      <c r="AQ3159" s="4">
        <v>2</v>
      </c>
      <c r="AR3159" s="3" t="s">
        <v>65</v>
      </c>
      <c r="AS3159" s="3" t="s">
        <v>65</v>
      </c>
      <c r="AT3159" s="3" t="s">
        <v>65</v>
      </c>
      <c r="AV3159" s="6" t="str">
        <f>HYPERLINK("http://mcgill.on.worldcat.org/oclc/427555513","Catalog Record")</f>
        <v>Catalog Record</v>
      </c>
      <c r="AW3159" s="6" t="str">
        <f>HYPERLINK("http://www.worldcat.org/oclc/427555513","WorldCat Record")</f>
        <v>WorldCat Record</v>
      </c>
      <c r="AX3159" s="3" t="s">
        <v>31266</v>
      </c>
      <c r="AY3159" s="3" t="s">
        <v>31267</v>
      </c>
      <c r="AZ3159" s="3" t="s">
        <v>31268</v>
      </c>
      <c r="BA3159" s="3" t="s">
        <v>31268</v>
      </c>
      <c r="BB3159" s="3" t="s">
        <v>31269</v>
      </c>
      <c r="BC3159" s="3" t="s">
        <v>77</v>
      </c>
      <c r="BD3159" s="3" t="s">
        <v>106</v>
      </c>
      <c r="BF3159" s="3" t="s">
        <v>31269</v>
      </c>
      <c r="BG3159" s="3" t="s">
        <v>31270</v>
      </c>
    </row>
    <row r="3160" spans="1:59" ht="58" x14ac:dyDescent="0.35">
      <c r="A3160" s="2" t="s">
        <v>59</v>
      </c>
      <c r="B3160" s="2" t="s">
        <v>60</v>
      </c>
      <c r="C3160" s="2" t="s">
        <v>31271</v>
      </c>
      <c r="D3160" s="2" t="s">
        <v>31272</v>
      </c>
      <c r="E3160" s="2" t="s">
        <v>31273</v>
      </c>
      <c r="G3160" s="3" t="s">
        <v>65</v>
      </c>
      <c r="I3160" s="3" t="s">
        <v>65</v>
      </c>
      <c r="J3160" s="3" t="s">
        <v>65</v>
      </c>
      <c r="K3160" s="3" t="s">
        <v>66</v>
      </c>
      <c r="L3160" s="2" t="s">
        <v>5187</v>
      </c>
      <c r="M3160" s="2" t="s">
        <v>31274</v>
      </c>
      <c r="N3160" s="3" t="s">
        <v>8188</v>
      </c>
      <c r="P3160" s="3" t="s">
        <v>69</v>
      </c>
      <c r="R3160" s="3" t="s">
        <v>71</v>
      </c>
      <c r="S3160" s="4">
        <v>3</v>
      </c>
      <c r="T3160" s="4">
        <v>3</v>
      </c>
      <c r="U3160" s="5" t="s">
        <v>31275</v>
      </c>
      <c r="V3160" s="5" t="s">
        <v>31275</v>
      </c>
      <c r="W3160" s="5" t="s">
        <v>72</v>
      </c>
      <c r="X3160" s="5" t="s">
        <v>72</v>
      </c>
      <c r="Y3160" s="4">
        <v>297</v>
      </c>
      <c r="Z3160" s="4">
        <v>13</v>
      </c>
      <c r="AA3160" s="4">
        <v>15</v>
      </c>
      <c r="AB3160" s="4">
        <v>2</v>
      </c>
      <c r="AC3160" s="4">
        <v>4</v>
      </c>
      <c r="AD3160" s="4">
        <v>76</v>
      </c>
      <c r="AE3160" s="4">
        <v>81</v>
      </c>
      <c r="AF3160" s="4">
        <v>1</v>
      </c>
      <c r="AG3160" s="4">
        <v>1</v>
      </c>
      <c r="AH3160" s="4">
        <v>68</v>
      </c>
      <c r="AI3160" s="4">
        <v>73</v>
      </c>
      <c r="AJ3160" s="4">
        <v>10</v>
      </c>
      <c r="AK3160" s="4">
        <v>10</v>
      </c>
      <c r="AL3160" s="4">
        <v>43</v>
      </c>
      <c r="AM3160" s="4">
        <v>47</v>
      </c>
      <c r="AN3160" s="4">
        <v>0</v>
      </c>
      <c r="AO3160" s="4">
        <v>0</v>
      </c>
      <c r="AP3160" s="4">
        <v>9</v>
      </c>
      <c r="AQ3160" s="4">
        <v>9</v>
      </c>
      <c r="AR3160" s="3" t="s">
        <v>65</v>
      </c>
      <c r="AS3160" s="3" t="s">
        <v>65</v>
      </c>
      <c r="AT3160" s="3" t="s">
        <v>65</v>
      </c>
      <c r="AV3160" s="6" t="str">
        <f>HYPERLINK("http://mcgill.on.worldcat.org/oclc/18908917","Catalog Record")</f>
        <v>Catalog Record</v>
      </c>
      <c r="AW3160" s="6" t="str">
        <f>HYPERLINK("http://www.worldcat.org/oclc/18908917","WorldCat Record")</f>
        <v>WorldCat Record</v>
      </c>
      <c r="AX3160" s="3" t="s">
        <v>31276</v>
      </c>
      <c r="AY3160" s="3" t="s">
        <v>31277</v>
      </c>
      <c r="AZ3160" s="3" t="s">
        <v>31278</v>
      </c>
      <c r="BA3160" s="3" t="s">
        <v>31278</v>
      </c>
      <c r="BB3160" s="3" t="s">
        <v>31279</v>
      </c>
      <c r="BC3160" s="3" t="s">
        <v>77</v>
      </c>
      <c r="BD3160" s="3" t="s">
        <v>78</v>
      </c>
      <c r="BE3160" s="3" t="s">
        <v>31280</v>
      </c>
      <c r="BF3160" s="3" t="s">
        <v>31279</v>
      </c>
      <c r="BG3160" s="3" t="s">
        <v>31281</v>
      </c>
    </row>
    <row r="3161" spans="1:59" ht="58" x14ac:dyDescent="0.35">
      <c r="A3161" s="2" t="s">
        <v>59</v>
      </c>
      <c r="B3161" s="2" t="s">
        <v>60</v>
      </c>
      <c r="C3161" s="2" t="s">
        <v>31282</v>
      </c>
      <c r="D3161" s="2" t="s">
        <v>31283</v>
      </c>
      <c r="E3161" s="2" t="s">
        <v>31284</v>
      </c>
      <c r="G3161" s="3" t="s">
        <v>65</v>
      </c>
      <c r="I3161" s="3" t="s">
        <v>65</v>
      </c>
      <c r="J3161" s="3" t="s">
        <v>65</v>
      </c>
      <c r="K3161" s="3" t="s">
        <v>66</v>
      </c>
      <c r="L3161" s="2" t="s">
        <v>5187</v>
      </c>
      <c r="M3161" s="2" t="s">
        <v>31285</v>
      </c>
      <c r="N3161" s="3" t="s">
        <v>3052</v>
      </c>
      <c r="O3161" s="2" t="s">
        <v>30288</v>
      </c>
      <c r="P3161" s="3" t="s">
        <v>140</v>
      </c>
      <c r="Q3161" s="2" t="s">
        <v>31286</v>
      </c>
      <c r="R3161" s="3" t="s">
        <v>71</v>
      </c>
      <c r="S3161" s="4">
        <v>3</v>
      </c>
      <c r="T3161" s="4">
        <v>3</v>
      </c>
      <c r="U3161" s="5" t="s">
        <v>4310</v>
      </c>
      <c r="V3161" s="5" t="s">
        <v>4310</v>
      </c>
      <c r="W3161" s="5" t="s">
        <v>72</v>
      </c>
      <c r="X3161" s="5" t="s">
        <v>72</v>
      </c>
      <c r="Y3161" s="4">
        <v>23</v>
      </c>
      <c r="Z3161" s="4">
        <v>6</v>
      </c>
      <c r="AA3161" s="4">
        <v>11</v>
      </c>
      <c r="AB3161" s="4">
        <v>1</v>
      </c>
      <c r="AC3161" s="4">
        <v>2</v>
      </c>
      <c r="AD3161" s="4">
        <v>12</v>
      </c>
      <c r="AE3161" s="4">
        <v>62</v>
      </c>
      <c r="AF3161" s="4">
        <v>0</v>
      </c>
      <c r="AG3161" s="4">
        <v>1</v>
      </c>
      <c r="AH3161" s="4">
        <v>10</v>
      </c>
      <c r="AI3161" s="4">
        <v>56</v>
      </c>
      <c r="AJ3161" s="4">
        <v>3</v>
      </c>
      <c r="AK3161" s="4">
        <v>7</v>
      </c>
      <c r="AL3161" s="4">
        <v>8</v>
      </c>
      <c r="AM3161" s="4">
        <v>40</v>
      </c>
      <c r="AN3161" s="4">
        <v>0</v>
      </c>
      <c r="AO3161" s="4">
        <v>0</v>
      </c>
      <c r="AP3161" s="4">
        <v>3</v>
      </c>
      <c r="AQ3161" s="4">
        <v>7</v>
      </c>
      <c r="AR3161" s="3" t="s">
        <v>65</v>
      </c>
      <c r="AS3161" s="3" t="s">
        <v>65</v>
      </c>
      <c r="AT3161" s="3" t="s">
        <v>65</v>
      </c>
      <c r="AV3161" s="6" t="str">
        <f>HYPERLINK("http://mcgill.on.worldcat.org/oclc/53287239","Catalog Record")</f>
        <v>Catalog Record</v>
      </c>
      <c r="AW3161" s="6" t="str">
        <f>HYPERLINK("http://www.worldcat.org/oclc/53287239","WorldCat Record")</f>
        <v>WorldCat Record</v>
      </c>
      <c r="AX3161" s="3" t="s">
        <v>31287</v>
      </c>
      <c r="AY3161" s="3" t="s">
        <v>31288</v>
      </c>
      <c r="AZ3161" s="3" t="s">
        <v>31289</v>
      </c>
      <c r="BA3161" s="3" t="s">
        <v>31289</v>
      </c>
      <c r="BB3161" s="3" t="s">
        <v>31290</v>
      </c>
      <c r="BC3161" s="3" t="s">
        <v>77</v>
      </c>
      <c r="BD3161" s="3" t="s">
        <v>78</v>
      </c>
      <c r="BF3161" s="3" t="s">
        <v>31290</v>
      </c>
      <c r="BG3161" s="3" t="s">
        <v>31291</v>
      </c>
    </row>
    <row r="3162" spans="1:59" ht="58" x14ac:dyDescent="0.35">
      <c r="A3162" s="2" t="s">
        <v>59</v>
      </c>
      <c r="B3162" s="2" t="s">
        <v>60</v>
      </c>
      <c r="C3162" s="2" t="s">
        <v>31292</v>
      </c>
      <c r="D3162" s="2" t="s">
        <v>31293</v>
      </c>
      <c r="E3162" s="2" t="s">
        <v>31294</v>
      </c>
      <c r="G3162" s="3" t="s">
        <v>65</v>
      </c>
      <c r="I3162" s="3" t="s">
        <v>65</v>
      </c>
      <c r="J3162" s="3" t="s">
        <v>65</v>
      </c>
      <c r="K3162" s="3" t="s">
        <v>66</v>
      </c>
      <c r="L3162" s="2" t="s">
        <v>31295</v>
      </c>
      <c r="M3162" s="2" t="s">
        <v>8557</v>
      </c>
      <c r="N3162" s="3" t="s">
        <v>126</v>
      </c>
      <c r="P3162" s="3" t="s">
        <v>140</v>
      </c>
      <c r="Q3162" s="2" t="s">
        <v>31296</v>
      </c>
      <c r="R3162" s="3" t="s">
        <v>71</v>
      </c>
      <c r="S3162" s="4">
        <v>0</v>
      </c>
      <c r="T3162" s="4">
        <v>0</v>
      </c>
      <c r="W3162" s="5" t="s">
        <v>72</v>
      </c>
      <c r="X3162" s="5" t="s">
        <v>72</v>
      </c>
      <c r="Y3162" s="4">
        <v>52</v>
      </c>
      <c r="Z3162" s="4">
        <v>5</v>
      </c>
      <c r="AA3162" s="4">
        <v>5</v>
      </c>
      <c r="AB3162" s="4">
        <v>1</v>
      </c>
      <c r="AC3162" s="4">
        <v>1</v>
      </c>
      <c r="AD3162" s="4">
        <v>36</v>
      </c>
      <c r="AE3162" s="4">
        <v>37</v>
      </c>
      <c r="AF3162" s="4">
        <v>0</v>
      </c>
      <c r="AG3162" s="4">
        <v>0</v>
      </c>
      <c r="AH3162" s="4">
        <v>34</v>
      </c>
      <c r="AI3162" s="4">
        <v>35</v>
      </c>
      <c r="AJ3162" s="4">
        <v>3</v>
      </c>
      <c r="AK3162" s="4">
        <v>3</v>
      </c>
      <c r="AL3162" s="4">
        <v>27</v>
      </c>
      <c r="AM3162" s="4">
        <v>28</v>
      </c>
      <c r="AN3162" s="4">
        <v>0</v>
      </c>
      <c r="AO3162" s="4">
        <v>0</v>
      </c>
      <c r="AP3162" s="4">
        <v>3</v>
      </c>
      <c r="AQ3162" s="4">
        <v>3</v>
      </c>
      <c r="AR3162" s="3" t="s">
        <v>65</v>
      </c>
      <c r="AS3162" s="3" t="s">
        <v>65</v>
      </c>
      <c r="AT3162" s="3" t="s">
        <v>65</v>
      </c>
      <c r="AV3162" s="6" t="str">
        <f>HYPERLINK("http://mcgill.on.worldcat.org/oclc/707459662","Catalog Record")</f>
        <v>Catalog Record</v>
      </c>
      <c r="AW3162" s="6" t="str">
        <f>HYPERLINK("http://www.worldcat.org/oclc/707459662","WorldCat Record")</f>
        <v>WorldCat Record</v>
      </c>
      <c r="AX3162" s="3" t="s">
        <v>31297</v>
      </c>
      <c r="AY3162" s="3" t="s">
        <v>31298</v>
      </c>
      <c r="AZ3162" s="3" t="s">
        <v>31299</v>
      </c>
      <c r="BA3162" s="3" t="s">
        <v>31299</v>
      </c>
      <c r="BB3162" s="3" t="s">
        <v>31300</v>
      </c>
      <c r="BC3162" s="3" t="s">
        <v>77</v>
      </c>
      <c r="BD3162" s="3" t="s">
        <v>78</v>
      </c>
      <c r="BE3162" s="3" t="s">
        <v>31301</v>
      </c>
      <c r="BF3162" s="3" t="s">
        <v>31300</v>
      </c>
      <c r="BG3162" s="3" t="s">
        <v>31302</v>
      </c>
    </row>
    <row r="3163" spans="1:59" ht="58" x14ac:dyDescent="0.35">
      <c r="A3163" s="2" t="s">
        <v>59</v>
      </c>
      <c r="B3163" s="2" t="s">
        <v>60</v>
      </c>
      <c r="C3163" s="2" t="s">
        <v>31303</v>
      </c>
      <c r="D3163" s="2" t="s">
        <v>31304</v>
      </c>
      <c r="E3163" s="2" t="s">
        <v>31305</v>
      </c>
      <c r="G3163" s="3" t="s">
        <v>65</v>
      </c>
      <c r="I3163" s="3" t="s">
        <v>65</v>
      </c>
      <c r="J3163" s="3" t="s">
        <v>65</v>
      </c>
      <c r="K3163" s="3" t="s">
        <v>66</v>
      </c>
      <c r="L3163" s="2" t="s">
        <v>5187</v>
      </c>
      <c r="M3163" s="2" t="s">
        <v>31306</v>
      </c>
      <c r="N3163" s="3" t="s">
        <v>113</v>
      </c>
      <c r="P3163" s="3" t="s">
        <v>140</v>
      </c>
      <c r="R3163" s="3" t="s">
        <v>71</v>
      </c>
      <c r="S3163" s="4">
        <v>0</v>
      </c>
      <c r="T3163" s="4">
        <v>0</v>
      </c>
      <c r="W3163" s="5" t="s">
        <v>72</v>
      </c>
      <c r="X3163" s="5" t="s">
        <v>72</v>
      </c>
      <c r="Y3163" s="4">
        <v>53</v>
      </c>
      <c r="Z3163" s="4">
        <v>4</v>
      </c>
      <c r="AA3163" s="4">
        <v>4</v>
      </c>
      <c r="AB3163" s="4">
        <v>1</v>
      </c>
      <c r="AC3163" s="4">
        <v>1</v>
      </c>
      <c r="AD3163" s="4">
        <v>39</v>
      </c>
      <c r="AE3163" s="4">
        <v>39</v>
      </c>
      <c r="AF3163" s="4">
        <v>0</v>
      </c>
      <c r="AG3163" s="4">
        <v>0</v>
      </c>
      <c r="AH3163" s="4">
        <v>38</v>
      </c>
      <c r="AI3163" s="4">
        <v>38</v>
      </c>
      <c r="AJ3163" s="4">
        <v>2</v>
      </c>
      <c r="AK3163" s="4">
        <v>2</v>
      </c>
      <c r="AL3163" s="4">
        <v>31</v>
      </c>
      <c r="AM3163" s="4">
        <v>31</v>
      </c>
      <c r="AN3163" s="4">
        <v>0</v>
      </c>
      <c r="AO3163" s="4">
        <v>0</v>
      </c>
      <c r="AP3163" s="4">
        <v>2</v>
      </c>
      <c r="AQ3163" s="4">
        <v>2</v>
      </c>
      <c r="AR3163" s="3" t="s">
        <v>65</v>
      </c>
      <c r="AS3163" s="3" t="s">
        <v>65</v>
      </c>
      <c r="AT3163" s="3" t="s">
        <v>65</v>
      </c>
      <c r="AV3163" s="6" t="str">
        <f>HYPERLINK("http://mcgill.on.worldcat.org/oclc/642806299","Catalog Record")</f>
        <v>Catalog Record</v>
      </c>
      <c r="AW3163" s="6" t="str">
        <f>HYPERLINK("http://www.worldcat.org/oclc/642806299","WorldCat Record")</f>
        <v>WorldCat Record</v>
      </c>
      <c r="AX3163" s="3" t="s">
        <v>31307</v>
      </c>
      <c r="AY3163" s="3" t="s">
        <v>31308</v>
      </c>
      <c r="AZ3163" s="3" t="s">
        <v>31309</v>
      </c>
      <c r="BA3163" s="3" t="s">
        <v>31309</v>
      </c>
      <c r="BB3163" s="3" t="s">
        <v>31310</v>
      </c>
      <c r="BC3163" s="3" t="s">
        <v>77</v>
      </c>
      <c r="BD3163" s="3" t="s">
        <v>78</v>
      </c>
      <c r="BE3163" s="3" t="s">
        <v>31311</v>
      </c>
      <c r="BF3163" s="3" t="s">
        <v>31310</v>
      </c>
      <c r="BG3163" s="3" t="s">
        <v>31312</v>
      </c>
    </row>
    <row r="3164" spans="1:59" ht="58" x14ac:dyDescent="0.35">
      <c r="A3164" s="2" t="s">
        <v>59</v>
      </c>
      <c r="B3164" s="2" t="s">
        <v>60</v>
      </c>
      <c r="C3164" s="2" t="s">
        <v>31313</v>
      </c>
      <c r="D3164" s="2" t="s">
        <v>31314</v>
      </c>
      <c r="E3164" s="2" t="s">
        <v>31315</v>
      </c>
      <c r="G3164" s="3" t="s">
        <v>65</v>
      </c>
      <c r="I3164" s="3" t="s">
        <v>65</v>
      </c>
      <c r="J3164" s="3" t="s">
        <v>65</v>
      </c>
      <c r="K3164" s="3" t="s">
        <v>66</v>
      </c>
      <c r="L3164" s="2" t="s">
        <v>5187</v>
      </c>
      <c r="M3164" s="2" t="s">
        <v>31316</v>
      </c>
      <c r="N3164" s="3" t="s">
        <v>152</v>
      </c>
      <c r="P3164" s="3" t="s">
        <v>140</v>
      </c>
      <c r="R3164" s="3" t="s">
        <v>71</v>
      </c>
      <c r="S3164" s="4">
        <v>1</v>
      </c>
      <c r="T3164" s="4">
        <v>1</v>
      </c>
      <c r="U3164" s="5" t="s">
        <v>2341</v>
      </c>
      <c r="V3164" s="5" t="s">
        <v>2341</v>
      </c>
      <c r="W3164" s="5" t="s">
        <v>72</v>
      </c>
      <c r="X3164" s="5" t="s">
        <v>72</v>
      </c>
      <c r="Y3164" s="4">
        <v>38</v>
      </c>
      <c r="Z3164" s="4">
        <v>4</v>
      </c>
      <c r="AA3164" s="4">
        <v>4</v>
      </c>
      <c r="AB3164" s="4">
        <v>1</v>
      </c>
      <c r="AC3164" s="4">
        <v>1</v>
      </c>
      <c r="AD3164" s="4">
        <v>25</v>
      </c>
      <c r="AE3164" s="4">
        <v>25</v>
      </c>
      <c r="AF3164" s="4">
        <v>0</v>
      </c>
      <c r="AG3164" s="4">
        <v>0</v>
      </c>
      <c r="AH3164" s="4">
        <v>24</v>
      </c>
      <c r="AI3164" s="4">
        <v>24</v>
      </c>
      <c r="AJ3164" s="4">
        <v>2</v>
      </c>
      <c r="AK3164" s="4">
        <v>2</v>
      </c>
      <c r="AL3164" s="4">
        <v>19</v>
      </c>
      <c r="AM3164" s="4">
        <v>19</v>
      </c>
      <c r="AN3164" s="4">
        <v>0</v>
      </c>
      <c r="AO3164" s="4">
        <v>0</v>
      </c>
      <c r="AP3164" s="4">
        <v>2</v>
      </c>
      <c r="AQ3164" s="4">
        <v>2</v>
      </c>
      <c r="AR3164" s="3" t="s">
        <v>65</v>
      </c>
      <c r="AS3164" s="3" t="s">
        <v>65</v>
      </c>
      <c r="AT3164" s="3" t="s">
        <v>65</v>
      </c>
      <c r="AV3164" s="6" t="str">
        <f>HYPERLINK("http://mcgill.on.worldcat.org/oclc/843755368","Catalog Record")</f>
        <v>Catalog Record</v>
      </c>
      <c r="AW3164" s="6" t="str">
        <f>HYPERLINK("http://www.worldcat.org/oclc/843755368","WorldCat Record")</f>
        <v>WorldCat Record</v>
      </c>
      <c r="AX3164" s="3" t="s">
        <v>31317</v>
      </c>
      <c r="AY3164" s="3" t="s">
        <v>31318</v>
      </c>
      <c r="AZ3164" s="3" t="s">
        <v>31319</v>
      </c>
      <c r="BA3164" s="3" t="s">
        <v>31319</v>
      </c>
      <c r="BB3164" s="3" t="s">
        <v>31320</v>
      </c>
      <c r="BC3164" s="3" t="s">
        <v>77</v>
      </c>
      <c r="BD3164" s="3" t="s">
        <v>78</v>
      </c>
      <c r="BE3164" s="3" t="s">
        <v>31321</v>
      </c>
      <c r="BF3164" s="3" t="s">
        <v>31320</v>
      </c>
      <c r="BG3164" s="3" t="s">
        <v>31322</v>
      </c>
    </row>
    <row r="3165" spans="1:59" ht="58" x14ac:dyDescent="0.35">
      <c r="A3165" s="2" t="s">
        <v>59</v>
      </c>
      <c r="B3165" s="2" t="s">
        <v>60</v>
      </c>
      <c r="C3165" s="2" t="s">
        <v>31323</v>
      </c>
      <c r="D3165" s="2" t="s">
        <v>31324</v>
      </c>
      <c r="E3165" s="2" t="s">
        <v>31325</v>
      </c>
      <c r="G3165" s="3" t="s">
        <v>65</v>
      </c>
      <c r="I3165" s="3" t="s">
        <v>65</v>
      </c>
      <c r="J3165" s="3" t="s">
        <v>65</v>
      </c>
      <c r="K3165" s="3" t="s">
        <v>66</v>
      </c>
      <c r="L3165" s="2" t="s">
        <v>31326</v>
      </c>
      <c r="M3165" s="2" t="s">
        <v>2964</v>
      </c>
      <c r="N3165" s="3" t="s">
        <v>126</v>
      </c>
      <c r="P3165" s="3" t="s">
        <v>140</v>
      </c>
      <c r="Q3165" s="2" t="s">
        <v>31327</v>
      </c>
      <c r="R3165" s="3" t="s">
        <v>71</v>
      </c>
      <c r="S3165" s="4">
        <v>0</v>
      </c>
      <c r="T3165" s="4">
        <v>0</v>
      </c>
      <c r="W3165" s="5" t="s">
        <v>72</v>
      </c>
      <c r="X3165" s="5" t="s">
        <v>72</v>
      </c>
      <c r="Y3165" s="4">
        <v>43</v>
      </c>
      <c r="Z3165" s="4">
        <v>5</v>
      </c>
      <c r="AA3165" s="4">
        <v>5</v>
      </c>
      <c r="AB3165" s="4">
        <v>1</v>
      </c>
      <c r="AC3165" s="4">
        <v>1</v>
      </c>
      <c r="AD3165" s="4">
        <v>35</v>
      </c>
      <c r="AE3165" s="4">
        <v>35</v>
      </c>
      <c r="AF3165" s="4">
        <v>0</v>
      </c>
      <c r="AG3165" s="4">
        <v>0</v>
      </c>
      <c r="AH3165" s="4">
        <v>34</v>
      </c>
      <c r="AI3165" s="4">
        <v>34</v>
      </c>
      <c r="AJ3165" s="4">
        <v>2</v>
      </c>
      <c r="AK3165" s="4">
        <v>2</v>
      </c>
      <c r="AL3165" s="4">
        <v>28</v>
      </c>
      <c r="AM3165" s="4">
        <v>28</v>
      </c>
      <c r="AN3165" s="4">
        <v>0</v>
      </c>
      <c r="AO3165" s="4">
        <v>0</v>
      </c>
      <c r="AP3165" s="4">
        <v>2</v>
      </c>
      <c r="AQ3165" s="4">
        <v>2</v>
      </c>
      <c r="AR3165" s="3" t="s">
        <v>65</v>
      </c>
      <c r="AS3165" s="3" t="s">
        <v>65</v>
      </c>
      <c r="AT3165" s="3" t="s">
        <v>65</v>
      </c>
      <c r="AV3165" s="6" t="str">
        <f>HYPERLINK("http://mcgill.on.worldcat.org/oclc/798053322","Catalog Record")</f>
        <v>Catalog Record</v>
      </c>
      <c r="AW3165" s="6" t="str">
        <f>HYPERLINK("http://www.worldcat.org/oclc/798053322","WorldCat Record")</f>
        <v>WorldCat Record</v>
      </c>
      <c r="AX3165" s="3" t="s">
        <v>31328</v>
      </c>
      <c r="AY3165" s="3" t="s">
        <v>31329</v>
      </c>
      <c r="AZ3165" s="3" t="s">
        <v>31330</v>
      </c>
      <c r="BA3165" s="3" t="s">
        <v>31330</v>
      </c>
      <c r="BB3165" s="3" t="s">
        <v>31331</v>
      </c>
      <c r="BC3165" s="3" t="s">
        <v>77</v>
      </c>
      <c r="BD3165" s="3" t="s">
        <v>78</v>
      </c>
      <c r="BE3165" s="3" t="s">
        <v>31332</v>
      </c>
      <c r="BF3165" s="3" t="s">
        <v>31331</v>
      </c>
      <c r="BG3165" s="3" t="s">
        <v>31333</v>
      </c>
    </row>
    <row r="3166" spans="1:59" ht="58" x14ac:dyDescent="0.35">
      <c r="A3166" s="2" t="s">
        <v>59</v>
      </c>
      <c r="B3166" s="2" t="s">
        <v>60</v>
      </c>
      <c r="C3166" s="2" t="s">
        <v>31334</v>
      </c>
      <c r="D3166" s="2" t="s">
        <v>31335</v>
      </c>
      <c r="E3166" s="2" t="s">
        <v>31336</v>
      </c>
      <c r="G3166" s="3" t="s">
        <v>65</v>
      </c>
      <c r="I3166" s="3" t="s">
        <v>65</v>
      </c>
      <c r="J3166" s="3" t="s">
        <v>65</v>
      </c>
      <c r="K3166" s="3" t="s">
        <v>66</v>
      </c>
      <c r="L3166" s="2" t="s">
        <v>10790</v>
      </c>
      <c r="M3166" s="2" t="s">
        <v>31337</v>
      </c>
      <c r="N3166" s="3" t="s">
        <v>188</v>
      </c>
      <c r="P3166" s="3" t="s">
        <v>140</v>
      </c>
      <c r="Q3166" s="2" t="s">
        <v>31338</v>
      </c>
      <c r="R3166" s="3" t="s">
        <v>71</v>
      </c>
      <c r="S3166" s="4">
        <v>0</v>
      </c>
      <c r="T3166" s="4">
        <v>0</v>
      </c>
      <c r="W3166" s="5" t="s">
        <v>72</v>
      </c>
      <c r="X3166" s="5" t="s">
        <v>72</v>
      </c>
      <c r="Y3166" s="4">
        <v>52</v>
      </c>
      <c r="Z3166" s="4">
        <v>2</v>
      </c>
      <c r="AA3166" s="4">
        <v>2</v>
      </c>
      <c r="AB3166" s="4">
        <v>1</v>
      </c>
      <c r="AC3166" s="4">
        <v>1</v>
      </c>
      <c r="AD3166" s="4">
        <v>37</v>
      </c>
      <c r="AE3166" s="4">
        <v>37</v>
      </c>
      <c r="AF3166" s="4">
        <v>0</v>
      </c>
      <c r="AG3166" s="4">
        <v>0</v>
      </c>
      <c r="AH3166" s="4">
        <v>36</v>
      </c>
      <c r="AI3166" s="4">
        <v>36</v>
      </c>
      <c r="AJ3166" s="4">
        <v>1</v>
      </c>
      <c r="AK3166" s="4">
        <v>1</v>
      </c>
      <c r="AL3166" s="4">
        <v>27</v>
      </c>
      <c r="AM3166" s="4">
        <v>27</v>
      </c>
      <c r="AN3166" s="4">
        <v>0</v>
      </c>
      <c r="AO3166" s="4">
        <v>0</v>
      </c>
      <c r="AP3166" s="4">
        <v>1</v>
      </c>
      <c r="AQ3166" s="4">
        <v>1</v>
      </c>
      <c r="AR3166" s="3" t="s">
        <v>65</v>
      </c>
      <c r="AS3166" s="3" t="s">
        <v>65</v>
      </c>
      <c r="AT3166" s="3" t="s">
        <v>65</v>
      </c>
      <c r="AV3166" s="6" t="str">
        <f>HYPERLINK("http://mcgill.on.worldcat.org/oclc/981221489","Catalog Record")</f>
        <v>Catalog Record</v>
      </c>
      <c r="AW3166" s="6" t="str">
        <f>HYPERLINK("http://www.worldcat.org/oclc/981221489","WorldCat Record")</f>
        <v>WorldCat Record</v>
      </c>
      <c r="AX3166" s="3" t="s">
        <v>31339</v>
      </c>
      <c r="AY3166" s="3" t="s">
        <v>31340</v>
      </c>
      <c r="AZ3166" s="3" t="s">
        <v>31341</v>
      </c>
      <c r="BA3166" s="3" t="s">
        <v>31341</v>
      </c>
      <c r="BB3166" s="3" t="s">
        <v>31342</v>
      </c>
      <c r="BC3166" s="3" t="s">
        <v>77</v>
      </c>
      <c r="BD3166" s="3" t="s">
        <v>78</v>
      </c>
      <c r="BE3166" s="3" t="s">
        <v>31343</v>
      </c>
      <c r="BF3166" s="3" t="s">
        <v>31342</v>
      </c>
      <c r="BG3166" s="3" t="s">
        <v>31344</v>
      </c>
    </row>
    <row r="3167" spans="1:59" ht="58" x14ac:dyDescent="0.35">
      <c r="A3167" s="2" t="s">
        <v>59</v>
      </c>
      <c r="B3167" s="2" t="s">
        <v>60</v>
      </c>
      <c r="C3167" s="2" t="s">
        <v>31345</v>
      </c>
      <c r="D3167" s="2" t="s">
        <v>31346</v>
      </c>
      <c r="E3167" s="2" t="s">
        <v>31347</v>
      </c>
      <c r="G3167" s="3" t="s">
        <v>65</v>
      </c>
      <c r="I3167" s="3" t="s">
        <v>65</v>
      </c>
      <c r="J3167" s="3" t="s">
        <v>65</v>
      </c>
      <c r="K3167" s="3" t="s">
        <v>66</v>
      </c>
      <c r="L3167" s="2" t="s">
        <v>31348</v>
      </c>
      <c r="M3167" s="2" t="s">
        <v>4606</v>
      </c>
      <c r="N3167" s="3" t="s">
        <v>139</v>
      </c>
      <c r="P3167" s="3" t="s">
        <v>140</v>
      </c>
      <c r="Q3167" s="2" t="s">
        <v>27394</v>
      </c>
      <c r="R3167" s="3" t="s">
        <v>71</v>
      </c>
      <c r="S3167" s="4">
        <v>0</v>
      </c>
      <c r="T3167" s="4">
        <v>0</v>
      </c>
      <c r="W3167" s="5" t="s">
        <v>72</v>
      </c>
      <c r="X3167" s="5" t="s">
        <v>72</v>
      </c>
      <c r="Y3167" s="4">
        <v>46</v>
      </c>
      <c r="Z3167" s="4">
        <v>5</v>
      </c>
      <c r="AA3167" s="4">
        <v>5</v>
      </c>
      <c r="AB3167" s="4">
        <v>1</v>
      </c>
      <c r="AC3167" s="4">
        <v>1</v>
      </c>
      <c r="AD3167" s="4">
        <v>33</v>
      </c>
      <c r="AE3167" s="4">
        <v>33</v>
      </c>
      <c r="AF3167" s="4">
        <v>0</v>
      </c>
      <c r="AG3167" s="4">
        <v>0</v>
      </c>
      <c r="AH3167" s="4">
        <v>32</v>
      </c>
      <c r="AI3167" s="4">
        <v>32</v>
      </c>
      <c r="AJ3167" s="4">
        <v>3</v>
      </c>
      <c r="AK3167" s="4">
        <v>3</v>
      </c>
      <c r="AL3167" s="4">
        <v>24</v>
      </c>
      <c r="AM3167" s="4">
        <v>24</v>
      </c>
      <c r="AN3167" s="4">
        <v>0</v>
      </c>
      <c r="AO3167" s="4">
        <v>0</v>
      </c>
      <c r="AP3167" s="4">
        <v>3</v>
      </c>
      <c r="AQ3167" s="4">
        <v>3</v>
      </c>
      <c r="AR3167" s="3" t="s">
        <v>65</v>
      </c>
      <c r="AS3167" s="3" t="s">
        <v>65</v>
      </c>
      <c r="AT3167" s="3" t="s">
        <v>65</v>
      </c>
      <c r="AV3167" s="6" t="str">
        <f>HYPERLINK("http://mcgill.on.worldcat.org/oclc/795755272","Catalog Record")</f>
        <v>Catalog Record</v>
      </c>
      <c r="AW3167" s="6" t="str">
        <f>HYPERLINK("http://www.worldcat.org/oclc/795755272","WorldCat Record")</f>
        <v>WorldCat Record</v>
      </c>
      <c r="AX3167" s="3" t="s">
        <v>31349</v>
      </c>
      <c r="AY3167" s="3" t="s">
        <v>31350</v>
      </c>
      <c r="AZ3167" s="3" t="s">
        <v>31351</v>
      </c>
      <c r="BA3167" s="3" t="s">
        <v>31351</v>
      </c>
      <c r="BB3167" s="3" t="s">
        <v>31352</v>
      </c>
      <c r="BC3167" s="3" t="s">
        <v>77</v>
      </c>
      <c r="BD3167" s="3" t="s">
        <v>78</v>
      </c>
      <c r="BE3167" s="3" t="s">
        <v>31353</v>
      </c>
      <c r="BF3167" s="3" t="s">
        <v>31352</v>
      </c>
      <c r="BG3167" s="3" t="s">
        <v>31354</v>
      </c>
    </row>
    <row r="3168" spans="1:59" ht="58" x14ac:dyDescent="0.35">
      <c r="A3168" s="2" t="s">
        <v>59</v>
      </c>
      <c r="B3168" s="2" t="s">
        <v>60</v>
      </c>
      <c r="C3168" s="2" t="s">
        <v>31355</v>
      </c>
      <c r="D3168" s="2" t="s">
        <v>31356</v>
      </c>
      <c r="E3168" s="2" t="s">
        <v>31357</v>
      </c>
      <c r="F3168" s="3" t="s">
        <v>245</v>
      </c>
      <c r="G3168" s="3" t="s">
        <v>209</v>
      </c>
      <c r="I3168" s="3" t="s">
        <v>65</v>
      </c>
      <c r="J3168" s="3" t="s">
        <v>65</v>
      </c>
      <c r="K3168" s="3" t="s">
        <v>66</v>
      </c>
      <c r="L3168" s="2" t="s">
        <v>31358</v>
      </c>
      <c r="M3168" s="2" t="s">
        <v>31359</v>
      </c>
      <c r="N3168" s="3" t="s">
        <v>188</v>
      </c>
      <c r="P3168" s="3" t="s">
        <v>140</v>
      </c>
      <c r="Q3168" s="2" t="s">
        <v>31360</v>
      </c>
      <c r="R3168" s="3" t="s">
        <v>71</v>
      </c>
      <c r="S3168" s="4">
        <v>0</v>
      </c>
      <c r="T3168" s="4">
        <v>0</v>
      </c>
      <c r="W3168" s="5" t="s">
        <v>31361</v>
      </c>
      <c r="X3168" s="5" t="s">
        <v>31361</v>
      </c>
      <c r="Y3168" s="4">
        <v>34</v>
      </c>
      <c r="Z3168" s="4">
        <v>1</v>
      </c>
      <c r="AA3168" s="4">
        <v>1</v>
      </c>
      <c r="AB3168" s="4">
        <v>1</v>
      </c>
      <c r="AC3168" s="4">
        <v>1</v>
      </c>
      <c r="AD3168" s="4">
        <v>23</v>
      </c>
      <c r="AE3168" s="4">
        <v>24</v>
      </c>
      <c r="AF3168" s="4">
        <v>0</v>
      </c>
      <c r="AG3168" s="4">
        <v>0</v>
      </c>
      <c r="AH3168" s="4">
        <v>22</v>
      </c>
      <c r="AI3168" s="4">
        <v>23</v>
      </c>
      <c r="AJ3168" s="4">
        <v>0</v>
      </c>
      <c r="AK3168" s="4">
        <v>0</v>
      </c>
      <c r="AL3168" s="4">
        <v>19</v>
      </c>
      <c r="AM3168" s="4">
        <v>19</v>
      </c>
      <c r="AN3168" s="4">
        <v>0</v>
      </c>
      <c r="AO3168" s="4">
        <v>0</v>
      </c>
      <c r="AP3168" s="4">
        <v>0</v>
      </c>
      <c r="AQ3168" s="4">
        <v>0</v>
      </c>
      <c r="AR3168" s="3" t="s">
        <v>65</v>
      </c>
      <c r="AS3168" s="3" t="s">
        <v>65</v>
      </c>
      <c r="AT3168" s="3" t="s">
        <v>65</v>
      </c>
      <c r="AV3168" s="6" t="str">
        <f>HYPERLINK("http://mcgill.on.worldcat.org/oclc/1002084166","Catalog Record")</f>
        <v>Catalog Record</v>
      </c>
      <c r="AW3168" s="6" t="str">
        <f>HYPERLINK("http://www.worldcat.org/oclc/1002084166","WorldCat Record")</f>
        <v>WorldCat Record</v>
      </c>
      <c r="AX3168" s="3" t="s">
        <v>31362</v>
      </c>
      <c r="AY3168" s="3" t="s">
        <v>31363</v>
      </c>
      <c r="AZ3168" s="3" t="s">
        <v>31364</v>
      </c>
      <c r="BA3168" s="3" t="s">
        <v>31364</v>
      </c>
      <c r="BB3168" s="3" t="s">
        <v>31365</v>
      </c>
      <c r="BC3168" s="3" t="s">
        <v>77</v>
      </c>
      <c r="BD3168" s="3" t="s">
        <v>78</v>
      </c>
      <c r="BE3168" s="3" t="s">
        <v>31366</v>
      </c>
      <c r="BF3168" s="3" t="s">
        <v>31365</v>
      </c>
      <c r="BG3168" s="3" t="s">
        <v>31367</v>
      </c>
    </row>
    <row r="3169" spans="1:59" ht="58" x14ac:dyDescent="0.35">
      <c r="A3169" s="2" t="s">
        <v>59</v>
      </c>
      <c r="B3169" s="2" t="s">
        <v>60</v>
      </c>
      <c r="C3169" s="2" t="s">
        <v>31355</v>
      </c>
      <c r="D3169" s="2" t="s">
        <v>31356</v>
      </c>
      <c r="E3169" s="2" t="s">
        <v>31357</v>
      </c>
      <c r="F3169" s="3" t="s">
        <v>258</v>
      </c>
      <c r="G3169" s="3" t="s">
        <v>209</v>
      </c>
      <c r="I3169" s="3" t="s">
        <v>65</v>
      </c>
      <c r="J3169" s="3" t="s">
        <v>65</v>
      </c>
      <c r="K3169" s="3" t="s">
        <v>66</v>
      </c>
      <c r="L3169" s="2" t="s">
        <v>31358</v>
      </c>
      <c r="M3169" s="2" t="s">
        <v>31359</v>
      </c>
      <c r="N3169" s="3" t="s">
        <v>188</v>
      </c>
      <c r="P3169" s="3" t="s">
        <v>140</v>
      </c>
      <c r="Q3169" s="2" t="s">
        <v>31360</v>
      </c>
      <c r="R3169" s="3" t="s">
        <v>71</v>
      </c>
      <c r="S3169" s="4">
        <v>0</v>
      </c>
      <c r="T3169" s="4">
        <v>0</v>
      </c>
      <c r="W3169" s="5" t="s">
        <v>31361</v>
      </c>
      <c r="X3169" s="5" t="s">
        <v>31361</v>
      </c>
      <c r="Y3169" s="4">
        <v>34</v>
      </c>
      <c r="Z3169" s="4">
        <v>1</v>
      </c>
      <c r="AA3169" s="4">
        <v>1</v>
      </c>
      <c r="AB3169" s="4">
        <v>1</v>
      </c>
      <c r="AC3169" s="4">
        <v>1</v>
      </c>
      <c r="AD3169" s="4">
        <v>23</v>
      </c>
      <c r="AE3169" s="4">
        <v>24</v>
      </c>
      <c r="AF3169" s="4">
        <v>0</v>
      </c>
      <c r="AG3169" s="4">
        <v>0</v>
      </c>
      <c r="AH3169" s="4">
        <v>22</v>
      </c>
      <c r="AI3169" s="4">
        <v>23</v>
      </c>
      <c r="AJ3169" s="4">
        <v>0</v>
      </c>
      <c r="AK3169" s="4">
        <v>0</v>
      </c>
      <c r="AL3169" s="4">
        <v>19</v>
      </c>
      <c r="AM3169" s="4">
        <v>19</v>
      </c>
      <c r="AN3169" s="4">
        <v>0</v>
      </c>
      <c r="AO3169" s="4">
        <v>0</v>
      </c>
      <c r="AP3169" s="4">
        <v>0</v>
      </c>
      <c r="AQ3169" s="4">
        <v>0</v>
      </c>
      <c r="AR3169" s="3" t="s">
        <v>65</v>
      </c>
      <c r="AS3169" s="3" t="s">
        <v>65</v>
      </c>
      <c r="AT3169" s="3" t="s">
        <v>65</v>
      </c>
      <c r="AV3169" s="6" t="str">
        <f>HYPERLINK("http://mcgill.on.worldcat.org/oclc/1002084166","Catalog Record")</f>
        <v>Catalog Record</v>
      </c>
      <c r="AW3169" s="6" t="str">
        <f>HYPERLINK("http://www.worldcat.org/oclc/1002084166","WorldCat Record")</f>
        <v>WorldCat Record</v>
      </c>
      <c r="AX3169" s="3" t="s">
        <v>31362</v>
      </c>
      <c r="AY3169" s="3" t="s">
        <v>31363</v>
      </c>
      <c r="AZ3169" s="3" t="s">
        <v>31364</v>
      </c>
      <c r="BA3169" s="3" t="s">
        <v>31364</v>
      </c>
      <c r="BB3169" s="3" t="s">
        <v>31368</v>
      </c>
      <c r="BC3169" s="3" t="s">
        <v>77</v>
      </c>
      <c r="BD3169" s="3" t="s">
        <v>78</v>
      </c>
      <c r="BE3169" s="3" t="s">
        <v>31366</v>
      </c>
      <c r="BF3169" s="3" t="s">
        <v>31368</v>
      </c>
      <c r="BG3169" s="3" t="s">
        <v>31369</v>
      </c>
    </row>
    <row r="3170" spans="1:59" ht="58" x14ac:dyDescent="0.35">
      <c r="A3170" s="2" t="s">
        <v>59</v>
      </c>
      <c r="B3170" s="2" t="s">
        <v>60</v>
      </c>
      <c r="C3170" s="2" t="s">
        <v>31370</v>
      </c>
      <c r="D3170" s="2" t="s">
        <v>31371</v>
      </c>
      <c r="E3170" s="2" t="s">
        <v>31372</v>
      </c>
      <c r="G3170" s="3" t="s">
        <v>65</v>
      </c>
      <c r="I3170" s="3" t="s">
        <v>65</v>
      </c>
      <c r="J3170" s="3" t="s">
        <v>65</v>
      </c>
      <c r="K3170" s="3" t="s">
        <v>66</v>
      </c>
      <c r="L3170" s="2" t="s">
        <v>31373</v>
      </c>
      <c r="M3170" s="2" t="s">
        <v>31374</v>
      </c>
      <c r="N3170" s="3" t="s">
        <v>126</v>
      </c>
      <c r="O3170" s="2" t="s">
        <v>31375</v>
      </c>
      <c r="P3170" s="3" t="s">
        <v>140</v>
      </c>
      <c r="Q3170" s="2" t="s">
        <v>31376</v>
      </c>
      <c r="R3170" s="3" t="s">
        <v>71</v>
      </c>
      <c r="S3170" s="4">
        <v>0</v>
      </c>
      <c r="T3170" s="4">
        <v>0</v>
      </c>
      <c r="W3170" s="5" t="s">
        <v>72</v>
      </c>
      <c r="X3170" s="5" t="s">
        <v>72</v>
      </c>
      <c r="Y3170" s="4">
        <v>40</v>
      </c>
      <c r="Z3170" s="4">
        <v>3</v>
      </c>
      <c r="AA3170" s="4">
        <v>3</v>
      </c>
      <c r="AB3170" s="4">
        <v>1</v>
      </c>
      <c r="AC3170" s="4">
        <v>1</v>
      </c>
      <c r="AD3170" s="4">
        <v>30</v>
      </c>
      <c r="AE3170" s="4">
        <v>30</v>
      </c>
      <c r="AF3170" s="4">
        <v>0</v>
      </c>
      <c r="AG3170" s="4">
        <v>0</v>
      </c>
      <c r="AH3170" s="4">
        <v>29</v>
      </c>
      <c r="AI3170" s="4">
        <v>29</v>
      </c>
      <c r="AJ3170" s="4">
        <v>1</v>
      </c>
      <c r="AK3170" s="4">
        <v>1</v>
      </c>
      <c r="AL3170" s="4">
        <v>24</v>
      </c>
      <c r="AM3170" s="4">
        <v>24</v>
      </c>
      <c r="AN3170" s="4">
        <v>0</v>
      </c>
      <c r="AO3170" s="4">
        <v>0</v>
      </c>
      <c r="AP3170" s="4">
        <v>1</v>
      </c>
      <c r="AQ3170" s="4">
        <v>1</v>
      </c>
      <c r="AR3170" s="3" t="s">
        <v>65</v>
      </c>
      <c r="AS3170" s="3" t="s">
        <v>65</v>
      </c>
      <c r="AT3170" s="3" t="s">
        <v>65</v>
      </c>
      <c r="AV3170" s="6" t="str">
        <f>HYPERLINK("http://mcgill.on.worldcat.org/oclc/719414105","Catalog Record")</f>
        <v>Catalog Record</v>
      </c>
      <c r="AW3170" s="6" t="str">
        <f>HYPERLINK("http://www.worldcat.org/oclc/719414105","WorldCat Record")</f>
        <v>WorldCat Record</v>
      </c>
      <c r="AX3170" s="3" t="s">
        <v>31377</v>
      </c>
      <c r="AY3170" s="3" t="s">
        <v>31378</v>
      </c>
      <c r="AZ3170" s="3" t="s">
        <v>31379</v>
      </c>
      <c r="BA3170" s="3" t="s">
        <v>31379</v>
      </c>
      <c r="BB3170" s="3" t="s">
        <v>31380</v>
      </c>
      <c r="BC3170" s="3" t="s">
        <v>77</v>
      </c>
      <c r="BD3170" s="3" t="s">
        <v>78</v>
      </c>
      <c r="BE3170" s="3" t="s">
        <v>31381</v>
      </c>
      <c r="BF3170" s="3" t="s">
        <v>31380</v>
      </c>
      <c r="BG3170" s="3" t="s">
        <v>31382</v>
      </c>
    </row>
    <row r="3171" spans="1:59" ht="58" x14ac:dyDescent="0.35">
      <c r="A3171" s="2" t="s">
        <v>59</v>
      </c>
      <c r="B3171" s="2" t="s">
        <v>60</v>
      </c>
      <c r="C3171" s="2" t="s">
        <v>31383</v>
      </c>
      <c r="D3171" s="2" t="s">
        <v>31384</v>
      </c>
      <c r="E3171" s="2" t="s">
        <v>31385</v>
      </c>
      <c r="G3171" s="3" t="s">
        <v>65</v>
      </c>
      <c r="I3171" s="3" t="s">
        <v>65</v>
      </c>
      <c r="J3171" s="3" t="s">
        <v>65</v>
      </c>
      <c r="K3171" s="3" t="s">
        <v>66</v>
      </c>
      <c r="L3171" s="2" t="s">
        <v>31386</v>
      </c>
      <c r="M3171" s="2" t="s">
        <v>31387</v>
      </c>
      <c r="N3171" s="3" t="s">
        <v>126</v>
      </c>
      <c r="P3171" s="3" t="s">
        <v>140</v>
      </c>
      <c r="R3171" s="3" t="s">
        <v>71</v>
      </c>
      <c r="S3171" s="4">
        <v>0</v>
      </c>
      <c r="T3171" s="4">
        <v>0</v>
      </c>
      <c r="W3171" s="5" t="s">
        <v>72</v>
      </c>
      <c r="X3171" s="5" t="s">
        <v>72</v>
      </c>
      <c r="Y3171" s="4">
        <v>40</v>
      </c>
      <c r="Z3171" s="4">
        <v>4</v>
      </c>
      <c r="AA3171" s="4">
        <v>4</v>
      </c>
      <c r="AB3171" s="4">
        <v>1</v>
      </c>
      <c r="AC3171" s="4">
        <v>1</v>
      </c>
      <c r="AD3171" s="4">
        <v>30</v>
      </c>
      <c r="AE3171" s="4">
        <v>30</v>
      </c>
      <c r="AF3171" s="4">
        <v>0</v>
      </c>
      <c r="AG3171" s="4">
        <v>0</v>
      </c>
      <c r="AH3171" s="4">
        <v>29</v>
      </c>
      <c r="AI3171" s="4">
        <v>29</v>
      </c>
      <c r="AJ3171" s="4">
        <v>2</v>
      </c>
      <c r="AK3171" s="4">
        <v>2</v>
      </c>
      <c r="AL3171" s="4">
        <v>24</v>
      </c>
      <c r="AM3171" s="4">
        <v>24</v>
      </c>
      <c r="AN3171" s="4">
        <v>0</v>
      </c>
      <c r="AO3171" s="4">
        <v>0</v>
      </c>
      <c r="AP3171" s="4">
        <v>2</v>
      </c>
      <c r="AQ3171" s="4">
        <v>2</v>
      </c>
      <c r="AR3171" s="3" t="s">
        <v>65</v>
      </c>
      <c r="AS3171" s="3" t="s">
        <v>65</v>
      </c>
      <c r="AT3171" s="3" t="s">
        <v>65</v>
      </c>
      <c r="AV3171" s="6" t="str">
        <f>HYPERLINK("http://mcgill.on.worldcat.org/oclc/760988795","Catalog Record")</f>
        <v>Catalog Record</v>
      </c>
      <c r="AW3171" s="6" t="str">
        <f>HYPERLINK("http://www.worldcat.org/oclc/760988795","WorldCat Record")</f>
        <v>WorldCat Record</v>
      </c>
      <c r="AX3171" s="3" t="s">
        <v>31388</v>
      </c>
      <c r="AY3171" s="3" t="s">
        <v>31389</v>
      </c>
      <c r="AZ3171" s="3" t="s">
        <v>31390</v>
      </c>
      <c r="BA3171" s="3" t="s">
        <v>31390</v>
      </c>
      <c r="BB3171" s="3" t="s">
        <v>31391</v>
      </c>
      <c r="BC3171" s="3" t="s">
        <v>77</v>
      </c>
      <c r="BD3171" s="3" t="s">
        <v>78</v>
      </c>
      <c r="BE3171" s="3" t="s">
        <v>31392</v>
      </c>
      <c r="BF3171" s="3" t="s">
        <v>31391</v>
      </c>
      <c r="BG3171" s="3" t="s">
        <v>31393</v>
      </c>
    </row>
    <row r="3172" spans="1:59" ht="58" x14ac:dyDescent="0.35">
      <c r="A3172" s="2" t="s">
        <v>59</v>
      </c>
      <c r="B3172" s="2" t="s">
        <v>60</v>
      </c>
      <c r="C3172" s="2" t="s">
        <v>31394</v>
      </c>
      <c r="D3172" s="2" t="s">
        <v>31395</v>
      </c>
      <c r="E3172" s="2" t="s">
        <v>31396</v>
      </c>
      <c r="G3172" s="3" t="s">
        <v>65</v>
      </c>
      <c r="I3172" s="3" t="s">
        <v>65</v>
      </c>
      <c r="J3172" s="3" t="s">
        <v>65</v>
      </c>
      <c r="K3172" s="3" t="s">
        <v>66</v>
      </c>
      <c r="L3172" s="2" t="s">
        <v>31397</v>
      </c>
      <c r="M3172" s="2" t="s">
        <v>31398</v>
      </c>
      <c r="N3172" s="3" t="s">
        <v>4688</v>
      </c>
      <c r="P3172" s="3" t="s">
        <v>69</v>
      </c>
      <c r="Q3172" s="2" t="s">
        <v>31399</v>
      </c>
      <c r="R3172" s="3" t="s">
        <v>71</v>
      </c>
      <c r="S3172" s="4">
        <v>5</v>
      </c>
      <c r="T3172" s="4">
        <v>5</v>
      </c>
      <c r="U3172" s="5" t="s">
        <v>24390</v>
      </c>
      <c r="V3172" s="5" t="s">
        <v>24390</v>
      </c>
      <c r="W3172" s="5" t="s">
        <v>72</v>
      </c>
      <c r="X3172" s="5" t="s">
        <v>72</v>
      </c>
      <c r="Y3172" s="4">
        <v>96</v>
      </c>
      <c r="Z3172" s="4">
        <v>4</v>
      </c>
      <c r="AA3172" s="4">
        <v>11</v>
      </c>
      <c r="AB3172" s="4">
        <v>1</v>
      </c>
      <c r="AC3172" s="4">
        <v>2</v>
      </c>
      <c r="AD3172" s="4">
        <v>50</v>
      </c>
      <c r="AE3172" s="4">
        <v>64</v>
      </c>
      <c r="AF3172" s="4">
        <v>0</v>
      </c>
      <c r="AG3172" s="4">
        <v>1</v>
      </c>
      <c r="AH3172" s="4">
        <v>48</v>
      </c>
      <c r="AI3172" s="4">
        <v>59</v>
      </c>
      <c r="AJ3172" s="4">
        <v>3</v>
      </c>
      <c r="AK3172" s="4">
        <v>8</v>
      </c>
      <c r="AL3172" s="4">
        <v>24</v>
      </c>
      <c r="AM3172" s="4">
        <v>30</v>
      </c>
      <c r="AN3172" s="4">
        <v>0</v>
      </c>
      <c r="AO3172" s="4">
        <v>0</v>
      </c>
      <c r="AP3172" s="4">
        <v>3</v>
      </c>
      <c r="AQ3172" s="4">
        <v>9</v>
      </c>
      <c r="AR3172" s="3" t="s">
        <v>65</v>
      </c>
      <c r="AS3172" s="3" t="s">
        <v>65</v>
      </c>
      <c r="AT3172" s="3" t="s">
        <v>209</v>
      </c>
      <c r="AU3172" s="6" t="str">
        <f>HYPERLINK("http://catalog.hathitrust.org/Record/000378429","HathiTrust Record")</f>
        <v>HathiTrust Record</v>
      </c>
      <c r="AV3172" s="6" t="str">
        <f>HYPERLINK("http://mcgill.on.worldcat.org/oclc/12161379","Catalog Record")</f>
        <v>Catalog Record</v>
      </c>
      <c r="AW3172" s="6" t="str">
        <f>HYPERLINK("http://www.worldcat.org/oclc/12161379","WorldCat Record")</f>
        <v>WorldCat Record</v>
      </c>
      <c r="AX3172" s="3" t="s">
        <v>31400</v>
      </c>
      <c r="AY3172" s="3" t="s">
        <v>31401</v>
      </c>
      <c r="AZ3172" s="3" t="s">
        <v>31402</v>
      </c>
      <c r="BA3172" s="3" t="s">
        <v>31402</v>
      </c>
      <c r="BB3172" s="3" t="s">
        <v>31403</v>
      </c>
      <c r="BC3172" s="3" t="s">
        <v>77</v>
      </c>
      <c r="BD3172" s="3" t="s">
        <v>78</v>
      </c>
      <c r="BE3172" s="3" t="s">
        <v>31404</v>
      </c>
      <c r="BF3172" s="3" t="s">
        <v>31403</v>
      </c>
      <c r="BG3172" s="3" t="s">
        <v>31405</v>
      </c>
    </row>
    <row r="3173" spans="1:59" ht="58" x14ac:dyDescent="0.35">
      <c r="A3173" s="2" t="s">
        <v>59</v>
      </c>
      <c r="B3173" s="2" t="s">
        <v>60</v>
      </c>
      <c r="C3173" s="2" t="s">
        <v>31406</v>
      </c>
      <c r="D3173" s="2" t="s">
        <v>31407</v>
      </c>
      <c r="E3173" s="2" t="s">
        <v>31408</v>
      </c>
      <c r="G3173" s="3" t="s">
        <v>65</v>
      </c>
      <c r="I3173" s="3" t="s">
        <v>65</v>
      </c>
      <c r="J3173" s="3" t="s">
        <v>65</v>
      </c>
      <c r="K3173" s="3" t="s">
        <v>66</v>
      </c>
      <c r="L3173" s="2" t="s">
        <v>31397</v>
      </c>
      <c r="M3173" s="2" t="s">
        <v>31409</v>
      </c>
      <c r="N3173" s="3" t="s">
        <v>3052</v>
      </c>
      <c r="O3173" s="2" t="s">
        <v>30288</v>
      </c>
      <c r="P3173" s="3" t="s">
        <v>140</v>
      </c>
      <c r="Q3173" s="2" t="s">
        <v>31410</v>
      </c>
      <c r="R3173" s="3" t="s">
        <v>71</v>
      </c>
      <c r="S3173" s="4">
        <v>1</v>
      </c>
      <c r="T3173" s="4">
        <v>1</v>
      </c>
      <c r="U3173" s="5" t="s">
        <v>22561</v>
      </c>
      <c r="V3173" s="5" t="s">
        <v>22561</v>
      </c>
      <c r="W3173" s="5" t="s">
        <v>72</v>
      </c>
      <c r="X3173" s="5" t="s">
        <v>72</v>
      </c>
      <c r="Y3173" s="4">
        <v>57</v>
      </c>
      <c r="Z3173" s="4">
        <v>8</v>
      </c>
      <c r="AA3173" s="4">
        <v>11</v>
      </c>
      <c r="AB3173" s="4">
        <v>1</v>
      </c>
      <c r="AC3173" s="4">
        <v>1</v>
      </c>
      <c r="AD3173" s="4">
        <v>24</v>
      </c>
      <c r="AE3173" s="4">
        <v>50</v>
      </c>
      <c r="AF3173" s="4">
        <v>0</v>
      </c>
      <c r="AG3173" s="4">
        <v>0</v>
      </c>
      <c r="AH3173" s="4">
        <v>23</v>
      </c>
      <c r="AI3173" s="4">
        <v>48</v>
      </c>
      <c r="AJ3173" s="4">
        <v>5</v>
      </c>
      <c r="AK3173" s="4">
        <v>7</v>
      </c>
      <c r="AL3173" s="4">
        <v>15</v>
      </c>
      <c r="AM3173" s="4">
        <v>33</v>
      </c>
      <c r="AN3173" s="4">
        <v>0</v>
      </c>
      <c r="AO3173" s="4">
        <v>0</v>
      </c>
      <c r="AP3173" s="4">
        <v>5</v>
      </c>
      <c r="AQ3173" s="4">
        <v>7</v>
      </c>
      <c r="AR3173" s="3" t="s">
        <v>65</v>
      </c>
      <c r="AS3173" s="3" t="s">
        <v>65</v>
      </c>
      <c r="AT3173" s="3" t="s">
        <v>209</v>
      </c>
      <c r="AU3173" s="6" t="str">
        <f>HYPERLINK("http://catalog.hathitrust.org/Record/009965247","HathiTrust Record")</f>
        <v>HathiTrust Record</v>
      </c>
      <c r="AV3173" s="6" t="str">
        <f>HYPERLINK("http://mcgill.on.worldcat.org/oclc/1146908","Catalog Record")</f>
        <v>Catalog Record</v>
      </c>
      <c r="AW3173" s="6" t="str">
        <f>HYPERLINK("http://www.worldcat.org/oclc/1146908","WorldCat Record")</f>
        <v>WorldCat Record</v>
      </c>
      <c r="AX3173" s="3" t="s">
        <v>31411</v>
      </c>
      <c r="AY3173" s="3" t="s">
        <v>31412</v>
      </c>
      <c r="AZ3173" s="3" t="s">
        <v>31413</v>
      </c>
      <c r="BA3173" s="3" t="s">
        <v>31413</v>
      </c>
      <c r="BB3173" s="3" t="s">
        <v>31414</v>
      </c>
      <c r="BC3173" s="3" t="s">
        <v>77</v>
      </c>
      <c r="BD3173" s="3" t="s">
        <v>78</v>
      </c>
      <c r="BF3173" s="3" t="s">
        <v>31414</v>
      </c>
      <c r="BG3173" s="3" t="s">
        <v>31415</v>
      </c>
    </row>
    <row r="3174" spans="1:59" ht="58" x14ac:dyDescent="0.35">
      <c r="A3174" s="2" t="s">
        <v>59</v>
      </c>
      <c r="B3174" s="2" t="s">
        <v>60</v>
      </c>
      <c r="C3174" s="2" t="s">
        <v>31416</v>
      </c>
      <c r="D3174" s="2" t="s">
        <v>31417</v>
      </c>
      <c r="E3174" s="2" t="s">
        <v>31418</v>
      </c>
      <c r="G3174" s="3" t="s">
        <v>65</v>
      </c>
      <c r="I3174" s="3" t="s">
        <v>65</v>
      </c>
      <c r="J3174" s="3" t="s">
        <v>65</v>
      </c>
      <c r="K3174" s="3" t="s">
        <v>66</v>
      </c>
      <c r="M3174" s="2" t="s">
        <v>2256</v>
      </c>
      <c r="N3174" s="3" t="s">
        <v>126</v>
      </c>
      <c r="O3174" s="2" t="s">
        <v>654</v>
      </c>
      <c r="P3174" s="3" t="s">
        <v>140</v>
      </c>
      <c r="Q3174" s="2" t="s">
        <v>31419</v>
      </c>
      <c r="R3174" s="3" t="s">
        <v>71</v>
      </c>
      <c r="S3174" s="4">
        <v>0</v>
      </c>
      <c r="T3174" s="4">
        <v>0</v>
      </c>
      <c r="W3174" s="5" t="s">
        <v>72</v>
      </c>
      <c r="X3174" s="5" t="s">
        <v>72</v>
      </c>
      <c r="Y3174" s="4">
        <v>26</v>
      </c>
      <c r="Z3174" s="4">
        <v>3</v>
      </c>
      <c r="AA3174" s="4">
        <v>3</v>
      </c>
      <c r="AB3174" s="4">
        <v>1</v>
      </c>
      <c r="AC3174" s="4">
        <v>1</v>
      </c>
      <c r="AD3174" s="4">
        <v>19</v>
      </c>
      <c r="AE3174" s="4">
        <v>19</v>
      </c>
      <c r="AF3174" s="4">
        <v>0</v>
      </c>
      <c r="AG3174" s="4">
        <v>0</v>
      </c>
      <c r="AH3174" s="4">
        <v>18</v>
      </c>
      <c r="AI3174" s="4">
        <v>18</v>
      </c>
      <c r="AJ3174" s="4">
        <v>1</v>
      </c>
      <c r="AK3174" s="4">
        <v>1</v>
      </c>
      <c r="AL3174" s="4">
        <v>15</v>
      </c>
      <c r="AM3174" s="4">
        <v>15</v>
      </c>
      <c r="AN3174" s="4">
        <v>0</v>
      </c>
      <c r="AO3174" s="4">
        <v>0</v>
      </c>
      <c r="AP3174" s="4">
        <v>1</v>
      </c>
      <c r="AQ3174" s="4">
        <v>1</v>
      </c>
      <c r="AR3174" s="3" t="s">
        <v>65</v>
      </c>
      <c r="AS3174" s="3" t="s">
        <v>65</v>
      </c>
      <c r="AT3174" s="3" t="s">
        <v>65</v>
      </c>
      <c r="AV3174" s="6" t="str">
        <f>HYPERLINK("http://mcgill.on.worldcat.org/oclc/748343932","Catalog Record")</f>
        <v>Catalog Record</v>
      </c>
      <c r="AW3174" s="6" t="str">
        <f>HYPERLINK("http://www.worldcat.org/oclc/748343932","WorldCat Record")</f>
        <v>WorldCat Record</v>
      </c>
      <c r="AX3174" s="3" t="s">
        <v>31420</v>
      </c>
      <c r="AY3174" s="3" t="s">
        <v>31421</v>
      </c>
      <c r="AZ3174" s="3" t="s">
        <v>31422</v>
      </c>
      <c r="BA3174" s="3" t="s">
        <v>31422</v>
      </c>
      <c r="BB3174" s="3" t="s">
        <v>31423</v>
      </c>
      <c r="BC3174" s="3" t="s">
        <v>77</v>
      </c>
      <c r="BD3174" s="3" t="s">
        <v>78</v>
      </c>
      <c r="BE3174" s="3" t="s">
        <v>31424</v>
      </c>
      <c r="BF3174" s="3" t="s">
        <v>31423</v>
      </c>
      <c r="BG3174" s="3" t="s">
        <v>31425</v>
      </c>
    </row>
    <row r="3175" spans="1:59" ht="58" x14ac:dyDescent="0.35">
      <c r="A3175" s="2" t="s">
        <v>59</v>
      </c>
      <c r="B3175" s="2" t="s">
        <v>60</v>
      </c>
      <c r="C3175" s="2" t="s">
        <v>31426</v>
      </c>
      <c r="D3175" s="2" t="s">
        <v>31427</v>
      </c>
      <c r="E3175" s="2" t="s">
        <v>31428</v>
      </c>
      <c r="G3175" s="3" t="s">
        <v>65</v>
      </c>
      <c r="I3175" s="3" t="s">
        <v>65</v>
      </c>
      <c r="J3175" s="3" t="s">
        <v>65</v>
      </c>
      <c r="K3175" s="3" t="s">
        <v>66</v>
      </c>
      <c r="L3175" s="2" t="s">
        <v>31429</v>
      </c>
      <c r="M3175" s="2" t="s">
        <v>31430</v>
      </c>
      <c r="N3175" s="3" t="s">
        <v>126</v>
      </c>
      <c r="P3175" s="3" t="s">
        <v>140</v>
      </c>
      <c r="Q3175" s="2" t="s">
        <v>31431</v>
      </c>
      <c r="R3175" s="3" t="s">
        <v>71</v>
      </c>
      <c r="S3175" s="4">
        <v>0</v>
      </c>
      <c r="T3175" s="4">
        <v>0</v>
      </c>
      <c r="W3175" s="5" t="s">
        <v>72</v>
      </c>
      <c r="X3175" s="5" t="s">
        <v>72</v>
      </c>
      <c r="Y3175" s="4">
        <v>29</v>
      </c>
      <c r="Z3175" s="4">
        <v>3</v>
      </c>
      <c r="AA3175" s="4">
        <v>3</v>
      </c>
      <c r="AB3175" s="4">
        <v>1</v>
      </c>
      <c r="AC3175" s="4">
        <v>1</v>
      </c>
      <c r="AD3175" s="4">
        <v>19</v>
      </c>
      <c r="AE3175" s="4">
        <v>19</v>
      </c>
      <c r="AF3175" s="4">
        <v>0</v>
      </c>
      <c r="AG3175" s="4">
        <v>0</v>
      </c>
      <c r="AH3175" s="4">
        <v>18</v>
      </c>
      <c r="AI3175" s="4">
        <v>18</v>
      </c>
      <c r="AJ3175" s="4">
        <v>1</v>
      </c>
      <c r="AK3175" s="4">
        <v>1</v>
      </c>
      <c r="AL3175" s="4">
        <v>15</v>
      </c>
      <c r="AM3175" s="4">
        <v>15</v>
      </c>
      <c r="AN3175" s="4">
        <v>0</v>
      </c>
      <c r="AO3175" s="4">
        <v>0</v>
      </c>
      <c r="AP3175" s="4">
        <v>1</v>
      </c>
      <c r="AQ3175" s="4">
        <v>1</v>
      </c>
      <c r="AR3175" s="3" t="s">
        <v>65</v>
      </c>
      <c r="AS3175" s="3" t="s">
        <v>65</v>
      </c>
      <c r="AT3175" s="3" t="s">
        <v>65</v>
      </c>
      <c r="AV3175" s="6" t="str">
        <f>HYPERLINK("http://mcgill.on.worldcat.org/oclc/774489566","Catalog Record")</f>
        <v>Catalog Record</v>
      </c>
      <c r="AW3175" s="6" t="str">
        <f>HYPERLINK("http://www.worldcat.org/oclc/774489566","WorldCat Record")</f>
        <v>WorldCat Record</v>
      </c>
      <c r="AX3175" s="3" t="s">
        <v>31432</v>
      </c>
      <c r="AY3175" s="3" t="s">
        <v>31433</v>
      </c>
      <c r="AZ3175" s="3" t="s">
        <v>31434</v>
      </c>
      <c r="BA3175" s="3" t="s">
        <v>31434</v>
      </c>
      <c r="BB3175" s="3" t="s">
        <v>31435</v>
      </c>
      <c r="BC3175" s="3" t="s">
        <v>77</v>
      </c>
      <c r="BD3175" s="3" t="s">
        <v>78</v>
      </c>
      <c r="BE3175" s="3" t="s">
        <v>31436</v>
      </c>
      <c r="BF3175" s="3" t="s">
        <v>31435</v>
      </c>
      <c r="BG3175" s="3" t="s">
        <v>31437</v>
      </c>
    </row>
    <row r="3176" spans="1:59" ht="58" x14ac:dyDescent="0.35">
      <c r="A3176" s="2" t="s">
        <v>59</v>
      </c>
      <c r="B3176" s="2" t="s">
        <v>60</v>
      </c>
      <c r="C3176" s="2" t="s">
        <v>31438</v>
      </c>
      <c r="D3176" s="2" t="s">
        <v>31439</v>
      </c>
      <c r="E3176" s="2" t="s">
        <v>31440</v>
      </c>
      <c r="G3176" s="3" t="s">
        <v>65</v>
      </c>
      <c r="I3176" s="3" t="s">
        <v>65</v>
      </c>
      <c r="J3176" s="3" t="s">
        <v>65</v>
      </c>
      <c r="K3176" s="3" t="s">
        <v>66</v>
      </c>
      <c r="M3176" s="2" t="s">
        <v>31441</v>
      </c>
      <c r="N3176" s="3" t="s">
        <v>770</v>
      </c>
      <c r="P3176" s="3" t="s">
        <v>69</v>
      </c>
      <c r="R3176" s="3" t="s">
        <v>71</v>
      </c>
      <c r="S3176" s="4">
        <v>1</v>
      </c>
      <c r="T3176" s="4">
        <v>1</v>
      </c>
      <c r="U3176" s="5" t="s">
        <v>21360</v>
      </c>
      <c r="V3176" s="5" t="s">
        <v>21360</v>
      </c>
      <c r="W3176" s="5" t="s">
        <v>72</v>
      </c>
      <c r="X3176" s="5" t="s">
        <v>72</v>
      </c>
      <c r="Y3176" s="4">
        <v>3</v>
      </c>
      <c r="Z3176" s="4">
        <v>1</v>
      </c>
      <c r="AA3176" s="4">
        <v>1</v>
      </c>
      <c r="AB3176" s="4">
        <v>1</v>
      </c>
      <c r="AC3176" s="4">
        <v>1</v>
      </c>
      <c r="AD3176" s="4">
        <v>0</v>
      </c>
      <c r="AE3176" s="4">
        <v>0</v>
      </c>
      <c r="AF3176" s="4">
        <v>0</v>
      </c>
      <c r="AG3176" s="4">
        <v>0</v>
      </c>
      <c r="AH3176" s="4">
        <v>0</v>
      </c>
      <c r="AI3176" s="4">
        <v>0</v>
      </c>
      <c r="AJ3176" s="4">
        <v>0</v>
      </c>
      <c r="AK3176" s="4">
        <v>0</v>
      </c>
      <c r="AL3176" s="4">
        <v>0</v>
      </c>
      <c r="AM3176" s="4">
        <v>0</v>
      </c>
      <c r="AN3176" s="4">
        <v>0</v>
      </c>
      <c r="AO3176" s="4">
        <v>0</v>
      </c>
      <c r="AP3176" s="4">
        <v>0</v>
      </c>
      <c r="AQ3176" s="4">
        <v>0</v>
      </c>
      <c r="AR3176" s="3" t="s">
        <v>65</v>
      </c>
      <c r="AS3176" s="3" t="s">
        <v>65</v>
      </c>
      <c r="AT3176" s="3" t="s">
        <v>65</v>
      </c>
      <c r="AV3176" s="6" t="str">
        <f>HYPERLINK("http://mcgill.on.worldcat.org/oclc/427518576","Catalog Record")</f>
        <v>Catalog Record</v>
      </c>
      <c r="AW3176" s="6" t="str">
        <f>HYPERLINK("http://www.worldcat.org/oclc/427518576","WorldCat Record")</f>
        <v>WorldCat Record</v>
      </c>
      <c r="AX3176" s="3" t="s">
        <v>31442</v>
      </c>
      <c r="AY3176" s="3" t="s">
        <v>31443</v>
      </c>
      <c r="AZ3176" s="3" t="s">
        <v>31444</v>
      </c>
      <c r="BA3176" s="3" t="s">
        <v>31444</v>
      </c>
      <c r="BB3176" s="3" t="s">
        <v>31445</v>
      </c>
      <c r="BC3176" s="3" t="s">
        <v>77</v>
      </c>
      <c r="BD3176" s="3" t="s">
        <v>78</v>
      </c>
      <c r="BE3176" s="3" t="s">
        <v>31446</v>
      </c>
      <c r="BF3176" s="3" t="s">
        <v>31445</v>
      </c>
      <c r="BG3176" s="3" t="s">
        <v>31447</v>
      </c>
    </row>
    <row r="3177" spans="1:59" ht="58" x14ac:dyDescent="0.35">
      <c r="A3177" s="2" t="s">
        <v>59</v>
      </c>
      <c r="B3177" s="2" t="s">
        <v>60</v>
      </c>
      <c r="C3177" s="2" t="s">
        <v>31448</v>
      </c>
      <c r="D3177" s="2" t="s">
        <v>31449</v>
      </c>
      <c r="E3177" s="2" t="s">
        <v>31450</v>
      </c>
      <c r="G3177" s="3" t="s">
        <v>65</v>
      </c>
      <c r="I3177" s="3" t="s">
        <v>65</v>
      </c>
      <c r="J3177" s="3" t="s">
        <v>65</v>
      </c>
      <c r="K3177" s="3" t="s">
        <v>66</v>
      </c>
      <c r="L3177" s="2" t="s">
        <v>31451</v>
      </c>
      <c r="M3177" s="2" t="s">
        <v>27358</v>
      </c>
      <c r="N3177" s="3" t="s">
        <v>126</v>
      </c>
      <c r="P3177" s="3" t="s">
        <v>140</v>
      </c>
      <c r="Q3177" s="2" t="s">
        <v>31452</v>
      </c>
      <c r="R3177" s="3" t="s">
        <v>71</v>
      </c>
      <c r="S3177" s="4">
        <v>0</v>
      </c>
      <c r="T3177" s="4">
        <v>0</v>
      </c>
      <c r="W3177" s="5" t="s">
        <v>72</v>
      </c>
      <c r="X3177" s="5" t="s">
        <v>72</v>
      </c>
      <c r="Y3177" s="4">
        <v>11</v>
      </c>
      <c r="Z3177" s="4">
        <v>1</v>
      </c>
      <c r="AA3177" s="4">
        <v>6</v>
      </c>
      <c r="AB3177" s="4">
        <v>1</v>
      </c>
      <c r="AC3177" s="4">
        <v>4</v>
      </c>
      <c r="AD3177" s="4">
        <v>4</v>
      </c>
      <c r="AE3177" s="4">
        <v>36</v>
      </c>
      <c r="AF3177" s="4">
        <v>0</v>
      </c>
      <c r="AG3177" s="4">
        <v>1</v>
      </c>
      <c r="AH3177" s="4">
        <v>4</v>
      </c>
      <c r="AI3177" s="4">
        <v>34</v>
      </c>
      <c r="AJ3177" s="4">
        <v>0</v>
      </c>
      <c r="AK3177" s="4">
        <v>2</v>
      </c>
      <c r="AL3177" s="4">
        <v>2</v>
      </c>
      <c r="AM3177" s="4">
        <v>29</v>
      </c>
      <c r="AN3177" s="4">
        <v>0</v>
      </c>
      <c r="AO3177" s="4">
        <v>0</v>
      </c>
      <c r="AP3177" s="4">
        <v>0</v>
      </c>
      <c r="AQ3177" s="4">
        <v>1</v>
      </c>
      <c r="AR3177" s="3" t="s">
        <v>65</v>
      </c>
      <c r="AS3177" s="3" t="s">
        <v>65</v>
      </c>
      <c r="AT3177" s="3" t="s">
        <v>65</v>
      </c>
      <c r="AV3177" s="6" t="str">
        <f>HYPERLINK("http://mcgill.on.worldcat.org/oclc/741694195","Catalog Record")</f>
        <v>Catalog Record</v>
      </c>
      <c r="AW3177" s="6" t="str">
        <f>HYPERLINK("http://www.worldcat.org/oclc/741694195","WorldCat Record")</f>
        <v>WorldCat Record</v>
      </c>
      <c r="AX3177" s="3" t="s">
        <v>31453</v>
      </c>
      <c r="AY3177" s="3" t="s">
        <v>31454</v>
      </c>
      <c r="AZ3177" s="3" t="s">
        <v>31455</v>
      </c>
      <c r="BA3177" s="3" t="s">
        <v>31455</v>
      </c>
      <c r="BB3177" s="3" t="s">
        <v>31456</v>
      </c>
      <c r="BC3177" s="3" t="s">
        <v>77</v>
      </c>
      <c r="BD3177" s="3" t="s">
        <v>78</v>
      </c>
      <c r="BE3177" s="3" t="s">
        <v>31457</v>
      </c>
      <c r="BF3177" s="3" t="s">
        <v>31456</v>
      </c>
      <c r="BG3177" s="3" t="s">
        <v>31458</v>
      </c>
    </row>
    <row r="3178" spans="1:59" ht="58" x14ac:dyDescent="0.35">
      <c r="A3178" s="2" t="s">
        <v>59</v>
      </c>
      <c r="B3178" s="2" t="s">
        <v>60</v>
      </c>
      <c r="C3178" s="2" t="s">
        <v>31459</v>
      </c>
      <c r="D3178" s="2" t="s">
        <v>31460</v>
      </c>
      <c r="E3178" s="2" t="s">
        <v>31461</v>
      </c>
      <c r="G3178" s="3" t="s">
        <v>65</v>
      </c>
      <c r="I3178" s="3" t="s">
        <v>65</v>
      </c>
      <c r="J3178" s="3" t="s">
        <v>65</v>
      </c>
      <c r="K3178" s="3" t="s">
        <v>66</v>
      </c>
      <c r="L3178" s="2" t="s">
        <v>31451</v>
      </c>
      <c r="M3178" s="2" t="s">
        <v>31462</v>
      </c>
      <c r="N3178" s="3" t="s">
        <v>139</v>
      </c>
      <c r="P3178" s="3" t="s">
        <v>69</v>
      </c>
      <c r="R3178" s="3" t="s">
        <v>71</v>
      </c>
      <c r="S3178" s="4">
        <v>1</v>
      </c>
      <c r="T3178" s="4">
        <v>1</v>
      </c>
      <c r="U3178" s="5" t="s">
        <v>10329</v>
      </c>
      <c r="V3178" s="5" t="s">
        <v>10329</v>
      </c>
      <c r="W3178" s="5" t="s">
        <v>72</v>
      </c>
      <c r="X3178" s="5" t="s">
        <v>72</v>
      </c>
      <c r="Y3178" s="4">
        <v>140</v>
      </c>
      <c r="Z3178" s="4">
        <v>7</v>
      </c>
      <c r="AA3178" s="4">
        <v>18</v>
      </c>
      <c r="AB3178" s="4">
        <v>1</v>
      </c>
      <c r="AC3178" s="4">
        <v>5</v>
      </c>
      <c r="AD3178" s="4">
        <v>30</v>
      </c>
      <c r="AE3178" s="4">
        <v>31</v>
      </c>
      <c r="AF3178" s="4">
        <v>0</v>
      </c>
      <c r="AG3178" s="4">
        <v>0</v>
      </c>
      <c r="AH3178" s="4">
        <v>29</v>
      </c>
      <c r="AI3178" s="4">
        <v>30</v>
      </c>
      <c r="AJ3178" s="4">
        <v>3</v>
      </c>
      <c r="AK3178" s="4">
        <v>3</v>
      </c>
      <c r="AL3178" s="4">
        <v>19</v>
      </c>
      <c r="AM3178" s="4">
        <v>20</v>
      </c>
      <c r="AN3178" s="4">
        <v>0</v>
      </c>
      <c r="AO3178" s="4">
        <v>0</v>
      </c>
      <c r="AP3178" s="4">
        <v>3</v>
      </c>
      <c r="AQ3178" s="4">
        <v>3</v>
      </c>
      <c r="AR3178" s="3" t="s">
        <v>65</v>
      </c>
      <c r="AS3178" s="3" t="s">
        <v>65</v>
      </c>
      <c r="AT3178" s="3" t="s">
        <v>65</v>
      </c>
      <c r="AV3178" s="6" t="str">
        <f>HYPERLINK("http://mcgill.on.worldcat.org/oclc/776774328","Catalog Record")</f>
        <v>Catalog Record</v>
      </c>
      <c r="AW3178" s="6" t="str">
        <f>HYPERLINK("http://www.worldcat.org/oclc/776774328","WorldCat Record")</f>
        <v>WorldCat Record</v>
      </c>
      <c r="AX3178" s="3" t="s">
        <v>31463</v>
      </c>
      <c r="AY3178" s="3" t="s">
        <v>31464</v>
      </c>
      <c r="AZ3178" s="3" t="s">
        <v>31465</v>
      </c>
      <c r="BA3178" s="3" t="s">
        <v>31465</v>
      </c>
      <c r="BB3178" s="3" t="s">
        <v>31466</v>
      </c>
      <c r="BC3178" s="3" t="s">
        <v>77</v>
      </c>
      <c r="BD3178" s="3" t="s">
        <v>78</v>
      </c>
      <c r="BE3178" s="3" t="s">
        <v>31467</v>
      </c>
      <c r="BF3178" s="3" t="s">
        <v>31466</v>
      </c>
      <c r="BG3178" s="3" t="s">
        <v>31468</v>
      </c>
    </row>
    <row r="3179" spans="1:59" ht="72.5" x14ac:dyDescent="0.35">
      <c r="A3179" s="2" t="s">
        <v>59</v>
      </c>
      <c r="B3179" s="2" t="s">
        <v>60</v>
      </c>
      <c r="C3179" s="2" t="s">
        <v>31469</v>
      </c>
      <c r="D3179" s="2" t="s">
        <v>31470</v>
      </c>
      <c r="E3179" s="2" t="s">
        <v>31471</v>
      </c>
      <c r="F3179" s="3" t="s">
        <v>31472</v>
      </c>
      <c r="G3179" s="3" t="s">
        <v>65</v>
      </c>
      <c r="I3179" s="3" t="s">
        <v>65</v>
      </c>
      <c r="J3179" s="3" t="s">
        <v>209</v>
      </c>
      <c r="K3179" s="3" t="s">
        <v>66</v>
      </c>
      <c r="L3179" s="2" t="s">
        <v>31473</v>
      </c>
      <c r="M3179" s="2" t="s">
        <v>31474</v>
      </c>
      <c r="N3179" s="3" t="s">
        <v>5961</v>
      </c>
      <c r="O3179" s="2" t="s">
        <v>365</v>
      </c>
      <c r="P3179" s="3" t="s">
        <v>140</v>
      </c>
      <c r="Q3179" s="2" t="s">
        <v>31475</v>
      </c>
      <c r="R3179" s="3" t="s">
        <v>71</v>
      </c>
      <c r="S3179" s="4">
        <v>12</v>
      </c>
      <c r="T3179" s="4">
        <v>12</v>
      </c>
      <c r="U3179" s="5" t="s">
        <v>8716</v>
      </c>
      <c r="V3179" s="5" t="s">
        <v>8716</v>
      </c>
      <c r="W3179" s="5" t="s">
        <v>72</v>
      </c>
      <c r="X3179" s="5" t="s">
        <v>72</v>
      </c>
      <c r="Y3179" s="4">
        <v>64</v>
      </c>
      <c r="Z3179" s="4">
        <v>7</v>
      </c>
      <c r="AA3179" s="4">
        <v>24</v>
      </c>
      <c r="AB3179" s="4">
        <v>2</v>
      </c>
      <c r="AC3179" s="4">
        <v>5</v>
      </c>
      <c r="AD3179" s="4">
        <v>36</v>
      </c>
      <c r="AE3179" s="4">
        <v>102</v>
      </c>
      <c r="AF3179" s="4">
        <v>0</v>
      </c>
      <c r="AG3179" s="4">
        <v>2</v>
      </c>
      <c r="AH3179" s="4">
        <v>34</v>
      </c>
      <c r="AI3179" s="4">
        <v>91</v>
      </c>
      <c r="AJ3179" s="4">
        <v>5</v>
      </c>
      <c r="AK3179" s="4">
        <v>16</v>
      </c>
      <c r="AL3179" s="4">
        <v>25</v>
      </c>
      <c r="AM3179" s="4">
        <v>56</v>
      </c>
      <c r="AN3179" s="4">
        <v>0</v>
      </c>
      <c r="AO3179" s="4">
        <v>3</v>
      </c>
      <c r="AP3179" s="4">
        <v>5</v>
      </c>
      <c r="AQ3179" s="4">
        <v>16</v>
      </c>
      <c r="AR3179" s="3" t="s">
        <v>65</v>
      </c>
      <c r="AS3179" s="3" t="s">
        <v>65</v>
      </c>
      <c r="AT3179" s="3" t="s">
        <v>209</v>
      </c>
      <c r="AU3179" s="6" t="str">
        <f>HYPERLINK("http://catalog.hathitrust.org/Record/007105034","HathiTrust Record")</f>
        <v>HathiTrust Record</v>
      </c>
      <c r="AV3179" s="6" t="str">
        <f>HYPERLINK("http://mcgill.on.worldcat.org/oclc/14955136","Catalog Record")</f>
        <v>Catalog Record</v>
      </c>
      <c r="AW3179" s="6" t="str">
        <f>HYPERLINK("http://www.worldcat.org/oclc/14955136","WorldCat Record")</f>
        <v>WorldCat Record</v>
      </c>
      <c r="AX3179" s="3" t="s">
        <v>31476</v>
      </c>
      <c r="AY3179" s="3" t="s">
        <v>31477</v>
      </c>
      <c r="AZ3179" s="3" t="s">
        <v>31478</v>
      </c>
      <c r="BA3179" s="3" t="s">
        <v>31478</v>
      </c>
      <c r="BB3179" s="3" t="s">
        <v>31479</v>
      </c>
      <c r="BC3179" s="3" t="s">
        <v>77</v>
      </c>
      <c r="BD3179" s="3" t="s">
        <v>78</v>
      </c>
      <c r="BE3179" s="3" t="s">
        <v>31480</v>
      </c>
      <c r="BF3179" s="3" t="s">
        <v>31479</v>
      </c>
      <c r="BG3179" s="3" t="s">
        <v>31481</v>
      </c>
    </row>
    <row r="3180" spans="1:59" ht="58" x14ac:dyDescent="0.35">
      <c r="A3180" s="2" t="s">
        <v>59</v>
      </c>
      <c r="B3180" s="2" t="s">
        <v>60</v>
      </c>
      <c r="C3180" s="2" t="s">
        <v>31482</v>
      </c>
      <c r="D3180" s="2" t="s">
        <v>31483</v>
      </c>
      <c r="E3180" s="2" t="s">
        <v>31484</v>
      </c>
      <c r="G3180" s="3" t="s">
        <v>65</v>
      </c>
      <c r="I3180" s="3" t="s">
        <v>65</v>
      </c>
      <c r="J3180" s="3" t="s">
        <v>65</v>
      </c>
      <c r="K3180" s="3" t="s">
        <v>66</v>
      </c>
      <c r="L3180" s="2" t="s">
        <v>31473</v>
      </c>
      <c r="M3180" s="2" t="s">
        <v>31485</v>
      </c>
      <c r="N3180" s="3" t="s">
        <v>1932</v>
      </c>
      <c r="O3180" s="2" t="s">
        <v>2980</v>
      </c>
      <c r="P3180" s="3" t="s">
        <v>140</v>
      </c>
      <c r="Q3180" s="2" t="s">
        <v>7116</v>
      </c>
      <c r="R3180" s="3" t="s">
        <v>71</v>
      </c>
      <c r="S3180" s="4">
        <v>9</v>
      </c>
      <c r="T3180" s="4">
        <v>9</v>
      </c>
      <c r="U3180" s="5" t="s">
        <v>13773</v>
      </c>
      <c r="V3180" s="5" t="s">
        <v>13773</v>
      </c>
      <c r="W3180" s="5" t="s">
        <v>72</v>
      </c>
      <c r="X3180" s="5" t="s">
        <v>72</v>
      </c>
      <c r="Y3180" s="4">
        <v>16</v>
      </c>
      <c r="Z3180" s="4">
        <v>1</v>
      </c>
      <c r="AA3180" s="4">
        <v>8</v>
      </c>
      <c r="AB3180" s="4">
        <v>1</v>
      </c>
      <c r="AC3180" s="4">
        <v>1</v>
      </c>
      <c r="AD3180" s="4">
        <v>0</v>
      </c>
      <c r="AE3180" s="4">
        <v>46</v>
      </c>
      <c r="AF3180" s="4">
        <v>0</v>
      </c>
      <c r="AG3180" s="4">
        <v>0</v>
      </c>
      <c r="AH3180" s="4">
        <v>0</v>
      </c>
      <c r="AI3180" s="4">
        <v>44</v>
      </c>
      <c r="AJ3180" s="4">
        <v>0</v>
      </c>
      <c r="AK3180" s="4">
        <v>6</v>
      </c>
      <c r="AL3180" s="4">
        <v>0</v>
      </c>
      <c r="AM3180" s="4">
        <v>31</v>
      </c>
      <c r="AN3180" s="4">
        <v>0</v>
      </c>
      <c r="AO3180" s="4">
        <v>1</v>
      </c>
      <c r="AP3180" s="4">
        <v>0</v>
      </c>
      <c r="AQ3180" s="4">
        <v>6</v>
      </c>
      <c r="AR3180" s="3" t="s">
        <v>65</v>
      </c>
      <c r="AS3180" s="3" t="s">
        <v>65</v>
      </c>
      <c r="AT3180" s="3" t="s">
        <v>65</v>
      </c>
      <c r="AV3180" s="6" t="str">
        <f>HYPERLINK("http://mcgill.on.worldcat.org/oclc/31672697","Catalog Record")</f>
        <v>Catalog Record</v>
      </c>
      <c r="AW3180" s="6" t="str">
        <f>HYPERLINK("http://www.worldcat.org/oclc/31672697","WorldCat Record")</f>
        <v>WorldCat Record</v>
      </c>
      <c r="AX3180" s="3" t="s">
        <v>31486</v>
      </c>
      <c r="AY3180" s="3" t="s">
        <v>31487</v>
      </c>
      <c r="AZ3180" s="3" t="s">
        <v>31488</v>
      </c>
      <c r="BA3180" s="3" t="s">
        <v>31488</v>
      </c>
      <c r="BB3180" s="3" t="s">
        <v>31489</v>
      </c>
      <c r="BC3180" s="3" t="s">
        <v>77</v>
      </c>
      <c r="BD3180" s="3" t="s">
        <v>78</v>
      </c>
      <c r="BE3180" s="3" t="s">
        <v>31490</v>
      </c>
      <c r="BF3180" s="3" t="s">
        <v>31489</v>
      </c>
      <c r="BG3180" s="3" t="s">
        <v>31491</v>
      </c>
    </row>
    <row r="3181" spans="1:59" ht="72.5" x14ac:dyDescent="0.35">
      <c r="A3181" s="2" t="s">
        <v>59</v>
      </c>
      <c r="B3181" s="2" t="s">
        <v>60</v>
      </c>
      <c r="C3181" s="2" t="s">
        <v>31492</v>
      </c>
      <c r="D3181" s="2" t="s">
        <v>31493</v>
      </c>
      <c r="E3181" s="2" t="s">
        <v>31494</v>
      </c>
      <c r="G3181" s="3" t="s">
        <v>65</v>
      </c>
      <c r="I3181" s="3" t="s">
        <v>65</v>
      </c>
      <c r="J3181" s="3" t="s">
        <v>209</v>
      </c>
      <c r="K3181" s="3" t="s">
        <v>66</v>
      </c>
      <c r="L3181" s="2" t="s">
        <v>31473</v>
      </c>
      <c r="M3181" s="2" t="s">
        <v>31495</v>
      </c>
      <c r="N3181" s="3" t="s">
        <v>756</v>
      </c>
      <c r="P3181" s="3" t="s">
        <v>69</v>
      </c>
      <c r="Q3181" s="2" t="s">
        <v>31496</v>
      </c>
      <c r="R3181" s="3" t="s">
        <v>71</v>
      </c>
      <c r="S3181" s="4">
        <v>2</v>
      </c>
      <c r="T3181" s="4">
        <v>2</v>
      </c>
      <c r="U3181" s="5" t="s">
        <v>15927</v>
      </c>
      <c r="V3181" s="5" t="s">
        <v>15927</v>
      </c>
      <c r="W3181" s="5" t="s">
        <v>72</v>
      </c>
      <c r="X3181" s="5" t="s">
        <v>72</v>
      </c>
      <c r="Y3181" s="4">
        <v>632</v>
      </c>
      <c r="Z3181" s="4">
        <v>26</v>
      </c>
      <c r="AA3181" s="4">
        <v>36</v>
      </c>
      <c r="AB3181" s="4">
        <v>4</v>
      </c>
      <c r="AC3181" s="4">
        <v>6</v>
      </c>
      <c r="AD3181" s="4">
        <v>107</v>
      </c>
      <c r="AE3181" s="4">
        <v>120</v>
      </c>
      <c r="AF3181" s="4">
        <v>2</v>
      </c>
      <c r="AG3181" s="4">
        <v>3</v>
      </c>
      <c r="AH3181" s="4">
        <v>93</v>
      </c>
      <c r="AI3181" s="4">
        <v>101</v>
      </c>
      <c r="AJ3181" s="4">
        <v>12</v>
      </c>
      <c r="AK3181" s="4">
        <v>18</v>
      </c>
      <c r="AL3181" s="4">
        <v>52</v>
      </c>
      <c r="AM3181" s="4">
        <v>54</v>
      </c>
      <c r="AN3181" s="4">
        <v>0</v>
      </c>
      <c r="AO3181" s="4">
        <v>0</v>
      </c>
      <c r="AP3181" s="4">
        <v>17</v>
      </c>
      <c r="AQ3181" s="4">
        <v>24</v>
      </c>
      <c r="AR3181" s="3" t="s">
        <v>65</v>
      </c>
      <c r="AS3181" s="3" t="s">
        <v>65</v>
      </c>
      <c r="AT3181" s="3" t="s">
        <v>65</v>
      </c>
      <c r="AV3181" s="6" t="str">
        <f>HYPERLINK("http://mcgill.on.worldcat.org/oclc/23577","Catalog Record")</f>
        <v>Catalog Record</v>
      </c>
      <c r="AW3181" s="6" t="str">
        <f>HYPERLINK("http://www.worldcat.org/oclc/23577","WorldCat Record")</f>
        <v>WorldCat Record</v>
      </c>
      <c r="AX3181" s="3" t="s">
        <v>31497</v>
      </c>
      <c r="AY3181" s="3" t="s">
        <v>31498</v>
      </c>
      <c r="AZ3181" s="3" t="s">
        <v>31499</v>
      </c>
      <c r="BA3181" s="3" t="s">
        <v>31499</v>
      </c>
      <c r="BB3181" s="3" t="s">
        <v>31500</v>
      </c>
      <c r="BC3181" s="3" t="s">
        <v>77</v>
      </c>
      <c r="BD3181" s="3" t="s">
        <v>78</v>
      </c>
      <c r="BE3181" s="3" t="s">
        <v>31501</v>
      </c>
      <c r="BF3181" s="3" t="s">
        <v>31500</v>
      </c>
      <c r="BG3181" s="3" t="s">
        <v>31502</v>
      </c>
    </row>
    <row r="3182" spans="1:59" ht="58" x14ac:dyDescent="0.35">
      <c r="A3182" s="2" t="s">
        <v>59</v>
      </c>
      <c r="B3182" s="2" t="s">
        <v>60</v>
      </c>
      <c r="C3182" s="2" t="s">
        <v>31503</v>
      </c>
      <c r="D3182" s="2" t="s">
        <v>31504</v>
      </c>
      <c r="E3182" s="2" t="s">
        <v>31505</v>
      </c>
      <c r="G3182" s="3" t="s">
        <v>65</v>
      </c>
      <c r="I3182" s="3" t="s">
        <v>65</v>
      </c>
      <c r="J3182" s="3" t="s">
        <v>65</v>
      </c>
      <c r="K3182" s="3" t="s">
        <v>66</v>
      </c>
      <c r="L3182" s="2" t="s">
        <v>31473</v>
      </c>
      <c r="M3182" s="2" t="s">
        <v>2993</v>
      </c>
      <c r="N3182" s="3" t="s">
        <v>164</v>
      </c>
      <c r="P3182" s="3" t="s">
        <v>140</v>
      </c>
      <c r="Q3182" s="2" t="s">
        <v>31506</v>
      </c>
      <c r="R3182" s="3" t="s">
        <v>71</v>
      </c>
      <c r="S3182" s="4">
        <v>0</v>
      </c>
      <c r="T3182" s="4">
        <v>0</v>
      </c>
      <c r="W3182" s="5" t="s">
        <v>72</v>
      </c>
      <c r="X3182" s="5" t="s">
        <v>72</v>
      </c>
      <c r="Y3182" s="4">
        <v>45</v>
      </c>
      <c r="Z3182" s="4">
        <v>5</v>
      </c>
      <c r="AA3182" s="4">
        <v>11</v>
      </c>
      <c r="AB3182" s="4">
        <v>1</v>
      </c>
      <c r="AC3182" s="4">
        <v>3</v>
      </c>
      <c r="AD3182" s="4">
        <v>32</v>
      </c>
      <c r="AE3182" s="4">
        <v>59</v>
      </c>
      <c r="AF3182" s="4">
        <v>0</v>
      </c>
      <c r="AG3182" s="4">
        <v>2</v>
      </c>
      <c r="AH3182" s="4">
        <v>31</v>
      </c>
      <c r="AI3182" s="4">
        <v>56</v>
      </c>
      <c r="AJ3182" s="4">
        <v>2</v>
      </c>
      <c r="AK3182" s="4">
        <v>8</v>
      </c>
      <c r="AL3182" s="4">
        <v>24</v>
      </c>
      <c r="AM3182" s="4">
        <v>39</v>
      </c>
      <c r="AN3182" s="4">
        <v>0</v>
      </c>
      <c r="AO3182" s="4">
        <v>0</v>
      </c>
      <c r="AP3182" s="4">
        <v>2</v>
      </c>
      <c r="AQ3182" s="4">
        <v>7</v>
      </c>
      <c r="AR3182" s="3" t="s">
        <v>65</v>
      </c>
      <c r="AS3182" s="3" t="s">
        <v>65</v>
      </c>
      <c r="AT3182" s="3" t="s">
        <v>65</v>
      </c>
      <c r="AV3182" s="6" t="str">
        <f>HYPERLINK("http://mcgill.on.worldcat.org/oclc/905087769","Catalog Record")</f>
        <v>Catalog Record</v>
      </c>
      <c r="AW3182" s="6" t="str">
        <f>HYPERLINK("http://www.worldcat.org/oclc/905087769","WorldCat Record")</f>
        <v>WorldCat Record</v>
      </c>
      <c r="AX3182" s="3" t="s">
        <v>31507</v>
      </c>
      <c r="AY3182" s="3" t="s">
        <v>31508</v>
      </c>
      <c r="AZ3182" s="3" t="s">
        <v>31509</v>
      </c>
      <c r="BA3182" s="3" t="s">
        <v>31509</v>
      </c>
      <c r="BB3182" s="3" t="s">
        <v>31510</v>
      </c>
      <c r="BC3182" s="3" t="s">
        <v>77</v>
      </c>
      <c r="BD3182" s="3" t="s">
        <v>78</v>
      </c>
      <c r="BE3182" s="3" t="s">
        <v>31511</v>
      </c>
      <c r="BF3182" s="3" t="s">
        <v>31510</v>
      </c>
      <c r="BG3182" s="3" t="s">
        <v>31512</v>
      </c>
    </row>
    <row r="3183" spans="1:59" ht="58" x14ac:dyDescent="0.35">
      <c r="A3183" s="2" t="s">
        <v>59</v>
      </c>
      <c r="B3183" s="2" t="s">
        <v>60</v>
      </c>
      <c r="C3183" s="2" t="s">
        <v>31513</v>
      </c>
      <c r="D3183" s="2" t="s">
        <v>31514</v>
      </c>
      <c r="E3183" s="2" t="s">
        <v>31515</v>
      </c>
      <c r="G3183" s="3" t="s">
        <v>65</v>
      </c>
      <c r="I3183" s="3" t="s">
        <v>65</v>
      </c>
      <c r="J3183" s="3" t="s">
        <v>209</v>
      </c>
      <c r="K3183" s="3" t="s">
        <v>66</v>
      </c>
      <c r="L3183" s="2" t="s">
        <v>31473</v>
      </c>
      <c r="M3183" s="2" t="s">
        <v>31516</v>
      </c>
      <c r="N3183" s="3" t="s">
        <v>479</v>
      </c>
      <c r="O3183" s="2" t="s">
        <v>365</v>
      </c>
      <c r="P3183" s="3" t="s">
        <v>140</v>
      </c>
      <c r="Q3183" s="2" t="s">
        <v>31517</v>
      </c>
      <c r="R3183" s="3" t="s">
        <v>71</v>
      </c>
      <c r="S3183" s="4">
        <v>3</v>
      </c>
      <c r="T3183" s="4">
        <v>3</v>
      </c>
      <c r="U3183" s="5" t="s">
        <v>14097</v>
      </c>
      <c r="V3183" s="5" t="s">
        <v>14097</v>
      </c>
      <c r="W3183" s="5" t="s">
        <v>72</v>
      </c>
      <c r="X3183" s="5" t="s">
        <v>72</v>
      </c>
      <c r="Y3183" s="4">
        <v>84</v>
      </c>
      <c r="Z3183" s="4">
        <v>9</v>
      </c>
      <c r="AA3183" s="4">
        <v>26</v>
      </c>
      <c r="AB3183" s="4">
        <v>2</v>
      </c>
      <c r="AC3183" s="4">
        <v>6</v>
      </c>
      <c r="AD3183" s="4">
        <v>49</v>
      </c>
      <c r="AE3183" s="4">
        <v>104</v>
      </c>
      <c r="AF3183" s="4">
        <v>0</v>
      </c>
      <c r="AG3183" s="4">
        <v>3</v>
      </c>
      <c r="AH3183" s="4">
        <v>47</v>
      </c>
      <c r="AI3183" s="4">
        <v>94</v>
      </c>
      <c r="AJ3183" s="4">
        <v>5</v>
      </c>
      <c r="AK3183" s="4">
        <v>18</v>
      </c>
      <c r="AL3183" s="4">
        <v>39</v>
      </c>
      <c r="AM3183" s="4">
        <v>55</v>
      </c>
      <c r="AN3183" s="4">
        <v>0</v>
      </c>
      <c r="AO3183" s="4">
        <v>5</v>
      </c>
      <c r="AP3183" s="4">
        <v>5</v>
      </c>
      <c r="AQ3183" s="4">
        <v>17</v>
      </c>
      <c r="AR3183" s="3" t="s">
        <v>65</v>
      </c>
      <c r="AS3183" s="3" t="s">
        <v>65</v>
      </c>
      <c r="AT3183" s="3" t="s">
        <v>65</v>
      </c>
      <c r="AV3183" s="6" t="str">
        <f>HYPERLINK("http://mcgill.on.worldcat.org/oclc/298179871","Catalog Record")</f>
        <v>Catalog Record</v>
      </c>
      <c r="AW3183" s="6" t="str">
        <f>HYPERLINK("http://www.worldcat.org/oclc/298179871","WorldCat Record")</f>
        <v>WorldCat Record</v>
      </c>
      <c r="AX3183" s="3" t="s">
        <v>31518</v>
      </c>
      <c r="AY3183" s="3" t="s">
        <v>31519</v>
      </c>
      <c r="AZ3183" s="3" t="s">
        <v>31520</v>
      </c>
      <c r="BA3183" s="3" t="s">
        <v>31520</v>
      </c>
      <c r="BB3183" s="3" t="s">
        <v>31521</v>
      </c>
      <c r="BC3183" s="3" t="s">
        <v>77</v>
      </c>
      <c r="BD3183" s="3" t="s">
        <v>78</v>
      </c>
      <c r="BE3183" s="3" t="s">
        <v>31522</v>
      </c>
      <c r="BF3183" s="3" t="s">
        <v>31521</v>
      </c>
      <c r="BG3183" s="3" t="s">
        <v>31523</v>
      </c>
    </row>
    <row r="3184" spans="1:59" ht="58" x14ac:dyDescent="0.35">
      <c r="A3184" s="2" t="s">
        <v>59</v>
      </c>
      <c r="B3184" s="2" t="s">
        <v>60</v>
      </c>
      <c r="C3184" s="2" t="s">
        <v>31524</v>
      </c>
      <c r="D3184" s="2" t="s">
        <v>31525</v>
      </c>
      <c r="E3184" s="2" t="s">
        <v>31526</v>
      </c>
      <c r="G3184" s="3" t="s">
        <v>65</v>
      </c>
      <c r="I3184" s="3" t="s">
        <v>65</v>
      </c>
      <c r="J3184" s="3" t="s">
        <v>209</v>
      </c>
      <c r="K3184" s="3" t="s">
        <v>66</v>
      </c>
      <c r="L3184" s="2" t="s">
        <v>31473</v>
      </c>
      <c r="M3184" s="2" t="s">
        <v>31527</v>
      </c>
      <c r="N3184" s="3" t="s">
        <v>352</v>
      </c>
      <c r="P3184" s="3" t="s">
        <v>69</v>
      </c>
      <c r="Q3184" s="2" t="s">
        <v>31528</v>
      </c>
      <c r="R3184" s="3" t="s">
        <v>71</v>
      </c>
      <c r="S3184" s="4">
        <v>1</v>
      </c>
      <c r="T3184" s="4">
        <v>1</v>
      </c>
      <c r="U3184" s="5" t="s">
        <v>9282</v>
      </c>
      <c r="V3184" s="5" t="s">
        <v>9282</v>
      </c>
      <c r="W3184" s="5" t="s">
        <v>72</v>
      </c>
      <c r="X3184" s="5" t="s">
        <v>72</v>
      </c>
      <c r="Y3184" s="4">
        <v>330</v>
      </c>
      <c r="Z3184" s="4">
        <v>14</v>
      </c>
      <c r="AA3184" s="4">
        <v>57</v>
      </c>
      <c r="AB3184" s="4">
        <v>2</v>
      </c>
      <c r="AC3184" s="4">
        <v>9</v>
      </c>
      <c r="AD3184" s="4">
        <v>54</v>
      </c>
      <c r="AE3184" s="4">
        <v>138</v>
      </c>
      <c r="AF3184" s="4">
        <v>0</v>
      </c>
      <c r="AG3184" s="4">
        <v>2</v>
      </c>
      <c r="AH3184" s="4">
        <v>49</v>
      </c>
      <c r="AI3184" s="4">
        <v>111</v>
      </c>
      <c r="AJ3184" s="4">
        <v>7</v>
      </c>
      <c r="AK3184" s="4">
        <v>24</v>
      </c>
      <c r="AL3184" s="4">
        <v>26</v>
      </c>
      <c r="AM3184" s="4">
        <v>61</v>
      </c>
      <c r="AN3184" s="4">
        <v>0</v>
      </c>
      <c r="AO3184" s="4">
        <v>9</v>
      </c>
      <c r="AP3184" s="4">
        <v>9</v>
      </c>
      <c r="AQ3184" s="4">
        <v>32</v>
      </c>
      <c r="AR3184" s="3" t="s">
        <v>65</v>
      </c>
      <c r="AS3184" s="3" t="s">
        <v>65</v>
      </c>
      <c r="AT3184" s="3" t="s">
        <v>209</v>
      </c>
      <c r="AU3184" s="6" t="str">
        <f>HYPERLINK("http://catalog.hathitrust.org/Record/007124546","HathiTrust Record")</f>
        <v>HathiTrust Record</v>
      </c>
      <c r="AV3184" s="6" t="str">
        <f>HYPERLINK("http://mcgill.on.worldcat.org/oclc/424610","Catalog Record")</f>
        <v>Catalog Record</v>
      </c>
      <c r="AW3184" s="6" t="str">
        <f>HYPERLINK("http://www.worldcat.org/oclc/424610","WorldCat Record")</f>
        <v>WorldCat Record</v>
      </c>
      <c r="AX3184" s="3" t="s">
        <v>31529</v>
      </c>
      <c r="AY3184" s="3" t="s">
        <v>31530</v>
      </c>
      <c r="AZ3184" s="3" t="s">
        <v>31531</v>
      </c>
      <c r="BA3184" s="3" t="s">
        <v>31531</v>
      </c>
      <c r="BB3184" s="3" t="s">
        <v>31532</v>
      </c>
      <c r="BC3184" s="3" t="s">
        <v>77</v>
      </c>
      <c r="BD3184" s="3" t="s">
        <v>78</v>
      </c>
      <c r="BF3184" s="3" t="s">
        <v>31532</v>
      </c>
      <c r="BG3184" s="3" t="s">
        <v>31533</v>
      </c>
    </row>
    <row r="3185" spans="1:59" ht="58" x14ac:dyDescent="0.35">
      <c r="A3185" s="2" t="s">
        <v>59</v>
      </c>
      <c r="B3185" s="2" t="s">
        <v>60</v>
      </c>
      <c r="C3185" s="2" t="s">
        <v>31534</v>
      </c>
      <c r="D3185" s="2" t="s">
        <v>31535</v>
      </c>
      <c r="E3185" s="2" t="s">
        <v>31536</v>
      </c>
      <c r="G3185" s="3" t="s">
        <v>65</v>
      </c>
      <c r="I3185" s="3" t="s">
        <v>209</v>
      </c>
      <c r="J3185" s="3" t="s">
        <v>209</v>
      </c>
      <c r="K3185" s="3" t="s">
        <v>66</v>
      </c>
      <c r="L3185" s="2" t="s">
        <v>31473</v>
      </c>
      <c r="M3185" s="2" t="s">
        <v>31537</v>
      </c>
      <c r="N3185" s="3" t="s">
        <v>364</v>
      </c>
      <c r="P3185" s="3" t="s">
        <v>69</v>
      </c>
      <c r="Q3185" s="2" t="s">
        <v>31538</v>
      </c>
      <c r="R3185" s="3" t="s">
        <v>71</v>
      </c>
      <c r="S3185" s="4">
        <v>18</v>
      </c>
      <c r="T3185" s="4">
        <v>30</v>
      </c>
      <c r="U3185" s="5" t="s">
        <v>30268</v>
      </c>
      <c r="V3185" s="5" t="s">
        <v>30268</v>
      </c>
      <c r="W3185" s="5" t="s">
        <v>72</v>
      </c>
      <c r="X3185" s="5" t="s">
        <v>72</v>
      </c>
      <c r="Y3185" s="4">
        <v>429</v>
      </c>
      <c r="Z3185" s="4">
        <v>16</v>
      </c>
      <c r="AA3185" s="4">
        <v>57</v>
      </c>
      <c r="AB3185" s="4">
        <v>5</v>
      </c>
      <c r="AC3185" s="4">
        <v>9</v>
      </c>
      <c r="AD3185" s="4">
        <v>87</v>
      </c>
      <c r="AE3185" s="4">
        <v>138</v>
      </c>
      <c r="AF3185" s="4">
        <v>1</v>
      </c>
      <c r="AG3185" s="4">
        <v>2</v>
      </c>
      <c r="AH3185" s="4">
        <v>80</v>
      </c>
      <c r="AI3185" s="4">
        <v>111</v>
      </c>
      <c r="AJ3185" s="4">
        <v>5</v>
      </c>
      <c r="AK3185" s="4">
        <v>24</v>
      </c>
      <c r="AL3185" s="4">
        <v>51</v>
      </c>
      <c r="AM3185" s="4">
        <v>61</v>
      </c>
      <c r="AN3185" s="4">
        <v>0</v>
      </c>
      <c r="AO3185" s="4">
        <v>9</v>
      </c>
      <c r="AP3185" s="4">
        <v>6</v>
      </c>
      <c r="AQ3185" s="4">
        <v>32</v>
      </c>
      <c r="AR3185" s="3" t="s">
        <v>65</v>
      </c>
      <c r="AS3185" s="3" t="s">
        <v>65</v>
      </c>
      <c r="AT3185" s="3" t="s">
        <v>209</v>
      </c>
      <c r="AU3185" s="6" t="str">
        <f>HYPERLINK("http://catalog.hathitrust.org/Record/004210796","HathiTrust Record")</f>
        <v>HathiTrust Record</v>
      </c>
      <c r="AV3185" s="6" t="str">
        <f>HYPERLINK("http://mcgill.on.worldcat.org/oclc/47785597","Catalog Record")</f>
        <v>Catalog Record</v>
      </c>
      <c r="AW3185" s="6" t="str">
        <f>HYPERLINK("http://www.worldcat.org/oclc/47785597","WorldCat Record")</f>
        <v>WorldCat Record</v>
      </c>
      <c r="AX3185" s="3" t="s">
        <v>31529</v>
      </c>
      <c r="AY3185" s="3" t="s">
        <v>31539</v>
      </c>
      <c r="AZ3185" s="3" t="s">
        <v>31540</v>
      </c>
      <c r="BA3185" s="3" t="s">
        <v>31540</v>
      </c>
      <c r="BB3185" s="3" t="s">
        <v>31541</v>
      </c>
      <c r="BC3185" s="3" t="s">
        <v>77</v>
      </c>
      <c r="BD3185" s="3" t="s">
        <v>78</v>
      </c>
      <c r="BE3185" s="3" t="s">
        <v>31542</v>
      </c>
      <c r="BF3185" s="3" t="s">
        <v>31541</v>
      </c>
      <c r="BG3185" s="3" t="s">
        <v>31543</v>
      </c>
    </row>
    <row r="3186" spans="1:59" ht="58" x14ac:dyDescent="0.35">
      <c r="A3186" s="2" t="s">
        <v>59</v>
      </c>
      <c r="B3186" s="2" t="s">
        <v>60</v>
      </c>
      <c r="C3186" s="2" t="s">
        <v>31534</v>
      </c>
      <c r="D3186" s="2" t="s">
        <v>31535</v>
      </c>
      <c r="E3186" s="2" t="s">
        <v>31536</v>
      </c>
      <c r="G3186" s="3" t="s">
        <v>65</v>
      </c>
      <c r="I3186" s="3" t="s">
        <v>209</v>
      </c>
      <c r="J3186" s="3" t="s">
        <v>209</v>
      </c>
      <c r="K3186" s="3" t="s">
        <v>66</v>
      </c>
      <c r="L3186" s="2" t="s">
        <v>31473</v>
      </c>
      <c r="M3186" s="2" t="s">
        <v>31537</v>
      </c>
      <c r="N3186" s="3" t="s">
        <v>364</v>
      </c>
      <c r="P3186" s="3" t="s">
        <v>69</v>
      </c>
      <c r="Q3186" s="2" t="s">
        <v>31538</v>
      </c>
      <c r="R3186" s="3" t="s">
        <v>71</v>
      </c>
      <c r="S3186" s="4">
        <v>12</v>
      </c>
      <c r="T3186" s="4">
        <v>30</v>
      </c>
      <c r="U3186" s="5" t="s">
        <v>17364</v>
      </c>
      <c r="V3186" s="5" t="s">
        <v>30268</v>
      </c>
      <c r="W3186" s="5" t="s">
        <v>72</v>
      </c>
      <c r="X3186" s="5" t="s">
        <v>72</v>
      </c>
      <c r="Y3186" s="4">
        <v>429</v>
      </c>
      <c r="Z3186" s="4">
        <v>16</v>
      </c>
      <c r="AA3186" s="4">
        <v>57</v>
      </c>
      <c r="AB3186" s="4">
        <v>5</v>
      </c>
      <c r="AC3186" s="4">
        <v>9</v>
      </c>
      <c r="AD3186" s="4">
        <v>87</v>
      </c>
      <c r="AE3186" s="4">
        <v>138</v>
      </c>
      <c r="AF3186" s="4">
        <v>1</v>
      </c>
      <c r="AG3186" s="4">
        <v>2</v>
      </c>
      <c r="AH3186" s="4">
        <v>80</v>
      </c>
      <c r="AI3186" s="4">
        <v>111</v>
      </c>
      <c r="AJ3186" s="4">
        <v>5</v>
      </c>
      <c r="AK3186" s="4">
        <v>24</v>
      </c>
      <c r="AL3186" s="4">
        <v>51</v>
      </c>
      <c r="AM3186" s="4">
        <v>61</v>
      </c>
      <c r="AN3186" s="4">
        <v>0</v>
      </c>
      <c r="AO3186" s="4">
        <v>9</v>
      </c>
      <c r="AP3186" s="4">
        <v>6</v>
      </c>
      <c r="AQ3186" s="4">
        <v>32</v>
      </c>
      <c r="AR3186" s="3" t="s">
        <v>65</v>
      </c>
      <c r="AS3186" s="3" t="s">
        <v>65</v>
      </c>
      <c r="AT3186" s="3" t="s">
        <v>209</v>
      </c>
      <c r="AU3186" s="6" t="str">
        <f>HYPERLINK("http://catalog.hathitrust.org/Record/004210796","HathiTrust Record")</f>
        <v>HathiTrust Record</v>
      </c>
      <c r="AV3186" s="6" t="str">
        <f>HYPERLINK("http://mcgill.on.worldcat.org/oclc/47785597","Catalog Record")</f>
        <v>Catalog Record</v>
      </c>
      <c r="AW3186" s="6" t="str">
        <f>HYPERLINK("http://www.worldcat.org/oclc/47785597","WorldCat Record")</f>
        <v>WorldCat Record</v>
      </c>
      <c r="AX3186" s="3" t="s">
        <v>31529</v>
      </c>
      <c r="AY3186" s="3" t="s">
        <v>31539</v>
      </c>
      <c r="AZ3186" s="3" t="s">
        <v>31540</v>
      </c>
      <c r="BA3186" s="3" t="s">
        <v>31540</v>
      </c>
      <c r="BB3186" s="3" t="s">
        <v>31544</v>
      </c>
      <c r="BC3186" s="3" t="s">
        <v>77</v>
      </c>
      <c r="BD3186" s="3" t="s">
        <v>78</v>
      </c>
      <c r="BE3186" s="3" t="s">
        <v>31542</v>
      </c>
      <c r="BF3186" s="3" t="s">
        <v>31544</v>
      </c>
      <c r="BG3186" s="3" t="s">
        <v>31545</v>
      </c>
    </row>
    <row r="3187" spans="1:59" ht="58" x14ac:dyDescent="0.35">
      <c r="A3187" s="2" t="s">
        <v>59</v>
      </c>
      <c r="B3187" s="2" t="s">
        <v>60</v>
      </c>
      <c r="C3187" s="2" t="s">
        <v>31546</v>
      </c>
      <c r="D3187" s="2" t="s">
        <v>31547</v>
      </c>
      <c r="E3187" s="2" t="s">
        <v>31548</v>
      </c>
      <c r="G3187" s="3" t="s">
        <v>65</v>
      </c>
      <c r="I3187" s="3" t="s">
        <v>65</v>
      </c>
      <c r="J3187" s="3" t="s">
        <v>65</v>
      </c>
      <c r="K3187" s="3" t="s">
        <v>66</v>
      </c>
      <c r="L3187" s="2" t="s">
        <v>31549</v>
      </c>
      <c r="M3187" s="2" t="s">
        <v>31550</v>
      </c>
      <c r="N3187" s="3" t="s">
        <v>1967</v>
      </c>
      <c r="P3187" s="3" t="s">
        <v>140</v>
      </c>
      <c r="Q3187" s="2" t="s">
        <v>31551</v>
      </c>
      <c r="R3187" s="3" t="s">
        <v>71</v>
      </c>
      <c r="S3187" s="4">
        <v>8</v>
      </c>
      <c r="T3187" s="4">
        <v>8</v>
      </c>
      <c r="U3187" s="5" t="s">
        <v>31552</v>
      </c>
      <c r="V3187" s="5" t="s">
        <v>31552</v>
      </c>
      <c r="W3187" s="5" t="s">
        <v>72</v>
      </c>
      <c r="X3187" s="5" t="s">
        <v>72</v>
      </c>
      <c r="Y3187" s="4">
        <v>46</v>
      </c>
      <c r="Z3187" s="4">
        <v>4</v>
      </c>
      <c r="AA3187" s="4">
        <v>4</v>
      </c>
      <c r="AB3187" s="4">
        <v>1</v>
      </c>
      <c r="AC3187" s="4">
        <v>1</v>
      </c>
      <c r="AD3187" s="4">
        <v>30</v>
      </c>
      <c r="AE3187" s="4">
        <v>30</v>
      </c>
      <c r="AF3187" s="4">
        <v>0</v>
      </c>
      <c r="AG3187" s="4">
        <v>0</v>
      </c>
      <c r="AH3187" s="4">
        <v>29</v>
      </c>
      <c r="AI3187" s="4">
        <v>29</v>
      </c>
      <c r="AJ3187" s="4">
        <v>2</v>
      </c>
      <c r="AK3187" s="4">
        <v>2</v>
      </c>
      <c r="AL3187" s="4">
        <v>23</v>
      </c>
      <c r="AM3187" s="4">
        <v>23</v>
      </c>
      <c r="AN3187" s="4">
        <v>0</v>
      </c>
      <c r="AO3187" s="4">
        <v>0</v>
      </c>
      <c r="AP3187" s="4">
        <v>2</v>
      </c>
      <c r="AQ3187" s="4">
        <v>2</v>
      </c>
      <c r="AR3187" s="3" t="s">
        <v>65</v>
      </c>
      <c r="AS3187" s="3" t="s">
        <v>65</v>
      </c>
      <c r="AT3187" s="3" t="s">
        <v>209</v>
      </c>
      <c r="AU3187" s="6" t="str">
        <f>HYPERLINK("http://catalog.hathitrust.org/Record/004329590","HathiTrust Record")</f>
        <v>HathiTrust Record</v>
      </c>
      <c r="AV3187" s="6" t="str">
        <f>HYPERLINK("http://mcgill.on.worldcat.org/oclc/52329603","Catalog Record")</f>
        <v>Catalog Record</v>
      </c>
      <c r="AW3187" s="6" t="str">
        <f>HYPERLINK("http://www.worldcat.org/oclc/52329603","WorldCat Record")</f>
        <v>WorldCat Record</v>
      </c>
      <c r="AX3187" s="3" t="s">
        <v>31553</v>
      </c>
      <c r="AY3187" s="3" t="s">
        <v>31554</v>
      </c>
      <c r="AZ3187" s="3" t="s">
        <v>31555</v>
      </c>
      <c r="BA3187" s="3" t="s">
        <v>31555</v>
      </c>
      <c r="BB3187" s="3" t="s">
        <v>31556</v>
      </c>
      <c r="BC3187" s="3" t="s">
        <v>77</v>
      </c>
      <c r="BD3187" s="3" t="s">
        <v>78</v>
      </c>
      <c r="BE3187" s="3" t="s">
        <v>31557</v>
      </c>
      <c r="BF3187" s="3" t="s">
        <v>31556</v>
      </c>
      <c r="BG3187" s="3" t="s">
        <v>31558</v>
      </c>
    </row>
    <row r="3188" spans="1:59" ht="72.5" x14ac:dyDescent="0.35">
      <c r="A3188" s="2" t="s">
        <v>59</v>
      </c>
      <c r="B3188" s="2" t="s">
        <v>60</v>
      </c>
      <c r="C3188" s="2" t="s">
        <v>31559</v>
      </c>
      <c r="D3188" s="2" t="s">
        <v>31560</v>
      </c>
      <c r="E3188" s="2" t="s">
        <v>31561</v>
      </c>
      <c r="G3188" s="3" t="s">
        <v>65</v>
      </c>
      <c r="I3188" s="3" t="s">
        <v>65</v>
      </c>
      <c r="J3188" s="3" t="s">
        <v>65</v>
      </c>
      <c r="K3188" s="3" t="s">
        <v>66</v>
      </c>
      <c r="L3188" s="2" t="s">
        <v>31562</v>
      </c>
      <c r="M3188" s="2" t="s">
        <v>18252</v>
      </c>
      <c r="N3188" s="3" t="s">
        <v>139</v>
      </c>
      <c r="P3188" s="3" t="s">
        <v>140</v>
      </c>
      <c r="Q3188" s="2" t="s">
        <v>31563</v>
      </c>
      <c r="R3188" s="3" t="s">
        <v>71</v>
      </c>
      <c r="S3188" s="4">
        <v>2</v>
      </c>
      <c r="T3188" s="4">
        <v>2</v>
      </c>
      <c r="U3188" s="5" t="s">
        <v>31552</v>
      </c>
      <c r="V3188" s="5" t="s">
        <v>31552</v>
      </c>
      <c r="W3188" s="5" t="s">
        <v>72</v>
      </c>
      <c r="X3188" s="5" t="s">
        <v>72</v>
      </c>
      <c r="Y3188" s="4">
        <v>38</v>
      </c>
      <c r="Z3188" s="4">
        <v>3</v>
      </c>
      <c r="AA3188" s="4">
        <v>3</v>
      </c>
      <c r="AB3188" s="4">
        <v>1</v>
      </c>
      <c r="AC3188" s="4">
        <v>1</v>
      </c>
      <c r="AD3188" s="4">
        <v>29</v>
      </c>
      <c r="AE3188" s="4">
        <v>29</v>
      </c>
      <c r="AF3188" s="4">
        <v>0</v>
      </c>
      <c r="AG3188" s="4">
        <v>0</v>
      </c>
      <c r="AH3188" s="4">
        <v>28</v>
      </c>
      <c r="AI3188" s="4">
        <v>28</v>
      </c>
      <c r="AJ3188" s="4">
        <v>2</v>
      </c>
      <c r="AK3188" s="4">
        <v>2</v>
      </c>
      <c r="AL3188" s="4">
        <v>21</v>
      </c>
      <c r="AM3188" s="4">
        <v>21</v>
      </c>
      <c r="AN3188" s="4">
        <v>0</v>
      </c>
      <c r="AO3188" s="4">
        <v>0</v>
      </c>
      <c r="AP3188" s="4">
        <v>2</v>
      </c>
      <c r="AQ3188" s="4">
        <v>2</v>
      </c>
      <c r="AR3188" s="3" t="s">
        <v>65</v>
      </c>
      <c r="AS3188" s="3" t="s">
        <v>65</v>
      </c>
      <c r="AT3188" s="3" t="s">
        <v>65</v>
      </c>
      <c r="AV3188" s="6" t="str">
        <f>HYPERLINK("http://mcgill.on.worldcat.org/oclc/811003774","Catalog Record")</f>
        <v>Catalog Record</v>
      </c>
      <c r="AW3188" s="6" t="str">
        <f>HYPERLINK("http://www.worldcat.org/oclc/811003774","WorldCat Record")</f>
        <v>WorldCat Record</v>
      </c>
      <c r="AX3188" s="3" t="s">
        <v>31564</v>
      </c>
      <c r="AY3188" s="3" t="s">
        <v>31565</v>
      </c>
      <c r="AZ3188" s="3" t="s">
        <v>31566</v>
      </c>
      <c r="BA3188" s="3" t="s">
        <v>31566</v>
      </c>
      <c r="BB3188" s="3" t="s">
        <v>31567</v>
      </c>
      <c r="BC3188" s="3" t="s">
        <v>77</v>
      </c>
      <c r="BD3188" s="3" t="s">
        <v>78</v>
      </c>
      <c r="BE3188" s="3" t="s">
        <v>31568</v>
      </c>
      <c r="BF3188" s="3" t="s">
        <v>31567</v>
      </c>
      <c r="BG3188" s="3" t="s">
        <v>31569</v>
      </c>
    </row>
    <row r="3189" spans="1:59" ht="58" x14ac:dyDescent="0.35">
      <c r="A3189" s="2" t="s">
        <v>59</v>
      </c>
      <c r="B3189" s="2" t="s">
        <v>60</v>
      </c>
      <c r="C3189" s="2" t="s">
        <v>31570</v>
      </c>
      <c r="D3189" s="2" t="s">
        <v>31571</v>
      </c>
      <c r="E3189" s="2" t="s">
        <v>31572</v>
      </c>
      <c r="G3189" s="3" t="s">
        <v>65</v>
      </c>
      <c r="I3189" s="3" t="s">
        <v>65</v>
      </c>
      <c r="J3189" s="3" t="s">
        <v>65</v>
      </c>
      <c r="K3189" s="3" t="s">
        <v>66</v>
      </c>
      <c r="L3189" s="2" t="s">
        <v>31573</v>
      </c>
      <c r="M3189" s="2" t="s">
        <v>31574</v>
      </c>
      <c r="N3189" s="3" t="s">
        <v>577</v>
      </c>
      <c r="P3189" s="3" t="s">
        <v>140</v>
      </c>
      <c r="Q3189" s="2" t="s">
        <v>31575</v>
      </c>
      <c r="R3189" s="3" t="s">
        <v>71</v>
      </c>
      <c r="S3189" s="4">
        <v>11</v>
      </c>
      <c r="T3189" s="4">
        <v>11</v>
      </c>
      <c r="U3189" s="5" t="s">
        <v>31552</v>
      </c>
      <c r="V3189" s="5" t="s">
        <v>31552</v>
      </c>
      <c r="W3189" s="5" t="s">
        <v>72</v>
      </c>
      <c r="X3189" s="5" t="s">
        <v>72</v>
      </c>
      <c r="Y3189" s="4">
        <v>112</v>
      </c>
      <c r="Z3189" s="4">
        <v>17</v>
      </c>
      <c r="AA3189" s="4">
        <v>18</v>
      </c>
      <c r="AB3189" s="4">
        <v>2</v>
      </c>
      <c r="AC3189" s="4">
        <v>2</v>
      </c>
      <c r="AD3189" s="4">
        <v>68</v>
      </c>
      <c r="AE3189" s="4">
        <v>69</v>
      </c>
      <c r="AF3189" s="4">
        <v>1</v>
      </c>
      <c r="AG3189" s="4">
        <v>1</v>
      </c>
      <c r="AH3189" s="4">
        <v>58</v>
      </c>
      <c r="AI3189" s="4">
        <v>59</v>
      </c>
      <c r="AJ3189" s="4">
        <v>10</v>
      </c>
      <c r="AK3189" s="4">
        <v>11</v>
      </c>
      <c r="AL3189" s="4">
        <v>40</v>
      </c>
      <c r="AM3189" s="4">
        <v>40</v>
      </c>
      <c r="AN3189" s="4">
        <v>0</v>
      </c>
      <c r="AO3189" s="4">
        <v>0</v>
      </c>
      <c r="AP3189" s="4">
        <v>13</v>
      </c>
      <c r="AQ3189" s="4">
        <v>14</v>
      </c>
      <c r="AR3189" s="3" t="s">
        <v>65</v>
      </c>
      <c r="AS3189" s="3" t="s">
        <v>65</v>
      </c>
      <c r="AT3189" s="3" t="s">
        <v>65</v>
      </c>
      <c r="AV3189" s="6" t="str">
        <f>HYPERLINK("http://mcgill.on.worldcat.org/oclc/4937440","Catalog Record")</f>
        <v>Catalog Record</v>
      </c>
      <c r="AW3189" s="6" t="str">
        <f>HYPERLINK("http://www.worldcat.org/oclc/4937440","WorldCat Record")</f>
        <v>WorldCat Record</v>
      </c>
      <c r="AX3189" s="3" t="s">
        <v>31576</v>
      </c>
      <c r="AY3189" s="3" t="s">
        <v>31577</v>
      </c>
      <c r="AZ3189" s="3" t="s">
        <v>31578</v>
      </c>
      <c r="BA3189" s="3" t="s">
        <v>31578</v>
      </c>
      <c r="BB3189" s="3" t="s">
        <v>31579</v>
      </c>
      <c r="BC3189" s="3" t="s">
        <v>77</v>
      </c>
      <c r="BD3189" s="3" t="s">
        <v>78</v>
      </c>
      <c r="BF3189" s="3" t="s">
        <v>31579</v>
      </c>
      <c r="BG3189" s="3" t="s">
        <v>31580</v>
      </c>
    </row>
    <row r="3190" spans="1:59" ht="58" x14ac:dyDescent="0.35">
      <c r="A3190" s="2" t="s">
        <v>59</v>
      </c>
      <c r="B3190" s="2" t="s">
        <v>60</v>
      </c>
      <c r="C3190" s="2" t="s">
        <v>31581</v>
      </c>
      <c r="D3190" s="2" t="s">
        <v>31582</v>
      </c>
      <c r="E3190" s="2" t="s">
        <v>31583</v>
      </c>
      <c r="G3190" s="3" t="s">
        <v>65</v>
      </c>
      <c r="I3190" s="3" t="s">
        <v>65</v>
      </c>
      <c r="J3190" s="3" t="s">
        <v>65</v>
      </c>
      <c r="K3190" s="3" t="s">
        <v>66</v>
      </c>
      <c r="L3190" s="2" t="s">
        <v>31584</v>
      </c>
      <c r="M3190" s="2" t="s">
        <v>31585</v>
      </c>
      <c r="N3190" s="3" t="s">
        <v>2377</v>
      </c>
      <c r="P3190" s="3" t="s">
        <v>140</v>
      </c>
      <c r="Q3190" s="2" t="s">
        <v>31586</v>
      </c>
      <c r="R3190" s="3" t="s">
        <v>71</v>
      </c>
      <c r="S3190" s="4">
        <v>16</v>
      </c>
      <c r="T3190" s="4">
        <v>16</v>
      </c>
      <c r="U3190" s="5" t="s">
        <v>31552</v>
      </c>
      <c r="V3190" s="5" t="s">
        <v>31552</v>
      </c>
      <c r="W3190" s="5" t="s">
        <v>72</v>
      </c>
      <c r="X3190" s="5" t="s">
        <v>72</v>
      </c>
      <c r="Y3190" s="4">
        <v>2</v>
      </c>
      <c r="Z3190" s="4">
        <v>1</v>
      </c>
      <c r="AA3190" s="4">
        <v>1</v>
      </c>
      <c r="AB3190" s="4">
        <v>1</v>
      </c>
      <c r="AC3190" s="4">
        <v>1</v>
      </c>
      <c r="AD3190" s="4">
        <v>0</v>
      </c>
      <c r="AE3190" s="4">
        <v>0</v>
      </c>
      <c r="AF3190" s="4">
        <v>0</v>
      </c>
      <c r="AG3190" s="4">
        <v>0</v>
      </c>
      <c r="AH3190" s="4">
        <v>0</v>
      </c>
      <c r="AI3190" s="4">
        <v>0</v>
      </c>
      <c r="AJ3190" s="4">
        <v>0</v>
      </c>
      <c r="AK3190" s="4">
        <v>0</v>
      </c>
      <c r="AL3190" s="4">
        <v>0</v>
      </c>
      <c r="AM3190" s="4">
        <v>0</v>
      </c>
      <c r="AN3190" s="4">
        <v>0</v>
      </c>
      <c r="AO3190" s="4">
        <v>0</v>
      </c>
      <c r="AP3190" s="4">
        <v>0</v>
      </c>
      <c r="AQ3190" s="4">
        <v>0</v>
      </c>
      <c r="AR3190" s="3" t="s">
        <v>65</v>
      </c>
      <c r="AS3190" s="3" t="s">
        <v>65</v>
      </c>
      <c r="AT3190" s="3" t="s">
        <v>65</v>
      </c>
      <c r="AV3190" s="6" t="str">
        <f>HYPERLINK("http://mcgill.on.worldcat.org/oclc/61638111","Catalog Record")</f>
        <v>Catalog Record</v>
      </c>
      <c r="AW3190" s="6" t="str">
        <f>HYPERLINK("http://www.worldcat.org/oclc/61638111","WorldCat Record")</f>
        <v>WorldCat Record</v>
      </c>
      <c r="AX3190" s="3" t="s">
        <v>31587</v>
      </c>
      <c r="AY3190" s="3" t="s">
        <v>31588</v>
      </c>
      <c r="AZ3190" s="3" t="s">
        <v>31589</v>
      </c>
      <c r="BA3190" s="3" t="s">
        <v>31589</v>
      </c>
      <c r="BB3190" s="3" t="s">
        <v>31590</v>
      </c>
      <c r="BC3190" s="3" t="s">
        <v>77</v>
      </c>
      <c r="BD3190" s="3" t="s">
        <v>78</v>
      </c>
      <c r="BE3190" s="3" t="s">
        <v>31591</v>
      </c>
      <c r="BF3190" s="3" t="s">
        <v>31590</v>
      </c>
      <c r="BG3190" s="3" t="s">
        <v>31592</v>
      </c>
    </row>
    <row r="3191" spans="1:59" ht="72.5" x14ac:dyDescent="0.35">
      <c r="A3191" s="2" t="s">
        <v>59</v>
      </c>
      <c r="B3191" s="2" t="s">
        <v>60</v>
      </c>
      <c r="C3191" s="2" t="s">
        <v>31593</v>
      </c>
      <c r="D3191" s="2" t="s">
        <v>31594</v>
      </c>
      <c r="E3191" s="2" t="s">
        <v>31595</v>
      </c>
      <c r="G3191" s="3" t="s">
        <v>65</v>
      </c>
      <c r="I3191" s="3" t="s">
        <v>65</v>
      </c>
      <c r="J3191" s="3" t="s">
        <v>65</v>
      </c>
      <c r="K3191" s="3" t="s">
        <v>66</v>
      </c>
      <c r="L3191" s="2" t="s">
        <v>31596</v>
      </c>
      <c r="M3191" s="2" t="s">
        <v>31597</v>
      </c>
      <c r="N3191" s="3" t="s">
        <v>1895</v>
      </c>
      <c r="P3191" s="3" t="s">
        <v>140</v>
      </c>
      <c r="Q3191" s="2" t="s">
        <v>31598</v>
      </c>
      <c r="R3191" s="3" t="s">
        <v>71</v>
      </c>
      <c r="S3191" s="4">
        <v>9</v>
      </c>
      <c r="T3191" s="4">
        <v>9</v>
      </c>
      <c r="U3191" s="5" t="s">
        <v>31552</v>
      </c>
      <c r="V3191" s="5" t="s">
        <v>31552</v>
      </c>
      <c r="W3191" s="5" t="s">
        <v>72</v>
      </c>
      <c r="X3191" s="5" t="s">
        <v>72</v>
      </c>
      <c r="Y3191" s="4">
        <v>44</v>
      </c>
      <c r="Z3191" s="4">
        <v>1</v>
      </c>
      <c r="AA3191" s="4">
        <v>3</v>
      </c>
      <c r="AB3191" s="4">
        <v>1</v>
      </c>
      <c r="AC3191" s="4">
        <v>1</v>
      </c>
      <c r="AD3191" s="4">
        <v>30</v>
      </c>
      <c r="AE3191" s="4">
        <v>31</v>
      </c>
      <c r="AF3191" s="4">
        <v>0</v>
      </c>
      <c r="AG3191" s="4">
        <v>0</v>
      </c>
      <c r="AH3191" s="4">
        <v>30</v>
      </c>
      <c r="AI3191" s="4">
        <v>31</v>
      </c>
      <c r="AJ3191" s="4">
        <v>0</v>
      </c>
      <c r="AK3191" s="4">
        <v>1</v>
      </c>
      <c r="AL3191" s="4">
        <v>25</v>
      </c>
      <c r="AM3191" s="4">
        <v>26</v>
      </c>
      <c r="AN3191" s="4">
        <v>0</v>
      </c>
      <c r="AO3191" s="4">
        <v>0</v>
      </c>
      <c r="AP3191" s="4">
        <v>0</v>
      </c>
      <c r="AQ3191" s="4">
        <v>1</v>
      </c>
      <c r="AR3191" s="3" t="s">
        <v>65</v>
      </c>
      <c r="AS3191" s="3" t="s">
        <v>65</v>
      </c>
      <c r="AT3191" s="3" t="s">
        <v>209</v>
      </c>
      <c r="AU3191" s="6" t="str">
        <f>HYPERLINK("http://catalog.hathitrust.org/Record/003979601","HathiTrust Record")</f>
        <v>HathiTrust Record</v>
      </c>
      <c r="AV3191" s="6" t="str">
        <f>HYPERLINK("http://mcgill.on.worldcat.org/oclc/38918475","Catalog Record")</f>
        <v>Catalog Record</v>
      </c>
      <c r="AW3191" s="6" t="str">
        <f>HYPERLINK("http://www.worldcat.org/oclc/38918475","WorldCat Record")</f>
        <v>WorldCat Record</v>
      </c>
      <c r="AX3191" s="3" t="s">
        <v>31599</v>
      </c>
      <c r="AY3191" s="3" t="s">
        <v>31600</v>
      </c>
      <c r="AZ3191" s="3" t="s">
        <v>31601</v>
      </c>
      <c r="BA3191" s="3" t="s">
        <v>31601</v>
      </c>
      <c r="BB3191" s="3" t="s">
        <v>31602</v>
      </c>
      <c r="BC3191" s="3" t="s">
        <v>77</v>
      </c>
      <c r="BD3191" s="3" t="s">
        <v>78</v>
      </c>
      <c r="BE3191" s="3" t="s">
        <v>31603</v>
      </c>
      <c r="BF3191" s="3" t="s">
        <v>31602</v>
      </c>
      <c r="BG3191" s="3" t="s">
        <v>31604</v>
      </c>
    </row>
    <row r="3192" spans="1:59" ht="58" x14ac:dyDescent="0.35">
      <c r="A3192" s="2" t="s">
        <v>59</v>
      </c>
      <c r="B3192" s="2" t="s">
        <v>60</v>
      </c>
      <c r="C3192" s="2" t="s">
        <v>31605</v>
      </c>
      <c r="D3192" s="2" t="s">
        <v>31606</v>
      </c>
      <c r="E3192" s="2" t="s">
        <v>31607</v>
      </c>
      <c r="G3192" s="3" t="s">
        <v>65</v>
      </c>
      <c r="I3192" s="3" t="s">
        <v>65</v>
      </c>
      <c r="J3192" s="3" t="s">
        <v>209</v>
      </c>
      <c r="K3192" s="3" t="s">
        <v>66</v>
      </c>
      <c r="L3192" s="2" t="s">
        <v>31473</v>
      </c>
      <c r="M3192" s="2" t="s">
        <v>31608</v>
      </c>
      <c r="N3192" s="3" t="s">
        <v>4688</v>
      </c>
      <c r="O3192" s="2" t="s">
        <v>654</v>
      </c>
      <c r="P3192" s="3" t="s">
        <v>140</v>
      </c>
      <c r="Q3192" s="2" t="s">
        <v>31609</v>
      </c>
      <c r="R3192" s="3" t="s">
        <v>71</v>
      </c>
      <c r="S3192" s="4">
        <v>16</v>
      </c>
      <c r="T3192" s="4">
        <v>16</v>
      </c>
      <c r="U3192" s="5" t="s">
        <v>22253</v>
      </c>
      <c r="V3192" s="5" t="s">
        <v>22253</v>
      </c>
      <c r="W3192" s="5" t="s">
        <v>72</v>
      </c>
      <c r="X3192" s="5" t="s">
        <v>72</v>
      </c>
      <c r="Y3192" s="4">
        <v>78</v>
      </c>
      <c r="Z3192" s="4">
        <v>5</v>
      </c>
      <c r="AA3192" s="4">
        <v>26</v>
      </c>
      <c r="AB3192" s="4">
        <v>1</v>
      </c>
      <c r="AC3192" s="4">
        <v>6</v>
      </c>
      <c r="AD3192" s="4">
        <v>42</v>
      </c>
      <c r="AE3192" s="4">
        <v>104</v>
      </c>
      <c r="AF3192" s="4">
        <v>0</v>
      </c>
      <c r="AG3192" s="4">
        <v>3</v>
      </c>
      <c r="AH3192" s="4">
        <v>39</v>
      </c>
      <c r="AI3192" s="4">
        <v>94</v>
      </c>
      <c r="AJ3192" s="4">
        <v>4</v>
      </c>
      <c r="AK3192" s="4">
        <v>18</v>
      </c>
      <c r="AL3192" s="4">
        <v>29</v>
      </c>
      <c r="AM3192" s="4">
        <v>55</v>
      </c>
      <c r="AN3192" s="4">
        <v>0</v>
      </c>
      <c r="AO3192" s="4">
        <v>5</v>
      </c>
      <c r="AP3192" s="4">
        <v>4</v>
      </c>
      <c r="AQ3192" s="4">
        <v>17</v>
      </c>
      <c r="AR3192" s="3" t="s">
        <v>65</v>
      </c>
      <c r="AS3192" s="3" t="s">
        <v>65</v>
      </c>
      <c r="AT3192" s="3" t="s">
        <v>65</v>
      </c>
      <c r="AV3192" s="6" t="str">
        <f>HYPERLINK("http://mcgill.on.worldcat.org/oclc/12992911","Catalog Record")</f>
        <v>Catalog Record</v>
      </c>
      <c r="AW3192" s="6" t="str">
        <f>HYPERLINK("http://www.worldcat.org/oclc/12992911","WorldCat Record")</f>
        <v>WorldCat Record</v>
      </c>
      <c r="AX3192" s="3" t="s">
        <v>31518</v>
      </c>
      <c r="AY3192" s="3" t="s">
        <v>31610</v>
      </c>
      <c r="AZ3192" s="3" t="s">
        <v>31611</v>
      </c>
      <c r="BA3192" s="3" t="s">
        <v>31611</v>
      </c>
      <c r="BB3192" s="3" t="s">
        <v>31612</v>
      </c>
      <c r="BC3192" s="3" t="s">
        <v>77</v>
      </c>
      <c r="BD3192" s="3" t="s">
        <v>106</v>
      </c>
      <c r="BE3192" s="3" t="s">
        <v>31613</v>
      </c>
      <c r="BF3192" s="3" t="s">
        <v>31612</v>
      </c>
      <c r="BG3192" s="3" t="s">
        <v>31614</v>
      </c>
    </row>
    <row r="3193" spans="1:59" ht="72.5" x14ac:dyDescent="0.35">
      <c r="A3193" s="2" t="s">
        <v>59</v>
      </c>
      <c r="B3193" s="2" t="s">
        <v>60</v>
      </c>
      <c r="C3193" s="2" t="s">
        <v>31615</v>
      </c>
      <c r="D3193" s="2" t="s">
        <v>31616</v>
      </c>
      <c r="E3193" s="2" t="s">
        <v>31617</v>
      </c>
      <c r="G3193" s="3" t="s">
        <v>65</v>
      </c>
      <c r="I3193" s="3" t="s">
        <v>65</v>
      </c>
      <c r="J3193" s="3" t="s">
        <v>65</v>
      </c>
      <c r="K3193" s="3" t="s">
        <v>66</v>
      </c>
      <c r="L3193" s="2" t="s">
        <v>20588</v>
      </c>
      <c r="M3193" s="2" t="s">
        <v>31618</v>
      </c>
      <c r="N3193" s="3" t="s">
        <v>479</v>
      </c>
      <c r="O3193" s="2" t="s">
        <v>365</v>
      </c>
      <c r="P3193" s="3" t="s">
        <v>140</v>
      </c>
      <c r="R3193" s="3" t="s">
        <v>71</v>
      </c>
      <c r="S3193" s="4">
        <v>3</v>
      </c>
      <c r="T3193" s="4">
        <v>3</v>
      </c>
      <c r="U3193" s="5" t="s">
        <v>31552</v>
      </c>
      <c r="V3193" s="5" t="s">
        <v>31552</v>
      </c>
      <c r="W3193" s="5" t="s">
        <v>72</v>
      </c>
      <c r="X3193" s="5" t="s">
        <v>72</v>
      </c>
      <c r="Y3193" s="4">
        <v>63</v>
      </c>
      <c r="Z3193" s="4">
        <v>7</v>
      </c>
      <c r="AA3193" s="4">
        <v>7</v>
      </c>
      <c r="AB3193" s="4">
        <v>1</v>
      </c>
      <c r="AC3193" s="4">
        <v>1</v>
      </c>
      <c r="AD3193" s="4">
        <v>38</v>
      </c>
      <c r="AE3193" s="4">
        <v>38</v>
      </c>
      <c r="AF3193" s="4">
        <v>0</v>
      </c>
      <c r="AG3193" s="4">
        <v>0</v>
      </c>
      <c r="AH3193" s="4">
        <v>36</v>
      </c>
      <c r="AI3193" s="4">
        <v>36</v>
      </c>
      <c r="AJ3193" s="4">
        <v>4</v>
      </c>
      <c r="AK3193" s="4">
        <v>4</v>
      </c>
      <c r="AL3193" s="4">
        <v>29</v>
      </c>
      <c r="AM3193" s="4">
        <v>29</v>
      </c>
      <c r="AN3193" s="4">
        <v>0</v>
      </c>
      <c r="AO3193" s="4">
        <v>0</v>
      </c>
      <c r="AP3193" s="4">
        <v>4</v>
      </c>
      <c r="AQ3193" s="4">
        <v>4</v>
      </c>
      <c r="AR3193" s="3" t="s">
        <v>65</v>
      </c>
      <c r="AS3193" s="3" t="s">
        <v>65</v>
      </c>
      <c r="AT3193" s="3" t="s">
        <v>209</v>
      </c>
      <c r="AU3193" s="6" t="str">
        <f>HYPERLINK("http://catalog.hathitrust.org/Record/005817940","HathiTrust Record")</f>
        <v>HathiTrust Record</v>
      </c>
      <c r="AV3193" s="6" t="str">
        <f>HYPERLINK("http://mcgill.on.worldcat.org/oclc/232123923","Catalog Record")</f>
        <v>Catalog Record</v>
      </c>
      <c r="AW3193" s="6" t="str">
        <f>HYPERLINK("http://www.worldcat.org/oclc/232123923","WorldCat Record")</f>
        <v>WorldCat Record</v>
      </c>
      <c r="AX3193" s="3" t="s">
        <v>31619</v>
      </c>
      <c r="AY3193" s="3" t="s">
        <v>31620</v>
      </c>
      <c r="AZ3193" s="3" t="s">
        <v>31621</v>
      </c>
      <c r="BA3193" s="3" t="s">
        <v>31621</v>
      </c>
      <c r="BB3193" s="3" t="s">
        <v>31622</v>
      </c>
      <c r="BC3193" s="3" t="s">
        <v>77</v>
      </c>
      <c r="BD3193" s="3" t="s">
        <v>78</v>
      </c>
      <c r="BE3193" s="3" t="s">
        <v>31623</v>
      </c>
      <c r="BF3193" s="3" t="s">
        <v>31622</v>
      </c>
      <c r="BG3193" s="3" t="s">
        <v>31624</v>
      </c>
    </row>
    <row r="3194" spans="1:59" ht="72.5" x14ac:dyDescent="0.35">
      <c r="A3194" s="2" t="s">
        <v>59</v>
      </c>
      <c r="B3194" s="2" t="s">
        <v>60</v>
      </c>
      <c r="C3194" s="2" t="s">
        <v>31625</v>
      </c>
      <c r="D3194" s="2" t="s">
        <v>31626</v>
      </c>
      <c r="E3194" s="2" t="s">
        <v>31627</v>
      </c>
      <c r="G3194" s="3" t="s">
        <v>65</v>
      </c>
      <c r="I3194" s="3" t="s">
        <v>65</v>
      </c>
      <c r="J3194" s="3" t="s">
        <v>65</v>
      </c>
      <c r="K3194" s="3" t="s">
        <v>66</v>
      </c>
      <c r="L3194" s="2" t="s">
        <v>30202</v>
      </c>
      <c r="M3194" s="2" t="s">
        <v>3305</v>
      </c>
      <c r="N3194" s="3" t="s">
        <v>139</v>
      </c>
      <c r="P3194" s="3" t="s">
        <v>140</v>
      </c>
      <c r="Q3194" s="2" t="s">
        <v>31628</v>
      </c>
      <c r="R3194" s="3" t="s">
        <v>71</v>
      </c>
      <c r="S3194" s="4">
        <v>2</v>
      </c>
      <c r="T3194" s="4">
        <v>2</v>
      </c>
      <c r="U3194" s="5" t="s">
        <v>31552</v>
      </c>
      <c r="V3194" s="5" t="s">
        <v>31552</v>
      </c>
      <c r="W3194" s="5" t="s">
        <v>72</v>
      </c>
      <c r="X3194" s="5" t="s">
        <v>72</v>
      </c>
      <c r="Y3194" s="4">
        <v>38</v>
      </c>
      <c r="Z3194" s="4">
        <v>5</v>
      </c>
      <c r="AA3194" s="4">
        <v>5</v>
      </c>
      <c r="AB3194" s="4">
        <v>1</v>
      </c>
      <c r="AC3194" s="4">
        <v>1</v>
      </c>
      <c r="AD3194" s="4">
        <v>30</v>
      </c>
      <c r="AE3194" s="4">
        <v>30</v>
      </c>
      <c r="AF3194" s="4">
        <v>0</v>
      </c>
      <c r="AG3194" s="4">
        <v>0</v>
      </c>
      <c r="AH3194" s="4">
        <v>30</v>
      </c>
      <c r="AI3194" s="4">
        <v>30</v>
      </c>
      <c r="AJ3194" s="4">
        <v>2</v>
      </c>
      <c r="AK3194" s="4">
        <v>2</v>
      </c>
      <c r="AL3194" s="4">
        <v>23</v>
      </c>
      <c r="AM3194" s="4">
        <v>23</v>
      </c>
      <c r="AN3194" s="4">
        <v>0</v>
      </c>
      <c r="AO3194" s="4">
        <v>0</v>
      </c>
      <c r="AP3194" s="4">
        <v>2</v>
      </c>
      <c r="AQ3194" s="4">
        <v>2</v>
      </c>
      <c r="AR3194" s="3" t="s">
        <v>65</v>
      </c>
      <c r="AS3194" s="3" t="s">
        <v>65</v>
      </c>
      <c r="AT3194" s="3" t="s">
        <v>65</v>
      </c>
      <c r="AV3194" s="6" t="str">
        <f>HYPERLINK("http://mcgill.on.worldcat.org/oclc/828409863","Catalog Record")</f>
        <v>Catalog Record</v>
      </c>
      <c r="AW3194" s="6" t="str">
        <f>HYPERLINK("http://www.worldcat.org/oclc/828409863","WorldCat Record")</f>
        <v>WorldCat Record</v>
      </c>
      <c r="AX3194" s="3" t="s">
        <v>31629</v>
      </c>
      <c r="AY3194" s="3" t="s">
        <v>31630</v>
      </c>
      <c r="AZ3194" s="3" t="s">
        <v>31631</v>
      </c>
      <c r="BA3194" s="3" t="s">
        <v>31631</v>
      </c>
      <c r="BB3194" s="3" t="s">
        <v>31632</v>
      </c>
      <c r="BC3194" s="3" t="s">
        <v>77</v>
      </c>
      <c r="BD3194" s="3" t="s">
        <v>78</v>
      </c>
      <c r="BE3194" s="3" t="s">
        <v>31633</v>
      </c>
      <c r="BF3194" s="3" t="s">
        <v>31632</v>
      </c>
      <c r="BG3194" s="3" t="s">
        <v>31634</v>
      </c>
    </row>
    <row r="3195" spans="1:59" ht="58" x14ac:dyDescent="0.35">
      <c r="A3195" s="2" t="s">
        <v>59</v>
      </c>
      <c r="B3195" s="2" t="s">
        <v>60</v>
      </c>
      <c r="C3195" s="2" t="s">
        <v>31635</v>
      </c>
      <c r="D3195" s="2" t="s">
        <v>31636</v>
      </c>
      <c r="E3195" s="2" t="s">
        <v>31637</v>
      </c>
      <c r="G3195" s="3" t="s">
        <v>65</v>
      </c>
      <c r="I3195" s="3" t="s">
        <v>65</v>
      </c>
      <c r="J3195" s="3" t="s">
        <v>209</v>
      </c>
      <c r="K3195" s="3" t="s">
        <v>66</v>
      </c>
      <c r="L3195" s="2" t="s">
        <v>31473</v>
      </c>
      <c r="M3195" s="2" t="s">
        <v>31638</v>
      </c>
      <c r="N3195" s="3" t="s">
        <v>1151</v>
      </c>
      <c r="P3195" s="3" t="s">
        <v>140</v>
      </c>
      <c r="Q3195" s="2" t="s">
        <v>31639</v>
      </c>
      <c r="R3195" s="3" t="s">
        <v>71</v>
      </c>
      <c r="S3195" s="4">
        <v>21</v>
      </c>
      <c r="T3195" s="4">
        <v>21</v>
      </c>
      <c r="U3195" s="5" t="s">
        <v>9486</v>
      </c>
      <c r="V3195" s="5" t="s">
        <v>9486</v>
      </c>
      <c r="W3195" s="5" t="s">
        <v>72</v>
      </c>
      <c r="X3195" s="5" t="s">
        <v>72</v>
      </c>
      <c r="Y3195" s="4">
        <v>103</v>
      </c>
      <c r="Z3195" s="4">
        <v>5</v>
      </c>
      <c r="AA3195" s="4">
        <v>26</v>
      </c>
      <c r="AB3195" s="4">
        <v>2</v>
      </c>
      <c r="AC3195" s="4">
        <v>6</v>
      </c>
      <c r="AD3195" s="4">
        <v>31</v>
      </c>
      <c r="AE3195" s="4">
        <v>104</v>
      </c>
      <c r="AF3195" s="4">
        <v>1</v>
      </c>
      <c r="AG3195" s="4">
        <v>3</v>
      </c>
      <c r="AH3195" s="4">
        <v>29</v>
      </c>
      <c r="AI3195" s="4">
        <v>94</v>
      </c>
      <c r="AJ3195" s="4">
        <v>4</v>
      </c>
      <c r="AK3195" s="4">
        <v>18</v>
      </c>
      <c r="AL3195" s="4">
        <v>18</v>
      </c>
      <c r="AM3195" s="4">
        <v>55</v>
      </c>
      <c r="AN3195" s="4">
        <v>0</v>
      </c>
      <c r="AO3195" s="4">
        <v>5</v>
      </c>
      <c r="AP3195" s="4">
        <v>4</v>
      </c>
      <c r="AQ3195" s="4">
        <v>17</v>
      </c>
      <c r="AR3195" s="3" t="s">
        <v>65</v>
      </c>
      <c r="AS3195" s="3" t="s">
        <v>65</v>
      </c>
      <c r="AT3195" s="3" t="s">
        <v>209</v>
      </c>
      <c r="AU3195" s="6" t="str">
        <f>HYPERLINK("http://catalog.hathitrust.org/Record/007116681","HathiTrust Record")</f>
        <v>HathiTrust Record</v>
      </c>
      <c r="AV3195" s="6" t="str">
        <f>HYPERLINK("http://mcgill.on.worldcat.org/oclc/2816346","Catalog Record")</f>
        <v>Catalog Record</v>
      </c>
      <c r="AW3195" s="6" t="str">
        <f>HYPERLINK("http://www.worldcat.org/oclc/2816346","WorldCat Record")</f>
        <v>WorldCat Record</v>
      </c>
      <c r="AX3195" s="3" t="s">
        <v>31518</v>
      </c>
      <c r="AY3195" s="3" t="s">
        <v>31640</v>
      </c>
      <c r="AZ3195" s="3" t="s">
        <v>31641</v>
      </c>
      <c r="BA3195" s="3" t="s">
        <v>31641</v>
      </c>
      <c r="BB3195" s="3" t="s">
        <v>31642</v>
      </c>
      <c r="BC3195" s="3" t="s">
        <v>77</v>
      </c>
      <c r="BD3195" s="3" t="s">
        <v>78</v>
      </c>
      <c r="BF3195" s="3" t="s">
        <v>31642</v>
      </c>
      <c r="BG3195" s="3" t="s">
        <v>31643</v>
      </c>
    </row>
    <row r="3196" spans="1:59" ht="58" x14ac:dyDescent="0.35">
      <c r="A3196" s="2" t="s">
        <v>59</v>
      </c>
      <c r="B3196" s="2" t="s">
        <v>60</v>
      </c>
      <c r="C3196" s="2" t="s">
        <v>31644</v>
      </c>
      <c r="D3196" s="2" t="s">
        <v>31645</v>
      </c>
      <c r="E3196" s="2" t="s">
        <v>31646</v>
      </c>
      <c r="G3196" s="3" t="s">
        <v>65</v>
      </c>
      <c r="I3196" s="3" t="s">
        <v>65</v>
      </c>
      <c r="J3196" s="3" t="s">
        <v>209</v>
      </c>
      <c r="K3196" s="3" t="s">
        <v>66</v>
      </c>
      <c r="L3196" s="2" t="s">
        <v>31647</v>
      </c>
      <c r="M3196" s="2" t="s">
        <v>31648</v>
      </c>
      <c r="N3196" s="3" t="s">
        <v>176</v>
      </c>
      <c r="P3196" s="3" t="s">
        <v>140</v>
      </c>
      <c r="Q3196" s="2" t="s">
        <v>31649</v>
      </c>
      <c r="R3196" s="3" t="s">
        <v>71</v>
      </c>
      <c r="S3196" s="4">
        <v>0</v>
      </c>
      <c r="T3196" s="4">
        <v>0</v>
      </c>
      <c r="W3196" s="5" t="s">
        <v>72</v>
      </c>
      <c r="X3196" s="5" t="s">
        <v>72</v>
      </c>
      <c r="Y3196" s="4">
        <v>45</v>
      </c>
      <c r="Z3196" s="4">
        <v>5</v>
      </c>
      <c r="AA3196" s="4">
        <v>24</v>
      </c>
      <c r="AB3196" s="4">
        <v>1</v>
      </c>
      <c r="AC3196" s="4">
        <v>5</v>
      </c>
      <c r="AD3196" s="4">
        <v>32</v>
      </c>
      <c r="AE3196" s="4">
        <v>102</v>
      </c>
      <c r="AF3196" s="4">
        <v>0</v>
      </c>
      <c r="AG3196" s="4">
        <v>2</v>
      </c>
      <c r="AH3196" s="4">
        <v>31</v>
      </c>
      <c r="AI3196" s="4">
        <v>91</v>
      </c>
      <c r="AJ3196" s="4">
        <v>2</v>
      </c>
      <c r="AK3196" s="4">
        <v>16</v>
      </c>
      <c r="AL3196" s="4">
        <v>25</v>
      </c>
      <c r="AM3196" s="4">
        <v>56</v>
      </c>
      <c r="AN3196" s="4">
        <v>0</v>
      </c>
      <c r="AO3196" s="4">
        <v>3</v>
      </c>
      <c r="AP3196" s="4">
        <v>2</v>
      </c>
      <c r="AQ3196" s="4">
        <v>16</v>
      </c>
      <c r="AR3196" s="3" t="s">
        <v>65</v>
      </c>
      <c r="AS3196" s="3" t="s">
        <v>65</v>
      </c>
      <c r="AT3196" s="3" t="s">
        <v>65</v>
      </c>
      <c r="AV3196" s="6" t="str">
        <f>HYPERLINK("http://mcgill.on.worldcat.org/oclc/928638683","Catalog Record")</f>
        <v>Catalog Record</v>
      </c>
      <c r="AW3196" s="6" t="str">
        <f>HYPERLINK("http://www.worldcat.org/oclc/928638683","WorldCat Record")</f>
        <v>WorldCat Record</v>
      </c>
      <c r="AX3196" s="3" t="s">
        <v>31476</v>
      </c>
      <c r="AY3196" s="3" t="s">
        <v>31650</v>
      </c>
      <c r="AZ3196" s="3" t="s">
        <v>31651</v>
      </c>
      <c r="BA3196" s="3" t="s">
        <v>31651</v>
      </c>
      <c r="BB3196" s="3" t="s">
        <v>31652</v>
      </c>
      <c r="BC3196" s="3" t="s">
        <v>77</v>
      </c>
      <c r="BD3196" s="3" t="s">
        <v>78</v>
      </c>
      <c r="BE3196" s="3" t="s">
        <v>31653</v>
      </c>
      <c r="BF3196" s="3" t="s">
        <v>31652</v>
      </c>
      <c r="BG3196" s="3" t="s">
        <v>31654</v>
      </c>
    </row>
    <row r="3197" spans="1:59" ht="58" x14ac:dyDescent="0.35">
      <c r="A3197" s="2" t="s">
        <v>59</v>
      </c>
      <c r="B3197" s="2" t="s">
        <v>60</v>
      </c>
      <c r="C3197" s="2" t="s">
        <v>31655</v>
      </c>
      <c r="D3197" s="2" t="s">
        <v>31656</v>
      </c>
      <c r="E3197" s="2" t="s">
        <v>31657</v>
      </c>
      <c r="G3197" s="3" t="s">
        <v>65</v>
      </c>
      <c r="I3197" s="3" t="s">
        <v>65</v>
      </c>
      <c r="J3197" s="3" t="s">
        <v>209</v>
      </c>
      <c r="K3197" s="3" t="s">
        <v>66</v>
      </c>
      <c r="L3197" s="2" t="s">
        <v>31473</v>
      </c>
      <c r="M3197" s="2" t="s">
        <v>31658</v>
      </c>
      <c r="N3197" s="3" t="s">
        <v>8812</v>
      </c>
      <c r="P3197" s="3" t="s">
        <v>69</v>
      </c>
      <c r="Q3197" s="2" t="s">
        <v>31659</v>
      </c>
      <c r="R3197" s="3" t="s">
        <v>71</v>
      </c>
      <c r="S3197" s="4">
        <v>9</v>
      </c>
      <c r="T3197" s="4">
        <v>9</v>
      </c>
      <c r="U3197" s="5" t="s">
        <v>31660</v>
      </c>
      <c r="V3197" s="5" t="s">
        <v>31660</v>
      </c>
      <c r="W3197" s="5" t="s">
        <v>72</v>
      </c>
      <c r="X3197" s="5" t="s">
        <v>72</v>
      </c>
      <c r="Y3197" s="4">
        <v>278</v>
      </c>
      <c r="Z3197" s="4">
        <v>9</v>
      </c>
      <c r="AA3197" s="4">
        <v>41</v>
      </c>
      <c r="AB3197" s="4">
        <v>1</v>
      </c>
      <c r="AC3197" s="4">
        <v>7</v>
      </c>
      <c r="AD3197" s="4">
        <v>75</v>
      </c>
      <c r="AE3197" s="4">
        <v>129</v>
      </c>
      <c r="AF3197" s="4">
        <v>0</v>
      </c>
      <c r="AG3197" s="4">
        <v>3</v>
      </c>
      <c r="AH3197" s="4">
        <v>69</v>
      </c>
      <c r="AI3197" s="4">
        <v>111</v>
      </c>
      <c r="AJ3197" s="4">
        <v>5</v>
      </c>
      <c r="AK3197" s="4">
        <v>20</v>
      </c>
      <c r="AL3197" s="4">
        <v>40</v>
      </c>
      <c r="AM3197" s="4">
        <v>60</v>
      </c>
      <c r="AN3197" s="4">
        <v>0</v>
      </c>
      <c r="AO3197" s="4">
        <v>5</v>
      </c>
      <c r="AP3197" s="4">
        <v>6</v>
      </c>
      <c r="AQ3197" s="4">
        <v>25</v>
      </c>
      <c r="AR3197" s="3" t="s">
        <v>65</v>
      </c>
      <c r="AS3197" s="3" t="s">
        <v>65</v>
      </c>
      <c r="AT3197" s="3" t="s">
        <v>65</v>
      </c>
      <c r="AU3197" s="6" t="str">
        <f>HYPERLINK("http://catalog.hathitrust.org/Record/001015879","HathiTrust Record")</f>
        <v>HathiTrust Record</v>
      </c>
      <c r="AV3197" s="6" t="str">
        <f>HYPERLINK("http://mcgill.on.worldcat.org/oclc/1281771","Catalog Record")</f>
        <v>Catalog Record</v>
      </c>
      <c r="AW3197" s="6" t="str">
        <f>HYPERLINK("http://www.worldcat.org/oclc/1281771","WorldCat Record")</f>
        <v>WorldCat Record</v>
      </c>
      <c r="AX3197" s="3" t="s">
        <v>31661</v>
      </c>
      <c r="AY3197" s="3" t="s">
        <v>31662</v>
      </c>
      <c r="AZ3197" s="3" t="s">
        <v>31663</v>
      </c>
      <c r="BA3197" s="3" t="s">
        <v>31663</v>
      </c>
      <c r="BB3197" s="3" t="s">
        <v>31664</v>
      </c>
      <c r="BC3197" s="3" t="s">
        <v>77</v>
      </c>
      <c r="BD3197" s="3" t="s">
        <v>78</v>
      </c>
      <c r="BF3197" s="3" t="s">
        <v>31664</v>
      </c>
      <c r="BG3197" s="3" t="s">
        <v>31665</v>
      </c>
    </row>
    <row r="3198" spans="1:59" ht="58" x14ac:dyDescent="0.35">
      <c r="A3198" s="2" t="s">
        <v>59</v>
      </c>
      <c r="B3198" s="2" t="s">
        <v>60</v>
      </c>
      <c r="C3198" s="2" t="s">
        <v>31666</v>
      </c>
      <c r="D3198" s="2" t="s">
        <v>31667</v>
      </c>
      <c r="E3198" s="2" t="s">
        <v>31668</v>
      </c>
      <c r="G3198" s="3" t="s">
        <v>65</v>
      </c>
      <c r="I3198" s="3" t="s">
        <v>65</v>
      </c>
      <c r="J3198" s="3" t="s">
        <v>209</v>
      </c>
      <c r="K3198" s="3" t="s">
        <v>66</v>
      </c>
      <c r="L3198" s="2" t="s">
        <v>31473</v>
      </c>
      <c r="M3198" s="2" t="s">
        <v>3305</v>
      </c>
      <c r="N3198" s="3" t="s">
        <v>139</v>
      </c>
      <c r="O3198" s="2" t="s">
        <v>654</v>
      </c>
      <c r="P3198" s="3" t="s">
        <v>140</v>
      </c>
      <c r="Q3198" s="2" t="s">
        <v>31669</v>
      </c>
      <c r="R3198" s="3" t="s">
        <v>71</v>
      </c>
      <c r="S3198" s="4">
        <v>0</v>
      </c>
      <c r="T3198" s="4">
        <v>0</v>
      </c>
      <c r="W3198" s="5" t="s">
        <v>72</v>
      </c>
      <c r="X3198" s="5" t="s">
        <v>72</v>
      </c>
      <c r="Y3198" s="4">
        <v>61</v>
      </c>
      <c r="Z3198" s="4">
        <v>6</v>
      </c>
      <c r="AA3198" s="4">
        <v>19</v>
      </c>
      <c r="AB3198" s="4">
        <v>1</v>
      </c>
      <c r="AC3198" s="4">
        <v>4</v>
      </c>
      <c r="AD3198" s="4">
        <v>39</v>
      </c>
      <c r="AE3198" s="4">
        <v>83</v>
      </c>
      <c r="AF3198" s="4">
        <v>0</v>
      </c>
      <c r="AG3198" s="4">
        <v>2</v>
      </c>
      <c r="AH3198" s="4">
        <v>38</v>
      </c>
      <c r="AI3198" s="4">
        <v>74</v>
      </c>
      <c r="AJ3198" s="4">
        <v>3</v>
      </c>
      <c r="AK3198" s="4">
        <v>13</v>
      </c>
      <c r="AL3198" s="4">
        <v>30</v>
      </c>
      <c r="AM3198" s="4">
        <v>52</v>
      </c>
      <c r="AN3198" s="4">
        <v>0</v>
      </c>
      <c r="AO3198" s="4">
        <v>9</v>
      </c>
      <c r="AP3198" s="4">
        <v>3</v>
      </c>
      <c r="AQ3198" s="4">
        <v>12</v>
      </c>
      <c r="AR3198" s="3" t="s">
        <v>65</v>
      </c>
      <c r="AS3198" s="3" t="s">
        <v>65</v>
      </c>
      <c r="AT3198" s="3" t="s">
        <v>65</v>
      </c>
      <c r="AV3198" s="6" t="str">
        <f>HYPERLINK("http://mcgill.on.worldcat.org/oclc/814301564","Catalog Record")</f>
        <v>Catalog Record</v>
      </c>
      <c r="AW3198" s="6" t="str">
        <f>HYPERLINK("http://www.worldcat.org/oclc/814301564","WorldCat Record")</f>
        <v>WorldCat Record</v>
      </c>
      <c r="AX3198" s="3" t="s">
        <v>31670</v>
      </c>
      <c r="AY3198" s="3" t="s">
        <v>31671</v>
      </c>
      <c r="AZ3198" s="3" t="s">
        <v>31672</v>
      </c>
      <c r="BA3198" s="3" t="s">
        <v>31672</v>
      </c>
      <c r="BB3198" s="3" t="s">
        <v>31673</v>
      </c>
      <c r="BC3198" s="3" t="s">
        <v>77</v>
      </c>
      <c r="BD3198" s="3" t="s">
        <v>78</v>
      </c>
      <c r="BE3198" s="3" t="s">
        <v>31674</v>
      </c>
      <c r="BF3198" s="3" t="s">
        <v>31673</v>
      </c>
      <c r="BG3198" s="3" t="s">
        <v>31675</v>
      </c>
    </row>
    <row r="3199" spans="1:59" ht="58" x14ac:dyDescent="0.35">
      <c r="A3199" s="2" t="s">
        <v>59</v>
      </c>
      <c r="B3199" s="2" t="s">
        <v>60</v>
      </c>
      <c r="C3199" s="2" t="s">
        <v>31676</v>
      </c>
      <c r="D3199" s="2" t="s">
        <v>31677</v>
      </c>
      <c r="E3199" s="2" t="s">
        <v>31678</v>
      </c>
      <c r="G3199" s="3" t="s">
        <v>65</v>
      </c>
      <c r="I3199" s="3" t="s">
        <v>65</v>
      </c>
      <c r="J3199" s="3" t="s">
        <v>65</v>
      </c>
      <c r="K3199" s="3" t="s">
        <v>66</v>
      </c>
      <c r="L3199" s="2" t="s">
        <v>31679</v>
      </c>
      <c r="M3199" s="2" t="s">
        <v>338</v>
      </c>
      <c r="N3199" s="3" t="s">
        <v>113</v>
      </c>
      <c r="O3199" s="2" t="s">
        <v>339</v>
      </c>
      <c r="P3199" s="3" t="s">
        <v>140</v>
      </c>
      <c r="Q3199" s="2" t="s">
        <v>31680</v>
      </c>
      <c r="R3199" s="3" t="s">
        <v>71</v>
      </c>
      <c r="S3199" s="4">
        <v>1</v>
      </c>
      <c r="T3199" s="4">
        <v>1</v>
      </c>
      <c r="U3199" s="5" t="s">
        <v>31681</v>
      </c>
      <c r="V3199" s="5" t="s">
        <v>31681</v>
      </c>
      <c r="W3199" s="5" t="s">
        <v>72</v>
      </c>
      <c r="X3199" s="5" t="s">
        <v>72</v>
      </c>
      <c r="Y3199" s="4">
        <v>57</v>
      </c>
      <c r="Z3199" s="4">
        <v>6</v>
      </c>
      <c r="AA3199" s="4">
        <v>6</v>
      </c>
      <c r="AB3199" s="4">
        <v>1</v>
      </c>
      <c r="AC3199" s="4">
        <v>1</v>
      </c>
      <c r="AD3199" s="4">
        <v>40</v>
      </c>
      <c r="AE3199" s="4">
        <v>40</v>
      </c>
      <c r="AF3199" s="4">
        <v>0</v>
      </c>
      <c r="AG3199" s="4">
        <v>0</v>
      </c>
      <c r="AH3199" s="4">
        <v>39</v>
      </c>
      <c r="AI3199" s="4">
        <v>39</v>
      </c>
      <c r="AJ3199" s="4">
        <v>3</v>
      </c>
      <c r="AK3199" s="4">
        <v>3</v>
      </c>
      <c r="AL3199" s="4">
        <v>30</v>
      </c>
      <c r="AM3199" s="4">
        <v>30</v>
      </c>
      <c r="AN3199" s="4">
        <v>0</v>
      </c>
      <c r="AO3199" s="4">
        <v>0</v>
      </c>
      <c r="AP3199" s="4">
        <v>3</v>
      </c>
      <c r="AQ3199" s="4">
        <v>3</v>
      </c>
      <c r="AR3199" s="3" t="s">
        <v>65</v>
      </c>
      <c r="AS3199" s="3" t="s">
        <v>65</v>
      </c>
      <c r="AT3199" s="3" t="s">
        <v>65</v>
      </c>
      <c r="AV3199" s="6" t="str">
        <f>HYPERLINK("http://mcgill.on.worldcat.org/oclc/697263770","Catalog Record")</f>
        <v>Catalog Record</v>
      </c>
      <c r="AW3199" s="6" t="str">
        <f>HYPERLINK("http://www.worldcat.org/oclc/697263770","WorldCat Record")</f>
        <v>WorldCat Record</v>
      </c>
      <c r="AX3199" s="3" t="s">
        <v>31682</v>
      </c>
      <c r="AY3199" s="3" t="s">
        <v>31683</v>
      </c>
      <c r="AZ3199" s="3" t="s">
        <v>31684</v>
      </c>
      <c r="BA3199" s="3" t="s">
        <v>31684</v>
      </c>
      <c r="BB3199" s="3" t="s">
        <v>31685</v>
      </c>
      <c r="BC3199" s="3" t="s">
        <v>77</v>
      </c>
      <c r="BD3199" s="3" t="s">
        <v>78</v>
      </c>
      <c r="BE3199" s="3" t="s">
        <v>31686</v>
      </c>
      <c r="BF3199" s="3" t="s">
        <v>31685</v>
      </c>
      <c r="BG3199" s="3" t="s">
        <v>31687</v>
      </c>
    </row>
    <row r="3200" spans="1:59" ht="72.5" x14ac:dyDescent="0.35">
      <c r="A3200" s="2" t="s">
        <v>59</v>
      </c>
      <c r="B3200" s="2" t="s">
        <v>60</v>
      </c>
      <c r="C3200" s="2" t="s">
        <v>31688</v>
      </c>
      <c r="D3200" s="2" t="s">
        <v>31689</v>
      </c>
      <c r="E3200" s="2" t="s">
        <v>31690</v>
      </c>
      <c r="G3200" s="3" t="s">
        <v>65</v>
      </c>
      <c r="I3200" s="3" t="s">
        <v>65</v>
      </c>
      <c r="J3200" s="3" t="s">
        <v>65</v>
      </c>
      <c r="K3200" s="3" t="s">
        <v>66</v>
      </c>
      <c r="L3200" s="2" t="s">
        <v>16950</v>
      </c>
      <c r="M3200" s="2" t="s">
        <v>19714</v>
      </c>
      <c r="N3200" s="3" t="s">
        <v>113</v>
      </c>
      <c r="P3200" s="3" t="s">
        <v>140</v>
      </c>
      <c r="Q3200" s="2" t="s">
        <v>31691</v>
      </c>
      <c r="R3200" s="3" t="s">
        <v>71</v>
      </c>
      <c r="S3200" s="4">
        <v>2</v>
      </c>
      <c r="T3200" s="4">
        <v>2</v>
      </c>
      <c r="U3200" s="5" t="s">
        <v>31552</v>
      </c>
      <c r="V3200" s="5" t="s">
        <v>31552</v>
      </c>
      <c r="W3200" s="5" t="s">
        <v>72</v>
      </c>
      <c r="X3200" s="5" t="s">
        <v>72</v>
      </c>
      <c r="Y3200" s="4">
        <v>56</v>
      </c>
      <c r="Z3200" s="4">
        <v>5</v>
      </c>
      <c r="AA3200" s="4">
        <v>5</v>
      </c>
      <c r="AB3200" s="4">
        <v>1</v>
      </c>
      <c r="AC3200" s="4">
        <v>1</v>
      </c>
      <c r="AD3200" s="4">
        <v>38</v>
      </c>
      <c r="AE3200" s="4">
        <v>38</v>
      </c>
      <c r="AF3200" s="4">
        <v>0</v>
      </c>
      <c r="AG3200" s="4">
        <v>0</v>
      </c>
      <c r="AH3200" s="4">
        <v>37</v>
      </c>
      <c r="AI3200" s="4">
        <v>37</v>
      </c>
      <c r="AJ3200" s="4">
        <v>2</v>
      </c>
      <c r="AK3200" s="4">
        <v>2</v>
      </c>
      <c r="AL3200" s="4">
        <v>29</v>
      </c>
      <c r="AM3200" s="4">
        <v>29</v>
      </c>
      <c r="AN3200" s="4">
        <v>0</v>
      </c>
      <c r="AO3200" s="4">
        <v>0</v>
      </c>
      <c r="AP3200" s="4">
        <v>2</v>
      </c>
      <c r="AQ3200" s="4">
        <v>2</v>
      </c>
      <c r="AR3200" s="3" t="s">
        <v>65</v>
      </c>
      <c r="AS3200" s="3" t="s">
        <v>65</v>
      </c>
      <c r="AT3200" s="3" t="s">
        <v>65</v>
      </c>
      <c r="AV3200" s="6" t="str">
        <f>HYPERLINK("http://mcgill.on.worldcat.org/oclc/609529780","Catalog Record")</f>
        <v>Catalog Record</v>
      </c>
      <c r="AW3200" s="6" t="str">
        <f>HYPERLINK("http://www.worldcat.org/oclc/609529780","WorldCat Record")</f>
        <v>WorldCat Record</v>
      </c>
      <c r="AX3200" s="3" t="s">
        <v>31692</v>
      </c>
      <c r="AY3200" s="3" t="s">
        <v>31693</v>
      </c>
      <c r="AZ3200" s="3" t="s">
        <v>31694</v>
      </c>
      <c r="BA3200" s="3" t="s">
        <v>31694</v>
      </c>
      <c r="BB3200" s="3" t="s">
        <v>31695</v>
      </c>
      <c r="BC3200" s="3" t="s">
        <v>77</v>
      </c>
      <c r="BD3200" s="3" t="s">
        <v>78</v>
      </c>
      <c r="BE3200" s="3" t="s">
        <v>31696</v>
      </c>
      <c r="BF3200" s="3" t="s">
        <v>31695</v>
      </c>
      <c r="BG3200" s="3" t="s">
        <v>31697</v>
      </c>
    </row>
    <row r="3201" spans="1:59" ht="58" x14ac:dyDescent="0.35">
      <c r="A3201" s="2" t="s">
        <v>59</v>
      </c>
      <c r="B3201" s="2" t="s">
        <v>60</v>
      </c>
      <c r="C3201" s="2" t="s">
        <v>31698</v>
      </c>
      <c r="D3201" s="2" t="s">
        <v>31699</v>
      </c>
      <c r="E3201" s="2" t="s">
        <v>31700</v>
      </c>
      <c r="G3201" s="3" t="s">
        <v>65</v>
      </c>
      <c r="I3201" s="3" t="s">
        <v>65</v>
      </c>
      <c r="J3201" s="3" t="s">
        <v>65</v>
      </c>
      <c r="K3201" s="3" t="s">
        <v>66</v>
      </c>
      <c r="M3201" s="2" t="s">
        <v>31701</v>
      </c>
      <c r="N3201" s="3" t="s">
        <v>615</v>
      </c>
      <c r="P3201" s="3" t="s">
        <v>140</v>
      </c>
      <c r="Q3201" s="2" t="s">
        <v>31702</v>
      </c>
      <c r="R3201" s="3" t="s">
        <v>71</v>
      </c>
      <c r="S3201" s="4">
        <v>3</v>
      </c>
      <c r="T3201" s="4">
        <v>3</v>
      </c>
      <c r="U3201" s="5" t="s">
        <v>31552</v>
      </c>
      <c r="V3201" s="5" t="s">
        <v>31552</v>
      </c>
      <c r="W3201" s="5" t="s">
        <v>72</v>
      </c>
      <c r="X3201" s="5" t="s">
        <v>72</v>
      </c>
      <c r="Y3201" s="4">
        <v>71</v>
      </c>
      <c r="Z3201" s="4">
        <v>15</v>
      </c>
      <c r="AA3201" s="4">
        <v>15</v>
      </c>
      <c r="AB3201" s="4">
        <v>2</v>
      </c>
      <c r="AC3201" s="4">
        <v>2</v>
      </c>
      <c r="AD3201" s="4">
        <v>31</v>
      </c>
      <c r="AE3201" s="4">
        <v>31</v>
      </c>
      <c r="AF3201" s="4">
        <v>0</v>
      </c>
      <c r="AG3201" s="4">
        <v>0</v>
      </c>
      <c r="AH3201" s="4">
        <v>27</v>
      </c>
      <c r="AI3201" s="4">
        <v>27</v>
      </c>
      <c r="AJ3201" s="4">
        <v>9</v>
      </c>
      <c r="AK3201" s="4">
        <v>9</v>
      </c>
      <c r="AL3201" s="4">
        <v>15</v>
      </c>
      <c r="AM3201" s="4">
        <v>15</v>
      </c>
      <c r="AN3201" s="4">
        <v>0</v>
      </c>
      <c r="AO3201" s="4">
        <v>0</v>
      </c>
      <c r="AP3201" s="4">
        <v>10</v>
      </c>
      <c r="AQ3201" s="4">
        <v>10</v>
      </c>
      <c r="AR3201" s="3" t="s">
        <v>65</v>
      </c>
      <c r="AS3201" s="3" t="s">
        <v>65</v>
      </c>
      <c r="AT3201" s="3" t="s">
        <v>209</v>
      </c>
      <c r="AU3201" s="6" t="str">
        <f>HYPERLINK("http://catalog.hathitrust.org/Record/002859004","HathiTrust Record")</f>
        <v>HathiTrust Record</v>
      </c>
      <c r="AV3201" s="6" t="str">
        <f>HYPERLINK("http://mcgill.on.worldcat.org/oclc/13622488","Catalog Record")</f>
        <v>Catalog Record</v>
      </c>
      <c r="AW3201" s="6" t="str">
        <f>HYPERLINK("http://www.worldcat.org/oclc/13622488","WorldCat Record")</f>
        <v>WorldCat Record</v>
      </c>
      <c r="AX3201" s="3" t="s">
        <v>31703</v>
      </c>
      <c r="AY3201" s="3" t="s">
        <v>31704</v>
      </c>
      <c r="AZ3201" s="3" t="s">
        <v>31705</v>
      </c>
      <c r="BA3201" s="3" t="s">
        <v>31705</v>
      </c>
      <c r="BB3201" s="3" t="s">
        <v>31706</v>
      </c>
      <c r="BC3201" s="3" t="s">
        <v>77</v>
      </c>
      <c r="BD3201" s="3" t="s">
        <v>78</v>
      </c>
      <c r="BE3201" s="3" t="s">
        <v>31707</v>
      </c>
      <c r="BF3201" s="3" t="s">
        <v>31706</v>
      </c>
      <c r="BG3201" s="3" t="s">
        <v>31708</v>
      </c>
    </row>
    <row r="3202" spans="1:59" ht="58" x14ac:dyDescent="0.35">
      <c r="A3202" s="2" t="s">
        <v>59</v>
      </c>
      <c r="B3202" s="2" t="s">
        <v>60</v>
      </c>
      <c r="C3202" s="2" t="s">
        <v>31709</v>
      </c>
      <c r="D3202" s="2" t="s">
        <v>31710</v>
      </c>
      <c r="E3202" s="2" t="s">
        <v>31711</v>
      </c>
      <c r="G3202" s="3" t="s">
        <v>65</v>
      </c>
      <c r="I3202" s="3" t="s">
        <v>65</v>
      </c>
      <c r="J3202" s="3" t="s">
        <v>65</v>
      </c>
      <c r="K3202" s="3" t="s">
        <v>66</v>
      </c>
      <c r="L3202" s="2" t="s">
        <v>31712</v>
      </c>
      <c r="M3202" s="2" t="s">
        <v>31713</v>
      </c>
      <c r="N3202" s="3" t="s">
        <v>152</v>
      </c>
      <c r="O3202" s="2" t="s">
        <v>365</v>
      </c>
      <c r="P3202" s="3" t="s">
        <v>140</v>
      </c>
      <c r="Q3202" s="2" t="s">
        <v>31714</v>
      </c>
      <c r="R3202" s="3" t="s">
        <v>71</v>
      </c>
      <c r="S3202" s="4">
        <v>0</v>
      </c>
      <c r="T3202" s="4">
        <v>0</v>
      </c>
      <c r="W3202" s="5" t="s">
        <v>72</v>
      </c>
      <c r="X3202" s="5" t="s">
        <v>72</v>
      </c>
      <c r="Y3202" s="4">
        <v>43</v>
      </c>
      <c r="Z3202" s="4">
        <v>4</v>
      </c>
      <c r="AA3202" s="4">
        <v>4</v>
      </c>
      <c r="AB3202" s="4">
        <v>1</v>
      </c>
      <c r="AC3202" s="4">
        <v>1</v>
      </c>
      <c r="AD3202" s="4">
        <v>27</v>
      </c>
      <c r="AE3202" s="4">
        <v>27</v>
      </c>
      <c r="AF3202" s="4">
        <v>0</v>
      </c>
      <c r="AG3202" s="4">
        <v>0</v>
      </c>
      <c r="AH3202" s="4">
        <v>26</v>
      </c>
      <c r="AI3202" s="4">
        <v>26</v>
      </c>
      <c r="AJ3202" s="4">
        <v>1</v>
      </c>
      <c r="AK3202" s="4">
        <v>1</v>
      </c>
      <c r="AL3202" s="4">
        <v>22</v>
      </c>
      <c r="AM3202" s="4">
        <v>22</v>
      </c>
      <c r="AN3202" s="4">
        <v>0</v>
      </c>
      <c r="AO3202" s="4">
        <v>0</v>
      </c>
      <c r="AP3202" s="4">
        <v>1</v>
      </c>
      <c r="AQ3202" s="4">
        <v>1</v>
      </c>
      <c r="AR3202" s="3" t="s">
        <v>65</v>
      </c>
      <c r="AS3202" s="3" t="s">
        <v>65</v>
      </c>
      <c r="AT3202" s="3" t="s">
        <v>65</v>
      </c>
      <c r="AV3202" s="6" t="str">
        <f>HYPERLINK("http://mcgill.on.worldcat.org/oclc/843755286","Catalog Record")</f>
        <v>Catalog Record</v>
      </c>
      <c r="AW3202" s="6" t="str">
        <f>HYPERLINK("http://www.worldcat.org/oclc/843755286","WorldCat Record")</f>
        <v>WorldCat Record</v>
      </c>
      <c r="AX3202" s="3" t="s">
        <v>31715</v>
      </c>
      <c r="AY3202" s="3" t="s">
        <v>31716</v>
      </c>
      <c r="AZ3202" s="3" t="s">
        <v>31717</v>
      </c>
      <c r="BA3202" s="3" t="s">
        <v>31717</v>
      </c>
      <c r="BB3202" s="3" t="s">
        <v>31718</v>
      </c>
      <c r="BC3202" s="3" t="s">
        <v>77</v>
      </c>
      <c r="BD3202" s="3" t="s">
        <v>78</v>
      </c>
      <c r="BE3202" s="3" t="s">
        <v>31719</v>
      </c>
      <c r="BF3202" s="3" t="s">
        <v>31718</v>
      </c>
      <c r="BG3202" s="3" t="s">
        <v>31720</v>
      </c>
    </row>
    <row r="3203" spans="1:59" ht="58" x14ac:dyDescent="0.35">
      <c r="A3203" s="2" t="s">
        <v>59</v>
      </c>
      <c r="B3203" s="2" t="s">
        <v>60</v>
      </c>
      <c r="C3203" s="2" t="s">
        <v>31721</v>
      </c>
      <c r="D3203" s="2" t="s">
        <v>31722</v>
      </c>
      <c r="E3203" s="2" t="s">
        <v>31723</v>
      </c>
      <c r="G3203" s="3" t="s">
        <v>65</v>
      </c>
      <c r="I3203" s="3" t="s">
        <v>65</v>
      </c>
      <c r="J3203" s="3" t="s">
        <v>209</v>
      </c>
      <c r="K3203" s="3" t="s">
        <v>66</v>
      </c>
      <c r="L3203" s="2" t="s">
        <v>27147</v>
      </c>
      <c r="M3203" s="2" t="s">
        <v>31724</v>
      </c>
      <c r="N3203" s="3" t="s">
        <v>906</v>
      </c>
      <c r="P3203" s="3" t="s">
        <v>140</v>
      </c>
      <c r="Q3203" s="2" t="s">
        <v>31725</v>
      </c>
      <c r="R3203" s="3" t="s">
        <v>71</v>
      </c>
      <c r="S3203" s="4">
        <v>3</v>
      </c>
      <c r="T3203" s="4">
        <v>3</v>
      </c>
      <c r="U3203" s="5" t="s">
        <v>31552</v>
      </c>
      <c r="V3203" s="5" t="s">
        <v>31552</v>
      </c>
      <c r="W3203" s="5" t="s">
        <v>72</v>
      </c>
      <c r="X3203" s="5" t="s">
        <v>72</v>
      </c>
      <c r="Y3203" s="4">
        <v>71</v>
      </c>
      <c r="Z3203" s="4">
        <v>7</v>
      </c>
      <c r="AA3203" s="4">
        <v>8</v>
      </c>
      <c r="AB3203" s="4">
        <v>1</v>
      </c>
      <c r="AC3203" s="4">
        <v>1</v>
      </c>
      <c r="AD3203" s="4">
        <v>29</v>
      </c>
      <c r="AE3203" s="4">
        <v>48</v>
      </c>
      <c r="AF3203" s="4">
        <v>0</v>
      </c>
      <c r="AG3203" s="4">
        <v>0</v>
      </c>
      <c r="AH3203" s="4">
        <v>27</v>
      </c>
      <c r="AI3203" s="4">
        <v>45</v>
      </c>
      <c r="AJ3203" s="4">
        <v>3</v>
      </c>
      <c r="AK3203" s="4">
        <v>4</v>
      </c>
      <c r="AL3203" s="4">
        <v>17</v>
      </c>
      <c r="AM3203" s="4">
        <v>33</v>
      </c>
      <c r="AN3203" s="4">
        <v>0</v>
      </c>
      <c r="AO3203" s="4">
        <v>0</v>
      </c>
      <c r="AP3203" s="4">
        <v>4</v>
      </c>
      <c r="AQ3203" s="4">
        <v>5</v>
      </c>
      <c r="AR3203" s="3" t="s">
        <v>65</v>
      </c>
      <c r="AS3203" s="3" t="s">
        <v>65</v>
      </c>
      <c r="AT3203" s="3" t="s">
        <v>65</v>
      </c>
      <c r="AV3203" s="6" t="str">
        <f>HYPERLINK("http://mcgill.on.worldcat.org/oclc/6648919","Catalog Record")</f>
        <v>Catalog Record</v>
      </c>
      <c r="AW3203" s="6" t="str">
        <f>HYPERLINK("http://www.worldcat.org/oclc/6648919","WorldCat Record")</f>
        <v>WorldCat Record</v>
      </c>
      <c r="AX3203" s="3" t="s">
        <v>31726</v>
      </c>
      <c r="AY3203" s="3" t="s">
        <v>31727</v>
      </c>
      <c r="AZ3203" s="3" t="s">
        <v>31728</v>
      </c>
      <c r="BA3203" s="3" t="s">
        <v>31728</v>
      </c>
      <c r="BB3203" s="3" t="s">
        <v>31729</v>
      </c>
      <c r="BC3203" s="3" t="s">
        <v>77</v>
      </c>
      <c r="BD3203" s="3" t="s">
        <v>78</v>
      </c>
      <c r="BE3203" s="3" t="s">
        <v>31730</v>
      </c>
      <c r="BF3203" s="3" t="s">
        <v>31729</v>
      </c>
      <c r="BG3203" s="3" t="s">
        <v>31731</v>
      </c>
    </row>
    <row r="3204" spans="1:59" ht="72.5" x14ac:dyDescent="0.35">
      <c r="A3204" s="2" t="s">
        <v>59</v>
      </c>
      <c r="B3204" s="2" t="s">
        <v>60</v>
      </c>
      <c r="C3204" s="2" t="s">
        <v>31732</v>
      </c>
      <c r="D3204" s="2" t="s">
        <v>31733</v>
      </c>
      <c r="E3204" s="2" t="s">
        <v>31734</v>
      </c>
      <c r="G3204" s="3" t="s">
        <v>65</v>
      </c>
      <c r="I3204" s="3" t="s">
        <v>65</v>
      </c>
      <c r="J3204" s="3" t="s">
        <v>65</v>
      </c>
      <c r="K3204" s="3" t="s">
        <v>66</v>
      </c>
      <c r="L3204" s="2" t="s">
        <v>3257</v>
      </c>
      <c r="M3204" s="2" t="s">
        <v>31735</v>
      </c>
      <c r="N3204" s="3" t="s">
        <v>139</v>
      </c>
      <c r="P3204" s="3" t="s">
        <v>140</v>
      </c>
      <c r="Q3204" s="2" t="s">
        <v>31736</v>
      </c>
      <c r="R3204" s="3" t="s">
        <v>71</v>
      </c>
      <c r="S3204" s="4">
        <v>0</v>
      </c>
      <c r="T3204" s="4">
        <v>0</v>
      </c>
      <c r="W3204" s="5" t="s">
        <v>72</v>
      </c>
      <c r="X3204" s="5" t="s">
        <v>72</v>
      </c>
      <c r="Y3204" s="4">
        <v>45</v>
      </c>
      <c r="Z3204" s="4">
        <v>5</v>
      </c>
      <c r="AA3204" s="4">
        <v>5</v>
      </c>
      <c r="AB3204" s="4">
        <v>1</v>
      </c>
      <c r="AC3204" s="4">
        <v>1</v>
      </c>
      <c r="AD3204" s="4">
        <v>31</v>
      </c>
      <c r="AE3204" s="4">
        <v>31</v>
      </c>
      <c r="AF3204" s="4">
        <v>0</v>
      </c>
      <c r="AG3204" s="4">
        <v>0</v>
      </c>
      <c r="AH3204" s="4">
        <v>30</v>
      </c>
      <c r="AI3204" s="4">
        <v>30</v>
      </c>
      <c r="AJ3204" s="4">
        <v>2</v>
      </c>
      <c r="AK3204" s="4">
        <v>2</v>
      </c>
      <c r="AL3204" s="4">
        <v>25</v>
      </c>
      <c r="AM3204" s="4">
        <v>25</v>
      </c>
      <c r="AN3204" s="4">
        <v>0</v>
      </c>
      <c r="AO3204" s="4">
        <v>0</v>
      </c>
      <c r="AP3204" s="4">
        <v>2</v>
      </c>
      <c r="AQ3204" s="4">
        <v>2</v>
      </c>
      <c r="AR3204" s="3" t="s">
        <v>65</v>
      </c>
      <c r="AS3204" s="3" t="s">
        <v>65</v>
      </c>
      <c r="AT3204" s="3" t="s">
        <v>65</v>
      </c>
      <c r="AV3204" s="6" t="str">
        <f>HYPERLINK("http://mcgill.on.worldcat.org/oclc/805054450","Catalog Record")</f>
        <v>Catalog Record</v>
      </c>
      <c r="AW3204" s="6" t="str">
        <f>HYPERLINK("http://www.worldcat.org/oclc/805054450","WorldCat Record")</f>
        <v>WorldCat Record</v>
      </c>
      <c r="AX3204" s="3" t="s">
        <v>31737</v>
      </c>
      <c r="AY3204" s="3" t="s">
        <v>31738</v>
      </c>
      <c r="AZ3204" s="3" t="s">
        <v>31739</v>
      </c>
      <c r="BA3204" s="3" t="s">
        <v>31739</v>
      </c>
      <c r="BB3204" s="3" t="s">
        <v>31740</v>
      </c>
      <c r="BC3204" s="3" t="s">
        <v>77</v>
      </c>
      <c r="BD3204" s="3" t="s">
        <v>78</v>
      </c>
      <c r="BE3204" s="3" t="s">
        <v>31741</v>
      </c>
      <c r="BF3204" s="3" t="s">
        <v>31740</v>
      </c>
      <c r="BG3204" s="3" t="s">
        <v>31742</v>
      </c>
    </row>
    <row r="3205" spans="1:59" ht="72.5" x14ac:dyDescent="0.35">
      <c r="A3205" s="2" t="s">
        <v>59</v>
      </c>
      <c r="B3205" s="2" t="s">
        <v>60</v>
      </c>
      <c r="C3205" s="2" t="s">
        <v>31743</v>
      </c>
      <c r="D3205" s="2" t="s">
        <v>31744</v>
      </c>
      <c r="E3205" s="2" t="s">
        <v>31745</v>
      </c>
      <c r="F3205" s="3" t="s">
        <v>258</v>
      </c>
      <c r="G3205" s="3" t="s">
        <v>209</v>
      </c>
      <c r="I3205" s="3" t="s">
        <v>65</v>
      </c>
      <c r="J3205" s="3" t="s">
        <v>65</v>
      </c>
      <c r="K3205" s="3" t="s">
        <v>66</v>
      </c>
      <c r="M3205" s="2" t="s">
        <v>31746</v>
      </c>
      <c r="N3205" s="3" t="s">
        <v>164</v>
      </c>
      <c r="P3205" s="3" t="s">
        <v>140</v>
      </c>
      <c r="Q3205" s="2" t="s">
        <v>2245</v>
      </c>
      <c r="R3205" s="3" t="s">
        <v>71</v>
      </c>
      <c r="S3205" s="4">
        <v>0</v>
      </c>
      <c r="T3205" s="4">
        <v>2</v>
      </c>
      <c r="V3205" s="5" t="s">
        <v>31552</v>
      </c>
      <c r="W3205" s="5" t="s">
        <v>72</v>
      </c>
      <c r="X3205" s="5" t="s">
        <v>72</v>
      </c>
      <c r="Y3205" s="4">
        <v>42</v>
      </c>
      <c r="Z3205" s="4">
        <v>6</v>
      </c>
      <c r="AA3205" s="4">
        <v>6</v>
      </c>
      <c r="AB3205" s="4">
        <v>1</v>
      </c>
      <c r="AC3205" s="4">
        <v>1</v>
      </c>
      <c r="AD3205" s="4">
        <v>22</v>
      </c>
      <c r="AE3205" s="4">
        <v>22</v>
      </c>
      <c r="AF3205" s="4">
        <v>0</v>
      </c>
      <c r="AG3205" s="4">
        <v>0</v>
      </c>
      <c r="AH3205" s="4">
        <v>20</v>
      </c>
      <c r="AI3205" s="4">
        <v>20</v>
      </c>
      <c r="AJ3205" s="4">
        <v>4</v>
      </c>
      <c r="AK3205" s="4">
        <v>4</v>
      </c>
      <c r="AL3205" s="4">
        <v>14</v>
      </c>
      <c r="AM3205" s="4">
        <v>14</v>
      </c>
      <c r="AN3205" s="4">
        <v>0</v>
      </c>
      <c r="AO3205" s="4">
        <v>0</v>
      </c>
      <c r="AP3205" s="4">
        <v>4</v>
      </c>
      <c r="AQ3205" s="4">
        <v>4</v>
      </c>
      <c r="AR3205" s="3" t="s">
        <v>65</v>
      </c>
      <c r="AS3205" s="3" t="s">
        <v>65</v>
      </c>
      <c r="AT3205" s="3" t="s">
        <v>65</v>
      </c>
      <c r="AV3205" s="6" t="str">
        <f>HYPERLINK("http://mcgill.on.worldcat.org/oclc/883848482","Catalog Record")</f>
        <v>Catalog Record</v>
      </c>
      <c r="AW3205" s="6" t="str">
        <f>HYPERLINK("http://www.worldcat.org/oclc/883848482","WorldCat Record")</f>
        <v>WorldCat Record</v>
      </c>
      <c r="AX3205" s="3" t="s">
        <v>31747</v>
      </c>
      <c r="AY3205" s="3" t="s">
        <v>31748</v>
      </c>
      <c r="AZ3205" s="3" t="s">
        <v>31749</v>
      </c>
      <c r="BA3205" s="3" t="s">
        <v>31749</v>
      </c>
      <c r="BB3205" s="3" t="s">
        <v>31750</v>
      </c>
      <c r="BC3205" s="3" t="s">
        <v>77</v>
      </c>
      <c r="BD3205" s="3" t="s">
        <v>78</v>
      </c>
      <c r="BE3205" s="3" t="s">
        <v>31751</v>
      </c>
      <c r="BF3205" s="3" t="s">
        <v>31750</v>
      </c>
      <c r="BG3205" s="3" t="s">
        <v>31752</v>
      </c>
    </row>
    <row r="3206" spans="1:59" ht="72.5" x14ac:dyDescent="0.35">
      <c r="A3206" s="2" t="s">
        <v>59</v>
      </c>
      <c r="B3206" s="2" t="s">
        <v>60</v>
      </c>
      <c r="C3206" s="2" t="s">
        <v>31743</v>
      </c>
      <c r="D3206" s="2" t="s">
        <v>31744</v>
      </c>
      <c r="E3206" s="2" t="s">
        <v>31745</v>
      </c>
      <c r="F3206" s="3" t="s">
        <v>245</v>
      </c>
      <c r="G3206" s="3" t="s">
        <v>209</v>
      </c>
      <c r="I3206" s="3" t="s">
        <v>65</v>
      </c>
      <c r="J3206" s="3" t="s">
        <v>65</v>
      </c>
      <c r="K3206" s="3" t="s">
        <v>66</v>
      </c>
      <c r="M3206" s="2" t="s">
        <v>31746</v>
      </c>
      <c r="N3206" s="3" t="s">
        <v>164</v>
      </c>
      <c r="P3206" s="3" t="s">
        <v>140</v>
      </c>
      <c r="Q3206" s="2" t="s">
        <v>2245</v>
      </c>
      <c r="R3206" s="3" t="s">
        <v>71</v>
      </c>
      <c r="S3206" s="4">
        <v>2</v>
      </c>
      <c r="T3206" s="4">
        <v>2</v>
      </c>
      <c r="U3206" s="5" t="s">
        <v>31552</v>
      </c>
      <c r="V3206" s="5" t="s">
        <v>31552</v>
      </c>
      <c r="W3206" s="5" t="s">
        <v>72</v>
      </c>
      <c r="X3206" s="5" t="s">
        <v>72</v>
      </c>
      <c r="Y3206" s="4">
        <v>42</v>
      </c>
      <c r="Z3206" s="4">
        <v>6</v>
      </c>
      <c r="AA3206" s="4">
        <v>6</v>
      </c>
      <c r="AB3206" s="4">
        <v>1</v>
      </c>
      <c r="AC3206" s="4">
        <v>1</v>
      </c>
      <c r="AD3206" s="4">
        <v>22</v>
      </c>
      <c r="AE3206" s="4">
        <v>22</v>
      </c>
      <c r="AF3206" s="4">
        <v>0</v>
      </c>
      <c r="AG3206" s="4">
        <v>0</v>
      </c>
      <c r="AH3206" s="4">
        <v>20</v>
      </c>
      <c r="AI3206" s="4">
        <v>20</v>
      </c>
      <c r="AJ3206" s="4">
        <v>4</v>
      </c>
      <c r="AK3206" s="4">
        <v>4</v>
      </c>
      <c r="AL3206" s="4">
        <v>14</v>
      </c>
      <c r="AM3206" s="4">
        <v>14</v>
      </c>
      <c r="AN3206" s="4">
        <v>0</v>
      </c>
      <c r="AO3206" s="4">
        <v>0</v>
      </c>
      <c r="AP3206" s="4">
        <v>4</v>
      </c>
      <c r="AQ3206" s="4">
        <v>4</v>
      </c>
      <c r="AR3206" s="3" t="s">
        <v>65</v>
      </c>
      <c r="AS3206" s="3" t="s">
        <v>65</v>
      </c>
      <c r="AT3206" s="3" t="s">
        <v>65</v>
      </c>
      <c r="AV3206" s="6" t="str">
        <f>HYPERLINK("http://mcgill.on.worldcat.org/oclc/883848482","Catalog Record")</f>
        <v>Catalog Record</v>
      </c>
      <c r="AW3206" s="6" t="str">
        <f>HYPERLINK("http://www.worldcat.org/oclc/883848482","WorldCat Record")</f>
        <v>WorldCat Record</v>
      </c>
      <c r="AX3206" s="3" t="s">
        <v>31747</v>
      </c>
      <c r="AY3206" s="3" t="s">
        <v>31748</v>
      </c>
      <c r="AZ3206" s="3" t="s">
        <v>31749</v>
      </c>
      <c r="BA3206" s="3" t="s">
        <v>31749</v>
      </c>
      <c r="BB3206" s="3" t="s">
        <v>31753</v>
      </c>
      <c r="BC3206" s="3" t="s">
        <v>77</v>
      </c>
      <c r="BD3206" s="3" t="s">
        <v>78</v>
      </c>
      <c r="BE3206" s="3" t="s">
        <v>31751</v>
      </c>
      <c r="BF3206" s="3" t="s">
        <v>31753</v>
      </c>
      <c r="BG3206" s="3" t="s">
        <v>31754</v>
      </c>
    </row>
    <row r="3207" spans="1:59" ht="58" x14ac:dyDescent="0.35">
      <c r="A3207" s="2" t="s">
        <v>59</v>
      </c>
      <c r="B3207" s="2" t="s">
        <v>60</v>
      </c>
      <c r="C3207" s="2" t="s">
        <v>31755</v>
      </c>
      <c r="D3207" s="2" t="s">
        <v>31756</v>
      </c>
      <c r="E3207" s="2" t="s">
        <v>31757</v>
      </c>
      <c r="G3207" s="3" t="s">
        <v>65</v>
      </c>
      <c r="I3207" s="3" t="s">
        <v>65</v>
      </c>
      <c r="J3207" s="3" t="s">
        <v>65</v>
      </c>
      <c r="K3207" s="3" t="s">
        <v>66</v>
      </c>
      <c r="L3207" s="2" t="s">
        <v>31758</v>
      </c>
      <c r="M3207" s="2" t="s">
        <v>31759</v>
      </c>
      <c r="N3207" s="3" t="s">
        <v>2750</v>
      </c>
      <c r="P3207" s="3" t="s">
        <v>140</v>
      </c>
      <c r="Q3207" s="2" t="s">
        <v>31760</v>
      </c>
      <c r="R3207" s="3" t="s">
        <v>71</v>
      </c>
      <c r="S3207" s="4">
        <v>6</v>
      </c>
      <c r="T3207" s="4">
        <v>6</v>
      </c>
      <c r="U3207" s="5" t="s">
        <v>31552</v>
      </c>
      <c r="V3207" s="5" t="s">
        <v>31552</v>
      </c>
      <c r="W3207" s="5" t="s">
        <v>72</v>
      </c>
      <c r="X3207" s="5" t="s">
        <v>72</v>
      </c>
      <c r="Y3207" s="4">
        <v>88</v>
      </c>
      <c r="Z3207" s="4">
        <v>8</v>
      </c>
      <c r="AA3207" s="4">
        <v>11</v>
      </c>
      <c r="AB3207" s="4">
        <v>1</v>
      </c>
      <c r="AC3207" s="4">
        <v>2</v>
      </c>
      <c r="AD3207" s="4">
        <v>41</v>
      </c>
      <c r="AE3207" s="4">
        <v>49</v>
      </c>
      <c r="AF3207" s="4">
        <v>0</v>
      </c>
      <c r="AG3207" s="4">
        <v>1</v>
      </c>
      <c r="AH3207" s="4">
        <v>36</v>
      </c>
      <c r="AI3207" s="4">
        <v>43</v>
      </c>
      <c r="AJ3207" s="4">
        <v>5</v>
      </c>
      <c r="AK3207" s="4">
        <v>7</v>
      </c>
      <c r="AL3207" s="4">
        <v>24</v>
      </c>
      <c r="AM3207" s="4">
        <v>29</v>
      </c>
      <c r="AN3207" s="4">
        <v>0</v>
      </c>
      <c r="AO3207" s="4">
        <v>0</v>
      </c>
      <c r="AP3207" s="4">
        <v>6</v>
      </c>
      <c r="AQ3207" s="4">
        <v>7</v>
      </c>
      <c r="AR3207" s="3" t="s">
        <v>65</v>
      </c>
      <c r="AS3207" s="3" t="s">
        <v>65</v>
      </c>
      <c r="AT3207" s="3" t="s">
        <v>209</v>
      </c>
      <c r="AU3207" s="6" t="str">
        <f>HYPERLINK("http://catalog.hathitrust.org/Record/000730926","HathiTrust Record")</f>
        <v>HathiTrust Record</v>
      </c>
      <c r="AV3207" s="6" t="str">
        <f>HYPERLINK("http://mcgill.on.worldcat.org/oclc/2885529","Catalog Record")</f>
        <v>Catalog Record</v>
      </c>
      <c r="AW3207" s="6" t="str">
        <f>HYPERLINK("http://www.worldcat.org/oclc/2885529","WorldCat Record")</f>
        <v>WorldCat Record</v>
      </c>
      <c r="AX3207" s="3" t="s">
        <v>31761</v>
      </c>
      <c r="AY3207" s="3" t="s">
        <v>31762</v>
      </c>
      <c r="AZ3207" s="3" t="s">
        <v>31763</v>
      </c>
      <c r="BA3207" s="3" t="s">
        <v>31763</v>
      </c>
      <c r="BB3207" s="3" t="s">
        <v>31764</v>
      </c>
      <c r="BC3207" s="3" t="s">
        <v>77</v>
      </c>
      <c r="BD3207" s="3" t="s">
        <v>78</v>
      </c>
      <c r="BF3207" s="3" t="s">
        <v>31764</v>
      </c>
      <c r="BG3207" s="3" t="s">
        <v>31765</v>
      </c>
    </row>
    <row r="3208" spans="1:59" ht="58" x14ac:dyDescent="0.35">
      <c r="A3208" s="2" t="s">
        <v>59</v>
      </c>
      <c r="B3208" s="2" t="s">
        <v>60</v>
      </c>
      <c r="C3208" s="2" t="s">
        <v>31766</v>
      </c>
      <c r="D3208" s="2" t="s">
        <v>31767</v>
      </c>
      <c r="E3208" s="2" t="s">
        <v>31768</v>
      </c>
      <c r="G3208" s="3" t="s">
        <v>65</v>
      </c>
      <c r="I3208" s="3" t="s">
        <v>65</v>
      </c>
      <c r="J3208" s="3" t="s">
        <v>65</v>
      </c>
      <c r="K3208" s="3" t="s">
        <v>66</v>
      </c>
      <c r="L3208" s="2" t="s">
        <v>31769</v>
      </c>
      <c r="M3208" s="2" t="s">
        <v>31770</v>
      </c>
      <c r="N3208" s="3" t="s">
        <v>1032</v>
      </c>
      <c r="P3208" s="3" t="s">
        <v>140</v>
      </c>
      <c r="Q3208" s="2" t="s">
        <v>31771</v>
      </c>
      <c r="R3208" s="3" t="s">
        <v>71</v>
      </c>
      <c r="S3208" s="4">
        <v>2</v>
      </c>
      <c r="T3208" s="4">
        <v>2</v>
      </c>
      <c r="U3208" s="5" t="s">
        <v>31552</v>
      </c>
      <c r="V3208" s="5" t="s">
        <v>31552</v>
      </c>
      <c r="W3208" s="5" t="s">
        <v>72</v>
      </c>
      <c r="X3208" s="5" t="s">
        <v>72</v>
      </c>
      <c r="Y3208" s="4">
        <v>57</v>
      </c>
      <c r="Z3208" s="4">
        <v>5</v>
      </c>
      <c r="AA3208" s="4">
        <v>5</v>
      </c>
      <c r="AB3208" s="4">
        <v>1</v>
      </c>
      <c r="AC3208" s="4">
        <v>1</v>
      </c>
      <c r="AD3208" s="4">
        <v>33</v>
      </c>
      <c r="AE3208" s="4">
        <v>33</v>
      </c>
      <c r="AF3208" s="4">
        <v>0</v>
      </c>
      <c r="AG3208" s="4">
        <v>0</v>
      </c>
      <c r="AH3208" s="4">
        <v>32</v>
      </c>
      <c r="AI3208" s="4">
        <v>32</v>
      </c>
      <c r="AJ3208" s="4">
        <v>3</v>
      </c>
      <c r="AK3208" s="4">
        <v>3</v>
      </c>
      <c r="AL3208" s="4">
        <v>24</v>
      </c>
      <c r="AM3208" s="4">
        <v>24</v>
      </c>
      <c r="AN3208" s="4">
        <v>0</v>
      </c>
      <c r="AO3208" s="4">
        <v>0</v>
      </c>
      <c r="AP3208" s="4">
        <v>3</v>
      </c>
      <c r="AQ3208" s="4">
        <v>3</v>
      </c>
      <c r="AR3208" s="3" t="s">
        <v>65</v>
      </c>
      <c r="AS3208" s="3" t="s">
        <v>65</v>
      </c>
      <c r="AT3208" s="3" t="s">
        <v>209</v>
      </c>
      <c r="AU3208" s="6" t="str">
        <f>HYPERLINK("http://catalog.hathitrust.org/Record/007964729","HathiTrust Record")</f>
        <v>HathiTrust Record</v>
      </c>
      <c r="AV3208" s="6" t="str">
        <f>HYPERLINK("http://mcgill.on.worldcat.org/oclc/34741766","Catalog Record")</f>
        <v>Catalog Record</v>
      </c>
      <c r="AW3208" s="6" t="str">
        <f>HYPERLINK("http://www.worldcat.org/oclc/34741766","WorldCat Record")</f>
        <v>WorldCat Record</v>
      </c>
      <c r="AX3208" s="3" t="s">
        <v>31772</v>
      </c>
      <c r="AY3208" s="3" t="s">
        <v>31773</v>
      </c>
      <c r="AZ3208" s="3" t="s">
        <v>31774</v>
      </c>
      <c r="BA3208" s="3" t="s">
        <v>31774</v>
      </c>
      <c r="BB3208" s="3" t="s">
        <v>31775</v>
      </c>
      <c r="BC3208" s="3" t="s">
        <v>77</v>
      </c>
      <c r="BD3208" s="3" t="s">
        <v>78</v>
      </c>
      <c r="BE3208" s="3" t="s">
        <v>31776</v>
      </c>
      <c r="BF3208" s="3" t="s">
        <v>31775</v>
      </c>
      <c r="BG3208" s="3" t="s">
        <v>31777</v>
      </c>
    </row>
    <row r="3209" spans="1:59" ht="58" x14ac:dyDescent="0.35">
      <c r="A3209" s="2" t="s">
        <v>59</v>
      </c>
      <c r="B3209" s="2" t="s">
        <v>60</v>
      </c>
      <c r="C3209" s="2" t="s">
        <v>31778</v>
      </c>
      <c r="D3209" s="2" t="s">
        <v>31779</v>
      </c>
      <c r="E3209" s="2" t="s">
        <v>31780</v>
      </c>
      <c r="G3209" s="3" t="s">
        <v>65</v>
      </c>
      <c r="I3209" s="3" t="s">
        <v>65</v>
      </c>
      <c r="J3209" s="3" t="s">
        <v>65</v>
      </c>
      <c r="K3209" s="3" t="s">
        <v>66</v>
      </c>
      <c r="L3209" s="2" t="s">
        <v>31781</v>
      </c>
      <c r="M3209" s="2" t="s">
        <v>31782</v>
      </c>
      <c r="N3209" s="3" t="s">
        <v>126</v>
      </c>
      <c r="O3209" s="2" t="s">
        <v>27453</v>
      </c>
      <c r="P3209" s="3" t="s">
        <v>140</v>
      </c>
      <c r="Q3209" s="2" t="s">
        <v>31783</v>
      </c>
      <c r="R3209" s="3" t="s">
        <v>71</v>
      </c>
      <c r="S3209" s="4">
        <v>0</v>
      </c>
      <c r="T3209" s="4">
        <v>0</v>
      </c>
      <c r="W3209" s="5" t="s">
        <v>72</v>
      </c>
      <c r="X3209" s="5" t="s">
        <v>72</v>
      </c>
      <c r="Y3209" s="4">
        <v>41</v>
      </c>
      <c r="Z3209" s="4">
        <v>5</v>
      </c>
      <c r="AA3209" s="4">
        <v>5</v>
      </c>
      <c r="AB3209" s="4">
        <v>1</v>
      </c>
      <c r="AC3209" s="4">
        <v>1</v>
      </c>
      <c r="AD3209" s="4">
        <v>29</v>
      </c>
      <c r="AE3209" s="4">
        <v>29</v>
      </c>
      <c r="AF3209" s="4">
        <v>0</v>
      </c>
      <c r="AG3209" s="4">
        <v>0</v>
      </c>
      <c r="AH3209" s="4">
        <v>28</v>
      </c>
      <c r="AI3209" s="4">
        <v>28</v>
      </c>
      <c r="AJ3209" s="4">
        <v>2</v>
      </c>
      <c r="AK3209" s="4">
        <v>2</v>
      </c>
      <c r="AL3209" s="4">
        <v>22</v>
      </c>
      <c r="AM3209" s="4">
        <v>22</v>
      </c>
      <c r="AN3209" s="4">
        <v>0</v>
      </c>
      <c r="AO3209" s="4">
        <v>0</v>
      </c>
      <c r="AP3209" s="4">
        <v>2</v>
      </c>
      <c r="AQ3209" s="4">
        <v>2</v>
      </c>
      <c r="AR3209" s="3" t="s">
        <v>65</v>
      </c>
      <c r="AS3209" s="3" t="s">
        <v>65</v>
      </c>
      <c r="AT3209" s="3" t="s">
        <v>65</v>
      </c>
      <c r="AV3209" s="6" t="str">
        <f>HYPERLINK("http://mcgill.on.worldcat.org/oclc/715908273","Catalog Record")</f>
        <v>Catalog Record</v>
      </c>
      <c r="AW3209" s="6" t="str">
        <f>HYPERLINK("http://www.worldcat.org/oclc/715908273","WorldCat Record")</f>
        <v>WorldCat Record</v>
      </c>
      <c r="AX3209" s="3" t="s">
        <v>31784</v>
      </c>
      <c r="AY3209" s="3" t="s">
        <v>31785</v>
      </c>
      <c r="AZ3209" s="3" t="s">
        <v>31786</v>
      </c>
      <c r="BA3209" s="3" t="s">
        <v>31786</v>
      </c>
      <c r="BB3209" s="3" t="s">
        <v>31787</v>
      </c>
      <c r="BC3209" s="3" t="s">
        <v>77</v>
      </c>
      <c r="BD3209" s="3" t="s">
        <v>78</v>
      </c>
      <c r="BE3209" s="3" t="s">
        <v>31788</v>
      </c>
      <c r="BF3209" s="3" t="s">
        <v>31787</v>
      </c>
      <c r="BG3209" s="3" t="s">
        <v>31789</v>
      </c>
    </row>
    <row r="3210" spans="1:59" ht="58" x14ac:dyDescent="0.35">
      <c r="A3210" s="2" t="s">
        <v>59</v>
      </c>
      <c r="B3210" s="2" t="s">
        <v>60</v>
      </c>
      <c r="C3210" s="2" t="s">
        <v>31790</v>
      </c>
      <c r="D3210" s="2" t="s">
        <v>31791</v>
      </c>
      <c r="E3210" s="2" t="s">
        <v>31792</v>
      </c>
      <c r="G3210" s="3" t="s">
        <v>65</v>
      </c>
      <c r="I3210" s="3" t="s">
        <v>65</v>
      </c>
      <c r="J3210" s="3" t="s">
        <v>65</v>
      </c>
      <c r="K3210" s="3" t="s">
        <v>66</v>
      </c>
      <c r="L3210" s="2" t="s">
        <v>31793</v>
      </c>
      <c r="M3210" s="2" t="s">
        <v>31794</v>
      </c>
      <c r="N3210" s="3" t="s">
        <v>5961</v>
      </c>
      <c r="O3210" s="2" t="s">
        <v>31795</v>
      </c>
      <c r="P3210" s="3" t="s">
        <v>140</v>
      </c>
      <c r="Q3210" s="2" t="s">
        <v>31796</v>
      </c>
      <c r="R3210" s="3" t="s">
        <v>71</v>
      </c>
      <c r="S3210" s="4">
        <v>9</v>
      </c>
      <c r="T3210" s="4">
        <v>9</v>
      </c>
      <c r="U3210" s="5" t="s">
        <v>31552</v>
      </c>
      <c r="V3210" s="5" t="s">
        <v>31552</v>
      </c>
      <c r="W3210" s="5" t="s">
        <v>72</v>
      </c>
      <c r="X3210" s="5" t="s">
        <v>72</v>
      </c>
      <c r="Y3210" s="4">
        <v>41</v>
      </c>
      <c r="Z3210" s="4">
        <v>3</v>
      </c>
      <c r="AA3210" s="4">
        <v>6</v>
      </c>
      <c r="AB3210" s="4">
        <v>1</v>
      </c>
      <c r="AC3210" s="4">
        <v>1</v>
      </c>
      <c r="AD3210" s="4">
        <v>28</v>
      </c>
      <c r="AE3210" s="4">
        <v>30</v>
      </c>
      <c r="AF3210" s="4">
        <v>0</v>
      </c>
      <c r="AG3210" s="4">
        <v>0</v>
      </c>
      <c r="AH3210" s="4">
        <v>26</v>
      </c>
      <c r="AI3210" s="4">
        <v>27</v>
      </c>
      <c r="AJ3210" s="4">
        <v>2</v>
      </c>
      <c r="AK3210" s="4">
        <v>3</v>
      </c>
      <c r="AL3210" s="4">
        <v>22</v>
      </c>
      <c r="AM3210" s="4">
        <v>23</v>
      </c>
      <c r="AN3210" s="4">
        <v>0</v>
      </c>
      <c r="AO3210" s="4">
        <v>0</v>
      </c>
      <c r="AP3210" s="4">
        <v>2</v>
      </c>
      <c r="AQ3210" s="4">
        <v>4</v>
      </c>
      <c r="AR3210" s="3" t="s">
        <v>65</v>
      </c>
      <c r="AS3210" s="3" t="s">
        <v>65</v>
      </c>
      <c r="AT3210" s="3" t="s">
        <v>209</v>
      </c>
      <c r="AU3210" s="6" t="str">
        <f>HYPERLINK("http://catalog.hathitrust.org/Record/000857580","HathiTrust Record")</f>
        <v>HathiTrust Record</v>
      </c>
      <c r="AV3210" s="6" t="str">
        <f>HYPERLINK("http://mcgill.on.worldcat.org/oclc/15145701","Catalog Record")</f>
        <v>Catalog Record</v>
      </c>
      <c r="AW3210" s="6" t="str">
        <f>HYPERLINK("http://www.worldcat.org/oclc/15145701","WorldCat Record")</f>
        <v>WorldCat Record</v>
      </c>
      <c r="AX3210" s="3" t="s">
        <v>31797</v>
      </c>
      <c r="AY3210" s="3" t="s">
        <v>31798</v>
      </c>
      <c r="AZ3210" s="3" t="s">
        <v>31799</v>
      </c>
      <c r="BA3210" s="3" t="s">
        <v>31799</v>
      </c>
      <c r="BB3210" s="3" t="s">
        <v>31800</v>
      </c>
      <c r="BC3210" s="3" t="s">
        <v>77</v>
      </c>
      <c r="BD3210" s="3" t="s">
        <v>78</v>
      </c>
      <c r="BF3210" s="3" t="s">
        <v>31800</v>
      </c>
      <c r="BG3210" s="3" t="s">
        <v>31801</v>
      </c>
    </row>
    <row r="3211" spans="1:59" ht="58" x14ac:dyDescent="0.35">
      <c r="A3211" s="2" t="s">
        <v>59</v>
      </c>
      <c r="B3211" s="2" t="s">
        <v>60</v>
      </c>
      <c r="C3211" s="2" t="s">
        <v>31802</v>
      </c>
      <c r="D3211" s="2" t="s">
        <v>31803</v>
      </c>
      <c r="E3211" s="2" t="s">
        <v>31804</v>
      </c>
      <c r="G3211" s="3" t="s">
        <v>65</v>
      </c>
      <c r="I3211" s="3" t="s">
        <v>65</v>
      </c>
      <c r="J3211" s="3" t="s">
        <v>65</v>
      </c>
      <c r="K3211" s="3" t="s">
        <v>66</v>
      </c>
      <c r="L3211" s="2" t="s">
        <v>31805</v>
      </c>
      <c r="M3211" s="2" t="s">
        <v>31806</v>
      </c>
      <c r="N3211" s="3" t="s">
        <v>1944</v>
      </c>
      <c r="P3211" s="3" t="s">
        <v>69</v>
      </c>
      <c r="Q3211" s="2" t="s">
        <v>31807</v>
      </c>
      <c r="R3211" s="3" t="s">
        <v>71</v>
      </c>
      <c r="S3211" s="4">
        <v>13</v>
      </c>
      <c r="T3211" s="4">
        <v>13</v>
      </c>
      <c r="U3211" s="5" t="s">
        <v>31808</v>
      </c>
      <c r="V3211" s="5" t="s">
        <v>31808</v>
      </c>
      <c r="W3211" s="5" t="s">
        <v>72</v>
      </c>
      <c r="X3211" s="5" t="s">
        <v>72</v>
      </c>
      <c r="Y3211" s="4">
        <v>131</v>
      </c>
      <c r="Z3211" s="4">
        <v>12</v>
      </c>
      <c r="AA3211" s="4">
        <v>12</v>
      </c>
      <c r="AB3211" s="4">
        <v>2</v>
      </c>
      <c r="AC3211" s="4">
        <v>2</v>
      </c>
      <c r="AD3211" s="4">
        <v>61</v>
      </c>
      <c r="AE3211" s="4">
        <v>61</v>
      </c>
      <c r="AF3211" s="4">
        <v>0</v>
      </c>
      <c r="AG3211" s="4">
        <v>0</v>
      </c>
      <c r="AH3211" s="4">
        <v>56</v>
      </c>
      <c r="AI3211" s="4">
        <v>56</v>
      </c>
      <c r="AJ3211" s="4">
        <v>7</v>
      </c>
      <c r="AK3211" s="4">
        <v>7</v>
      </c>
      <c r="AL3211" s="4">
        <v>34</v>
      </c>
      <c r="AM3211" s="4">
        <v>34</v>
      </c>
      <c r="AN3211" s="4">
        <v>0</v>
      </c>
      <c r="AO3211" s="4">
        <v>0</v>
      </c>
      <c r="AP3211" s="4">
        <v>8</v>
      </c>
      <c r="AQ3211" s="4">
        <v>8</v>
      </c>
      <c r="AR3211" s="3" t="s">
        <v>65</v>
      </c>
      <c r="AS3211" s="3" t="s">
        <v>65</v>
      </c>
      <c r="AT3211" s="3" t="s">
        <v>209</v>
      </c>
      <c r="AU3211" s="6" t="str">
        <f>HYPERLINK("http://catalog.hathitrust.org/Record/007964733","HathiTrust Record")</f>
        <v>HathiTrust Record</v>
      </c>
      <c r="AV3211" s="6" t="str">
        <f>HYPERLINK("http://mcgill.on.worldcat.org/oclc/45581135","Catalog Record")</f>
        <v>Catalog Record</v>
      </c>
      <c r="AW3211" s="6" t="str">
        <f>HYPERLINK("http://www.worldcat.org/oclc/45581135","WorldCat Record")</f>
        <v>WorldCat Record</v>
      </c>
      <c r="AX3211" s="3" t="s">
        <v>31809</v>
      </c>
      <c r="AY3211" s="3" t="s">
        <v>31810</v>
      </c>
      <c r="AZ3211" s="3" t="s">
        <v>31811</v>
      </c>
      <c r="BA3211" s="3" t="s">
        <v>31811</v>
      </c>
      <c r="BB3211" s="3" t="s">
        <v>31812</v>
      </c>
      <c r="BC3211" s="3" t="s">
        <v>77</v>
      </c>
      <c r="BD3211" s="3" t="s">
        <v>78</v>
      </c>
      <c r="BE3211" s="3" t="s">
        <v>31813</v>
      </c>
      <c r="BF3211" s="3" t="s">
        <v>31812</v>
      </c>
      <c r="BG3211" s="3" t="s">
        <v>31814</v>
      </c>
    </row>
    <row r="3212" spans="1:59" ht="58" x14ac:dyDescent="0.35">
      <c r="A3212" s="2" t="s">
        <v>59</v>
      </c>
      <c r="B3212" s="2" t="s">
        <v>60</v>
      </c>
      <c r="C3212" s="2" t="s">
        <v>31815</v>
      </c>
      <c r="D3212" s="2" t="s">
        <v>31816</v>
      </c>
      <c r="E3212" s="2" t="s">
        <v>31817</v>
      </c>
      <c r="F3212" s="3" t="s">
        <v>258</v>
      </c>
      <c r="G3212" s="3" t="s">
        <v>209</v>
      </c>
      <c r="I3212" s="3" t="s">
        <v>65</v>
      </c>
      <c r="J3212" s="3" t="s">
        <v>65</v>
      </c>
      <c r="K3212" s="3" t="s">
        <v>66</v>
      </c>
      <c r="L3212" s="2" t="s">
        <v>31473</v>
      </c>
      <c r="M3212" s="2" t="s">
        <v>22284</v>
      </c>
      <c r="N3212" s="3" t="s">
        <v>126</v>
      </c>
      <c r="O3212" s="2" t="s">
        <v>365</v>
      </c>
      <c r="P3212" s="3" t="s">
        <v>140</v>
      </c>
      <c r="Q3212" s="2" t="s">
        <v>31818</v>
      </c>
      <c r="R3212" s="3" t="s">
        <v>71</v>
      </c>
      <c r="S3212" s="4">
        <v>0</v>
      </c>
      <c r="T3212" s="4">
        <v>0</v>
      </c>
      <c r="W3212" s="5" t="s">
        <v>72</v>
      </c>
      <c r="X3212" s="5" t="s">
        <v>72</v>
      </c>
      <c r="Y3212" s="4">
        <v>52</v>
      </c>
      <c r="Z3212" s="4">
        <v>6</v>
      </c>
      <c r="AA3212" s="4">
        <v>6</v>
      </c>
      <c r="AB3212" s="4">
        <v>1</v>
      </c>
      <c r="AC3212" s="4">
        <v>1</v>
      </c>
      <c r="AD3212" s="4">
        <v>32</v>
      </c>
      <c r="AE3212" s="4">
        <v>32</v>
      </c>
      <c r="AF3212" s="4">
        <v>0</v>
      </c>
      <c r="AG3212" s="4">
        <v>0</v>
      </c>
      <c r="AH3212" s="4">
        <v>31</v>
      </c>
      <c r="AI3212" s="4">
        <v>31</v>
      </c>
      <c r="AJ3212" s="4">
        <v>4</v>
      </c>
      <c r="AK3212" s="4">
        <v>4</v>
      </c>
      <c r="AL3212" s="4">
        <v>21</v>
      </c>
      <c r="AM3212" s="4">
        <v>21</v>
      </c>
      <c r="AN3212" s="4">
        <v>0</v>
      </c>
      <c r="AO3212" s="4">
        <v>0</v>
      </c>
      <c r="AP3212" s="4">
        <v>4</v>
      </c>
      <c r="AQ3212" s="4">
        <v>4</v>
      </c>
      <c r="AR3212" s="3" t="s">
        <v>65</v>
      </c>
      <c r="AS3212" s="3" t="s">
        <v>65</v>
      </c>
      <c r="AT3212" s="3" t="s">
        <v>65</v>
      </c>
      <c r="AV3212" s="6" t="str">
        <f>HYPERLINK("http://mcgill.on.worldcat.org/oclc/773016684","Catalog Record")</f>
        <v>Catalog Record</v>
      </c>
      <c r="AW3212" s="6" t="str">
        <f>HYPERLINK("http://www.worldcat.org/oclc/773016684","WorldCat Record")</f>
        <v>WorldCat Record</v>
      </c>
      <c r="AX3212" s="3" t="s">
        <v>31819</v>
      </c>
      <c r="AY3212" s="3" t="s">
        <v>31820</v>
      </c>
      <c r="AZ3212" s="3" t="s">
        <v>31821</v>
      </c>
      <c r="BA3212" s="3" t="s">
        <v>31821</v>
      </c>
      <c r="BB3212" s="3" t="s">
        <v>31822</v>
      </c>
      <c r="BC3212" s="3" t="s">
        <v>77</v>
      </c>
      <c r="BD3212" s="3" t="s">
        <v>78</v>
      </c>
      <c r="BE3212" s="3" t="s">
        <v>31823</v>
      </c>
      <c r="BF3212" s="3" t="s">
        <v>31822</v>
      </c>
      <c r="BG3212" s="3" t="s">
        <v>31824</v>
      </c>
    </row>
    <row r="3213" spans="1:59" ht="58" x14ac:dyDescent="0.35">
      <c r="A3213" s="2" t="s">
        <v>59</v>
      </c>
      <c r="B3213" s="2" t="s">
        <v>60</v>
      </c>
      <c r="C3213" s="2" t="s">
        <v>31815</v>
      </c>
      <c r="D3213" s="2" t="s">
        <v>31816</v>
      </c>
      <c r="E3213" s="2" t="s">
        <v>31817</v>
      </c>
      <c r="F3213" s="3" t="s">
        <v>245</v>
      </c>
      <c r="G3213" s="3" t="s">
        <v>209</v>
      </c>
      <c r="I3213" s="3" t="s">
        <v>65</v>
      </c>
      <c r="J3213" s="3" t="s">
        <v>65</v>
      </c>
      <c r="K3213" s="3" t="s">
        <v>66</v>
      </c>
      <c r="L3213" s="2" t="s">
        <v>31473</v>
      </c>
      <c r="M3213" s="2" t="s">
        <v>22284</v>
      </c>
      <c r="N3213" s="3" t="s">
        <v>126</v>
      </c>
      <c r="O3213" s="2" t="s">
        <v>365</v>
      </c>
      <c r="P3213" s="3" t="s">
        <v>140</v>
      </c>
      <c r="Q3213" s="2" t="s">
        <v>31818</v>
      </c>
      <c r="R3213" s="3" t="s">
        <v>71</v>
      </c>
      <c r="S3213" s="4">
        <v>0</v>
      </c>
      <c r="T3213" s="4">
        <v>0</v>
      </c>
      <c r="W3213" s="5" t="s">
        <v>72</v>
      </c>
      <c r="X3213" s="5" t="s">
        <v>72</v>
      </c>
      <c r="Y3213" s="4">
        <v>52</v>
      </c>
      <c r="Z3213" s="4">
        <v>6</v>
      </c>
      <c r="AA3213" s="4">
        <v>6</v>
      </c>
      <c r="AB3213" s="4">
        <v>1</v>
      </c>
      <c r="AC3213" s="4">
        <v>1</v>
      </c>
      <c r="AD3213" s="4">
        <v>32</v>
      </c>
      <c r="AE3213" s="4">
        <v>32</v>
      </c>
      <c r="AF3213" s="4">
        <v>0</v>
      </c>
      <c r="AG3213" s="4">
        <v>0</v>
      </c>
      <c r="AH3213" s="4">
        <v>31</v>
      </c>
      <c r="AI3213" s="4">
        <v>31</v>
      </c>
      <c r="AJ3213" s="4">
        <v>4</v>
      </c>
      <c r="AK3213" s="4">
        <v>4</v>
      </c>
      <c r="AL3213" s="4">
        <v>21</v>
      </c>
      <c r="AM3213" s="4">
        <v>21</v>
      </c>
      <c r="AN3213" s="4">
        <v>0</v>
      </c>
      <c r="AO3213" s="4">
        <v>0</v>
      </c>
      <c r="AP3213" s="4">
        <v>4</v>
      </c>
      <c r="AQ3213" s="4">
        <v>4</v>
      </c>
      <c r="AR3213" s="3" t="s">
        <v>65</v>
      </c>
      <c r="AS3213" s="3" t="s">
        <v>65</v>
      </c>
      <c r="AT3213" s="3" t="s">
        <v>65</v>
      </c>
      <c r="AV3213" s="6" t="str">
        <f>HYPERLINK("http://mcgill.on.worldcat.org/oclc/773016684","Catalog Record")</f>
        <v>Catalog Record</v>
      </c>
      <c r="AW3213" s="6" t="str">
        <f>HYPERLINK("http://www.worldcat.org/oclc/773016684","WorldCat Record")</f>
        <v>WorldCat Record</v>
      </c>
      <c r="AX3213" s="3" t="s">
        <v>31819</v>
      </c>
      <c r="AY3213" s="3" t="s">
        <v>31820</v>
      </c>
      <c r="AZ3213" s="3" t="s">
        <v>31821</v>
      </c>
      <c r="BA3213" s="3" t="s">
        <v>31821</v>
      </c>
      <c r="BB3213" s="3" t="s">
        <v>31825</v>
      </c>
      <c r="BC3213" s="3" t="s">
        <v>77</v>
      </c>
      <c r="BD3213" s="3" t="s">
        <v>78</v>
      </c>
      <c r="BE3213" s="3" t="s">
        <v>31823</v>
      </c>
      <c r="BF3213" s="3" t="s">
        <v>31825</v>
      </c>
      <c r="BG3213" s="3" t="s">
        <v>31826</v>
      </c>
    </row>
    <row r="3214" spans="1:59" ht="58" x14ac:dyDescent="0.35">
      <c r="A3214" s="2" t="s">
        <v>59</v>
      </c>
      <c r="B3214" s="2" t="s">
        <v>60</v>
      </c>
      <c r="C3214" s="2" t="s">
        <v>31827</v>
      </c>
      <c r="D3214" s="2" t="s">
        <v>31828</v>
      </c>
      <c r="E3214" s="2" t="s">
        <v>31829</v>
      </c>
      <c r="G3214" s="3" t="s">
        <v>65</v>
      </c>
      <c r="I3214" s="3" t="s">
        <v>65</v>
      </c>
      <c r="J3214" s="3" t="s">
        <v>65</v>
      </c>
      <c r="K3214" s="3" t="s">
        <v>66</v>
      </c>
      <c r="L3214" s="2" t="s">
        <v>31830</v>
      </c>
      <c r="M3214" s="2" t="s">
        <v>31831</v>
      </c>
      <c r="N3214" s="3" t="s">
        <v>8188</v>
      </c>
      <c r="P3214" s="3" t="s">
        <v>140</v>
      </c>
      <c r="Q3214" s="2" t="s">
        <v>31832</v>
      </c>
      <c r="R3214" s="3" t="s">
        <v>71</v>
      </c>
      <c r="S3214" s="4">
        <v>1</v>
      </c>
      <c r="T3214" s="4">
        <v>1</v>
      </c>
      <c r="U3214" s="5" t="s">
        <v>21322</v>
      </c>
      <c r="V3214" s="5" t="s">
        <v>21322</v>
      </c>
      <c r="W3214" s="5" t="s">
        <v>72</v>
      </c>
      <c r="X3214" s="5" t="s">
        <v>72</v>
      </c>
      <c r="Y3214" s="4">
        <v>51</v>
      </c>
      <c r="Z3214" s="4">
        <v>5</v>
      </c>
      <c r="AA3214" s="4">
        <v>5</v>
      </c>
      <c r="AB3214" s="4">
        <v>1</v>
      </c>
      <c r="AC3214" s="4">
        <v>1</v>
      </c>
      <c r="AD3214" s="4">
        <v>29</v>
      </c>
      <c r="AE3214" s="4">
        <v>29</v>
      </c>
      <c r="AF3214" s="4">
        <v>0</v>
      </c>
      <c r="AG3214" s="4">
        <v>0</v>
      </c>
      <c r="AH3214" s="4">
        <v>27</v>
      </c>
      <c r="AI3214" s="4">
        <v>27</v>
      </c>
      <c r="AJ3214" s="4">
        <v>3</v>
      </c>
      <c r="AK3214" s="4">
        <v>3</v>
      </c>
      <c r="AL3214" s="4">
        <v>21</v>
      </c>
      <c r="AM3214" s="4">
        <v>21</v>
      </c>
      <c r="AN3214" s="4">
        <v>0</v>
      </c>
      <c r="AO3214" s="4">
        <v>0</v>
      </c>
      <c r="AP3214" s="4">
        <v>3</v>
      </c>
      <c r="AQ3214" s="4">
        <v>3</v>
      </c>
      <c r="AR3214" s="3" t="s">
        <v>65</v>
      </c>
      <c r="AS3214" s="3" t="s">
        <v>65</v>
      </c>
      <c r="AT3214" s="3" t="s">
        <v>209</v>
      </c>
      <c r="AU3214" s="6" t="str">
        <f>HYPERLINK("http://catalog.hathitrust.org/Record/000926267","HathiTrust Record")</f>
        <v>HathiTrust Record</v>
      </c>
      <c r="AV3214" s="6" t="str">
        <f>HYPERLINK("http://mcgill.on.worldcat.org/oclc/17984033","Catalog Record")</f>
        <v>Catalog Record</v>
      </c>
      <c r="AW3214" s="6" t="str">
        <f>HYPERLINK("http://www.worldcat.org/oclc/17984033","WorldCat Record")</f>
        <v>WorldCat Record</v>
      </c>
      <c r="AX3214" s="3" t="s">
        <v>31833</v>
      </c>
      <c r="AY3214" s="3" t="s">
        <v>31834</v>
      </c>
      <c r="AZ3214" s="3" t="s">
        <v>31835</v>
      </c>
      <c r="BA3214" s="3" t="s">
        <v>31835</v>
      </c>
      <c r="BB3214" s="3" t="s">
        <v>31836</v>
      </c>
      <c r="BC3214" s="3" t="s">
        <v>77</v>
      </c>
      <c r="BD3214" s="3" t="s">
        <v>78</v>
      </c>
      <c r="BE3214" s="3" t="s">
        <v>31837</v>
      </c>
      <c r="BF3214" s="3" t="s">
        <v>31836</v>
      </c>
      <c r="BG3214" s="3" t="s">
        <v>31838</v>
      </c>
    </row>
    <row r="3215" spans="1:59" ht="58" x14ac:dyDescent="0.35">
      <c r="A3215" s="2" t="s">
        <v>59</v>
      </c>
      <c r="B3215" s="2" t="s">
        <v>60</v>
      </c>
      <c r="C3215" s="2" t="s">
        <v>31839</v>
      </c>
      <c r="D3215" s="2" t="s">
        <v>31840</v>
      </c>
      <c r="E3215" s="2" t="s">
        <v>31841</v>
      </c>
      <c r="G3215" s="3" t="s">
        <v>65</v>
      </c>
      <c r="I3215" s="3" t="s">
        <v>65</v>
      </c>
      <c r="J3215" s="3" t="s">
        <v>65</v>
      </c>
      <c r="K3215" s="3" t="s">
        <v>66</v>
      </c>
      <c r="L3215" s="2" t="s">
        <v>31842</v>
      </c>
      <c r="M3215" s="2" t="s">
        <v>31843</v>
      </c>
      <c r="N3215" s="3" t="s">
        <v>221</v>
      </c>
      <c r="P3215" s="3" t="s">
        <v>69</v>
      </c>
      <c r="Q3215" s="2" t="s">
        <v>20998</v>
      </c>
      <c r="R3215" s="3" t="s">
        <v>71</v>
      </c>
      <c r="S3215" s="4">
        <v>1</v>
      </c>
      <c r="T3215" s="4">
        <v>1</v>
      </c>
      <c r="U3215" s="5" t="s">
        <v>24707</v>
      </c>
      <c r="V3215" s="5" t="s">
        <v>24707</v>
      </c>
      <c r="W3215" s="5" t="s">
        <v>72</v>
      </c>
      <c r="X3215" s="5" t="s">
        <v>72</v>
      </c>
      <c r="Y3215" s="4">
        <v>154</v>
      </c>
      <c r="Z3215" s="4">
        <v>13</v>
      </c>
      <c r="AA3215" s="4">
        <v>15</v>
      </c>
      <c r="AB3215" s="4">
        <v>1</v>
      </c>
      <c r="AC3215" s="4">
        <v>3</v>
      </c>
      <c r="AD3215" s="4">
        <v>81</v>
      </c>
      <c r="AE3215" s="4">
        <v>81</v>
      </c>
      <c r="AF3215" s="4">
        <v>0</v>
      </c>
      <c r="AG3215" s="4">
        <v>0</v>
      </c>
      <c r="AH3215" s="4">
        <v>75</v>
      </c>
      <c r="AI3215" s="4">
        <v>75</v>
      </c>
      <c r="AJ3215" s="4">
        <v>9</v>
      </c>
      <c r="AK3215" s="4">
        <v>9</v>
      </c>
      <c r="AL3215" s="4">
        <v>49</v>
      </c>
      <c r="AM3215" s="4">
        <v>49</v>
      </c>
      <c r="AN3215" s="4">
        <v>0</v>
      </c>
      <c r="AO3215" s="4">
        <v>0</v>
      </c>
      <c r="AP3215" s="4">
        <v>9</v>
      </c>
      <c r="AQ3215" s="4">
        <v>9</v>
      </c>
      <c r="AR3215" s="3" t="s">
        <v>65</v>
      </c>
      <c r="AS3215" s="3" t="s">
        <v>65</v>
      </c>
      <c r="AT3215" s="3" t="s">
        <v>65</v>
      </c>
      <c r="AV3215" s="6" t="str">
        <f>HYPERLINK("http://mcgill.on.worldcat.org/oclc/122261813","Catalog Record")</f>
        <v>Catalog Record</v>
      </c>
      <c r="AW3215" s="6" t="str">
        <f>HYPERLINK("http://www.worldcat.org/oclc/122261813","WorldCat Record")</f>
        <v>WorldCat Record</v>
      </c>
      <c r="AX3215" s="3" t="s">
        <v>31844</v>
      </c>
      <c r="AY3215" s="3" t="s">
        <v>31845</v>
      </c>
      <c r="AZ3215" s="3" t="s">
        <v>31846</v>
      </c>
      <c r="BA3215" s="3" t="s">
        <v>31846</v>
      </c>
      <c r="BB3215" s="3" t="s">
        <v>31847</v>
      </c>
      <c r="BC3215" s="3" t="s">
        <v>77</v>
      </c>
      <c r="BD3215" s="3" t="s">
        <v>78</v>
      </c>
      <c r="BE3215" s="3" t="s">
        <v>31848</v>
      </c>
      <c r="BF3215" s="3" t="s">
        <v>31847</v>
      </c>
      <c r="BG3215" s="3" t="s">
        <v>31849</v>
      </c>
    </row>
    <row r="3216" spans="1:59" ht="58" x14ac:dyDescent="0.35">
      <c r="A3216" s="2" t="s">
        <v>59</v>
      </c>
      <c r="B3216" s="2" t="s">
        <v>60</v>
      </c>
      <c r="C3216" s="2" t="s">
        <v>31850</v>
      </c>
      <c r="D3216" s="2" t="s">
        <v>31851</v>
      </c>
      <c r="E3216" s="2" t="s">
        <v>31852</v>
      </c>
      <c r="F3216" s="3" t="s">
        <v>8361</v>
      </c>
      <c r="G3216" s="3" t="s">
        <v>209</v>
      </c>
      <c r="I3216" s="3" t="s">
        <v>65</v>
      </c>
      <c r="J3216" s="3" t="s">
        <v>65</v>
      </c>
      <c r="K3216" s="3" t="s">
        <v>66</v>
      </c>
      <c r="L3216" s="2" t="s">
        <v>31842</v>
      </c>
      <c r="M3216" s="2" t="s">
        <v>31853</v>
      </c>
      <c r="N3216" s="3" t="s">
        <v>11348</v>
      </c>
      <c r="P3216" s="3" t="s">
        <v>140</v>
      </c>
      <c r="Q3216" s="2" t="s">
        <v>31854</v>
      </c>
      <c r="R3216" s="3" t="s">
        <v>71</v>
      </c>
      <c r="S3216" s="4">
        <v>5</v>
      </c>
      <c r="T3216" s="4">
        <v>5</v>
      </c>
      <c r="U3216" s="5" t="s">
        <v>31855</v>
      </c>
      <c r="V3216" s="5" t="s">
        <v>31855</v>
      </c>
      <c r="W3216" s="5" t="s">
        <v>72</v>
      </c>
      <c r="X3216" s="5" t="s">
        <v>72</v>
      </c>
      <c r="Y3216" s="4">
        <v>44</v>
      </c>
      <c r="Z3216" s="4">
        <v>4</v>
      </c>
      <c r="AA3216" s="4">
        <v>4</v>
      </c>
      <c r="AB3216" s="4">
        <v>1</v>
      </c>
      <c r="AC3216" s="4">
        <v>1</v>
      </c>
      <c r="AD3216" s="4">
        <v>23</v>
      </c>
      <c r="AE3216" s="4">
        <v>25</v>
      </c>
      <c r="AF3216" s="4">
        <v>0</v>
      </c>
      <c r="AG3216" s="4">
        <v>0</v>
      </c>
      <c r="AH3216" s="4">
        <v>21</v>
      </c>
      <c r="AI3216" s="4">
        <v>23</v>
      </c>
      <c r="AJ3216" s="4">
        <v>2</v>
      </c>
      <c r="AK3216" s="4">
        <v>2</v>
      </c>
      <c r="AL3216" s="4">
        <v>13</v>
      </c>
      <c r="AM3216" s="4">
        <v>15</v>
      </c>
      <c r="AN3216" s="4">
        <v>0</v>
      </c>
      <c r="AO3216" s="4">
        <v>0</v>
      </c>
      <c r="AP3216" s="4">
        <v>2</v>
      </c>
      <c r="AQ3216" s="4">
        <v>2</v>
      </c>
      <c r="AR3216" s="3" t="s">
        <v>65</v>
      </c>
      <c r="AS3216" s="3" t="s">
        <v>65</v>
      </c>
      <c r="AT3216" s="3" t="s">
        <v>209</v>
      </c>
      <c r="AU3216" s="6" t="str">
        <f>HYPERLINK("http://catalog.hathitrust.org/Record/006681227","HathiTrust Record")</f>
        <v>HathiTrust Record</v>
      </c>
      <c r="AV3216" s="6" t="str">
        <f>HYPERLINK("http://mcgill.on.worldcat.org/oclc/3457213","Catalog Record")</f>
        <v>Catalog Record</v>
      </c>
      <c r="AW3216" s="6" t="str">
        <f>HYPERLINK("http://www.worldcat.org/oclc/3457213","WorldCat Record")</f>
        <v>WorldCat Record</v>
      </c>
      <c r="AX3216" s="3" t="s">
        <v>31856</v>
      </c>
      <c r="AY3216" s="3" t="s">
        <v>31857</v>
      </c>
      <c r="AZ3216" s="3" t="s">
        <v>31858</v>
      </c>
      <c r="BA3216" s="3" t="s">
        <v>31858</v>
      </c>
      <c r="BB3216" s="3" t="s">
        <v>31859</v>
      </c>
      <c r="BC3216" s="3" t="s">
        <v>77</v>
      </c>
      <c r="BD3216" s="3" t="s">
        <v>78</v>
      </c>
      <c r="BF3216" s="3" t="s">
        <v>31859</v>
      </c>
      <c r="BG3216" s="3" t="s">
        <v>31860</v>
      </c>
    </row>
    <row r="3217" spans="1:59" ht="58" x14ac:dyDescent="0.35">
      <c r="A3217" s="2" t="s">
        <v>59</v>
      </c>
      <c r="B3217" s="2" t="s">
        <v>60</v>
      </c>
      <c r="C3217" s="2" t="s">
        <v>31861</v>
      </c>
      <c r="D3217" s="2" t="s">
        <v>31862</v>
      </c>
      <c r="E3217" s="2" t="s">
        <v>31863</v>
      </c>
      <c r="G3217" s="3" t="s">
        <v>65</v>
      </c>
      <c r="I3217" s="3" t="s">
        <v>65</v>
      </c>
      <c r="J3217" s="3" t="s">
        <v>65</v>
      </c>
      <c r="K3217" s="3" t="s">
        <v>66</v>
      </c>
      <c r="L3217" s="2" t="s">
        <v>31842</v>
      </c>
      <c r="M3217" s="2" t="s">
        <v>31864</v>
      </c>
      <c r="N3217" s="3" t="s">
        <v>7187</v>
      </c>
      <c r="P3217" s="3" t="s">
        <v>140</v>
      </c>
      <c r="Q3217" s="2" t="s">
        <v>31865</v>
      </c>
      <c r="R3217" s="3" t="s">
        <v>71</v>
      </c>
      <c r="S3217" s="4">
        <v>3</v>
      </c>
      <c r="T3217" s="4">
        <v>3</v>
      </c>
      <c r="U3217" s="5" t="s">
        <v>2631</v>
      </c>
      <c r="V3217" s="5" t="s">
        <v>2631</v>
      </c>
      <c r="W3217" s="5" t="s">
        <v>72</v>
      </c>
      <c r="X3217" s="5" t="s">
        <v>72</v>
      </c>
      <c r="Y3217" s="4">
        <v>34</v>
      </c>
      <c r="Z3217" s="4">
        <v>1</v>
      </c>
      <c r="AA3217" s="4">
        <v>2</v>
      </c>
      <c r="AB3217" s="4">
        <v>1</v>
      </c>
      <c r="AC3217" s="4">
        <v>2</v>
      </c>
      <c r="AD3217" s="4">
        <v>15</v>
      </c>
      <c r="AE3217" s="4">
        <v>16</v>
      </c>
      <c r="AF3217" s="4">
        <v>0</v>
      </c>
      <c r="AG3217" s="4">
        <v>1</v>
      </c>
      <c r="AH3217" s="4">
        <v>15</v>
      </c>
      <c r="AI3217" s="4">
        <v>15</v>
      </c>
      <c r="AJ3217" s="4">
        <v>0</v>
      </c>
      <c r="AK3217" s="4">
        <v>1</v>
      </c>
      <c r="AL3217" s="4">
        <v>9</v>
      </c>
      <c r="AM3217" s="4">
        <v>9</v>
      </c>
      <c r="AN3217" s="4">
        <v>0</v>
      </c>
      <c r="AO3217" s="4">
        <v>0</v>
      </c>
      <c r="AP3217" s="4">
        <v>0</v>
      </c>
      <c r="AQ3217" s="4">
        <v>0</v>
      </c>
      <c r="AR3217" s="3" t="s">
        <v>65</v>
      </c>
      <c r="AS3217" s="3" t="s">
        <v>65</v>
      </c>
      <c r="AT3217" s="3" t="s">
        <v>209</v>
      </c>
      <c r="AU3217" s="6" t="str">
        <f>HYPERLINK("http://catalog.hathitrust.org/Record/007875571","HathiTrust Record")</f>
        <v>HathiTrust Record</v>
      </c>
      <c r="AV3217" s="6" t="str">
        <f>HYPERLINK("http://mcgill.on.worldcat.org/oclc/4513727","Catalog Record")</f>
        <v>Catalog Record</v>
      </c>
      <c r="AW3217" s="6" t="str">
        <f>HYPERLINK("http://www.worldcat.org/oclc/4513727","WorldCat Record")</f>
        <v>WorldCat Record</v>
      </c>
      <c r="AX3217" s="3" t="s">
        <v>31866</v>
      </c>
      <c r="AY3217" s="3" t="s">
        <v>31867</v>
      </c>
      <c r="AZ3217" s="3" t="s">
        <v>31868</v>
      </c>
      <c r="BA3217" s="3" t="s">
        <v>31868</v>
      </c>
      <c r="BB3217" s="3" t="s">
        <v>31869</v>
      </c>
      <c r="BC3217" s="3" t="s">
        <v>77</v>
      </c>
      <c r="BD3217" s="3" t="s">
        <v>78</v>
      </c>
      <c r="BF3217" s="3" t="s">
        <v>31869</v>
      </c>
      <c r="BG3217" s="3" t="s">
        <v>31870</v>
      </c>
    </row>
    <row r="3218" spans="1:59" ht="58" x14ac:dyDescent="0.35">
      <c r="A3218" s="2" t="s">
        <v>59</v>
      </c>
      <c r="B3218" s="2" t="s">
        <v>60</v>
      </c>
      <c r="C3218" s="2" t="s">
        <v>31871</v>
      </c>
      <c r="D3218" s="2" t="s">
        <v>31872</v>
      </c>
      <c r="E3218" s="2" t="s">
        <v>31873</v>
      </c>
      <c r="G3218" s="3" t="s">
        <v>65</v>
      </c>
      <c r="I3218" s="3" t="s">
        <v>65</v>
      </c>
      <c r="J3218" s="3" t="s">
        <v>65</v>
      </c>
      <c r="K3218" s="3" t="s">
        <v>66</v>
      </c>
      <c r="L3218" s="2" t="s">
        <v>31842</v>
      </c>
      <c r="M3218" s="2" t="s">
        <v>31874</v>
      </c>
      <c r="N3218" s="3" t="s">
        <v>113</v>
      </c>
      <c r="O3218" s="2" t="s">
        <v>365</v>
      </c>
      <c r="P3218" s="3" t="s">
        <v>140</v>
      </c>
      <c r="Q3218" s="2" t="s">
        <v>31875</v>
      </c>
      <c r="R3218" s="3" t="s">
        <v>71</v>
      </c>
      <c r="S3218" s="4">
        <v>0</v>
      </c>
      <c r="T3218" s="4">
        <v>0</v>
      </c>
      <c r="W3218" s="5" t="s">
        <v>72</v>
      </c>
      <c r="X3218" s="5" t="s">
        <v>72</v>
      </c>
      <c r="Y3218" s="4">
        <v>13</v>
      </c>
      <c r="Z3218" s="4">
        <v>1</v>
      </c>
      <c r="AA3218" s="4">
        <v>5</v>
      </c>
      <c r="AB3218" s="4">
        <v>1</v>
      </c>
      <c r="AC3218" s="4">
        <v>1</v>
      </c>
      <c r="AD3218" s="4">
        <v>8</v>
      </c>
      <c r="AE3218" s="4">
        <v>41</v>
      </c>
      <c r="AF3218" s="4">
        <v>0</v>
      </c>
      <c r="AG3218" s="4">
        <v>0</v>
      </c>
      <c r="AH3218" s="4">
        <v>8</v>
      </c>
      <c r="AI3218" s="4">
        <v>38</v>
      </c>
      <c r="AJ3218" s="4">
        <v>0</v>
      </c>
      <c r="AK3218" s="4">
        <v>3</v>
      </c>
      <c r="AL3218" s="4">
        <v>7</v>
      </c>
      <c r="AM3218" s="4">
        <v>27</v>
      </c>
      <c r="AN3218" s="4">
        <v>0</v>
      </c>
      <c r="AO3218" s="4">
        <v>2</v>
      </c>
      <c r="AP3218" s="4">
        <v>0</v>
      </c>
      <c r="AQ3218" s="4">
        <v>4</v>
      </c>
      <c r="AR3218" s="3" t="s">
        <v>65</v>
      </c>
      <c r="AS3218" s="3" t="s">
        <v>65</v>
      </c>
      <c r="AT3218" s="3" t="s">
        <v>65</v>
      </c>
      <c r="AV3218" s="6" t="str">
        <f>HYPERLINK("http://mcgill.on.worldcat.org/oclc/697264541","Catalog Record")</f>
        <v>Catalog Record</v>
      </c>
      <c r="AW3218" s="6" t="str">
        <f>HYPERLINK("http://www.worldcat.org/oclc/697264541","WorldCat Record")</f>
        <v>WorldCat Record</v>
      </c>
      <c r="AX3218" s="3" t="s">
        <v>31876</v>
      </c>
      <c r="AY3218" s="3" t="s">
        <v>31877</v>
      </c>
      <c r="AZ3218" s="3" t="s">
        <v>31878</v>
      </c>
      <c r="BA3218" s="3" t="s">
        <v>31878</v>
      </c>
      <c r="BB3218" s="3" t="s">
        <v>31879</v>
      </c>
      <c r="BC3218" s="3" t="s">
        <v>77</v>
      </c>
      <c r="BD3218" s="3" t="s">
        <v>78</v>
      </c>
      <c r="BE3218" s="3" t="s">
        <v>31880</v>
      </c>
      <c r="BF3218" s="3" t="s">
        <v>31879</v>
      </c>
      <c r="BG3218" s="3" t="s">
        <v>31881</v>
      </c>
    </row>
    <row r="3219" spans="1:59" ht="58" x14ac:dyDescent="0.35">
      <c r="A3219" s="2" t="s">
        <v>59</v>
      </c>
      <c r="B3219" s="2" t="s">
        <v>60</v>
      </c>
      <c r="C3219" s="2" t="s">
        <v>31882</v>
      </c>
      <c r="D3219" s="2" t="s">
        <v>31883</v>
      </c>
      <c r="E3219" s="2" t="s">
        <v>31884</v>
      </c>
      <c r="G3219" s="3" t="s">
        <v>65</v>
      </c>
      <c r="I3219" s="3" t="s">
        <v>65</v>
      </c>
      <c r="J3219" s="3" t="s">
        <v>65</v>
      </c>
      <c r="K3219" s="3" t="s">
        <v>66</v>
      </c>
      <c r="L3219" s="2" t="s">
        <v>31885</v>
      </c>
      <c r="M3219" s="2" t="s">
        <v>31886</v>
      </c>
      <c r="N3219" s="3" t="s">
        <v>152</v>
      </c>
      <c r="P3219" s="3" t="s">
        <v>140</v>
      </c>
      <c r="Q3219" s="2" t="s">
        <v>31887</v>
      </c>
      <c r="R3219" s="3" t="s">
        <v>71</v>
      </c>
      <c r="S3219" s="4">
        <v>1</v>
      </c>
      <c r="T3219" s="4">
        <v>1</v>
      </c>
      <c r="W3219" s="5" t="s">
        <v>72</v>
      </c>
      <c r="X3219" s="5" t="s">
        <v>72</v>
      </c>
      <c r="Y3219" s="4">
        <v>1</v>
      </c>
      <c r="Z3219" s="4">
        <v>1</v>
      </c>
      <c r="AA3219" s="4">
        <v>3</v>
      </c>
      <c r="AB3219" s="4">
        <v>1</v>
      </c>
      <c r="AC3219" s="4">
        <v>1</v>
      </c>
      <c r="AD3219" s="4">
        <v>0</v>
      </c>
      <c r="AE3219" s="4">
        <v>6</v>
      </c>
      <c r="AF3219" s="4">
        <v>0</v>
      </c>
      <c r="AG3219" s="4">
        <v>0</v>
      </c>
      <c r="AH3219" s="4">
        <v>0</v>
      </c>
      <c r="AI3219" s="4">
        <v>5</v>
      </c>
      <c r="AJ3219" s="4">
        <v>0</v>
      </c>
      <c r="AK3219" s="4">
        <v>1</v>
      </c>
      <c r="AL3219" s="4">
        <v>0</v>
      </c>
      <c r="AM3219" s="4">
        <v>5</v>
      </c>
      <c r="AN3219" s="4">
        <v>0</v>
      </c>
      <c r="AO3219" s="4">
        <v>0</v>
      </c>
      <c r="AP3219" s="4">
        <v>0</v>
      </c>
      <c r="AQ3219" s="4">
        <v>1</v>
      </c>
      <c r="AR3219" s="3" t="s">
        <v>65</v>
      </c>
      <c r="AS3219" s="3" t="s">
        <v>65</v>
      </c>
      <c r="AT3219" s="3" t="s">
        <v>65</v>
      </c>
      <c r="AV3219" s="6" t="str">
        <f>HYPERLINK("http://mcgill.on.worldcat.org/oclc/960910976","Catalog Record")</f>
        <v>Catalog Record</v>
      </c>
      <c r="AW3219" s="6" t="str">
        <f>HYPERLINK("http://www.worldcat.org/oclc/960910976","WorldCat Record")</f>
        <v>WorldCat Record</v>
      </c>
      <c r="AX3219" s="3" t="s">
        <v>31888</v>
      </c>
      <c r="AY3219" s="3" t="s">
        <v>31889</v>
      </c>
      <c r="AZ3219" s="3" t="s">
        <v>31890</v>
      </c>
      <c r="BA3219" s="3" t="s">
        <v>31890</v>
      </c>
      <c r="BB3219" s="3" t="s">
        <v>31891</v>
      </c>
      <c r="BC3219" s="3" t="s">
        <v>77</v>
      </c>
      <c r="BD3219" s="3" t="s">
        <v>106</v>
      </c>
      <c r="BF3219" s="3" t="s">
        <v>31891</v>
      </c>
      <c r="BG3219" s="3" t="s">
        <v>31892</v>
      </c>
    </row>
    <row r="3220" spans="1:59" ht="58" x14ac:dyDescent="0.35">
      <c r="A3220" s="2" t="s">
        <v>59</v>
      </c>
      <c r="B3220" s="2" t="s">
        <v>60</v>
      </c>
      <c r="C3220" s="2" t="s">
        <v>31893</v>
      </c>
      <c r="D3220" s="2" t="s">
        <v>31894</v>
      </c>
      <c r="E3220" s="2" t="s">
        <v>31895</v>
      </c>
      <c r="G3220" s="3" t="s">
        <v>65</v>
      </c>
      <c r="I3220" s="3" t="s">
        <v>65</v>
      </c>
      <c r="J3220" s="3" t="s">
        <v>65</v>
      </c>
      <c r="K3220" s="3" t="s">
        <v>66</v>
      </c>
      <c r="L3220" s="2" t="s">
        <v>31842</v>
      </c>
      <c r="M3220" s="2" t="s">
        <v>31896</v>
      </c>
      <c r="N3220" s="3" t="s">
        <v>14003</v>
      </c>
      <c r="P3220" s="3" t="s">
        <v>140</v>
      </c>
      <c r="R3220" s="3" t="s">
        <v>71</v>
      </c>
      <c r="S3220" s="4">
        <v>3</v>
      </c>
      <c r="T3220" s="4">
        <v>3</v>
      </c>
      <c r="U3220" s="5" t="s">
        <v>2631</v>
      </c>
      <c r="V3220" s="5" t="s">
        <v>2631</v>
      </c>
      <c r="W3220" s="5" t="s">
        <v>72</v>
      </c>
      <c r="X3220" s="5" t="s">
        <v>72</v>
      </c>
      <c r="Y3220" s="4">
        <v>2</v>
      </c>
      <c r="Z3220" s="4">
        <v>1</v>
      </c>
      <c r="AA3220" s="4">
        <v>1</v>
      </c>
      <c r="AB3220" s="4">
        <v>1</v>
      </c>
      <c r="AC3220" s="4">
        <v>1</v>
      </c>
      <c r="AD3220" s="4">
        <v>0</v>
      </c>
      <c r="AE3220" s="4">
        <v>8</v>
      </c>
      <c r="AF3220" s="4">
        <v>0</v>
      </c>
      <c r="AG3220" s="4">
        <v>0</v>
      </c>
      <c r="AH3220" s="4">
        <v>0</v>
      </c>
      <c r="AI3220" s="4">
        <v>7</v>
      </c>
      <c r="AJ3220" s="4">
        <v>0</v>
      </c>
      <c r="AK3220" s="4">
        <v>0</v>
      </c>
      <c r="AL3220" s="4">
        <v>0</v>
      </c>
      <c r="AM3220" s="4">
        <v>7</v>
      </c>
      <c r="AN3220" s="4">
        <v>0</v>
      </c>
      <c r="AO3220" s="4">
        <v>0</v>
      </c>
      <c r="AP3220" s="4">
        <v>0</v>
      </c>
      <c r="AQ3220" s="4">
        <v>0</v>
      </c>
      <c r="AR3220" s="3" t="s">
        <v>65</v>
      </c>
      <c r="AS3220" s="3" t="s">
        <v>65</v>
      </c>
      <c r="AT3220" s="3" t="s">
        <v>65</v>
      </c>
      <c r="AV3220" s="6" t="str">
        <f>HYPERLINK("http://mcgill.on.worldcat.org/oclc/427144169","Catalog Record")</f>
        <v>Catalog Record</v>
      </c>
      <c r="AW3220" s="6" t="str">
        <f>HYPERLINK("http://www.worldcat.org/oclc/427144169","WorldCat Record")</f>
        <v>WorldCat Record</v>
      </c>
      <c r="AX3220" s="3" t="s">
        <v>31897</v>
      </c>
      <c r="AY3220" s="3" t="s">
        <v>31898</v>
      </c>
      <c r="AZ3220" s="3" t="s">
        <v>31899</v>
      </c>
      <c r="BA3220" s="3" t="s">
        <v>31899</v>
      </c>
      <c r="BB3220" s="3" t="s">
        <v>31900</v>
      </c>
      <c r="BC3220" s="3" t="s">
        <v>77</v>
      </c>
      <c r="BD3220" s="3" t="s">
        <v>78</v>
      </c>
      <c r="BF3220" s="3" t="s">
        <v>31900</v>
      </c>
      <c r="BG3220" s="3" t="s">
        <v>31901</v>
      </c>
    </row>
    <row r="3221" spans="1:59" ht="58" x14ac:dyDescent="0.35">
      <c r="A3221" s="2" t="s">
        <v>59</v>
      </c>
      <c r="B3221" s="2" t="s">
        <v>60</v>
      </c>
      <c r="C3221" s="2" t="s">
        <v>31902</v>
      </c>
      <c r="D3221" s="2" t="s">
        <v>31903</v>
      </c>
      <c r="E3221" s="2" t="s">
        <v>31904</v>
      </c>
      <c r="G3221" s="3" t="s">
        <v>65</v>
      </c>
      <c r="I3221" s="3" t="s">
        <v>65</v>
      </c>
      <c r="J3221" s="3" t="s">
        <v>65</v>
      </c>
      <c r="K3221" s="3" t="s">
        <v>66</v>
      </c>
      <c r="L3221" s="2" t="s">
        <v>31842</v>
      </c>
      <c r="M3221" s="2" t="s">
        <v>31905</v>
      </c>
      <c r="N3221" s="3" t="s">
        <v>5439</v>
      </c>
      <c r="P3221" s="3" t="s">
        <v>140</v>
      </c>
      <c r="Q3221" s="2" t="s">
        <v>31906</v>
      </c>
      <c r="R3221" s="3" t="s">
        <v>71</v>
      </c>
      <c r="S3221" s="4">
        <v>5</v>
      </c>
      <c r="T3221" s="4">
        <v>5</v>
      </c>
      <c r="U3221" s="5" t="s">
        <v>3554</v>
      </c>
      <c r="V3221" s="5" t="s">
        <v>3554</v>
      </c>
      <c r="W3221" s="5" t="s">
        <v>72</v>
      </c>
      <c r="X3221" s="5" t="s">
        <v>72</v>
      </c>
      <c r="Y3221" s="4">
        <v>65</v>
      </c>
      <c r="Z3221" s="4">
        <v>5</v>
      </c>
      <c r="AA3221" s="4">
        <v>5</v>
      </c>
      <c r="AB3221" s="4">
        <v>2</v>
      </c>
      <c r="AC3221" s="4">
        <v>2</v>
      </c>
      <c r="AD3221" s="4">
        <v>30</v>
      </c>
      <c r="AE3221" s="4">
        <v>30</v>
      </c>
      <c r="AF3221" s="4">
        <v>1</v>
      </c>
      <c r="AG3221" s="4">
        <v>1</v>
      </c>
      <c r="AH3221" s="4">
        <v>27</v>
      </c>
      <c r="AI3221" s="4">
        <v>27</v>
      </c>
      <c r="AJ3221" s="4">
        <v>3</v>
      </c>
      <c r="AK3221" s="4">
        <v>3</v>
      </c>
      <c r="AL3221" s="4">
        <v>22</v>
      </c>
      <c r="AM3221" s="4">
        <v>22</v>
      </c>
      <c r="AN3221" s="4">
        <v>0</v>
      </c>
      <c r="AO3221" s="4">
        <v>0</v>
      </c>
      <c r="AP3221" s="4">
        <v>3</v>
      </c>
      <c r="AQ3221" s="4">
        <v>3</v>
      </c>
      <c r="AR3221" s="3" t="s">
        <v>65</v>
      </c>
      <c r="AS3221" s="3" t="s">
        <v>65</v>
      </c>
      <c r="AT3221" s="3" t="s">
        <v>209</v>
      </c>
      <c r="AU3221" s="6" t="str">
        <f>HYPERLINK("http://catalog.hathitrust.org/Record/001807066","HathiTrust Record")</f>
        <v>HathiTrust Record</v>
      </c>
      <c r="AV3221" s="6" t="str">
        <f>HYPERLINK("http://mcgill.on.worldcat.org/oclc/8666232","Catalog Record")</f>
        <v>Catalog Record</v>
      </c>
      <c r="AW3221" s="6" t="str">
        <f>HYPERLINK("http://www.worldcat.org/oclc/8666232","WorldCat Record")</f>
        <v>WorldCat Record</v>
      </c>
      <c r="AX3221" s="3" t="s">
        <v>31907</v>
      </c>
      <c r="AY3221" s="3" t="s">
        <v>31908</v>
      </c>
      <c r="AZ3221" s="3" t="s">
        <v>31909</v>
      </c>
      <c r="BA3221" s="3" t="s">
        <v>31909</v>
      </c>
      <c r="BB3221" s="3" t="s">
        <v>31910</v>
      </c>
      <c r="BC3221" s="3" t="s">
        <v>77</v>
      </c>
      <c r="BD3221" s="3" t="s">
        <v>78</v>
      </c>
      <c r="BF3221" s="3" t="s">
        <v>31910</v>
      </c>
      <c r="BG3221" s="3" t="s">
        <v>31911</v>
      </c>
    </row>
    <row r="3222" spans="1:59" ht="58" x14ac:dyDescent="0.35">
      <c r="A3222" s="2" t="s">
        <v>59</v>
      </c>
      <c r="B3222" s="2" t="s">
        <v>60</v>
      </c>
      <c r="C3222" s="2" t="s">
        <v>31912</v>
      </c>
      <c r="D3222" s="2" t="s">
        <v>31913</v>
      </c>
      <c r="E3222" s="2" t="s">
        <v>31914</v>
      </c>
      <c r="G3222" s="3" t="s">
        <v>65</v>
      </c>
      <c r="I3222" s="3" t="s">
        <v>65</v>
      </c>
      <c r="J3222" s="3" t="s">
        <v>65</v>
      </c>
      <c r="K3222" s="3" t="s">
        <v>66</v>
      </c>
      <c r="L3222" s="2" t="s">
        <v>31842</v>
      </c>
      <c r="M3222" s="2" t="s">
        <v>31915</v>
      </c>
      <c r="N3222" s="3" t="s">
        <v>4688</v>
      </c>
      <c r="O3222" s="2" t="s">
        <v>339</v>
      </c>
      <c r="P3222" s="3" t="s">
        <v>140</v>
      </c>
      <c r="Q3222" s="2" t="s">
        <v>31916</v>
      </c>
      <c r="R3222" s="3" t="s">
        <v>71</v>
      </c>
      <c r="S3222" s="4">
        <v>7</v>
      </c>
      <c r="T3222" s="4">
        <v>7</v>
      </c>
      <c r="U3222" s="5" t="s">
        <v>11408</v>
      </c>
      <c r="V3222" s="5" t="s">
        <v>11408</v>
      </c>
      <c r="W3222" s="5" t="s">
        <v>72</v>
      </c>
      <c r="X3222" s="5" t="s">
        <v>72</v>
      </c>
      <c r="Y3222" s="4">
        <v>69</v>
      </c>
      <c r="Z3222" s="4">
        <v>6</v>
      </c>
      <c r="AA3222" s="4">
        <v>6</v>
      </c>
      <c r="AB3222" s="4">
        <v>2</v>
      </c>
      <c r="AC3222" s="4">
        <v>2</v>
      </c>
      <c r="AD3222" s="4">
        <v>29</v>
      </c>
      <c r="AE3222" s="4">
        <v>29</v>
      </c>
      <c r="AF3222" s="4">
        <v>0</v>
      </c>
      <c r="AG3222" s="4">
        <v>0</v>
      </c>
      <c r="AH3222" s="4">
        <v>27</v>
      </c>
      <c r="AI3222" s="4">
        <v>27</v>
      </c>
      <c r="AJ3222" s="4">
        <v>3</v>
      </c>
      <c r="AK3222" s="4">
        <v>3</v>
      </c>
      <c r="AL3222" s="4">
        <v>23</v>
      </c>
      <c r="AM3222" s="4">
        <v>23</v>
      </c>
      <c r="AN3222" s="4">
        <v>0</v>
      </c>
      <c r="AO3222" s="4">
        <v>0</v>
      </c>
      <c r="AP3222" s="4">
        <v>3</v>
      </c>
      <c r="AQ3222" s="4">
        <v>3</v>
      </c>
      <c r="AR3222" s="3" t="s">
        <v>65</v>
      </c>
      <c r="AS3222" s="3" t="s">
        <v>65</v>
      </c>
      <c r="AT3222" s="3" t="s">
        <v>65</v>
      </c>
      <c r="AV3222" s="6" t="str">
        <f>HYPERLINK("http://mcgill.on.worldcat.org/oclc/15258016","Catalog Record")</f>
        <v>Catalog Record</v>
      </c>
      <c r="AW3222" s="6" t="str">
        <f>HYPERLINK("http://www.worldcat.org/oclc/15258016","WorldCat Record")</f>
        <v>WorldCat Record</v>
      </c>
      <c r="AX3222" s="3" t="s">
        <v>31917</v>
      </c>
      <c r="AY3222" s="3" t="s">
        <v>31918</v>
      </c>
      <c r="AZ3222" s="3" t="s">
        <v>31919</v>
      </c>
      <c r="BA3222" s="3" t="s">
        <v>31919</v>
      </c>
      <c r="BB3222" s="3" t="s">
        <v>31920</v>
      </c>
      <c r="BC3222" s="3" t="s">
        <v>77</v>
      </c>
      <c r="BD3222" s="3" t="s">
        <v>78</v>
      </c>
      <c r="BE3222" s="3" t="s">
        <v>31921</v>
      </c>
      <c r="BF3222" s="3" t="s">
        <v>31920</v>
      </c>
      <c r="BG3222" s="3" t="s">
        <v>31922</v>
      </c>
    </row>
    <row r="3223" spans="1:59" ht="58" x14ac:dyDescent="0.35">
      <c r="A3223" s="2" t="s">
        <v>59</v>
      </c>
      <c r="B3223" s="2" t="s">
        <v>60</v>
      </c>
      <c r="C3223" s="2" t="s">
        <v>31923</v>
      </c>
      <c r="D3223" s="2" t="s">
        <v>31924</v>
      </c>
      <c r="E3223" s="2" t="s">
        <v>31925</v>
      </c>
      <c r="F3223" s="3" t="s">
        <v>1282</v>
      </c>
      <c r="G3223" s="3" t="s">
        <v>209</v>
      </c>
      <c r="I3223" s="3" t="s">
        <v>65</v>
      </c>
      <c r="J3223" s="3" t="s">
        <v>65</v>
      </c>
      <c r="K3223" s="3" t="s">
        <v>66</v>
      </c>
      <c r="L3223" s="2" t="s">
        <v>31926</v>
      </c>
      <c r="M3223" s="2" t="s">
        <v>31927</v>
      </c>
      <c r="N3223" s="3" t="s">
        <v>352</v>
      </c>
      <c r="P3223" s="3" t="s">
        <v>140</v>
      </c>
      <c r="R3223" s="3" t="s">
        <v>71</v>
      </c>
      <c r="S3223" s="4">
        <v>1</v>
      </c>
      <c r="T3223" s="4">
        <v>1</v>
      </c>
      <c r="U3223" s="5" t="s">
        <v>1097</v>
      </c>
      <c r="V3223" s="5" t="s">
        <v>1097</v>
      </c>
      <c r="W3223" s="5" t="s">
        <v>72</v>
      </c>
      <c r="X3223" s="5" t="s">
        <v>72</v>
      </c>
      <c r="Y3223" s="4">
        <v>7</v>
      </c>
      <c r="Z3223" s="4">
        <v>1</v>
      </c>
      <c r="AA3223" s="4">
        <v>5</v>
      </c>
      <c r="AB3223" s="4">
        <v>1</v>
      </c>
      <c r="AC3223" s="4">
        <v>1</v>
      </c>
      <c r="AD3223" s="4">
        <v>1</v>
      </c>
      <c r="AE3223" s="4">
        <v>14</v>
      </c>
      <c r="AF3223" s="4">
        <v>0</v>
      </c>
      <c r="AG3223" s="4">
        <v>0</v>
      </c>
      <c r="AH3223" s="4">
        <v>1</v>
      </c>
      <c r="AI3223" s="4">
        <v>11</v>
      </c>
      <c r="AJ3223" s="4">
        <v>0</v>
      </c>
      <c r="AK3223" s="4">
        <v>3</v>
      </c>
      <c r="AL3223" s="4">
        <v>0</v>
      </c>
      <c r="AM3223" s="4">
        <v>11</v>
      </c>
      <c r="AN3223" s="4">
        <v>0</v>
      </c>
      <c r="AO3223" s="4">
        <v>0</v>
      </c>
      <c r="AP3223" s="4">
        <v>0</v>
      </c>
      <c r="AQ3223" s="4">
        <v>3</v>
      </c>
      <c r="AR3223" s="3" t="s">
        <v>65</v>
      </c>
      <c r="AS3223" s="3" t="s">
        <v>65</v>
      </c>
      <c r="AT3223" s="3" t="s">
        <v>65</v>
      </c>
      <c r="AV3223" s="6" t="str">
        <f>HYPERLINK("http://mcgill.on.worldcat.org/oclc/221622955","Catalog Record")</f>
        <v>Catalog Record</v>
      </c>
      <c r="AW3223" s="6" t="str">
        <f>HYPERLINK("http://www.worldcat.org/oclc/221622955","WorldCat Record")</f>
        <v>WorldCat Record</v>
      </c>
      <c r="AX3223" s="3" t="s">
        <v>31928</v>
      </c>
      <c r="AY3223" s="3" t="s">
        <v>31929</v>
      </c>
      <c r="AZ3223" s="3" t="s">
        <v>31930</v>
      </c>
      <c r="BA3223" s="3" t="s">
        <v>31930</v>
      </c>
      <c r="BB3223" s="3" t="s">
        <v>31931</v>
      </c>
      <c r="BC3223" s="3" t="s">
        <v>77</v>
      </c>
      <c r="BD3223" s="3" t="s">
        <v>78</v>
      </c>
      <c r="BF3223" s="3" t="s">
        <v>31931</v>
      </c>
      <c r="BG3223" s="3" t="s">
        <v>31932</v>
      </c>
    </row>
    <row r="3224" spans="1:59" ht="58" x14ac:dyDescent="0.35">
      <c r="A3224" s="2" t="s">
        <v>59</v>
      </c>
      <c r="B3224" s="2" t="s">
        <v>60</v>
      </c>
      <c r="C3224" s="2" t="s">
        <v>31923</v>
      </c>
      <c r="D3224" s="2" t="s">
        <v>31924</v>
      </c>
      <c r="E3224" s="2" t="s">
        <v>31925</v>
      </c>
      <c r="F3224" s="3" t="s">
        <v>8361</v>
      </c>
      <c r="G3224" s="3" t="s">
        <v>209</v>
      </c>
      <c r="I3224" s="3" t="s">
        <v>65</v>
      </c>
      <c r="J3224" s="3" t="s">
        <v>65</v>
      </c>
      <c r="K3224" s="3" t="s">
        <v>66</v>
      </c>
      <c r="L3224" s="2" t="s">
        <v>31926</v>
      </c>
      <c r="M3224" s="2" t="s">
        <v>31927</v>
      </c>
      <c r="N3224" s="3" t="s">
        <v>352</v>
      </c>
      <c r="P3224" s="3" t="s">
        <v>140</v>
      </c>
      <c r="R3224" s="3" t="s">
        <v>71</v>
      </c>
      <c r="S3224" s="4">
        <v>0</v>
      </c>
      <c r="T3224" s="4">
        <v>1</v>
      </c>
      <c r="V3224" s="5" t="s">
        <v>1097</v>
      </c>
      <c r="W3224" s="5" t="s">
        <v>72</v>
      </c>
      <c r="X3224" s="5" t="s">
        <v>72</v>
      </c>
      <c r="Y3224" s="4">
        <v>7</v>
      </c>
      <c r="Z3224" s="4">
        <v>1</v>
      </c>
      <c r="AA3224" s="4">
        <v>5</v>
      </c>
      <c r="AB3224" s="4">
        <v>1</v>
      </c>
      <c r="AC3224" s="4">
        <v>1</v>
      </c>
      <c r="AD3224" s="4">
        <v>1</v>
      </c>
      <c r="AE3224" s="4">
        <v>14</v>
      </c>
      <c r="AF3224" s="4">
        <v>0</v>
      </c>
      <c r="AG3224" s="4">
        <v>0</v>
      </c>
      <c r="AH3224" s="4">
        <v>1</v>
      </c>
      <c r="AI3224" s="4">
        <v>11</v>
      </c>
      <c r="AJ3224" s="4">
        <v>0</v>
      </c>
      <c r="AK3224" s="4">
        <v>3</v>
      </c>
      <c r="AL3224" s="4">
        <v>0</v>
      </c>
      <c r="AM3224" s="4">
        <v>11</v>
      </c>
      <c r="AN3224" s="4">
        <v>0</v>
      </c>
      <c r="AO3224" s="4">
        <v>0</v>
      </c>
      <c r="AP3224" s="4">
        <v>0</v>
      </c>
      <c r="AQ3224" s="4">
        <v>3</v>
      </c>
      <c r="AR3224" s="3" t="s">
        <v>65</v>
      </c>
      <c r="AS3224" s="3" t="s">
        <v>65</v>
      </c>
      <c r="AT3224" s="3" t="s">
        <v>65</v>
      </c>
      <c r="AV3224" s="6" t="str">
        <f>HYPERLINK("http://mcgill.on.worldcat.org/oclc/221622955","Catalog Record")</f>
        <v>Catalog Record</v>
      </c>
      <c r="AW3224" s="6" t="str">
        <f>HYPERLINK("http://www.worldcat.org/oclc/221622955","WorldCat Record")</f>
        <v>WorldCat Record</v>
      </c>
      <c r="AX3224" s="3" t="s">
        <v>31928</v>
      </c>
      <c r="AY3224" s="3" t="s">
        <v>31929</v>
      </c>
      <c r="AZ3224" s="3" t="s">
        <v>31930</v>
      </c>
      <c r="BA3224" s="3" t="s">
        <v>31930</v>
      </c>
      <c r="BB3224" s="3" t="s">
        <v>31933</v>
      </c>
      <c r="BC3224" s="3" t="s">
        <v>77</v>
      </c>
      <c r="BD3224" s="3" t="s">
        <v>78</v>
      </c>
      <c r="BF3224" s="3" t="s">
        <v>31933</v>
      </c>
      <c r="BG3224" s="3" t="s">
        <v>31934</v>
      </c>
    </row>
    <row r="3225" spans="1:59" ht="58" x14ac:dyDescent="0.35">
      <c r="A3225" s="2" t="s">
        <v>59</v>
      </c>
      <c r="B3225" s="2" t="s">
        <v>60</v>
      </c>
      <c r="C3225" s="2" t="s">
        <v>31935</v>
      </c>
      <c r="D3225" s="2" t="s">
        <v>31936</v>
      </c>
      <c r="E3225" s="2" t="s">
        <v>31937</v>
      </c>
      <c r="F3225" s="3" t="s">
        <v>258</v>
      </c>
      <c r="G3225" s="3" t="s">
        <v>209</v>
      </c>
      <c r="I3225" s="3" t="s">
        <v>65</v>
      </c>
      <c r="J3225" s="3" t="s">
        <v>209</v>
      </c>
      <c r="K3225" s="3" t="s">
        <v>66</v>
      </c>
      <c r="L3225" s="2" t="s">
        <v>31938</v>
      </c>
      <c r="M3225" s="2" t="s">
        <v>31939</v>
      </c>
      <c r="N3225" s="3" t="s">
        <v>1895</v>
      </c>
      <c r="O3225" s="2" t="s">
        <v>6616</v>
      </c>
      <c r="P3225" s="3" t="s">
        <v>140</v>
      </c>
      <c r="Q3225" s="2" t="s">
        <v>6617</v>
      </c>
      <c r="R3225" s="3" t="s">
        <v>71</v>
      </c>
      <c r="S3225" s="4">
        <v>5</v>
      </c>
      <c r="T3225" s="4">
        <v>5</v>
      </c>
      <c r="U3225" s="5" t="s">
        <v>13846</v>
      </c>
      <c r="V3225" s="5" t="s">
        <v>13846</v>
      </c>
      <c r="W3225" s="5" t="s">
        <v>72</v>
      </c>
      <c r="X3225" s="5" t="s">
        <v>72</v>
      </c>
      <c r="Y3225" s="4">
        <v>90</v>
      </c>
      <c r="Z3225" s="4">
        <v>5</v>
      </c>
      <c r="AA3225" s="4">
        <v>6</v>
      </c>
      <c r="AB3225" s="4">
        <v>1</v>
      </c>
      <c r="AC3225" s="4">
        <v>1</v>
      </c>
      <c r="AD3225" s="4">
        <v>47</v>
      </c>
      <c r="AE3225" s="4">
        <v>51</v>
      </c>
      <c r="AF3225" s="4">
        <v>0</v>
      </c>
      <c r="AG3225" s="4">
        <v>0</v>
      </c>
      <c r="AH3225" s="4">
        <v>46</v>
      </c>
      <c r="AI3225" s="4">
        <v>48</v>
      </c>
      <c r="AJ3225" s="4">
        <v>3</v>
      </c>
      <c r="AK3225" s="4">
        <v>3</v>
      </c>
      <c r="AL3225" s="4">
        <v>35</v>
      </c>
      <c r="AM3225" s="4">
        <v>39</v>
      </c>
      <c r="AN3225" s="4">
        <v>0</v>
      </c>
      <c r="AO3225" s="4">
        <v>0</v>
      </c>
      <c r="AP3225" s="4">
        <v>3</v>
      </c>
      <c r="AQ3225" s="4">
        <v>3</v>
      </c>
      <c r="AR3225" s="3" t="s">
        <v>65</v>
      </c>
      <c r="AS3225" s="3" t="s">
        <v>65</v>
      </c>
      <c r="AT3225" s="3" t="s">
        <v>209</v>
      </c>
      <c r="AU3225" s="6" t="str">
        <f>HYPERLINK("http://catalog.hathitrust.org/Record/003313033","HathiTrust Record")</f>
        <v>HathiTrust Record</v>
      </c>
      <c r="AV3225" s="6" t="str">
        <f>HYPERLINK("http://mcgill.on.worldcat.org/oclc/39988974","Catalog Record")</f>
        <v>Catalog Record</v>
      </c>
      <c r="AW3225" s="6" t="str">
        <f>HYPERLINK("http://www.worldcat.org/oclc/39988974","WorldCat Record")</f>
        <v>WorldCat Record</v>
      </c>
      <c r="AX3225" s="3" t="s">
        <v>31940</v>
      </c>
      <c r="AY3225" s="3" t="s">
        <v>31941</v>
      </c>
      <c r="AZ3225" s="3" t="s">
        <v>31942</v>
      </c>
      <c r="BA3225" s="3" t="s">
        <v>31942</v>
      </c>
      <c r="BB3225" s="3" t="s">
        <v>31943</v>
      </c>
      <c r="BC3225" s="3" t="s">
        <v>77</v>
      </c>
      <c r="BD3225" s="3" t="s">
        <v>78</v>
      </c>
      <c r="BE3225" s="3" t="s">
        <v>31944</v>
      </c>
      <c r="BF3225" s="3" t="s">
        <v>31943</v>
      </c>
      <c r="BG3225" s="3" t="s">
        <v>31945</v>
      </c>
    </row>
    <row r="3226" spans="1:59" ht="58" x14ac:dyDescent="0.35">
      <c r="A3226" s="2" t="s">
        <v>59</v>
      </c>
      <c r="B3226" s="2" t="s">
        <v>60</v>
      </c>
      <c r="C3226" s="2" t="s">
        <v>31946</v>
      </c>
      <c r="D3226" s="2" t="s">
        <v>31947</v>
      </c>
      <c r="E3226" s="2" t="s">
        <v>31948</v>
      </c>
      <c r="G3226" s="3" t="s">
        <v>65</v>
      </c>
      <c r="I3226" s="3" t="s">
        <v>209</v>
      </c>
      <c r="J3226" s="3" t="s">
        <v>65</v>
      </c>
      <c r="K3226" s="3" t="s">
        <v>66</v>
      </c>
      <c r="L3226" s="2" t="s">
        <v>31938</v>
      </c>
      <c r="M3226" s="2" t="s">
        <v>31949</v>
      </c>
      <c r="N3226" s="3" t="s">
        <v>12785</v>
      </c>
      <c r="P3226" s="3" t="s">
        <v>69</v>
      </c>
      <c r="R3226" s="3" t="s">
        <v>71</v>
      </c>
      <c r="S3226" s="4">
        <v>3</v>
      </c>
      <c r="T3226" s="4">
        <v>3</v>
      </c>
      <c r="U3226" s="5" t="s">
        <v>14842</v>
      </c>
      <c r="V3226" s="5" t="s">
        <v>14842</v>
      </c>
      <c r="W3226" s="5" t="s">
        <v>72</v>
      </c>
      <c r="X3226" s="5" t="s">
        <v>72</v>
      </c>
      <c r="Y3226" s="4">
        <v>272</v>
      </c>
      <c r="Z3226" s="4">
        <v>11</v>
      </c>
      <c r="AA3226" s="4">
        <v>11</v>
      </c>
      <c r="AB3226" s="4">
        <v>2</v>
      </c>
      <c r="AC3226" s="4">
        <v>2</v>
      </c>
      <c r="AD3226" s="4">
        <v>85</v>
      </c>
      <c r="AE3226" s="4">
        <v>85</v>
      </c>
      <c r="AF3226" s="4">
        <v>1</v>
      </c>
      <c r="AG3226" s="4">
        <v>1</v>
      </c>
      <c r="AH3226" s="4">
        <v>76</v>
      </c>
      <c r="AI3226" s="4">
        <v>76</v>
      </c>
      <c r="AJ3226" s="4">
        <v>9</v>
      </c>
      <c r="AK3226" s="4">
        <v>9</v>
      </c>
      <c r="AL3226" s="4">
        <v>48</v>
      </c>
      <c r="AM3226" s="4">
        <v>48</v>
      </c>
      <c r="AN3226" s="4">
        <v>0</v>
      </c>
      <c r="AO3226" s="4">
        <v>0</v>
      </c>
      <c r="AP3226" s="4">
        <v>9</v>
      </c>
      <c r="AQ3226" s="4">
        <v>9</v>
      </c>
      <c r="AR3226" s="3" t="s">
        <v>65</v>
      </c>
      <c r="AS3226" s="3" t="s">
        <v>65</v>
      </c>
      <c r="AT3226" s="3" t="s">
        <v>209</v>
      </c>
      <c r="AU3226" s="6" t="str">
        <f>HYPERLINK("http://catalog.hathitrust.org/Record/001219999","HathiTrust Record")</f>
        <v>HathiTrust Record</v>
      </c>
      <c r="AV3226" s="6" t="str">
        <f>HYPERLINK("http://mcgill.on.worldcat.org/oclc/1136801","Catalog Record")</f>
        <v>Catalog Record</v>
      </c>
      <c r="AW3226" s="6" t="str">
        <f>HYPERLINK("http://www.worldcat.org/oclc/1136801","WorldCat Record")</f>
        <v>WorldCat Record</v>
      </c>
      <c r="AX3226" s="3" t="s">
        <v>31950</v>
      </c>
      <c r="AY3226" s="3" t="s">
        <v>31951</v>
      </c>
      <c r="AZ3226" s="3" t="s">
        <v>31952</v>
      </c>
      <c r="BA3226" s="3" t="s">
        <v>31952</v>
      </c>
      <c r="BB3226" s="3" t="s">
        <v>31953</v>
      </c>
      <c r="BC3226" s="3" t="s">
        <v>77</v>
      </c>
      <c r="BD3226" s="3" t="s">
        <v>78</v>
      </c>
      <c r="BF3226" s="3" t="s">
        <v>31953</v>
      </c>
      <c r="BG3226" s="3" t="s">
        <v>31954</v>
      </c>
    </row>
    <row r="3227" spans="1:59" ht="58" x14ac:dyDescent="0.35">
      <c r="A3227" s="2" t="s">
        <v>59</v>
      </c>
      <c r="B3227" s="2" t="s">
        <v>60</v>
      </c>
      <c r="C3227" s="2" t="s">
        <v>31955</v>
      </c>
      <c r="D3227" s="2" t="s">
        <v>31956</v>
      </c>
      <c r="E3227" s="2" t="s">
        <v>31957</v>
      </c>
      <c r="G3227" s="3" t="s">
        <v>65</v>
      </c>
      <c r="I3227" s="3" t="s">
        <v>65</v>
      </c>
      <c r="J3227" s="3" t="s">
        <v>209</v>
      </c>
      <c r="K3227" s="3" t="s">
        <v>66</v>
      </c>
      <c r="L3227" s="2" t="s">
        <v>31938</v>
      </c>
      <c r="M3227" s="2" t="s">
        <v>31958</v>
      </c>
      <c r="N3227" s="3" t="s">
        <v>7187</v>
      </c>
      <c r="P3227" s="3" t="s">
        <v>140</v>
      </c>
      <c r="Q3227" s="2" t="s">
        <v>13719</v>
      </c>
      <c r="R3227" s="3" t="s">
        <v>71</v>
      </c>
      <c r="S3227" s="4">
        <v>1</v>
      </c>
      <c r="T3227" s="4">
        <v>1</v>
      </c>
      <c r="U3227" s="5" t="s">
        <v>22787</v>
      </c>
      <c r="V3227" s="5" t="s">
        <v>22787</v>
      </c>
      <c r="W3227" s="5" t="s">
        <v>72</v>
      </c>
      <c r="X3227" s="5" t="s">
        <v>72</v>
      </c>
      <c r="Y3227" s="4">
        <v>115</v>
      </c>
      <c r="Z3227" s="4">
        <v>9</v>
      </c>
      <c r="AA3227" s="4">
        <v>26</v>
      </c>
      <c r="AB3227" s="4">
        <v>1</v>
      </c>
      <c r="AC3227" s="4">
        <v>3</v>
      </c>
      <c r="AD3227" s="4">
        <v>35</v>
      </c>
      <c r="AE3227" s="4">
        <v>92</v>
      </c>
      <c r="AF3227" s="4">
        <v>0</v>
      </c>
      <c r="AG3227" s="4">
        <v>2</v>
      </c>
      <c r="AH3227" s="4">
        <v>32</v>
      </c>
      <c r="AI3227" s="4">
        <v>82</v>
      </c>
      <c r="AJ3227" s="4">
        <v>8</v>
      </c>
      <c r="AK3227" s="4">
        <v>17</v>
      </c>
      <c r="AL3227" s="4">
        <v>17</v>
      </c>
      <c r="AM3227" s="4">
        <v>49</v>
      </c>
      <c r="AN3227" s="4">
        <v>0</v>
      </c>
      <c r="AO3227" s="4">
        <v>1</v>
      </c>
      <c r="AP3227" s="4">
        <v>8</v>
      </c>
      <c r="AQ3227" s="4">
        <v>17</v>
      </c>
      <c r="AR3227" s="3" t="s">
        <v>65</v>
      </c>
      <c r="AS3227" s="3" t="s">
        <v>65</v>
      </c>
      <c r="AT3227" s="3" t="s">
        <v>65</v>
      </c>
      <c r="AV3227" s="6" t="str">
        <f>HYPERLINK("http://mcgill.on.worldcat.org/oclc/3552306","Catalog Record")</f>
        <v>Catalog Record</v>
      </c>
      <c r="AW3227" s="6" t="str">
        <f>HYPERLINK("http://www.worldcat.org/oclc/3552306","WorldCat Record")</f>
        <v>WorldCat Record</v>
      </c>
      <c r="AX3227" s="3" t="s">
        <v>31959</v>
      </c>
      <c r="AY3227" s="3" t="s">
        <v>31960</v>
      </c>
      <c r="AZ3227" s="3" t="s">
        <v>31961</v>
      </c>
      <c r="BA3227" s="3" t="s">
        <v>31961</v>
      </c>
      <c r="BB3227" s="3" t="s">
        <v>31962</v>
      </c>
      <c r="BC3227" s="3" t="s">
        <v>77</v>
      </c>
      <c r="BD3227" s="3" t="s">
        <v>78</v>
      </c>
      <c r="BE3227" s="3" t="s">
        <v>31963</v>
      </c>
      <c r="BF3227" s="3" t="s">
        <v>31962</v>
      </c>
      <c r="BG3227" s="3" t="s">
        <v>31964</v>
      </c>
    </row>
    <row r="3228" spans="1:59" ht="58" x14ac:dyDescent="0.35">
      <c r="A3228" s="2" t="s">
        <v>59</v>
      </c>
      <c r="B3228" s="2" t="s">
        <v>60</v>
      </c>
      <c r="C3228" s="2" t="s">
        <v>31965</v>
      </c>
      <c r="D3228" s="2" t="s">
        <v>31966</v>
      </c>
      <c r="E3228" s="2" t="s">
        <v>31967</v>
      </c>
      <c r="G3228" s="3" t="s">
        <v>65</v>
      </c>
      <c r="I3228" s="3" t="s">
        <v>65</v>
      </c>
      <c r="J3228" s="3" t="s">
        <v>209</v>
      </c>
      <c r="K3228" s="3" t="s">
        <v>66</v>
      </c>
      <c r="L3228" s="2" t="s">
        <v>31968</v>
      </c>
      <c r="M3228" s="2" t="s">
        <v>31969</v>
      </c>
      <c r="N3228" s="3" t="s">
        <v>955</v>
      </c>
      <c r="P3228" s="3" t="s">
        <v>140</v>
      </c>
      <c r="Q3228" s="2" t="s">
        <v>31970</v>
      </c>
      <c r="R3228" s="3" t="s">
        <v>71</v>
      </c>
      <c r="S3228" s="4">
        <v>13</v>
      </c>
      <c r="T3228" s="4">
        <v>13</v>
      </c>
      <c r="U3228" s="5" t="s">
        <v>31971</v>
      </c>
      <c r="V3228" s="5" t="s">
        <v>31971</v>
      </c>
      <c r="W3228" s="5" t="s">
        <v>72</v>
      </c>
      <c r="X3228" s="5" t="s">
        <v>72</v>
      </c>
      <c r="Y3228" s="4">
        <v>91</v>
      </c>
      <c r="Z3228" s="4">
        <v>2</v>
      </c>
      <c r="AA3228" s="4">
        <v>26</v>
      </c>
      <c r="AB3228" s="4">
        <v>1</v>
      </c>
      <c r="AC3228" s="4">
        <v>3</v>
      </c>
      <c r="AD3228" s="4">
        <v>9</v>
      </c>
      <c r="AE3228" s="4">
        <v>92</v>
      </c>
      <c r="AF3228" s="4">
        <v>0</v>
      </c>
      <c r="AG3228" s="4">
        <v>2</v>
      </c>
      <c r="AH3228" s="4">
        <v>9</v>
      </c>
      <c r="AI3228" s="4">
        <v>82</v>
      </c>
      <c r="AJ3228" s="4">
        <v>1</v>
      </c>
      <c r="AK3228" s="4">
        <v>17</v>
      </c>
      <c r="AL3228" s="4">
        <v>3</v>
      </c>
      <c r="AM3228" s="4">
        <v>49</v>
      </c>
      <c r="AN3228" s="4">
        <v>0</v>
      </c>
      <c r="AO3228" s="4">
        <v>1</v>
      </c>
      <c r="AP3228" s="4">
        <v>1</v>
      </c>
      <c r="AQ3228" s="4">
        <v>17</v>
      </c>
      <c r="AR3228" s="3" t="s">
        <v>65</v>
      </c>
      <c r="AS3228" s="3" t="s">
        <v>65</v>
      </c>
      <c r="AT3228" s="3" t="s">
        <v>209</v>
      </c>
      <c r="AU3228" s="6" t="str">
        <f>HYPERLINK("http://catalog.hathitrust.org/Record/007583490","HathiTrust Record")</f>
        <v>HathiTrust Record</v>
      </c>
      <c r="AV3228" s="6" t="str">
        <f>HYPERLINK("http://mcgill.on.worldcat.org/oclc/22289883","Catalog Record")</f>
        <v>Catalog Record</v>
      </c>
      <c r="AW3228" s="6" t="str">
        <f>HYPERLINK("http://www.worldcat.org/oclc/22289883","WorldCat Record")</f>
        <v>WorldCat Record</v>
      </c>
      <c r="AX3228" s="3" t="s">
        <v>31959</v>
      </c>
      <c r="AY3228" s="3" t="s">
        <v>31972</v>
      </c>
      <c r="AZ3228" s="3" t="s">
        <v>31973</v>
      </c>
      <c r="BA3228" s="3" t="s">
        <v>31973</v>
      </c>
      <c r="BB3228" s="3" t="s">
        <v>31974</v>
      </c>
      <c r="BC3228" s="3" t="s">
        <v>77</v>
      </c>
      <c r="BD3228" s="3" t="s">
        <v>78</v>
      </c>
      <c r="BE3228" s="3" t="s">
        <v>31975</v>
      </c>
      <c r="BF3228" s="3" t="s">
        <v>31974</v>
      </c>
      <c r="BG3228" s="3" t="s">
        <v>31976</v>
      </c>
    </row>
    <row r="3229" spans="1:59" ht="58" x14ac:dyDescent="0.35">
      <c r="A3229" s="2" t="s">
        <v>59</v>
      </c>
      <c r="B3229" s="2" t="s">
        <v>60</v>
      </c>
      <c r="C3229" s="2" t="s">
        <v>31977</v>
      </c>
      <c r="D3229" s="2" t="s">
        <v>31978</v>
      </c>
      <c r="E3229" s="2" t="s">
        <v>31979</v>
      </c>
      <c r="G3229" s="3" t="s">
        <v>65</v>
      </c>
      <c r="I3229" s="3" t="s">
        <v>65</v>
      </c>
      <c r="J3229" s="3" t="s">
        <v>209</v>
      </c>
      <c r="K3229" s="3" t="s">
        <v>66</v>
      </c>
      <c r="L3229" s="2" t="s">
        <v>31938</v>
      </c>
      <c r="M3229" s="2" t="s">
        <v>31980</v>
      </c>
      <c r="N3229" s="3" t="s">
        <v>11262</v>
      </c>
      <c r="O3229" s="2" t="s">
        <v>31981</v>
      </c>
      <c r="P3229" s="3" t="s">
        <v>69</v>
      </c>
      <c r="R3229" s="3" t="s">
        <v>71</v>
      </c>
      <c r="S3229" s="4">
        <v>35</v>
      </c>
      <c r="T3229" s="4">
        <v>35</v>
      </c>
      <c r="U3229" s="5" t="s">
        <v>31982</v>
      </c>
      <c r="V3229" s="5" t="s">
        <v>31982</v>
      </c>
      <c r="W3229" s="5" t="s">
        <v>72</v>
      </c>
      <c r="X3229" s="5" t="s">
        <v>72</v>
      </c>
      <c r="Y3229" s="4">
        <v>481</v>
      </c>
      <c r="Z3229" s="4">
        <v>10</v>
      </c>
      <c r="AA3229" s="4">
        <v>32</v>
      </c>
      <c r="AB3229" s="4">
        <v>1</v>
      </c>
      <c r="AC3229" s="4">
        <v>2</v>
      </c>
      <c r="AD3229" s="4">
        <v>79</v>
      </c>
      <c r="AE3229" s="4">
        <v>120</v>
      </c>
      <c r="AF3229" s="4">
        <v>0</v>
      </c>
      <c r="AG3229" s="4">
        <v>1</v>
      </c>
      <c r="AH3229" s="4">
        <v>73</v>
      </c>
      <c r="AI3229" s="4">
        <v>102</v>
      </c>
      <c r="AJ3229" s="4">
        <v>6</v>
      </c>
      <c r="AK3229" s="4">
        <v>16</v>
      </c>
      <c r="AL3229" s="4">
        <v>44</v>
      </c>
      <c r="AM3229" s="4">
        <v>58</v>
      </c>
      <c r="AN3229" s="4">
        <v>4</v>
      </c>
      <c r="AO3229" s="4">
        <v>4</v>
      </c>
      <c r="AP3229" s="4">
        <v>6</v>
      </c>
      <c r="AQ3229" s="4">
        <v>22</v>
      </c>
      <c r="AR3229" s="3" t="s">
        <v>65</v>
      </c>
      <c r="AS3229" s="3" t="s">
        <v>65</v>
      </c>
      <c r="AT3229" s="3" t="s">
        <v>209</v>
      </c>
      <c r="AU3229" s="6" t="str">
        <f>HYPERLINK("http://catalog.hathitrust.org/Record/007881036","HathiTrust Record")</f>
        <v>HathiTrust Record</v>
      </c>
      <c r="AV3229" s="6" t="str">
        <f>HYPERLINK("http://mcgill.on.worldcat.org/oclc/6561598","Catalog Record")</f>
        <v>Catalog Record</v>
      </c>
      <c r="AW3229" s="6" t="str">
        <f>HYPERLINK("http://www.worldcat.org/oclc/6561598","WorldCat Record")</f>
        <v>WorldCat Record</v>
      </c>
      <c r="AX3229" s="3" t="s">
        <v>31983</v>
      </c>
      <c r="AY3229" s="3" t="s">
        <v>31984</v>
      </c>
      <c r="AZ3229" s="3" t="s">
        <v>31985</v>
      </c>
      <c r="BA3229" s="3" t="s">
        <v>31985</v>
      </c>
      <c r="BB3229" s="3" t="s">
        <v>31986</v>
      </c>
      <c r="BC3229" s="3" t="s">
        <v>77</v>
      </c>
      <c r="BD3229" s="3" t="s">
        <v>106</v>
      </c>
      <c r="BF3229" s="3" t="s">
        <v>31986</v>
      </c>
      <c r="BG3229" s="3" t="s">
        <v>31987</v>
      </c>
    </row>
    <row r="3230" spans="1:59" ht="58" x14ac:dyDescent="0.35">
      <c r="A3230" s="2" t="s">
        <v>59</v>
      </c>
      <c r="B3230" s="2" t="s">
        <v>60</v>
      </c>
      <c r="C3230" s="2" t="s">
        <v>31988</v>
      </c>
      <c r="D3230" s="2" t="s">
        <v>31989</v>
      </c>
      <c r="E3230" s="2" t="s">
        <v>31990</v>
      </c>
      <c r="G3230" s="3" t="s">
        <v>65</v>
      </c>
      <c r="I3230" s="3" t="s">
        <v>65</v>
      </c>
      <c r="J3230" s="3" t="s">
        <v>209</v>
      </c>
      <c r="K3230" s="3" t="s">
        <v>66</v>
      </c>
      <c r="L3230" s="2" t="s">
        <v>31968</v>
      </c>
      <c r="M3230" s="2" t="s">
        <v>31991</v>
      </c>
      <c r="N3230" s="3" t="s">
        <v>26095</v>
      </c>
      <c r="P3230" s="3" t="s">
        <v>69</v>
      </c>
      <c r="R3230" s="3" t="s">
        <v>71</v>
      </c>
      <c r="S3230" s="4">
        <v>8</v>
      </c>
      <c r="T3230" s="4">
        <v>8</v>
      </c>
      <c r="U3230" s="5" t="s">
        <v>31992</v>
      </c>
      <c r="V3230" s="5" t="s">
        <v>31992</v>
      </c>
      <c r="W3230" s="5" t="s">
        <v>72</v>
      </c>
      <c r="X3230" s="5" t="s">
        <v>72</v>
      </c>
      <c r="Y3230" s="4">
        <v>160</v>
      </c>
      <c r="Z3230" s="4">
        <v>5</v>
      </c>
      <c r="AA3230" s="4">
        <v>32</v>
      </c>
      <c r="AB3230" s="4">
        <v>1</v>
      </c>
      <c r="AC3230" s="4">
        <v>2</v>
      </c>
      <c r="AD3230" s="4">
        <v>55</v>
      </c>
      <c r="AE3230" s="4">
        <v>120</v>
      </c>
      <c r="AF3230" s="4">
        <v>0</v>
      </c>
      <c r="AG3230" s="4">
        <v>1</v>
      </c>
      <c r="AH3230" s="4">
        <v>50</v>
      </c>
      <c r="AI3230" s="4">
        <v>102</v>
      </c>
      <c r="AJ3230" s="4">
        <v>3</v>
      </c>
      <c r="AK3230" s="4">
        <v>16</v>
      </c>
      <c r="AL3230" s="4">
        <v>34</v>
      </c>
      <c r="AM3230" s="4">
        <v>58</v>
      </c>
      <c r="AN3230" s="4">
        <v>0</v>
      </c>
      <c r="AO3230" s="4">
        <v>4</v>
      </c>
      <c r="AP3230" s="4">
        <v>4</v>
      </c>
      <c r="AQ3230" s="4">
        <v>22</v>
      </c>
      <c r="AR3230" s="3" t="s">
        <v>65</v>
      </c>
      <c r="AS3230" s="3" t="s">
        <v>65</v>
      </c>
      <c r="AT3230" s="3" t="s">
        <v>65</v>
      </c>
      <c r="AU3230" s="6" t="str">
        <f>HYPERLINK("http://catalog.hathitrust.org/Record/001361511","HathiTrust Record")</f>
        <v>HathiTrust Record</v>
      </c>
      <c r="AV3230" s="6" t="str">
        <f>HYPERLINK("http://mcgill.on.worldcat.org/oclc/1747049","Catalog Record")</f>
        <v>Catalog Record</v>
      </c>
      <c r="AW3230" s="6" t="str">
        <f>HYPERLINK("http://www.worldcat.org/oclc/1747049","WorldCat Record")</f>
        <v>WorldCat Record</v>
      </c>
      <c r="AX3230" s="3" t="s">
        <v>31983</v>
      </c>
      <c r="AY3230" s="3" t="s">
        <v>31993</v>
      </c>
      <c r="AZ3230" s="3" t="s">
        <v>31994</v>
      </c>
      <c r="BA3230" s="3" t="s">
        <v>31994</v>
      </c>
      <c r="BB3230" s="3" t="s">
        <v>31995</v>
      </c>
      <c r="BC3230" s="3" t="s">
        <v>77</v>
      </c>
      <c r="BD3230" s="3" t="s">
        <v>78</v>
      </c>
      <c r="BF3230" s="3" t="s">
        <v>31995</v>
      </c>
      <c r="BG3230" s="3" t="s">
        <v>31996</v>
      </c>
    </row>
    <row r="3231" spans="1:59" ht="58" x14ac:dyDescent="0.35">
      <c r="A3231" s="2" t="s">
        <v>59</v>
      </c>
      <c r="B3231" s="2" t="s">
        <v>60</v>
      </c>
      <c r="C3231" s="2" t="s">
        <v>31997</v>
      </c>
      <c r="D3231" s="2" t="s">
        <v>31998</v>
      </c>
      <c r="E3231" s="2" t="s">
        <v>31999</v>
      </c>
      <c r="G3231" s="3" t="s">
        <v>65</v>
      </c>
      <c r="I3231" s="3" t="s">
        <v>65</v>
      </c>
      <c r="J3231" s="3" t="s">
        <v>209</v>
      </c>
      <c r="K3231" s="3" t="s">
        <v>66</v>
      </c>
      <c r="L3231" s="2" t="s">
        <v>31938</v>
      </c>
      <c r="M3231" s="2" t="s">
        <v>32000</v>
      </c>
      <c r="N3231" s="3" t="s">
        <v>5439</v>
      </c>
      <c r="P3231" s="3" t="s">
        <v>69</v>
      </c>
      <c r="R3231" s="3" t="s">
        <v>71</v>
      </c>
      <c r="S3231" s="4">
        <v>10</v>
      </c>
      <c r="T3231" s="4">
        <v>10</v>
      </c>
      <c r="U3231" s="5" t="s">
        <v>28300</v>
      </c>
      <c r="V3231" s="5" t="s">
        <v>28300</v>
      </c>
      <c r="W3231" s="5" t="s">
        <v>72</v>
      </c>
      <c r="X3231" s="5" t="s">
        <v>72</v>
      </c>
      <c r="Y3231" s="4">
        <v>492</v>
      </c>
      <c r="Z3231" s="4">
        <v>18</v>
      </c>
      <c r="AA3231" s="4">
        <v>72</v>
      </c>
      <c r="AB3231" s="4">
        <v>3</v>
      </c>
      <c r="AC3231" s="4">
        <v>7</v>
      </c>
      <c r="AD3231" s="4">
        <v>74</v>
      </c>
      <c r="AE3231" s="4">
        <v>143</v>
      </c>
      <c r="AF3231" s="4">
        <v>2</v>
      </c>
      <c r="AG3231" s="4">
        <v>3</v>
      </c>
      <c r="AH3231" s="4">
        <v>63</v>
      </c>
      <c r="AI3231" s="4">
        <v>111</v>
      </c>
      <c r="AJ3231" s="4">
        <v>8</v>
      </c>
      <c r="AK3231" s="4">
        <v>22</v>
      </c>
      <c r="AL3231" s="4">
        <v>44</v>
      </c>
      <c r="AM3231" s="4">
        <v>61</v>
      </c>
      <c r="AN3231" s="4">
        <v>0</v>
      </c>
      <c r="AO3231" s="4">
        <v>5</v>
      </c>
      <c r="AP3231" s="4">
        <v>10</v>
      </c>
      <c r="AQ3231" s="4">
        <v>38</v>
      </c>
      <c r="AR3231" s="3" t="s">
        <v>65</v>
      </c>
      <c r="AS3231" s="3" t="s">
        <v>65</v>
      </c>
      <c r="AT3231" s="3" t="s">
        <v>209</v>
      </c>
      <c r="AU3231" s="6" t="str">
        <f>HYPERLINK("http://catalog.hathitrust.org/Record/001015881","HathiTrust Record")</f>
        <v>HathiTrust Record</v>
      </c>
      <c r="AV3231" s="6" t="str">
        <f>HYPERLINK("http://mcgill.on.worldcat.org/oclc/345007","Catalog Record")</f>
        <v>Catalog Record</v>
      </c>
      <c r="AW3231" s="6" t="str">
        <f>HYPERLINK("http://www.worldcat.org/oclc/345007","WorldCat Record")</f>
        <v>WorldCat Record</v>
      </c>
      <c r="AX3231" s="3" t="s">
        <v>32001</v>
      </c>
      <c r="AY3231" s="3" t="s">
        <v>32002</v>
      </c>
      <c r="AZ3231" s="3" t="s">
        <v>32003</v>
      </c>
      <c r="BA3231" s="3" t="s">
        <v>32003</v>
      </c>
      <c r="BB3231" s="3" t="s">
        <v>32004</v>
      </c>
      <c r="BC3231" s="3" t="s">
        <v>77</v>
      </c>
      <c r="BD3231" s="3" t="s">
        <v>78</v>
      </c>
      <c r="BF3231" s="3" t="s">
        <v>32004</v>
      </c>
      <c r="BG3231" s="3" t="s">
        <v>32005</v>
      </c>
    </row>
    <row r="3232" spans="1:59" ht="58" x14ac:dyDescent="0.35">
      <c r="A3232" s="2" t="s">
        <v>59</v>
      </c>
      <c r="B3232" s="2" t="s">
        <v>60</v>
      </c>
      <c r="C3232" s="2" t="s">
        <v>32006</v>
      </c>
      <c r="D3232" s="2" t="s">
        <v>32007</v>
      </c>
      <c r="E3232" s="2" t="s">
        <v>32008</v>
      </c>
      <c r="G3232" s="3" t="s">
        <v>65</v>
      </c>
      <c r="I3232" s="3" t="s">
        <v>65</v>
      </c>
      <c r="J3232" s="3" t="s">
        <v>65</v>
      </c>
      <c r="K3232" s="3" t="s">
        <v>66</v>
      </c>
      <c r="L3232" s="2" t="s">
        <v>31938</v>
      </c>
      <c r="M3232" s="2" t="s">
        <v>32009</v>
      </c>
      <c r="N3232" s="3" t="s">
        <v>99</v>
      </c>
      <c r="O3232" s="2" t="s">
        <v>32010</v>
      </c>
      <c r="P3232" s="3" t="s">
        <v>69</v>
      </c>
      <c r="R3232" s="3" t="s">
        <v>71</v>
      </c>
      <c r="S3232" s="4">
        <v>4</v>
      </c>
      <c r="T3232" s="4">
        <v>4</v>
      </c>
      <c r="U3232" s="5" t="s">
        <v>32011</v>
      </c>
      <c r="V3232" s="5" t="s">
        <v>32011</v>
      </c>
      <c r="W3232" s="5" t="s">
        <v>72</v>
      </c>
      <c r="X3232" s="5" t="s">
        <v>72</v>
      </c>
      <c r="Y3232" s="4">
        <v>105</v>
      </c>
      <c r="Z3232" s="4">
        <v>7</v>
      </c>
      <c r="AA3232" s="4">
        <v>13</v>
      </c>
      <c r="AB3232" s="4">
        <v>1</v>
      </c>
      <c r="AC3232" s="4">
        <v>4</v>
      </c>
      <c r="AD3232" s="4">
        <v>50</v>
      </c>
      <c r="AE3232" s="4">
        <v>55</v>
      </c>
      <c r="AF3232" s="4">
        <v>0</v>
      </c>
      <c r="AG3232" s="4">
        <v>2</v>
      </c>
      <c r="AH3232" s="4">
        <v>47</v>
      </c>
      <c r="AI3232" s="4">
        <v>50</v>
      </c>
      <c r="AJ3232" s="4">
        <v>6</v>
      </c>
      <c r="AK3232" s="4">
        <v>8</v>
      </c>
      <c r="AL3232" s="4">
        <v>26</v>
      </c>
      <c r="AM3232" s="4">
        <v>28</v>
      </c>
      <c r="AN3232" s="4">
        <v>0</v>
      </c>
      <c r="AO3232" s="4">
        <v>0</v>
      </c>
      <c r="AP3232" s="4">
        <v>6</v>
      </c>
      <c r="AQ3232" s="4">
        <v>9</v>
      </c>
      <c r="AR3232" s="3" t="s">
        <v>65</v>
      </c>
      <c r="AS3232" s="3" t="s">
        <v>65</v>
      </c>
      <c r="AT3232" s="3" t="s">
        <v>209</v>
      </c>
      <c r="AU3232" s="6" t="str">
        <f>HYPERLINK("http://catalog.hathitrust.org/Record/007583488","HathiTrust Record")</f>
        <v>HathiTrust Record</v>
      </c>
      <c r="AV3232" s="6" t="str">
        <f>HYPERLINK("http://mcgill.on.worldcat.org/oclc/77083100","Catalog Record")</f>
        <v>Catalog Record</v>
      </c>
      <c r="AW3232" s="6" t="str">
        <f>HYPERLINK("http://www.worldcat.org/oclc/77083100","WorldCat Record")</f>
        <v>WorldCat Record</v>
      </c>
      <c r="AX3232" s="3" t="s">
        <v>32012</v>
      </c>
      <c r="AY3232" s="3" t="s">
        <v>32013</v>
      </c>
      <c r="AZ3232" s="3" t="s">
        <v>32014</v>
      </c>
      <c r="BA3232" s="3" t="s">
        <v>32014</v>
      </c>
      <c r="BB3232" s="3" t="s">
        <v>32015</v>
      </c>
      <c r="BC3232" s="3" t="s">
        <v>77</v>
      </c>
      <c r="BD3232" s="3" t="s">
        <v>78</v>
      </c>
      <c r="BE3232" s="3" t="s">
        <v>32016</v>
      </c>
      <c r="BF3232" s="3" t="s">
        <v>32015</v>
      </c>
      <c r="BG3232" s="3" t="s">
        <v>32017</v>
      </c>
    </row>
    <row r="3233" spans="1:59" ht="58" x14ac:dyDescent="0.35">
      <c r="A3233" s="2" t="s">
        <v>59</v>
      </c>
      <c r="B3233" s="2" t="s">
        <v>60</v>
      </c>
      <c r="C3233" s="2" t="s">
        <v>32018</v>
      </c>
      <c r="D3233" s="2" t="s">
        <v>32019</v>
      </c>
      <c r="E3233" s="2" t="s">
        <v>32020</v>
      </c>
      <c r="G3233" s="3" t="s">
        <v>65</v>
      </c>
      <c r="I3233" s="3" t="s">
        <v>65</v>
      </c>
      <c r="J3233" s="3" t="s">
        <v>65</v>
      </c>
      <c r="K3233" s="3" t="s">
        <v>66</v>
      </c>
      <c r="L3233" s="2" t="s">
        <v>32021</v>
      </c>
      <c r="M3233" s="2" t="s">
        <v>1517</v>
      </c>
      <c r="N3233" s="3" t="s">
        <v>68</v>
      </c>
      <c r="P3233" s="3" t="s">
        <v>69</v>
      </c>
      <c r="Q3233" s="2" t="s">
        <v>1197</v>
      </c>
      <c r="R3233" s="3" t="s">
        <v>71</v>
      </c>
      <c r="S3233" s="4">
        <v>1</v>
      </c>
      <c r="T3233" s="4">
        <v>1</v>
      </c>
      <c r="U3233" s="5" t="s">
        <v>21322</v>
      </c>
      <c r="V3233" s="5" t="s">
        <v>21322</v>
      </c>
      <c r="W3233" s="5" t="s">
        <v>72</v>
      </c>
      <c r="X3233" s="5" t="s">
        <v>72</v>
      </c>
      <c r="Y3233" s="4">
        <v>77</v>
      </c>
      <c r="Z3233" s="4">
        <v>8</v>
      </c>
      <c r="AA3233" s="4">
        <v>87</v>
      </c>
      <c r="AB3233" s="4">
        <v>1</v>
      </c>
      <c r="AC3233" s="4">
        <v>16</v>
      </c>
      <c r="AD3233" s="4">
        <v>54</v>
      </c>
      <c r="AE3233" s="4">
        <v>118</v>
      </c>
      <c r="AF3233" s="4">
        <v>0</v>
      </c>
      <c r="AG3233" s="4">
        <v>8</v>
      </c>
      <c r="AH3233" s="4">
        <v>48</v>
      </c>
      <c r="AI3233" s="4">
        <v>78</v>
      </c>
      <c r="AJ3233" s="4">
        <v>6</v>
      </c>
      <c r="AK3233" s="4">
        <v>22</v>
      </c>
      <c r="AL3233" s="4">
        <v>36</v>
      </c>
      <c r="AM3233" s="4">
        <v>45</v>
      </c>
      <c r="AN3233" s="4">
        <v>0</v>
      </c>
      <c r="AO3233" s="4">
        <v>0</v>
      </c>
      <c r="AP3233" s="4">
        <v>5</v>
      </c>
      <c r="AQ3233" s="4">
        <v>46</v>
      </c>
      <c r="AR3233" s="3" t="s">
        <v>209</v>
      </c>
      <c r="AS3233" s="3" t="s">
        <v>65</v>
      </c>
      <c r="AT3233" s="3" t="s">
        <v>65</v>
      </c>
      <c r="AV3233" s="6" t="str">
        <f>HYPERLINK("http://mcgill.on.worldcat.org/oclc/944379938","Catalog Record")</f>
        <v>Catalog Record</v>
      </c>
      <c r="AW3233" s="6" t="str">
        <f>HYPERLINK("http://www.worldcat.org/oclc/944379938","WorldCat Record")</f>
        <v>WorldCat Record</v>
      </c>
      <c r="AX3233" s="3" t="s">
        <v>32022</v>
      </c>
      <c r="AY3233" s="3" t="s">
        <v>32023</v>
      </c>
      <c r="AZ3233" s="3" t="s">
        <v>32024</v>
      </c>
      <c r="BA3233" s="3" t="s">
        <v>32024</v>
      </c>
      <c r="BB3233" s="3" t="s">
        <v>32025</v>
      </c>
      <c r="BC3233" s="3" t="s">
        <v>77</v>
      </c>
      <c r="BD3233" s="3" t="s">
        <v>78</v>
      </c>
      <c r="BE3233" s="3" t="s">
        <v>32026</v>
      </c>
      <c r="BF3233" s="3" t="s">
        <v>32025</v>
      </c>
      <c r="BG3233" s="3" t="s">
        <v>32027</v>
      </c>
    </row>
    <row r="3234" spans="1:59" ht="58" x14ac:dyDescent="0.35">
      <c r="A3234" s="2" t="s">
        <v>59</v>
      </c>
      <c r="B3234" s="2" t="s">
        <v>60</v>
      </c>
      <c r="C3234" s="2" t="s">
        <v>32028</v>
      </c>
      <c r="D3234" s="2" t="s">
        <v>32029</v>
      </c>
      <c r="E3234" s="2" t="s">
        <v>32030</v>
      </c>
      <c r="G3234" s="3" t="s">
        <v>65</v>
      </c>
      <c r="I3234" s="3" t="s">
        <v>65</v>
      </c>
      <c r="J3234" s="3" t="s">
        <v>65</v>
      </c>
      <c r="K3234" s="3" t="s">
        <v>66</v>
      </c>
      <c r="L3234" s="2" t="s">
        <v>32031</v>
      </c>
      <c r="M3234" s="2" t="s">
        <v>1172</v>
      </c>
      <c r="N3234" s="3" t="s">
        <v>1173</v>
      </c>
      <c r="P3234" s="3" t="s">
        <v>140</v>
      </c>
      <c r="R3234" s="3" t="s">
        <v>71</v>
      </c>
      <c r="S3234" s="4">
        <v>4</v>
      </c>
      <c r="T3234" s="4">
        <v>4</v>
      </c>
      <c r="U3234" s="5" t="s">
        <v>13846</v>
      </c>
      <c r="V3234" s="5" t="s">
        <v>13846</v>
      </c>
      <c r="W3234" s="5" t="s">
        <v>72</v>
      </c>
      <c r="X3234" s="5" t="s">
        <v>72</v>
      </c>
      <c r="Y3234" s="4">
        <v>62</v>
      </c>
      <c r="Z3234" s="4">
        <v>10</v>
      </c>
      <c r="AA3234" s="4">
        <v>20</v>
      </c>
      <c r="AB3234" s="4">
        <v>2</v>
      </c>
      <c r="AC3234" s="4">
        <v>3</v>
      </c>
      <c r="AD3234" s="4">
        <v>33</v>
      </c>
      <c r="AE3234" s="4">
        <v>69</v>
      </c>
      <c r="AF3234" s="4">
        <v>1</v>
      </c>
      <c r="AG3234" s="4">
        <v>2</v>
      </c>
      <c r="AH3234" s="4">
        <v>29</v>
      </c>
      <c r="AI3234" s="4">
        <v>62</v>
      </c>
      <c r="AJ3234" s="4">
        <v>6</v>
      </c>
      <c r="AK3234" s="4">
        <v>13</v>
      </c>
      <c r="AL3234" s="4">
        <v>23</v>
      </c>
      <c r="AM3234" s="4">
        <v>42</v>
      </c>
      <c r="AN3234" s="4">
        <v>0</v>
      </c>
      <c r="AO3234" s="4">
        <v>0</v>
      </c>
      <c r="AP3234" s="4">
        <v>6</v>
      </c>
      <c r="AQ3234" s="4">
        <v>12</v>
      </c>
      <c r="AR3234" s="3" t="s">
        <v>65</v>
      </c>
      <c r="AS3234" s="3" t="s">
        <v>65</v>
      </c>
      <c r="AT3234" s="3" t="s">
        <v>209</v>
      </c>
      <c r="AU3234" s="6" t="str">
        <f>HYPERLINK("http://catalog.hathitrust.org/Record/007583487","HathiTrust Record")</f>
        <v>HathiTrust Record</v>
      </c>
      <c r="AV3234" s="6" t="str">
        <f>HYPERLINK("http://mcgill.on.worldcat.org/oclc/12515020","Catalog Record")</f>
        <v>Catalog Record</v>
      </c>
      <c r="AW3234" s="6" t="str">
        <f>HYPERLINK("http://www.worldcat.org/oclc/12515020","WorldCat Record")</f>
        <v>WorldCat Record</v>
      </c>
      <c r="AX3234" s="3" t="s">
        <v>32032</v>
      </c>
      <c r="AY3234" s="3" t="s">
        <v>32033</v>
      </c>
      <c r="AZ3234" s="3" t="s">
        <v>32034</v>
      </c>
      <c r="BA3234" s="3" t="s">
        <v>32034</v>
      </c>
      <c r="BB3234" s="3" t="s">
        <v>32035</v>
      </c>
      <c r="BC3234" s="3" t="s">
        <v>77</v>
      </c>
      <c r="BD3234" s="3" t="s">
        <v>78</v>
      </c>
      <c r="BF3234" s="3" t="s">
        <v>32035</v>
      </c>
      <c r="BG3234" s="3" t="s">
        <v>32036</v>
      </c>
    </row>
    <row r="3235" spans="1:59" ht="58" x14ac:dyDescent="0.35">
      <c r="A3235" s="2" t="s">
        <v>59</v>
      </c>
      <c r="B3235" s="2" t="s">
        <v>60</v>
      </c>
      <c r="C3235" s="2" t="s">
        <v>32037</v>
      </c>
      <c r="D3235" s="2" t="s">
        <v>32038</v>
      </c>
      <c r="E3235" s="2" t="s">
        <v>32039</v>
      </c>
      <c r="G3235" s="3" t="s">
        <v>65</v>
      </c>
      <c r="I3235" s="3" t="s">
        <v>65</v>
      </c>
      <c r="J3235" s="3" t="s">
        <v>65</v>
      </c>
      <c r="K3235" s="3" t="s">
        <v>66</v>
      </c>
      <c r="L3235" s="2" t="s">
        <v>32040</v>
      </c>
      <c r="M3235" s="2" t="s">
        <v>32041</v>
      </c>
      <c r="N3235" s="3" t="s">
        <v>906</v>
      </c>
      <c r="O3235" s="2" t="s">
        <v>365</v>
      </c>
      <c r="P3235" s="3" t="s">
        <v>140</v>
      </c>
      <c r="Q3235" s="2" t="s">
        <v>32042</v>
      </c>
      <c r="R3235" s="3" t="s">
        <v>71</v>
      </c>
      <c r="S3235" s="4">
        <v>1</v>
      </c>
      <c r="T3235" s="4">
        <v>1</v>
      </c>
      <c r="U3235" s="5" t="s">
        <v>32043</v>
      </c>
      <c r="V3235" s="5" t="s">
        <v>32043</v>
      </c>
      <c r="W3235" s="5" t="s">
        <v>72</v>
      </c>
      <c r="X3235" s="5" t="s">
        <v>72</v>
      </c>
      <c r="Y3235" s="4">
        <v>85</v>
      </c>
      <c r="Z3235" s="4">
        <v>9</v>
      </c>
      <c r="AA3235" s="4">
        <v>10</v>
      </c>
      <c r="AB3235" s="4">
        <v>2</v>
      </c>
      <c r="AC3235" s="4">
        <v>2</v>
      </c>
      <c r="AD3235" s="4">
        <v>38</v>
      </c>
      <c r="AE3235" s="4">
        <v>40</v>
      </c>
      <c r="AF3235" s="4">
        <v>1</v>
      </c>
      <c r="AG3235" s="4">
        <v>1</v>
      </c>
      <c r="AH3235" s="4">
        <v>34</v>
      </c>
      <c r="AI3235" s="4">
        <v>36</v>
      </c>
      <c r="AJ3235" s="4">
        <v>7</v>
      </c>
      <c r="AK3235" s="4">
        <v>8</v>
      </c>
      <c r="AL3235" s="4">
        <v>24</v>
      </c>
      <c r="AM3235" s="4">
        <v>24</v>
      </c>
      <c r="AN3235" s="4">
        <v>0</v>
      </c>
      <c r="AO3235" s="4">
        <v>0</v>
      </c>
      <c r="AP3235" s="4">
        <v>7</v>
      </c>
      <c r="AQ3235" s="4">
        <v>8</v>
      </c>
      <c r="AR3235" s="3" t="s">
        <v>65</v>
      </c>
      <c r="AS3235" s="3" t="s">
        <v>65</v>
      </c>
      <c r="AT3235" s="3" t="s">
        <v>65</v>
      </c>
      <c r="AV3235" s="6" t="str">
        <f>HYPERLINK("http://mcgill.on.worldcat.org/oclc/6331578","Catalog Record")</f>
        <v>Catalog Record</v>
      </c>
      <c r="AW3235" s="6" t="str">
        <f>HYPERLINK("http://www.worldcat.org/oclc/6331578","WorldCat Record")</f>
        <v>WorldCat Record</v>
      </c>
      <c r="AX3235" s="3" t="s">
        <v>32044</v>
      </c>
      <c r="AY3235" s="3" t="s">
        <v>32045</v>
      </c>
      <c r="AZ3235" s="3" t="s">
        <v>32046</v>
      </c>
      <c r="BA3235" s="3" t="s">
        <v>32046</v>
      </c>
      <c r="BB3235" s="3" t="s">
        <v>32047</v>
      </c>
      <c r="BC3235" s="3" t="s">
        <v>77</v>
      </c>
      <c r="BD3235" s="3" t="s">
        <v>78</v>
      </c>
      <c r="BF3235" s="3" t="s">
        <v>32047</v>
      </c>
      <c r="BG3235" s="3" t="s">
        <v>32048</v>
      </c>
    </row>
    <row r="3236" spans="1:59" ht="58" x14ac:dyDescent="0.35">
      <c r="A3236" s="2" t="s">
        <v>59</v>
      </c>
      <c r="B3236" s="2" t="s">
        <v>60</v>
      </c>
      <c r="C3236" s="2" t="s">
        <v>32049</v>
      </c>
      <c r="D3236" s="2" t="s">
        <v>32050</v>
      </c>
      <c r="E3236" s="2" t="s">
        <v>32051</v>
      </c>
      <c r="G3236" s="3" t="s">
        <v>65</v>
      </c>
      <c r="I3236" s="3" t="s">
        <v>65</v>
      </c>
      <c r="J3236" s="3" t="s">
        <v>65</v>
      </c>
      <c r="K3236" s="3" t="s">
        <v>66</v>
      </c>
      <c r="L3236" s="2" t="s">
        <v>32052</v>
      </c>
      <c r="M3236" s="2" t="s">
        <v>32053</v>
      </c>
      <c r="N3236" s="3" t="s">
        <v>1895</v>
      </c>
      <c r="P3236" s="3" t="s">
        <v>140</v>
      </c>
      <c r="Q3236" s="2" t="s">
        <v>32054</v>
      </c>
      <c r="R3236" s="3" t="s">
        <v>71</v>
      </c>
      <c r="S3236" s="4">
        <v>1</v>
      </c>
      <c r="T3236" s="4">
        <v>1</v>
      </c>
      <c r="U3236" s="5" t="s">
        <v>882</v>
      </c>
      <c r="V3236" s="5" t="s">
        <v>882</v>
      </c>
      <c r="W3236" s="5" t="s">
        <v>72</v>
      </c>
      <c r="X3236" s="5" t="s">
        <v>72</v>
      </c>
      <c r="Y3236" s="4">
        <v>61</v>
      </c>
      <c r="Z3236" s="4">
        <v>4</v>
      </c>
      <c r="AA3236" s="4">
        <v>4</v>
      </c>
      <c r="AB3236" s="4">
        <v>2</v>
      </c>
      <c r="AC3236" s="4">
        <v>2</v>
      </c>
      <c r="AD3236" s="4">
        <v>39</v>
      </c>
      <c r="AE3236" s="4">
        <v>39</v>
      </c>
      <c r="AF3236" s="4">
        <v>1</v>
      </c>
      <c r="AG3236" s="4">
        <v>1</v>
      </c>
      <c r="AH3236" s="4">
        <v>37</v>
      </c>
      <c r="AI3236" s="4">
        <v>37</v>
      </c>
      <c r="AJ3236" s="4">
        <v>2</v>
      </c>
      <c r="AK3236" s="4">
        <v>2</v>
      </c>
      <c r="AL3236" s="4">
        <v>30</v>
      </c>
      <c r="AM3236" s="4">
        <v>30</v>
      </c>
      <c r="AN3236" s="4">
        <v>0</v>
      </c>
      <c r="AO3236" s="4">
        <v>0</v>
      </c>
      <c r="AP3236" s="4">
        <v>2</v>
      </c>
      <c r="AQ3236" s="4">
        <v>2</v>
      </c>
      <c r="AR3236" s="3" t="s">
        <v>65</v>
      </c>
      <c r="AS3236" s="3" t="s">
        <v>65</v>
      </c>
      <c r="AT3236" s="3" t="s">
        <v>209</v>
      </c>
      <c r="AU3236" s="6" t="str">
        <f>HYPERLINK("http://catalog.hathitrust.org/Record/003323746","HathiTrust Record")</f>
        <v>HathiTrust Record</v>
      </c>
      <c r="AV3236" s="6" t="str">
        <f>HYPERLINK("http://mcgill.on.worldcat.org/oclc/40144192","Catalog Record")</f>
        <v>Catalog Record</v>
      </c>
      <c r="AW3236" s="6" t="str">
        <f>HYPERLINK("http://www.worldcat.org/oclc/40144192","WorldCat Record")</f>
        <v>WorldCat Record</v>
      </c>
      <c r="AX3236" s="3" t="s">
        <v>32055</v>
      </c>
      <c r="AY3236" s="3" t="s">
        <v>32056</v>
      </c>
      <c r="AZ3236" s="3" t="s">
        <v>32057</v>
      </c>
      <c r="BA3236" s="3" t="s">
        <v>32057</v>
      </c>
      <c r="BB3236" s="3" t="s">
        <v>32058</v>
      </c>
      <c r="BC3236" s="3" t="s">
        <v>77</v>
      </c>
      <c r="BD3236" s="3" t="s">
        <v>78</v>
      </c>
      <c r="BE3236" s="3" t="s">
        <v>32059</v>
      </c>
      <c r="BF3236" s="3" t="s">
        <v>32058</v>
      </c>
      <c r="BG3236" s="3" t="s">
        <v>32060</v>
      </c>
    </row>
    <row r="3237" spans="1:59" ht="58" x14ac:dyDescent="0.35">
      <c r="A3237" s="2" t="s">
        <v>59</v>
      </c>
      <c r="B3237" s="2" t="s">
        <v>60</v>
      </c>
      <c r="C3237" s="2" t="s">
        <v>32061</v>
      </c>
      <c r="D3237" s="2" t="s">
        <v>32062</v>
      </c>
      <c r="E3237" s="2" t="s">
        <v>32063</v>
      </c>
      <c r="G3237" s="3" t="s">
        <v>65</v>
      </c>
      <c r="I3237" s="3" t="s">
        <v>65</v>
      </c>
      <c r="J3237" s="3" t="s">
        <v>65</v>
      </c>
      <c r="K3237" s="3" t="s">
        <v>66</v>
      </c>
      <c r="L3237" s="2" t="s">
        <v>4066</v>
      </c>
      <c r="M3237" s="2" t="s">
        <v>23746</v>
      </c>
      <c r="N3237" s="3" t="s">
        <v>1967</v>
      </c>
      <c r="P3237" s="3" t="s">
        <v>69</v>
      </c>
      <c r="Q3237" s="2" t="s">
        <v>1197</v>
      </c>
      <c r="R3237" s="3" t="s">
        <v>71</v>
      </c>
      <c r="S3237" s="4">
        <v>7</v>
      </c>
      <c r="T3237" s="4">
        <v>7</v>
      </c>
      <c r="U3237" s="5" t="s">
        <v>21322</v>
      </c>
      <c r="V3237" s="5" t="s">
        <v>21322</v>
      </c>
      <c r="W3237" s="5" t="s">
        <v>72</v>
      </c>
      <c r="X3237" s="5" t="s">
        <v>72</v>
      </c>
      <c r="Y3237" s="4">
        <v>214</v>
      </c>
      <c r="Z3237" s="4">
        <v>20</v>
      </c>
      <c r="AA3237" s="4">
        <v>117</v>
      </c>
      <c r="AB3237" s="4">
        <v>1</v>
      </c>
      <c r="AC3237" s="4">
        <v>22</v>
      </c>
      <c r="AD3237" s="4">
        <v>104</v>
      </c>
      <c r="AE3237" s="4">
        <v>154</v>
      </c>
      <c r="AF3237" s="4">
        <v>0</v>
      </c>
      <c r="AG3237" s="4">
        <v>8</v>
      </c>
      <c r="AH3237" s="4">
        <v>94</v>
      </c>
      <c r="AI3237" s="4">
        <v>107</v>
      </c>
      <c r="AJ3237" s="4">
        <v>14</v>
      </c>
      <c r="AK3237" s="4">
        <v>28</v>
      </c>
      <c r="AL3237" s="4">
        <v>56</v>
      </c>
      <c r="AM3237" s="4">
        <v>58</v>
      </c>
      <c r="AN3237" s="4">
        <v>0</v>
      </c>
      <c r="AO3237" s="4">
        <v>0</v>
      </c>
      <c r="AP3237" s="4">
        <v>14</v>
      </c>
      <c r="AQ3237" s="4">
        <v>54</v>
      </c>
      <c r="AR3237" s="3" t="s">
        <v>209</v>
      </c>
      <c r="AS3237" s="3" t="s">
        <v>65</v>
      </c>
      <c r="AT3237" s="3" t="s">
        <v>65</v>
      </c>
      <c r="AV3237" s="6" t="str">
        <f>HYPERLINK("http://mcgill.on.worldcat.org/oclc/51801042","Catalog Record")</f>
        <v>Catalog Record</v>
      </c>
      <c r="AW3237" s="6" t="str">
        <f>HYPERLINK("http://www.worldcat.org/oclc/51801042","WorldCat Record")</f>
        <v>WorldCat Record</v>
      </c>
      <c r="AX3237" s="3" t="s">
        <v>32064</v>
      </c>
      <c r="AY3237" s="3" t="s">
        <v>32065</v>
      </c>
      <c r="AZ3237" s="3" t="s">
        <v>32066</v>
      </c>
      <c r="BA3237" s="3" t="s">
        <v>32066</v>
      </c>
      <c r="BB3237" s="3" t="s">
        <v>32067</v>
      </c>
      <c r="BC3237" s="3" t="s">
        <v>77</v>
      </c>
      <c r="BD3237" s="3" t="s">
        <v>78</v>
      </c>
      <c r="BE3237" s="3" t="s">
        <v>32068</v>
      </c>
      <c r="BF3237" s="3" t="s">
        <v>32067</v>
      </c>
      <c r="BG3237" s="3" t="s">
        <v>32069</v>
      </c>
    </row>
    <row r="3238" spans="1:59" ht="58" x14ac:dyDescent="0.35">
      <c r="A3238" s="2" t="s">
        <v>59</v>
      </c>
      <c r="B3238" s="2" t="s">
        <v>60</v>
      </c>
      <c r="C3238" s="2" t="s">
        <v>32070</v>
      </c>
      <c r="D3238" s="2" t="s">
        <v>32071</v>
      </c>
      <c r="E3238" s="2" t="s">
        <v>32072</v>
      </c>
      <c r="G3238" s="3" t="s">
        <v>65</v>
      </c>
      <c r="I3238" s="3" t="s">
        <v>65</v>
      </c>
      <c r="J3238" s="3" t="s">
        <v>209</v>
      </c>
      <c r="K3238" s="3" t="s">
        <v>66</v>
      </c>
      <c r="L3238" s="2" t="s">
        <v>32073</v>
      </c>
      <c r="M3238" s="2" t="s">
        <v>32074</v>
      </c>
      <c r="N3238" s="3" t="s">
        <v>906</v>
      </c>
      <c r="O3238" s="2" t="s">
        <v>8378</v>
      </c>
      <c r="P3238" s="3" t="s">
        <v>140</v>
      </c>
      <c r="Q3238" s="2" t="s">
        <v>29679</v>
      </c>
      <c r="R3238" s="3" t="s">
        <v>71</v>
      </c>
      <c r="S3238" s="4">
        <v>1</v>
      </c>
      <c r="T3238" s="4">
        <v>1</v>
      </c>
      <c r="U3238" s="5" t="s">
        <v>32075</v>
      </c>
      <c r="V3238" s="5" t="s">
        <v>32075</v>
      </c>
      <c r="W3238" s="5" t="s">
        <v>72</v>
      </c>
      <c r="X3238" s="5" t="s">
        <v>72</v>
      </c>
      <c r="Y3238" s="4">
        <v>6</v>
      </c>
      <c r="Z3238" s="4">
        <v>1</v>
      </c>
      <c r="AA3238" s="4">
        <v>15</v>
      </c>
      <c r="AB3238" s="4">
        <v>1</v>
      </c>
      <c r="AC3238" s="4">
        <v>3</v>
      </c>
      <c r="AD3238" s="4">
        <v>0</v>
      </c>
      <c r="AE3238" s="4">
        <v>52</v>
      </c>
      <c r="AF3238" s="4">
        <v>0</v>
      </c>
      <c r="AG3238" s="4">
        <v>2</v>
      </c>
      <c r="AH3238" s="4">
        <v>0</v>
      </c>
      <c r="AI3238" s="4">
        <v>44</v>
      </c>
      <c r="AJ3238" s="4">
        <v>0</v>
      </c>
      <c r="AK3238" s="4">
        <v>10</v>
      </c>
      <c r="AL3238" s="4">
        <v>0</v>
      </c>
      <c r="AM3238" s="4">
        <v>30</v>
      </c>
      <c r="AN3238" s="4">
        <v>0</v>
      </c>
      <c r="AO3238" s="4">
        <v>2</v>
      </c>
      <c r="AP3238" s="4">
        <v>0</v>
      </c>
      <c r="AQ3238" s="4">
        <v>9</v>
      </c>
      <c r="AR3238" s="3" t="s">
        <v>65</v>
      </c>
      <c r="AS3238" s="3" t="s">
        <v>65</v>
      </c>
      <c r="AT3238" s="3" t="s">
        <v>65</v>
      </c>
      <c r="AV3238" s="6" t="str">
        <f>HYPERLINK("http://mcgill.on.worldcat.org/oclc/6529145","Catalog Record")</f>
        <v>Catalog Record</v>
      </c>
      <c r="AW3238" s="6" t="str">
        <f>HYPERLINK("http://www.worldcat.org/oclc/6529145","WorldCat Record")</f>
        <v>WorldCat Record</v>
      </c>
      <c r="AX3238" s="3" t="s">
        <v>32076</v>
      </c>
      <c r="AY3238" s="3" t="s">
        <v>32077</v>
      </c>
      <c r="AZ3238" s="3" t="s">
        <v>32078</v>
      </c>
      <c r="BA3238" s="3" t="s">
        <v>32078</v>
      </c>
      <c r="BB3238" s="3" t="s">
        <v>32079</v>
      </c>
      <c r="BC3238" s="3" t="s">
        <v>77</v>
      </c>
      <c r="BD3238" s="3" t="s">
        <v>78</v>
      </c>
      <c r="BF3238" s="3" t="s">
        <v>32079</v>
      </c>
      <c r="BG3238" s="3" t="s">
        <v>32080</v>
      </c>
    </row>
    <row r="3239" spans="1:59" ht="58" x14ac:dyDescent="0.35">
      <c r="A3239" s="2" t="s">
        <v>59</v>
      </c>
      <c r="B3239" s="2" t="s">
        <v>60</v>
      </c>
      <c r="C3239" s="2" t="s">
        <v>32081</v>
      </c>
      <c r="D3239" s="2" t="s">
        <v>32082</v>
      </c>
      <c r="E3239" s="2" t="s">
        <v>32083</v>
      </c>
      <c r="G3239" s="3" t="s">
        <v>65</v>
      </c>
      <c r="I3239" s="3" t="s">
        <v>65</v>
      </c>
      <c r="J3239" s="3" t="s">
        <v>65</v>
      </c>
      <c r="K3239" s="3" t="s">
        <v>66</v>
      </c>
      <c r="L3239" s="2" t="s">
        <v>32084</v>
      </c>
      <c r="M3239" s="2" t="s">
        <v>32085</v>
      </c>
      <c r="N3239" s="3" t="s">
        <v>176</v>
      </c>
      <c r="O3239" s="2" t="s">
        <v>235</v>
      </c>
      <c r="P3239" s="3" t="s">
        <v>140</v>
      </c>
      <c r="R3239" s="3" t="s">
        <v>71</v>
      </c>
      <c r="S3239" s="4">
        <v>0</v>
      </c>
      <c r="T3239" s="4">
        <v>0</v>
      </c>
      <c r="W3239" s="5" t="s">
        <v>72</v>
      </c>
      <c r="X3239" s="5" t="s">
        <v>72</v>
      </c>
      <c r="Y3239" s="4">
        <v>42</v>
      </c>
      <c r="Z3239" s="4">
        <v>5</v>
      </c>
      <c r="AA3239" s="4">
        <v>5</v>
      </c>
      <c r="AB3239" s="4">
        <v>1</v>
      </c>
      <c r="AC3239" s="4">
        <v>1</v>
      </c>
      <c r="AD3239" s="4">
        <v>34</v>
      </c>
      <c r="AE3239" s="4">
        <v>34</v>
      </c>
      <c r="AF3239" s="4">
        <v>0</v>
      </c>
      <c r="AG3239" s="4">
        <v>0</v>
      </c>
      <c r="AH3239" s="4">
        <v>33</v>
      </c>
      <c r="AI3239" s="4">
        <v>33</v>
      </c>
      <c r="AJ3239" s="4">
        <v>2</v>
      </c>
      <c r="AK3239" s="4">
        <v>2</v>
      </c>
      <c r="AL3239" s="4">
        <v>26</v>
      </c>
      <c r="AM3239" s="4">
        <v>26</v>
      </c>
      <c r="AN3239" s="4">
        <v>0</v>
      </c>
      <c r="AO3239" s="4">
        <v>0</v>
      </c>
      <c r="AP3239" s="4">
        <v>2</v>
      </c>
      <c r="AQ3239" s="4">
        <v>2</v>
      </c>
      <c r="AR3239" s="3" t="s">
        <v>65</v>
      </c>
      <c r="AS3239" s="3" t="s">
        <v>65</v>
      </c>
      <c r="AT3239" s="3" t="s">
        <v>65</v>
      </c>
      <c r="AV3239" s="6" t="str">
        <f>HYPERLINK("http://mcgill.on.worldcat.org/oclc/905087773","Catalog Record")</f>
        <v>Catalog Record</v>
      </c>
      <c r="AW3239" s="6" t="str">
        <f>HYPERLINK("http://www.worldcat.org/oclc/905087773","WorldCat Record")</f>
        <v>WorldCat Record</v>
      </c>
      <c r="AX3239" s="3" t="s">
        <v>32086</v>
      </c>
      <c r="AY3239" s="3" t="s">
        <v>32087</v>
      </c>
      <c r="AZ3239" s="3" t="s">
        <v>32088</v>
      </c>
      <c r="BA3239" s="3" t="s">
        <v>32088</v>
      </c>
      <c r="BB3239" s="3" t="s">
        <v>32089</v>
      </c>
      <c r="BC3239" s="3" t="s">
        <v>77</v>
      </c>
      <c r="BD3239" s="3" t="s">
        <v>78</v>
      </c>
      <c r="BE3239" s="3" t="s">
        <v>32090</v>
      </c>
      <c r="BF3239" s="3" t="s">
        <v>32089</v>
      </c>
      <c r="BG3239" s="3" t="s">
        <v>32091</v>
      </c>
    </row>
    <row r="3240" spans="1:59" ht="58" x14ac:dyDescent="0.35">
      <c r="A3240" s="2" t="s">
        <v>59</v>
      </c>
      <c r="B3240" s="2" t="s">
        <v>60</v>
      </c>
      <c r="C3240" s="2" t="s">
        <v>32092</v>
      </c>
      <c r="D3240" s="2" t="s">
        <v>32093</v>
      </c>
      <c r="E3240" s="2" t="s">
        <v>31937</v>
      </c>
      <c r="F3240" s="3" t="s">
        <v>245</v>
      </c>
      <c r="G3240" s="3" t="s">
        <v>209</v>
      </c>
      <c r="I3240" s="3" t="s">
        <v>65</v>
      </c>
      <c r="J3240" s="3" t="s">
        <v>209</v>
      </c>
      <c r="K3240" s="3" t="s">
        <v>66</v>
      </c>
      <c r="L3240" s="2" t="s">
        <v>31938</v>
      </c>
      <c r="M3240" s="2" t="s">
        <v>32094</v>
      </c>
      <c r="N3240" s="3" t="s">
        <v>1944</v>
      </c>
      <c r="O3240" s="2" t="s">
        <v>32095</v>
      </c>
      <c r="P3240" s="3" t="s">
        <v>140</v>
      </c>
      <c r="Q3240" s="2" t="s">
        <v>7116</v>
      </c>
      <c r="R3240" s="3" t="s">
        <v>71</v>
      </c>
      <c r="S3240" s="4">
        <v>3</v>
      </c>
      <c r="T3240" s="4">
        <v>3</v>
      </c>
      <c r="U3240" s="5" t="s">
        <v>13846</v>
      </c>
      <c r="V3240" s="5" t="s">
        <v>13846</v>
      </c>
      <c r="W3240" s="5" t="s">
        <v>72</v>
      </c>
      <c r="X3240" s="5" t="s">
        <v>72</v>
      </c>
      <c r="Y3240" s="4">
        <v>3</v>
      </c>
      <c r="Z3240" s="4">
        <v>1</v>
      </c>
      <c r="AA3240" s="4">
        <v>6</v>
      </c>
      <c r="AB3240" s="4">
        <v>1</v>
      </c>
      <c r="AC3240" s="4">
        <v>1</v>
      </c>
      <c r="AD3240" s="4">
        <v>2</v>
      </c>
      <c r="AE3240" s="4">
        <v>51</v>
      </c>
      <c r="AF3240" s="4">
        <v>0</v>
      </c>
      <c r="AG3240" s="4">
        <v>0</v>
      </c>
      <c r="AH3240" s="4">
        <v>2</v>
      </c>
      <c r="AI3240" s="4">
        <v>48</v>
      </c>
      <c r="AJ3240" s="4">
        <v>0</v>
      </c>
      <c r="AK3240" s="4">
        <v>3</v>
      </c>
      <c r="AL3240" s="4">
        <v>2</v>
      </c>
      <c r="AM3240" s="4">
        <v>39</v>
      </c>
      <c r="AN3240" s="4">
        <v>0</v>
      </c>
      <c r="AO3240" s="4">
        <v>0</v>
      </c>
      <c r="AP3240" s="4">
        <v>0</v>
      </c>
      <c r="AQ3240" s="4">
        <v>3</v>
      </c>
      <c r="AR3240" s="3" t="s">
        <v>65</v>
      </c>
      <c r="AS3240" s="3" t="s">
        <v>65</v>
      </c>
      <c r="AT3240" s="3" t="s">
        <v>209</v>
      </c>
      <c r="AU3240" s="6" t="str">
        <f>HYPERLINK("http://catalog.hathitrust.org/Record/003313033","HathiTrust Record")</f>
        <v>HathiTrust Record</v>
      </c>
      <c r="AV3240" s="6" t="str">
        <f>HYPERLINK("http://mcgill.on.worldcat.org/oclc/910884293","Catalog Record")</f>
        <v>Catalog Record</v>
      </c>
      <c r="AW3240" s="6" t="str">
        <f>HYPERLINK("http://www.worldcat.org/oclc/910884293","WorldCat Record")</f>
        <v>WorldCat Record</v>
      </c>
      <c r="AX3240" s="3" t="s">
        <v>31940</v>
      </c>
      <c r="AY3240" s="3" t="s">
        <v>32096</v>
      </c>
      <c r="AZ3240" s="3" t="s">
        <v>32097</v>
      </c>
      <c r="BA3240" s="3" t="s">
        <v>32097</v>
      </c>
      <c r="BB3240" s="3" t="s">
        <v>32098</v>
      </c>
      <c r="BC3240" s="3" t="s">
        <v>77</v>
      </c>
      <c r="BD3240" s="3" t="s">
        <v>78</v>
      </c>
      <c r="BE3240" s="3" t="s">
        <v>31944</v>
      </c>
      <c r="BF3240" s="3" t="s">
        <v>32098</v>
      </c>
      <c r="BG3240" s="3" t="s">
        <v>32099</v>
      </c>
    </row>
    <row r="3241" spans="1:59" ht="58" x14ac:dyDescent="0.35">
      <c r="A3241" s="2" t="s">
        <v>59</v>
      </c>
      <c r="B3241" s="2" t="s">
        <v>60</v>
      </c>
      <c r="C3241" s="2" t="s">
        <v>32100</v>
      </c>
      <c r="D3241" s="2" t="s">
        <v>32101</v>
      </c>
      <c r="E3241" s="2" t="s">
        <v>32102</v>
      </c>
      <c r="G3241" s="3" t="s">
        <v>65</v>
      </c>
      <c r="I3241" s="3" t="s">
        <v>65</v>
      </c>
      <c r="J3241" s="3" t="s">
        <v>65</v>
      </c>
      <c r="K3241" s="3" t="s">
        <v>66</v>
      </c>
      <c r="L3241" s="2" t="s">
        <v>32103</v>
      </c>
      <c r="M3241" s="2" t="s">
        <v>32104</v>
      </c>
      <c r="N3241" s="3" t="s">
        <v>126</v>
      </c>
      <c r="P3241" s="3" t="s">
        <v>140</v>
      </c>
      <c r="Q3241" s="2" t="s">
        <v>32105</v>
      </c>
      <c r="R3241" s="3" t="s">
        <v>71</v>
      </c>
      <c r="S3241" s="4">
        <v>1</v>
      </c>
      <c r="T3241" s="4">
        <v>1</v>
      </c>
      <c r="U3241" s="5" t="s">
        <v>21010</v>
      </c>
      <c r="V3241" s="5" t="s">
        <v>21010</v>
      </c>
      <c r="W3241" s="5" t="s">
        <v>72</v>
      </c>
      <c r="X3241" s="5" t="s">
        <v>72</v>
      </c>
      <c r="Y3241" s="4">
        <v>35</v>
      </c>
      <c r="Z3241" s="4">
        <v>3</v>
      </c>
      <c r="AA3241" s="4">
        <v>3</v>
      </c>
      <c r="AB3241" s="4">
        <v>1</v>
      </c>
      <c r="AC3241" s="4">
        <v>1</v>
      </c>
      <c r="AD3241" s="4">
        <v>28</v>
      </c>
      <c r="AE3241" s="4">
        <v>28</v>
      </c>
      <c r="AF3241" s="4">
        <v>0</v>
      </c>
      <c r="AG3241" s="4">
        <v>0</v>
      </c>
      <c r="AH3241" s="4">
        <v>27</v>
      </c>
      <c r="AI3241" s="4">
        <v>27</v>
      </c>
      <c r="AJ3241" s="4">
        <v>1</v>
      </c>
      <c r="AK3241" s="4">
        <v>1</v>
      </c>
      <c r="AL3241" s="4">
        <v>23</v>
      </c>
      <c r="AM3241" s="4">
        <v>23</v>
      </c>
      <c r="AN3241" s="4">
        <v>0</v>
      </c>
      <c r="AO3241" s="4">
        <v>0</v>
      </c>
      <c r="AP3241" s="4">
        <v>1</v>
      </c>
      <c r="AQ3241" s="4">
        <v>1</v>
      </c>
      <c r="AR3241" s="3" t="s">
        <v>65</v>
      </c>
      <c r="AS3241" s="3" t="s">
        <v>65</v>
      </c>
      <c r="AT3241" s="3" t="s">
        <v>65</v>
      </c>
      <c r="AV3241" s="6" t="str">
        <f>HYPERLINK("http://mcgill.on.worldcat.org/oclc/747255472","Catalog Record")</f>
        <v>Catalog Record</v>
      </c>
      <c r="AW3241" s="6" t="str">
        <f>HYPERLINK("http://www.worldcat.org/oclc/747255472","WorldCat Record")</f>
        <v>WorldCat Record</v>
      </c>
      <c r="AX3241" s="3" t="s">
        <v>32106</v>
      </c>
      <c r="AY3241" s="3" t="s">
        <v>32107</v>
      </c>
      <c r="AZ3241" s="3" t="s">
        <v>32108</v>
      </c>
      <c r="BA3241" s="3" t="s">
        <v>32108</v>
      </c>
      <c r="BB3241" s="3" t="s">
        <v>32109</v>
      </c>
      <c r="BC3241" s="3" t="s">
        <v>77</v>
      </c>
      <c r="BD3241" s="3" t="s">
        <v>78</v>
      </c>
      <c r="BE3241" s="3" t="s">
        <v>32110</v>
      </c>
      <c r="BF3241" s="3" t="s">
        <v>32109</v>
      </c>
      <c r="BG3241" s="3" t="s">
        <v>32111</v>
      </c>
    </row>
    <row r="3242" spans="1:59" ht="58" x14ac:dyDescent="0.35">
      <c r="A3242" s="2" t="s">
        <v>59</v>
      </c>
      <c r="B3242" s="2" t="s">
        <v>60</v>
      </c>
      <c r="C3242" s="2" t="s">
        <v>32112</v>
      </c>
      <c r="D3242" s="2" t="s">
        <v>32113</v>
      </c>
      <c r="E3242" s="2" t="s">
        <v>32114</v>
      </c>
      <c r="G3242" s="3" t="s">
        <v>65</v>
      </c>
      <c r="I3242" s="3" t="s">
        <v>65</v>
      </c>
      <c r="J3242" s="3" t="s">
        <v>65</v>
      </c>
      <c r="K3242" s="3" t="s">
        <v>66</v>
      </c>
      <c r="L3242" s="2" t="s">
        <v>32115</v>
      </c>
      <c r="M3242" s="2" t="s">
        <v>32116</v>
      </c>
      <c r="N3242" s="3" t="s">
        <v>906</v>
      </c>
      <c r="P3242" s="3" t="s">
        <v>140</v>
      </c>
      <c r="Q3242" s="2" t="s">
        <v>32117</v>
      </c>
      <c r="R3242" s="3" t="s">
        <v>71</v>
      </c>
      <c r="S3242" s="4">
        <v>2</v>
      </c>
      <c r="T3242" s="4">
        <v>2</v>
      </c>
      <c r="U3242" s="5" t="s">
        <v>26422</v>
      </c>
      <c r="V3242" s="5" t="s">
        <v>26422</v>
      </c>
      <c r="W3242" s="5" t="s">
        <v>72</v>
      </c>
      <c r="X3242" s="5" t="s">
        <v>72</v>
      </c>
      <c r="Y3242" s="4">
        <v>67</v>
      </c>
      <c r="Z3242" s="4">
        <v>4</v>
      </c>
      <c r="AA3242" s="4">
        <v>4</v>
      </c>
      <c r="AB3242" s="4">
        <v>1</v>
      </c>
      <c r="AC3242" s="4">
        <v>1</v>
      </c>
      <c r="AD3242" s="4">
        <v>31</v>
      </c>
      <c r="AE3242" s="4">
        <v>31</v>
      </c>
      <c r="AF3242" s="4">
        <v>0</v>
      </c>
      <c r="AG3242" s="4">
        <v>0</v>
      </c>
      <c r="AH3242" s="4">
        <v>30</v>
      </c>
      <c r="AI3242" s="4">
        <v>30</v>
      </c>
      <c r="AJ3242" s="4">
        <v>2</v>
      </c>
      <c r="AK3242" s="4">
        <v>2</v>
      </c>
      <c r="AL3242" s="4">
        <v>25</v>
      </c>
      <c r="AM3242" s="4">
        <v>25</v>
      </c>
      <c r="AN3242" s="4">
        <v>0</v>
      </c>
      <c r="AO3242" s="4">
        <v>0</v>
      </c>
      <c r="AP3242" s="4">
        <v>2</v>
      </c>
      <c r="AQ3242" s="4">
        <v>2</v>
      </c>
      <c r="AR3242" s="3" t="s">
        <v>65</v>
      </c>
      <c r="AS3242" s="3" t="s">
        <v>65</v>
      </c>
      <c r="AT3242" s="3" t="s">
        <v>65</v>
      </c>
      <c r="AV3242" s="6" t="str">
        <f>HYPERLINK("http://mcgill.on.worldcat.org/oclc/5944724","Catalog Record")</f>
        <v>Catalog Record</v>
      </c>
      <c r="AW3242" s="6" t="str">
        <f>HYPERLINK("http://www.worldcat.org/oclc/5944724","WorldCat Record")</f>
        <v>WorldCat Record</v>
      </c>
      <c r="AX3242" s="3" t="s">
        <v>32118</v>
      </c>
      <c r="AY3242" s="3" t="s">
        <v>32119</v>
      </c>
      <c r="AZ3242" s="3" t="s">
        <v>32120</v>
      </c>
      <c r="BA3242" s="3" t="s">
        <v>32120</v>
      </c>
      <c r="BB3242" s="3" t="s">
        <v>32121</v>
      </c>
      <c r="BC3242" s="3" t="s">
        <v>77</v>
      </c>
      <c r="BD3242" s="3" t="s">
        <v>78</v>
      </c>
      <c r="BF3242" s="3" t="s">
        <v>32121</v>
      </c>
      <c r="BG3242" s="3" t="s">
        <v>32122</v>
      </c>
    </row>
    <row r="3243" spans="1:59" ht="58" x14ac:dyDescent="0.35">
      <c r="A3243" s="2" t="s">
        <v>59</v>
      </c>
      <c r="B3243" s="2" t="s">
        <v>60</v>
      </c>
      <c r="C3243" s="2" t="s">
        <v>32123</v>
      </c>
      <c r="D3243" s="2" t="s">
        <v>32124</v>
      </c>
      <c r="E3243" s="2" t="s">
        <v>32125</v>
      </c>
      <c r="F3243" s="3" t="s">
        <v>3103</v>
      </c>
      <c r="G3243" s="3" t="s">
        <v>209</v>
      </c>
      <c r="I3243" s="3" t="s">
        <v>65</v>
      </c>
      <c r="J3243" s="3" t="s">
        <v>65</v>
      </c>
      <c r="K3243" s="3" t="s">
        <v>66</v>
      </c>
      <c r="L3243" s="2" t="s">
        <v>32126</v>
      </c>
      <c r="M3243" s="2" t="s">
        <v>32127</v>
      </c>
      <c r="N3243" s="3" t="s">
        <v>942</v>
      </c>
      <c r="P3243" s="3" t="s">
        <v>140</v>
      </c>
      <c r="R3243" s="3" t="s">
        <v>71</v>
      </c>
      <c r="S3243" s="4">
        <v>0</v>
      </c>
      <c r="T3243" s="4">
        <v>6</v>
      </c>
      <c r="V3243" s="5" t="s">
        <v>29646</v>
      </c>
      <c r="W3243" s="5" t="s">
        <v>72</v>
      </c>
      <c r="X3243" s="5" t="s">
        <v>72</v>
      </c>
      <c r="Y3243" s="4">
        <v>95</v>
      </c>
      <c r="Z3243" s="4">
        <v>9</v>
      </c>
      <c r="AA3243" s="4">
        <v>10</v>
      </c>
      <c r="AB3243" s="4">
        <v>1</v>
      </c>
      <c r="AC3243" s="4">
        <v>1</v>
      </c>
      <c r="AD3243" s="4">
        <v>49</v>
      </c>
      <c r="AE3243" s="4">
        <v>54</v>
      </c>
      <c r="AF3243" s="4">
        <v>0</v>
      </c>
      <c r="AG3243" s="4">
        <v>0</v>
      </c>
      <c r="AH3243" s="4">
        <v>44</v>
      </c>
      <c r="AI3243" s="4">
        <v>49</v>
      </c>
      <c r="AJ3243" s="4">
        <v>5</v>
      </c>
      <c r="AK3243" s="4">
        <v>6</v>
      </c>
      <c r="AL3243" s="4">
        <v>30</v>
      </c>
      <c r="AM3243" s="4">
        <v>33</v>
      </c>
      <c r="AN3243" s="4">
        <v>0</v>
      </c>
      <c r="AO3243" s="4">
        <v>0</v>
      </c>
      <c r="AP3243" s="4">
        <v>7</v>
      </c>
      <c r="AQ3243" s="4">
        <v>8</v>
      </c>
      <c r="AR3243" s="3" t="s">
        <v>65</v>
      </c>
      <c r="AS3243" s="3" t="s">
        <v>65</v>
      </c>
      <c r="AT3243" s="3" t="s">
        <v>209</v>
      </c>
      <c r="AU3243" s="6" t="str">
        <f t="shared" ref="AU3243:AU3250" si="51">HYPERLINK("http://catalog.hathitrust.org/Record/001226996","HathiTrust Record")</f>
        <v>HathiTrust Record</v>
      </c>
      <c r="AV3243" s="6" t="str">
        <f t="shared" ref="AV3243:AV3250" si="52">HYPERLINK("http://mcgill.on.worldcat.org/oclc/1709542","Catalog Record")</f>
        <v>Catalog Record</v>
      </c>
      <c r="AW3243" s="6" t="str">
        <f t="shared" ref="AW3243:AW3250" si="53">HYPERLINK("http://www.worldcat.org/oclc/1709542","WorldCat Record")</f>
        <v>WorldCat Record</v>
      </c>
      <c r="AX3243" s="3" t="s">
        <v>32128</v>
      </c>
      <c r="AY3243" s="3" t="s">
        <v>32129</v>
      </c>
      <c r="AZ3243" s="3" t="s">
        <v>32130</v>
      </c>
      <c r="BA3243" s="3" t="s">
        <v>32130</v>
      </c>
      <c r="BB3243" s="3" t="s">
        <v>32131</v>
      </c>
      <c r="BC3243" s="3" t="s">
        <v>77</v>
      </c>
      <c r="BD3243" s="3" t="s">
        <v>78</v>
      </c>
      <c r="BF3243" s="3" t="s">
        <v>32131</v>
      </c>
      <c r="BG3243" s="3" t="s">
        <v>32132</v>
      </c>
    </row>
    <row r="3244" spans="1:59" ht="58" x14ac:dyDescent="0.35">
      <c r="A3244" s="2" t="s">
        <v>59</v>
      </c>
      <c r="B3244" s="2" t="s">
        <v>60</v>
      </c>
      <c r="C3244" s="2" t="s">
        <v>32123</v>
      </c>
      <c r="D3244" s="2" t="s">
        <v>32124</v>
      </c>
      <c r="E3244" s="2" t="s">
        <v>32125</v>
      </c>
      <c r="F3244" s="3" t="s">
        <v>843</v>
      </c>
      <c r="G3244" s="3" t="s">
        <v>209</v>
      </c>
      <c r="I3244" s="3" t="s">
        <v>65</v>
      </c>
      <c r="J3244" s="3" t="s">
        <v>65</v>
      </c>
      <c r="K3244" s="3" t="s">
        <v>66</v>
      </c>
      <c r="L3244" s="2" t="s">
        <v>32126</v>
      </c>
      <c r="M3244" s="2" t="s">
        <v>32127</v>
      </c>
      <c r="N3244" s="3" t="s">
        <v>942</v>
      </c>
      <c r="P3244" s="3" t="s">
        <v>140</v>
      </c>
      <c r="R3244" s="3" t="s">
        <v>71</v>
      </c>
      <c r="S3244" s="4">
        <v>0</v>
      </c>
      <c r="T3244" s="4">
        <v>6</v>
      </c>
      <c r="V3244" s="5" t="s">
        <v>29646</v>
      </c>
      <c r="W3244" s="5" t="s">
        <v>72</v>
      </c>
      <c r="X3244" s="5" t="s">
        <v>72</v>
      </c>
      <c r="Y3244" s="4">
        <v>95</v>
      </c>
      <c r="Z3244" s="4">
        <v>9</v>
      </c>
      <c r="AA3244" s="4">
        <v>10</v>
      </c>
      <c r="AB3244" s="4">
        <v>1</v>
      </c>
      <c r="AC3244" s="4">
        <v>1</v>
      </c>
      <c r="AD3244" s="4">
        <v>49</v>
      </c>
      <c r="AE3244" s="4">
        <v>54</v>
      </c>
      <c r="AF3244" s="4">
        <v>0</v>
      </c>
      <c r="AG3244" s="4">
        <v>0</v>
      </c>
      <c r="AH3244" s="4">
        <v>44</v>
      </c>
      <c r="AI3244" s="4">
        <v>49</v>
      </c>
      <c r="AJ3244" s="4">
        <v>5</v>
      </c>
      <c r="AK3244" s="4">
        <v>6</v>
      </c>
      <c r="AL3244" s="4">
        <v>30</v>
      </c>
      <c r="AM3244" s="4">
        <v>33</v>
      </c>
      <c r="AN3244" s="4">
        <v>0</v>
      </c>
      <c r="AO3244" s="4">
        <v>0</v>
      </c>
      <c r="AP3244" s="4">
        <v>7</v>
      </c>
      <c r="AQ3244" s="4">
        <v>8</v>
      </c>
      <c r="AR3244" s="3" t="s">
        <v>65</v>
      </c>
      <c r="AS3244" s="3" t="s">
        <v>65</v>
      </c>
      <c r="AT3244" s="3" t="s">
        <v>209</v>
      </c>
      <c r="AU3244" s="6" t="str">
        <f t="shared" si="51"/>
        <v>HathiTrust Record</v>
      </c>
      <c r="AV3244" s="6" t="str">
        <f t="shared" si="52"/>
        <v>Catalog Record</v>
      </c>
      <c r="AW3244" s="6" t="str">
        <f t="shared" si="53"/>
        <v>WorldCat Record</v>
      </c>
      <c r="AX3244" s="3" t="s">
        <v>32128</v>
      </c>
      <c r="AY3244" s="3" t="s">
        <v>32129</v>
      </c>
      <c r="AZ3244" s="3" t="s">
        <v>32130</v>
      </c>
      <c r="BA3244" s="3" t="s">
        <v>32130</v>
      </c>
      <c r="BB3244" s="3" t="s">
        <v>32133</v>
      </c>
      <c r="BC3244" s="3" t="s">
        <v>77</v>
      </c>
      <c r="BD3244" s="3" t="s">
        <v>78</v>
      </c>
      <c r="BF3244" s="3" t="s">
        <v>32133</v>
      </c>
      <c r="BG3244" s="3" t="s">
        <v>32134</v>
      </c>
    </row>
    <row r="3245" spans="1:59" ht="58" x14ac:dyDescent="0.35">
      <c r="A3245" s="2" t="s">
        <v>59</v>
      </c>
      <c r="B3245" s="2" t="s">
        <v>60</v>
      </c>
      <c r="C3245" s="2" t="s">
        <v>32123</v>
      </c>
      <c r="D3245" s="2" t="s">
        <v>32124</v>
      </c>
      <c r="E3245" s="2" t="s">
        <v>32125</v>
      </c>
      <c r="F3245" s="3" t="s">
        <v>490</v>
      </c>
      <c r="G3245" s="3" t="s">
        <v>209</v>
      </c>
      <c r="I3245" s="3" t="s">
        <v>65</v>
      </c>
      <c r="J3245" s="3" t="s">
        <v>65</v>
      </c>
      <c r="K3245" s="3" t="s">
        <v>66</v>
      </c>
      <c r="L3245" s="2" t="s">
        <v>32126</v>
      </c>
      <c r="M3245" s="2" t="s">
        <v>32127</v>
      </c>
      <c r="N3245" s="3" t="s">
        <v>942</v>
      </c>
      <c r="P3245" s="3" t="s">
        <v>140</v>
      </c>
      <c r="R3245" s="3" t="s">
        <v>71</v>
      </c>
      <c r="S3245" s="4">
        <v>4</v>
      </c>
      <c r="T3245" s="4">
        <v>6</v>
      </c>
      <c r="U3245" s="5" t="s">
        <v>26250</v>
      </c>
      <c r="V3245" s="5" t="s">
        <v>29646</v>
      </c>
      <c r="W3245" s="5" t="s">
        <v>72</v>
      </c>
      <c r="X3245" s="5" t="s">
        <v>72</v>
      </c>
      <c r="Y3245" s="4">
        <v>95</v>
      </c>
      <c r="Z3245" s="4">
        <v>9</v>
      </c>
      <c r="AA3245" s="4">
        <v>10</v>
      </c>
      <c r="AB3245" s="4">
        <v>1</v>
      </c>
      <c r="AC3245" s="4">
        <v>1</v>
      </c>
      <c r="AD3245" s="4">
        <v>49</v>
      </c>
      <c r="AE3245" s="4">
        <v>54</v>
      </c>
      <c r="AF3245" s="4">
        <v>0</v>
      </c>
      <c r="AG3245" s="4">
        <v>0</v>
      </c>
      <c r="AH3245" s="4">
        <v>44</v>
      </c>
      <c r="AI3245" s="4">
        <v>49</v>
      </c>
      <c r="AJ3245" s="4">
        <v>5</v>
      </c>
      <c r="AK3245" s="4">
        <v>6</v>
      </c>
      <c r="AL3245" s="4">
        <v>30</v>
      </c>
      <c r="AM3245" s="4">
        <v>33</v>
      </c>
      <c r="AN3245" s="4">
        <v>0</v>
      </c>
      <c r="AO3245" s="4">
        <v>0</v>
      </c>
      <c r="AP3245" s="4">
        <v>7</v>
      </c>
      <c r="AQ3245" s="4">
        <v>8</v>
      </c>
      <c r="AR3245" s="3" t="s">
        <v>65</v>
      </c>
      <c r="AS3245" s="3" t="s">
        <v>65</v>
      </c>
      <c r="AT3245" s="3" t="s">
        <v>209</v>
      </c>
      <c r="AU3245" s="6" t="str">
        <f t="shared" si="51"/>
        <v>HathiTrust Record</v>
      </c>
      <c r="AV3245" s="6" t="str">
        <f t="shared" si="52"/>
        <v>Catalog Record</v>
      </c>
      <c r="AW3245" s="6" t="str">
        <f t="shared" si="53"/>
        <v>WorldCat Record</v>
      </c>
      <c r="AX3245" s="3" t="s">
        <v>32128</v>
      </c>
      <c r="AY3245" s="3" t="s">
        <v>32129</v>
      </c>
      <c r="AZ3245" s="3" t="s">
        <v>32130</v>
      </c>
      <c r="BA3245" s="3" t="s">
        <v>32130</v>
      </c>
      <c r="BB3245" s="3" t="s">
        <v>32135</v>
      </c>
      <c r="BC3245" s="3" t="s">
        <v>77</v>
      </c>
      <c r="BD3245" s="3" t="s">
        <v>78</v>
      </c>
      <c r="BF3245" s="3" t="s">
        <v>32135</v>
      </c>
      <c r="BG3245" s="3" t="s">
        <v>32136</v>
      </c>
    </row>
    <row r="3246" spans="1:59" ht="58" x14ac:dyDescent="0.35">
      <c r="A3246" s="2" t="s">
        <v>59</v>
      </c>
      <c r="B3246" s="2" t="s">
        <v>60</v>
      </c>
      <c r="C3246" s="2" t="s">
        <v>32123</v>
      </c>
      <c r="D3246" s="2" t="s">
        <v>32124</v>
      </c>
      <c r="E3246" s="2" t="s">
        <v>32125</v>
      </c>
      <c r="F3246" s="3" t="s">
        <v>32137</v>
      </c>
      <c r="G3246" s="3" t="s">
        <v>209</v>
      </c>
      <c r="I3246" s="3" t="s">
        <v>65</v>
      </c>
      <c r="J3246" s="3" t="s">
        <v>65</v>
      </c>
      <c r="K3246" s="3" t="s">
        <v>66</v>
      </c>
      <c r="L3246" s="2" t="s">
        <v>32126</v>
      </c>
      <c r="M3246" s="2" t="s">
        <v>32127</v>
      </c>
      <c r="N3246" s="3" t="s">
        <v>942</v>
      </c>
      <c r="P3246" s="3" t="s">
        <v>140</v>
      </c>
      <c r="R3246" s="3" t="s">
        <v>71</v>
      </c>
      <c r="S3246" s="4">
        <v>0</v>
      </c>
      <c r="T3246" s="4">
        <v>6</v>
      </c>
      <c r="V3246" s="5" t="s">
        <v>29646</v>
      </c>
      <c r="W3246" s="5" t="s">
        <v>72</v>
      </c>
      <c r="X3246" s="5" t="s">
        <v>72</v>
      </c>
      <c r="Y3246" s="4">
        <v>95</v>
      </c>
      <c r="Z3246" s="4">
        <v>9</v>
      </c>
      <c r="AA3246" s="4">
        <v>10</v>
      </c>
      <c r="AB3246" s="4">
        <v>1</v>
      </c>
      <c r="AC3246" s="4">
        <v>1</v>
      </c>
      <c r="AD3246" s="4">
        <v>49</v>
      </c>
      <c r="AE3246" s="4">
        <v>54</v>
      </c>
      <c r="AF3246" s="4">
        <v>0</v>
      </c>
      <c r="AG3246" s="4">
        <v>0</v>
      </c>
      <c r="AH3246" s="4">
        <v>44</v>
      </c>
      <c r="AI3246" s="4">
        <v>49</v>
      </c>
      <c r="AJ3246" s="4">
        <v>5</v>
      </c>
      <c r="AK3246" s="4">
        <v>6</v>
      </c>
      <c r="AL3246" s="4">
        <v>30</v>
      </c>
      <c r="AM3246" s="4">
        <v>33</v>
      </c>
      <c r="AN3246" s="4">
        <v>0</v>
      </c>
      <c r="AO3246" s="4">
        <v>0</v>
      </c>
      <c r="AP3246" s="4">
        <v>7</v>
      </c>
      <c r="AQ3246" s="4">
        <v>8</v>
      </c>
      <c r="AR3246" s="3" t="s">
        <v>65</v>
      </c>
      <c r="AS3246" s="3" t="s">
        <v>65</v>
      </c>
      <c r="AT3246" s="3" t="s">
        <v>209</v>
      </c>
      <c r="AU3246" s="6" t="str">
        <f t="shared" si="51"/>
        <v>HathiTrust Record</v>
      </c>
      <c r="AV3246" s="6" t="str">
        <f t="shared" si="52"/>
        <v>Catalog Record</v>
      </c>
      <c r="AW3246" s="6" t="str">
        <f t="shared" si="53"/>
        <v>WorldCat Record</v>
      </c>
      <c r="AX3246" s="3" t="s">
        <v>32128</v>
      </c>
      <c r="AY3246" s="3" t="s">
        <v>32129</v>
      </c>
      <c r="AZ3246" s="3" t="s">
        <v>32130</v>
      </c>
      <c r="BA3246" s="3" t="s">
        <v>32130</v>
      </c>
      <c r="BB3246" s="3" t="s">
        <v>32138</v>
      </c>
      <c r="BC3246" s="3" t="s">
        <v>77</v>
      </c>
      <c r="BD3246" s="3" t="s">
        <v>78</v>
      </c>
      <c r="BF3246" s="3" t="s">
        <v>32138</v>
      </c>
      <c r="BG3246" s="3" t="s">
        <v>32139</v>
      </c>
    </row>
    <row r="3247" spans="1:59" ht="58" x14ac:dyDescent="0.35">
      <c r="A3247" s="2" t="s">
        <v>59</v>
      </c>
      <c r="B3247" s="2" t="s">
        <v>60</v>
      </c>
      <c r="C3247" s="2" t="s">
        <v>32123</v>
      </c>
      <c r="D3247" s="2" t="s">
        <v>32124</v>
      </c>
      <c r="E3247" s="2" t="s">
        <v>32125</v>
      </c>
      <c r="F3247" s="3" t="s">
        <v>850</v>
      </c>
      <c r="G3247" s="3" t="s">
        <v>209</v>
      </c>
      <c r="I3247" s="3" t="s">
        <v>65</v>
      </c>
      <c r="J3247" s="3" t="s">
        <v>65</v>
      </c>
      <c r="K3247" s="3" t="s">
        <v>66</v>
      </c>
      <c r="L3247" s="2" t="s">
        <v>32126</v>
      </c>
      <c r="M3247" s="2" t="s">
        <v>32127</v>
      </c>
      <c r="N3247" s="3" t="s">
        <v>942</v>
      </c>
      <c r="P3247" s="3" t="s">
        <v>140</v>
      </c>
      <c r="R3247" s="3" t="s">
        <v>71</v>
      </c>
      <c r="S3247" s="4">
        <v>2</v>
      </c>
      <c r="T3247" s="4">
        <v>6</v>
      </c>
      <c r="U3247" s="5" t="s">
        <v>29646</v>
      </c>
      <c r="V3247" s="5" t="s">
        <v>29646</v>
      </c>
      <c r="W3247" s="5" t="s">
        <v>72</v>
      </c>
      <c r="X3247" s="5" t="s">
        <v>72</v>
      </c>
      <c r="Y3247" s="4">
        <v>95</v>
      </c>
      <c r="Z3247" s="4">
        <v>9</v>
      </c>
      <c r="AA3247" s="4">
        <v>10</v>
      </c>
      <c r="AB3247" s="4">
        <v>1</v>
      </c>
      <c r="AC3247" s="4">
        <v>1</v>
      </c>
      <c r="AD3247" s="4">
        <v>49</v>
      </c>
      <c r="AE3247" s="4">
        <v>54</v>
      </c>
      <c r="AF3247" s="4">
        <v>0</v>
      </c>
      <c r="AG3247" s="4">
        <v>0</v>
      </c>
      <c r="AH3247" s="4">
        <v>44</v>
      </c>
      <c r="AI3247" s="4">
        <v>49</v>
      </c>
      <c r="AJ3247" s="4">
        <v>5</v>
      </c>
      <c r="AK3247" s="4">
        <v>6</v>
      </c>
      <c r="AL3247" s="4">
        <v>30</v>
      </c>
      <c r="AM3247" s="4">
        <v>33</v>
      </c>
      <c r="AN3247" s="4">
        <v>0</v>
      </c>
      <c r="AO3247" s="4">
        <v>0</v>
      </c>
      <c r="AP3247" s="4">
        <v>7</v>
      </c>
      <c r="AQ3247" s="4">
        <v>8</v>
      </c>
      <c r="AR3247" s="3" t="s">
        <v>65</v>
      </c>
      <c r="AS3247" s="3" t="s">
        <v>65</v>
      </c>
      <c r="AT3247" s="3" t="s">
        <v>209</v>
      </c>
      <c r="AU3247" s="6" t="str">
        <f t="shared" si="51"/>
        <v>HathiTrust Record</v>
      </c>
      <c r="AV3247" s="6" t="str">
        <f t="shared" si="52"/>
        <v>Catalog Record</v>
      </c>
      <c r="AW3247" s="6" t="str">
        <f t="shared" si="53"/>
        <v>WorldCat Record</v>
      </c>
      <c r="AX3247" s="3" t="s">
        <v>32128</v>
      </c>
      <c r="AY3247" s="3" t="s">
        <v>32129</v>
      </c>
      <c r="AZ3247" s="3" t="s">
        <v>32130</v>
      </c>
      <c r="BA3247" s="3" t="s">
        <v>32130</v>
      </c>
      <c r="BB3247" s="3" t="s">
        <v>32140</v>
      </c>
      <c r="BC3247" s="3" t="s">
        <v>77</v>
      </c>
      <c r="BD3247" s="3" t="s">
        <v>78</v>
      </c>
      <c r="BF3247" s="3" t="s">
        <v>32140</v>
      </c>
      <c r="BG3247" s="3" t="s">
        <v>32141</v>
      </c>
    </row>
    <row r="3248" spans="1:59" ht="58" x14ac:dyDescent="0.35">
      <c r="A3248" s="2" t="s">
        <v>59</v>
      </c>
      <c r="B3248" s="2" t="s">
        <v>60</v>
      </c>
      <c r="C3248" s="2" t="s">
        <v>32123</v>
      </c>
      <c r="D3248" s="2" t="s">
        <v>32124</v>
      </c>
      <c r="E3248" s="2" t="s">
        <v>32125</v>
      </c>
      <c r="F3248" s="3" t="s">
        <v>856</v>
      </c>
      <c r="G3248" s="3" t="s">
        <v>209</v>
      </c>
      <c r="I3248" s="3" t="s">
        <v>65</v>
      </c>
      <c r="J3248" s="3" t="s">
        <v>65</v>
      </c>
      <c r="K3248" s="3" t="s">
        <v>66</v>
      </c>
      <c r="L3248" s="2" t="s">
        <v>32126</v>
      </c>
      <c r="M3248" s="2" t="s">
        <v>32127</v>
      </c>
      <c r="N3248" s="3" t="s">
        <v>942</v>
      </c>
      <c r="P3248" s="3" t="s">
        <v>140</v>
      </c>
      <c r="R3248" s="3" t="s">
        <v>71</v>
      </c>
      <c r="S3248" s="4">
        <v>0</v>
      </c>
      <c r="T3248" s="4">
        <v>6</v>
      </c>
      <c r="V3248" s="5" t="s">
        <v>29646</v>
      </c>
      <c r="W3248" s="5" t="s">
        <v>72</v>
      </c>
      <c r="X3248" s="5" t="s">
        <v>72</v>
      </c>
      <c r="Y3248" s="4">
        <v>95</v>
      </c>
      <c r="Z3248" s="4">
        <v>9</v>
      </c>
      <c r="AA3248" s="4">
        <v>10</v>
      </c>
      <c r="AB3248" s="4">
        <v>1</v>
      </c>
      <c r="AC3248" s="4">
        <v>1</v>
      </c>
      <c r="AD3248" s="4">
        <v>49</v>
      </c>
      <c r="AE3248" s="4">
        <v>54</v>
      </c>
      <c r="AF3248" s="4">
        <v>0</v>
      </c>
      <c r="AG3248" s="4">
        <v>0</v>
      </c>
      <c r="AH3248" s="4">
        <v>44</v>
      </c>
      <c r="AI3248" s="4">
        <v>49</v>
      </c>
      <c r="AJ3248" s="4">
        <v>5</v>
      </c>
      <c r="AK3248" s="4">
        <v>6</v>
      </c>
      <c r="AL3248" s="4">
        <v>30</v>
      </c>
      <c r="AM3248" s="4">
        <v>33</v>
      </c>
      <c r="AN3248" s="4">
        <v>0</v>
      </c>
      <c r="AO3248" s="4">
        <v>0</v>
      </c>
      <c r="AP3248" s="4">
        <v>7</v>
      </c>
      <c r="AQ3248" s="4">
        <v>8</v>
      </c>
      <c r="AR3248" s="3" t="s">
        <v>65</v>
      </c>
      <c r="AS3248" s="3" t="s">
        <v>65</v>
      </c>
      <c r="AT3248" s="3" t="s">
        <v>209</v>
      </c>
      <c r="AU3248" s="6" t="str">
        <f t="shared" si="51"/>
        <v>HathiTrust Record</v>
      </c>
      <c r="AV3248" s="6" t="str">
        <f t="shared" si="52"/>
        <v>Catalog Record</v>
      </c>
      <c r="AW3248" s="6" t="str">
        <f t="shared" si="53"/>
        <v>WorldCat Record</v>
      </c>
      <c r="AX3248" s="3" t="s">
        <v>32128</v>
      </c>
      <c r="AY3248" s="3" t="s">
        <v>32129</v>
      </c>
      <c r="AZ3248" s="3" t="s">
        <v>32130</v>
      </c>
      <c r="BA3248" s="3" t="s">
        <v>32130</v>
      </c>
      <c r="BB3248" s="3" t="s">
        <v>32142</v>
      </c>
      <c r="BC3248" s="3" t="s">
        <v>77</v>
      </c>
      <c r="BD3248" s="3" t="s">
        <v>78</v>
      </c>
      <c r="BF3248" s="3" t="s">
        <v>32142</v>
      </c>
      <c r="BG3248" s="3" t="s">
        <v>32143</v>
      </c>
    </row>
    <row r="3249" spans="1:59" ht="58" x14ac:dyDescent="0.35">
      <c r="A3249" s="2" t="s">
        <v>59</v>
      </c>
      <c r="B3249" s="2" t="s">
        <v>60</v>
      </c>
      <c r="C3249" s="2" t="s">
        <v>32123</v>
      </c>
      <c r="D3249" s="2" t="s">
        <v>32124</v>
      </c>
      <c r="E3249" s="2" t="s">
        <v>32125</v>
      </c>
      <c r="F3249" s="3" t="s">
        <v>32144</v>
      </c>
      <c r="G3249" s="3" t="s">
        <v>209</v>
      </c>
      <c r="I3249" s="3" t="s">
        <v>65</v>
      </c>
      <c r="J3249" s="3" t="s">
        <v>65</v>
      </c>
      <c r="K3249" s="3" t="s">
        <v>66</v>
      </c>
      <c r="L3249" s="2" t="s">
        <v>32126</v>
      </c>
      <c r="M3249" s="2" t="s">
        <v>32127</v>
      </c>
      <c r="N3249" s="3" t="s">
        <v>942</v>
      </c>
      <c r="P3249" s="3" t="s">
        <v>140</v>
      </c>
      <c r="R3249" s="3" t="s">
        <v>71</v>
      </c>
      <c r="S3249" s="4">
        <v>0</v>
      </c>
      <c r="T3249" s="4">
        <v>6</v>
      </c>
      <c r="V3249" s="5" t="s">
        <v>29646</v>
      </c>
      <c r="W3249" s="5" t="s">
        <v>72</v>
      </c>
      <c r="X3249" s="5" t="s">
        <v>72</v>
      </c>
      <c r="Y3249" s="4">
        <v>95</v>
      </c>
      <c r="Z3249" s="4">
        <v>9</v>
      </c>
      <c r="AA3249" s="4">
        <v>10</v>
      </c>
      <c r="AB3249" s="4">
        <v>1</v>
      </c>
      <c r="AC3249" s="4">
        <v>1</v>
      </c>
      <c r="AD3249" s="4">
        <v>49</v>
      </c>
      <c r="AE3249" s="4">
        <v>54</v>
      </c>
      <c r="AF3249" s="4">
        <v>0</v>
      </c>
      <c r="AG3249" s="4">
        <v>0</v>
      </c>
      <c r="AH3249" s="4">
        <v>44</v>
      </c>
      <c r="AI3249" s="4">
        <v>49</v>
      </c>
      <c r="AJ3249" s="4">
        <v>5</v>
      </c>
      <c r="AK3249" s="4">
        <v>6</v>
      </c>
      <c r="AL3249" s="4">
        <v>30</v>
      </c>
      <c r="AM3249" s="4">
        <v>33</v>
      </c>
      <c r="AN3249" s="4">
        <v>0</v>
      </c>
      <c r="AO3249" s="4">
        <v>0</v>
      </c>
      <c r="AP3249" s="4">
        <v>7</v>
      </c>
      <c r="AQ3249" s="4">
        <v>8</v>
      </c>
      <c r="AR3249" s="3" t="s">
        <v>65</v>
      </c>
      <c r="AS3249" s="3" t="s">
        <v>65</v>
      </c>
      <c r="AT3249" s="3" t="s">
        <v>209</v>
      </c>
      <c r="AU3249" s="6" t="str">
        <f t="shared" si="51"/>
        <v>HathiTrust Record</v>
      </c>
      <c r="AV3249" s="6" t="str">
        <f t="shared" si="52"/>
        <v>Catalog Record</v>
      </c>
      <c r="AW3249" s="6" t="str">
        <f t="shared" si="53"/>
        <v>WorldCat Record</v>
      </c>
      <c r="AX3249" s="3" t="s">
        <v>32128</v>
      </c>
      <c r="AY3249" s="3" t="s">
        <v>32129</v>
      </c>
      <c r="AZ3249" s="3" t="s">
        <v>32130</v>
      </c>
      <c r="BA3249" s="3" t="s">
        <v>32130</v>
      </c>
      <c r="BB3249" s="3" t="s">
        <v>32145</v>
      </c>
      <c r="BC3249" s="3" t="s">
        <v>77</v>
      </c>
      <c r="BD3249" s="3" t="s">
        <v>78</v>
      </c>
      <c r="BF3249" s="3" t="s">
        <v>32145</v>
      </c>
      <c r="BG3249" s="3" t="s">
        <v>32146</v>
      </c>
    </row>
    <row r="3250" spans="1:59" ht="58" x14ac:dyDescent="0.35">
      <c r="A3250" s="2" t="s">
        <v>59</v>
      </c>
      <c r="B3250" s="2" t="s">
        <v>60</v>
      </c>
      <c r="C3250" s="2" t="s">
        <v>32123</v>
      </c>
      <c r="D3250" s="2" t="s">
        <v>32124</v>
      </c>
      <c r="E3250" s="2" t="s">
        <v>32125</v>
      </c>
      <c r="F3250" s="3" t="s">
        <v>503</v>
      </c>
      <c r="G3250" s="3" t="s">
        <v>209</v>
      </c>
      <c r="I3250" s="3" t="s">
        <v>65</v>
      </c>
      <c r="J3250" s="3" t="s">
        <v>65</v>
      </c>
      <c r="K3250" s="3" t="s">
        <v>66</v>
      </c>
      <c r="L3250" s="2" t="s">
        <v>32126</v>
      </c>
      <c r="M3250" s="2" t="s">
        <v>32127</v>
      </c>
      <c r="N3250" s="3" t="s">
        <v>942</v>
      </c>
      <c r="P3250" s="3" t="s">
        <v>140</v>
      </c>
      <c r="R3250" s="3" t="s">
        <v>71</v>
      </c>
      <c r="S3250" s="4">
        <v>0</v>
      </c>
      <c r="T3250" s="4">
        <v>6</v>
      </c>
      <c r="V3250" s="5" t="s">
        <v>29646</v>
      </c>
      <c r="W3250" s="5" t="s">
        <v>72</v>
      </c>
      <c r="X3250" s="5" t="s">
        <v>72</v>
      </c>
      <c r="Y3250" s="4">
        <v>95</v>
      </c>
      <c r="Z3250" s="4">
        <v>9</v>
      </c>
      <c r="AA3250" s="4">
        <v>10</v>
      </c>
      <c r="AB3250" s="4">
        <v>1</v>
      </c>
      <c r="AC3250" s="4">
        <v>1</v>
      </c>
      <c r="AD3250" s="4">
        <v>49</v>
      </c>
      <c r="AE3250" s="4">
        <v>54</v>
      </c>
      <c r="AF3250" s="4">
        <v>0</v>
      </c>
      <c r="AG3250" s="4">
        <v>0</v>
      </c>
      <c r="AH3250" s="4">
        <v>44</v>
      </c>
      <c r="AI3250" s="4">
        <v>49</v>
      </c>
      <c r="AJ3250" s="4">
        <v>5</v>
      </c>
      <c r="AK3250" s="4">
        <v>6</v>
      </c>
      <c r="AL3250" s="4">
        <v>30</v>
      </c>
      <c r="AM3250" s="4">
        <v>33</v>
      </c>
      <c r="AN3250" s="4">
        <v>0</v>
      </c>
      <c r="AO3250" s="4">
        <v>0</v>
      </c>
      <c r="AP3250" s="4">
        <v>7</v>
      </c>
      <c r="AQ3250" s="4">
        <v>8</v>
      </c>
      <c r="AR3250" s="3" t="s">
        <v>65</v>
      </c>
      <c r="AS3250" s="3" t="s">
        <v>65</v>
      </c>
      <c r="AT3250" s="3" t="s">
        <v>209</v>
      </c>
      <c r="AU3250" s="6" t="str">
        <f t="shared" si="51"/>
        <v>HathiTrust Record</v>
      </c>
      <c r="AV3250" s="6" t="str">
        <f t="shared" si="52"/>
        <v>Catalog Record</v>
      </c>
      <c r="AW3250" s="6" t="str">
        <f t="shared" si="53"/>
        <v>WorldCat Record</v>
      </c>
      <c r="AX3250" s="3" t="s">
        <v>32128</v>
      </c>
      <c r="AY3250" s="3" t="s">
        <v>32129</v>
      </c>
      <c r="AZ3250" s="3" t="s">
        <v>32130</v>
      </c>
      <c r="BA3250" s="3" t="s">
        <v>32130</v>
      </c>
      <c r="BB3250" s="3" t="s">
        <v>32147</v>
      </c>
      <c r="BC3250" s="3" t="s">
        <v>77</v>
      </c>
      <c r="BD3250" s="3" t="s">
        <v>78</v>
      </c>
      <c r="BF3250" s="3" t="s">
        <v>32147</v>
      </c>
      <c r="BG3250" s="3" t="s">
        <v>32148</v>
      </c>
    </row>
    <row r="3251" spans="1:59" ht="58" x14ac:dyDescent="0.35">
      <c r="A3251" s="2" t="s">
        <v>59</v>
      </c>
      <c r="B3251" s="2" t="s">
        <v>60</v>
      </c>
      <c r="C3251" s="2" t="s">
        <v>32149</v>
      </c>
      <c r="D3251" s="2" t="s">
        <v>32150</v>
      </c>
      <c r="E3251" s="2" t="s">
        <v>32151</v>
      </c>
      <c r="G3251" s="3" t="s">
        <v>65</v>
      </c>
      <c r="I3251" s="3" t="s">
        <v>65</v>
      </c>
      <c r="J3251" s="3" t="s">
        <v>209</v>
      </c>
      <c r="K3251" s="3" t="s">
        <v>66</v>
      </c>
      <c r="L3251" s="2" t="s">
        <v>32152</v>
      </c>
      <c r="M3251" s="2" t="s">
        <v>32153</v>
      </c>
      <c r="N3251" s="3" t="s">
        <v>7187</v>
      </c>
      <c r="O3251" s="2" t="s">
        <v>29789</v>
      </c>
      <c r="P3251" s="3" t="s">
        <v>140</v>
      </c>
      <c r="Q3251" s="2" t="s">
        <v>32154</v>
      </c>
      <c r="R3251" s="3" t="s">
        <v>71</v>
      </c>
      <c r="S3251" s="4">
        <v>1</v>
      </c>
      <c r="T3251" s="4">
        <v>1</v>
      </c>
      <c r="U3251" s="5" t="s">
        <v>21360</v>
      </c>
      <c r="V3251" s="5" t="s">
        <v>21360</v>
      </c>
      <c r="W3251" s="5" t="s">
        <v>72</v>
      </c>
      <c r="X3251" s="5" t="s">
        <v>72</v>
      </c>
      <c r="Y3251" s="4">
        <v>11</v>
      </c>
      <c r="Z3251" s="4">
        <v>2</v>
      </c>
      <c r="AA3251" s="4">
        <v>8</v>
      </c>
      <c r="AB3251" s="4">
        <v>1</v>
      </c>
      <c r="AC3251" s="4">
        <v>1</v>
      </c>
      <c r="AD3251" s="4">
        <v>5</v>
      </c>
      <c r="AE3251" s="4">
        <v>43</v>
      </c>
      <c r="AF3251" s="4">
        <v>0</v>
      </c>
      <c r="AG3251" s="4">
        <v>0</v>
      </c>
      <c r="AH3251" s="4">
        <v>5</v>
      </c>
      <c r="AI3251" s="4">
        <v>40</v>
      </c>
      <c r="AJ3251" s="4">
        <v>1</v>
      </c>
      <c r="AK3251" s="4">
        <v>4</v>
      </c>
      <c r="AL3251" s="4">
        <v>0</v>
      </c>
      <c r="AM3251" s="4">
        <v>27</v>
      </c>
      <c r="AN3251" s="4">
        <v>0</v>
      </c>
      <c r="AO3251" s="4">
        <v>0</v>
      </c>
      <c r="AP3251" s="4">
        <v>1</v>
      </c>
      <c r="AQ3251" s="4">
        <v>4</v>
      </c>
      <c r="AR3251" s="3" t="s">
        <v>65</v>
      </c>
      <c r="AS3251" s="3" t="s">
        <v>65</v>
      </c>
      <c r="AT3251" s="3" t="s">
        <v>65</v>
      </c>
      <c r="AV3251" s="6" t="str">
        <f>HYPERLINK("http://mcgill.on.worldcat.org/oclc/9590564","Catalog Record")</f>
        <v>Catalog Record</v>
      </c>
      <c r="AW3251" s="6" t="str">
        <f>HYPERLINK("http://www.worldcat.org/oclc/9590564","WorldCat Record")</f>
        <v>WorldCat Record</v>
      </c>
      <c r="AX3251" s="3" t="s">
        <v>32155</v>
      </c>
      <c r="AY3251" s="3" t="s">
        <v>32156</v>
      </c>
      <c r="AZ3251" s="3" t="s">
        <v>32157</v>
      </c>
      <c r="BA3251" s="3" t="s">
        <v>32157</v>
      </c>
      <c r="BB3251" s="3" t="s">
        <v>32158</v>
      </c>
      <c r="BC3251" s="3" t="s">
        <v>77</v>
      </c>
      <c r="BD3251" s="3" t="s">
        <v>78</v>
      </c>
      <c r="BF3251" s="3" t="s">
        <v>32158</v>
      </c>
      <c r="BG3251" s="3" t="s">
        <v>32159</v>
      </c>
    </row>
    <row r="3252" spans="1:59" ht="58" x14ac:dyDescent="0.35">
      <c r="A3252" s="2" t="s">
        <v>59</v>
      </c>
      <c r="B3252" s="2" t="s">
        <v>60</v>
      </c>
      <c r="C3252" s="2" t="s">
        <v>32160</v>
      </c>
      <c r="D3252" s="2" t="s">
        <v>32161</v>
      </c>
      <c r="E3252" s="2" t="s">
        <v>32162</v>
      </c>
      <c r="G3252" s="3" t="s">
        <v>65</v>
      </c>
      <c r="I3252" s="3" t="s">
        <v>65</v>
      </c>
      <c r="J3252" s="3" t="s">
        <v>209</v>
      </c>
      <c r="K3252" s="3" t="s">
        <v>66</v>
      </c>
      <c r="L3252" s="2" t="s">
        <v>32152</v>
      </c>
      <c r="M3252" s="2" t="s">
        <v>32163</v>
      </c>
      <c r="N3252" s="3" t="s">
        <v>756</v>
      </c>
      <c r="P3252" s="3" t="s">
        <v>140</v>
      </c>
      <c r="Q3252" s="2" t="s">
        <v>32164</v>
      </c>
      <c r="R3252" s="3" t="s">
        <v>71</v>
      </c>
      <c r="S3252" s="4">
        <v>4</v>
      </c>
      <c r="T3252" s="4">
        <v>4</v>
      </c>
      <c r="U3252" s="5" t="s">
        <v>8881</v>
      </c>
      <c r="V3252" s="5" t="s">
        <v>8881</v>
      </c>
      <c r="W3252" s="5" t="s">
        <v>72</v>
      </c>
      <c r="X3252" s="5" t="s">
        <v>72</v>
      </c>
      <c r="Y3252" s="4">
        <v>12</v>
      </c>
      <c r="Z3252" s="4">
        <v>4</v>
      </c>
      <c r="AA3252" s="4">
        <v>20</v>
      </c>
      <c r="AB3252" s="4">
        <v>1</v>
      </c>
      <c r="AC3252" s="4">
        <v>3</v>
      </c>
      <c r="AD3252" s="4">
        <v>7</v>
      </c>
      <c r="AE3252" s="4">
        <v>82</v>
      </c>
      <c r="AF3252" s="4">
        <v>0</v>
      </c>
      <c r="AG3252" s="4">
        <v>2</v>
      </c>
      <c r="AH3252" s="4">
        <v>7</v>
      </c>
      <c r="AI3252" s="4">
        <v>72</v>
      </c>
      <c r="AJ3252" s="4">
        <v>2</v>
      </c>
      <c r="AK3252" s="4">
        <v>14</v>
      </c>
      <c r="AL3252" s="4">
        <v>5</v>
      </c>
      <c r="AM3252" s="4">
        <v>43</v>
      </c>
      <c r="AN3252" s="4">
        <v>0</v>
      </c>
      <c r="AO3252" s="4">
        <v>7</v>
      </c>
      <c r="AP3252" s="4">
        <v>2</v>
      </c>
      <c r="AQ3252" s="4">
        <v>13</v>
      </c>
      <c r="AR3252" s="3" t="s">
        <v>65</v>
      </c>
      <c r="AS3252" s="3" t="s">
        <v>65</v>
      </c>
      <c r="AT3252" s="3" t="s">
        <v>209</v>
      </c>
      <c r="AU3252" s="6" t="str">
        <f>HYPERLINK("http://catalog.hathitrust.org/Record/007304031","HathiTrust Record")</f>
        <v>HathiTrust Record</v>
      </c>
      <c r="AV3252" s="6" t="str">
        <f>HYPERLINK("http://mcgill.on.worldcat.org/oclc/4500713","Catalog Record")</f>
        <v>Catalog Record</v>
      </c>
      <c r="AW3252" s="6" t="str">
        <f>HYPERLINK("http://www.worldcat.org/oclc/4500713","WorldCat Record")</f>
        <v>WorldCat Record</v>
      </c>
      <c r="AX3252" s="3" t="s">
        <v>32165</v>
      </c>
      <c r="AY3252" s="3" t="s">
        <v>32166</v>
      </c>
      <c r="AZ3252" s="3" t="s">
        <v>32167</v>
      </c>
      <c r="BA3252" s="3" t="s">
        <v>32167</v>
      </c>
      <c r="BB3252" s="3" t="s">
        <v>32168</v>
      </c>
      <c r="BC3252" s="3" t="s">
        <v>77</v>
      </c>
      <c r="BD3252" s="3" t="s">
        <v>78</v>
      </c>
      <c r="BF3252" s="3" t="s">
        <v>32168</v>
      </c>
      <c r="BG3252" s="3" t="s">
        <v>32169</v>
      </c>
    </row>
    <row r="3253" spans="1:59" ht="58" x14ac:dyDescent="0.35">
      <c r="A3253" s="2" t="s">
        <v>59</v>
      </c>
      <c r="B3253" s="2" t="s">
        <v>60</v>
      </c>
      <c r="C3253" s="2" t="s">
        <v>32170</v>
      </c>
      <c r="D3253" s="2" t="s">
        <v>32171</v>
      </c>
      <c r="E3253" s="2" t="s">
        <v>32172</v>
      </c>
      <c r="G3253" s="3" t="s">
        <v>65</v>
      </c>
      <c r="I3253" s="3" t="s">
        <v>65</v>
      </c>
      <c r="J3253" s="3" t="s">
        <v>65</v>
      </c>
      <c r="K3253" s="3" t="s">
        <v>66</v>
      </c>
      <c r="L3253" s="2" t="s">
        <v>32152</v>
      </c>
      <c r="M3253" s="2" t="s">
        <v>24507</v>
      </c>
      <c r="N3253" s="3" t="s">
        <v>126</v>
      </c>
      <c r="O3253" s="2" t="s">
        <v>6616</v>
      </c>
      <c r="P3253" s="3" t="s">
        <v>140</v>
      </c>
      <c r="Q3253" s="2" t="s">
        <v>6617</v>
      </c>
      <c r="R3253" s="3" t="s">
        <v>71</v>
      </c>
      <c r="S3253" s="4">
        <v>0</v>
      </c>
      <c r="T3253" s="4">
        <v>0</v>
      </c>
      <c r="W3253" s="5" t="s">
        <v>72</v>
      </c>
      <c r="X3253" s="5" t="s">
        <v>72</v>
      </c>
      <c r="Y3253" s="4">
        <v>56</v>
      </c>
      <c r="Z3253" s="4">
        <v>5</v>
      </c>
      <c r="AA3253" s="4">
        <v>5</v>
      </c>
      <c r="AB3253" s="4">
        <v>1</v>
      </c>
      <c r="AC3253" s="4">
        <v>1</v>
      </c>
      <c r="AD3253" s="4">
        <v>37</v>
      </c>
      <c r="AE3253" s="4">
        <v>37</v>
      </c>
      <c r="AF3253" s="4">
        <v>0</v>
      </c>
      <c r="AG3253" s="4">
        <v>0</v>
      </c>
      <c r="AH3253" s="4">
        <v>36</v>
      </c>
      <c r="AI3253" s="4">
        <v>36</v>
      </c>
      <c r="AJ3253" s="4">
        <v>3</v>
      </c>
      <c r="AK3253" s="4">
        <v>3</v>
      </c>
      <c r="AL3253" s="4">
        <v>25</v>
      </c>
      <c r="AM3253" s="4">
        <v>25</v>
      </c>
      <c r="AN3253" s="4">
        <v>0</v>
      </c>
      <c r="AO3253" s="4">
        <v>0</v>
      </c>
      <c r="AP3253" s="4">
        <v>3</v>
      </c>
      <c r="AQ3253" s="4">
        <v>3</v>
      </c>
      <c r="AR3253" s="3" t="s">
        <v>65</v>
      </c>
      <c r="AS3253" s="3" t="s">
        <v>65</v>
      </c>
      <c r="AT3253" s="3" t="s">
        <v>65</v>
      </c>
      <c r="AV3253" s="6" t="str">
        <f>HYPERLINK("http://mcgill.on.worldcat.org/oclc/721863426","Catalog Record")</f>
        <v>Catalog Record</v>
      </c>
      <c r="AW3253" s="6" t="str">
        <f>HYPERLINK("http://www.worldcat.org/oclc/721863426","WorldCat Record")</f>
        <v>WorldCat Record</v>
      </c>
      <c r="AX3253" s="3" t="s">
        <v>32173</v>
      </c>
      <c r="AY3253" s="3" t="s">
        <v>32174</v>
      </c>
      <c r="AZ3253" s="3" t="s">
        <v>32175</v>
      </c>
      <c r="BA3253" s="3" t="s">
        <v>32175</v>
      </c>
      <c r="BB3253" s="3" t="s">
        <v>32176</v>
      </c>
      <c r="BC3253" s="3" t="s">
        <v>77</v>
      </c>
      <c r="BD3253" s="3" t="s">
        <v>78</v>
      </c>
      <c r="BE3253" s="3" t="s">
        <v>32177</v>
      </c>
      <c r="BF3253" s="3" t="s">
        <v>32176</v>
      </c>
      <c r="BG3253" s="3" t="s">
        <v>32178</v>
      </c>
    </row>
    <row r="3254" spans="1:59" ht="58" x14ac:dyDescent="0.35">
      <c r="A3254" s="2" t="s">
        <v>59</v>
      </c>
      <c r="B3254" s="2" t="s">
        <v>60</v>
      </c>
      <c r="C3254" s="2" t="s">
        <v>32179</v>
      </c>
      <c r="D3254" s="2" t="s">
        <v>32180</v>
      </c>
      <c r="E3254" s="2" t="s">
        <v>32181</v>
      </c>
      <c r="G3254" s="3" t="s">
        <v>65</v>
      </c>
      <c r="I3254" s="3" t="s">
        <v>65</v>
      </c>
      <c r="J3254" s="3" t="s">
        <v>65</v>
      </c>
      <c r="K3254" s="3" t="s">
        <v>66</v>
      </c>
      <c r="M3254" s="2" t="s">
        <v>32182</v>
      </c>
      <c r="N3254" s="3" t="s">
        <v>113</v>
      </c>
      <c r="O3254" s="2" t="s">
        <v>365</v>
      </c>
      <c r="P3254" s="3" t="s">
        <v>140</v>
      </c>
      <c r="Q3254" s="2" t="s">
        <v>32183</v>
      </c>
      <c r="R3254" s="3" t="s">
        <v>71</v>
      </c>
      <c r="S3254" s="4">
        <v>0</v>
      </c>
      <c r="T3254" s="4">
        <v>0</v>
      </c>
      <c r="W3254" s="5" t="s">
        <v>72</v>
      </c>
      <c r="X3254" s="5" t="s">
        <v>72</v>
      </c>
      <c r="Y3254" s="4">
        <v>21</v>
      </c>
      <c r="Z3254" s="4">
        <v>1</v>
      </c>
      <c r="AA3254" s="4">
        <v>3</v>
      </c>
      <c r="AB3254" s="4">
        <v>1</v>
      </c>
      <c r="AC3254" s="4">
        <v>1</v>
      </c>
      <c r="AD3254" s="4">
        <v>7</v>
      </c>
      <c r="AE3254" s="4">
        <v>24</v>
      </c>
      <c r="AF3254" s="4">
        <v>0</v>
      </c>
      <c r="AG3254" s="4">
        <v>0</v>
      </c>
      <c r="AH3254" s="4">
        <v>7</v>
      </c>
      <c r="AI3254" s="4">
        <v>23</v>
      </c>
      <c r="AJ3254" s="4">
        <v>0</v>
      </c>
      <c r="AK3254" s="4">
        <v>1</v>
      </c>
      <c r="AL3254" s="4">
        <v>5</v>
      </c>
      <c r="AM3254" s="4">
        <v>18</v>
      </c>
      <c r="AN3254" s="4">
        <v>0</v>
      </c>
      <c r="AO3254" s="4">
        <v>0</v>
      </c>
      <c r="AP3254" s="4">
        <v>0</v>
      </c>
      <c r="AQ3254" s="4">
        <v>1</v>
      </c>
      <c r="AR3254" s="3" t="s">
        <v>65</v>
      </c>
      <c r="AS3254" s="3" t="s">
        <v>65</v>
      </c>
      <c r="AT3254" s="3" t="s">
        <v>65</v>
      </c>
      <c r="AV3254" s="6" t="str">
        <f>HYPERLINK("http://mcgill.on.worldcat.org/oclc/713177977","Catalog Record")</f>
        <v>Catalog Record</v>
      </c>
      <c r="AW3254" s="6" t="str">
        <f>HYPERLINK("http://www.worldcat.org/oclc/713177977","WorldCat Record")</f>
        <v>WorldCat Record</v>
      </c>
      <c r="AX3254" s="3" t="s">
        <v>32184</v>
      </c>
      <c r="AY3254" s="3" t="s">
        <v>32185</v>
      </c>
      <c r="AZ3254" s="3" t="s">
        <v>32186</v>
      </c>
      <c r="BA3254" s="3" t="s">
        <v>32186</v>
      </c>
      <c r="BB3254" s="3" t="s">
        <v>32187</v>
      </c>
      <c r="BC3254" s="3" t="s">
        <v>77</v>
      </c>
      <c r="BD3254" s="3" t="s">
        <v>78</v>
      </c>
      <c r="BE3254" s="3" t="s">
        <v>32188</v>
      </c>
      <c r="BF3254" s="3" t="s">
        <v>32187</v>
      </c>
      <c r="BG3254" s="3" t="s">
        <v>32189</v>
      </c>
    </row>
    <row r="3255" spans="1:59" ht="72.5" x14ac:dyDescent="0.35">
      <c r="A3255" s="2" t="s">
        <v>59</v>
      </c>
      <c r="B3255" s="2" t="s">
        <v>60</v>
      </c>
      <c r="C3255" s="2" t="s">
        <v>32190</v>
      </c>
      <c r="D3255" s="2" t="s">
        <v>32191</v>
      </c>
      <c r="E3255" s="2" t="s">
        <v>32192</v>
      </c>
      <c r="F3255" s="3" t="s">
        <v>32193</v>
      </c>
      <c r="G3255" s="3" t="s">
        <v>65</v>
      </c>
      <c r="I3255" s="3" t="s">
        <v>65</v>
      </c>
      <c r="J3255" s="3" t="s">
        <v>65</v>
      </c>
      <c r="K3255" s="3" t="s">
        <v>66</v>
      </c>
      <c r="L3255" s="2" t="s">
        <v>32194</v>
      </c>
      <c r="M3255" s="2" t="s">
        <v>24550</v>
      </c>
      <c r="N3255" s="3" t="s">
        <v>126</v>
      </c>
      <c r="P3255" s="3" t="s">
        <v>140</v>
      </c>
      <c r="Q3255" s="2" t="s">
        <v>32195</v>
      </c>
      <c r="R3255" s="3" t="s">
        <v>71</v>
      </c>
      <c r="S3255" s="4">
        <v>0</v>
      </c>
      <c r="T3255" s="4">
        <v>0</v>
      </c>
      <c r="W3255" s="5" t="s">
        <v>72</v>
      </c>
      <c r="X3255" s="5" t="s">
        <v>72</v>
      </c>
      <c r="Y3255" s="4">
        <v>25</v>
      </c>
      <c r="Z3255" s="4">
        <v>3</v>
      </c>
      <c r="AA3255" s="4">
        <v>3</v>
      </c>
      <c r="AB3255" s="4">
        <v>1</v>
      </c>
      <c r="AC3255" s="4">
        <v>1</v>
      </c>
      <c r="AD3255" s="4">
        <v>15</v>
      </c>
      <c r="AE3255" s="4">
        <v>15</v>
      </c>
      <c r="AF3255" s="4">
        <v>0</v>
      </c>
      <c r="AG3255" s="4">
        <v>0</v>
      </c>
      <c r="AH3255" s="4">
        <v>15</v>
      </c>
      <c r="AI3255" s="4">
        <v>15</v>
      </c>
      <c r="AJ3255" s="4">
        <v>1</v>
      </c>
      <c r="AK3255" s="4">
        <v>1</v>
      </c>
      <c r="AL3255" s="4">
        <v>13</v>
      </c>
      <c r="AM3255" s="4">
        <v>13</v>
      </c>
      <c r="AN3255" s="4">
        <v>0</v>
      </c>
      <c r="AO3255" s="4">
        <v>0</v>
      </c>
      <c r="AP3255" s="4">
        <v>1</v>
      </c>
      <c r="AQ3255" s="4">
        <v>1</v>
      </c>
      <c r="AR3255" s="3" t="s">
        <v>65</v>
      </c>
      <c r="AS3255" s="3" t="s">
        <v>65</v>
      </c>
      <c r="AT3255" s="3" t="s">
        <v>65</v>
      </c>
      <c r="AV3255" s="6" t="str">
        <f>HYPERLINK("http://mcgill.on.worldcat.org/oclc/712555902","Catalog Record")</f>
        <v>Catalog Record</v>
      </c>
      <c r="AW3255" s="6" t="str">
        <f>HYPERLINK("http://www.worldcat.org/oclc/712555902","WorldCat Record")</f>
        <v>WorldCat Record</v>
      </c>
      <c r="AX3255" s="3" t="s">
        <v>32196</v>
      </c>
      <c r="AY3255" s="3" t="s">
        <v>32197</v>
      </c>
      <c r="AZ3255" s="3" t="s">
        <v>32198</v>
      </c>
      <c r="BA3255" s="3" t="s">
        <v>32198</v>
      </c>
      <c r="BB3255" s="3" t="s">
        <v>32199</v>
      </c>
      <c r="BC3255" s="3" t="s">
        <v>77</v>
      </c>
      <c r="BD3255" s="3" t="s">
        <v>78</v>
      </c>
      <c r="BE3255" s="3" t="s">
        <v>32200</v>
      </c>
      <c r="BF3255" s="3" t="s">
        <v>32199</v>
      </c>
      <c r="BG3255" s="3" t="s">
        <v>32201</v>
      </c>
    </row>
    <row r="3256" spans="1:59" ht="58" x14ac:dyDescent="0.35">
      <c r="A3256" s="2" t="s">
        <v>59</v>
      </c>
      <c r="B3256" s="2" t="s">
        <v>60</v>
      </c>
      <c r="C3256" s="2" t="s">
        <v>32202</v>
      </c>
      <c r="D3256" s="2" t="s">
        <v>32203</v>
      </c>
      <c r="E3256" s="2" t="s">
        <v>32204</v>
      </c>
      <c r="G3256" s="3" t="s">
        <v>65</v>
      </c>
      <c r="I3256" s="3" t="s">
        <v>65</v>
      </c>
      <c r="J3256" s="3" t="s">
        <v>65</v>
      </c>
      <c r="K3256" s="3" t="s">
        <v>66</v>
      </c>
      <c r="L3256" s="2" t="s">
        <v>32205</v>
      </c>
      <c r="M3256" s="2" t="s">
        <v>22831</v>
      </c>
      <c r="N3256" s="3" t="s">
        <v>2750</v>
      </c>
      <c r="O3256" s="2" t="s">
        <v>365</v>
      </c>
      <c r="P3256" s="3" t="s">
        <v>140</v>
      </c>
      <c r="Q3256" s="2" t="s">
        <v>32206</v>
      </c>
      <c r="R3256" s="3" t="s">
        <v>71</v>
      </c>
      <c r="S3256" s="4">
        <v>3</v>
      </c>
      <c r="T3256" s="4">
        <v>3</v>
      </c>
      <c r="U3256" s="5" t="s">
        <v>17342</v>
      </c>
      <c r="V3256" s="5" t="s">
        <v>17342</v>
      </c>
      <c r="W3256" s="5" t="s">
        <v>72</v>
      </c>
      <c r="X3256" s="5" t="s">
        <v>72</v>
      </c>
      <c r="Y3256" s="4">
        <v>42</v>
      </c>
      <c r="Z3256" s="4">
        <v>5</v>
      </c>
      <c r="AA3256" s="4">
        <v>6</v>
      </c>
      <c r="AB3256" s="4">
        <v>1</v>
      </c>
      <c r="AC3256" s="4">
        <v>2</v>
      </c>
      <c r="AD3256" s="4">
        <v>23</v>
      </c>
      <c r="AE3256" s="4">
        <v>24</v>
      </c>
      <c r="AF3256" s="4">
        <v>0</v>
      </c>
      <c r="AG3256" s="4">
        <v>1</v>
      </c>
      <c r="AH3256" s="4">
        <v>19</v>
      </c>
      <c r="AI3256" s="4">
        <v>19</v>
      </c>
      <c r="AJ3256" s="4">
        <v>3</v>
      </c>
      <c r="AK3256" s="4">
        <v>4</v>
      </c>
      <c r="AL3256" s="4">
        <v>16</v>
      </c>
      <c r="AM3256" s="4">
        <v>16</v>
      </c>
      <c r="AN3256" s="4">
        <v>0</v>
      </c>
      <c r="AO3256" s="4">
        <v>0</v>
      </c>
      <c r="AP3256" s="4">
        <v>3</v>
      </c>
      <c r="AQ3256" s="4">
        <v>3</v>
      </c>
      <c r="AR3256" s="3" t="s">
        <v>65</v>
      </c>
      <c r="AS3256" s="3" t="s">
        <v>65</v>
      </c>
      <c r="AT3256" s="3" t="s">
        <v>209</v>
      </c>
      <c r="AU3256" s="6" t="str">
        <f>HYPERLINK("http://catalog.hathitrust.org/Record/000708743","HathiTrust Record")</f>
        <v>HathiTrust Record</v>
      </c>
      <c r="AV3256" s="6" t="str">
        <f>HYPERLINK("http://mcgill.on.worldcat.org/oclc/2200109","Catalog Record")</f>
        <v>Catalog Record</v>
      </c>
      <c r="AW3256" s="6" t="str">
        <f>HYPERLINK("http://www.worldcat.org/oclc/2200109","WorldCat Record")</f>
        <v>WorldCat Record</v>
      </c>
      <c r="AX3256" s="3" t="s">
        <v>32207</v>
      </c>
      <c r="AY3256" s="3" t="s">
        <v>32208</v>
      </c>
      <c r="AZ3256" s="3" t="s">
        <v>32209</v>
      </c>
      <c r="BA3256" s="3" t="s">
        <v>32209</v>
      </c>
      <c r="BB3256" s="3" t="s">
        <v>32210</v>
      </c>
      <c r="BC3256" s="3" t="s">
        <v>77</v>
      </c>
      <c r="BD3256" s="3" t="s">
        <v>78</v>
      </c>
      <c r="BF3256" s="3" t="s">
        <v>32210</v>
      </c>
      <c r="BG3256" s="3" t="s">
        <v>32211</v>
      </c>
    </row>
    <row r="3257" spans="1:59" ht="58" x14ac:dyDescent="0.35">
      <c r="A3257" s="2" t="s">
        <v>59</v>
      </c>
      <c r="B3257" s="2" t="s">
        <v>60</v>
      </c>
      <c r="C3257" s="2" t="s">
        <v>32212</v>
      </c>
      <c r="D3257" s="2" t="s">
        <v>32213</v>
      </c>
      <c r="E3257" s="2" t="s">
        <v>32214</v>
      </c>
      <c r="G3257" s="3" t="s">
        <v>65</v>
      </c>
      <c r="I3257" s="3" t="s">
        <v>65</v>
      </c>
      <c r="J3257" s="3" t="s">
        <v>65</v>
      </c>
      <c r="K3257" s="3" t="s">
        <v>66</v>
      </c>
      <c r="L3257" s="2" t="s">
        <v>32205</v>
      </c>
      <c r="N3257" s="3" t="s">
        <v>5338</v>
      </c>
      <c r="O3257" s="2" t="s">
        <v>32215</v>
      </c>
      <c r="P3257" s="3" t="s">
        <v>69</v>
      </c>
      <c r="Q3257" s="2" t="s">
        <v>32216</v>
      </c>
      <c r="R3257" s="3" t="s">
        <v>71</v>
      </c>
      <c r="S3257" s="4">
        <v>2</v>
      </c>
      <c r="T3257" s="4">
        <v>2</v>
      </c>
      <c r="U3257" s="5" t="s">
        <v>17342</v>
      </c>
      <c r="V3257" s="5" t="s">
        <v>17342</v>
      </c>
      <c r="W3257" s="5" t="s">
        <v>72</v>
      </c>
      <c r="X3257" s="5" t="s">
        <v>72</v>
      </c>
      <c r="Y3257" s="4">
        <v>46</v>
      </c>
      <c r="Z3257" s="4">
        <v>2</v>
      </c>
      <c r="AA3257" s="4">
        <v>2</v>
      </c>
      <c r="AB3257" s="4">
        <v>1</v>
      </c>
      <c r="AC3257" s="4">
        <v>1</v>
      </c>
      <c r="AD3257" s="4">
        <v>24</v>
      </c>
      <c r="AE3257" s="4">
        <v>25</v>
      </c>
      <c r="AF3257" s="4">
        <v>0</v>
      </c>
      <c r="AG3257" s="4">
        <v>0</v>
      </c>
      <c r="AH3257" s="4">
        <v>22</v>
      </c>
      <c r="AI3257" s="4">
        <v>23</v>
      </c>
      <c r="AJ3257" s="4">
        <v>1</v>
      </c>
      <c r="AK3257" s="4">
        <v>1</v>
      </c>
      <c r="AL3257" s="4">
        <v>18</v>
      </c>
      <c r="AM3257" s="4">
        <v>19</v>
      </c>
      <c r="AN3257" s="4">
        <v>0</v>
      </c>
      <c r="AO3257" s="4">
        <v>0</v>
      </c>
      <c r="AP3257" s="4">
        <v>1</v>
      </c>
      <c r="AQ3257" s="4">
        <v>1</v>
      </c>
      <c r="AR3257" s="3" t="s">
        <v>65</v>
      </c>
      <c r="AS3257" s="3" t="s">
        <v>65</v>
      </c>
      <c r="AT3257" s="3" t="s">
        <v>209</v>
      </c>
      <c r="AU3257" s="6" t="str">
        <f>HYPERLINK("http://catalog.hathitrust.org/Record/001220033","HathiTrust Record")</f>
        <v>HathiTrust Record</v>
      </c>
      <c r="AV3257" s="6" t="str">
        <f>HYPERLINK("http://mcgill.on.worldcat.org/oclc/1445039","Catalog Record")</f>
        <v>Catalog Record</v>
      </c>
      <c r="AW3257" s="6" t="str">
        <f>HYPERLINK("http://www.worldcat.org/oclc/1445039","WorldCat Record")</f>
        <v>WorldCat Record</v>
      </c>
      <c r="AX3257" s="3" t="s">
        <v>32217</v>
      </c>
      <c r="AY3257" s="3" t="s">
        <v>32218</v>
      </c>
      <c r="AZ3257" s="3" t="s">
        <v>32219</v>
      </c>
      <c r="BA3257" s="3" t="s">
        <v>32219</v>
      </c>
      <c r="BB3257" s="3" t="s">
        <v>32220</v>
      </c>
      <c r="BC3257" s="3" t="s">
        <v>77</v>
      </c>
      <c r="BD3257" s="3" t="s">
        <v>78</v>
      </c>
      <c r="BF3257" s="3" t="s">
        <v>32220</v>
      </c>
      <c r="BG3257" s="3" t="s">
        <v>32221</v>
      </c>
    </row>
    <row r="3258" spans="1:59" ht="58" x14ac:dyDescent="0.35">
      <c r="A3258" s="2" t="s">
        <v>59</v>
      </c>
      <c r="B3258" s="2" t="s">
        <v>60</v>
      </c>
      <c r="C3258" s="2" t="s">
        <v>32222</v>
      </c>
      <c r="D3258" s="2" t="s">
        <v>32223</v>
      </c>
      <c r="E3258" s="2" t="s">
        <v>32224</v>
      </c>
      <c r="G3258" s="3" t="s">
        <v>65</v>
      </c>
      <c r="I3258" s="3" t="s">
        <v>65</v>
      </c>
      <c r="J3258" s="3" t="s">
        <v>65</v>
      </c>
      <c r="K3258" s="3" t="s">
        <v>66</v>
      </c>
      <c r="L3258" s="2" t="s">
        <v>32225</v>
      </c>
      <c r="M3258" s="2" t="s">
        <v>32226</v>
      </c>
      <c r="N3258" s="3" t="s">
        <v>176</v>
      </c>
      <c r="O3258" s="2" t="s">
        <v>379</v>
      </c>
      <c r="P3258" s="3" t="s">
        <v>140</v>
      </c>
      <c r="Q3258" s="2" t="s">
        <v>32227</v>
      </c>
      <c r="R3258" s="3" t="s">
        <v>71</v>
      </c>
      <c r="S3258" s="4">
        <v>0</v>
      </c>
      <c r="T3258" s="4">
        <v>0</v>
      </c>
      <c r="W3258" s="5" t="s">
        <v>72</v>
      </c>
      <c r="X3258" s="5" t="s">
        <v>72</v>
      </c>
      <c r="Y3258" s="4">
        <v>13</v>
      </c>
      <c r="Z3258" s="4">
        <v>1</v>
      </c>
      <c r="AA3258" s="4">
        <v>1</v>
      </c>
      <c r="AB3258" s="4">
        <v>1</v>
      </c>
      <c r="AC3258" s="4">
        <v>1</v>
      </c>
      <c r="AD3258" s="4">
        <v>4</v>
      </c>
      <c r="AE3258" s="4">
        <v>4</v>
      </c>
      <c r="AF3258" s="4">
        <v>0</v>
      </c>
      <c r="AG3258" s="4">
        <v>0</v>
      </c>
      <c r="AH3258" s="4">
        <v>3</v>
      </c>
      <c r="AI3258" s="4">
        <v>3</v>
      </c>
      <c r="AJ3258" s="4">
        <v>0</v>
      </c>
      <c r="AK3258" s="4">
        <v>0</v>
      </c>
      <c r="AL3258" s="4">
        <v>4</v>
      </c>
      <c r="AM3258" s="4">
        <v>4</v>
      </c>
      <c r="AN3258" s="4">
        <v>0</v>
      </c>
      <c r="AO3258" s="4">
        <v>0</v>
      </c>
      <c r="AP3258" s="4">
        <v>0</v>
      </c>
      <c r="AQ3258" s="4">
        <v>0</v>
      </c>
      <c r="AR3258" s="3" t="s">
        <v>65</v>
      </c>
      <c r="AS3258" s="3" t="s">
        <v>65</v>
      </c>
      <c r="AT3258" s="3" t="s">
        <v>65</v>
      </c>
      <c r="AV3258" s="6" t="str">
        <f>HYPERLINK("http://mcgill.on.worldcat.org/oclc/910085356","Catalog Record")</f>
        <v>Catalog Record</v>
      </c>
      <c r="AW3258" s="6" t="str">
        <f>HYPERLINK("http://www.worldcat.org/oclc/910085356","WorldCat Record")</f>
        <v>WorldCat Record</v>
      </c>
      <c r="AX3258" s="3" t="s">
        <v>32228</v>
      </c>
      <c r="AY3258" s="3" t="s">
        <v>32229</v>
      </c>
      <c r="AZ3258" s="3" t="s">
        <v>32230</v>
      </c>
      <c r="BA3258" s="3" t="s">
        <v>32230</v>
      </c>
      <c r="BB3258" s="3" t="s">
        <v>32231</v>
      </c>
      <c r="BC3258" s="3" t="s">
        <v>77</v>
      </c>
      <c r="BD3258" s="3" t="s">
        <v>78</v>
      </c>
      <c r="BE3258" s="3" t="s">
        <v>32232</v>
      </c>
      <c r="BF3258" s="3" t="s">
        <v>32231</v>
      </c>
      <c r="BG3258" s="3" t="s">
        <v>32233</v>
      </c>
    </row>
    <row r="3259" spans="1:59" ht="58" x14ac:dyDescent="0.35">
      <c r="A3259" s="2" t="s">
        <v>59</v>
      </c>
      <c r="B3259" s="2" t="s">
        <v>60</v>
      </c>
      <c r="C3259" s="2" t="s">
        <v>32234</v>
      </c>
      <c r="D3259" s="2" t="s">
        <v>32235</v>
      </c>
      <c r="E3259" s="2" t="s">
        <v>32236</v>
      </c>
      <c r="G3259" s="3" t="s">
        <v>65</v>
      </c>
      <c r="I3259" s="3" t="s">
        <v>65</v>
      </c>
      <c r="J3259" s="3" t="s">
        <v>65</v>
      </c>
      <c r="K3259" s="3" t="s">
        <v>66</v>
      </c>
      <c r="L3259" s="2" t="s">
        <v>32237</v>
      </c>
      <c r="M3259" s="2" t="s">
        <v>32238</v>
      </c>
      <c r="N3259" s="3" t="s">
        <v>139</v>
      </c>
      <c r="P3259" s="3" t="s">
        <v>140</v>
      </c>
      <c r="Q3259" s="2" t="s">
        <v>32239</v>
      </c>
      <c r="R3259" s="3" t="s">
        <v>71</v>
      </c>
      <c r="S3259" s="4">
        <v>0</v>
      </c>
      <c r="T3259" s="4">
        <v>0</v>
      </c>
      <c r="W3259" s="5" t="s">
        <v>72</v>
      </c>
      <c r="X3259" s="5" t="s">
        <v>72</v>
      </c>
      <c r="Y3259" s="4">
        <v>31</v>
      </c>
      <c r="Z3259" s="4">
        <v>3</v>
      </c>
      <c r="AA3259" s="4">
        <v>3</v>
      </c>
      <c r="AB3259" s="4">
        <v>1</v>
      </c>
      <c r="AC3259" s="4">
        <v>1</v>
      </c>
      <c r="AD3259" s="4">
        <v>21</v>
      </c>
      <c r="AE3259" s="4">
        <v>21</v>
      </c>
      <c r="AF3259" s="4">
        <v>0</v>
      </c>
      <c r="AG3259" s="4">
        <v>0</v>
      </c>
      <c r="AH3259" s="4">
        <v>20</v>
      </c>
      <c r="AI3259" s="4">
        <v>20</v>
      </c>
      <c r="AJ3259" s="4">
        <v>1</v>
      </c>
      <c r="AK3259" s="4">
        <v>1</v>
      </c>
      <c r="AL3259" s="4">
        <v>18</v>
      </c>
      <c r="AM3259" s="4">
        <v>18</v>
      </c>
      <c r="AN3259" s="4">
        <v>0</v>
      </c>
      <c r="AO3259" s="4">
        <v>0</v>
      </c>
      <c r="AP3259" s="4">
        <v>1</v>
      </c>
      <c r="AQ3259" s="4">
        <v>1</v>
      </c>
      <c r="AR3259" s="3" t="s">
        <v>65</v>
      </c>
      <c r="AS3259" s="3" t="s">
        <v>65</v>
      </c>
      <c r="AT3259" s="3" t="s">
        <v>65</v>
      </c>
      <c r="AV3259" s="6" t="str">
        <f>HYPERLINK("http://mcgill.on.worldcat.org/oclc/796781989","Catalog Record")</f>
        <v>Catalog Record</v>
      </c>
      <c r="AW3259" s="6" t="str">
        <f>HYPERLINK("http://www.worldcat.org/oclc/796781989","WorldCat Record")</f>
        <v>WorldCat Record</v>
      </c>
      <c r="AX3259" s="3" t="s">
        <v>32240</v>
      </c>
      <c r="AY3259" s="3" t="s">
        <v>32241</v>
      </c>
      <c r="AZ3259" s="3" t="s">
        <v>32242</v>
      </c>
      <c r="BA3259" s="3" t="s">
        <v>32242</v>
      </c>
      <c r="BB3259" s="3" t="s">
        <v>32243</v>
      </c>
      <c r="BC3259" s="3" t="s">
        <v>77</v>
      </c>
      <c r="BD3259" s="3" t="s">
        <v>78</v>
      </c>
      <c r="BE3259" s="3" t="s">
        <v>32244</v>
      </c>
      <c r="BF3259" s="3" t="s">
        <v>32243</v>
      </c>
      <c r="BG3259" s="3" t="s">
        <v>32245</v>
      </c>
    </row>
    <row r="3260" spans="1:59" ht="58" x14ac:dyDescent="0.35">
      <c r="A3260" s="2" t="s">
        <v>59</v>
      </c>
      <c r="B3260" s="2" t="s">
        <v>60</v>
      </c>
      <c r="C3260" s="2" t="s">
        <v>32246</v>
      </c>
      <c r="D3260" s="2" t="s">
        <v>32247</v>
      </c>
      <c r="E3260" s="2" t="s">
        <v>32248</v>
      </c>
      <c r="G3260" s="3" t="s">
        <v>65</v>
      </c>
      <c r="I3260" s="3" t="s">
        <v>65</v>
      </c>
      <c r="J3260" s="3" t="s">
        <v>65</v>
      </c>
      <c r="K3260" s="3" t="s">
        <v>66</v>
      </c>
      <c r="L3260" s="2" t="s">
        <v>32249</v>
      </c>
      <c r="M3260" s="2" t="s">
        <v>32250</v>
      </c>
      <c r="N3260" s="3" t="s">
        <v>164</v>
      </c>
      <c r="P3260" s="3" t="s">
        <v>69</v>
      </c>
      <c r="Q3260" s="2" t="s">
        <v>32251</v>
      </c>
      <c r="R3260" s="3" t="s">
        <v>71</v>
      </c>
      <c r="S3260" s="4">
        <v>0</v>
      </c>
      <c r="T3260" s="4">
        <v>0</v>
      </c>
      <c r="W3260" s="5" t="s">
        <v>72</v>
      </c>
      <c r="X3260" s="5" t="s">
        <v>72</v>
      </c>
      <c r="Y3260" s="4">
        <v>126</v>
      </c>
      <c r="Z3260" s="4">
        <v>7</v>
      </c>
      <c r="AA3260" s="4">
        <v>9</v>
      </c>
      <c r="AB3260" s="4">
        <v>1</v>
      </c>
      <c r="AC3260" s="4">
        <v>2</v>
      </c>
      <c r="AD3260" s="4">
        <v>28</v>
      </c>
      <c r="AE3260" s="4">
        <v>29</v>
      </c>
      <c r="AF3260" s="4">
        <v>0</v>
      </c>
      <c r="AG3260" s="4">
        <v>0</v>
      </c>
      <c r="AH3260" s="4">
        <v>26</v>
      </c>
      <c r="AI3260" s="4">
        <v>27</v>
      </c>
      <c r="AJ3260" s="4">
        <v>3</v>
      </c>
      <c r="AK3260" s="4">
        <v>3</v>
      </c>
      <c r="AL3260" s="4">
        <v>19</v>
      </c>
      <c r="AM3260" s="4">
        <v>20</v>
      </c>
      <c r="AN3260" s="4">
        <v>0</v>
      </c>
      <c r="AO3260" s="4">
        <v>0</v>
      </c>
      <c r="AP3260" s="4">
        <v>3</v>
      </c>
      <c r="AQ3260" s="4">
        <v>3</v>
      </c>
      <c r="AR3260" s="3" t="s">
        <v>65</v>
      </c>
      <c r="AS3260" s="3" t="s">
        <v>65</v>
      </c>
      <c r="AT3260" s="3" t="s">
        <v>65</v>
      </c>
      <c r="AV3260" s="6" t="str">
        <f>HYPERLINK("http://mcgill.on.worldcat.org/oclc/861322904","Catalog Record")</f>
        <v>Catalog Record</v>
      </c>
      <c r="AW3260" s="6" t="str">
        <f>HYPERLINK("http://www.worldcat.org/oclc/861322904","WorldCat Record")</f>
        <v>WorldCat Record</v>
      </c>
      <c r="AX3260" s="3" t="s">
        <v>32252</v>
      </c>
      <c r="AY3260" s="3" t="s">
        <v>32253</v>
      </c>
      <c r="AZ3260" s="3" t="s">
        <v>32254</v>
      </c>
      <c r="BA3260" s="3" t="s">
        <v>32254</v>
      </c>
      <c r="BB3260" s="3" t="s">
        <v>32255</v>
      </c>
      <c r="BC3260" s="3" t="s">
        <v>77</v>
      </c>
      <c r="BD3260" s="3" t="s">
        <v>78</v>
      </c>
      <c r="BE3260" s="3" t="s">
        <v>32256</v>
      </c>
      <c r="BF3260" s="3" t="s">
        <v>32255</v>
      </c>
      <c r="BG3260" s="3" t="s">
        <v>32257</v>
      </c>
    </row>
    <row r="3261" spans="1:59" ht="58" x14ac:dyDescent="0.35">
      <c r="A3261" s="2" t="s">
        <v>59</v>
      </c>
      <c r="B3261" s="2" t="s">
        <v>60</v>
      </c>
      <c r="C3261" s="2" t="s">
        <v>32258</v>
      </c>
      <c r="D3261" s="2" t="s">
        <v>32259</v>
      </c>
      <c r="E3261" s="2" t="s">
        <v>32260</v>
      </c>
      <c r="G3261" s="3" t="s">
        <v>65</v>
      </c>
      <c r="I3261" s="3" t="s">
        <v>209</v>
      </c>
      <c r="J3261" s="3" t="s">
        <v>209</v>
      </c>
      <c r="K3261" s="3" t="s">
        <v>66</v>
      </c>
      <c r="L3261" s="2" t="s">
        <v>32261</v>
      </c>
      <c r="M3261" s="2" t="s">
        <v>32262</v>
      </c>
      <c r="N3261" s="3" t="s">
        <v>2210</v>
      </c>
      <c r="O3261" s="2" t="s">
        <v>32263</v>
      </c>
      <c r="P3261" s="3" t="s">
        <v>140</v>
      </c>
      <c r="Q3261" s="2" t="s">
        <v>32264</v>
      </c>
      <c r="R3261" s="3" t="s">
        <v>71</v>
      </c>
      <c r="S3261" s="4">
        <v>10</v>
      </c>
      <c r="T3261" s="4">
        <v>21</v>
      </c>
      <c r="U3261" s="5" t="s">
        <v>21334</v>
      </c>
      <c r="V3261" s="5" t="s">
        <v>21334</v>
      </c>
      <c r="W3261" s="5" t="s">
        <v>72</v>
      </c>
      <c r="X3261" s="5" t="s">
        <v>72</v>
      </c>
      <c r="Y3261" s="4">
        <v>71</v>
      </c>
      <c r="Z3261" s="4">
        <v>3</v>
      </c>
      <c r="AA3261" s="4">
        <v>28</v>
      </c>
      <c r="AB3261" s="4">
        <v>2</v>
      </c>
      <c r="AC3261" s="4">
        <v>7</v>
      </c>
      <c r="AD3261" s="4">
        <v>41</v>
      </c>
      <c r="AE3261" s="4">
        <v>109</v>
      </c>
      <c r="AF3261" s="4">
        <v>1</v>
      </c>
      <c r="AG3261" s="4">
        <v>3</v>
      </c>
      <c r="AH3261" s="4">
        <v>38</v>
      </c>
      <c r="AI3261" s="4">
        <v>97</v>
      </c>
      <c r="AJ3261" s="4">
        <v>2</v>
      </c>
      <c r="AK3261" s="4">
        <v>13</v>
      </c>
      <c r="AL3261" s="4">
        <v>30</v>
      </c>
      <c r="AM3261" s="4">
        <v>55</v>
      </c>
      <c r="AN3261" s="4">
        <v>0</v>
      </c>
      <c r="AO3261" s="4">
        <v>7</v>
      </c>
      <c r="AP3261" s="4">
        <v>2</v>
      </c>
      <c r="AQ3261" s="4">
        <v>14</v>
      </c>
      <c r="AR3261" s="3" t="s">
        <v>65</v>
      </c>
      <c r="AS3261" s="3" t="s">
        <v>65</v>
      </c>
      <c r="AT3261" s="3" t="s">
        <v>209</v>
      </c>
      <c r="AU3261" s="6" t="str">
        <f>HYPERLINK("http://catalog.hathitrust.org/Record/004270926","HathiTrust Record")</f>
        <v>HathiTrust Record</v>
      </c>
      <c r="AV3261" s="6" t="str">
        <f>HYPERLINK("http://mcgill.on.worldcat.org/oclc/50182337","Catalog Record")</f>
        <v>Catalog Record</v>
      </c>
      <c r="AW3261" s="6" t="str">
        <f>HYPERLINK("http://www.worldcat.org/oclc/50182337","WorldCat Record")</f>
        <v>WorldCat Record</v>
      </c>
      <c r="AX3261" s="3" t="s">
        <v>32265</v>
      </c>
      <c r="AY3261" s="3" t="s">
        <v>32266</v>
      </c>
      <c r="AZ3261" s="3" t="s">
        <v>32267</v>
      </c>
      <c r="BA3261" s="3" t="s">
        <v>32267</v>
      </c>
      <c r="BB3261" s="3" t="s">
        <v>32268</v>
      </c>
      <c r="BC3261" s="3" t="s">
        <v>77</v>
      </c>
      <c r="BD3261" s="3" t="s">
        <v>106</v>
      </c>
      <c r="BE3261" s="3" t="s">
        <v>32269</v>
      </c>
      <c r="BF3261" s="3" t="s">
        <v>32268</v>
      </c>
      <c r="BG3261" s="3" t="s">
        <v>32270</v>
      </c>
    </row>
    <row r="3262" spans="1:59" ht="58" x14ac:dyDescent="0.35">
      <c r="A3262" s="2" t="s">
        <v>59</v>
      </c>
      <c r="B3262" s="2" t="s">
        <v>60</v>
      </c>
      <c r="C3262" s="2" t="s">
        <v>32258</v>
      </c>
      <c r="D3262" s="2" t="s">
        <v>32259</v>
      </c>
      <c r="E3262" s="2" t="s">
        <v>32260</v>
      </c>
      <c r="G3262" s="3" t="s">
        <v>65</v>
      </c>
      <c r="I3262" s="3" t="s">
        <v>209</v>
      </c>
      <c r="J3262" s="3" t="s">
        <v>209</v>
      </c>
      <c r="K3262" s="3" t="s">
        <v>66</v>
      </c>
      <c r="L3262" s="2" t="s">
        <v>32261</v>
      </c>
      <c r="M3262" s="2" t="s">
        <v>32262</v>
      </c>
      <c r="N3262" s="3" t="s">
        <v>2210</v>
      </c>
      <c r="O3262" s="2" t="s">
        <v>32263</v>
      </c>
      <c r="P3262" s="3" t="s">
        <v>140</v>
      </c>
      <c r="Q3262" s="2" t="s">
        <v>32264</v>
      </c>
      <c r="R3262" s="3" t="s">
        <v>71</v>
      </c>
      <c r="S3262" s="4">
        <v>5</v>
      </c>
      <c r="T3262" s="4">
        <v>21</v>
      </c>
      <c r="U3262" s="5" t="s">
        <v>17000</v>
      </c>
      <c r="V3262" s="5" t="s">
        <v>21334</v>
      </c>
      <c r="W3262" s="5" t="s">
        <v>72</v>
      </c>
      <c r="X3262" s="5" t="s">
        <v>72</v>
      </c>
      <c r="Y3262" s="4">
        <v>71</v>
      </c>
      <c r="Z3262" s="4">
        <v>3</v>
      </c>
      <c r="AA3262" s="4">
        <v>28</v>
      </c>
      <c r="AB3262" s="4">
        <v>2</v>
      </c>
      <c r="AC3262" s="4">
        <v>7</v>
      </c>
      <c r="AD3262" s="4">
        <v>41</v>
      </c>
      <c r="AE3262" s="4">
        <v>109</v>
      </c>
      <c r="AF3262" s="4">
        <v>1</v>
      </c>
      <c r="AG3262" s="4">
        <v>3</v>
      </c>
      <c r="AH3262" s="4">
        <v>38</v>
      </c>
      <c r="AI3262" s="4">
        <v>97</v>
      </c>
      <c r="AJ3262" s="4">
        <v>2</v>
      </c>
      <c r="AK3262" s="4">
        <v>13</v>
      </c>
      <c r="AL3262" s="4">
        <v>30</v>
      </c>
      <c r="AM3262" s="4">
        <v>55</v>
      </c>
      <c r="AN3262" s="4">
        <v>0</v>
      </c>
      <c r="AO3262" s="4">
        <v>7</v>
      </c>
      <c r="AP3262" s="4">
        <v>2</v>
      </c>
      <c r="AQ3262" s="4">
        <v>14</v>
      </c>
      <c r="AR3262" s="3" t="s">
        <v>65</v>
      </c>
      <c r="AS3262" s="3" t="s">
        <v>65</v>
      </c>
      <c r="AT3262" s="3" t="s">
        <v>209</v>
      </c>
      <c r="AU3262" s="6" t="str">
        <f>HYPERLINK("http://catalog.hathitrust.org/Record/004270926","HathiTrust Record")</f>
        <v>HathiTrust Record</v>
      </c>
      <c r="AV3262" s="6" t="str">
        <f>HYPERLINK("http://mcgill.on.worldcat.org/oclc/50182337","Catalog Record")</f>
        <v>Catalog Record</v>
      </c>
      <c r="AW3262" s="6" t="str">
        <f>HYPERLINK("http://www.worldcat.org/oclc/50182337","WorldCat Record")</f>
        <v>WorldCat Record</v>
      </c>
      <c r="AX3262" s="3" t="s">
        <v>32265</v>
      </c>
      <c r="AY3262" s="3" t="s">
        <v>32266</v>
      </c>
      <c r="AZ3262" s="3" t="s">
        <v>32267</v>
      </c>
      <c r="BA3262" s="3" t="s">
        <v>32267</v>
      </c>
      <c r="BB3262" s="3" t="s">
        <v>32271</v>
      </c>
      <c r="BC3262" s="3" t="s">
        <v>77</v>
      </c>
      <c r="BD3262" s="3" t="s">
        <v>78</v>
      </c>
      <c r="BE3262" s="3" t="s">
        <v>32269</v>
      </c>
      <c r="BF3262" s="3" t="s">
        <v>32271</v>
      </c>
      <c r="BG3262" s="3" t="s">
        <v>32272</v>
      </c>
    </row>
    <row r="3263" spans="1:59" ht="58" x14ac:dyDescent="0.35">
      <c r="A3263" s="2" t="s">
        <v>59</v>
      </c>
      <c r="B3263" s="2" t="s">
        <v>60</v>
      </c>
      <c r="C3263" s="2" t="s">
        <v>32258</v>
      </c>
      <c r="D3263" s="2" t="s">
        <v>32259</v>
      </c>
      <c r="E3263" s="2" t="s">
        <v>32260</v>
      </c>
      <c r="G3263" s="3" t="s">
        <v>65</v>
      </c>
      <c r="I3263" s="3" t="s">
        <v>209</v>
      </c>
      <c r="J3263" s="3" t="s">
        <v>209</v>
      </c>
      <c r="K3263" s="3" t="s">
        <v>66</v>
      </c>
      <c r="L3263" s="2" t="s">
        <v>32261</v>
      </c>
      <c r="M3263" s="2" t="s">
        <v>32262</v>
      </c>
      <c r="N3263" s="3" t="s">
        <v>2210</v>
      </c>
      <c r="O3263" s="2" t="s">
        <v>32263</v>
      </c>
      <c r="P3263" s="3" t="s">
        <v>140</v>
      </c>
      <c r="Q3263" s="2" t="s">
        <v>32264</v>
      </c>
      <c r="R3263" s="3" t="s">
        <v>71</v>
      </c>
      <c r="S3263" s="4">
        <v>6</v>
      </c>
      <c r="T3263" s="4">
        <v>21</v>
      </c>
      <c r="U3263" s="5" t="s">
        <v>32273</v>
      </c>
      <c r="V3263" s="5" t="s">
        <v>21334</v>
      </c>
      <c r="W3263" s="5" t="s">
        <v>72</v>
      </c>
      <c r="X3263" s="5" t="s">
        <v>72</v>
      </c>
      <c r="Y3263" s="4">
        <v>71</v>
      </c>
      <c r="Z3263" s="4">
        <v>3</v>
      </c>
      <c r="AA3263" s="4">
        <v>28</v>
      </c>
      <c r="AB3263" s="4">
        <v>2</v>
      </c>
      <c r="AC3263" s="4">
        <v>7</v>
      </c>
      <c r="AD3263" s="4">
        <v>41</v>
      </c>
      <c r="AE3263" s="4">
        <v>109</v>
      </c>
      <c r="AF3263" s="4">
        <v>1</v>
      </c>
      <c r="AG3263" s="4">
        <v>3</v>
      </c>
      <c r="AH3263" s="4">
        <v>38</v>
      </c>
      <c r="AI3263" s="4">
        <v>97</v>
      </c>
      <c r="AJ3263" s="4">
        <v>2</v>
      </c>
      <c r="AK3263" s="4">
        <v>13</v>
      </c>
      <c r="AL3263" s="4">
        <v>30</v>
      </c>
      <c r="AM3263" s="4">
        <v>55</v>
      </c>
      <c r="AN3263" s="4">
        <v>0</v>
      </c>
      <c r="AO3263" s="4">
        <v>7</v>
      </c>
      <c r="AP3263" s="4">
        <v>2</v>
      </c>
      <c r="AQ3263" s="4">
        <v>14</v>
      </c>
      <c r="AR3263" s="3" t="s">
        <v>65</v>
      </c>
      <c r="AS3263" s="3" t="s">
        <v>65</v>
      </c>
      <c r="AT3263" s="3" t="s">
        <v>209</v>
      </c>
      <c r="AU3263" s="6" t="str">
        <f>HYPERLINK("http://catalog.hathitrust.org/Record/004270926","HathiTrust Record")</f>
        <v>HathiTrust Record</v>
      </c>
      <c r="AV3263" s="6" t="str">
        <f>HYPERLINK("http://mcgill.on.worldcat.org/oclc/50182337","Catalog Record")</f>
        <v>Catalog Record</v>
      </c>
      <c r="AW3263" s="6" t="str">
        <f>HYPERLINK("http://www.worldcat.org/oclc/50182337","WorldCat Record")</f>
        <v>WorldCat Record</v>
      </c>
      <c r="AX3263" s="3" t="s">
        <v>32265</v>
      </c>
      <c r="AY3263" s="3" t="s">
        <v>32266</v>
      </c>
      <c r="AZ3263" s="3" t="s">
        <v>32267</v>
      </c>
      <c r="BA3263" s="3" t="s">
        <v>32267</v>
      </c>
      <c r="BB3263" s="3" t="s">
        <v>32274</v>
      </c>
      <c r="BC3263" s="3" t="s">
        <v>77</v>
      </c>
      <c r="BD3263" s="3" t="s">
        <v>106</v>
      </c>
      <c r="BE3263" s="3" t="s">
        <v>32269</v>
      </c>
      <c r="BF3263" s="3" t="s">
        <v>32274</v>
      </c>
      <c r="BG3263" s="3" t="s">
        <v>32275</v>
      </c>
    </row>
    <row r="3264" spans="1:59" ht="58" x14ac:dyDescent="0.35">
      <c r="A3264" s="2" t="s">
        <v>59</v>
      </c>
      <c r="B3264" s="2" t="s">
        <v>60</v>
      </c>
      <c r="C3264" s="2" t="s">
        <v>32276</v>
      </c>
      <c r="D3264" s="2" t="s">
        <v>32277</v>
      </c>
      <c r="E3264" s="2" t="s">
        <v>32278</v>
      </c>
      <c r="G3264" s="3" t="s">
        <v>65</v>
      </c>
      <c r="I3264" s="3" t="s">
        <v>209</v>
      </c>
      <c r="J3264" s="3" t="s">
        <v>209</v>
      </c>
      <c r="K3264" s="3" t="s">
        <v>66</v>
      </c>
      <c r="L3264" s="2" t="s">
        <v>32249</v>
      </c>
      <c r="M3264" s="2" t="s">
        <v>32279</v>
      </c>
      <c r="N3264" s="3" t="s">
        <v>11262</v>
      </c>
      <c r="P3264" s="3" t="s">
        <v>69</v>
      </c>
      <c r="R3264" s="3" t="s">
        <v>71</v>
      </c>
      <c r="S3264" s="4">
        <v>41</v>
      </c>
      <c r="T3264" s="4">
        <v>115</v>
      </c>
      <c r="U3264" s="5" t="s">
        <v>32280</v>
      </c>
      <c r="V3264" s="5" t="s">
        <v>32280</v>
      </c>
      <c r="W3264" s="5" t="s">
        <v>72</v>
      </c>
      <c r="X3264" s="5" t="s">
        <v>72</v>
      </c>
      <c r="Y3264" s="4">
        <v>1774</v>
      </c>
      <c r="Z3264" s="4">
        <v>46</v>
      </c>
      <c r="AA3264" s="4">
        <v>88</v>
      </c>
      <c r="AB3264" s="4">
        <v>4</v>
      </c>
      <c r="AC3264" s="4">
        <v>11</v>
      </c>
      <c r="AD3264" s="4">
        <v>132</v>
      </c>
      <c r="AE3264" s="4">
        <v>150</v>
      </c>
      <c r="AF3264" s="4">
        <v>2</v>
      </c>
      <c r="AG3264" s="4">
        <v>4</v>
      </c>
      <c r="AH3264" s="4">
        <v>106</v>
      </c>
      <c r="AI3264" s="4">
        <v>112</v>
      </c>
      <c r="AJ3264" s="4">
        <v>16</v>
      </c>
      <c r="AK3264" s="4">
        <v>24</v>
      </c>
      <c r="AL3264" s="4">
        <v>60</v>
      </c>
      <c r="AM3264" s="4">
        <v>62</v>
      </c>
      <c r="AN3264" s="4">
        <v>0</v>
      </c>
      <c r="AO3264" s="4">
        <v>4</v>
      </c>
      <c r="AP3264" s="4">
        <v>30</v>
      </c>
      <c r="AQ3264" s="4">
        <v>41</v>
      </c>
      <c r="AR3264" s="3" t="s">
        <v>65</v>
      </c>
      <c r="AS3264" s="3" t="s">
        <v>65</v>
      </c>
      <c r="AT3264" s="3" t="s">
        <v>209</v>
      </c>
      <c r="AU3264" s="6" t="str">
        <f>HYPERLINK("http://catalog.hathitrust.org/Record/001111535","HathiTrust Record")</f>
        <v>HathiTrust Record</v>
      </c>
      <c r="AV3264" s="6" t="str">
        <f>HYPERLINK("http://mcgill.on.worldcat.org/oclc/312310","Catalog Record")</f>
        <v>Catalog Record</v>
      </c>
      <c r="AW3264" s="6" t="str">
        <f>HYPERLINK("http://www.worldcat.org/oclc/312310","WorldCat Record")</f>
        <v>WorldCat Record</v>
      </c>
      <c r="AX3264" s="3" t="s">
        <v>32281</v>
      </c>
      <c r="AY3264" s="3" t="s">
        <v>32282</v>
      </c>
      <c r="AZ3264" s="3" t="s">
        <v>32283</v>
      </c>
      <c r="BA3264" s="3" t="s">
        <v>32283</v>
      </c>
      <c r="BB3264" s="3" t="s">
        <v>32284</v>
      </c>
      <c r="BC3264" s="3" t="s">
        <v>77</v>
      </c>
      <c r="BD3264" s="3" t="s">
        <v>78</v>
      </c>
      <c r="BE3264" s="3" t="s">
        <v>32285</v>
      </c>
      <c r="BF3264" s="3" t="s">
        <v>32284</v>
      </c>
      <c r="BG3264" s="3" t="s">
        <v>32286</v>
      </c>
    </row>
    <row r="3265" spans="1:59" ht="58" x14ac:dyDescent="0.35">
      <c r="A3265" s="2" t="s">
        <v>59</v>
      </c>
      <c r="B3265" s="2" t="s">
        <v>60</v>
      </c>
      <c r="C3265" s="2" t="s">
        <v>32276</v>
      </c>
      <c r="D3265" s="2" t="s">
        <v>32277</v>
      </c>
      <c r="E3265" s="2" t="s">
        <v>32278</v>
      </c>
      <c r="G3265" s="3" t="s">
        <v>65</v>
      </c>
      <c r="I3265" s="3" t="s">
        <v>209</v>
      </c>
      <c r="J3265" s="3" t="s">
        <v>209</v>
      </c>
      <c r="K3265" s="3" t="s">
        <v>66</v>
      </c>
      <c r="L3265" s="2" t="s">
        <v>32249</v>
      </c>
      <c r="M3265" s="2" t="s">
        <v>32279</v>
      </c>
      <c r="N3265" s="3" t="s">
        <v>11262</v>
      </c>
      <c r="P3265" s="3" t="s">
        <v>69</v>
      </c>
      <c r="R3265" s="3" t="s">
        <v>71</v>
      </c>
      <c r="S3265" s="4">
        <v>20</v>
      </c>
      <c r="T3265" s="4">
        <v>115</v>
      </c>
      <c r="U3265" s="5" t="s">
        <v>9486</v>
      </c>
      <c r="V3265" s="5" t="s">
        <v>32280</v>
      </c>
      <c r="W3265" s="5" t="s">
        <v>72</v>
      </c>
      <c r="X3265" s="5" t="s">
        <v>72</v>
      </c>
      <c r="Y3265" s="4">
        <v>1774</v>
      </c>
      <c r="Z3265" s="4">
        <v>46</v>
      </c>
      <c r="AA3265" s="4">
        <v>88</v>
      </c>
      <c r="AB3265" s="4">
        <v>4</v>
      </c>
      <c r="AC3265" s="4">
        <v>11</v>
      </c>
      <c r="AD3265" s="4">
        <v>132</v>
      </c>
      <c r="AE3265" s="4">
        <v>150</v>
      </c>
      <c r="AF3265" s="4">
        <v>2</v>
      </c>
      <c r="AG3265" s="4">
        <v>4</v>
      </c>
      <c r="AH3265" s="4">
        <v>106</v>
      </c>
      <c r="AI3265" s="4">
        <v>112</v>
      </c>
      <c r="AJ3265" s="4">
        <v>16</v>
      </c>
      <c r="AK3265" s="4">
        <v>24</v>
      </c>
      <c r="AL3265" s="4">
        <v>60</v>
      </c>
      <c r="AM3265" s="4">
        <v>62</v>
      </c>
      <c r="AN3265" s="4">
        <v>0</v>
      </c>
      <c r="AO3265" s="4">
        <v>4</v>
      </c>
      <c r="AP3265" s="4">
        <v>30</v>
      </c>
      <c r="AQ3265" s="4">
        <v>41</v>
      </c>
      <c r="AR3265" s="3" t="s">
        <v>65</v>
      </c>
      <c r="AS3265" s="3" t="s">
        <v>65</v>
      </c>
      <c r="AT3265" s="3" t="s">
        <v>209</v>
      </c>
      <c r="AU3265" s="6" t="str">
        <f>HYPERLINK("http://catalog.hathitrust.org/Record/001111535","HathiTrust Record")</f>
        <v>HathiTrust Record</v>
      </c>
      <c r="AV3265" s="6" t="str">
        <f>HYPERLINK("http://mcgill.on.worldcat.org/oclc/312310","Catalog Record")</f>
        <v>Catalog Record</v>
      </c>
      <c r="AW3265" s="6" t="str">
        <f>HYPERLINK("http://www.worldcat.org/oclc/312310","WorldCat Record")</f>
        <v>WorldCat Record</v>
      </c>
      <c r="AX3265" s="3" t="s">
        <v>32281</v>
      </c>
      <c r="AY3265" s="3" t="s">
        <v>32282</v>
      </c>
      <c r="AZ3265" s="3" t="s">
        <v>32283</v>
      </c>
      <c r="BA3265" s="3" t="s">
        <v>32283</v>
      </c>
      <c r="BB3265" s="3" t="s">
        <v>32287</v>
      </c>
      <c r="BC3265" s="3" t="s">
        <v>77</v>
      </c>
      <c r="BD3265" s="3" t="s">
        <v>78</v>
      </c>
      <c r="BE3265" s="3" t="s">
        <v>32285</v>
      </c>
      <c r="BF3265" s="3" t="s">
        <v>32287</v>
      </c>
      <c r="BG3265" s="3" t="s">
        <v>32288</v>
      </c>
    </row>
    <row r="3266" spans="1:59" ht="58" x14ac:dyDescent="0.35">
      <c r="A3266" s="2" t="s">
        <v>59</v>
      </c>
      <c r="B3266" s="2" t="s">
        <v>60</v>
      </c>
      <c r="C3266" s="2" t="s">
        <v>32276</v>
      </c>
      <c r="D3266" s="2" t="s">
        <v>32277</v>
      </c>
      <c r="E3266" s="2" t="s">
        <v>32278</v>
      </c>
      <c r="G3266" s="3" t="s">
        <v>65</v>
      </c>
      <c r="I3266" s="3" t="s">
        <v>209</v>
      </c>
      <c r="J3266" s="3" t="s">
        <v>209</v>
      </c>
      <c r="K3266" s="3" t="s">
        <v>66</v>
      </c>
      <c r="L3266" s="2" t="s">
        <v>32249</v>
      </c>
      <c r="M3266" s="2" t="s">
        <v>32279</v>
      </c>
      <c r="N3266" s="3" t="s">
        <v>11262</v>
      </c>
      <c r="P3266" s="3" t="s">
        <v>69</v>
      </c>
      <c r="R3266" s="3" t="s">
        <v>71</v>
      </c>
      <c r="S3266" s="4">
        <v>36</v>
      </c>
      <c r="T3266" s="4">
        <v>115</v>
      </c>
      <c r="U3266" s="5" t="s">
        <v>31660</v>
      </c>
      <c r="V3266" s="5" t="s">
        <v>32280</v>
      </c>
      <c r="W3266" s="5" t="s">
        <v>72</v>
      </c>
      <c r="X3266" s="5" t="s">
        <v>72</v>
      </c>
      <c r="Y3266" s="4">
        <v>1774</v>
      </c>
      <c r="Z3266" s="4">
        <v>46</v>
      </c>
      <c r="AA3266" s="4">
        <v>88</v>
      </c>
      <c r="AB3266" s="4">
        <v>4</v>
      </c>
      <c r="AC3266" s="4">
        <v>11</v>
      </c>
      <c r="AD3266" s="4">
        <v>132</v>
      </c>
      <c r="AE3266" s="4">
        <v>150</v>
      </c>
      <c r="AF3266" s="4">
        <v>2</v>
      </c>
      <c r="AG3266" s="4">
        <v>4</v>
      </c>
      <c r="AH3266" s="4">
        <v>106</v>
      </c>
      <c r="AI3266" s="4">
        <v>112</v>
      </c>
      <c r="AJ3266" s="4">
        <v>16</v>
      </c>
      <c r="AK3266" s="4">
        <v>24</v>
      </c>
      <c r="AL3266" s="4">
        <v>60</v>
      </c>
      <c r="AM3266" s="4">
        <v>62</v>
      </c>
      <c r="AN3266" s="4">
        <v>0</v>
      </c>
      <c r="AO3266" s="4">
        <v>4</v>
      </c>
      <c r="AP3266" s="4">
        <v>30</v>
      </c>
      <c r="AQ3266" s="4">
        <v>41</v>
      </c>
      <c r="AR3266" s="3" t="s">
        <v>65</v>
      </c>
      <c r="AS3266" s="3" t="s">
        <v>65</v>
      </c>
      <c r="AT3266" s="3" t="s">
        <v>209</v>
      </c>
      <c r="AU3266" s="6" t="str">
        <f>HYPERLINK("http://catalog.hathitrust.org/Record/001111535","HathiTrust Record")</f>
        <v>HathiTrust Record</v>
      </c>
      <c r="AV3266" s="6" t="str">
        <f>HYPERLINK("http://mcgill.on.worldcat.org/oclc/312310","Catalog Record")</f>
        <v>Catalog Record</v>
      </c>
      <c r="AW3266" s="6" t="str">
        <f>HYPERLINK("http://www.worldcat.org/oclc/312310","WorldCat Record")</f>
        <v>WorldCat Record</v>
      </c>
      <c r="AX3266" s="3" t="s">
        <v>32281</v>
      </c>
      <c r="AY3266" s="3" t="s">
        <v>32282</v>
      </c>
      <c r="AZ3266" s="3" t="s">
        <v>32283</v>
      </c>
      <c r="BA3266" s="3" t="s">
        <v>32283</v>
      </c>
      <c r="BB3266" s="3" t="s">
        <v>32289</v>
      </c>
      <c r="BC3266" s="3" t="s">
        <v>77</v>
      </c>
      <c r="BD3266" s="3" t="s">
        <v>78</v>
      </c>
      <c r="BE3266" s="3" t="s">
        <v>32285</v>
      </c>
      <c r="BF3266" s="3" t="s">
        <v>32289</v>
      </c>
      <c r="BG3266" s="3" t="s">
        <v>32290</v>
      </c>
    </row>
    <row r="3267" spans="1:59" ht="58" x14ac:dyDescent="0.35">
      <c r="A3267" s="2" t="s">
        <v>59</v>
      </c>
      <c r="B3267" s="2" t="s">
        <v>60</v>
      </c>
      <c r="C3267" s="2" t="s">
        <v>32276</v>
      </c>
      <c r="D3267" s="2" t="s">
        <v>32277</v>
      </c>
      <c r="E3267" s="2" t="s">
        <v>32278</v>
      </c>
      <c r="G3267" s="3" t="s">
        <v>65</v>
      </c>
      <c r="I3267" s="3" t="s">
        <v>209</v>
      </c>
      <c r="J3267" s="3" t="s">
        <v>209</v>
      </c>
      <c r="K3267" s="3" t="s">
        <v>66</v>
      </c>
      <c r="L3267" s="2" t="s">
        <v>32249</v>
      </c>
      <c r="M3267" s="2" t="s">
        <v>32279</v>
      </c>
      <c r="N3267" s="3" t="s">
        <v>11262</v>
      </c>
      <c r="P3267" s="3" t="s">
        <v>69</v>
      </c>
      <c r="R3267" s="3" t="s">
        <v>71</v>
      </c>
      <c r="S3267" s="4">
        <v>18</v>
      </c>
      <c r="T3267" s="4">
        <v>115</v>
      </c>
      <c r="U3267" s="5" t="s">
        <v>20018</v>
      </c>
      <c r="V3267" s="5" t="s">
        <v>32280</v>
      </c>
      <c r="W3267" s="5" t="s">
        <v>72</v>
      </c>
      <c r="X3267" s="5" t="s">
        <v>72</v>
      </c>
      <c r="Y3267" s="4">
        <v>1774</v>
      </c>
      <c r="Z3267" s="4">
        <v>46</v>
      </c>
      <c r="AA3267" s="4">
        <v>88</v>
      </c>
      <c r="AB3267" s="4">
        <v>4</v>
      </c>
      <c r="AC3267" s="4">
        <v>11</v>
      </c>
      <c r="AD3267" s="4">
        <v>132</v>
      </c>
      <c r="AE3267" s="4">
        <v>150</v>
      </c>
      <c r="AF3267" s="4">
        <v>2</v>
      </c>
      <c r="AG3267" s="4">
        <v>4</v>
      </c>
      <c r="AH3267" s="4">
        <v>106</v>
      </c>
      <c r="AI3267" s="4">
        <v>112</v>
      </c>
      <c r="AJ3267" s="4">
        <v>16</v>
      </c>
      <c r="AK3267" s="4">
        <v>24</v>
      </c>
      <c r="AL3267" s="4">
        <v>60</v>
      </c>
      <c r="AM3267" s="4">
        <v>62</v>
      </c>
      <c r="AN3267" s="4">
        <v>0</v>
      </c>
      <c r="AO3267" s="4">
        <v>4</v>
      </c>
      <c r="AP3267" s="4">
        <v>30</v>
      </c>
      <c r="AQ3267" s="4">
        <v>41</v>
      </c>
      <c r="AR3267" s="3" t="s">
        <v>65</v>
      </c>
      <c r="AS3267" s="3" t="s">
        <v>65</v>
      </c>
      <c r="AT3267" s="3" t="s">
        <v>209</v>
      </c>
      <c r="AU3267" s="6" t="str">
        <f>HYPERLINK("http://catalog.hathitrust.org/Record/001111535","HathiTrust Record")</f>
        <v>HathiTrust Record</v>
      </c>
      <c r="AV3267" s="6" t="str">
        <f>HYPERLINK("http://mcgill.on.worldcat.org/oclc/312310","Catalog Record")</f>
        <v>Catalog Record</v>
      </c>
      <c r="AW3267" s="6" t="str">
        <f>HYPERLINK("http://www.worldcat.org/oclc/312310","WorldCat Record")</f>
        <v>WorldCat Record</v>
      </c>
      <c r="AX3267" s="3" t="s">
        <v>32281</v>
      </c>
      <c r="AY3267" s="3" t="s">
        <v>32282</v>
      </c>
      <c r="AZ3267" s="3" t="s">
        <v>32283</v>
      </c>
      <c r="BA3267" s="3" t="s">
        <v>32283</v>
      </c>
      <c r="BB3267" s="3" t="s">
        <v>32291</v>
      </c>
      <c r="BC3267" s="3" t="s">
        <v>77</v>
      </c>
      <c r="BD3267" s="3" t="s">
        <v>78</v>
      </c>
      <c r="BE3267" s="3" t="s">
        <v>32285</v>
      </c>
      <c r="BF3267" s="3" t="s">
        <v>32291</v>
      </c>
      <c r="BG3267" s="3" t="s">
        <v>32292</v>
      </c>
    </row>
    <row r="3268" spans="1:59" ht="58" x14ac:dyDescent="0.35">
      <c r="A3268" s="2" t="s">
        <v>59</v>
      </c>
      <c r="B3268" s="2" t="s">
        <v>60</v>
      </c>
      <c r="C3268" s="2" t="s">
        <v>32293</v>
      </c>
      <c r="D3268" s="2" t="s">
        <v>32294</v>
      </c>
      <c r="E3268" s="2" t="s">
        <v>32278</v>
      </c>
      <c r="G3268" s="3" t="s">
        <v>65</v>
      </c>
      <c r="I3268" s="3" t="s">
        <v>209</v>
      </c>
      <c r="J3268" s="3" t="s">
        <v>209</v>
      </c>
      <c r="K3268" s="3" t="s">
        <v>66</v>
      </c>
      <c r="L3268" s="2" t="s">
        <v>32261</v>
      </c>
      <c r="M3268" s="2" t="s">
        <v>32295</v>
      </c>
      <c r="N3268" s="3" t="s">
        <v>11262</v>
      </c>
      <c r="P3268" s="3" t="s">
        <v>69</v>
      </c>
      <c r="R3268" s="3" t="s">
        <v>71</v>
      </c>
      <c r="S3268" s="4">
        <v>23</v>
      </c>
      <c r="T3268" s="4">
        <v>44</v>
      </c>
      <c r="U3268" s="5" t="s">
        <v>32296</v>
      </c>
      <c r="V3268" s="5" t="s">
        <v>32296</v>
      </c>
      <c r="W3268" s="5" t="s">
        <v>72</v>
      </c>
      <c r="X3268" s="5" t="s">
        <v>72</v>
      </c>
      <c r="Y3268" s="4">
        <v>106</v>
      </c>
      <c r="Z3268" s="4">
        <v>13</v>
      </c>
      <c r="AA3268" s="4">
        <v>88</v>
      </c>
      <c r="AB3268" s="4">
        <v>1</v>
      </c>
      <c r="AC3268" s="4">
        <v>11</v>
      </c>
      <c r="AD3268" s="4">
        <v>24</v>
      </c>
      <c r="AE3268" s="4">
        <v>150</v>
      </c>
      <c r="AF3268" s="4">
        <v>0</v>
      </c>
      <c r="AG3268" s="4">
        <v>4</v>
      </c>
      <c r="AH3268" s="4">
        <v>17</v>
      </c>
      <c r="AI3268" s="4">
        <v>112</v>
      </c>
      <c r="AJ3268" s="4">
        <v>6</v>
      </c>
      <c r="AK3268" s="4">
        <v>24</v>
      </c>
      <c r="AL3268" s="4">
        <v>7</v>
      </c>
      <c r="AM3268" s="4">
        <v>62</v>
      </c>
      <c r="AN3268" s="4">
        <v>0</v>
      </c>
      <c r="AO3268" s="4">
        <v>4</v>
      </c>
      <c r="AP3268" s="4">
        <v>9</v>
      </c>
      <c r="AQ3268" s="4">
        <v>41</v>
      </c>
      <c r="AR3268" s="3" t="s">
        <v>65</v>
      </c>
      <c r="AS3268" s="3" t="s">
        <v>65</v>
      </c>
      <c r="AT3268" s="3" t="s">
        <v>65</v>
      </c>
      <c r="AV3268" s="6" t="str">
        <f>HYPERLINK("http://mcgill.on.worldcat.org/oclc/10499713","Catalog Record")</f>
        <v>Catalog Record</v>
      </c>
      <c r="AW3268" s="6" t="str">
        <f>HYPERLINK("http://www.worldcat.org/oclc/10499713","WorldCat Record")</f>
        <v>WorldCat Record</v>
      </c>
      <c r="AX3268" s="3" t="s">
        <v>32281</v>
      </c>
      <c r="AY3268" s="3" t="s">
        <v>32297</v>
      </c>
      <c r="AZ3268" s="3" t="s">
        <v>32298</v>
      </c>
      <c r="BA3268" s="3" t="s">
        <v>32298</v>
      </c>
      <c r="BB3268" s="3" t="s">
        <v>32299</v>
      </c>
      <c r="BC3268" s="3" t="s">
        <v>77</v>
      </c>
      <c r="BD3268" s="3" t="s">
        <v>78</v>
      </c>
      <c r="BE3268" s="3" t="s">
        <v>32300</v>
      </c>
      <c r="BF3268" s="3" t="s">
        <v>32299</v>
      </c>
      <c r="BG3268" s="3" t="s">
        <v>32301</v>
      </c>
    </row>
    <row r="3269" spans="1:59" ht="58" x14ac:dyDescent="0.35">
      <c r="A3269" s="2" t="s">
        <v>59</v>
      </c>
      <c r="B3269" s="2" t="s">
        <v>60</v>
      </c>
      <c r="C3269" s="2" t="s">
        <v>32293</v>
      </c>
      <c r="D3269" s="2" t="s">
        <v>32294</v>
      </c>
      <c r="E3269" s="2" t="s">
        <v>32278</v>
      </c>
      <c r="G3269" s="3" t="s">
        <v>65</v>
      </c>
      <c r="I3269" s="3" t="s">
        <v>209</v>
      </c>
      <c r="J3269" s="3" t="s">
        <v>209</v>
      </c>
      <c r="K3269" s="3" t="s">
        <v>66</v>
      </c>
      <c r="L3269" s="2" t="s">
        <v>32261</v>
      </c>
      <c r="M3269" s="2" t="s">
        <v>32295</v>
      </c>
      <c r="N3269" s="3" t="s">
        <v>11262</v>
      </c>
      <c r="P3269" s="3" t="s">
        <v>69</v>
      </c>
      <c r="R3269" s="3" t="s">
        <v>71</v>
      </c>
      <c r="S3269" s="4">
        <v>21</v>
      </c>
      <c r="T3269" s="4">
        <v>44</v>
      </c>
      <c r="U3269" s="5" t="s">
        <v>32302</v>
      </c>
      <c r="V3269" s="5" t="s">
        <v>32296</v>
      </c>
      <c r="W3269" s="5" t="s">
        <v>72</v>
      </c>
      <c r="X3269" s="5" t="s">
        <v>72</v>
      </c>
      <c r="Y3269" s="4">
        <v>106</v>
      </c>
      <c r="Z3269" s="4">
        <v>13</v>
      </c>
      <c r="AA3269" s="4">
        <v>88</v>
      </c>
      <c r="AB3269" s="4">
        <v>1</v>
      </c>
      <c r="AC3269" s="4">
        <v>11</v>
      </c>
      <c r="AD3269" s="4">
        <v>24</v>
      </c>
      <c r="AE3269" s="4">
        <v>150</v>
      </c>
      <c r="AF3269" s="4">
        <v>0</v>
      </c>
      <c r="AG3269" s="4">
        <v>4</v>
      </c>
      <c r="AH3269" s="4">
        <v>17</v>
      </c>
      <c r="AI3269" s="4">
        <v>112</v>
      </c>
      <c r="AJ3269" s="4">
        <v>6</v>
      </c>
      <c r="AK3269" s="4">
        <v>24</v>
      </c>
      <c r="AL3269" s="4">
        <v>7</v>
      </c>
      <c r="AM3269" s="4">
        <v>62</v>
      </c>
      <c r="AN3269" s="4">
        <v>0</v>
      </c>
      <c r="AO3269" s="4">
        <v>4</v>
      </c>
      <c r="AP3269" s="4">
        <v>9</v>
      </c>
      <c r="AQ3269" s="4">
        <v>41</v>
      </c>
      <c r="AR3269" s="3" t="s">
        <v>65</v>
      </c>
      <c r="AS3269" s="3" t="s">
        <v>65</v>
      </c>
      <c r="AT3269" s="3" t="s">
        <v>65</v>
      </c>
      <c r="AV3269" s="6" t="str">
        <f>HYPERLINK("http://mcgill.on.worldcat.org/oclc/10499713","Catalog Record")</f>
        <v>Catalog Record</v>
      </c>
      <c r="AW3269" s="6" t="str">
        <f>HYPERLINK("http://www.worldcat.org/oclc/10499713","WorldCat Record")</f>
        <v>WorldCat Record</v>
      </c>
      <c r="AX3269" s="3" t="s">
        <v>32281</v>
      </c>
      <c r="AY3269" s="3" t="s">
        <v>32297</v>
      </c>
      <c r="AZ3269" s="3" t="s">
        <v>32298</v>
      </c>
      <c r="BA3269" s="3" t="s">
        <v>32298</v>
      </c>
      <c r="BB3269" s="3" t="s">
        <v>32303</v>
      </c>
      <c r="BC3269" s="3" t="s">
        <v>77</v>
      </c>
      <c r="BD3269" s="3" t="s">
        <v>78</v>
      </c>
      <c r="BE3269" s="3" t="s">
        <v>32300</v>
      </c>
      <c r="BF3269" s="3" t="s">
        <v>32303</v>
      </c>
      <c r="BG3269" s="3" t="s">
        <v>32304</v>
      </c>
    </row>
    <row r="3270" spans="1:59" ht="58" x14ac:dyDescent="0.35">
      <c r="A3270" s="2" t="s">
        <v>59</v>
      </c>
      <c r="B3270" s="2" t="s">
        <v>60</v>
      </c>
      <c r="C3270" s="2" t="s">
        <v>32305</v>
      </c>
      <c r="D3270" s="2" t="s">
        <v>32306</v>
      </c>
      <c r="E3270" s="2" t="s">
        <v>32307</v>
      </c>
      <c r="G3270" s="3" t="s">
        <v>65</v>
      </c>
      <c r="I3270" s="3" t="s">
        <v>65</v>
      </c>
      <c r="J3270" s="3" t="s">
        <v>209</v>
      </c>
      <c r="K3270" s="3" t="s">
        <v>66</v>
      </c>
      <c r="L3270" s="2" t="s">
        <v>32261</v>
      </c>
      <c r="M3270" s="2" t="s">
        <v>32308</v>
      </c>
      <c r="N3270" s="3" t="s">
        <v>221</v>
      </c>
      <c r="O3270" s="2" t="s">
        <v>9205</v>
      </c>
      <c r="P3270" s="3" t="s">
        <v>69</v>
      </c>
      <c r="R3270" s="3" t="s">
        <v>71</v>
      </c>
      <c r="S3270" s="4">
        <v>18</v>
      </c>
      <c r="T3270" s="4">
        <v>18</v>
      </c>
      <c r="U3270" s="5" t="s">
        <v>32309</v>
      </c>
      <c r="V3270" s="5" t="s">
        <v>32309</v>
      </c>
      <c r="W3270" s="5" t="s">
        <v>72</v>
      </c>
      <c r="X3270" s="5" t="s">
        <v>72</v>
      </c>
      <c r="Y3270" s="4">
        <v>124</v>
      </c>
      <c r="Z3270" s="4">
        <v>1</v>
      </c>
      <c r="AA3270" s="4">
        <v>88</v>
      </c>
      <c r="AB3270" s="4">
        <v>1</v>
      </c>
      <c r="AC3270" s="4">
        <v>11</v>
      </c>
      <c r="AD3270" s="4">
        <v>0</v>
      </c>
      <c r="AE3270" s="4">
        <v>150</v>
      </c>
      <c r="AF3270" s="4">
        <v>0</v>
      </c>
      <c r="AG3270" s="4">
        <v>4</v>
      </c>
      <c r="AH3270" s="4">
        <v>0</v>
      </c>
      <c r="AI3270" s="4">
        <v>112</v>
      </c>
      <c r="AJ3270" s="4">
        <v>0</v>
      </c>
      <c r="AK3270" s="4">
        <v>24</v>
      </c>
      <c r="AL3270" s="4">
        <v>0</v>
      </c>
      <c r="AM3270" s="4">
        <v>62</v>
      </c>
      <c r="AN3270" s="4">
        <v>0</v>
      </c>
      <c r="AO3270" s="4">
        <v>4</v>
      </c>
      <c r="AP3270" s="4">
        <v>0</v>
      </c>
      <c r="AQ3270" s="4">
        <v>41</v>
      </c>
      <c r="AR3270" s="3" t="s">
        <v>65</v>
      </c>
      <c r="AS3270" s="3" t="s">
        <v>65</v>
      </c>
      <c r="AT3270" s="3" t="s">
        <v>65</v>
      </c>
      <c r="AV3270" s="6" t="str">
        <f>HYPERLINK("http://mcgill.on.worldcat.org/oclc/457809014","Catalog Record")</f>
        <v>Catalog Record</v>
      </c>
      <c r="AW3270" s="6" t="str">
        <f>HYPERLINK("http://www.worldcat.org/oclc/457809014","WorldCat Record")</f>
        <v>WorldCat Record</v>
      </c>
      <c r="AX3270" s="3" t="s">
        <v>32281</v>
      </c>
      <c r="AY3270" s="3" t="s">
        <v>32310</v>
      </c>
      <c r="AZ3270" s="3" t="s">
        <v>32311</v>
      </c>
      <c r="BA3270" s="3" t="s">
        <v>32311</v>
      </c>
      <c r="BB3270" s="3" t="s">
        <v>32312</v>
      </c>
      <c r="BC3270" s="3" t="s">
        <v>77</v>
      </c>
      <c r="BD3270" s="3" t="s">
        <v>106</v>
      </c>
      <c r="BE3270" s="3" t="s">
        <v>32300</v>
      </c>
      <c r="BF3270" s="3" t="s">
        <v>32312</v>
      </c>
      <c r="BG3270" s="3" t="s">
        <v>32313</v>
      </c>
    </row>
    <row r="3271" spans="1:59" ht="58" x14ac:dyDescent="0.35">
      <c r="A3271" s="2" t="s">
        <v>59</v>
      </c>
      <c r="B3271" s="2" t="s">
        <v>60</v>
      </c>
      <c r="C3271" s="2" t="s">
        <v>32314</v>
      </c>
      <c r="D3271" s="2" t="s">
        <v>32315</v>
      </c>
      <c r="E3271" s="2" t="s">
        <v>32316</v>
      </c>
      <c r="G3271" s="3" t="s">
        <v>65</v>
      </c>
      <c r="I3271" s="3" t="s">
        <v>65</v>
      </c>
      <c r="J3271" s="3" t="s">
        <v>65</v>
      </c>
      <c r="K3271" s="3" t="s">
        <v>66</v>
      </c>
      <c r="L3271" s="2" t="s">
        <v>32317</v>
      </c>
      <c r="M3271" s="2" t="s">
        <v>32318</v>
      </c>
      <c r="N3271" s="3" t="s">
        <v>2460</v>
      </c>
      <c r="P3271" s="3" t="s">
        <v>140</v>
      </c>
      <c r="Q3271" s="2" t="s">
        <v>32319</v>
      </c>
      <c r="R3271" s="3" t="s">
        <v>71</v>
      </c>
      <c r="S3271" s="4">
        <v>14</v>
      </c>
      <c r="T3271" s="4">
        <v>14</v>
      </c>
      <c r="U3271" s="5" t="s">
        <v>11785</v>
      </c>
      <c r="V3271" s="5" t="s">
        <v>11785</v>
      </c>
      <c r="W3271" s="5" t="s">
        <v>72</v>
      </c>
      <c r="X3271" s="5" t="s">
        <v>72</v>
      </c>
      <c r="Y3271" s="4">
        <v>48</v>
      </c>
      <c r="Z3271" s="4">
        <v>3</v>
      </c>
      <c r="AA3271" s="4">
        <v>4</v>
      </c>
      <c r="AB3271" s="4">
        <v>1</v>
      </c>
      <c r="AC3271" s="4">
        <v>1</v>
      </c>
      <c r="AD3271" s="4">
        <v>29</v>
      </c>
      <c r="AE3271" s="4">
        <v>30</v>
      </c>
      <c r="AF3271" s="4">
        <v>0</v>
      </c>
      <c r="AG3271" s="4">
        <v>0</v>
      </c>
      <c r="AH3271" s="4">
        <v>28</v>
      </c>
      <c r="AI3271" s="4">
        <v>28</v>
      </c>
      <c r="AJ3271" s="4">
        <v>1</v>
      </c>
      <c r="AK3271" s="4">
        <v>2</v>
      </c>
      <c r="AL3271" s="4">
        <v>23</v>
      </c>
      <c r="AM3271" s="4">
        <v>23</v>
      </c>
      <c r="AN3271" s="4">
        <v>0</v>
      </c>
      <c r="AO3271" s="4">
        <v>0</v>
      </c>
      <c r="AP3271" s="4">
        <v>1</v>
      </c>
      <c r="AQ3271" s="4">
        <v>2</v>
      </c>
      <c r="AR3271" s="3" t="s">
        <v>65</v>
      </c>
      <c r="AS3271" s="3" t="s">
        <v>65</v>
      </c>
      <c r="AT3271" s="3" t="s">
        <v>65</v>
      </c>
      <c r="AV3271" s="6" t="str">
        <f>HYPERLINK("http://mcgill.on.worldcat.org/oclc/21080160","Catalog Record")</f>
        <v>Catalog Record</v>
      </c>
      <c r="AW3271" s="6" t="str">
        <f>HYPERLINK("http://www.worldcat.org/oclc/21080160","WorldCat Record")</f>
        <v>WorldCat Record</v>
      </c>
      <c r="AX3271" s="3" t="s">
        <v>32320</v>
      </c>
      <c r="AY3271" s="3" t="s">
        <v>32321</v>
      </c>
      <c r="AZ3271" s="3" t="s">
        <v>32322</v>
      </c>
      <c r="BA3271" s="3" t="s">
        <v>32322</v>
      </c>
      <c r="BB3271" s="3" t="s">
        <v>32323</v>
      </c>
      <c r="BC3271" s="3" t="s">
        <v>77</v>
      </c>
      <c r="BD3271" s="3" t="s">
        <v>78</v>
      </c>
      <c r="BF3271" s="3" t="s">
        <v>32323</v>
      </c>
      <c r="BG3271" s="3" t="s">
        <v>32324</v>
      </c>
    </row>
    <row r="3272" spans="1:59" ht="72.5" x14ac:dyDescent="0.35">
      <c r="A3272" s="2" t="s">
        <v>59</v>
      </c>
      <c r="B3272" s="2" t="s">
        <v>60</v>
      </c>
      <c r="C3272" s="2" t="s">
        <v>32325</v>
      </c>
      <c r="D3272" s="2" t="s">
        <v>32326</v>
      </c>
      <c r="E3272" s="2" t="s">
        <v>32327</v>
      </c>
      <c r="G3272" s="3" t="s">
        <v>65</v>
      </c>
      <c r="I3272" s="3" t="s">
        <v>65</v>
      </c>
      <c r="J3272" s="3" t="s">
        <v>65</v>
      </c>
      <c r="K3272" s="3" t="s">
        <v>66</v>
      </c>
      <c r="M3272" s="2" t="s">
        <v>18422</v>
      </c>
      <c r="N3272" s="3" t="s">
        <v>113</v>
      </c>
      <c r="P3272" s="3" t="s">
        <v>140</v>
      </c>
      <c r="Q3272" s="2" t="s">
        <v>28339</v>
      </c>
      <c r="R3272" s="3" t="s">
        <v>71</v>
      </c>
      <c r="S3272" s="4">
        <v>0</v>
      </c>
      <c r="T3272" s="4">
        <v>0</v>
      </c>
      <c r="W3272" s="5" t="s">
        <v>72</v>
      </c>
      <c r="X3272" s="5" t="s">
        <v>72</v>
      </c>
      <c r="Y3272" s="4">
        <v>35</v>
      </c>
      <c r="Z3272" s="4">
        <v>2</v>
      </c>
      <c r="AA3272" s="4">
        <v>2</v>
      </c>
      <c r="AB3272" s="4">
        <v>1</v>
      </c>
      <c r="AC3272" s="4">
        <v>1</v>
      </c>
      <c r="AD3272" s="4">
        <v>20</v>
      </c>
      <c r="AE3272" s="4">
        <v>20</v>
      </c>
      <c r="AF3272" s="4">
        <v>0</v>
      </c>
      <c r="AG3272" s="4">
        <v>0</v>
      </c>
      <c r="AH3272" s="4">
        <v>19</v>
      </c>
      <c r="AI3272" s="4">
        <v>19</v>
      </c>
      <c r="AJ3272" s="4">
        <v>1</v>
      </c>
      <c r="AK3272" s="4">
        <v>1</v>
      </c>
      <c r="AL3272" s="4">
        <v>14</v>
      </c>
      <c r="AM3272" s="4">
        <v>14</v>
      </c>
      <c r="AN3272" s="4">
        <v>0</v>
      </c>
      <c r="AO3272" s="4">
        <v>0</v>
      </c>
      <c r="AP3272" s="4">
        <v>1</v>
      </c>
      <c r="AQ3272" s="4">
        <v>1</v>
      </c>
      <c r="AR3272" s="3" t="s">
        <v>65</v>
      </c>
      <c r="AS3272" s="3" t="s">
        <v>65</v>
      </c>
      <c r="AT3272" s="3" t="s">
        <v>65</v>
      </c>
      <c r="AV3272" s="6" t="str">
        <f>HYPERLINK("http://mcgill.on.worldcat.org/oclc/703626049","Catalog Record")</f>
        <v>Catalog Record</v>
      </c>
      <c r="AW3272" s="6" t="str">
        <f>HYPERLINK("http://www.worldcat.org/oclc/703626049","WorldCat Record")</f>
        <v>WorldCat Record</v>
      </c>
      <c r="AX3272" s="3" t="s">
        <v>32328</v>
      </c>
      <c r="AY3272" s="3" t="s">
        <v>32329</v>
      </c>
      <c r="AZ3272" s="3" t="s">
        <v>32330</v>
      </c>
      <c r="BA3272" s="3" t="s">
        <v>32330</v>
      </c>
      <c r="BB3272" s="3" t="s">
        <v>32331</v>
      </c>
      <c r="BC3272" s="3" t="s">
        <v>77</v>
      </c>
      <c r="BD3272" s="3" t="s">
        <v>78</v>
      </c>
      <c r="BE3272" s="3" t="s">
        <v>32332</v>
      </c>
      <c r="BF3272" s="3" t="s">
        <v>32331</v>
      </c>
      <c r="BG3272" s="3" t="s">
        <v>32333</v>
      </c>
    </row>
    <row r="3273" spans="1:59" ht="72.5" x14ac:dyDescent="0.35">
      <c r="A3273" s="2" t="s">
        <v>59</v>
      </c>
      <c r="B3273" s="2" t="s">
        <v>60</v>
      </c>
      <c r="C3273" s="2" t="s">
        <v>32334</v>
      </c>
      <c r="D3273" s="2" t="s">
        <v>32335</v>
      </c>
      <c r="E3273" s="2" t="s">
        <v>32336</v>
      </c>
      <c r="G3273" s="3" t="s">
        <v>65</v>
      </c>
      <c r="I3273" s="3" t="s">
        <v>65</v>
      </c>
      <c r="J3273" s="3" t="s">
        <v>65</v>
      </c>
      <c r="K3273" s="3" t="s">
        <v>66</v>
      </c>
      <c r="L3273" s="2" t="s">
        <v>32337</v>
      </c>
      <c r="M3273" s="2" t="s">
        <v>32338</v>
      </c>
      <c r="N3273" s="3" t="s">
        <v>1085</v>
      </c>
      <c r="P3273" s="3" t="s">
        <v>69</v>
      </c>
      <c r="R3273" s="3" t="s">
        <v>71</v>
      </c>
      <c r="S3273" s="4">
        <v>6</v>
      </c>
      <c r="T3273" s="4">
        <v>6</v>
      </c>
      <c r="U3273" s="5" t="s">
        <v>882</v>
      </c>
      <c r="V3273" s="5" t="s">
        <v>882</v>
      </c>
      <c r="W3273" s="5" t="s">
        <v>72</v>
      </c>
      <c r="X3273" s="5" t="s">
        <v>72</v>
      </c>
      <c r="Y3273" s="4">
        <v>54</v>
      </c>
      <c r="Z3273" s="4">
        <v>9</v>
      </c>
      <c r="AA3273" s="4">
        <v>9</v>
      </c>
      <c r="AB3273" s="4">
        <v>4</v>
      </c>
      <c r="AC3273" s="4">
        <v>4</v>
      </c>
      <c r="AD3273" s="4">
        <v>14</v>
      </c>
      <c r="AE3273" s="4">
        <v>14</v>
      </c>
      <c r="AF3273" s="4">
        <v>1</v>
      </c>
      <c r="AG3273" s="4">
        <v>1</v>
      </c>
      <c r="AH3273" s="4">
        <v>10</v>
      </c>
      <c r="AI3273" s="4">
        <v>10</v>
      </c>
      <c r="AJ3273" s="4">
        <v>3</v>
      </c>
      <c r="AK3273" s="4">
        <v>3</v>
      </c>
      <c r="AL3273" s="4">
        <v>10</v>
      </c>
      <c r="AM3273" s="4">
        <v>10</v>
      </c>
      <c r="AN3273" s="4">
        <v>0</v>
      </c>
      <c r="AO3273" s="4">
        <v>0</v>
      </c>
      <c r="AP3273" s="4">
        <v>4</v>
      </c>
      <c r="AQ3273" s="4">
        <v>4</v>
      </c>
      <c r="AR3273" s="3" t="s">
        <v>65</v>
      </c>
      <c r="AS3273" s="3" t="s">
        <v>65</v>
      </c>
      <c r="AT3273" s="3" t="s">
        <v>65</v>
      </c>
      <c r="AV3273" s="6" t="str">
        <f>HYPERLINK("http://mcgill.on.worldcat.org/oclc/35556056","Catalog Record")</f>
        <v>Catalog Record</v>
      </c>
      <c r="AW3273" s="6" t="str">
        <f>HYPERLINK("http://www.worldcat.org/oclc/35556056","WorldCat Record")</f>
        <v>WorldCat Record</v>
      </c>
      <c r="AX3273" s="3" t="s">
        <v>32339</v>
      </c>
      <c r="AY3273" s="3" t="s">
        <v>32340</v>
      </c>
      <c r="AZ3273" s="3" t="s">
        <v>32341</v>
      </c>
      <c r="BA3273" s="3" t="s">
        <v>32341</v>
      </c>
      <c r="BB3273" s="3" t="s">
        <v>32342</v>
      </c>
      <c r="BC3273" s="3" t="s">
        <v>77</v>
      </c>
      <c r="BD3273" s="3" t="s">
        <v>78</v>
      </c>
      <c r="BE3273" s="3" t="s">
        <v>32343</v>
      </c>
      <c r="BF3273" s="3" t="s">
        <v>32342</v>
      </c>
      <c r="BG3273" s="3" t="s">
        <v>32344</v>
      </c>
    </row>
    <row r="3274" spans="1:59" ht="72.5" x14ac:dyDescent="0.35">
      <c r="A3274" s="2" t="s">
        <v>59</v>
      </c>
      <c r="B3274" s="2" t="s">
        <v>60</v>
      </c>
      <c r="C3274" s="2" t="s">
        <v>32345</v>
      </c>
      <c r="D3274" s="2" t="s">
        <v>32346</v>
      </c>
      <c r="E3274" s="2" t="s">
        <v>32347</v>
      </c>
      <c r="G3274" s="3" t="s">
        <v>65</v>
      </c>
      <c r="I3274" s="3" t="s">
        <v>65</v>
      </c>
      <c r="J3274" s="3" t="s">
        <v>65</v>
      </c>
      <c r="K3274" s="3" t="s">
        <v>66</v>
      </c>
      <c r="M3274" s="2" t="s">
        <v>24810</v>
      </c>
      <c r="N3274" s="3" t="s">
        <v>113</v>
      </c>
      <c r="P3274" s="3" t="s">
        <v>69</v>
      </c>
      <c r="Q3274" s="2" t="s">
        <v>32348</v>
      </c>
      <c r="R3274" s="3" t="s">
        <v>71</v>
      </c>
      <c r="S3274" s="4">
        <v>2</v>
      </c>
      <c r="T3274" s="4">
        <v>2</v>
      </c>
      <c r="U3274" s="5" t="s">
        <v>32349</v>
      </c>
      <c r="V3274" s="5" t="s">
        <v>32349</v>
      </c>
      <c r="W3274" s="5" t="s">
        <v>72</v>
      </c>
      <c r="X3274" s="5" t="s">
        <v>72</v>
      </c>
      <c r="Y3274" s="4">
        <v>50</v>
      </c>
      <c r="Z3274" s="4">
        <v>3</v>
      </c>
      <c r="AA3274" s="4">
        <v>3</v>
      </c>
      <c r="AB3274" s="4">
        <v>1</v>
      </c>
      <c r="AC3274" s="4">
        <v>1</v>
      </c>
      <c r="AD3274" s="4">
        <v>30</v>
      </c>
      <c r="AE3274" s="4">
        <v>30</v>
      </c>
      <c r="AF3274" s="4">
        <v>0</v>
      </c>
      <c r="AG3274" s="4">
        <v>0</v>
      </c>
      <c r="AH3274" s="4">
        <v>29</v>
      </c>
      <c r="AI3274" s="4">
        <v>29</v>
      </c>
      <c r="AJ3274" s="4">
        <v>1</v>
      </c>
      <c r="AK3274" s="4">
        <v>1</v>
      </c>
      <c r="AL3274" s="4">
        <v>23</v>
      </c>
      <c r="AM3274" s="4">
        <v>23</v>
      </c>
      <c r="AN3274" s="4">
        <v>0</v>
      </c>
      <c r="AO3274" s="4">
        <v>0</v>
      </c>
      <c r="AP3274" s="4">
        <v>1</v>
      </c>
      <c r="AQ3274" s="4">
        <v>1</v>
      </c>
      <c r="AR3274" s="3" t="s">
        <v>65</v>
      </c>
      <c r="AS3274" s="3" t="s">
        <v>65</v>
      </c>
      <c r="AT3274" s="3" t="s">
        <v>65</v>
      </c>
      <c r="AV3274" s="6" t="str">
        <f>HYPERLINK("http://mcgill.on.worldcat.org/oclc/610841903","Catalog Record")</f>
        <v>Catalog Record</v>
      </c>
      <c r="AW3274" s="6" t="str">
        <f>HYPERLINK("http://www.worldcat.org/oclc/610841903","WorldCat Record")</f>
        <v>WorldCat Record</v>
      </c>
      <c r="AX3274" s="3" t="s">
        <v>32350</v>
      </c>
      <c r="AY3274" s="3" t="s">
        <v>32351</v>
      </c>
      <c r="AZ3274" s="3" t="s">
        <v>32352</v>
      </c>
      <c r="BA3274" s="3" t="s">
        <v>32352</v>
      </c>
      <c r="BB3274" s="3" t="s">
        <v>32353</v>
      </c>
      <c r="BC3274" s="3" t="s">
        <v>77</v>
      </c>
      <c r="BD3274" s="3" t="s">
        <v>78</v>
      </c>
      <c r="BE3274" s="3" t="s">
        <v>32354</v>
      </c>
      <c r="BF3274" s="3" t="s">
        <v>32353</v>
      </c>
      <c r="BG3274" s="3" t="s">
        <v>32355</v>
      </c>
    </row>
    <row r="3275" spans="1:59" ht="72.5" x14ac:dyDescent="0.35">
      <c r="A3275" s="2" t="s">
        <v>59</v>
      </c>
      <c r="B3275" s="2" t="s">
        <v>60</v>
      </c>
      <c r="C3275" s="2" t="s">
        <v>32356</v>
      </c>
      <c r="D3275" s="2" t="s">
        <v>32357</v>
      </c>
      <c r="E3275" s="2" t="s">
        <v>32358</v>
      </c>
      <c r="G3275" s="3" t="s">
        <v>65</v>
      </c>
      <c r="I3275" s="3" t="s">
        <v>65</v>
      </c>
      <c r="J3275" s="3" t="s">
        <v>65</v>
      </c>
      <c r="K3275" s="3" t="s">
        <v>66</v>
      </c>
      <c r="L3275" s="2" t="s">
        <v>32359</v>
      </c>
      <c r="M3275" s="2" t="s">
        <v>32360</v>
      </c>
      <c r="N3275" s="3" t="s">
        <v>164</v>
      </c>
      <c r="O3275" s="2" t="s">
        <v>379</v>
      </c>
      <c r="P3275" s="3" t="s">
        <v>140</v>
      </c>
      <c r="Q3275" s="2" t="s">
        <v>32361</v>
      </c>
      <c r="R3275" s="3" t="s">
        <v>71</v>
      </c>
      <c r="S3275" s="4">
        <v>1</v>
      </c>
      <c r="T3275" s="4">
        <v>1</v>
      </c>
      <c r="U3275" s="5" t="s">
        <v>21164</v>
      </c>
      <c r="V3275" s="5" t="s">
        <v>21164</v>
      </c>
      <c r="W3275" s="5" t="s">
        <v>72</v>
      </c>
      <c r="X3275" s="5" t="s">
        <v>72</v>
      </c>
      <c r="Y3275" s="4">
        <v>46</v>
      </c>
      <c r="Z3275" s="4">
        <v>4</v>
      </c>
      <c r="AA3275" s="4">
        <v>4</v>
      </c>
      <c r="AB3275" s="4">
        <v>1</v>
      </c>
      <c r="AC3275" s="4">
        <v>1</v>
      </c>
      <c r="AD3275" s="4">
        <v>30</v>
      </c>
      <c r="AE3275" s="4">
        <v>30</v>
      </c>
      <c r="AF3275" s="4">
        <v>0</v>
      </c>
      <c r="AG3275" s="4">
        <v>0</v>
      </c>
      <c r="AH3275" s="4">
        <v>29</v>
      </c>
      <c r="AI3275" s="4">
        <v>29</v>
      </c>
      <c r="AJ3275" s="4">
        <v>2</v>
      </c>
      <c r="AK3275" s="4">
        <v>2</v>
      </c>
      <c r="AL3275" s="4">
        <v>24</v>
      </c>
      <c r="AM3275" s="4">
        <v>24</v>
      </c>
      <c r="AN3275" s="4">
        <v>0</v>
      </c>
      <c r="AO3275" s="4">
        <v>0</v>
      </c>
      <c r="AP3275" s="4">
        <v>2</v>
      </c>
      <c r="AQ3275" s="4">
        <v>2</v>
      </c>
      <c r="AR3275" s="3" t="s">
        <v>65</v>
      </c>
      <c r="AS3275" s="3" t="s">
        <v>65</v>
      </c>
      <c r="AT3275" s="3" t="s">
        <v>65</v>
      </c>
      <c r="AV3275" s="6" t="str">
        <f>HYPERLINK("http://mcgill.on.worldcat.org/oclc/879868232","Catalog Record")</f>
        <v>Catalog Record</v>
      </c>
      <c r="AW3275" s="6" t="str">
        <f>HYPERLINK("http://www.worldcat.org/oclc/879868232","WorldCat Record")</f>
        <v>WorldCat Record</v>
      </c>
      <c r="AX3275" s="3" t="s">
        <v>32362</v>
      </c>
      <c r="AY3275" s="3" t="s">
        <v>32363</v>
      </c>
      <c r="AZ3275" s="3" t="s">
        <v>32364</v>
      </c>
      <c r="BA3275" s="3" t="s">
        <v>32364</v>
      </c>
      <c r="BB3275" s="3" t="s">
        <v>32365</v>
      </c>
      <c r="BC3275" s="3" t="s">
        <v>77</v>
      </c>
      <c r="BD3275" s="3" t="s">
        <v>78</v>
      </c>
      <c r="BE3275" s="3" t="s">
        <v>32366</v>
      </c>
      <c r="BF3275" s="3" t="s">
        <v>32365</v>
      </c>
      <c r="BG3275" s="3" t="s">
        <v>32367</v>
      </c>
    </row>
    <row r="3276" spans="1:59" ht="72.5" x14ac:dyDescent="0.35">
      <c r="A3276" s="2" t="s">
        <v>59</v>
      </c>
      <c r="B3276" s="2" t="s">
        <v>60</v>
      </c>
      <c r="C3276" s="2" t="s">
        <v>32368</v>
      </c>
      <c r="D3276" s="2" t="s">
        <v>32369</v>
      </c>
      <c r="E3276" s="2" t="s">
        <v>32370</v>
      </c>
      <c r="G3276" s="3" t="s">
        <v>65</v>
      </c>
      <c r="I3276" s="3" t="s">
        <v>65</v>
      </c>
      <c r="J3276" s="3" t="s">
        <v>65</v>
      </c>
      <c r="K3276" s="3" t="s">
        <v>66</v>
      </c>
      <c r="M3276" s="2" t="s">
        <v>32371</v>
      </c>
      <c r="N3276" s="3" t="s">
        <v>113</v>
      </c>
      <c r="O3276" s="2" t="s">
        <v>365</v>
      </c>
      <c r="P3276" s="3" t="s">
        <v>140</v>
      </c>
      <c r="Q3276" s="2" t="s">
        <v>32372</v>
      </c>
      <c r="R3276" s="3" t="s">
        <v>71</v>
      </c>
      <c r="S3276" s="4">
        <v>0</v>
      </c>
      <c r="T3276" s="4">
        <v>0</v>
      </c>
      <c r="W3276" s="5" t="s">
        <v>72</v>
      </c>
      <c r="X3276" s="5" t="s">
        <v>72</v>
      </c>
      <c r="Y3276" s="4">
        <v>34</v>
      </c>
      <c r="Z3276" s="4">
        <v>3</v>
      </c>
      <c r="AA3276" s="4">
        <v>3</v>
      </c>
      <c r="AB3276" s="4">
        <v>1</v>
      </c>
      <c r="AC3276" s="4">
        <v>1</v>
      </c>
      <c r="AD3276" s="4">
        <v>22</v>
      </c>
      <c r="AE3276" s="4">
        <v>22</v>
      </c>
      <c r="AF3276" s="4">
        <v>0</v>
      </c>
      <c r="AG3276" s="4">
        <v>0</v>
      </c>
      <c r="AH3276" s="4">
        <v>21</v>
      </c>
      <c r="AI3276" s="4">
        <v>21</v>
      </c>
      <c r="AJ3276" s="4">
        <v>1</v>
      </c>
      <c r="AK3276" s="4">
        <v>1</v>
      </c>
      <c r="AL3276" s="4">
        <v>16</v>
      </c>
      <c r="AM3276" s="4">
        <v>16</v>
      </c>
      <c r="AN3276" s="4">
        <v>0</v>
      </c>
      <c r="AO3276" s="4">
        <v>0</v>
      </c>
      <c r="AP3276" s="4">
        <v>1</v>
      </c>
      <c r="AQ3276" s="4">
        <v>1</v>
      </c>
      <c r="AR3276" s="3" t="s">
        <v>65</v>
      </c>
      <c r="AS3276" s="3" t="s">
        <v>65</v>
      </c>
      <c r="AT3276" s="3" t="s">
        <v>65</v>
      </c>
      <c r="AV3276" s="6" t="str">
        <f>HYPERLINK("http://mcgill.on.worldcat.org/oclc/613308489","Catalog Record")</f>
        <v>Catalog Record</v>
      </c>
      <c r="AW3276" s="6" t="str">
        <f>HYPERLINK("http://www.worldcat.org/oclc/613308489","WorldCat Record")</f>
        <v>WorldCat Record</v>
      </c>
      <c r="AX3276" s="3" t="s">
        <v>32373</v>
      </c>
      <c r="AY3276" s="3" t="s">
        <v>32374</v>
      </c>
      <c r="AZ3276" s="3" t="s">
        <v>32375</v>
      </c>
      <c r="BA3276" s="3" t="s">
        <v>32375</v>
      </c>
      <c r="BB3276" s="3" t="s">
        <v>32376</v>
      </c>
      <c r="BC3276" s="3" t="s">
        <v>77</v>
      </c>
      <c r="BD3276" s="3" t="s">
        <v>78</v>
      </c>
      <c r="BE3276" s="3" t="s">
        <v>32377</v>
      </c>
      <c r="BF3276" s="3" t="s">
        <v>32376</v>
      </c>
      <c r="BG3276" s="3" t="s">
        <v>32378</v>
      </c>
    </row>
    <row r="3277" spans="1:59" ht="72.5" x14ac:dyDescent="0.35">
      <c r="A3277" s="2" t="s">
        <v>59</v>
      </c>
      <c r="B3277" s="2" t="s">
        <v>60</v>
      </c>
      <c r="C3277" s="2" t="s">
        <v>32379</v>
      </c>
      <c r="D3277" s="2" t="s">
        <v>32380</v>
      </c>
      <c r="E3277" s="2" t="s">
        <v>32381</v>
      </c>
      <c r="G3277" s="3" t="s">
        <v>65</v>
      </c>
      <c r="I3277" s="3" t="s">
        <v>65</v>
      </c>
      <c r="J3277" s="3" t="s">
        <v>65</v>
      </c>
      <c r="K3277" s="3" t="s">
        <v>66</v>
      </c>
      <c r="L3277" s="2" t="s">
        <v>32249</v>
      </c>
      <c r="M3277" s="2" t="s">
        <v>32382</v>
      </c>
      <c r="N3277" s="3" t="s">
        <v>152</v>
      </c>
      <c r="P3277" s="3" t="s">
        <v>69</v>
      </c>
      <c r="R3277" s="3" t="s">
        <v>71</v>
      </c>
      <c r="S3277" s="4">
        <v>2</v>
      </c>
      <c r="T3277" s="4">
        <v>2</v>
      </c>
      <c r="U3277" s="5" t="s">
        <v>23353</v>
      </c>
      <c r="V3277" s="5" t="s">
        <v>23353</v>
      </c>
      <c r="W3277" s="5" t="s">
        <v>72</v>
      </c>
      <c r="X3277" s="5" t="s">
        <v>72</v>
      </c>
      <c r="Y3277" s="4">
        <v>82</v>
      </c>
      <c r="Z3277" s="4">
        <v>7</v>
      </c>
      <c r="AA3277" s="4">
        <v>7</v>
      </c>
      <c r="AB3277" s="4">
        <v>1</v>
      </c>
      <c r="AC3277" s="4">
        <v>1</v>
      </c>
      <c r="AD3277" s="4">
        <v>27</v>
      </c>
      <c r="AE3277" s="4">
        <v>28</v>
      </c>
      <c r="AF3277" s="4">
        <v>0</v>
      </c>
      <c r="AG3277" s="4">
        <v>0</v>
      </c>
      <c r="AH3277" s="4">
        <v>26</v>
      </c>
      <c r="AI3277" s="4">
        <v>27</v>
      </c>
      <c r="AJ3277" s="4">
        <v>4</v>
      </c>
      <c r="AK3277" s="4">
        <v>4</v>
      </c>
      <c r="AL3277" s="4">
        <v>21</v>
      </c>
      <c r="AM3277" s="4">
        <v>21</v>
      </c>
      <c r="AN3277" s="4">
        <v>0</v>
      </c>
      <c r="AO3277" s="4">
        <v>0</v>
      </c>
      <c r="AP3277" s="4">
        <v>4</v>
      </c>
      <c r="AQ3277" s="4">
        <v>4</v>
      </c>
      <c r="AR3277" s="3" t="s">
        <v>65</v>
      </c>
      <c r="AS3277" s="3" t="s">
        <v>65</v>
      </c>
      <c r="AT3277" s="3" t="s">
        <v>65</v>
      </c>
      <c r="AV3277" s="6" t="str">
        <f>HYPERLINK("http://mcgill.on.worldcat.org/oclc/812570934","Catalog Record")</f>
        <v>Catalog Record</v>
      </c>
      <c r="AW3277" s="6" t="str">
        <f>HYPERLINK("http://www.worldcat.org/oclc/812570934","WorldCat Record")</f>
        <v>WorldCat Record</v>
      </c>
      <c r="AX3277" s="3" t="s">
        <v>32383</v>
      </c>
      <c r="AY3277" s="3" t="s">
        <v>32384</v>
      </c>
      <c r="AZ3277" s="3" t="s">
        <v>32385</v>
      </c>
      <c r="BA3277" s="3" t="s">
        <v>32385</v>
      </c>
      <c r="BB3277" s="3" t="s">
        <v>32386</v>
      </c>
      <c r="BC3277" s="3" t="s">
        <v>77</v>
      </c>
      <c r="BD3277" s="3" t="s">
        <v>78</v>
      </c>
      <c r="BE3277" s="3" t="s">
        <v>32387</v>
      </c>
      <c r="BF3277" s="3" t="s">
        <v>32386</v>
      </c>
      <c r="BG3277" s="3" t="s">
        <v>32388</v>
      </c>
    </row>
    <row r="3278" spans="1:59" ht="72.5" x14ac:dyDescent="0.35">
      <c r="A3278" s="2" t="s">
        <v>59</v>
      </c>
      <c r="B3278" s="2" t="s">
        <v>60</v>
      </c>
      <c r="C3278" s="2" t="s">
        <v>32389</v>
      </c>
      <c r="D3278" s="2" t="s">
        <v>32390</v>
      </c>
      <c r="E3278" s="2" t="s">
        <v>32391</v>
      </c>
      <c r="G3278" s="3" t="s">
        <v>65</v>
      </c>
      <c r="I3278" s="3" t="s">
        <v>65</v>
      </c>
      <c r="J3278" s="3" t="s">
        <v>65</v>
      </c>
      <c r="K3278" s="3" t="s">
        <v>66</v>
      </c>
      <c r="L3278" s="2" t="s">
        <v>32261</v>
      </c>
      <c r="M3278" s="2" t="s">
        <v>32392</v>
      </c>
      <c r="N3278" s="3" t="s">
        <v>113</v>
      </c>
      <c r="P3278" s="3" t="s">
        <v>69</v>
      </c>
      <c r="R3278" s="3" t="s">
        <v>71</v>
      </c>
      <c r="S3278" s="4">
        <v>2</v>
      </c>
      <c r="T3278" s="4">
        <v>2</v>
      </c>
      <c r="U3278" s="5" t="s">
        <v>3569</v>
      </c>
      <c r="V3278" s="5" t="s">
        <v>3569</v>
      </c>
      <c r="W3278" s="5" t="s">
        <v>72</v>
      </c>
      <c r="X3278" s="5" t="s">
        <v>72</v>
      </c>
      <c r="Y3278" s="4">
        <v>77</v>
      </c>
      <c r="Z3278" s="4">
        <v>4</v>
      </c>
      <c r="AA3278" s="4">
        <v>13</v>
      </c>
      <c r="AB3278" s="4">
        <v>1</v>
      </c>
      <c r="AC3278" s="4">
        <v>2</v>
      </c>
      <c r="AD3278" s="4">
        <v>29</v>
      </c>
      <c r="AE3278" s="4">
        <v>55</v>
      </c>
      <c r="AF3278" s="4">
        <v>0</v>
      </c>
      <c r="AG3278" s="4">
        <v>0</v>
      </c>
      <c r="AH3278" s="4">
        <v>28</v>
      </c>
      <c r="AI3278" s="4">
        <v>52</v>
      </c>
      <c r="AJ3278" s="4">
        <v>2</v>
      </c>
      <c r="AK3278" s="4">
        <v>8</v>
      </c>
      <c r="AL3278" s="4">
        <v>23</v>
      </c>
      <c r="AM3278" s="4">
        <v>36</v>
      </c>
      <c r="AN3278" s="4">
        <v>0</v>
      </c>
      <c r="AO3278" s="4">
        <v>0</v>
      </c>
      <c r="AP3278" s="4">
        <v>2</v>
      </c>
      <c r="AQ3278" s="4">
        <v>8</v>
      </c>
      <c r="AR3278" s="3" t="s">
        <v>65</v>
      </c>
      <c r="AS3278" s="3" t="s">
        <v>65</v>
      </c>
      <c r="AT3278" s="3" t="s">
        <v>65</v>
      </c>
      <c r="AV3278" s="6" t="str">
        <f>HYPERLINK("http://mcgill.on.worldcat.org/oclc/640084131","Catalog Record")</f>
        <v>Catalog Record</v>
      </c>
      <c r="AW3278" s="6" t="str">
        <f>HYPERLINK("http://www.worldcat.org/oclc/640084131","WorldCat Record")</f>
        <v>WorldCat Record</v>
      </c>
      <c r="AX3278" s="3" t="s">
        <v>32393</v>
      </c>
      <c r="AY3278" s="3" t="s">
        <v>32394</v>
      </c>
      <c r="AZ3278" s="3" t="s">
        <v>32395</v>
      </c>
      <c r="BA3278" s="3" t="s">
        <v>32395</v>
      </c>
      <c r="BB3278" s="3" t="s">
        <v>32396</v>
      </c>
      <c r="BC3278" s="3" t="s">
        <v>77</v>
      </c>
      <c r="BD3278" s="3" t="s">
        <v>78</v>
      </c>
      <c r="BE3278" s="3" t="s">
        <v>32397</v>
      </c>
      <c r="BF3278" s="3" t="s">
        <v>32396</v>
      </c>
      <c r="BG3278" s="3" t="s">
        <v>32398</v>
      </c>
    </row>
    <row r="3279" spans="1:59" ht="58" x14ac:dyDescent="0.35">
      <c r="A3279" s="2" t="s">
        <v>59</v>
      </c>
      <c r="B3279" s="2" t="s">
        <v>60</v>
      </c>
      <c r="C3279" s="2" t="s">
        <v>32399</v>
      </c>
      <c r="D3279" s="2" t="s">
        <v>32400</v>
      </c>
      <c r="E3279" s="2" t="s">
        <v>32401</v>
      </c>
      <c r="G3279" s="3" t="s">
        <v>65</v>
      </c>
      <c r="I3279" s="3" t="s">
        <v>65</v>
      </c>
      <c r="J3279" s="3" t="s">
        <v>65</v>
      </c>
      <c r="K3279" s="3" t="s">
        <v>66</v>
      </c>
      <c r="L3279" s="2" t="s">
        <v>32402</v>
      </c>
      <c r="M3279" s="2" t="s">
        <v>32403</v>
      </c>
      <c r="N3279" s="3" t="s">
        <v>2460</v>
      </c>
      <c r="P3279" s="3" t="s">
        <v>69</v>
      </c>
      <c r="R3279" s="3" t="s">
        <v>71</v>
      </c>
      <c r="S3279" s="4">
        <v>8</v>
      </c>
      <c r="T3279" s="4">
        <v>8</v>
      </c>
      <c r="U3279" s="5" t="s">
        <v>3569</v>
      </c>
      <c r="V3279" s="5" t="s">
        <v>3569</v>
      </c>
      <c r="W3279" s="5" t="s">
        <v>72</v>
      </c>
      <c r="X3279" s="5" t="s">
        <v>72</v>
      </c>
      <c r="Y3279" s="4">
        <v>215</v>
      </c>
      <c r="Z3279" s="4">
        <v>15</v>
      </c>
      <c r="AA3279" s="4">
        <v>30</v>
      </c>
      <c r="AB3279" s="4">
        <v>1</v>
      </c>
      <c r="AC3279" s="4">
        <v>5</v>
      </c>
      <c r="AD3279" s="4">
        <v>70</v>
      </c>
      <c r="AE3279" s="4">
        <v>106</v>
      </c>
      <c r="AF3279" s="4">
        <v>0</v>
      </c>
      <c r="AG3279" s="4">
        <v>1</v>
      </c>
      <c r="AH3279" s="4">
        <v>65</v>
      </c>
      <c r="AI3279" s="4">
        <v>95</v>
      </c>
      <c r="AJ3279" s="4">
        <v>11</v>
      </c>
      <c r="AK3279" s="4">
        <v>15</v>
      </c>
      <c r="AL3279" s="4">
        <v>37</v>
      </c>
      <c r="AM3279" s="4">
        <v>58</v>
      </c>
      <c r="AN3279" s="4">
        <v>0</v>
      </c>
      <c r="AO3279" s="4">
        <v>1</v>
      </c>
      <c r="AP3279" s="4">
        <v>11</v>
      </c>
      <c r="AQ3279" s="4">
        <v>16</v>
      </c>
      <c r="AR3279" s="3" t="s">
        <v>65</v>
      </c>
      <c r="AS3279" s="3" t="s">
        <v>65</v>
      </c>
      <c r="AT3279" s="3" t="s">
        <v>209</v>
      </c>
      <c r="AU3279" s="6" t="str">
        <f>HYPERLINK("http://catalog.hathitrust.org/Record/001100797","HathiTrust Record")</f>
        <v>HathiTrust Record</v>
      </c>
      <c r="AV3279" s="6" t="str">
        <f>HYPERLINK("http://mcgill.on.worldcat.org/oclc/19556223","Catalog Record")</f>
        <v>Catalog Record</v>
      </c>
      <c r="AW3279" s="6" t="str">
        <f>HYPERLINK("http://www.worldcat.org/oclc/19556223","WorldCat Record")</f>
        <v>WorldCat Record</v>
      </c>
      <c r="AX3279" s="3" t="s">
        <v>32404</v>
      </c>
      <c r="AY3279" s="3" t="s">
        <v>32405</v>
      </c>
      <c r="AZ3279" s="3" t="s">
        <v>32406</v>
      </c>
      <c r="BA3279" s="3" t="s">
        <v>32406</v>
      </c>
      <c r="BB3279" s="3" t="s">
        <v>32407</v>
      </c>
      <c r="BC3279" s="3" t="s">
        <v>77</v>
      </c>
      <c r="BD3279" s="3" t="s">
        <v>78</v>
      </c>
      <c r="BE3279" s="3" t="s">
        <v>32408</v>
      </c>
      <c r="BF3279" s="3" t="s">
        <v>32407</v>
      </c>
      <c r="BG3279" s="3" t="s">
        <v>32409</v>
      </c>
    </row>
    <row r="3280" spans="1:59" ht="72.5" x14ac:dyDescent="0.35">
      <c r="A3280" s="2" t="s">
        <v>59</v>
      </c>
      <c r="B3280" s="2" t="s">
        <v>60</v>
      </c>
      <c r="C3280" s="2" t="s">
        <v>32410</v>
      </c>
      <c r="D3280" s="2" t="s">
        <v>32411</v>
      </c>
      <c r="E3280" s="2" t="s">
        <v>32412</v>
      </c>
      <c r="G3280" s="3" t="s">
        <v>65</v>
      </c>
      <c r="I3280" s="3" t="s">
        <v>65</v>
      </c>
      <c r="J3280" s="3" t="s">
        <v>65</v>
      </c>
      <c r="K3280" s="3" t="s">
        <v>66</v>
      </c>
      <c r="L3280" s="2" t="s">
        <v>32413</v>
      </c>
      <c r="M3280" s="2" t="s">
        <v>32414</v>
      </c>
      <c r="N3280" s="3" t="s">
        <v>152</v>
      </c>
      <c r="P3280" s="3" t="s">
        <v>69</v>
      </c>
      <c r="R3280" s="3" t="s">
        <v>71</v>
      </c>
      <c r="S3280" s="4">
        <v>3</v>
      </c>
      <c r="T3280" s="4">
        <v>3</v>
      </c>
      <c r="U3280" s="5" t="s">
        <v>3569</v>
      </c>
      <c r="V3280" s="5" t="s">
        <v>3569</v>
      </c>
      <c r="W3280" s="5" t="s">
        <v>72</v>
      </c>
      <c r="X3280" s="5" t="s">
        <v>72</v>
      </c>
      <c r="Y3280" s="4">
        <v>51</v>
      </c>
      <c r="Z3280" s="4">
        <v>9</v>
      </c>
      <c r="AA3280" s="4">
        <v>11</v>
      </c>
      <c r="AB3280" s="4">
        <v>1</v>
      </c>
      <c r="AC3280" s="4">
        <v>3</v>
      </c>
      <c r="AD3280" s="4">
        <v>27</v>
      </c>
      <c r="AE3280" s="4">
        <v>27</v>
      </c>
      <c r="AF3280" s="4">
        <v>0</v>
      </c>
      <c r="AG3280" s="4">
        <v>0</v>
      </c>
      <c r="AH3280" s="4">
        <v>26</v>
      </c>
      <c r="AI3280" s="4">
        <v>26</v>
      </c>
      <c r="AJ3280" s="4">
        <v>6</v>
      </c>
      <c r="AK3280" s="4">
        <v>6</v>
      </c>
      <c r="AL3280" s="4">
        <v>20</v>
      </c>
      <c r="AM3280" s="4">
        <v>20</v>
      </c>
      <c r="AN3280" s="4">
        <v>0</v>
      </c>
      <c r="AO3280" s="4">
        <v>0</v>
      </c>
      <c r="AP3280" s="4">
        <v>6</v>
      </c>
      <c r="AQ3280" s="4">
        <v>6</v>
      </c>
      <c r="AR3280" s="3" t="s">
        <v>65</v>
      </c>
      <c r="AS3280" s="3" t="s">
        <v>65</v>
      </c>
      <c r="AT3280" s="3" t="s">
        <v>65</v>
      </c>
      <c r="AV3280" s="6" t="str">
        <f>HYPERLINK("http://mcgill.on.worldcat.org/oclc/805019849","Catalog Record")</f>
        <v>Catalog Record</v>
      </c>
      <c r="AW3280" s="6" t="str">
        <f>HYPERLINK("http://www.worldcat.org/oclc/805019849","WorldCat Record")</f>
        <v>WorldCat Record</v>
      </c>
      <c r="AX3280" s="3" t="s">
        <v>32415</v>
      </c>
      <c r="AY3280" s="3" t="s">
        <v>32416</v>
      </c>
      <c r="AZ3280" s="3" t="s">
        <v>32417</v>
      </c>
      <c r="BA3280" s="3" t="s">
        <v>32417</v>
      </c>
      <c r="BB3280" s="3" t="s">
        <v>32418</v>
      </c>
      <c r="BC3280" s="3" t="s">
        <v>77</v>
      </c>
      <c r="BD3280" s="3" t="s">
        <v>78</v>
      </c>
      <c r="BE3280" s="3" t="s">
        <v>32419</v>
      </c>
      <c r="BF3280" s="3" t="s">
        <v>32418</v>
      </c>
      <c r="BG3280" s="3" t="s">
        <v>32420</v>
      </c>
    </row>
    <row r="3281" spans="1:59" ht="58" x14ac:dyDescent="0.35">
      <c r="A3281" s="2" t="s">
        <v>59</v>
      </c>
      <c r="B3281" s="2" t="s">
        <v>60</v>
      </c>
      <c r="C3281" s="2" t="s">
        <v>32421</v>
      </c>
      <c r="D3281" s="2" t="s">
        <v>32422</v>
      </c>
      <c r="E3281" s="2" t="s">
        <v>32423</v>
      </c>
      <c r="G3281" s="3" t="s">
        <v>65</v>
      </c>
      <c r="I3281" s="3" t="s">
        <v>65</v>
      </c>
      <c r="J3281" s="3" t="s">
        <v>65</v>
      </c>
      <c r="K3281" s="3" t="s">
        <v>66</v>
      </c>
      <c r="L3281" s="2" t="s">
        <v>32424</v>
      </c>
      <c r="M3281" s="2" t="s">
        <v>32425</v>
      </c>
      <c r="N3281" s="3" t="s">
        <v>139</v>
      </c>
      <c r="P3281" s="3" t="s">
        <v>140</v>
      </c>
      <c r="Q3281" s="2" t="s">
        <v>32426</v>
      </c>
      <c r="R3281" s="3" t="s">
        <v>71</v>
      </c>
      <c r="S3281" s="4">
        <v>0</v>
      </c>
      <c r="T3281" s="4">
        <v>0</v>
      </c>
      <c r="W3281" s="5" t="s">
        <v>72</v>
      </c>
      <c r="X3281" s="5" t="s">
        <v>72</v>
      </c>
      <c r="Y3281" s="4">
        <v>37</v>
      </c>
      <c r="Z3281" s="4">
        <v>5</v>
      </c>
      <c r="AA3281" s="4">
        <v>5</v>
      </c>
      <c r="AB3281" s="4">
        <v>1</v>
      </c>
      <c r="AC3281" s="4">
        <v>1</v>
      </c>
      <c r="AD3281" s="4">
        <v>24</v>
      </c>
      <c r="AE3281" s="4">
        <v>24</v>
      </c>
      <c r="AF3281" s="4">
        <v>0</v>
      </c>
      <c r="AG3281" s="4">
        <v>0</v>
      </c>
      <c r="AH3281" s="4">
        <v>23</v>
      </c>
      <c r="AI3281" s="4">
        <v>23</v>
      </c>
      <c r="AJ3281" s="4">
        <v>3</v>
      </c>
      <c r="AK3281" s="4">
        <v>3</v>
      </c>
      <c r="AL3281" s="4">
        <v>17</v>
      </c>
      <c r="AM3281" s="4">
        <v>17</v>
      </c>
      <c r="AN3281" s="4">
        <v>0</v>
      </c>
      <c r="AO3281" s="4">
        <v>0</v>
      </c>
      <c r="AP3281" s="4">
        <v>3</v>
      </c>
      <c r="AQ3281" s="4">
        <v>3</v>
      </c>
      <c r="AR3281" s="3" t="s">
        <v>65</v>
      </c>
      <c r="AS3281" s="3" t="s">
        <v>65</v>
      </c>
      <c r="AT3281" s="3" t="s">
        <v>65</v>
      </c>
      <c r="AV3281" s="6" t="str">
        <f>HYPERLINK("http://mcgill.on.worldcat.org/oclc/760988461","Catalog Record")</f>
        <v>Catalog Record</v>
      </c>
      <c r="AW3281" s="6" t="str">
        <f>HYPERLINK("http://www.worldcat.org/oclc/760988461","WorldCat Record")</f>
        <v>WorldCat Record</v>
      </c>
      <c r="AX3281" s="3" t="s">
        <v>32427</v>
      </c>
      <c r="AY3281" s="3" t="s">
        <v>32428</v>
      </c>
      <c r="AZ3281" s="3" t="s">
        <v>32429</v>
      </c>
      <c r="BA3281" s="3" t="s">
        <v>32429</v>
      </c>
      <c r="BB3281" s="3" t="s">
        <v>32430</v>
      </c>
      <c r="BC3281" s="3" t="s">
        <v>77</v>
      </c>
      <c r="BD3281" s="3" t="s">
        <v>78</v>
      </c>
      <c r="BE3281" s="3" t="s">
        <v>32431</v>
      </c>
      <c r="BF3281" s="3" t="s">
        <v>32430</v>
      </c>
      <c r="BG3281" s="3" t="s">
        <v>32432</v>
      </c>
    </row>
    <row r="3282" spans="1:59" ht="58" x14ac:dyDescent="0.35">
      <c r="A3282" s="2" t="s">
        <v>59</v>
      </c>
      <c r="B3282" s="2" t="s">
        <v>60</v>
      </c>
      <c r="C3282" s="2" t="s">
        <v>32433</v>
      </c>
      <c r="D3282" s="2" t="s">
        <v>32434</v>
      </c>
      <c r="E3282" s="2" t="s">
        <v>32435</v>
      </c>
      <c r="G3282" s="3" t="s">
        <v>65</v>
      </c>
      <c r="I3282" s="3" t="s">
        <v>65</v>
      </c>
      <c r="J3282" s="3" t="s">
        <v>65</v>
      </c>
      <c r="K3282" s="3" t="s">
        <v>66</v>
      </c>
      <c r="L3282" s="2" t="s">
        <v>32436</v>
      </c>
      <c r="M3282" s="2" t="s">
        <v>32437</v>
      </c>
      <c r="N3282" s="3" t="s">
        <v>113</v>
      </c>
      <c r="P3282" s="3" t="s">
        <v>140</v>
      </c>
      <c r="Q3282" s="2" t="s">
        <v>32438</v>
      </c>
      <c r="R3282" s="3" t="s">
        <v>71</v>
      </c>
      <c r="S3282" s="4">
        <v>0</v>
      </c>
      <c r="T3282" s="4">
        <v>0</v>
      </c>
      <c r="W3282" s="5" t="s">
        <v>72</v>
      </c>
      <c r="X3282" s="5" t="s">
        <v>72</v>
      </c>
      <c r="Y3282" s="4">
        <v>36</v>
      </c>
      <c r="Z3282" s="4">
        <v>1</v>
      </c>
      <c r="AA3282" s="4">
        <v>1</v>
      </c>
      <c r="AB3282" s="4">
        <v>1</v>
      </c>
      <c r="AC3282" s="4">
        <v>1</v>
      </c>
      <c r="AD3282" s="4">
        <v>26</v>
      </c>
      <c r="AE3282" s="4">
        <v>26</v>
      </c>
      <c r="AF3282" s="4">
        <v>0</v>
      </c>
      <c r="AG3282" s="4">
        <v>0</v>
      </c>
      <c r="AH3282" s="4">
        <v>25</v>
      </c>
      <c r="AI3282" s="4">
        <v>25</v>
      </c>
      <c r="AJ3282" s="4">
        <v>0</v>
      </c>
      <c r="AK3282" s="4">
        <v>0</v>
      </c>
      <c r="AL3282" s="4">
        <v>19</v>
      </c>
      <c r="AM3282" s="4">
        <v>19</v>
      </c>
      <c r="AN3282" s="4">
        <v>0</v>
      </c>
      <c r="AO3282" s="4">
        <v>0</v>
      </c>
      <c r="AP3282" s="4">
        <v>0</v>
      </c>
      <c r="AQ3282" s="4">
        <v>0</v>
      </c>
      <c r="AR3282" s="3" t="s">
        <v>65</v>
      </c>
      <c r="AS3282" s="3" t="s">
        <v>65</v>
      </c>
      <c r="AT3282" s="3" t="s">
        <v>65</v>
      </c>
      <c r="AV3282" s="6" t="str">
        <f>HYPERLINK("http://mcgill.on.worldcat.org/oclc/620108548","Catalog Record")</f>
        <v>Catalog Record</v>
      </c>
      <c r="AW3282" s="6" t="str">
        <f>HYPERLINK("http://www.worldcat.org/oclc/620108548","WorldCat Record")</f>
        <v>WorldCat Record</v>
      </c>
      <c r="AX3282" s="3" t="s">
        <v>32439</v>
      </c>
      <c r="AY3282" s="3" t="s">
        <v>32440</v>
      </c>
      <c r="AZ3282" s="3" t="s">
        <v>32441</v>
      </c>
      <c r="BA3282" s="3" t="s">
        <v>32441</v>
      </c>
      <c r="BB3282" s="3" t="s">
        <v>32442</v>
      </c>
      <c r="BC3282" s="3" t="s">
        <v>77</v>
      </c>
      <c r="BD3282" s="3" t="s">
        <v>78</v>
      </c>
      <c r="BE3282" s="3" t="s">
        <v>32443</v>
      </c>
      <c r="BF3282" s="3" t="s">
        <v>32442</v>
      </c>
      <c r="BG3282" s="3" t="s">
        <v>32444</v>
      </c>
    </row>
    <row r="3283" spans="1:59" ht="58" x14ac:dyDescent="0.35">
      <c r="A3283" s="2" t="s">
        <v>59</v>
      </c>
      <c r="B3283" s="2" t="s">
        <v>60</v>
      </c>
      <c r="C3283" s="2" t="s">
        <v>32445</v>
      </c>
      <c r="D3283" s="2" t="s">
        <v>32446</v>
      </c>
      <c r="E3283" s="2" t="s">
        <v>32447</v>
      </c>
      <c r="G3283" s="3" t="s">
        <v>65</v>
      </c>
      <c r="I3283" s="3" t="s">
        <v>65</v>
      </c>
      <c r="J3283" s="3" t="s">
        <v>65</v>
      </c>
      <c r="K3283" s="3" t="s">
        <v>66</v>
      </c>
      <c r="L3283" s="2" t="s">
        <v>32448</v>
      </c>
      <c r="M3283" s="2" t="s">
        <v>2964</v>
      </c>
      <c r="N3283" s="3" t="s">
        <v>126</v>
      </c>
      <c r="P3283" s="3" t="s">
        <v>140</v>
      </c>
      <c r="Q3283" s="2" t="s">
        <v>32449</v>
      </c>
      <c r="R3283" s="3" t="s">
        <v>71</v>
      </c>
      <c r="S3283" s="4">
        <v>0</v>
      </c>
      <c r="T3283" s="4">
        <v>0</v>
      </c>
      <c r="W3283" s="5" t="s">
        <v>72</v>
      </c>
      <c r="X3283" s="5" t="s">
        <v>72</v>
      </c>
      <c r="Y3283" s="4">
        <v>47</v>
      </c>
      <c r="Z3283" s="4">
        <v>4</v>
      </c>
      <c r="AA3283" s="4">
        <v>4</v>
      </c>
      <c r="AB3283" s="4">
        <v>1</v>
      </c>
      <c r="AC3283" s="4">
        <v>1</v>
      </c>
      <c r="AD3283" s="4">
        <v>38</v>
      </c>
      <c r="AE3283" s="4">
        <v>38</v>
      </c>
      <c r="AF3283" s="4">
        <v>0</v>
      </c>
      <c r="AG3283" s="4">
        <v>0</v>
      </c>
      <c r="AH3283" s="4">
        <v>37</v>
      </c>
      <c r="AI3283" s="4">
        <v>37</v>
      </c>
      <c r="AJ3283" s="4">
        <v>2</v>
      </c>
      <c r="AK3283" s="4">
        <v>2</v>
      </c>
      <c r="AL3283" s="4">
        <v>30</v>
      </c>
      <c r="AM3283" s="4">
        <v>30</v>
      </c>
      <c r="AN3283" s="4">
        <v>0</v>
      </c>
      <c r="AO3283" s="4">
        <v>0</v>
      </c>
      <c r="AP3283" s="4">
        <v>2</v>
      </c>
      <c r="AQ3283" s="4">
        <v>2</v>
      </c>
      <c r="AR3283" s="3" t="s">
        <v>65</v>
      </c>
      <c r="AS3283" s="3" t="s">
        <v>65</v>
      </c>
      <c r="AT3283" s="3" t="s">
        <v>65</v>
      </c>
      <c r="AV3283" s="6" t="str">
        <f>HYPERLINK("http://mcgill.on.worldcat.org/oclc/802322557","Catalog Record")</f>
        <v>Catalog Record</v>
      </c>
      <c r="AW3283" s="6" t="str">
        <f>HYPERLINK("http://www.worldcat.org/oclc/802322557","WorldCat Record")</f>
        <v>WorldCat Record</v>
      </c>
      <c r="AX3283" s="3" t="s">
        <v>32450</v>
      </c>
      <c r="AY3283" s="3" t="s">
        <v>32451</v>
      </c>
      <c r="AZ3283" s="3" t="s">
        <v>32452</v>
      </c>
      <c r="BA3283" s="3" t="s">
        <v>32452</v>
      </c>
      <c r="BB3283" s="3" t="s">
        <v>32453</v>
      </c>
      <c r="BC3283" s="3" t="s">
        <v>77</v>
      </c>
      <c r="BD3283" s="3" t="s">
        <v>78</v>
      </c>
      <c r="BE3283" s="3" t="s">
        <v>32454</v>
      </c>
      <c r="BF3283" s="3" t="s">
        <v>32453</v>
      </c>
      <c r="BG3283" s="3" t="s">
        <v>32455</v>
      </c>
    </row>
    <row r="3284" spans="1:59" ht="58" x14ac:dyDescent="0.35">
      <c r="A3284" s="2" t="s">
        <v>59</v>
      </c>
      <c r="B3284" s="2" t="s">
        <v>60</v>
      </c>
      <c r="C3284" s="2" t="s">
        <v>32456</v>
      </c>
      <c r="D3284" s="2" t="s">
        <v>32457</v>
      </c>
      <c r="E3284" s="2" t="s">
        <v>32458</v>
      </c>
      <c r="G3284" s="3" t="s">
        <v>65</v>
      </c>
      <c r="I3284" s="3" t="s">
        <v>65</v>
      </c>
      <c r="J3284" s="3" t="s">
        <v>65</v>
      </c>
      <c r="K3284" s="3" t="s">
        <v>66</v>
      </c>
      <c r="L3284" s="2" t="s">
        <v>32459</v>
      </c>
      <c r="M3284" s="2" t="s">
        <v>200</v>
      </c>
      <c r="N3284" s="3" t="s">
        <v>139</v>
      </c>
      <c r="P3284" s="3" t="s">
        <v>140</v>
      </c>
      <c r="Q3284" s="2" t="s">
        <v>32460</v>
      </c>
      <c r="R3284" s="3" t="s">
        <v>71</v>
      </c>
      <c r="S3284" s="4">
        <v>0</v>
      </c>
      <c r="T3284" s="4">
        <v>0</v>
      </c>
      <c r="W3284" s="5" t="s">
        <v>72</v>
      </c>
      <c r="X3284" s="5" t="s">
        <v>72</v>
      </c>
      <c r="Y3284" s="4">
        <v>43</v>
      </c>
      <c r="Z3284" s="4">
        <v>4</v>
      </c>
      <c r="AA3284" s="4">
        <v>4</v>
      </c>
      <c r="AB3284" s="4">
        <v>1</v>
      </c>
      <c r="AC3284" s="4">
        <v>1</v>
      </c>
      <c r="AD3284" s="4">
        <v>33</v>
      </c>
      <c r="AE3284" s="4">
        <v>33</v>
      </c>
      <c r="AF3284" s="4">
        <v>0</v>
      </c>
      <c r="AG3284" s="4">
        <v>0</v>
      </c>
      <c r="AH3284" s="4">
        <v>32</v>
      </c>
      <c r="AI3284" s="4">
        <v>32</v>
      </c>
      <c r="AJ3284" s="4">
        <v>2</v>
      </c>
      <c r="AK3284" s="4">
        <v>2</v>
      </c>
      <c r="AL3284" s="4">
        <v>27</v>
      </c>
      <c r="AM3284" s="4">
        <v>27</v>
      </c>
      <c r="AN3284" s="4">
        <v>0</v>
      </c>
      <c r="AO3284" s="4">
        <v>0</v>
      </c>
      <c r="AP3284" s="4">
        <v>2</v>
      </c>
      <c r="AQ3284" s="4">
        <v>2</v>
      </c>
      <c r="AR3284" s="3" t="s">
        <v>65</v>
      </c>
      <c r="AS3284" s="3" t="s">
        <v>65</v>
      </c>
      <c r="AT3284" s="3" t="s">
        <v>65</v>
      </c>
      <c r="AV3284" s="6" t="str">
        <f>HYPERLINK("http://mcgill.on.worldcat.org/oclc/798610411","Catalog Record")</f>
        <v>Catalog Record</v>
      </c>
      <c r="AW3284" s="6" t="str">
        <f>HYPERLINK("http://www.worldcat.org/oclc/798610411","WorldCat Record")</f>
        <v>WorldCat Record</v>
      </c>
      <c r="AX3284" s="3" t="s">
        <v>32461</v>
      </c>
      <c r="AY3284" s="3" t="s">
        <v>32462</v>
      </c>
      <c r="AZ3284" s="3" t="s">
        <v>32463</v>
      </c>
      <c r="BA3284" s="3" t="s">
        <v>32463</v>
      </c>
      <c r="BB3284" s="3" t="s">
        <v>32464</v>
      </c>
      <c r="BC3284" s="3" t="s">
        <v>77</v>
      </c>
      <c r="BD3284" s="3" t="s">
        <v>78</v>
      </c>
      <c r="BE3284" s="3" t="s">
        <v>32465</v>
      </c>
      <c r="BF3284" s="3" t="s">
        <v>32464</v>
      </c>
      <c r="BG3284" s="3" t="s">
        <v>32466</v>
      </c>
    </row>
    <row r="3285" spans="1:59" ht="58" x14ac:dyDescent="0.35">
      <c r="A3285" s="2" t="s">
        <v>59</v>
      </c>
      <c r="B3285" s="2" t="s">
        <v>60</v>
      </c>
      <c r="C3285" s="2" t="s">
        <v>32467</v>
      </c>
      <c r="D3285" s="2" t="s">
        <v>32468</v>
      </c>
      <c r="E3285" s="2" t="s">
        <v>32469</v>
      </c>
      <c r="G3285" s="3" t="s">
        <v>65</v>
      </c>
      <c r="I3285" s="3" t="s">
        <v>65</v>
      </c>
      <c r="J3285" s="3" t="s">
        <v>65</v>
      </c>
      <c r="K3285" s="3" t="s">
        <v>66</v>
      </c>
      <c r="L3285" s="2" t="s">
        <v>32470</v>
      </c>
      <c r="M3285" s="2" t="s">
        <v>32471</v>
      </c>
      <c r="N3285" s="3" t="s">
        <v>392</v>
      </c>
      <c r="P3285" s="3" t="s">
        <v>140</v>
      </c>
      <c r="Q3285" s="2" t="s">
        <v>32472</v>
      </c>
      <c r="R3285" s="3" t="s">
        <v>71</v>
      </c>
      <c r="S3285" s="4">
        <v>2</v>
      </c>
      <c r="T3285" s="4">
        <v>2</v>
      </c>
      <c r="U3285" s="5" t="s">
        <v>11440</v>
      </c>
      <c r="V3285" s="5" t="s">
        <v>11440</v>
      </c>
      <c r="W3285" s="5" t="s">
        <v>72</v>
      </c>
      <c r="X3285" s="5" t="s">
        <v>72</v>
      </c>
      <c r="Y3285" s="4">
        <v>4</v>
      </c>
      <c r="Z3285" s="4">
        <v>1</v>
      </c>
      <c r="AA3285" s="4">
        <v>4</v>
      </c>
      <c r="AB3285" s="4">
        <v>1</v>
      </c>
      <c r="AC3285" s="4">
        <v>1</v>
      </c>
      <c r="AD3285" s="4">
        <v>1</v>
      </c>
      <c r="AE3285" s="4">
        <v>25</v>
      </c>
      <c r="AF3285" s="4">
        <v>0</v>
      </c>
      <c r="AG3285" s="4">
        <v>0</v>
      </c>
      <c r="AH3285" s="4">
        <v>1</v>
      </c>
      <c r="AI3285" s="4">
        <v>24</v>
      </c>
      <c r="AJ3285" s="4">
        <v>0</v>
      </c>
      <c r="AK3285" s="4">
        <v>2</v>
      </c>
      <c r="AL3285" s="4">
        <v>1</v>
      </c>
      <c r="AM3285" s="4">
        <v>22</v>
      </c>
      <c r="AN3285" s="4">
        <v>0</v>
      </c>
      <c r="AO3285" s="4">
        <v>0</v>
      </c>
      <c r="AP3285" s="4">
        <v>0</v>
      </c>
      <c r="AQ3285" s="4">
        <v>2</v>
      </c>
      <c r="AR3285" s="3" t="s">
        <v>65</v>
      </c>
      <c r="AS3285" s="3" t="s">
        <v>65</v>
      </c>
      <c r="AT3285" s="3" t="s">
        <v>65</v>
      </c>
      <c r="AV3285" s="6" t="str">
        <f>HYPERLINK("http://mcgill.on.worldcat.org/oclc/153640144","Catalog Record")</f>
        <v>Catalog Record</v>
      </c>
      <c r="AW3285" s="6" t="str">
        <f>HYPERLINK("http://www.worldcat.org/oclc/153640144","WorldCat Record")</f>
        <v>WorldCat Record</v>
      </c>
      <c r="AX3285" s="3" t="s">
        <v>32473</v>
      </c>
      <c r="AY3285" s="3" t="s">
        <v>32474</v>
      </c>
      <c r="AZ3285" s="3" t="s">
        <v>32475</v>
      </c>
      <c r="BA3285" s="3" t="s">
        <v>32475</v>
      </c>
      <c r="BB3285" s="3" t="s">
        <v>32476</v>
      </c>
      <c r="BC3285" s="3" t="s">
        <v>77</v>
      </c>
      <c r="BD3285" s="3" t="s">
        <v>78</v>
      </c>
      <c r="BF3285" s="3" t="s">
        <v>32476</v>
      </c>
      <c r="BG3285" s="3" t="s">
        <v>32477</v>
      </c>
    </row>
    <row r="3286" spans="1:59" ht="58" x14ac:dyDescent="0.35">
      <c r="A3286" s="2" t="s">
        <v>59</v>
      </c>
      <c r="B3286" s="2" t="s">
        <v>60</v>
      </c>
      <c r="C3286" s="2" t="s">
        <v>32478</v>
      </c>
      <c r="D3286" s="2" t="s">
        <v>32479</v>
      </c>
      <c r="E3286" s="2" t="s">
        <v>32480</v>
      </c>
      <c r="G3286" s="3" t="s">
        <v>65</v>
      </c>
      <c r="I3286" s="3" t="s">
        <v>209</v>
      </c>
      <c r="J3286" s="3" t="s">
        <v>65</v>
      </c>
      <c r="K3286" s="3" t="s">
        <v>66</v>
      </c>
      <c r="L3286" s="2" t="s">
        <v>32470</v>
      </c>
      <c r="M3286" s="2" t="s">
        <v>32481</v>
      </c>
      <c r="N3286" s="3" t="s">
        <v>906</v>
      </c>
      <c r="O3286" s="2" t="s">
        <v>654</v>
      </c>
      <c r="P3286" s="3" t="s">
        <v>140</v>
      </c>
      <c r="Q3286" s="2" t="s">
        <v>32482</v>
      </c>
      <c r="R3286" s="3" t="s">
        <v>71</v>
      </c>
      <c r="S3286" s="4">
        <v>9</v>
      </c>
      <c r="T3286" s="4">
        <v>21</v>
      </c>
      <c r="U3286" s="5" t="s">
        <v>24934</v>
      </c>
      <c r="V3286" s="5" t="s">
        <v>24934</v>
      </c>
      <c r="W3286" s="5" t="s">
        <v>72</v>
      </c>
      <c r="X3286" s="5" t="s">
        <v>72</v>
      </c>
      <c r="Y3286" s="4">
        <v>21</v>
      </c>
      <c r="Z3286" s="4">
        <v>1</v>
      </c>
      <c r="AA3286" s="4">
        <v>24</v>
      </c>
      <c r="AB3286" s="4">
        <v>1</v>
      </c>
      <c r="AC3286" s="4">
        <v>2</v>
      </c>
      <c r="AD3286" s="4">
        <v>8</v>
      </c>
      <c r="AE3286" s="4">
        <v>71</v>
      </c>
      <c r="AF3286" s="4">
        <v>0</v>
      </c>
      <c r="AG3286" s="4">
        <v>1</v>
      </c>
      <c r="AH3286" s="4">
        <v>8</v>
      </c>
      <c r="AI3286" s="4">
        <v>65</v>
      </c>
      <c r="AJ3286" s="4">
        <v>0</v>
      </c>
      <c r="AK3286" s="4">
        <v>9</v>
      </c>
      <c r="AL3286" s="4">
        <v>5</v>
      </c>
      <c r="AM3286" s="4">
        <v>40</v>
      </c>
      <c r="AN3286" s="4">
        <v>4</v>
      </c>
      <c r="AO3286" s="4">
        <v>4</v>
      </c>
      <c r="AP3286" s="4">
        <v>0</v>
      </c>
      <c r="AQ3286" s="4">
        <v>12</v>
      </c>
      <c r="AR3286" s="3" t="s">
        <v>65</v>
      </c>
      <c r="AS3286" s="3" t="s">
        <v>65</v>
      </c>
      <c r="AT3286" s="3" t="s">
        <v>209</v>
      </c>
      <c r="AU3286" s="6" t="str">
        <f>HYPERLINK("http://catalog.hathitrust.org/Record/101940831","HathiTrust Record")</f>
        <v>HathiTrust Record</v>
      </c>
      <c r="AV3286" s="6" t="str">
        <f>HYPERLINK("http://mcgill.on.worldcat.org/oclc/17062242","Catalog Record")</f>
        <v>Catalog Record</v>
      </c>
      <c r="AW3286" s="6" t="str">
        <f>HYPERLINK("http://www.worldcat.org/oclc/17062242","WorldCat Record")</f>
        <v>WorldCat Record</v>
      </c>
      <c r="AX3286" s="3" t="s">
        <v>32483</v>
      </c>
      <c r="AY3286" s="3" t="s">
        <v>32484</v>
      </c>
      <c r="AZ3286" s="3" t="s">
        <v>32485</v>
      </c>
      <c r="BA3286" s="3" t="s">
        <v>32485</v>
      </c>
      <c r="BB3286" s="3" t="s">
        <v>32486</v>
      </c>
      <c r="BC3286" s="3" t="s">
        <v>77</v>
      </c>
      <c r="BD3286" s="3" t="s">
        <v>78</v>
      </c>
      <c r="BF3286" s="3" t="s">
        <v>32486</v>
      </c>
      <c r="BG3286" s="3" t="s">
        <v>32487</v>
      </c>
    </row>
    <row r="3287" spans="1:59" ht="58" x14ac:dyDescent="0.35">
      <c r="A3287" s="2" t="s">
        <v>59</v>
      </c>
      <c r="B3287" s="2" t="s">
        <v>60</v>
      </c>
      <c r="C3287" s="2" t="s">
        <v>32488</v>
      </c>
      <c r="D3287" s="2" t="s">
        <v>32489</v>
      </c>
      <c r="E3287" s="2" t="s">
        <v>32480</v>
      </c>
      <c r="G3287" s="3" t="s">
        <v>65</v>
      </c>
      <c r="I3287" s="3" t="s">
        <v>209</v>
      </c>
      <c r="J3287" s="3" t="s">
        <v>65</v>
      </c>
      <c r="K3287" s="3" t="s">
        <v>66</v>
      </c>
      <c r="L3287" s="2" t="s">
        <v>32470</v>
      </c>
      <c r="M3287" s="2" t="s">
        <v>32481</v>
      </c>
      <c r="N3287" s="3" t="s">
        <v>906</v>
      </c>
      <c r="O3287" s="2" t="s">
        <v>654</v>
      </c>
      <c r="P3287" s="3" t="s">
        <v>140</v>
      </c>
      <c r="Q3287" s="2" t="s">
        <v>32482</v>
      </c>
      <c r="R3287" s="3" t="s">
        <v>71</v>
      </c>
      <c r="S3287" s="4">
        <v>12</v>
      </c>
      <c r="T3287" s="4">
        <v>21</v>
      </c>
      <c r="U3287" s="5" t="s">
        <v>32490</v>
      </c>
      <c r="V3287" s="5" t="s">
        <v>24934</v>
      </c>
      <c r="W3287" s="5" t="s">
        <v>72</v>
      </c>
      <c r="X3287" s="5" t="s">
        <v>72</v>
      </c>
      <c r="Y3287" s="4">
        <v>21</v>
      </c>
      <c r="Z3287" s="4">
        <v>1</v>
      </c>
      <c r="AA3287" s="4">
        <v>24</v>
      </c>
      <c r="AB3287" s="4">
        <v>1</v>
      </c>
      <c r="AC3287" s="4">
        <v>2</v>
      </c>
      <c r="AD3287" s="4">
        <v>8</v>
      </c>
      <c r="AE3287" s="4">
        <v>71</v>
      </c>
      <c r="AF3287" s="4">
        <v>0</v>
      </c>
      <c r="AG3287" s="4">
        <v>1</v>
      </c>
      <c r="AH3287" s="4">
        <v>8</v>
      </c>
      <c r="AI3287" s="4">
        <v>65</v>
      </c>
      <c r="AJ3287" s="4">
        <v>0</v>
      </c>
      <c r="AK3287" s="4">
        <v>9</v>
      </c>
      <c r="AL3287" s="4">
        <v>5</v>
      </c>
      <c r="AM3287" s="4">
        <v>40</v>
      </c>
      <c r="AN3287" s="4">
        <v>4</v>
      </c>
      <c r="AO3287" s="4">
        <v>4</v>
      </c>
      <c r="AP3287" s="4">
        <v>0</v>
      </c>
      <c r="AQ3287" s="4">
        <v>12</v>
      </c>
      <c r="AR3287" s="3" t="s">
        <v>65</v>
      </c>
      <c r="AS3287" s="3" t="s">
        <v>65</v>
      </c>
      <c r="AT3287" s="3" t="s">
        <v>209</v>
      </c>
      <c r="AU3287" s="6" t="str">
        <f>HYPERLINK("http://catalog.hathitrust.org/Record/101940831","HathiTrust Record")</f>
        <v>HathiTrust Record</v>
      </c>
      <c r="AV3287" s="6" t="str">
        <f>HYPERLINK("http://mcgill.on.worldcat.org/oclc/17062242","Catalog Record")</f>
        <v>Catalog Record</v>
      </c>
      <c r="AW3287" s="6" t="str">
        <f>HYPERLINK("http://www.worldcat.org/oclc/17062242","WorldCat Record")</f>
        <v>WorldCat Record</v>
      </c>
      <c r="AX3287" s="3" t="s">
        <v>32483</v>
      </c>
      <c r="AY3287" s="3" t="s">
        <v>32484</v>
      </c>
      <c r="AZ3287" s="3" t="s">
        <v>32485</v>
      </c>
      <c r="BA3287" s="3" t="s">
        <v>32485</v>
      </c>
      <c r="BB3287" s="3" t="s">
        <v>32491</v>
      </c>
      <c r="BC3287" s="3" t="s">
        <v>77</v>
      </c>
      <c r="BD3287" s="3" t="s">
        <v>78</v>
      </c>
      <c r="BF3287" s="3" t="s">
        <v>32491</v>
      </c>
      <c r="BG3287" s="3" t="s">
        <v>32492</v>
      </c>
    </row>
    <row r="3288" spans="1:59" ht="58" x14ac:dyDescent="0.35">
      <c r="A3288" s="2" t="s">
        <v>59</v>
      </c>
      <c r="B3288" s="2" t="s">
        <v>60</v>
      </c>
      <c r="C3288" s="2" t="s">
        <v>32493</v>
      </c>
      <c r="D3288" s="2" t="s">
        <v>32494</v>
      </c>
      <c r="E3288" s="2" t="s">
        <v>32495</v>
      </c>
      <c r="G3288" s="3" t="s">
        <v>65</v>
      </c>
      <c r="I3288" s="3" t="s">
        <v>65</v>
      </c>
      <c r="J3288" s="3" t="s">
        <v>65</v>
      </c>
      <c r="K3288" s="3" t="s">
        <v>66</v>
      </c>
      <c r="L3288" s="2" t="s">
        <v>32496</v>
      </c>
      <c r="M3288" s="2" t="s">
        <v>32497</v>
      </c>
      <c r="N3288" s="3" t="s">
        <v>552</v>
      </c>
      <c r="P3288" s="3" t="s">
        <v>140</v>
      </c>
      <c r="Q3288" s="2" t="s">
        <v>32498</v>
      </c>
      <c r="R3288" s="3" t="s">
        <v>71</v>
      </c>
      <c r="S3288" s="4">
        <v>4</v>
      </c>
      <c r="T3288" s="4">
        <v>4</v>
      </c>
      <c r="U3288" s="5" t="s">
        <v>3606</v>
      </c>
      <c r="V3288" s="5" t="s">
        <v>3606</v>
      </c>
      <c r="W3288" s="5" t="s">
        <v>72</v>
      </c>
      <c r="X3288" s="5" t="s">
        <v>72</v>
      </c>
      <c r="Y3288" s="4">
        <v>30</v>
      </c>
      <c r="Z3288" s="4">
        <v>4</v>
      </c>
      <c r="AA3288" s="4">
        <v>4</v>
      </c>
      <c r="AB3288" s="4">
        <v>1</v>
      </c>
      <c r="AC3288" s="4">
        <v>1</v>
      </c>
      <c r="AD3288" s="4">
        <v>18</v>
      </c>
      <c r="AE3288" s="4">
        <v>25</v>
      </c>
      <c r="AF3288" s="4">
        <v>0</v>
      </c>
      <c r="AG3288" s="4">
        <v>0</v>
      </c>
      <c r="AH3288" s="4">
        <v>17</v>
      </c>
      <c r="AI3288" s="4">
        <v>24</v>
      </c>
      <c r="AJ3288" s="4">
        <v>2</v>
      </c>
      <c r="AK3288" s="4">
        <v>2</v>
      </c>
      <c r="AL3288" s="4">
        <v>16</v>
      </c>
      <c r="AM3288" s="4">
        <v>21</v>
      </c>
      <c r="AN3288" s="4">
        <v>0</v>
      </c>
      <c r="AO3288" s="4">
        <v>0</v>
      </c>
      <c r="AP3288" s="4">
        <v>2</v>
      </c>
      <c r="AQ3288" s="4">
        <v>2</v>
      </c>
      <c r="AR3288" s="3" t="s">
        <v>65</v>
      </c>
      <c r="AS3288" s="3" t="s">
        <v>65</v>
      </c>
      <c r="AT3288" s="3" t="s">
        <v>209</v>
      </c>
      <c r="AU3288" s="6" t="str">
        <f>HYPERLINK("http://catalog.hathitrust.org/Record/003974678","HathiTrust Record")</f>
        <v>HathiTrust Record</v>
      </c>
      <c r="AV3288" s="6" t="str">
        <f>HYPERLINK("http://mcgill.on.worldcat.org/oclc/38370382","Catalog Record")</f>
        <v>Catalog Record</v>
      </c>
      <c r="AW3288" s="6" t="str">
        <f>HYPERLINK("http://www.worldcat.org/oclc/38370382","WorldCat Record")</f>
        <v>WorldCat Record</v>
      </c>
      <c r="AX3288" s="3" t="s">
        <v>32499</v>
      </c>
      <c r="AY3288" s="3" t="s">
        <v>32500</v>
      </c>
      <c r="AZ3288" s="3" t="s">
        <v>32501</v>
      </c>
      <c r="BA3288" s="3" t="s">
        <v>32501</v>
      </c>
      <c r="BB3288" s="3" t="s">
        <v>32502</v>
      </c>
      <c r="BC3288" s="3" t="s">
        <v>77</v>
      </c>
      <c r="BD3288" s="3" t="s">
        <v>78</v>
      </c>
      <c r="BF3288" s="3" t="s">
        <v>32502</v>
      </c>
      <c r="BG3288" s="3" t="s">
        <v>32503</v>
      </c>
    </row>
    <row r="3289" spans="1:59" ht="58" x14ac:dyDescent="0.35">
      <c r="A3289" s="2" t="s">
        <v>59</v>
      </c>
      <c r="B3289" s="2" t="s">
        <v>60</v>
      </c>
      <c r="C3289" s="2" t="s">
        <v>32504</v>
      </c>
      <c r="D3289" s="2" t="s">
        <v>32505</v>
      </c>
      <c r="E3289" s="2" t="s">
        <v>32506</v>
      </c>
      <c r="G3289" s="3" t="s">
        <v>65</v>
      </c>
      <c r="I3289" s="3" t="s">
        <v>65</v>
      </c>
      <c r="J3289" s="3" t="s">
        <v>65</v>
      </c>
      <c r="K3289" s="3" t="s">
        <v>66</v>
      </c>
      <c r="L3289" s="2" t="s">
        <v>32507</v>
      </c>
      <c r="M3289" s="2" t="s">
        <v>16261</v>
      </c>
      <c r="N3289" s="3" t="s">
        <v>139</v>
      </c>
      <c r="P3289" s="3" t="s">
        <v>140</v>
      </c>
      <c r="Q3289" s="2" t="s">
        <v>32508</v>
      </c>
      <c r="R3289" s="3" t="s">
        <v>71</v>
      </c>
      <c r="S3289" s="4">
        <v>0</v>
      </c>
      <c r="T3289" s="4">
        <v>0</v>
      </c>
      <c r="W3289" s="5" t="s">
        <v>72</v>
      </c>
      <c r="X3289" s="5" t="s">
        <v>72</v>
      </c>
      <c r="Y3289" s="4">
        <v>54</v>
      </c>
      <c r="Z3289" s="4">
        <v>4</v>
      </c>
      <c r="AA3289" s="4">
        <v>4</v>
      </c>
      <c r="AB3289" s="4">
        <v>1</v>
      </c>
      <c r="AC3289" s="4">
        <v>1</v>
      </c>
      <c r="AD3289" s="4">
        <v>38</v>
      </c>
      <c r="AE3289" s="4">
        <v>38</v>
      </c>
      <c r="AF3289" s="4">
        <v>0</v>
      </c>
      <c r="AG3289" s="4">
        <v>0</v>
      </c>
      <c r="AH3289" s="4">
        <v>37</v>
      </c>
      <c r="AI3289" s="4">
        <v>37</v>
      </c>
      <c r="AJ3289" s="4">
        <v>2</v>
      </c>
      <c r="AK3289" s="4">
        <v>2</v>
      </c>
      <c r="AL3289" s="4">
        <v>28</v>
      </c>
      <c r="AM3289" s="4">
        <v>28</v>
      </c>
      <c r="AN3289" s="4">
        <v>0</v>
      </c>
      <c r="AO3289" s="4">
        <v>0</v>
      </c>
      <c r="AP3289" s="4">
        <v>2</v>
      </c>
      <c r="AQ3289" s="4">
        <v>2</v>
      </c>
      <c r="AR3289" s="3" t="s">
        <v>65</v>
      </c>
      <c r="AS3289" s="3" t="s">
        <v>65</v>
      </c>
      <c r="AT3289" s="3" t="s">
        <v>65</v>
      </c>
      <c r="AV3289" s="6" t="str">
        <f>HYPERLINK("http://mcgill.on.worldcat.org/oclc/816040709","Catalog Record")</f>
        <v>Catalog Record</v>
      </c>
      <c r="AW3289" s="6" t="str">
        <f>HYPERLINK("http://www.worldcat.org/oclc/816040709","WorldCat Record")</f>
        <v>WorldCat Record</v>
      </c>
      <c r="AX3289" s="3" t="s">
        <v>32509</v>
      </c>
      <c r="AY3289" s="3" t="s">
        <v>32510</v>
      </c>
      <c r="AZ3289" s="3" t="s">
        <v>32511</v>
      </c>
      <c r="BA3289" s="3" t="s">
        <v>32511</v>
      </c>
      <c r="BB3289" s="3" t="s">
        <v>32512</v>
      </c>
      <c r="BC3289" s="3" t="s">
        <v>77</v>
      </c>
      <c r="BD3289" s="3" t="s">
        <v>78</v>
      </c>
      <c r="BE3289" s="3" t="s">
        <v>32513</v>
      </c>
      <c r="BF3289" s="3" t="s">
        <v>32512</v>
      </c>
      <c r="BG3289" s="3" t="s">
        <v>32514</v>
      </c>
    </row>
    <row r="3290" spans="1:59" ht="58" x14ac:dyDescent="0.35">
      <c r="A3290" s="2" t="s">
        <v>59</v>
      </c>
      <c r="B3290" s="2" t="s">
        <v>60</v>
      </c>
      <c r="C3290" s="2" t="s">
        <v>32515</v>
      </c>
      <c r="D3290" s="2" t="s">
        <v>32516</v>
      </c>
      <c r="E3290" s="2" t="s">
        <v>32517</v>
      </c>
      <c r="G3290" s="3" t="s">
        <v>65</v>
      </c>
      <c r="I3290" s="3" t="s">
        <v>65</v>
      </c>
      <c r="J3290" s="3" t="s">
        <v>65</v>
      </c>
      <c r="K3290" s="3" t="s">
        <v>66</v>
      </c>
      <c r="L3290" s="2" t="s">
        <v>32518</v>
      </c>
      <c r="M3290" s="2" t="s">
        <v>32519</v>
      </c>
      <c r="N3290" s="3" t="s">
        <v>2210</v>
      </c>
      <c r="P3290" s="3" t="s">
        <v>616</v>
      </c>
      <c r="Q3290" s="2" t="s">
        <v>32520</v>
      </c>
      <c r="R3290" s="3" t="s">
        <v>71</v>
      </c>
      <c r="S3290" s="4">
        <v>2</v>
      </c>
      <c r="T3290" s="4">
        <v>2</v>
      </c>
      <c r="U3290" s="5" t="s">
        <v>3606</v>
      </c>
      <c r="V3290" s="5" t="s">
        <v>3606</v>
      </c>
      <c r="W3290" s="5" t="s">
        <v>72</v>
      </c>
      <c r="X3290" s="5" t="s">
        <v>72</v>
      </c>
      <c r="Y3290" s="4">
        <v>64</v>
      </c>
      <c r="Z3290" s="4">
        <v>4</v>
      </c>
      <c r="AA3290" s="4">
        <v>4</v>
      </c>
      <c r="AB3290" s="4">
        <v>1</v>
      </c>
      <c r="AC3290" s="4">
        <v>1</v>
      </c>
      <c r="AD3290" s="4">
        <v>44</v>
      </c>
      <c r="AE3290" s="4">
        <v>44</v>
      </c>
      <c r="AF3290" s="4">
        <v>0</v>
      </c>
      <c r="AG3290" s="4">
        <v>0</v>
      </c>
      <c r="AH3290" s="4">
        <v>43</v>
      </c>
      <c r="AI3290" s="4">
        <v>43</v>
      </c>
      <c r="AJ3290" s="4">
        <v>2</v>
      </c>
      <c r="AK3290" s="4">
        <v>2</v>
      </c>
      <c r="AL3290" s="4">
        <v>33</v>
      </c>
      <c r="AM3290" s="4">
        <v>33</v>
      </c>
      <c r="AN3290" s="4">
        <v>0</v>
      </c>
      <c r="AO3290" s="4">
        <v>0</v>
      </c>
      <c r="AP3290" s="4">
        <v>2</v>
      </c>
      <c r="AQ3290" s="4">
        <v>2</v>
      </c>
      <c r="AR3290" s="3" t="s">
        <v>65</v>
      </c>
      <c r="AS3290" s="3" t="s">
        <v>65</v>
      </c>
      <c r="AT3290" s="3" t="s">
        <v>209</v>
      </c>
      <c r="AU3290" s="6" t="str">
        <f>HYPERLINK("http://catalog.hathitrust.org/Record/003845104","HathiTrust Record")</f>
        <v>HathiTrust Record</v>
      </c>
      <c r="AV3290" s="6" t="str">
        <f>HYPERLINK("http://mcgill.on.worldcat.org/oclc/51567375","Catalog Record")</f>
        <v>Catalog Record</v>
      </c>
      <c r="AW3290" s="6" t="str">
        <f>HYPERLINK("http://www.worldcat.org/oclc/51567375","WorldCat Record")</f>
        <v>WorldCat Record</v>
      </c>
      <c r="AX3290" s="3" t="s">
        <v>32521</v>
      </c>
      <c r="AY3290" s="3" t="s">
        <v>32522</v>
      </c>
      <c r="AZ3290" s="3" t="s">
        <v>32523</v>
      </c>
      <c r="BA3290" s="3" t="s">
        <v>32523</v>
      </c>
      <c r="BB3290" s="3" t="s">
        <v>32524</v>
      </c>
      <c r="BC3290" s="3" t="s">
        <v>77</v>
      </c>
      <c r="BD3290" s="3" t="s">
        <v>78</v>
      </c>
      <c r="BE3290" s="3" t="s">
        <v>32525</v>
      </c>
      <c r="BF3290" s="3" t="s">
        <v>32524</v>
      </c>
      <c r="BG3290" s="3" t="s">
        <v>32526</v>
      </c>
    </row>
    <row r="3291" spans="1:59" ht="58" x14ac:dyDescent="0.35">
      <c r="A3291" s="2" t="s">
        <v>59</v>
      </c>
      <c r="B3291" s="2" t="s">
        <v>60</v>
      </c>
      <c r="C3291" s="2" t="s">
        <v>32527</v>
      </c>
      <c r="D3291" s="2" t="s">
        <v>32528</v>
      </c>
      <c r="E3291" s="2" t="s">
        <v>32529</v>
      </c>
      <c r="G3291" s="3" t="s">
        <v>65</v>
      </c>
      <c r="I3291" s="3" t="s">
        <v>65</v>
      </c>
      <c r="J3291" s="3" t="s">
        <v>65</v>
      </c>
      <c r="K3291" s="3" t="s">
        <v>66</v>
      </c>
      <c r="L3291" s="2" t="s">
        <v>32530</v>
      </c>
      <c r="M3291" s="2" t="s">
        <v>32531</v>
      </c>
      <c r="N3291" s="3" t="s">
        <v>221</v>
      </c>
      <c r="P3291" s="3" t="s">
        <v>140</v>
      </c>
      <c r="Q3291" s="2" t="s">
        <v>32532</v>
      </c>
      <c r="R3291" s="3" t="s">
        <v>71</v>
      </c>
      <c r="S3291" s="4">
        <v>4</v>
      </c>
      <c r="T3291" s="4">
        <v>4</v>
      </c>
      <c r="U3291" s="5" t="s">
        <v>3606</v>
      </c>
      <c r="V3291" s="5" t="s">
        <v>3606</v>
      </c>
      <c r="W3291" s="5" t="s">
        <v>72</v>
      </c>
      <c r="X3291" s="5" t="s">
        <v>72</v>
      </c>
      <c r="Y3291" s="4">
        <v>48</v>
      </c>
      <c r="Z3291" s="4">
        <v>6</v>
      </c>
      <c r="AA3291" s="4">
        <v>6</v>
      </c>
      <c r="AB3291" s="4">
        <v>1</v>
      </c>
      <c r="AC3291" s="4">
        <v>1</v>
      </c>
      <c r="AD3291" s="4">
        <v>34</v>
      </c>
      <c r="AE3291" s="4">
        <v>34</v>
      </c>
      <c r="AF3291" s="4">
        <v>0</v>
      </c>
      <c r="AG3291" s="4">
        <v>0</v>
      </c>
      <c r="AH3291" s="4">
        <v>33</v>
      </c>
      <c r="AI3291" s="4">
        <v>33</v>
      </c>
      <c r="AJ3291" s="4">
        <v>4</v>
      </c>
      <c r="AK3291" s="4">
        <v>4</v>
      </c>
      <c r="AL3291" s="4">
        <v>24</v>
      </c>
      <c r="AM3291" s="4">
        <v>24</v>
      </c>
      <c r="AN3291" s="4">
        <v>0</v>
      </c>
      <c r="AO3291" s="4">
        <v>0</v>
      </c>
      <c r="AP3291" s="4">
        <v>4</v>
      </c>
      <c r="AQ3291" s="4">
        <v>4</v>
      </c>
      <c r="AR3291" s="3" t="s">
        <v>65</v>
      </c>
      <c r="AS3291" s="3" t="s">
        <v>65</v>
      </c>
      <c r="AT3291" s="3" t="s">
        <v>209</v>
      </c>
      <c r="AU3291" s="6" t="str">
        <f>HYPERLINK("http://catalog.hathitrust.org/Record/005571424","HathiTrust Record")</f>
        <v>HathiTrust Record</v>
      </c>
      <c r="AV3291" s="6" t="str">
        <f>HYPERLINK("http://mcgill.on.worldcat.org/oclc/133430996","Catalog Record")</f>
        <v>Catalog Record</v>
      </c>
      <c r="AW3291" s="6" t="str">
        <f>HYPERLINK("http://www.worldcat.org/oclc/133430996","WorldCat Record")</f>
        <v>WorldCat Record</v>
      </c>
      <c r="AX3291" s="3" t="s">
        <v>32533</v>
      </c>
      <c r="AY3291" s="3" t="s">
        <v>32534</v>
      </c>
      <c r="AZ3291" s="3" t="s">
        <v>32535</v>
      </c>
      <c r="BA3291" s="3" t="s">
        <v>32535</v>
      </c>
      <c r="BB3291" s="3" t="s">
        <v>32536</v>
      </c>
      <c r="BC3291" s="3" t="s">
        <v>77</v>
      </c>
      <c r="BD3291" s="3" t="s">
        <v>78</v>
      </c>
      <c r="BE3291" s="3" t="s">
        <v>32537</v>
      </c>
      <c r="BF3291" s="3" t="s">
        <v>32536</v>
      </c>
      <c r="BG3291" s="3" t="s">
        <v>32538</v>
      </c>
    </row>
    <row r="3292" spans="1:59" ht="58" x14ac:dyDescent="0.35">
      <c r="A3292" s="2" t="s">
        <v>59</v>
      </c>
      <c r="B3292" s="2" t="s">
        <v>60</v>
      </c>
      <c r="C3292" s="2" t="s">
        <v>32539</v>
      </c>
      <c r="D3292" s="2" t="s">
        <v>32540</v>
      </c>
      <c r="E3292" s="2" t="s">
        <v>32541</v>
      </c>
      <c r="G3292" s="3" t="s">
        <v>65</v>
      </c>
      <c r="I3292" s="3" t="s">
        <v>65</v>
      </c>
      <c r="J3292" s="3" t="s">
        <v>65</v>
      </c>
      <c r="K3292" s="3" t="s">
        <v>66</v>
      </c>
      <c r="L3292" s="2" t="s">
        <v>32542</v>
      </c>
      <c r="M3292" s="2" t="s">
        <v>32543</v>
      </c>
      <c r="N3292" s="3" t="s">
        <v>5338</v>
      </c>
      <c r="P3292" s="3" t="s">
        <v>140</v>
      </c>
      <c r="R3292" s="3" t="s">
        <v>71</v>
      </c>
      <c r="S3292" s="4">
        <v>2</v>
      </c>
      <c r="T3292" s="4">
        <v>2</v>
      </c>
      <c r="U3292" s="5" t="s">
        <v>3606</v>
      </c>
      <c r="V3292" s="5" t="s">
        <v>3606</v>
      </c>
      <c r="W3292" s="5" t="s">
        <v>72</v>
      </c>
      <c r="X3292" s="5" t="s">
        <v>72</v>
      </c>
      <c r="Y3292" s="4">
        <v>52</v>
      </c>
      <c r="Z3292" s="4">
        <v>6</v>
      </c>
      <c r="AA3292" s="4">
        <v>6</v>
      </c>
      <c r="AB3292" s="4">
        <v>1</v>
      </c>
      <c r="AC3292" s="4">
        <v>1</v>
      </c>
      <c r="AD3292" s="4">
        <v>26</v>
      </c>
      <c r="AE3292" s="4">
        <v>26</v>
      </c>
      <c r="AF3292" s="4">
        <v>0</v>
      </c>
      <c r="AG3292" s="4">
        <v>0</v>
      </c>
      <c r="AH3292" s="4">
        <v>24</v>
      </c>
      <c r="AI3292" s="4">
        <v>24</v>
      </c>
      <c r="AJ3292" s="4">
        <v>3</v>
      </c>
      <c r="AK3292" s="4">
        <v>3</v>
      </c>
      <c r="AL3292" s="4">
        <v>22</v>
      </c>
      <c r="AM3292" s="4">
        <v>22</v>
      </c>
      <c r="AN3292" s="4">
        <v>0</v>
      </c>
      <c r="AO3292" s="4">
        <v>0</v>
      </c>
      <c r="AP3292" s="4">
        <v>3</v>
      </c>
      <c r="AQ3292" s="4">
        <v>3</v>
      </c>
      <c r="AR3292" s="3" t="s">
        <v>65</v>
      </c>
      <c r="AS3292" s="3" t="s">
        <v>65</v>
      </c>
      <c r="AT3292" s="3" t="s">
        <v>209</v>
      </c>
      <c r="AU3292" s="6" t="str">
        <f>HYPERLINK("http://catalog.hathitrust.org/Record/001807261","HathiTrust Record")</f>
        <v>HathiTrust Record</v>
      </c>
      <c r="AV3292" s="6" t="str">
        <f>HYPERLINK("http://mcgill.on.worldcat.org/oclc/375129","Catalog Record")</f>
        <v>Catalog Record</v>
      </c>
      <c r="AW3292" s="6" t="str">
        <f>HYPERLINK("http://www.worldcat.org/oclc/375129","WorldCat Record")</f>
        <v>WorldCat Record</v>
      </c>
      <c r="AX3292" s="3" t="s">
        <v>32544</v>
      </c>
      <c r="AY3292" s="3" t="s">
        <v>32545</v>
      </c>
      <c r="AZ3292" s="3" t="s">
        <v>32546</v>
      </c>
      <c r="BA3292" s="3" t="s">
        <v>32546</v>
      </c>
      <c r="BB3292" s="3" t="s">
        <v>32547</v>
      </c>
      <c r="BC3292" s="3" t="s">
        <v>77</v>
      </c>
      <c r="BD3292" s="3" t="s">
        <v>78</v>
      </c>
      <c r="BF3292" s="3" t="s">
        <v>32547</v>
      </c>
      <c r="BG3292" s="3" t="s">
        <v>32548</v>
      </c>
    </row>
    <row r="3293" spans="1:59" ht="58" x14ac:dyDescent="0.35">
      <c r="A3293" s="2" t="s">
        <v>59</v>
      </c>
      <c r="B3293" s="2" t="s">
        <v>60</v>
      </c>
      <c r="C3293" s="2" t="s">
        <v>32549</v>
      </c>
      <c r="D3293" s="2" t="s">
        <v>32550</v>
      </c>
      <c r="E3293" s="2" t="s">
        <v>32551</v>
      </c>
      <c r="G3293" s="3" t="s">
        <v>65</v>
      </c>
      <c r="I3293" s="3" t="s">
        <v>65</v>
      </c>
      <c r="J3293" s="3" t="s">
        <v>65</v>
      </c>
      <c r="K3293" s="3" t="s">
        <v>66</v>
      </c>
      <c r="L3293" s="2" t="s">
        <v>32552</v>
      </c>
      <c r="M3293" s="2" t="s">
        <v>32553</v>
      </c>
      <c r="N3293" s="3" t="s">
        <v>3385</v>
      </c>
      <c r="P3293" s="3" t="s">
        <v>140</v>
      </c>
      <c r="Q3293" s="2" t="s">
        <v>32554</v>
      </c>
      <c r="R3293" s="3" t="s">
        <v>71</v>
      </c>
      <c r="S3293" s="4">
        <v>2</v>
      </c>
      <c r="T3293" s="4">
        <v>2</v>
      </c>
      <c r="U3293" s="5" t="s">
        <v>23155</v>
      </c>
      <c r="V3293" s="5" t="s">
        <v>23155</v>
      </c>
      <c r="W3293" s="5" t="s">
        <v>72</v>
      </c>
      <c r="X3293" s="5" t="s">
        <v>72</v>
      </c>
      <c r="Y3293" s="4">
        <v>52</v>
      </c>
      <c r="Z3293" s="4">
        <v>3</v>
      </c>
      <c r="AA3293" s="4">
        <v>3</v>
      </c>
      <c r="AB3293" s="4">
        <v>1</v>
      </c>
      <c r="AC3293" s="4">
        <v>1</v>
      </c>
      <c r="AD3293" s="4">
        <v>32</v>
      </c>
      <c r="AE3293" s="4">
        <v>32</v>
      </c>
      <c r="AF3293" s="4">
        <v>0</v>
      </c>
      <c r="AG3293" s="4">
        <v>0</v>
      </c>
      <c r="AH3293" s="4">
        <v>31</v>
      </c>
      <c r="AI3293" s="4">
        <v>31</v>
      </c>
      <c r="AJ3293" s="4">
        <v>1</v>
      </c>
      <c r="AK3293" s="4">
        <v>1</v>
      </c>
      <c r="AL3293" s="4">
        <v>27</v>
      </c>
      <c r="AM3293" s="4">
        <v>27</v>
      </c>
      <c r="AN3293" s="4">
        <v>0</v>
      </c>
      <c r="AO3293" s="4">
        <v>0</v>
      </c>
      <c r="AP3293" s="4">
        <v>1</v>
      </c>
      <c r="AQ3293" s="4">
        <v>1</v>
      </c>
      <c r="AR3293" s="3" t="s">
        <v>65</v>
      </c>
      <c r="AS3293" s="3" t="s">
        <v>65</v>
      </c>
      <c r="AT3293" s="3" t="s">
        <v>209</v>
      </c>
      <c r="AU3293" s="6" t="str">
        <f>HYPERLINK("http://catalog.hathitrust.org/Record/004061911","HathiTrust Record")</f>
        <v>HathiTrust Record</v>
      </c>
      <c r="AV3293" s="6" t="str">
        <f>HYPERLINK("http://mcgill.on.worldcat.org/oclc/42009982","Catalog Record")</f>
        <v>Catalog Record</v>
      </c>
      <c r="AW3293" s="6" t="str">
        <f>HYPERLINK("http://www.worldcat.org/oclc/42009982","WorldCat Record")</f>
        <v>WorldCat Record</v>
      </c>
      <c r="AX3293" s="3" t="s">
        <v>32555</v>
      </c>
      <c r="AY3293" s="3" t="s">
        <v>32556</v>
      </c>
      <c r="AZ3293" s="3" t="s">
        <v>32557</v>
      </c>
      <c r="BA3293" s="3" t="s">
        <v>32557</v>
      </c>
      <c r="BB3293" s="3" t="s">
        <v>32558</v>
      </c>
      <c r="BC3293" s="3" t="s">
        <v>77</v>
      </c>
      <c r="BD3293" s="3" t="s">
        <v>78</v>
      </c>
      <c r="BE3293" s="3" t="s">
        <v>32559</v>
      </c>
      <c r="BF3293" s="3" t="s">
        <v>32558</v>
      </c>
      <c r="BG3293" s="3" t="s">
        <v>32560</v>
      </c>
    </row>
    <row r="3294" spans="1:59" ht="58" x14ac:dyDescent="0.35">
      <c r="A3294" s="2" t="s">
        <v>59</v>
      </c>
      <c r="B3294" s="2" t="s">
        <v>60</v>
      </c>
      <c r="C3294" s="2" t="s">
        <v>32561</v>
      </c>
      <c r="D3294" s="2" t="s">
        <v>32562</v>
      </c>
      <c r="E3294" s="2" t="s">
        <v>32563</v>
      </c>
      <c r="G3294" s="3" t="s">
        <v>65</v>
      </c>
      <c r="I3294" s="3" t="s">
        <v>65</v>
      </c>
      <c r="J3294" s="3" t="s">
        <v>65</v>
      </c>
      <c r="K3294" s="3" t="s">
        <v>66</v>
      </c>
      <c r="L3294" s="2" t="s">
        <v>32564</v>
      </c>
      <c r="M3294" s="2" t="s">
        <v>29573</v>
      </c>
      <c r="N3294" s="3" t="s">
        <v>2750</v>
      </c>
      <c r="P3294" s="3" t="s">
        <v>140</v>
      </c>
      <c r="Q3294" s="2" t="s">
        <v>32565</v>
      </c>
      <c r="R3294" s="3" t="s">
        <v>71</v>
      </c>
      <c r="S3294" s="4">
        <v>4</v>
      </c>
      <c r="T3294" s="4">
        <v>4</v>
      </c>
      <c r="U3294" s="5" t="s">
        <v>3606</v>
      </c>
      <c r="V3294" s="5" t="s">
        <v>3606</v>
      </c>
      <c r="W3294" s="5" t="s">
        <v>72</v>
      </c>
      <c r="X3294" s="5" t="s">
        <v>72</v>
      </c>
      <c r="Y3294" s="4">
        <v>99</v>
      </c>
      <c r="Z3294" s="4">
        <v>12</v>
      </c>
      <c r="AA3294" s="4">
        <v>13</v>
      </c>
      <c r="AB3294" s="4">
        <v>1</v>
      </c>
      <c r="AC3294" s="4">
        <v>2</v>
      </c>
      <c r="AD3294" s="4">
        <v>45</v>
      </c>
      <c r="AE3294" s="4">
        <v>47</v>
      </c>
      <c r="AF3294" s="4">
        <v>0</v>
      </c>
      <c r="AG3294" s="4">
        <v>1</v>
      </c>
      <c r="AH3294" s="4">
        <v>41</v>
      </c>
      <c r="AI3294" s="4">
        <v>42</v>
      </c>
      <c r="AJ3294" s="4">
        <v>7</v>
      </c>
      <c r="AK3294" s="4">
        <v>8</v>
      </c>
      <c r="AL3294" s="4">
        <v>31</v>
      </c>
      <c r="AM3294" s="4">
        <v>32</v>
      </c>
      <c r="AN3294" s="4">
        <v>0</v>
      </c>
      <c r="AO3294" s="4">
        <v>0</v>
      </c>
      <c r="AP3294" s="4">
        <v>7</v>
      </c>
      <c r="AQ3294" s="4">
        <v>7</v>
      </c>
      <c r="AR3294" s="3" t="s">
        <v>65</v>
      </c>
      <c r="AS3294" s="3" t="s">
        <v>65</v>
      </c>
      <c r="AT3294" s="3" t="s">
        <v>209</v>
      </c>
      <c r="AU3294" s="6" t="str">
        <f>HYPERLINK("http://catalog.hathitrust.org/Record/000742587","HathiTrust Record")</f>
        <v>HathiTrust Record</v>
      </c>
      <c r="AV3294" s="6" t="str">
        <f>HYPERLINK("http://mcgill.on.worldcat.org/oclc/2396058","Catalog Record")</f>
        <v>Catalog Record</v>
      </c>
      <c r="AW3294" s="6" t="str">
        <f>HYPERLINK("http://www.worldcat.org/oclc/2396058","WorldCat Record")</f>
        <v>WorldCat Record</v>
      </c>
      <c r="AX3294" s="3" t="s">
        <v>32566</v>
      </c>
      <c r="AY3294" s="3" t="s">
        <v>32567</v>
      </c>
      <c r="AZ3294" s="3" t="s">
        <v>32568</v>
      </c>
      <c r="BA3294" s="3" t="s">
        <v>32568</v>
      </c>
      <c r="BB3294" s="3" t="s">
        <v>32569</v>
      </c>
      <c r="BC3294" s="3" t="s">
        <v>77</v>
      </c>
      <c r="BD3294" s="3" t="s">
        <v>78</v>
      </c>
      <c r="BF3294" s="3" t="s">
        <v>32569</v>
      </c>
      <c r="BG3294" s="3" t="s">
        <v>32570</v>
      </c>
    </row>
    <row r="3295" spans="1:59" ht="58" x14ac:dyDescent="0.35">
      <c r="A3295" s="2" t="s">
        <v>59</v>
      </c>
      <c r="B3295" s="2" t="s">
        <v>60</v>
      </c>
      <c r="C3295" s="2" t="s">
        <v>32571</v>
      </c>
      <c r="D3295" s="2" t="s">
        <v>32572</v>
      </c>
      <c r="E3295" s="2" t="s">
        <v>32573</v>
      </c>
      <c r="G3295" s="3" t="s">
        <v>65</v>
      </c>
      <c r="I3295" s="3" t="s">
        <v>65</v>
      </c>
      <c r="J3295" s="3" t="s">
        <v>65</v>
      </c>
      <c r="K3295" s="3" t="s">
        <v>66</v>
      </c>
      <c r="L3295" s="2" t="s">
        <v>32574</v>
      </c>
      <c r="M3295" s="2" t="s">
        <v>32575</v>
      </c>
      <c r="N3295" s="3" t="s">
        <v>770</v>
      </c>
      <c r="P3295" s="3" t="s">
        <v>69</v>
      </c>
      <c r="R3295" s="3" t="s">
        <v>71</v>
      </c>
      <c r="S3295" s="4">
        <v>2</v>
      </c>
      <c r="T3295" s="4">
        <v>2</v>
      </c>
      <c r="U3295" s="5" t="s">
        <v>17942</v>
      </c>
      <c r="V3295" s="5" t="s">
        <v>17942</v>
      </c>
      <c r="W3295" s="5" t="s">
        <v>72</v>
      </c>
      <c r="X3295" s="5" t="s">
        <v>72</v>
      </c>
      <c r="Y3295" s="4">
        <v>66</v>
      </c>
      <c r="Z3295" s="4">
        <v>8</v>
      </c>
      <c r="AA3295" s="4">
        <v>21</v>
      </c>
      <c r="AB3295" s="4">
        <v>1</v>
      </c>
      <c r="AC3295" s="4">
        <v>2</v>
      </c>
      <c r="AD3295" s="4">
        <v>23</v>
      </c>
      <c r="AE3295" s="4">
        <v>105</v>
      </c>
      <c r="AF3295" s="4">
        <v>0</v>
      </c>
      <c r="AG3295" s="4">
        <v>1</v>
      </c>
      <c r="AH3295" s="4">
        <v>22</v>
      </c>
      <c r="AI3295" s="4">
        <v>93</v>
      </c>
      <c r="AJ3295" s="4">
        <v>4</v>
      </c>
      <c r="AK3295" s="4">
        <v>11</v>
      </c>
      <c r="AL3295" s="4">
        <v>12</v>
      </c>
      <c r="AM3295" s="4">
        <v>53</v>
      </c>
      <c r="AN3295" s="4">
        <v>0</v>
      </c>
      <c r="AO3295" s="4">
        <v>0</v>
      </c>
      <c r="AP3295" s="4">
        <v>5</v>
      </c>
      <c r="AQ3295" s="4">
        <v>16</v>
      </c>
      <c r="AR3295" s="3" t="s">
        <v>65</v>
      </c>
      <c r="AS3295" s="3" t="s">
        <v>65</v>
      </c>
      <c r="AT3295" s="3" t="s">
        <v>209</v>
      </c>
      <c r="AU3295" s="6" t="str">
        <f>HYPERLINK("http://catalog.hathitrust.org/Record/002549664","HathiTrust Record")</f>
        <v>HathiTrust Record</v>
      </c>
      <c r="AV3295" s="6" t="str">
        <f>HYPERLINK("http://mcgill.on.worldcat.org/oclc/23655203","Catalog Record")</f>
        <v>Catalog Record</v>
      </c>
      <c r="AW3295" s="6" t="str">
        <f>HYPERLINK("http://www.worldcat.org/oclc/23655203","WorldCat Record")</f>
        <v>WorldCat Record</v>
      </c>
      <c r="AX3295" s="3" t="s">
        <v>32576</v>
      </c>
      <c r="AY3295" s="3" t="s">
        <v>32577</v>
      </c>
      <c r="AZ3295" s="3" t="s">
        <v>32578</v>
      </c>
      <c r="BA3295" s="3" t="s">
        <v>32578</v>
      </c>
      <c r="BB3295" s="3" t="s">
        <v>32579</v>
      </c>
      <c r="BC3295" s="3" t="s">
        <v>77</v>
      </c>
      <c r="BD3295" s="3" t="s">
        <v>78</v>
      </c>
      <c r="BE3295" s="3" t="s">
        <v>32580</v>
      </c>
      <c r="BF3295" s="3" t="s">
        <v>32579</v>
      </c>
      <c r="BG3295" s="3" t="s">
        <v>32581</v>
      </c>
    </row>
    <row r="3296" spans="1:59" ht="58" x14ac:dyDescent="0.35">
      <c r="A3296" s="2" t="s">
        <v>59</v>
      </c>
      <c r="B3296" s="2" t="s">
        <v>60</v>
      </c>
      <c r="C3296" s="2" t="s">
        <v>32582</v>
      </c>
      <c r="D3296" s="2" t="s">
        <v>32583</v>
      </c>
      <c r="E3296" s="2" t="s">
        <v>32584</v>
      </c>
      <c r="G3296" s="3" t="s">
        <v>65</v>
      </c>
      <c r="I3296" s="3" t="s">
        <v>65</v>
      </c>
      <c r="J3296" s="3" t="s">
        <v>65</v>
      </c>
      <c r="K3296" s="3" t="s">
        <v>66</v>
      </c>
      <c r="L3296" s="2" t="s">
        <v>32574</v>
      </c>
      <c r="M3296" s="2" t="s">
        <v>32585</v>
      </c>
      <c r="N3296" s="3" t="s">
        <v>863</v>
      </c>
      <c r="P3296" s="3" t="s">
        <v>69</v>
      </c>
      <c r="R3296" s="3" t="s">
        <v>71</v>
      </c>
      <c r="S3296" s="4">
        <v>2</v>
      </c>
      <c r="T3296" s="4">
        <v>2</v>
      </c>
      <c r="U3296" s="5" t="s">
        <v>32586</v>
      </c>
      <c r="V3296" s="5" t="s">
        <v>32586</v>
      </c>
      <c r="W3296" s="5" t="s">
        <v>72</v>
      </c>
      <c r="X3296" s="5" t="s">
        <v>72</v>
      </c>
      <c r="Y3296" s="4">
        <v>66</v>
      </c>
      <c r="Z3296" s="4">
        <v>1</v>
      </c>
      <c r="AA3296" s="4">
        <v>10</v>
      </c>
      <c r="AB3296" s="4">
        <v>1</v>
      </c>
      <c r="AC3296" s="4">
        <v>1</v>
      </c>
      <c r="AD3296" s="4">
        <v>17</v>
      </c>
      <c r="AE3296" s="4">
        <v>83</v>
      </c>
      <c r="AF3296" s="4">
        <v>0</v>
      </c>
      <c r="AG3296" s="4">
        <v>0</v>
      </c>
      <c r="AH3296" s="4">
        <v>17</v>
      </c>
      <c r="AI3296" s="4">
        <v>76</v>
      </c>
      <c r="AJ3296" s="4">
        <v>0</v>
      </c>
      <c r="AK3296" s="4">
        <v>5</v>
      </c>
      <c r="AL3296" s="4">
        <v>12</v>
      </c>
      <c r="AM3296" s="4">
        <v>47</v>
      </c>
      <c r="AN3296" s="4">
        <v>0</v>
      </c>
      <c r="AO3296" s="4">
        <v>0</v>
      </c>
      <c r="AP3296" s="4">
        <v>0</v>
      </c>
      <c r="AQ3296" s="4">
        <v>6</v>
      </c>
      <c r="AR3296" s="3" t="s">
        <v>65</v>
      </c>
      <c r="AS3296" s="3" t="s">
        <v>65</v>
      </c>
      <c r="AT3296" s="3" t="s">
        <v>65</v>
      </c>
      <c r="AV3296" s="6" t="str">
        <f>HYPERLINK("http://mcgill.on.worldcat.org/oclc/26132606","Catalog Record")</f>
        <v>Catalog Record</v>
      </c>
      <c r="AW3296" s="6" t="str">
        <f>HYPERLINK("http://www.worldcat.org/oclc/26132606","WorldCat Record")</f>
        <v>WorldCat Record</v>
      </c>
      <c r="AX3296" s="3" t="s">
        <v>32587</v>
      </c>
      <c r="AY3296" s="3" t="s">
        <v>32588</v>
      </c>
      <c r="AZ3296" s="3" t="s">
        <v>32589</v>
      </c>
      <c r="BA3296" s="3" t="s">
        <v>32589</v>
      </c>
      <c r="BB3296" s="3" t="s">
        <v>32590</v>
      </c>
      <c r="BC3296" s="3" t="s">
        <v>77</v>
      </c>
      <c r="BD3296" s="3" t="s">
        <v>78</v>
      </c>
      <c r="BE3296" s="3" t="s">
        <v>32591</v>
      </c>
      <c r="BF3296" s="3" t="s">
        <v>32590</v>
      </c>
      <c r="BG3296" s="3" t="s">
        <v>32592</v>
      </c>
    </row>
    <row r="3297" spans="1:59" ht="58" x14ac:dyDescent="0.35">
      <c r="A3297" s="2" t="s">
        <v>59</v>
      </c>
      <c r="B3297" s="2" t="s">
        <v>60</v>
      </c>
      <c r="C3297" s="2" t="s">
        <v>32593</v>
      </c>
      <c r="D3297" s="2" t="s">
        <v>32594</v>
      </c>
      <c r="E3297" s="2" t="s">
        <v>32595</v>
      </c>
      <c r="G3297" s="3" t="s">
        <v>65</v>
      </c>
      <c r="I3297" s="3" t="s">
        <v>65</v>
      </c>
      <c r="J3297" s="3" t="s">
        <v>65</v>
      </c>
      <c r="K3297" s="3" t="s">
        <v>66</v>
      </c>
      <c r="L3297" s="2" t="s">
        <v>32596</v>
      </c>
      <c r="M3297" s="2" t="s">
        <v>32597</v>
      </c>
      <c r="N3297" s="3" t="s">
        <v>2750</v>
      </c>
      <c r="P3297" s="3" t="s">
        <v>69</v>
      </c>
      <c r="R3297" s="3" t="s">
        <v>71</v>
      </c>
      <c r="S3297" s="4">
        <v>21</v>
      </c>
      <c r="T3297" s="4">
        <v>21</v>
      </c>
      <c r="U3297" s="5" t="s">
        <v>3235</v>
      </c>
      <c r="V3297" s="5" t="s">
        <v>3235</v>
      </c>
      <c r="W3297" s="5" t="s">
        <v>72</v>
      </c>
      <c r="X3297" s="5" t="s">
        <v>72</v>
      </c>
      <c r="Y3297" s="4">
        <v>485</v>
      </c>
      <c r="Z3297" s="4">
        <v>26</v>
      </c>
      <c r="AA3297" s="4">
        <v>27</v>
      </c>
      <c r="AB3297" s="4">
        <v>2</v>
      </c>
      <c r="AC3297" s="4">
        <v>2</v>
      </c>
      <c r="AD3297" s="4">
        <v>110</v>
      </c>
      <c r="AE3297" s="4">
        <v>111</v>
      </c>
      <c r="AF3297" s="4">
        <v>1</v>
      </c>
      <c r="AG3297" s="4">
        <v>1</v>
      </c>
      <c r="AH3297" s="4">
        <v>98</v>
      </c>
      <c r="AI3297" s="4">
        <v>98</v>
      </c>
      <c r="AJ3297" s="4">
        <v>14</v>
      </c>
      <c r="AK3297" s="4">
        <v>14</v>
      </c>
      <c r="AL3297" s="4">
        <v>54</v>
      </c>
      <c r="AM3297" s="4">
        <v>54</v>
      </c>
      <c r="AN3297" s="4">
        <v>0</v>
      </c>
      <c r="AO3297" s="4">
        <v>0</v>
      </c>
      <c r="AP3297" s="4">
        <v>17</v>
      </c>
      <c r="AQ3297" s="4">
        <v>18</v>
      </c>
      <c r="AR3297" s="3" t="s">
        <v>65</v>
      </c>
      <c r="AS3297" s="3" t="s">
        <v>65</v>
      </c>
      <c r="AT3297" s="3" t="s">
        <v>209</v>
      </c>
      <c r="AU3297" s="6" t="str">
        <f>HYPERLINK("http://catalog.hathitrust.org/Record/000027807","HathiTrust Record")</f>
        <v>HathiTrust Record</v>
      </c>
      <c r="AV3297" s="6" t="str">
        <f>HYPERLINK("http://mcgill.on.worldcat.org/oclc/1637741","Catalog Record")</f>
        <v>Catalog Record</v>
      </c>
      <c r="AW3297" s="6" t="str">
        <f>HYPERLINK("http://www.worldcat.org/oclc/1637741","WorldCat Record")</f>
        <v>WorldCat Record</v>
      </c>
      <c r="AX3297" s="3" t="s">
        <v>32598</v>
      </c>
      <c r="AY3297" s="3" t="s">
        <v>32599</v>
      </c>
      <c r="AZ3297" s="3" t="s">
        <v>32600</v>
      </c>
      <c r="BA3297" s="3" t="s">
        <v>32600</v>
      </c>
      <c r="BB3297" s="3" t="s">
        <v>32601</v>
      </c>
      <c r="BC3297" s="3" t="s">
        <v>77</v>
      </c>
      <c r="BD3297" s="3" t="s">
        <v>78</v>
      </c>
      <c r="BE3297" s="3" t="s">
        <v>32602</v>
      </c>
      <c r="BF3297" s="3" t="s">
        <v>32601</v>
      </c>
      <c r="BG3297" s="3" t="s">
        <v>32603</v>
      </c>
    </row>
    <row r="3298" spans="1:59" ht="58" x14ac:dyDescent="0.35">
      <c r="A3298" s="2" t="s">
        <v>59</v>
      </c>
      <c r="B3298" s="2" t="s">
        <v>60</v>
      </c>
      <c r="C3298" s="2" t="s">
        <v>32604</v>
      </c>
      <c r="D3298" s="2" t="s">
        <v>32605</v>
      </c>
      <c r="E3298" s="2" t="s">
        <v>32606</v>
      </c>
      <c r="G3298" s="3" t="s">
        <v>65</v>
      </c>
      <c r="I3298" s="3" t="s">
        <v>65</v>
      </c>
      <c r="J3298" s="3" t="s">
        <v>65</v>
      </c>
      <c r="K3298" s="3" t="s">
        <v>66</v>
      </c>
      <c r="L3298" s="2" t="s">
        <v>32607</v>
      </c>
      <c r="M3298" s="2" t="s">
        <v>32608</v>
      </c>
      <c r="N3298" s="3" t="s">
        <v>2460</v>
      </c>
      <c r="O3298" s="2" t="s">
        <v>365</v>
      </c>
      <c r="P3298" s="3" t="s">
        <v>140</v>
      </c>
      <c r="Q3298" s="2" t="s">
        <v>32609</v>
      </c>
      <c r="R3298" s="3" t="s">
        <v>71</v>
      </c>
      <c r="S3298" s="4">
        <v>1</v>
      </c>
      <c r="T3298" s="4">
        <v>1</v>
      </c>
      <c r="U3298" s="5" t="s">
        <v>32610</v>
      </c>
      <c r="V3298" s="5" t="s">
        <v>32610</v>
      </c>
      <c r="W3298" s="5" t="s">
        <v>72</v>
      </c>
      <c r="X3298" s="5" t="s">
        <v>72</v>
      </c>
      <c r="Y3298" s="4">
        <v>65</v>
      </c>
      <c r="Z3298" s="4">
        <v>8</v>
      </c>
      <c r="AA3298" s="4">
        <v>8</v>
      </c>
      <c r="AB3298" s="4">
        <v>1</v>
      </c>
      <c r="AC3298" s="4">
        <v>1</v>
      </c>
      <c r="AD3298" s="4">
        <v>36</v>
      </c>
      <c r="AE3298" s="4">
        <v>36</v>
      </c>
      <c r="AF3298" s="4">
        <v>0</v>
      </c>
      <c r="AG3298" s="4">
        <v>0</v>
      </c>
      <c r="AH3298" s="4">
        <v>33</v>
      </c>
      <c r="AI3298" s="4">
        <v>33</v>
      </c>
      <c r="AJ3298" s="4">
        <v>6</v>
      </c>
      <c r="AK3298" s="4">
        <v>6</v>
      </c>
      <c r="AL3298" s="4">
        <v>24</v>
      </c>
      <c r="AM3298" s="4">
        <v>24</v>
      </c>
      <c r="AN3298" s="4">
        <v>0</v>
      </c>
      <c r="AO3298" s="4">
        <v>0</v>
      </c>
      <c r="AP3298" s="4">
        <v>6</v>
      </c>
      <c r="AQ3298" s="4">
        <v>6</v>
      </c>
      <c r="AR3298" s="3" t="s">
        <v>65</v>
      </c>
      <c r="AS3298" s="3" t="s">
        <v>65</v>
      </c>
      <c r="AT3298" s="3" t="s">
        <v>209</v>
      </c>
      <c r="AU3298" s="6" t="str">
        <f>HYPERLINK("http://catalog.hathitrust.org/Record/001830873","HathiTrust Record")</f>
        <v>HathiTrust Record</v>
      </c>
      <c r="AV3298" s="6" t="str">
        <f>HYPERLINK("http://mcgill.on.worldcat.org/oclc/20431097","Catalog Record")</f>
        <v>Catalog Record</v>
      </c>
      <c r="AW3298" s="6" t="str">
        <f>HYPERLINK("http://www.worldcat.org/oclc/20431097","WorldCat Record")</f>
        <v>WorldCat Record</v>
      </c>
      <c r="AX3298" s="3" t="s">
        <v>32611</v>
      </c>
      <c r="AY3298" s="3" t="s">
        <v>32612</v>
      </c>
      <c r="AZ3298" s="3" t="s">
        <v>32613</v>
      </c>
      <c r="BA3298" s="3" t="s">
        <v>32613</v>
      </c>
      <c r="BB3298" s="3" t="s">
        <v>32614</v>
      </c>
      <c r="BC3298" s="3" t="s">
        <v>77</v>
      </c>
      <c r="BD3298" s="3" t="s">
        <v>78</v>
      </c>
      <c r="BE3298" s="3" t="s">
        <v>32615</v>
      </c>
      <c r="BF3298" s="3" t="s">
        <v>32614</v>
      </c>
      <c r="BG3298" s="3" t="s">
        <v>32616</v>
      </c>
    </row>
    <row r="3299" spans="1:59" ht="58" x14ac:dyDescent="0.35">
      <c r="A3299" s="2" t="s">
        <v>59</v>
      </c>
      <c r="B3299" s="2" t="s">
        <v>60</v>
      </c>
      <c r="C3299" s="2" t="s">
        <v>32617</v>
      </c>
      <c r="D3299" s="2" t="s">
        <v>32618</v>
      </c>
      <c r="E3299" s="2" t="s">
        <v>32619</v>
      </c>
      <c r="G3299" s="3" t="s">
        <v>65</v>
      </c>
      <c r="I3299" s="3" t="s">
        <v>65</v>
      </c>
      <c r="J3299" s="3" t="s">
        <v>65</v>
      </c>
      <c r="K3299" s="3" t="s">
        <v>66</v>
      </c>
      <c r="L3299" s="2" t="s">
        <v>32607</v>
      </c>
      <c r="M3299" s="2" t="s">
        <v>32620</v>
      </c>
      <c r="N3299" s="3" t="s">
        <v>831</v>
      </c>
      <c r="O3299" s="2" t="s">
        <v>21374</v>
      </c>
      <c r="P3299" s="3" t="s">
        <v>140</v>
      </c>
      <c r="Q3299" s="2" t="s">
        <v>7116</v>
      </c>
      <c r="R3299" s="3" t="s">
        <v>71</v>
      </c>
      <c r="S3299" s="4">
        <v>3</v>
      </c>
      <c r="T3299" s="4">
        <v>3</v>
      </c>
      <c r="U3299" s="5" t="s">
        <v>785</v>
      </c>
      <c r="V3299" s="5" t="s">
        <v>785</v>
      </c>
      <c r="W3299" s="5" t="s">
        <v>72</v>
      </c>
      <c r="X3299" s="5" t="s">
        <v>72</v>
      </c>
      <c r="Y3299" s="4">
        <v>12</v>
      </c>
      <c r="Z3299" s="4">
        <v>1</v>
      </c>
      <c r="AA3299" s="4">
        <v>12</v>
      </c>
      <c r="AB3299" s="4">
        <v>1</v>
      </c>
      <c r="AC3299" s="4">
        <v>3</v>
      </c>
      <c r="AD3299" s="4">
        <v>1</v>
      </c>
      <c r="AE3299" s="4">
        <v>65</v>
      </c>
      <c r="AF3299" s="4">
        <v>0</v>
      </c>
      <c r="AG3299" s="4">
        <v>2</v>
      </c>
      <c r="AH3299" s="4">
        <v>1</v>
      </c>
      <c r="AI3299" s="4">
        <v>59</v>
      </c>
      <c r="AJ3299" s="4">
        <v>0</v>
      </c>
      <c r="AK3299" s="4">
        <v>8</v>
      </c>
      <c r="AL3299" s="4">
        <v>0</v>
      </c>
      <c r="AM3299" s="4">
        <v>40</v>
      </c>
      <c r="AN3299" s="4">
        <v>0</v>
      </c>
      <c r="AO3299" s="4">
        <v>0</v>
      </c>
      <c r="AP3299" s="4">
        <v>0</v>
      </c>
      <c r="AQ3299" s="4">
        <v>7</v>
      </c>
      <c r="AR3299" s="3" t="s">
        <v>65</v>
      </c>
      <c r="AS3299" s="3" t="s">
        <v>65</v>
      </c>
      <c r="AT3299" s="3" t="s">
        <v>65</v>
      </c>
      <c r="AV3299" s="6" t="str">
        <f>HYPERLINK("http://mcgill.on.worldcat.org/oclc/29554827","Catalog Record")</f>
        <v>Catalog Record</v>
      </c>
      <c r="AW3299" s="6" t="str">
        <f>HYPERLINK("http://www.worldcat.org/oclc/29554827","WorldCat Record")</f>
        <v>WorldCat Record</v>
      </c>
      <c r="AX3299" s="3" t="s">
        <v>32621</v>
      </c>
      <c r="AY3299" s="3" t="s">
        <v>32622</v>
      </c>
      <c r="AZ3299" s="3" t="s">
        <v>32623</v>
      </c>
      <c r="BA3299" s="3" t="s">
        <v>32623</v>
      </c>
      <c r="BB3299" s="3" t="s">
        <v>32624</v>
      </c>
      <c r="BC3299" s="3" t="s">
        <v>77</v>
      </c>
      <c r="BD3299" s="3" t="s">
        <v>78</v>
      </c>
      <c r="BF3299" s="3" t="s">
        <v>32624</v>
      </c>
      <c r="BG3299" s="3" t="s">
        <v>32625</v>
      </c>
    </row>
    <row r="3300" spans="1:59" ht="58" x14ac:dyDescent="0.35">
      <c r="A3300" s="2" t="s">
        <v>59</v>
      </c>
      <c r="B3300" s="2" t="s">
        <v>60</v>
      </c>
      <c r="C3300" s="2" t="s">
        <v>32626</v>
      </c>
      <c r="D3300" s="2" t="s">
        <v>32627</v>
      </c>
      <c r="E3300" s="2" t="s">
        <v>32628</v>
      </c>
      <c r="G3300" s="3" t="s">
        <v>65</v>
      </c>
      <c r="I3300" s="3" t="s">
        <v>65</v>
      </c>
      <c r="J3300" s="3" t="s">
        <v>65</v>
      </c>
      <c r="K3300" s="3" t="s">
        <v>66</v>
      </c>
      <c r="L3300" s="2" t="s">
        <v>32607</v>
      </c>
      <c r="M3300" s="2" t="s">
        <v>32629</v>
      </c>
      <c r="N3300" s="3" t="s">
        <v>113</v>
      </c>
      <c r="O3300" s="2" t="s">
        <v>6616</v>
      </c>
      <c r="P3300" s="3" t="s">
        <v>140</v>
      </c>
      <c r="Q3300" s="2" t="s">
        <v>6617</v>
      </c>
      <c r="R3300" s="3" t="s">
        <v>71</v>
      </c>
      <c r="S3300" s="4">
        <v>0</v>
      </c>
      <c r="T3300" s="4">
        <v>0</v>
      </c>
      <c r="W3300" s="5" t="s">
        <v>72</v>
      </c>
      <c r="X3300" s="5" t="s">
        <v>72</v>
      </c>
      <c r="Y3300" s="4">
        <v>51</v>
      </c>
      <c r="Z3300" s="4">
        <v>4</v>
      </c>
      <c r="AA3300" s="4">
        <v>4</v>
      </c>
      <c r="AB3300" s="4">
        <v>1</v>
      </c>
      <c r="AC3300" s="4">
        <v>1</v>
      </c>
      <c r="AD3300" s="4">
        <v>33</v>
      </c>
      <c r="AE3300" s="4">
        <v>33</v>
      </c>
      <c r="AF3300" s="4">
        <v>0</v>
      </c>
      <c r="AG3300" s="4">
        <v>0</v>
      </c>
      <c r="AH3300" s="4">
        <v>32</v>
      </c>
      <c r="AI3300" s="4">
        <v>32</v>
      </c>
      <c r="AJ3300" s="4">
        <v>2</v>
      </c>
      <c r="AK3300" s="4">
        <v>2</v>
      </c>
      <c r="AL3300" s="4">
        <v>25</v>
      </c>
      <c r="AM3300" s="4">
        <v>25</v>
      </c>
      <c r="AN3300" s="4">
        <v>0</v>
      </c>
      <c r="AO3300" s="4">
        <v>0</v>
      </c>
      <c r="AP3300" s="4">
        <v>2</v>
      </c>
      <c r="AQ3300" s="4">
        <v>2</v>
      </c>
      <c r="AR3300" s="3" t="s">
        <v>65</v>
      </c>
      <c r="AS3300" s="3" t="s">
        <v>65</v>
      </c>
      <c r="AT3300" s="3" t="s">
        <v>65</v>
      </c>
      <c r="AV3300" s="6" t="str">
        <f>HYPERLINK("http://mcgill.on.worldcat.org/oclc/694828894","Catalog Record")</f>
        <v>Catalog Record</v>
      </c>
      <c r="AW3300" s="6" t="str">
        <f>HYPERLINK("http://www.worldcat.org/oclc/694828894","WorldCat Record")</f>
        <v>WorldCat Record</v>
      </c>
      <c r="AX3300" s="3" t="s">
        <v>32630</v>
      </c>
      <c r="AY3300" s="3" t="s">
        <v>32631</v>
      </c>
      <c r="AZ3300" s="3" t="s">
        <v>32632</v>
      </c>
      <c r="BA3300" s="3" t="s">
        <v>32632</v>
      </c>
      <c r="BB3300" s="3" t="s">
        <v>32633</v>
      </c>
      <c r="BC3300" s="3" t="s">
        <v>77</v>
      </c>
      <c r="BD3300" s="3" t="s">
        <v>78</v>
      </c>
      <c r="BE3300" s="3" t="s">
        <v>32634</v>
      </c>
      <c r="BF3300" s="3" t="s">
        <v>32633</v>
      </c>
      <c r="BG3300" s="3" t="s">
        <v>32635</v>
      </c>
    </row>
    <row r="3301" spans="1:59" ht="58" x14ac:dyDescent="0.35">
      <c r="A3301" s="2" t="s">
        <v>59</v>
      </c>
      <c r="B3301" s="2" t="s">
        <v>60</v>
      </c>
      <c r="C3301" s="2" t="s">
        <v>32636</v>
      </c>
      <c r="D3301" s="2" t="s">
        <v>32637</v>
      </c>
      <c r="E3301" s="2" t="s">
        <v>32638</v>
      </c>
      <c r="G3301" s="3" t="s">
        <v>65</v>
      </c>
      <c r="I3301" s="3" t="s">
        <v>65</v>
      </c>
      <c r="J3301" s="3" t="s">
        <v>65</v>
      </c>
      <c r="K3301" s="3" t="s">
        <v>66</v>
      </c>
      <c r="L3301" s="2" t="s">
        <v>32607</v>
      </c>
      <c r="M3301" s="2" t="s">
        <v>17561</v>
      </c>
      <c r="N3301" s="3" t="s">
        <v>113</v>
      </c>
      <c r="P3301" s="3" t="s">
        <v>140</v>
      </c>
      <c r="Q3301" s="2" t="s">
        <v>32639</v>
      </c>
      <c r="R3301" s="3" t="s">
        <v>71</v>
      </c>
      <c r="S3301" s="4">
        <v>0</v>
      </c>
      <c r="T3301" s="4">
        <v>0</v>
      </c>
      <c r="W3301" s="5" t="s">
        <v>72</v>
      </c>
      <c r="X3301" s="5" t="s">
        <v>72</v>
      </c>
      <c r="Y3301" s="4">
        <v>50</v>
      </c>
      <c r="Z3301" s="4">
        <v>3</v>
      </c>
      <c r="AA3301" s="4">
        <v>3</v>
      </c>
      <c r="AB3301" s="4">
        <v>1</v>
      </c>
      <c r="AC3301" s="4">
        <v>1</v>
      </c>
      <c r="AD3301" s="4">
        <v>35</v>
      </c>
      <c r="AE3301" s="4">
        <v>35</v>
      </c>
      <c r="AF3301" s="4">
        <v>0</v>
      </c>
      <c r="AG3301" s="4">
        <v>0</v>
      </c>
      <c r="AH3301" s="4">
        <v>34</v>
      </c>
      <c r="AI3301" s="4">
        <v>34</v>
      </c>
      <c r="AJ3301" s="4">
        <v>1</v>
      </c>
      <c r="AK3301" s="4">
        <v>1</v>
      </c>
      <c r="AL3301" s="4">
        <v>26</v>
      </c>
      <c r="AM3301" s="4">
        <v>26</v>
      </c>
      <c r="AN3301" s="4">
        <v>0</v>
      </c>
      <c r="AO3301" s="4">
        <v>0</v>
      </c>
      <c r="AP3301" s="4">
        <v>1</v>
      </c>
      <c r="AQ3301" s="4">
        <v>1</v>
      </c>
      <c r="AR3301" s="3" t="s">
        <v>65</v>
      </c>
      <c r="AS3301" s="3" t="s">
        <v>65</v>
      </c>
      <c r="AT3301" s="3" t="s">
        <v>65</v>
      </c>
      <c r="AV3301" s="6" t="str">
        <f>HYPERLINK("http://mcgill.on.worldcat.org/oclc/603042309","Catalog Record")</f>
        <v>Catalog Record</v>
      </c>
      <c r="AW3301" s="6" t="str">
        <f>HYPERLINK("http://www.worldcat.org/oclc/603042309","WorldCat Record")</f>
        <v>WorldCat Record</v>
      </c>
      <c r="AX3301" s="3" t="s">
        <v>32640</v>
      </c>
      <c r="AY3301" s="3" t="s">
        <v>32641</v>
      </c>
      <c r="AZ3301" s="3" t="s">
        <v>32642</v>
      </c>
      <c r="BA3301" s="3" t="s">
        <v>32642</v>
      </c>
      <c r="BB3301" s="3" t="s">
        <v>32643</v>
      </c>
      <c r="BC3301" s="3" t="s">
        <v>77</v>
      </c>
      <c r="BD3301" s="3" t="s">
        <v>78</v>
      </c>
      <c r="BE3301" s="3" t="s">
        <v>32644</v>
      </c>
      <c r="BF3301" s="3" t="s">
        <v>32643</v>
      </c>
      <c r="BG3301" s="3" t="s">
        <v>32645</v>
      </c>
    </row>
    <row r="3302" spans="1:59" ht="58" x14ac:dyDescent="0.35">
      <c r="A3302" s="2" t="s">
        <v>59</v>
      </c>
      <c r="B3302" s="2" t="s">
        <v>60</v>
      </c>
      <c r="C3302" s="2" t="s">
        <v>32646</v>
      </c>
      <c r="D3302" s="2" t="s">
        <v>32647</v>
      </c>
      <c r="E3302" s="2" t="s">
        <v>32648</v>
      </c>
      <c r="G3302" s="3" t="s">
        <v>65</v>
      </c>
      <c r="I3302" s="3" t="s">
        <v>65</v>
      </c>
      <c r="J3302" s="3" t="s">
        <v>65</v>
      </c>
      <c r="K3302" s="3" t="s">
        <v>66</v>
      </c>
      <c r="L3302" s="2" t="s">
        <v>32596</v>
      </c>
      <c r="M3302" s="2" t="s">
        <v>32649</v>
      </c>
      <c r="N3302" s="3" t="s">
        <v>176</v>
      </c>
      <c r="P3302" s="3" t="s">
        <v>140</v>
      </c>
      <c r="R3302" s="3" t="s">
        <v>71</v>
      </c>
      <c r="S3302" s="4">
        <v>0</v>
      </c>
      <c r="T3302" s="4">
        <v>0</v>
      </c>
      <c r="W3302" s="5" t="s">
        <v>72</v>
      </c>
      <c r="X3302" s="5" t="s">
        <v>72</v>
      </c>
      <c r="Y3302" s="4">
        <v>33</v>
      </c>
      <c r="Z3302" s="4">
        <v>1</v>
      </c>
      <c r="AA3302" s="4">
        <v>1</v>
      </c>
      <c r="AB3302" s="4">
        <v>1</v>
      </c>
      <c r="AC3302" s="4">
        <v>1</v>
      </c>
      <c r="AD3302" s="4">
        <v>24</v>
      </c>
      <c r="AE3302" s="4">
        <v>24</v>
      </c>
      <c r="AF3302" s="4">
        <v>0</v>
      </c>
      <c r="AG3302" s="4">
        <v>0</v>
      </c>
      <c r="AH3302" s="4">
        <v>23</v>
      </c>
      <c r="AI3302" s="4">
        <v>23</v>
      </c>
      <c r="AJ3302" s="4">
        <v>0</v>
      </c>
      <c r="AK3302" s="4">
        <v>0</v>
      </c>
      <c r="AL3302" s="4">
        <v>19</v>
      </c>
      <c r="AM3302" s="4">
        <v>19</v>
      </c>
      <c r="AN3302" s="4">
        <v>0</v>
      </c>
      <c r="AO3302" s="4">
        <v>0</v>
      </c>
      <c r="AP3302" s="4">
        <v>0</v>
      </c>
      <c r="AQ3302" s="4">
        <v>0</v>
      </c>
      <c r="AR3302" s="3" t="s">
        <v>65</v>
      </c>
      <c r="AS3302" s="3" t="s">
        <v>65</v>
      </c>
      <c r="AT3302" s="3" t="s">
        <v>65</v>
      </c>
      <c r="AV3302" s="6" t="str">
        <f>HYPERLINK("http://mcgill.on.worldcat.org/oclc/907638888","Catalog Record")</f>
        <v>Catalog Record</v>
      </c>
      <c r="AW3302" s="6" t="str">
        <f>HYPERLINK("http://www.worldcat.org/oclc/907638888","WorldCat Record")</f>
        <v>WorldCat Record</v>
      </c>
      <c r="AX3302" s="3" t="s">
        <v>32650</v>
      </c>
      <c r="AY3302" s="3" t="s">
        <v>32651</v>
      </c>
      <c r="AZ3302" s="3" t="s">
        <v>32652</v>
      </c>
      <c r="BA3302" s="3" t="s">
        <v>32652</v>
      </c>
      <c r="BB3302" s="3" t="s">
        <v>32653</v>
      </c>
      <c r="BC3302" s="3" t="s">
        <v>77</v>
      </c>
      <c r="BD3302" s="3" t="s">
        <v>78</v>
      </c>
      <c r="BE3302" s="3" t="s">
        <v>32654</v>
      </c>
      <c r="BF3302" s="3" t="s">
        <v>32653</v>
      </c>
      <c r="BG3302" s="3" t="s">
        <v>32655</v>
      </c>
    </row>
    <row r="3303" spans="1:59" ht="58" x14ac:dyDescent="0.35">
      <c r="A3303" s="2" t="s">
        <v>59</v>
      </c>
      <c r="B3303" s="2" t="s">
        <v>60</v>
      </c>
      <c r="C3303" s="2" t="s">
        <v>32656</v>
      </c>
      <c r="D3303" s="2" t="s">
        <v>32657</v>
      </c>
      <c r="E3303" s="2" t="s">
        <v>32658</v>
      </c>
      <c r="G3303" s="3" t="s">
        <v>65</v>
      </c>
      <c r="I3303" s="3" t="s">
        <v>65</v>
      </c>
      <c r="J3303" s="3" t="s">
        <v>65</v>
      </c>
      <c r="K3303" s="3" t="s">
        <v>66</v>
      </c>
      <c r="L3303" s="2" t="s">
        <v>32659</v>
      </c>
      <c r="M3303" s="2" t="s">
        <v>2603</v>
      </c>
      <c r="N3303" s="3" t="s">
        <v>139</v>
      </c>
      <c r="O3303" s="2" t="s">
        <v>365</v>
      </c>
      <c r="P3303" s="3" t="s">
        <v>140</v>
      </c>
      <c r="R3303" s="3" t="s">
        <v>71</v>
      </c>
      <c r="S3303" s="4">
        <v>0</v>
      </c>
      <c r="T3303" s="4">
        <v>0</v>
      </c>
      <c r="W3303" s="5" t="s">
        <v>72</v>
      </c>
      <c r="X3303" s="5" t="s">
        <v>72</v>
      </c>
      <c r="Y3303" s="4">
        <v>41</v>
      </c>
      <c r="Z3303" s="4">
        <v>3</v>
      </c>
      <c r="AA3303" s="4">
        <v>3</v>
      </c>
      <c r="AB3303" s="4">
        <v>1</v>
      </c>
      <c r="AC3303" s="4">
        <v>1</v>
      </c>
      <c r="AD3303" s="4">
        <v>30</v>
      </c>
      <c r="AE3303" s="4">
        <v>30</v>
      </c>
      <c r="AF3303" s="4">
        <v>0</v>
      </c>
      <c r="AG3303" s="4">
        <v>0</v>
      </c>
      <c r="AH3303" s="4">
        <v>29</v>
      </c>
      <c r="AI3303" s="4">
        <v>29</v>
      </c>
      <c r="AJ3303" s="4">
        <v>1</v>
      </c>
      <c r="AK3303" s="4">
        <v>1</v>
      </c>
      <c r="AL3303" s="4">
        <v>23</v>
      </c>
      <c r="AM3303" s="4">
        <v>23</v>
      </c>
      <c r="AN3303" s="4">
        <v>0</v>
      </c>
      <c r="AO3303" s="4">
        <v>0</v>
      </c>
      <c r="AP3303" s="4">
        <v>1</v>
      </c>
      <c r="AQ3303" s="4">
        <v>1</v>
      </c>
      <c r="AR3303" s="3" t="s">
        <v>65</v>
      </c>
      <c r="AS3303" s="3" t="s">
        <v>65</v>
      </c>
      <c r="AT3303" s="3" t="s">
        <v>65</v>
      </c>
      <c r="AV3303" s="6" t="str">
        <f>HYPERLINK("http://mcgill.on.worldcat.org/oclc/824351488","Catalog Record")</f>
        <v>Catalog Record</v>
      </c>
      <c r="AW3303" s="6" t="str">
        <f>HYPERLINK("http://www.worldcat.org/oclc/824351488","WorldCat Record")</f>
        <v>WorldCat Record</v>
      </c>
      <c r="AX3303" s="3" t="s">
        <v>32660</v>
      </c>
      <c r="AY3303" s="3" t="s">
        <v>32661</v>
      </c>
      <c r="AZ3303" s="3" t="s">
        <v>32662</v>
      </c>
      <c r="BA3303" s="3" t="s">
        <v>32662</v>
      </c>
      <c r="BB3303" s="3" t="s">
        <v>32663</v>
      </c>
      <c r="BC3303" s="3" t="s">
        <v>77</v>
      </c>
      <c r="BD3303" s="3" t="s">
        <v>78</v>
      </c>
      <c r="BE3303" s="3" t="s">
        <v>32664</v>
      </c>
      <c r="BF3303" s="3" t="s">
        <v>32663</v>
      </c>
      <c r="BG3303" s="3" t="s">
        <v>32665</v>
      </c>
    </row>
    <row r="3304" spans="1:59" ht="58" x14ac:dyDescent="0.35">
      <c r="A3304" s="2" t="s">
        <v>59</v>
      </c>
      <c r="B3304" s="2" t="s">
        <v>60</v>
      </c>
      <c r="C3304" s="2" t="s">
        <v>32666</v>
      </c>
      <c r="D3304" s="2" t="s">
        <v>32667</v>
      </c>
      <c r="E3304" s="2" t="s">
        <v>32668</v>
      </c>
      <c r="G3304" s="3" t="s">
        <v>65</v>
      </c>
      <c r="I3304" s="3" t="s">
        <v>65</v>
      </c>
      <c r="J3304" s="3" t="s">
        <v>65</v>
      </c>
      <c r="K3304" s="3" t="s">
        <v>66</v>
      </c>
      <c r="L3304" s="2" t="s">
        <v>32669</v>
      </c>
      <c r="M3304" s="2" t="s">
        <v>32670</v>
      </c>
      <c r="N3304" s="3" t="s">
        <v>113</v>
      </c>
      <c r="P3304" s="3" t="s">
        <v>140</v>
      </c>
      <c r="Q3304" s="2" t="s">
        <v>32671</v>
      </c>
      <c r="R3304" s="3" t="s">
        <v>71</v>
      </c>
      <c r="S3304" s="4">
        <v>0</v>
      </c>
      <c r="T3304" s="4">
        <v>0</v>
      </c>
      <c r="W3304" s="5" t="s">
        <v>72</v>
      </c>
      <c r="X3304" s="5" t="s">
        <v>72</v>
      </c>
      <c r="Y3304" s="4">
        <v>49</v>
      </c>
      <c r="Z3304" s="4">
        <v>2</v>
      </c>
      <c r="AA3304" s="4">
        <v>2</v>
      </c>
      <c r="AB3304" s="4">
        <v>1</v>
      </c>
      <c r="AC3304" s="4">
        <v>1</v>
      </c>
      <c r="AD3304" s="4">
        <v>36</v>
      </c>
      <c r="AE3304" s="4">
        <v>36</v>
      </c>
      <c r="AF3304" s="4">
        <v>0</v>
      </c>
      <c r="AG3304" s="4">
        <v>0</v>
      </c>
      <c r="AH3304" s="4">
        <v>35</v>
      </c>
      <c r="AI3304" s="4">
        <v>35</v>
      </c>
      <c r="AJ3304" s="4">
        <v>1</v>
      </c>
      <c r="AK3304" s="4">
        <v>1</v>
      </c>
      <c r="AL3304" s="4">
        <v>27</v>
      </c>
      <c r="AM3304" s="4">
        <v>27</v>
      </c>
      <c r="AN3304" s="4">
        <v>0</v>
      </c>
      <c r="AO3304" s="4">
        <v>0</v>
      </c>
      <c r="AP3304" s="4">
        <v>1</v>
      </c>
      <c r="AQ3304" s="4">
        <v>1</v>
      </c>
      <c r="AR3304" s="3" t="s">
        <v>65</v>
      </c>
      <c r="AS3304" s="3" t="s">
        <v>65</v>
      </c>
      <c r="AT3304" s="3" t="s">
        <v>65</v>
      </c>
      <c r="AV3304" s="6" t="str">
        <f>HYPERLINK("http://mcgill.on.worldcat.org/oclc/620110175","Catalog Record")</f>
        <v>Catalog Record</v>
      </c>
      <c r="AW3304" s="6" t="str">
        <f>HYPERLINK("http://www.worldcat.org/oclc/620110175","WorldCat Record")</f>
        <v>WorldCat Record</v>
      </c>
      <c r="AX3304" s="3" t="s">
        <v>32672</v>
      </c>
      <c r="AY3304" s="3" t="s">
        <v>32673</v>
      </c>
      <c r="AZ3304" s="3" t="s">
        <v>32674</v>
      </c>
      <c r="BA3304" s="3" t="s">
        <v>32674</v>
      </c>
      <c r="BB3304" s="3" t="s">
        <v>32675</v>
      </c>
      <c r="BC3304" s="3" t="s">
        <v>77</v>
      </c>
      <c r="BD3304" s="3" t="s">
        <v>78</v>
      </c>
      <c r="BE3304" s="3" t="s">
        <v>32676</v>
      </c>
      <c r="BF3304" s="3" t="s">
        <v>32675</v>
      </c>
      <c r="BG3304" s="3" t="s">
        <v>32677</v>
      </c>
    </row>
    <row r="3305" spans="1:59" ht="58" x14ac:dyDescent="0.35">
      <c r="A3305" s="2" t="s">
        <v>59</v>
      </c>
      <c r="B3305" s="2" t="s">
        <v>60</v>
      </c>
      <c r="C3305" s="2" t="s">
        <v>32678</v>
      </c>
      <c r="D3305" s="2" t="s">
        <v>32679</v>
      </c>
      <c r="E3305" s="2" t="s">
        <v>32680</v>
      </c>
      <c r="G3305" s="3" t="s">
        <v>65</v>
      </c>
      <c r="I3305" s="3" t="s">
        <v>65</v>
      </c>
      <c r="J3305" s="3" t="s">
        <v>65</v>
      </c>
      <c r="K3305" s="3" t="s">
        <v>66</v>
      </c>
      <c r="M3305" s="2" t="s">
        <v>32681</v>
      </c>
      <c r="N3305" s="3" t="s">
        <v>615</v>
      </c>
      <c r="P3305" s="3" t="s">
        <v>140</v>
      </c>
      <c r="Q3305" s="2" t="s">
        <v>32682</v>
      </c>
      <c r="R3305" s="3" t="s">
        <v>71</v>
      </c>
      <c r="S3305" s="4">
        <v>3</v>
      </c>
      <c r="T3305" s="4">
        <v>3</v>
      </c>
      <c r="U3305" s="5" t="s">
        <v>7211</v>
      </c>
      <c r="V3305" s="5" t="s">
        <v>7211</v>
      </c>
      <c r="W3305" s="5" t="s">
        <v>72</v>
      </c>
      <c r="X3305" s="5" t="s">
        <v>72</v>
      </c>
      <c r="Y3305" s="4">
        <v>52</v>
      </c>
      <c r="Z3305" s="4">
        <v>7</v>
      </c>
      <c r="AA3305" s="4">
        <v>8</v>
      </c>
      <c r="AB3305" s="4">
        <v>2</v>
      </c>
      <c r="AC3305" s="4">
        <v>3</v>
      </c>
      <c r="AD3305" s="4">
        <v>39</v>
      </c>
      <c r="AE3305" s="4">
        <v>42</v>
      </c>
      <c r="AF3305" s="4">
        <v>1</v>
      </c>
      <c r="AG3305" s="4">
        <v>2</v>
      </c>
      <c r="AH3305" s="4">
        <v>36</v>
      </c>
      <c r="AI3305" s="4">
        <v>37</v>
      </c>
      <c r="AJ3305" s="4">
        <v>5</v>
      </c>
      <c r="AK3305" s="4">
        <v>6</v>
      </c>
      <c r="AL3305" s="4">
        <v>29</v>
      </c>
      <c r="AM3305" s="4">
        <v>31</v>
      </c>
      <c r="AN3305" s="4">
        <v>0</v>
      </c>
      <c r="AO3305" s="4">
        <v>0</v>
      </c>
      <c r="AP3305" s="4">
        <v>5</v>
      </c>
      <c r="AQ3305" s="4">
        <v>5</v>
      </c>
      <c r="AR3305" s="3" t="s">
        <v>65</v>
      </c>
      <c r="AS3305" s="3" t="s">
        <v>65</v>
      </c>
      <c r="AT3305" s="3" t="s">
        <v>65</v>
      </c>
      <c r="AV3305" s="6" t="str">
        <f>HYPERLINK("http://mcgill.on.worldcat.org/oclc/12311861","Catalog Record")</f>
        <v>Catalog Record</v>
      </c>
      <c r="AW3305" s="6" t="str">
        <f>HYPERLINK("http://www.worldcat.org/oclc/12311861","WorldCat Record")</f>
        <v>WorldCat Record</v>
      </c>
      <c r="AX3305" s="3" t="s">
        <v>32683</v>
      </c>
      <c r="AY3305" s="3" t="s">
        <v>32684</v>
      </c>
      <c r="AZ3305" s="3" t="s">
        <v>32685</v>
      </c>
      <c r="BA3305" s="3" t="s">
        <v>32685</v>
      </c>
      <c r="BB3305" s="3" t="s">
        <v>32686</v>
      </c>
      <c r="BC3305" s="3" t="s">
        <v>77</v>
      </c>
      <c r="BD3305" s="3" t="s">
        <v>78</v>
      </c>
      <c r="BF3305" s="3" t="s">
        <v>32686</v>
      </c>
      <c r="BG3305" s="3" t="s">
        <v>32687</v>
      </c>
    </row>
    <row r="3306" spans="1:59" ht="58" x14ac:dyDescent="0.35">
      <c r="A3306" s="2" t="s">
        <v>59</v>
      </c>
      <c r="B3306" s="2" t="s">
        <v>60</v>
      </c>
      <c r="C3306" s="2" t="s">
        <v>32688</v>
      </c>
      <c r="D3306" s="2" t="s">
        <v>32689</v>
      </c>
      <c r="E3306" s="2" t="s">
        <v>32690</v>
      </c>
      <c r="G3306" s="3" t="s">
        <v>65</v>
      </c>
      <c r="I3306" s="3" t="s">
        <v>65</v>
      </c>
      <c r="J3306" s="3" t="s">
        <v>65</v>
      </c>
      <c r="K3306" s="3" t="s">
        <v>66</v>
      </c>
      <c r="L3306" s="2" t="s">
        <v>32691</v>
      </c>
      <c r="M3306" s="2" t="s">
        <v>4665</v>
      </c>
      <c r="N3306" s="3" t="s">
        <v>126</v>
      </c>
      <c r="O3306" s="2" t="s">
        <v>365</v>
      </c>
      <c r="P3306" s="3" t="s">
        <v>140</v>
      </c>
      <c r="Q3306" s="2" t="s">
        <v>32692</v>
      </c>
      <c r="R3306" s="3" t="s">
        <v>71</v>
      </c>
      <c r="S3306" s="4">
        <v>1</v>
      </c>
      <c r="T3306" s="4">
        <v>1</v>
      </c>
      <c r="U3306" s="5" t="s">
        <v>32693</v>
      </c>
      <c r="V3306" s="5" t="s">
        <v>32693</v>
      </c>
      <c r="W3306" s="5" t="s">
        <v>72</v>
      </c>
      <c r="X3306" s="5" t="s">
        <v>72</v>
      </c>
      <c r="Y3306" s="4">
        <v>39</v>
      </c>
      <c r="Z3306" s="4">
        <v>4</v>
      </c>
      <c r="AA3306" s="4">
        <v>4</v>
      </c>
      <c r="AB3306" s="4">
        <v>1</v>
      </c>
      <c r="AC3306" s="4">
        <v>1</v>
      </c>
      <c r="AD3306" s="4">
        <v>29</v>
      </c>
      <c r="AE3306" s="4">
        <v>29</v>
      </c>
      <c r="AF3306" s="4">
        <v>0</v>
      </c>
      <c r="AG3306" s="4">
        <v>0</v>
      </c>
      <c r="AH3306" s="4">
        <v>28</v>
      </c>
      <c r="AI3306" s="4">
        <v>28</v>
      </c>
      <c r="AJ3306" s="4">
        <v>2</v>
      </c>
      <c r="AK3306" s="4">
        <v>2</v>
      </c>
      <c r="AL3306" s="4">
        <v>21</v>
      </c>
      <c r="AM3306" s="4">
        <v>21</v>
      </c>
      <c r="AN3306" s="4">
        <v>0</v>
      </c>
      <c r="AO3306" s="4">
        <v>0</v>
      </c>
      <c r="AP3306" s="4">
        <v>2</v>
      </c>
      <c r="AQ3306" s="4">
        <v>2</v>
      </c>
      <c r="AR3306" s="3" t="s">
        <v>65</v>
      </c>
      <c r="AS3306" s="3" t="s">
        <v>65</v>
      </c>
      <c r="AT3306" s="3" t="s">
        <v>65</v>
      </c>
      <c r="AV3306" s="6" t="str">
        <f>HYPERLINK("http://mcgill.on.worldcat.org/oclc/745969688","Catalog Record")</f>
        <v>Catalog Record</v>
      </c>
      <c r="AW3306" s="6" t="str">
        <f>HYPERLINK("http://www.worldcat.org/oclc/745969688","WorldCat Record")</f>
        <v>WorldCat Record</v>
      </c>
      <c r="AX3306" s="3" t="s">
        <v>32694</v>
      </c>
      <c r="AY3306" s="3" t="s">
        <v>32695</v>
      </c>
      <c r="AZ3306" s="3" t="s">
        <v>32696</v>
      </c>
      <c r="BA3306" s="3" t="s">
        <v>32696</v>
      </c>
      <c r="BB3306" s="3" t="s">
        <v>32697</v>
      </c>
      <c r="BC3306" s="3" t="s">
        <v>77</v>
      </c>
      <c r="BD3306" s="3" t="s">
        <v>78</v>
      </c>
      <c r="BE3306" s="3" t="s">
        <v>32698</v>
      </c>
      <c r="BF3306" s="3" t="s">
        <v>32697</v>
      </c>
      <c r="BG3306" s="3" t="s">
        <v>32699</v>
      </c>
    </row>
    <row r="3307" spans="1:59" ht="58" x14ac:dyDescent="0.35">
      <c r="A3307" s="2" t="s">
        <v>59</v>
      </c>
      <c r="B3307" s="2" t="s">
        <v>60</v>
      </c>
      <c r="C3307" s="2" t="s">
        <v>32700</v>
      </c>
      <c r="D3307" s="2" t="s">
        <v>32701</v>
      </c>
      <c r="E3307" s="2" t="s">
        <v>32702</v>
      </c>
      <c r="G3307" s="3" t="s">
        <v>65</v>
      </c>
      <c r="I3307" s="3" t="s">
        <v>65</v>
      </c>
      <c r="J3307" s="3" t="s">
        <v>65</v>
      </c>
      <c r="K3307" s="3" t="s">
        <v>66</v>
      </c>
      <c r="L3307" s="2" t="s">
        <v>32703</v>
      </c>
      <c r="M3307" s="2" t="s">
        <v>9789</v>
      </c>
      <c r="N3307" s="3" t="s">
        <v>139</v>
      </c>
      <c r="P3307" s="3" t="s">
        <v>140</v>
      </c>
      <c r="Q3307" s="2" t="s">
        <v>32704</v>
      </c>
      <c r="R3307" s="3" t="s">
        <v>71</v>
      </c>
      <c r="S3307" s="4">
        <v>0</v>
      </c>
      <c r="T3307" s="4">
        <v>0</v>
      </c>
      <c r="W3307" s="5" t="s">
        <v>72</v>
      </c>
      <c r="X3307" s="5" t="s">
        <v>72</v>
      </c>
      <c r="Y3307" s="4">
        <v>9</v>
      </c>
      <c r="Z3307" s="4">
        <v>1</v>
      </c>
      <c r="AA3307" s="4">
        <v>4</v>
      </c>
      <c r="AB3307" s="4">
        <v>1</v>
      </c>
      <c r="AC3307" s="4">
        <v>1</v>
      </c>
      <c r="AD3307" s="4">
        <v>2</v>
      </c>
      <c r="AE3307" s="4">
        <v>33</v>
      </c>
      <c r="AF3307" s="4">
        <v>0</v>
      </c>
      <c r="AG3307" s="4">
        <v>0</v>
      </c>
      <c r="AH3307" s="4">
        <v>2</v>
      </c>
      <c r="AI3307" s="4">
        <v>32</v>
      </c>
      <c r="AJ3307" s="4">
        <v>0</v>
      </c>
      <c r="AK3307" s="4">
        <v>2</v>
      </c>
      <c r="AL3307" s="4">
        <v>2</v>
      </c>
      <c r="AM3307" s="4">
        <v>26</v>
      </c>
      <c r="AN3307" s="4">
        <v>0</v>
      </c>
      <c r="AO3307" s="4">
        <v>0</v>
      </c>
      <c r="AP3307" s="4">
        <v>0</v>
      </c>
      <c r="AQ3307" s="4">
        <v>2</v>
      </c>
      <c r="AR3307" s="3" t="s">
        <v>65</v>
      </c>
      <c r="AS3307" s="3" t="s">
        <v>65</v>
      </c>
      <c r="AT3307" s="3" t="s">
        <v>65</v>
      </c>
      <c r="AV3307" s="6" t="str">
        <f>HYPERLINK("http://mcgill.on.worldcat.org/oclc/785809702","Catalog Record")</f>
        <v>Catalog Record</v>
      </c>
      <c r="AW3307" s="6" t="str">
        <f>HYPERLINK("http://www.worldcat.org/oclc/785809702","WorldCat Record")</f>
        <v>WorldCat Record</v>
      </c>
      <c r="AX3307" s="3" t="s">
        <v>32705</v>
      </c>
      <c r="AY3307" s="3" t="s">
        <v>32706</v>
      </c>
      <c r="AZ3307" s="3" t="s">
        <v>32707</v>
      </c>
      <c r="BA3307" s="3" t="s">
        <v>32707</v>
      </c>
      <c r="BB3307" s="3" t="s">
        <v>32708</v>
      </c>
      <c r="BC3307" s="3" t="s">
        <v>77</v>
      </c>
      <c r="BD3307" s="3" t="s">
        <v>78</v>
      </c>
      <c r="BE3307" s="3" t="s">
        <v>32709</v>
      </c>
      <c r="BF3307" s="3" t="s">
        <v>32708</v>
      </c>
      <c r="BG3307" s="3" t="s">
        <v>32710</v>
      </c>
    </row>
    <row r="3308" spans="1:59" ht="58" x14ac:dyDescent="0.35">
      <c r="A3308" s="2" t="s">
        <v>59</v>
      </c>
      <c r="B3308" s="2" t="s">
        <v>60</v>
      </c>
      <c r="C3308" s="2" t="s">
        <v>32711</v>
      </c>
      <c r="D3308" s="2" t="s">
        <v>32712</v>
      </c>
      <c r="E3308" s="2" t="s">
        <v>32713</v>
      </c>
      <c r="G3308" s="3" t="s">
        <v>65</v>
      </c>
      <c r="I3308" s="3" t="s">
        <v>65</v>
      </c>
      <c r="J3308" s="3" t="s">
        <v>209</v>
      </c>
      <c r="K3308" s="3" t="s">
        <v>66</v>
      </c>
      <c r="L3308" s="2" t="s">
        <v>32607</v>
      </c>
      <c r="M3308" s="2" t="s">
        <v>32714</v>
      </c>
      <c r="N3308" s="3" t="s">
        <v>1109</v>
      </c>
      <c r="O3308" s="2" t="s">
        <v>32715</v>
      </c>
      <c r="P3308" s="3" t="s">
        <v>140</v>
      </c>
      <c r="Q3308" s="2" t="s">
        <v>7116</v>
      </c>
      <c r="R3308" s="3" t="s">
        <v>71</v>
      </c>
      <c r="S3308" s="4">
        <v>6</v>
      </c>
      <c r="T3308" s="4">
        <v>6</v>
      </c>
      <c r="U3308" s="5" t="s">
        <v>32716</v>
      </c>
      <c r="V3308" s="5" t="s">
        <v>32716</v>
      </c>
      <c r="W3308" s="5" t="s">
        <v>72</v>
      </c>
      <c r="X3308" s="5" t="s">
        <v>72</v>
      </c>
      <c r="Y3308" s="4">
        <v>37</v>
      </c>
      <c r="Z3308" s="4">
        <v>2</v>
      </c>
      <c r="AA3308" s="4">
        <v>14</v>
      </c>
      <c r="AB3308" s="4">
        <v>1</v>
      </c>
      <c r="AC3308" s="4">
        <v>3</v>
      </c>
      <c r="AD3308" s="4">
        <v>12</v>
      </c>
      <c r="AE3308" s="4">
        <v>83</v>
      </c>
      <c r="AF3308" s="4">
        <v>0</v>
      </c>
      <c r="AG3308" s="4">
        <v>2</v>
      </c>
      <c r="AH3308" s="4">
        <v>12</v>
      </c>
      <c r="AI3308" s="4">
        <v>76</v>
      </c>
      <c r="AJ3308" s="4">
        <v>1</v>
      </c>
      <c r="AK3308" s="4">
        <v>9</v>
      </c>
      <c r="AL3308" s="4">
        <v>5</v>
      </c>
      <c r="AM3308" s="4">
        <v>47</v>
      </c>
      <c r="AN3308" s="4">
        <v>0</v>
      </c>
      <c r="AO3308" s="4">
        <v>0</v>
      </c>
      <c r="AP3308" s="4">
        <v>1</v>
      </c>
      <c r="AQ3308" s="4">
        <v>9</v>
      </c>
      <c r="AR3308" s="3" t="s">
        <v>65</v>
      </c>
      <c r="AS3308" s="3" t="s">
        <v>65</v>
      </c>
      <c r="AT3308" s="3" t="s">
        <v>65</v>
      </c>
      <c r="AV3308" s="6" t="str">
        <f>HYPERLINK("http://mcgill.on.worldcat.org/oclc/1935592","Catalog Record")</f>
        <v>Catalog Record</v>
      </c>
      <c r="AW3308" s="6" t="str">
        <f>HYPERLINK("http://www.worldcat.org/oclc/1935592","WorldCat Record")</f>
        <v>WorldCat Record</v>
      </c>
      <c r="AX3308" s="3" t="s">
        <v>32717</v>
      </c>
      <c r="AY3308" s="3" t="s">
        <v>32718</v>
      </c>
      <c r="AZ3308" s="3" t="s">
        <v>32719</v>
      </c>
      <c r="BA3308" s="3" t="s">
        <v>32719</v>
      </c>
      <c r="BB3308" s="3" t="s">
        <v>32720</v>
      </c>
      <c r="BC3308" s="3" t="s">
        <v>77</v>
      </c>
      <c r="BD3308" s="3" t="s">
        <v>78</v>
      </c>
      <c r="BF3308" s="3" t="s">
        <v>32720</v>
      </c>
      <c r="BG3308" s="3" t="s">
        <v>32721</v>
      </c>
    </row>
    <row r="3309" spans="1:59" ht="58" x14ac:dyDescent="0.35">
      <c r="A3309" s="2" t="s">
        <v>59</v>
      </c>
      <c r="B3309" s="2" t="s">
        <v>60</v>
      </c>
      <c r="C3309" s="2" t="s">
        <v>32722</v>
      </c>
      <c r="D3309" s="2" t="s">
        <v>32723</v>
      </c>
      <c r="E3309" s="2" t="s">
        <v>32724</v>
      </c>
      <c r="G3309" s="3" t="s">
        <v>65</v>
      </c>
      <c r="I3309" s="3" t="s">
        <v>65</v>
      </c>
      <c r="J3309" s="3" t="s">
        <v>209</v>
      </c>
      <c r="K3309" s="3" t="s">
        <v>66</v>
      </c>
      <c r="L3309" s="2" t="s">
        <v>32725</v>
      </c>
      <c r="M3309" s="2" t="s">
        <v>32726</v>
      </c>
      <c r="N3309" s="3" t="s">
        <v>756</v>
      </c>
      <c r="P3309" s="3" t="s">
        <v>140</v>
      </c>
      <c r="R3309" s="3" t="s">
        <v>71</v>
      </c>
      <c r="S3309" s="4">
        <v>1</v>
      </c>
      <c r="T3309" s="4">
        <v>1</v>
      </c>
      <c r="U3309" s="5" t="s">
        <v>21322</v>
      </c>
      <c r="V3309" s="5" t="s">
        <v>21322</v>
      </c>
      <c r="W3309" s="5" t="s">
        <v>72</v>
      </c>
      <c r="X3309" s="5" t="s">
        <v>72</v>
      </c>
      <c r="Y3309" s="4">
        <v>150</v>
      </c>
      <c r="Z3309" s="4">
        <v>12</v>
      </c>
      <c r="AA3309" s="4">
        <v>17</v>
      </c>
      <c r="AB3309" s="4">
        <v>2</v>
      </c>
      <c r="AC3309" s="4">
        <v>2</v>
      </c>
      <c r="AD3309" s="4">
        <v>60</v>
      </c>
      <c r="AE3309" s="4">
        <v>79</v>
      </c>
      <c r="AF3309" s="4">
        <v>1</v>
      </c>
      <c r="AG3309" s="4">
        <v>1</v>
      </c>
      <c r="AH3309" s="4">
        <v>54</v>
      </c>
      <c r="AI3309" s="4">
        <v>73</v>
      </c>
      <c r="AJ3309" s="4">
        <v>8</v>
      </c>
      <c r="AK3309" s="4">
        <v>11</v>
      </c>
      <c r="AL3309" s="4">
        <v>37</v>
      </c>
      <c r="AM3309" s="4">
        <v>46</v>
      </c>
      <c r="AN3309" s="4">
        <v>0</v>
      </c>
      <c r="AO3309" s="4">
        <v>10</v>
      </c>
      <c r="AP3309" s="4">
        <v>8</v>
      </c>
      <c r="AQ3309" s="4">
        <v>11</v>
      </c>
      <c r="AR3309" s="3" t="s">
        <v>65</v>
      </c>
      <c r="AS3309" s="3" t="s">
        <v>65</v>
      </c>
      <c r="AT3309" s="3" t="s">
        <v>209</v>
      </c>
      <c r="AU3309" s="6" t="str">
        <f>HYPERLINK("http://catalog.hathitrust.org/Record/001220161","HathiTrust Record")</f>
        <v>HathiTrust Record</v>
      </c>
      <c r="AV3309" s="6" t="str">
        <f>HYPERLINK("http://mcgill.on.worldcat.org/oclc/747607","Catalog Record")</f>
        <v>Catalog Record</v>
      </c>
      <c r="AW3309" s="6" t="str">
        <f>HYPERLINK("http://www.worldcat.org/oclc/747607","WorldCat Record")</f>
        <v>WorldCat Record</v>
      </c>
      <c r="AX3309" s="3" t="s">
        <v>32727</v>
      </c>
      <c r="AY3309" s="3" t="s">
        <v>32728</v>
      </c>
      <c r="AZ3309" s="3" t="s">
        <v>32729</v>
      </c>
      <c r="BA3309" s="3" t="s">
        <v>32729</v>
      </c>
      <c r="BB3309" s="3" t="s">
        <v>32730</v>
      </c>
      <c r="BC3309" s="3" t="s">
        <v>77</v>
      </c>
      <c r="BD3309" s="3" t="s">
        <v>78</v>
      </c>
      <c r="BF3309" s="3" t="s">
        <v>32730</v>
      </c>
      <c r="BG3309" s="3" t="s">
        <v>32731</v>
      </c>
    </row>
    <row r="3310" spans="1:59" ht="58" x14ac:dyDescent="0.35">
      <c r="A3310" s="2" t="s">
        <v>59</v>
      </c>
      <c r="B3310" s="2" t="s">
        <v>60</v>
      </c>
      <c r="C3310" s="2" t="s">
        <v>32732</v>
      </c>
      <c r="D3310" s="2" t="s">
        <v>32733</v>
      </c>
      <c r="E3310" s="2" t="s">
        <v>32734</v>
      </c>
      <c r="G3310" s="3" t="s">
        <v>65</v>
      </c>
      <c r="I3310" s="3" t="s">
        <v>65</v>
      </c>
      <c r="J3310" s="3" t="s">
        <v>65</v>
      </c>
      <c r="K3310" s="3" t="s">
        <v>66</v>
      </c>
      <c r="L3310" s="2" t="s">
        <v>32725</v>
      </c>
      <c r="M3310" s="2" t="s">
        <v>32735</v>
      </c>
      <c r="N3310" s="3" t="s">
        <v>577</v>
      </c>
      <c r="P3310" s="3" t="s">
        <v>69</v>
      </c>
      <c r="Q3310" s="2" t="s">
        <v>13719</v>
      </c>
      <c r="R3310" s="3" t="s">
        <v>71</v>
      </c>
      <c r="S3310" s="4">
        <v>20</v>
      </c>
      <c r="T3310" s="4">
        <v>20</v>
      </c>
      <c r="U3310" s="5" t="s">
        <v>22787</v>
      </c>
      <c r="V3310" s="5" t="s">
        <v>22787</v>
      </c>
      <c r="W3310" s="5" t="s">
        <v>72</v>
      </c>
      <c r="X3310" s="5" t="s">
        <v>72</v>
      </c>
      <c r="Y3310" s="4">
        <v>60</v>
      </c>
      <c r="Z3310" s="4">
        <v>6</v>
      </c>
      <c r="AA3310" s="4">
        <v>7</v>
      </c>
      <c r="AB3310" s="4">
        <v>1</v>
      </c>
      <c r="AC3310" s="4">
        <v>1</v>
      </c>
      <c r="AD3310" s="4">
        <v>22</v>
      </c>
      <c r="AE3310" s="4">
        <v>23</v>
      </c>
      <c r="AF3310" s="4">
        <v>0</v>
      </c>
      <c r="AG3310" s="4">
        <v>0</v>
      </c>
      <c r="AH3310" s="4">
        <v>20</v>
      </c>
      <c r="AI3310" s="4">
        <v>21</v>
      </c>
      <c r="AJ3310" s="4">
        <v>5</v>
      </c>
      <c r="AK3310" s="4">
        <v>6</v>
      </c>
      <c r="AL3310" s="4">
        <v>11</v>
      </c>
      <c r="AM3310" s="4">
        <v>11</v>
      </c>
      <c r="AN3310" s="4">
        <v>5</v>
      </c>
      <c r="AO3310" s="4">
        <v>5</v>
      </c>
      <c r="AP3310" s="4">
        <v>5</v>
      </c>
      <c r="AQ3310" s="4">
        <v>6</v>
      </c>
      <c r="AR3310" s="3" t="s">
        <v>65</v>
      </c>
      <c r="AS3310" s="3" t="s">
        <v>65</v>
      </c>
      <c r="AT3310" s="3" t="s">
        <v>209</v>
      </c>
      <c r="AU3310" s="6" t="str">
        <f>HYPERLINK("http://catalog.hathitrust.org/Record/011229040","HathiTrust Record")</f>
        <v>HathiTrust Record</v>
      </c>
      <c r="AV3310" s="6" t="str">
        <f>HYPERLINK("http://mcgill.on.worldcat.org/oclc/5099668","Catalog Record")</f>
        <v>Catalog Record</v>
      </c>
      <c r="AW3310" s="6" t="str">
        <f>HYPERLINK("http://www.worldcat.org/oclc/5099668","WorldCat Record")</f>
        <v>WorldCat Record</v>
      </c>
      <c r="AX3310" s="3" t="s">
        <v>32736</v>
      </c>
      <c r="AY3310" s="3" t="s">
        <v>32737</v>
      </c>
      <c r="AZ3310" s="3" t="s">
        <v>32738</v>
      </c>
      <c r="BA3310" s="3" t="s">
        <v>32738</v>
      </c>
      <c r="BB3310" s="3" t="s">
        <v>32739</v>
      </c>
      <c r="BC3310" s="3" t="s">
        <v>77</v>
      </c>
      <c r="BD3310" s="3" t="s">
        <v>78</v>
      </c>
      <c r="BE3310" s="3" t="s">
        <v>32740</v>
      </c>
      <c r="BF3310" s="3" t="s">
        <v>32739</v>
      </c>
      <c r="BG3310" s="3" t="s">
        <v>32741</v>
      </c>
    </row>
    <row r="3311" spans="1:59" ht="58" x14ac:dyDescent="0.35">
      <c r="A3311" s="2" t="s">
        <v>59</v>
      </c>
      <c r="B3311" s="2" t="s">
        <v>60</v>
      </c>
      <c r="C3311" s="2" t="s">
        <v>32742</v>
      </c>
      <c r="D3311" s="2" t="s">
        <v>32743</v>
      </c>
      <c r="E3311" s="2" t="s">
        <v>32744</v>
      </c>
      <c r="G3311" s="3" t="s">
        <v>65</v>
      </c>
      <c r="I3311" s="3" t="s">
        <v>65</v>
      </c>
      <c r="J3311" s="3" t="s">
        <v>209</v>
      </c>
      <c r="K3311" s="3" t="s">
        <v>66</v>
      </c>
      <c r="L3311" s="2" t="s">
        <v>32725</v>
      </c>
      <c r="M3311" s="2" t="s">
        <v>32745</v>
      </c>
      <c r="N3311" s="3" t="s">
        <v>5961</v>
      </c>
      <c r="P3311" s="3" t="s">
        <v>140</v>
      </c>
      <c r="Q3311" s="2" t="s">
        <v>32746</v>
      </c>
      <c r="R3311" s="3" t="s">
        <v>71</v>
      </c>
      <c r="S3311" s="4">
        <v>12</v>
      </c>
      <c r="T3311" s="4">
        <v>12</v>
      </c>
      <c r="U3311" s="5" t="s">
        <v>26398</v>
      </c>
      <c r="V3311" s="5" t="s">
        <v>26398</v>
      </c>
      <c r="W3311" s="5" t="s">
        <v>72</v>
      </c>
      <c r="X3311" s="5" t="s">
        <v>72</v>
      </c>
      <c r="Y3311" s="4">
        <v>1</v>
      </c>
      <c r="Z3311" s="4">
        <v>1</v>
      </c>
      <c r="AA3311" s="4">
        <v>22</v>
      </c>
      <c r="AB3311" s="4">
        <v>1</v>
      </c>
      <c r="AC3311" s="4">
        <v>3</v>
      </c>
      <c r="AD3311" s="4">
        <v>0</v>
      </c>
      <c r="AE3311" s="4">
        <v>94</v>
      </c>
      <c r="AF3311" s="4">
        <v>0</v>
      </c>
      <c r="AG3311" s="4">
        <v>2</v>
      </c>
      <c r="AH3311" s="4">
        <v>0</v>
      </c>
      <c r="AI3311" s="4">
        <v>84</v>
      </c>
      <c r="AJ3311" s="4">
        <v>0</v>
      </c>
      <c r="AK3311" s="4">
        <v>16</v>
      </c>
      <c r="AL3311" s="4">
        <v>0</v>
      </c>
      <c r="AM3311" s="4">
        <v>52</v>
      </c>
      <c r="AN3311" s="4">
        <v>0</v>
      </c>
      <c r="AO3311" s="4">
        <v>5</v>
      </c>
      <c r="AP3311" s="4">
        <v>0</v>
      </c>
      <c r="AQ3311" s="4">
        <v>16</v>
      </c>
      <c r="AR3311" s="3" t="s">
        <v>65</v>
      </c>
      <c r="AS3311" s="3" t="s">
        <v>65</v>
      </c>
      <c r="AT3311" s="3" t="s">
        <v>65</v>
      </c>
      <c r="AV3311" s="6" t="str">
        <f>HYPERLINK("http://mcgill.on.worldcat.org/oclc/427107692","Catalog Record")</f>
        <v>Catalog Record</v>
      </c>
      <c r="AW3311" s="6" t="str">
        <f>HYPERLINK("http://www.worldcat.org/oclc/427107692","WorldCat Record")</f>
        <v>WorldCat Record</v>
      </c>
      <c r="AX3311" s="3" t="s">
        <v>32747</v>
      </c>
      <c r="AY3311" s="3" t="s">
        <v>32748</v>
      </c>
      <c r="AZ3311" s="3" t="s">
        <v>32749</v>
      </c>
      <c r="BA3311" s="3" t="s">
        <v>32749</v>
      </c>
      <c r="BB3311" s="3" t="s">
        <v>32750</v>
      </c>
      <c r="BC3311" s="3" t="s">
        <v>77</v>
      </c>
      <c r="BD3311" s="3" t="s">
        <v>78</v>
      </c>
      <c r="BF3311" s="3" t="s">
        <v>32750</v>
      </c>
      <c r="BG3311" s="3" t="s">
        <v>32751</v>
      </c>
    </row>
    <row r="3312" spans="1:59" ht="58" x14ac:dyDescent="0.35">
      <c r="A3312" s="2" t="s">
        <v>59</v>
      </c>
      <c r="B3312" s="2" t="s">
        <v>60</v>
      </c>
      <c r="C3312" s="2" t="s">
        <v>32752</v>
      </c>
      <c r="D3312" s="2" t="s">
        <v>32753</v>
      </c>
      <c r="E3312" s="2" t="s">
        <v>32754</v>
      </c>
      <c r="G3312" s="3" t="s">
        <v>65</v>
      </c>
      <c r="I3312" s="3" t="s">
        <v>65</v>
      </c>
      <c r="J3312" s="3" t="s">
        <v>65</v>
      </c>
      <c r="K3312" s="3" t="s">
        <v>66</v>
      </c>
      <c r="L3312" s="2" t="s">
        <v>32755</v>
      </c>
      <c r="M3312" s="2" t="s">
        <v>32756</v>
      </c>
      <c r="N3312" s="3" t="s">
        <v>68</v>
      </c>
      <c r="O3312" s="2" t="s">
        <v>235</v>
      </c>
      <c r="P3312" s="3" t="s">
        <v>140</v>
      </c>
      <c r="Q3312" s="2" t="s">
        <v>32757</v>
      </c>
      <c r="R3312" s="3" t="s">
        <v>71</v>
      </c>
      <c r="S3312" s="4">
        <v>0</v>
      </c>
      <c r="T3312" s="4">
        <v>0</v>
      </c>
      <c r="W3312" s="5" t="s">
        <v>72</v>
      </c>
      <c r="X3312" s="5" t="s">
        <v>72</v>
      </c>
      <c r="Y3312" s="4">
        <v>46</v>
      </c>
      <c r="Z3312" s="4">
        <v>3</v>
      </c>
      <c r="AA3312" s="4">
        <v>9</v>
      </c>
      <c r="AB3312" s="4">
        <v>1</v>
      </c>
      <c r="AC3312" s="4">
        <v>3</v>
      </c>
      <c r="AD3312" s="4">
        <v>35</v>
      </c>
      <c r="AE3312" s="4">
        <v>44</v>
      </c>
      <c r="AF3312" s="4">
        <v>0</v>
      </c>
      <c r="AG3312" s="4">
        <v>1</v>
      </c>
      <c r="AH3312" s="4">
        <v>34</v>
      </c>
      <c r="AI3312" s="4">
        <v>39</v>
      </c>
      <c r="AJ3312" s="4">
        <v>2</v>
      </c>
      <c r="AK3312" s="4">
        <v>6</v>
      </c>
      <c r="AL3312" s="4">
        <v>24</v>
      </c>
      <c r="AM3312" s="4">
        <v>26</v>
      </c>
      <c r="AN3312" s="4">
        <v>0</v>
      </c>
      <c r="AO3312" s="4">
        <v>0</v>
      </c>
      <c r="AP3312" s="4">
        <v>2</v>
      </c>
      <c r="AQ3312" s="4">
        <v>7</v>
      </c>
      <c r="AR3312" s="3" t="s">
        <v>65</v>
      </c>
      <c r="AS3312" s="3" t="s">
        <v>65</v>
      </c>
      <c r="AT3312" s="3" t="s">
        <v>65</v>
      </c>
      <c r="AV3312" s="6" t="str">
        <f>HYPERLINK("http://mcgill.on.worldcat.org/oclc/973264697","Catalog Record")</f>
        <v>Catalog Record</v>
      </c>
      <c r="AW3312" s="6" t="str">
        <f>HYPERLINK("http://www.worldcat.org/oclc/973264697","WorldCat Record")</f>
        <v>WorldCat Record</v>
      </c>
      <c r="AX3312" s="3" t="s">
        <v>32758</v>
      </c>
      <c r="AY3312" s="3" t="s">
        <v>32759</v>
      </c>
      <c r="AZ3312" s="3" t="s">
        <v>32760</v>
      </c>
      <c r="BA3312" s="3" t="s">
        <v>32760</v>
      </c>
      <c r="BB3312" s="3" t="s">
        <v>32761</v>
      </c>
      <c r="BC3312" s="3" t="s">
        <v>77</v>
      </c>
      <c r="BD3312" s="3" t="s">
        <v>78</v>
      </c>
      <c r="BE3312" s="3" t="s">
        <v>32762</v>
      </c>
      <c r="BF3312" s="3" t="s">
        <v>32761</v>
      </c>
      <c r="BG3312" s="3" t="s">
        <v>32763</v>
      </c>
    </row>
    <row r="3313" spans="1:59" ht="58" x14ac:dyDescent="0.35">
      <c r="A3313" s="2" t="s">
        <v>59</v>
      </c>
      <c r="B3313" s="2" t="s">
        <v>60</v>
      </c>
      <c r="C3313" s="2" t="s">
        <v>32764</v>
      </c>
      <c r="D3313" s="2" t="s">
        <v>32765</v>
      </c>
      <c r="E3313" s="2" t="s">
        <v>32766</v>
      </c>
      <c r="G3313" s="3" t="s">
        <v>65</v>
      </c>
      <c r="I3313" s="3" t="s">
        <v>65</v>
      </c>
      <c r="J3313" s="3" t="s">
        <v>65</v>
      </c>
      <c r="K3313" s="3" t="s">
        <v>66</v>
      </c>
      <c r="L3313" s="2" t="s">
        <v>32725</v>
      </c>
      <c r="M3313" s="2" t="s">
        <v>32767</v>
      </c>
      <c r="N3313" s="3" t="s">
        <v>4688</v>
      </c>
      <c r="O3313" s="2" t="s">
        <v>32768</v>
      </c>
      <c r="P3313" s="3" t="s">
        <v>69</v>
      </c>
      <c r="R3313" s="3" t="s">
        <v>71</v>
      </c>
      <c r="S3313" s="4">
        <v>28</v>
      </c>
      <c r="T3313" s="4">
        <v>28</v>
      </c>
      <c r="U3313" s="5" t="s">
        <v>26398</v>
      </c>
      <c r="V3313" s="5" t="s">
        <v>26398</v>
      </c>
      <c r="W3313" s="5" t="s">
        <v>72</v>
      </c>
      <c r="X3313" s="5" t="s">
        <v>72</v>
      </c>
      <c r="Y3313" s="4">
        <v>240</v>
      </c>
      <c r="Z3313" s="4">
        <v>9</v>
      </c>
      <c r="AA3313" s="4">
        <v>9</v>
      </c>
      <c r="AB3313" s="4">
        <v>1</v>
      </c>
      <c r="AC3313" s="4">
        <v>1</v>
      </c>
      <c r="AD3313" s="4">
        <v>77</v>
      </c>
      <c r="AE3313" s="4">
        <v>78</v>
      </c>
      <c r="AF3313" s="4">
        <v>0</v>
      </c>
      <c r="AG3313" s="4">
        <v>0</v>
      </c>
      <c r="AH3313" s="4">
        <v>73</v>
      </c>
      <c r="AI3313" s="4">
        <v>74</v>
      </c>
      <c r="AJ3313" s="4">
        <v>6</v>
      </c>
      <c r="AK3313" s="4">
        <v>6</v>
      </c>
      <c r="AL3313" s="4">
        <v>48</v>
      </c>
      <c r="AM3313" s="4">
        <v>48</v>
      </c>
      <c r="AN3313" s="4">
        <v>0</v>
      </c>
      <c r="AO3313" s="4">
        <v>0</v>
      </c>
      <c r="AP3313" s="4">
        <v>6</v>
      </c>
      <c r="AQ3313" s="4">
        <v>6</v>
      </c>
      <c r="AR3313" s="3" t="s">
        <v>65</v>
      </c>
      <c r="AS3313" s="3" t="s">
        <v>65</v>
      </c>
      <c r="AT3313" s="3" t="s">
        <v>209</v>
      </c>
      <c r="AU3313" s="6" t="str">
        <f>HYPERLINK("http://catalog.hathitrust.org/Record/000632914","HathiTrust Record")</f>
        <v>HathiTrust Record</v>
      </c>
      <c r="AV3313" s="6" t="str">
        <f>HYPERLINK("http://mcgill.on.worldcat.org/oclc/12959492","Catalog Record")</f>
        <v>Catalog Record</v>
      </c>
      <c r="AW3313" s="6" t="str">
        <f>HYPERLINK("http://www.worldcat.org/oclc/12959492","WorldCat Record")</f>
        <v>WorldCat Record</v>
      </c>
      <c r="AX3313" s="3" t="s">
        <v>32769</v>
      </c>
      <c r="AY3313" s="3" t="s">
        <v>32770</v>
      </c>
      <c r="AZ3313" s="3" t="s">
        <v>32771</v>
      </c>
      <c r="BA3313" s="3" t="s">
        <v>32771</v>
      </c>
      <c r="BB3313" s="3" t="s">
        <v>32772</v>
      </c>
      <c r="BC3313" s="3" t="s">
        <v>77</v>
      </c>
      <c r="BD3313" s="3" t="s">
        <v>78</v>
      </c>
      <c r="BE3313" s="3" t="s">
        <v>32773</v>
      </c>
      <c r="BF3313" s="3" t="s">
        <v>32772</v>
      </c>
      <c r="BG3313" s="3" t="s">
        <v>32774</v>
      </c>
    </row>
    <row r="3314" spans="1:59" ht="58" x14ac:dyDescent="0.35">
      <c r="A3314" s="2" t="s">
        <v>59</v>
      </c>
      <c r="B3314" s="2" t="s">
        <v>60</v>
      </c>
      <c r="C3314" s="2" t="s">
        <v>32775</v>
      </c>
      <c r="D3314" s="2" t="s">
        <v>32776</v>
      </c>
      <c r="E3314" s="2" t="s">
        <v>32777</v>
      </c>
      <c r="G3314" s="3" t="s">
        <v>65</v>
      </c>
      <c r="I3314" s="3" t="s">
        <v>65</v>
      </c>
      <c r="J3314" s="3" t="s">
        <v>65</v>
      </c>
      <c r="K3314" s="3" t="s">
        <v>66</v>
      </c>
      <c r="L3314" s="2" t="s">
        <v>32778</v>
      </c>
      <c r="M3314" s="2" t="s">
        <v>31806</v>
      </c>
      <c r="N3314" s="3" t="s">
        <v>1944</v>
      </c>
      <c r="P3314" s="3" t="s">
        <v>69</v>
      </c>
      <c r="Q3314" s="2" t="s">
        <v>31807</v>
      </c>
      <c r="R3314" s="3" t="s">
        <v>71</v>
      </c>
      <c r="S3314" s="4">
        <v>2</v>
      </c>
      <c r="T3314" s="4">
        <v>2</v>
      </c>
      <c r="U3314" s="5" t="s">
        <v>4056</v>
      </c>
      <c r="V3314" s="5" t="s">
        <v>4056</v>
      </c>
      <c r="W3314" s="5" t="s">
        <v>72</v>
      </c>
      <c r="X3314" s="5" t="s">
        <v>72</v>
      </c>
      <c r="Y3314" s="4">
        <v>138</v>
      </c>
      <c r="Z3314" s="4">
        <v>12</v>
      </c>
      <c r="AA3314" s="4">
        <v>14</v>
      </c>
      <c r="AB3314" s="4">
        <v>2</v>
      </c>
      <c r="AC3314" s="4">
        <v>4</v>
      </c>
      <c r="AD3314" s="4">
        <v>65</v>
      </c>
      <c r="AE3314" s="4">
        <v>66</v>
      </c>
      <c r="AF3314" s="4">
        <v>0</v>
      </c>
      <c r="AG3314" s="4">
        <v>0</v>
      </c>
      <c r="AH3314" s="4">
        <v>61</v>
      </c>
      <c r="AI3314" s="4">
        <v>62</v>
      </c>
      <c r="AJ3314" s="4">
        <v>8</v>
      </c>
      <c r="AK3314" s="4">
        <v>8</v>
      </c>
      <c r="AL3314" s="4">
        <v>36</v>
      </c>
      <c r="AM3314" s="4">
        <v>37</v>
      </c>
      <c r="AN3314" s="4">
        <v>0</v>
      </c>
      <c r="AO3314" s="4">
        <v>0</v>
      </c>
      <c r="AP3314" s="4">
        <v>8</v>
      </c>
      <c r="AQ3314" s="4">
        <v>8</v>
      </c>
      <c r="AR3314" s="3" t="s">
        <v>65</v>
      </c>
      <c r="AS3314" s="3" t="s">
        <v>65</v>
      </c>
      <c r="AT3314" s="3" t="s">
        <v>209</v>
      </c>
      <c r="AU3314" s="6" t="str">
        <f>HYPERLINK("http://catalog.hathitrust.org/Record/007965030","HathiTrust Record")</f>
        <v>HathiTrust Record</v>
      </c>
      <c r="AV3314" s="6" t="str">
        <f>HYPERLINK("http://mcgill.on.worldcat.org/oclc/45485002","Catalog Record")</f>
        <v>Catalog Record</v>
      </c>
      <c r="AW3314" s="6" t="str">
        <f>HYPERLINK("http://www.worldcat.org/oclc/45485002","WorldCat Record")</f>
        <v>WorldCat Record</v>
      </c>
      <c r="AX3314" s="3" t="s">
        <v>32779</v>
      </c>
      <c r="AY3314" s="3" t="s">
        <v>32780</v>
      </c>
      <c r="AZ3314" s="3" t="s">
        <v>32781</v>
      </c>
      <c r="BA3314" s="3" t="s">
        <v>32781</v>
      </c>
      <c r="BB3314" s="3" t="s">
        <v>32782</v>
      </c>
      <c r="BC3314" s="3" t="s">
        <v>77</v>
      </c>
      <c r="BD3314" s="3" t="s">
        <v>78</v>
      </c>
      <c r="BE3314" s="3" t="s">
        <v>32783</v>
      </c>
      <c r="BF3314" s="3" t="s">
        <v>32782</v>
      </c>
      <c r="BG3314" s="3" t="s">
        <v>32784</v>
      </c>
    </row>
    <row r="3315" spans="1:59" ht="58" x14ac:dyDescent="0.35">
      <c r="A3315" s="2" t="s">
        <v>59</v>
      </c>
      <c r="B3315" s="2" t="s">
        <v>60</v>
      </c>
      <c r="C3315" s="2" t="s">
        <v>32785</v>
      </c>
      <c r="D3315" s="2" t="s">
        <v>32786</v>
      </c>
      <c r="E3315" s="2" t="s">
        <v>32787</v>
      </c>
      <c r="G3315" s="3" t="s">
        <v>65</v>
      </c>
      <c r="I3315" s="3" t="s">
        <v>65</v>
      </c>
      <c r="J3315" s="3" t="s">
        <v>65</v>
      </c>
      <c r="K3315" s="3" t="s">
        <v>66</v>
      </c>
      <c r="L3315" s="2" t="s">
        <v>23029</v>
      </c>
      <c r="M3315" s="2" t="s">
        <v>32788</v>
      </c>
      <c r="N3315" s="3" t="s">
        <v>3994</v>
      </c>
      <c r="P3315" s="3" t="s">
        <v>140</v>
      </c>
      <c r="Q3315" s="2" t="s">
        <v>32789</v>
      </c>
      <c r="R3315" s="3" t="s">
        <v>71</v>
      </c>
      <c r="S3315" s="4">
        <v>4</v>
      </c>
      <c r="T3315" s="4">
        <v>4</v>
      </c>
      <c r="U3315" s="5" t="s">
        <v>26398</v>
      </c>
      <c r="V3315" s="5" t="s">
        <v>26398</v>
      </c>
      <c r="W3315" s="5" t="s">
        <v>72</v>
      </c>
      <c r="X3315" s="5" t="s">
        <v>72</v>
      </c>
      <c r="Y3315" s="4">
        <v>83</v>
      </c>
      <c r="Z3315" s="4">
        <v>7</v>
      </c>
      <c r="AA3315" s="4">
        <v>8</v>
      </c>
      <c r="AB3315" s="4">
        <v>1</v>
      </c>
      <c r="AC3315" s="4">
        <v>2</v>
      </c>
      <c r="AD3315" s="4">
        <v>43</v>
      </c>
      <c r="AE3315" s="4">
        <v>44</v>
      </c>
      <c r="AF3315" s="4">
        <v>0</v>
      </c>
      <c r="AG3315" s="4">
        <v>1</v>
      </c>
      <c r="AH3315" s="4">
        <v>41</v>
      </c>
      <c r="AI3315" s="4">
        <v>41</v>
      </c>
      <c r="AJ3315" s="4">
        <v>4</v>
      </c>
      <c r="AK3315" s="4">
        <v>5</v>
      </c>
      <c r="AL3315" s="4">
        <v>28</v>
      </c>
      <c r="AM3315" s="4">
        <v>28</v>
      </c>
      <c r="AN3315" s="4">
        <v>0</v>
      </c>
      <c r="AO3315" s="4">
        <v>0</v>
      </c>
      <c r="AP3315" s="4">
        <v>4</v>
      </c>
      <c r="AQ3315" s="4">
        <v>4</v>
      </c>
      <c r="AR3315" s="3" t="s">
        <v>65</v>
      </c>
      <c r="AS3315" s="3" t="s">
        <v>65</v>
      </c>
      <c r="AT3315" s="3" t="s">
        <v>65</v>
      </c>
      <c r="AV3315" s="6" t="str">
        <f>HYPERLINK("http://mcgill.on.worldcat.org/oclc/1332036","Catalog Record")</f>
        <v>Catalog Record</v>
      </c>
      <c r="AW3315" s="6" t="str">
        <f>HYPERLINK("http://www.worldcat.org/oclc/1332036","WorldCat Record")</f>
        <v>WorldCat Record</v>
      </c>
      <c r="AX3315" s="3" t="s">
        <v>32790</v>
      </c>
      <c r="AY3315" s="3" t="s">
        <v>32791</v>
      </c>
      <c r="AZ3315" s="3" t="s">
        <v>32792</v>
      </c>
      <c r="BA3315" s="3" t="s">
        <v>32792</v>
      </c>
      <c r="BB3315" s="3" t="s">
        <v>32793</v>
      </c>
      <c r="BC3315" s="3" t="s">
        <v>77</v>
      </c>
      <c r="BD3315" s="3" t="s">
        <v>78</v>
      </c>
      <c r="BF3315" s="3" t="s">
        <v>32793</v>
      </c>
      <c r="BG3315" s="3" t="s">
        <v>32794</v>
      </c>
    </row>
    <row r="3316" spans="1:59" ht="58" x14ac:dyDescent="0.35">
      <c r="A3316" s="2" t="s">
        <v>59</v>
      </c>
      <c r="B3316" s="2" t="s">
        <v>60</v>
      </c>
      <c r="C3316" s="2" t="s">
        <v>32795</v>
      </c>
      <c r="D3316" s="2" t="s">
        <v>32796</v>
      </c>
      <c r="E3316" s="2" t="s">
        <v>32797</v>
      </c>
      <c r="G3316" s="3" t="s">
        <v>65</v>
      </c>
      <c r="I3316" s="3" t="s">
        <v>65</v>
      </c>
      <c r="J3316" s="3" t="s">
        <v>65</v>
      </c>
      <c r="K3316" s="3" t="s">
        <v>66</v>
      </c>
      <c r="M3316" s="2" t="s">
        <v>26465</v>
      </c>
      <c r="N3316" s="3" t="s">
        <v>113</v>
      </c>
      <c r="P3316" s="3" t="s">
        <v>140</v>
      </c>
      <c r="Q3316" s="2" t="s">
        <v>32798</v>
      </c>
      <c r="R3316" s="3" t="s">
        <v>71</v>
      </c>
      <c r="S3316" s="4">
        <v>1</v>
      </c>
      <c r="T3316" s="4">
        <v>1</v>
      </c>
      <c r="U3316" s="5" t="s">
        <v>21322</v>
      </c>
      <c r="V3316" s="5" t="s">
        <v>21322</v>
      </c>
      <c r="W3316" s="5" t="s">
        <v>72</v>
      </c>
      <c r="X3316" s="5" t="s">
        <v>72</v>
      </c>
      <c r="Y3316" s="4">
        <v>47</v>
      </c>
      <c r="Z3316" s="4">
        <v>3</v>
      </c>
      <c r="AA3316" s="4">
        <v>3</v>
      </c>
      <c r="AB3316" s="4">
        <v>1</v>
      </c>
      <c r="AC3316" s="4">
        <v>1</v>
      </c>
      <c r="AD3316" s="4">
        <v>31</v>
      </c>
      <c r="AE3316" s="4">
        <v>31</v>
      </c>
      <c r="AF3316" s="4">
        <v>0</v>
      </c>
      <c r="AG3316" s="4">
        <v>0</v>
      </c>
      <c r="AH3316" s="4">
        <v>30</v>
      </c>
      <c r="AI3316" s="4">
        <v>30</v>
      </c>
      <c r="AJ3316" s="4">
        <v>1</v>
      </c>
      <c r="AK3316" s="4">
        <v>1</v>
      </c>
      <c r="AL3316" s="4">
        <v>24</v>
      </c>
      <c r="AM3316" s="4">
        <v>24</v>
      </c>
      <c r="AN3316" s="4">
        <v>0</v>
      </c>
      <c r="AO3316" s="4">
        <v>0</v>
      </c>
      <c r="AP3316" s="4">
        <v>1</v>
      </c>
      <c r="AQ3316" s="4">
        <v>1</v>
      </c>
      <c r="AR3316" s="3" t="s">
        <v>65</v>
      </c>
      <c r="AS3316" s="3" t="s">
        <v>65</v>
      </c>
      <c r="AT3316" s="3" t="s">
        <v>65</v>
      </c>
      <c r="AV3316" s="6" t="str">
        <f>HYPERLINK("http://mcgill.on.worldcat.org/oclc/745969685","Catalog Record")</f>
        <v>Catalog Record</v>
      </c>
      <c r="AW3316" s="6" t="str">
        <f>HYPERLINK("http://www.worldcat.org/oclc/745969685","WorldCat Record")</f>
        <v>WorldCat Record</v>
      </c>
      <c r="AX3316" s="3" t="s">
        <v>32799</v>
      </c>
      <c r="AY3316" s="3" t="s">
        <v>32800</v>
      </c>
      <c r="AZ3316" s="3" t="s">
        <v>32801</v>
      </c>
      <c r="BA3316" s="3" t="s">
        <v>32801</v>
      </c>
      <c r="BB3316" s="3" t="s">
        <v>32802</v>
      </c>
      <c r="BC3316" s="3" t="s">
        <v>77</v>
      </c>
      <c r="BD3316" s="3" t="s">
        <v>78</v>
      </c>
      <c r="BE3316" s="3" t="s">
        <v>32803</v>
      </c>
      <c r="BF3316" s="3" t="s">
        <v>32802</v>
      </c>
      <c r="BG3316" s="3" t="s">
        <v>32804</v>
      </c>
    </row>
    <row r="3317" spans="1:59" ht="58" x14ac:dyDescent="0.35">
      <c r="A3317" s="2" t="s">
        <v>59</v>
      </c>
      <c r="B3317" s="2" t="s">
        <v>60</v>
      </c>
      <c r="C3317" s="2" t="s">
        <v>32805</v>
      </c>
      <c r="D3317" s="2" t="s">
        <v>32806</v>
      </c>
      <c r="E3317" s="2" t="s">
        <v>32807</v>
      </c>
      <c r="G3317" s="3" t="s">
        <v>65</v>
      </c>
      <c r="I3317" s="3" t="s">
        <v>65</v>
      </c>
      <c r="J3317" s="3" t="s">
        <v>65</v>
      </c>
      <c r="K3317" s="3" t="s">
        <v>66</v>
      </c>
      <c r="L3317" s="2" t="s">
        <v>32808</v>
      </c>
      <c r="M3317" s="2" t="s">
        <v>32809</v>
      </c>
      <c r="N3317" s="3" t="s">
        <v>139</v>
      </c>
      <c r="P3317" s="3" t="s">
        <v>140</v>
      </c>
      <c r="Q3317" s="2" t="s">
        <v>32810</v>
      </c>
      <c r="R3317" s="3" t="s">
        <v>71</v>
      </c>
      <c r="S3317" s="4">
        <v>0</v>
      </c>
      <c r="T3317" s="4">
        <v>0</v>
      </c>
      <c r="W3317" s="5" t="s">
        <v>72</v>
      </c>
      <c r="X3317" s="5" t="s">
        <v>72</v>
      </c>
      <c r="Y3317" s="4">
        <v>40</v>
      </c>
      <c r="Z3317" s="4">
        <v>5</v>
      </c>
      <c r="AA3317" s="4">
        <v>5</v>
      </c>
      <c r="AB3317" s="4">
        <v>1</v>
      </c>
      <c r="AC3317" s="4">
        <v>1</v>
      </c>
      <c r="AD3317" s="4">
        <v>29</v>
      </c>
      <c r="AE3317" s="4">
        <v>29</v>
      </c>
      <c r="AF3317" s="4">
        <v>0</v>
      </c>
      <c r="AG3317" s="4">
        <v>0</v>
      </c>
      <c r="AH3317" s="4">
        <v>28</v>
      </c>
      <c r="AI3317" s="4">
        <v>28</v>
      </c>
      <c r="AJ3317" s="4">
        <v>2</v>
      </c>
      <c r="AK3317" s="4">
        <v>2</v>
      </c>
      <c r="AL3317" s="4">
        <v>23</v>
      </c>
      <c r="AM3317" s="4">
        <v>23</v>
      </c>
      <c r="AN3317" s="4">
        <v>0</v>
      </c>
      <c r="AO3317" s="4">
        <v>0</v>
      </c>
      <c r="AP3317" s="4">
        <v>2</v>
      </c>
      <c r="AQ3317" s="4">
        <v>2</v>
      </c>
      <c r="AR3317" s="3" t="s">
        <v>65</v>
      </c>
      <c r="AS3317" s="3" t="s">
        <v>65</v>
      </c>
      <c r="AT3317" s="3" t="s">
        <v>65</v>
      </c>
      <c r="AV3317" s="6" t="str">
        <f>HYPERLINK("http://mcgill.on.worldcat.org/oclc/820785448","Catalog Record")</f>
        <v>Catalog Record</v>
      </c>
      <c r="AW3317" s="6" t="str">
        <f>HYPERLINK("http://www.worldcat.org/oclc/820785448","WorldCat Record")</f>
        <v>WorldCat Record</v>
      </c>
      <c r="AX3317" s="3" t="s">
        <v>32811</v>
      </c>
      <c r="AY3317" s="3" t="s">
        <v>32812</v>
      </c>
      <c r="AZ3317" s="3" t="s">
        <v>32813</v>
      </c>
      <c r="BA3317" s="3" t="s">
        <v>32813</v>
      </c>
      <c r="BB3317" s="3" t="s">
        <v>32814</v>
      </c>
      <c r="BC3317" s="3" t="s">
        <v>77</v>
      </c>
      <c r="BD3317" s="3" t="s">
        <v>78</v>
      </c>
      <c r="BE3317" s="3" t="s">
        <v>32815</v>
      </c>
      <c r="BF3317" s="3" t="s">
        <v>32814</v>
      </c>
      <c r="BG3317" s="3" t="s">
        <v>32816</v>
      </c>
    </row>
    <row r="3318" spans="1:59" ht="58" x14ac:dyDescent="0.35">
      <c r="A3318" s="2" t="s">
        <v>59</v>
      </c>
      <c r="B3318" s="2" t="s">
        <v>60</v>
      </c>
      <c r="C3318" s="2" t="s">
        <v>32817</v>
      </c>
      <c r="D3318" s="2" t="s">
        <v>32818</v>
      </c>
      <c r="E3318" s="2" t="s">
        <v>32819</v>
      </c>
      <c r="G3318" s="3" t="s">
        <v>65</v>
      </c>
      <c r="I3318" s="3" t="s">
        <v>65</v>
      </c>
      <c r="J3318" s="3" t="s">
        <v>65</v>
      </c>
      <c r="K3318" s="3" t="s">
        <v>66</v>
      </c>
      <c r="M3318" s="2" t="s">
        <v>19485</v>
      </c>
      <c r="N3318" s="3" t="s">
        <v>126</v>
      </c>
      <c r="O3318" s="2" t="s">
        <v>365</v>
      </c>
      <c r="P3318" s="3" t="s">
        <v>140</v>
      </c>
      <c r="Q3318" s="2" t="s">
        <v>19486</v>
      </c>
      <c r="R3318" s="3" t="s">
        <v>71</v>
      </c>
      <c r="S3318" s="4">
        <v>0</v>
      </c>
      <c r="T3318" s="4">
        <v>0</v>
      </c>
      <c r="W3318" s="5" t="s">
        <v>72</v>
      </c>
      <c r="X3318" s="5" t="s">
        <v>72</v>
      </c>
      <c r="Y3318" s="4">
        <v>38</v>
      </c>
      <c r="Z3318" s="4">
        <v>3</v>
      </c>
      <c r="AA3318" s="4">
        <v>3</v>
      </c>
      <c r="AB3318" s="4">
        <v>1</v>
      </c>
      <c r="AC3318" s="4">
        <v>1</v>
      </c>
      <c r="AD3318" s="4">
        <v>25</v>
      </c>
      <c r="AE3318" s="4">
        <v>25</v>
      </c>
      <c r="AF3318" s="4">
        <v>0</v>
      </c>
      <c r="AG3318" s="4">
        <v>0</v>
      </c>
      <c r="AH3318" s="4">
        <v>24</v>
      </c>
      <c r="AI3318" s="4">
        <v>24</v>
      </c>
      <c r="AJ3318" s="4">
        <v>1</v>
      </c>
      <c r="AK3318" s="4">
        <v>1</v>
      </c>
      <c r="AL3318" s="4">
        <v>20</v>
      </c>
      <c r="AM3318" s="4">
        <v>20</v>
      </c>
      <c r="AN3318" s="4">
        <v>0</v>
      </c>
      <c r="AO3318" s="4">
        <v>0</v>
      </c>
      <c r="AP3318" s="4">
        <v>1</v>
      </c>
      <c r="AQ3318" s="4">
        <v>1</v>
      </c>
      <c r="AR3318" s="3" t="s">
        <v>65</v>
      </c>
      <c r="AS3318" s="3" t="s">
        <v>65</v>
      </c>
      <c r="AT3318" s="3" t="s">
        <v>65</v>
      </c>
      <c r="AV3318" s="6" t="str">
        <f>HYPERLINK("http://mcgill.on.worldcat.org/oclc/744283220","Catalog Record")</f>
        <v>Catalog Record</v>
      </c>
      <c r="AW3318" s="6" t="str">
        <f>HYPERLINK("http://www.worldcat.org/oclc/744283220","WorldCat Record")</f>
        <v>WorldCat Record</v>
      </c>
      <c r="AX3318" s="3" t="s">
        <v>32820</v>
      </c>
      <c r="AY3318" s="3" t="s">
        <v>32821</v>
      </c>
      <c r="AZ3318" s="3" t="s">
        <v>32822</v>
      </c>
      <c r="BA3318" s="3" t="s">
        <v>32822</v>
      </c>
      <c r="BB3318" s="3" t="s">
        <v>32823</v>
      </c>
      <c r="BC3318" s="3" t="s">
        <v>77</v>
      </c>
      <c r="BD3318" s="3" t="s">
        <v>78</v>
      </c>
      <c r="BE3318" s="3" t="s">
        <v>32824</v>
      </c>
      <c r="BF3318" s="3" t="s">
        <v>32823</v>
      </c>
      <c r="BG3318" s="3" t="s">
        <v>32825</v>
      </c>
    </row>
    <row r="3319" spans="1:59" ht="58" x14ac:dyDescent="0.35">
      <c r="A3319" s="2" t="s">
        <v>59</v>
      </c>
      <c r="B3319" s="2" t="s">
        <v>60</v>
      </c>
      <c r="C3319" s="2" t="s">
        <v>32826</v>
      </c>
      <c r="D3319" s="2" t="s">
        <v>32827</v>
      </c>
      <c r="E3319" s="2" t="s">
        <v>32828</v>
      </c>
      <c r="G3319" s="3" t="s">
        <v>65</v>
      </c>
      <c r="I3319" s="3" t="s">
        <v>65</v>
      </c>
      <c r="J3319" s="3" t="s">
        <v>65</v>
      </c>
      <c r="K3319" s="3" t="s">
        <v>66</v>
      </c>
      <c r="L3319" s="2" t="s">
        <v>32829</v>
      </c>
      <c r="M3319" s="2" t="s">
        <v>32830</v>
      </c>
      <c r="N3319" s="3" t="s">
        <v>126</v>
      </c>
      <c r="P3319" s="3" t="s">
        <v>140</v>
      </c>
      <c r="Q3319" s="2" t="s">
        <v>4654</v>
      </c>
      <c r="R3319" s="3" t="s">
        <v>71</v>
      </c>
      <c r="S3319" s="4">
        <v>1</v>
      </c>
      <c r="T3319" s="4">
        <v>1</v>
      </c>
      <c r="U3319" s="5" t="s">
        <v>21322</v>
      </c>
      <c r="V3319" s="5" t="s">
        <v>21322</v>
      </c>
      <c r="W3319" s="5" t="s">
        <v>72</v>
      </c>
      <c r="X3319" s="5" t="s">
        <v>72</v>
      </c>
      <c r="Y3319" s="4">
        <v>39</v>
      </c>
      <c r="Z3319" s="4">
        <v>5</v>
      </c>
      <c r="AA3319" s="4">
        <v>5</v>
      </c>
      <c r="AB3319" s="4">
        <v>1</v>
      </c>
      <c r="AC3319" s="4">
        <v>1</v>
      </c>
      <c r="AD3319" s="4">
        <v>25</v>
      </c>
      <c r="AE3319" s="4">
        <v>25</v>
      </c>
      <c r="AF3319" s="4">
        <v>0</v>
      </c>
      <c r="AG3319" s="4">
        <v>0</v>
      </c>
      <c r="AH3319" s="4">
        <v>24</v>
      </c>
      <c r="AI3319" s="4">
        <v>24</v>
      </c>
      <c r="AJ3319" s="4">
        <v>2</v>
      </c>
      <c r="AK3319" s="4">
        <v>2</v>
      </c>
      <c r="AL3319" s="4">
        <v>19</v>
      </c>
      <c r="AM3319" s="4">
        <v>19</v>
      </c>
      <c r="AN3319" s="4">
        <v>0</v>
      </c>
      <c r="AO3319" s="4">
        <v>0</v>
      </c>
      <c r="AP3319" s="4">
        <v>2</v>
      </c>
      <c r="AQ3319" s="4">
        <v>2</v>
      </c>
      <c r="AR3319" s="3" t="s">
        <v>65</v>
      </c>
      <c r="AS3319" s="3" t="s">
        <v>65</v>
      </c>
      <c r="AT3319" s="3" t="s">
        <v>65</v>
      </c>
      <c r="AV3319" s="6" t="str">
        <f>HYPERLINK("http://mcgill.on.worldcat.org/oclc/726827572","Catalog Record")</f>
        <v>Catalog Record</v>
      </c>
      <c r="AW3319" s="6" t="str">
        <f>HYPERLINK("http://www.worldcat.org/oclc/726827572","WorldCat Record")</f>
        <v>WorldCat Record</v>
      </c>
      <c r="AX3319" s="3" t="s">
        <v>32831</v>
      </c>
      <c r="AY3319" s="3" t="s">
        <v>32832</v>
      </c>
      <c r="AZ3319" s="3" t="s">
        <v>32833</v>
      </c>
      <c r="BA3319" s="3" t="s">
        <v>32833</v>
      </c>
      <c r="BB3319" s="3" t="s">
        <v>32834</v>
      </c>
      <c r="BC3319" s="3" t="s">
        <v>77</v>
      </c>
      <c r="BD3319" s="3" t="s">
        <v>78</v>
      </c>
      <c r="BE3319" s="3" t="s">
        <v>32835</v>
      </c>
      <c r="BF3319" s="3" t="s">
        <v>32834</v>
      </c>
      <c r="BG3319" s="3" t="s">
        <v>32836</v>
      </c>
    </row>
    <row r="3320" spans="1:59" ht="58" x14ac:dyDescent="0.35">
      <c r="A3320" s="2" t="s">
        <v>59</v>
      </c>
      <c r="B3320" s="2" t="s">
        <v>60</v>
      </c>
      <c r="C3320" s="2" t="s">
        <v>32837</v>
      </c>
      <c r="D3320" s="2" t="s">
        <v>32838</v>
      </c>
      <c r="E3320" s="2" t="s">
        <v>32839</v>
      </c>
      <c r="G3320" s="3" t="s">
        <v>65</v>
      </c>
      <c r="I3320" s="3" t="s">
        <v>65</v>
      </c>
      <c r="J3320" s="3" t="s">
        <v>65</v>
      </c>
      <c r="K3320" s="3" t="s">
        <v>66</v>
      </c>
      <c r="L3320" s="2" t="s">
        <v>32840</v>
      </c>
      <c r="M3320" s="2" t="s">
        <v>415</v>
      </c>
      <c r="N3320" s="3" t="s">
        <v>126</v>
      </c>
      <c r="P3320" s="3" t="s">
        <v>140</v>
      </c>
      <c r="Q3320" s="2" t="s">
        <v>32841</v>
      </c>
      <c r="R3320" s="3" t="s">
        <v>71</v>
      </c>
      <c r="S3320" s="4">
        <v>0</v>
      </c>
      <c r="T3320" s="4">
        <v>0</v>
      </c>
      <c r="W3320" s="5" t="s">
        <v>72</v>
      </c>
      <c r="X3320" s="5" t="s">
        <v>72</v>
      </c>
      <c r="Y3320" s="4">
        <v>20</v>
      </c>
      <c r="Z3320" s="4">
        <v>1</v>
      </c>
      <c r="AA3320" s="4">
        <v>5</v>
      </c>
      <c r="AB3320" s="4">
        <v>1</v>
      </c>
      <c r="AC3320" s="4">
        <v>1</v>
      </c>
      <c r="AD3320" s="4">
        <v>12</v>
      </c>
      <c r="AE3320" s="4">
        <v>24</v>
      </c>
      <c r="AF3320" s="4">
        <v>0</v>
      </c>
      <c r="AG3320" s="4">
        <v>0</v>
      </c>
      <c r="AH3320" s="4">
        <v>12</v>
      </c>
      <c r="AI3320" s="4">
        <v>23</v>
      </c>
      <c r="AJ3320" s="4">
        <v>0</v>
      </c>
      <c r="AK3320" s="4">
        <v>2</v>
      </c>
      <c r="AL3320" s="4">
        <v>8</v>
      </c>
      <c r="AM3320" s="4">
        <v>17</v>
      </c>
      <c r="AN3320" s="4">
        <v>0</v>
      </c>
      <c r="AO3320" s="4">
        <v>0</v>
      </c>
      <c r="AP3320" s="4">
        <v>0</v>
      </c>
      <c r="AQ3320" s="4">
        <v>2</v>
      </c>
      <c r="AR3320" s="3" t="s">
        <v>65</v>
      </c>
      <c r="AS3320" s="3" t="s">
        <v>65</v>
      </c>
      <c r="AT3320" s="3" t="s">
        <v>65</v>
      </c>
      <c r="AV3320" s="6" t="str">
        <f>HYPERLINK("http://mcgill.on.worldcat.org/oclc/752061818","Catalog Record")</f>
        <v>Catalog Record</v>
      </c>
      <c r="AW3320" s="6" t="str">
        <f>HYPERLINK("http://www.worldcat.org/oclc/752061818","WorldCat Record")</f>
        <v>WorldCat Record</v>
      </c>
      <c r="AX3320" s="3" t="s">
        <v>32842</v>
      </c>
      <c r="AY3320" s="3" t="s">
        <v>32843</v>
      </c>
      <c r="AZ3320" s="3" t="s">
        <v>32844</v>
      </c>
      <c r="BA3320" s="3" t="s">
        <v>32844</v>
      </c>
      <c r="BB3320" s="3" t="s">
        <v>32845</v>
      </c>
      <c r="BC3320" s="3" t="s">
        <v>77</v>
      </c>
      <c r="BD3320" s="3" t="s">
        <v>78</v>
      </c>
      <c r="BE3320" s="3" t="s">
        <v>32846</v>
      </c>
      <c r="BF3320" s="3" t="s">
        <v>32845</v>
      </c>
      <c r="BG3320" s="3" t="s">
        <v>32847</v>
      </c>
    </row>
    <row r="3321" spans="1:59" ht="58" x14ac:dyDescent="0.35">
      <c r="A3321" s="2" t="s">
        <v>59</v>
      </c>
      <c r="B3321" s="2" t="s">
        <v>60</v>
      </c>
      <c r="C3321" s="2" t="s">
        <v>32848</v>
      </c>
      <c r="D3321" s="2" t="s">
        <v>32849</v>
      </c>
      <c r="E3321" s="2" t="s">
        <v>32850</v>
      </c>
      <c r="G3321" s="3" t="s">
        <v>65</v>
      </c>
      <c r="I3321" s="3" t="s">
        <v>65</v>
      </c>
      <c r="J3321" s="3" t="s">
        <v>65</v>
      </c>
      <c r="K3321" s="3" t="s">
        <v>66</v>
      </c>
      <c r="L3321" s="2" t="s">
        <v>32851</v>
      </c>
      <c r="M3321" s="2" t="s">
        <v>32852</v>
      </c>
      <c r="N3321" s="3" t="s">
        <v>176</v>
      </c>
      <c r="P3321" s="3" t="s">
        <v>140</v>
      </c>
      <c r="Q3321" s="2" t="s">
        <v>32853</v>
      </c>
      <c r="R3321" s="3" t="s">
        <v>71</v>
      </c>
      <c r="S3321" s="4">
        <v>0</v>
      </c>
      <c r="T3321" s="4">
        <v>0</v>
      </c>
      <c r="W3321" s="5" t="s">
        <v>72</v>
      </c>
      <c r="X3321" s="5" t="s">
        <v>72</v>
      </c>
      <c r="Y3321" s="4">
        <v>41</v>
      </c>
      <c r="Z3321" s="4">
        <v>5</v>
      </c>
      <c r="AA3321" s="4">
        <v>5</v>
      </c>
      <c r="AB3321" s="4">
        <v>1</v>
      </c>
      <c r="AC3321" s="4">
        <v>1</v>
      </c>
      <c r="AD3321" s="4">
        <v>26</v>
      </c>
      <c r="AE3321" s="4">
        <v>26</v>
      </c>
      <c r="AF3321" s="4">
        <v>0</v>
      </c>
      <c r="AG3321" s="4">
        <v>0</v>
      </c>
      <c r="AH3321" s="4">
        <v>25</v>
      </c>
      <c r="AI3321" s="4">
        <v>25</v>
      </c>
      <c r="AJ3321" s="4">
        <v>2</v>
      </c>
      <c r="AK3321" s="4">
        <v>2</v>
      </c>
      <c r="AL3321" s="4">
        <v>18</v>
      </c>
      <c r="AM3321" s="4">
        <v>18</v>
      </c>
      <c r="AN3321" s="4">
        <v>0</v>
      </c>
      <c r="AO3321" s="4">
        <v>0</v>
      </c>
      <c r="AP3321" s="4">
        <v>2</v>
      </c>
      <c r="AQ3321" s="4">
        <v>2</v>
      </c>
      <c r="AR3321" s="3" t="s">
        <v>65</v>
      </c>
      <c r="AS3321" s="3" t="s">
        <v>65</v>
      </c>
      <c r="AT3321" s="3" t="s">
        <v>65</v>
      </c>
      <c r="AV3321" s="6" t="str">
        <f>HYPERLINK("http://mcgill.on.worldcat.org/oclc/919440391","Catalog Record")</f>
        <v>Catalog Record</v>
      </c>
      <c r="AW3321" s="6" t="str">
        <f>HYPERLINK("http://www.worldcat.org/oclc/919440391","WorldCat Record")</f>
        <v>WorldCat Record</v>
      </c>
      <c r="AX3321" s="3" t="s">
        <v>32854</v>
      </c>
      <c r="AY3321" s="3" t="s">
        <v>32855</v>
      </c>
      <c r="AZ3321" s="3" t="s">
        <v>32856</v>
      </c>
      <c r="BA3321" s="3" t="s">
        <v>32856</v>
      </c>
      <c r="BB3321" s="3" t="s">
        <v>32857</v>
      </c>
      <c r="BC3321" s="3" t="s">
        <v>77</v>
      </c>
      <c r="BD3321" s="3" t="s">
        <v>78</v>
      </c>
      <c r="BE3321" s="3" t="s">
        <v>32858</v>
      </c>
      <c r="BF3321" s="3" t="s">
        <v>32857</v>
      </c>
      <c r="BG3321" s="3" t="s">
        <v>32859</v>
      </c>
    </row>
    <row r="3322" spans="1:59" ht="58" x14ac:dyDescent="0.35">
      <c r="A3322" s="2" t="s">
        <v>59</v>
      </c>
      <c r="B3322" s="2" t="s">
        <v>60</v>
      </c>
      <c r="C3322" s="2" t="s">
        <v>32860</v>
      </c>
      <c r="D3322" s="2" t="s">
        <v>32861</v>
      </c>
      <c r="E3322" s="2" t="s">
        <v>32862</v>
      </c>
      <c r="G3322" s="3" t="s">
        <v>65</v>
      </c>
      <c r="I3322" s="3" t="s">
        <v>65</v>
      </c>
      <c r="J3322" s="3" t="s">
        <v>209</v>
      </c>
      <c r="K3322" s="3" t="s">
        <v>66</v>
      </c>
      <c r="L3322" s="2" t="s">
        <v>32863</v>
      </c>
      <c r="M3322" s="2" t="s">
        <v>32864</v>
      </c>
      <c r="N3322" s="3" t="s">
        <v>955</v>
      </c>
      <c r="P3322" s="3" t="s">
        <v>140</v>
      </c>
      <c r="Q3322" s="2" t="s">
        <v>32865</v>
      </c>
      <c r="R3322" s="3" t="s">
        <v>71</v>
      </c>
      <c r="S3322" s="4">
        <v>5</v>
      </c>
      <c r="T3322" s="4">
        <v>5</v>
      </c>
      <c r="U3322" s="5" t="s">
        <v>21322</v>
      </c>
      <c r="V3322" s="5" t="s">
        <v>21322</v>
      </c>
      <c r="W3322" s="5" t="s">
        <v>72</v>
      </c>
      <c r="X3322" s="5" t="s">
        <v>72</v>
      </c>
      <c r="Y3322" s="4">
        <v>5</v>
      </c>
      <c r="Z3322" s="4">
        <v>1</v>
      </c>
      <c r="AA3322" s="4">
        <v>12</v>
      </c>
      <c r="AB3322" s="4">
        <v>1</v>
      </c>
      <c r="AC3322" s="4">
        <v>2</v>
      </c>
      <c r="AD3322" s="4">
        <v>0</v>
      </c>
      <c r="AE3322" s="4">
        <v>53</v>
      </c>
      <c r="AF3322" s="4">
        <v>0</v>
      </c>
      <c r="AG3322" s="4">
        <v>1</v>
      </c>
      <c r="AH3322" s="4">
        <v>0</v>
      </c>
      <c r="AI3322" s="4">
        <v>49</v>
      </c>
      <c r="AJ3322" s="4">
        <v>0</v>
      </c>
      <c r="AK3322" s="4">
        <v>8</v>
      </c>
      <c r="AL3322" s="4">
        <v>0</v>
      </c>
      <c r="AM3322" s="4">
        <v>35</v>
      </c>
      <c r="AN3322" s="4">
        <v>0</v>
      </c>
      <c r="AO3322" s="4">
        <v>0</v>
      </c>
      <c r="AP3322" s="4">
        <v>0</v>
      </c>
      <c r="AQ3322" s="4">
        <v>8</v>
      </c>
      <c r="AR3322" s="3" t="s">
        <v>65</v>
      </c>
      <c r="AS3322" s="3" t="s">
        <v>65</v>
      </c>
      <c r="AT3322" s="3" t="s">
        <v>65</v>
      </c>
      <c r="AV3322" s="6" t="str">
        <f>HYPERLINK("http://mcgill.on.worldcat.org/oclc/427253093","Catalog Record")</f>
        <v>Catalog Record</v>
      </c>
      <c r="AW3322" s="6" t="str">
        <f>HYPERLINK("http://www.worldcat.org/oclc/427253093","WorldCat Record")</f>
        <v>WorldCat Record</v>
      </c>
      <c r="AX3322" s="3" t="s">
        <v>32866</v>
      </c>
      <c r="AY3322" s="3" t="s">
        <v>32867</v>
      </c>
      <c r="AZ3322" s="3" t="s">
        <v>32868</v>
      </c>
      <c r="BA3322" s="3" t="s">
        <v>32868</v>
      </c>
      <c r="BB3322" s="3" t="s">
        <v>32869</v>
      </c>
      <c r="BC3322" s="3" t="s">
        <v>77</v>
      </c>
      <c r="BD3322" s="3" t="s">
        <v>78</v>
      </c>
      <c r="BE3322" s="3" t="s">
        <v>32870</v>
      </c>
      <c r="BF3322" s="3" t="s">
        <v>32869</v>
      </c>
      <c r="BG3322" s="3" t="s">
        <v>32871</v>
      </c>
    </row>
    <row r="3323" spans="1:59" ht="58" x14ac:dyDescent="0.35">
      <c r="A3323" s="2" t="s">
        <v>59</v>
      </c>
      <c r="B3323" s="2" t="s">
        <v>60</v>
      </c>
      <c r="C3323" s="2" t="s">
        <v>32872</v>
      </c>
      <c r="D3323" s="2" t="s">
        <v>32873</v>
      </c>
      <c r="E3323" s="2" t="s">
        <v>32874</v>
      </c>
      <c r="G3323" s="3" t="s">
        <v>65</v>
      </c>
      <c r="I3323" s="3" t="s">
        <v>65</v>
      </c>
      <c r="J3323" s="3" t="s">
        <v>65</v>
      </c>
      <c r="K3323" s="3" t="s">
        <v>66</v>
      </c>
      <c r="L3323" s="2" t="s">
        <v>32875</v>
      </c>
      <c r="M3323" s="2" t="s">
        <v>32876</v>
      </c>
      <c r="N3323" s="3" t="s">
        <v>2750</v>
      </c>
      <c r="P3323" s="3" t="s">
        <v>32877</v>
      </c>
      <c r="R3323" s="3" t="s">
        <v>71</v>
      </c>
      <c r="S3323" s="4">
        <v>1</v>
      </c>
      <c r="T3323" s="4">
        <v>1</v>
      </c>
      <c r="U3323" s="5" t="s">
        <v>2474</v>
      </c>
      <c r="V3323" s="5" t="s">
        <v>2474</v>
      </c>
      <c r="W3323" s="5" t="s">
        <v>72</v>
      </c>
      <c r="X3323" s="5" t="s">
        <v>72</v>
      </c>
      <c r="Y3323" s="4">
        <v>29</v>
      </c>
      <c r="Z3323" s="4">
        <v>4</v>
      </c>
      <c r="AA3323" s="4">
        <v>7</v>
      </c>
      <c r="AB3323" s="4">
        <v>1</v>
      </c>
      <c r="AC3323" s="4">
        <v>2</v>
      </c>
      <c r="AD3323" s="4">
        <v>15</v>
      </c>
      <c r="AE3323" s="4">
        <v>34</v>
      </c>
      <c r="AF3323" s="4">
        <v>0</v>
      </c>
      <c r="AG3323" s="4">
        <v>1</v>
      </c>
      <c r="AH3323" s="4">
        <v>15</v>
      </c>
      <c r="AI3323" s="4">
        <v>30</v>
      </c>
      <c r="AJ3323" s="4">
        <v>2</v>
      </c>
      <c r="AK3323" s="4">
        <v>4</v>
      </c>
      <c r="AL3323" s="4">
        <v>10</v>
      </c>
      <c r="AM3323" s="4">
        <v>23</v>
      </c>
      <c r="AN3323" s="4">
        <v>0</v>
      </c>
      <c r="AO3323" s="4">
        <v>0</v>
      </c>
      <c r="AP3323" s="4">
        <v>2</v>
      </c>
      <c r="AQ3323" s="4">
        <v>4</v>
      </c>
      <c r="AR3323" s="3" t="s">
        <v>65</v>
      </c>
      <c r="AS3323" s="3" t="s">
        <v>65</v>
      </c>
      <c r="AT3323" s="3" t="s">
        <v>209</v>
      </c>
      <c r="AU3323" s="6" t="str">
        <f>HYPERLINK("http://catalog.hathitrust.org/Record/000169388","HathiTrust Record")</f>
        <v>HathiTrust Record</v>
      </c>
      <c r="AV3323" s="6" t="str">
        <f>HYPERLINK("http://mcgill.on.worldcat.org/oclc/2652207","Catalog Record")</f>
        <v>Catalog Record</v>
      </c>
      <c r="AW3323" s="6" t="str">
        <f>HYPERLINK("http://www.worldcat.org/oclc/2652207","WorldCat Record")</f>
        <v>WorldCat Record</v>
      </c>
      <c r="AX3323" s="3" t="s">
        <v>32878</v>
      </c>
      <c r="AY3323" s="3" t="s">
        <v>32879</v>
      </c>
      <c r="AZ3323" s="3" t="s">
        <v>32880</v>
      </c>
      <c r="BA3323" s="3" t="s">
        <v>32880</v>
      </c>
      <c r="BB3323" s="3" t="s">
        <v>32881</v>
      </c>
      <c r="BC3323" s="3" t="s">
        <v>77</v>
      </c>
      <c r="BD3323" s="3" t="s">
        <v>78</v>
      </c>
      <c r="BF3323" s="3" t="s">
        <v>32881</v>
      </c>
      <c r="BG3323" s="3" t="s">
        <v>32882</v>
      </c>
    </row>
    <row r="3324" spans="1:59" ht="58" x14ac:dyDescent="0.35">
      <c r="A3324" s="2" t="s">
        <v>59</v>
      </c>
      <c r="B3324" s="2" t="s">
        <v>60</v>
      </c>
      <c r="C3324" s="2" t="s">
        <v>32883</v>
      </c>
      <c r="D3324" s="2" t="s">
        <v>32884</v>
      </c>
      <c r="E3324" s="2" t="s">
        <v>32885</v>
      </c>
      <c r="G3324" s="3" t="s">
        <v>65</v>
      </c>
      <c r="I3324" s="3" t="s">
        <v>65</v>
      </c>
      <c r="J3324" s="3" t="s">
        <v>65</v>
      </c>
      <c r="K3324" s="3" t="s">
        <v>66</v>
      </c>
      <c r="L3324" s="2" t="s">
        <v>32886</v>
      </c>
      <c r="M3324" s="2" t="s">
        <v>32887</v>
      </c>
      <c r="N3324" s="3" t="s">
        <v>2750</v>
      </c>
      <c r="P3324" s="3" t="s">
        <v>69</v>
      </c>
      <c r="Q3324" s="2" t="s">
        <v>32888</v>
      </c>
      <c r="R3324" s="3" t="s">
        <v>71</v>
      </c>
      <c r="S3324" s="4">
        <v>6</v>
      </c>
      <c r="T3324" s="4">
        <v>6</v>
      </c>
      <c r="U3324" s="5" t="s">
        <v>30888</v>
      </c>
      <c r="V3324" s="5" t="s">
        <v>30888</v>
      </c>
      <c r="W3324" s="5" t="s">
        <v>72</v>
      </c>
      <c r="X3324" s="5" t="s">
        <v>72</v>
      </c>
      <c r="Y3324" s="4">
        <v>364</v>
      </c>
      <c r="Z3324" s="4">
        <v>23</v>
      </c>
      <c r="AA3324" s="4">
        <v>31</v>
      </c>
      <c r="AB3324" s="4">
        <v>1</v>
      </c>
      <c r="AC3324" s="4">
        <v>5</v>
      </c>
      <c r="AD3324" s="4">
        <v>106</v>
      </c>
      <c r="AE3324" s="4">
        <v>114</v>
      </c>
      <c r="AF3324" s="4">
        <v>0</v>
      </c>
      <c r="AG3324" s="4">
        <v>1</v>
      </c>
      <c r="AH3324" s="4">
        <v>95</v>
      </c>
      <c r="AI3324" s="4">
        <v>101</v>
      </c>
      <c r="AJ3324" s="4">
        <v>14</v>
      </c>
      <c r="AK3324" s="4">
        <v>16</v>
      </c>
      <c r="AL3324" s="4">
        <v>52</v>
      </c>
      <c r="AM3324" s="4">
        <v>55</v>
      </c>
      <c r="AN3324" s="4">
        <v>0</v>
      </c>
      <c r="AO3324" s="4">
        <v>0</v>
      </c>
      <c r="AP3324" s="4">
        <v>16</v>
      </c>
      <c r="AQ3324" s="4">
        <v>18</v>
      </c>
      <c r="AR3324" s="3" t="s">
        <v>65</v>
      </c>
      <c r="AS3324" s="3" t="s">
        <v>65</v>
      </c>
      <c r="AT3324" s="3" t="s">
        <v>65</v>
      </c>
      <c r="AV3324" s="6" t="str">
        <f>HYPERLINK("http://mcgill.on.worldcat.org/oclc/1735285","Catalog Record")</f>
        <v>Catalog Record</v>
      </c>
      <c r="AW3324" s="6" t="str">
        <f>HYPERLINK("http://www.worldcat.org/oclc/1735285","WorldCat Record")</f>
        <v>WorldCat Record</v>
      </c>
      <c r="AX3324" s="3" t="s">
        <v>32889</v>
      </c>
      <c r="AY3324" s="3" t="s">
        <v>32890</v>
      </c>
      <c r="AZ3324" s="3" t="s">
        <v>32891</v>
      </c>
      <c r="BA3324" s="3" t="s">
        <v>32891</v>
      </c>
      <c r="BB3324" s="3" t="s">
        <v>32892</v>
      </c>
      <c r="BC3324" s="3" t="s">
        <v>77</v>
      </c>
      <c r="BD3324" s="3" t="s">
        <v>78</v>
      </c>
      <c r="BE3324" s="3" t="s">
        <v>32893</v>
      </c>
      <c r="BF3324" s="3" t="s">
        <v>32892</v>
      </c>
      <c r="BG3324" s="3" t="s">
        <v>32894</v>
      </c>
    </row>
    <row r="3325" spans="1:59" ht="58" x14ac:dyDescent="0.35">
      <c r="A3325" s="2" t="s">
        <v>59</v>
      </c>
      <c r="B3325" s="2" t="s">
        <v>60</v>
      </c>
      <c r="C3325" s="2" t="s">
        <v>32895</v>
      </c>
      <c r="D3325" s="2" t="s">
        <v>32896</v>
      </c>
      <c r="E3325" s="2" t="s">
        <v>32897</v>
      </c>
      <c r="G3325" s="3" t="s">
        <v>65</v>
      </c>
      <c r="I3325" s="3" t="s">
        <v>65</v>
      </c>
      <c r="J3325" s="3" t="s">
        <v>65</v>
      </c>
      <c r="K3325" s="3" t="s">
        <v>66</v>
      </c>
      <c r="L3325" s="2" t="s">
        <v>32886</v>
      </c>
      <c r="M3325" s="2" t="s">
        <v>26409</v>
      </c>
      <c r="N3325" s="3" t="s">
        <v>3385</v>
      </c>
      <c r="O3325" s="2" t="s">
        <v>6616</v>
      </c>
      <c r="P3325" s="3" t="s">
        <v>140</v>
      </c>
      <c r="Q3325" s="2" t="s">
        <v>6617</v>
      </c>
      <c r="R3325" s="3" t="s">
        <v>71</v>
      </c>
      <c r="S3325" s="4">
        <v>1</v>
      </c>
      <c r="T3325" s="4">
        <v>1</v>
      </c>
      <c r="U3325" s="5" t="s">
        <v>24292</v>
      </c>
      <c r="V3325" s="5" t="s">
        <v>24292</v>
      </c>
      <c r="W3325" s="5" t="s">
        <v>72</v>
      </c>
      <c r="X3325" s="5" t="s">
        <v>72</v>
      </c>
      <c r="Y3325" s="4">
        <v>92</v>
      </c>
      <c r="Z3325" s="4">
        <v>9</v>
      </c>
      <c r="AA3325" s="4">
        <v>10</v>
      </c>
      <c r="AB3325" s="4">
        <v>1</v>
      </c>
      <c r="AC3325" s="4">
        <v>1</v>
      </c>
      <c r="AD3325" s="4">
        <v>49</v>
      </c>
      <c r="AE3325" s="4">
        <v>58</v>
      </c>
      <c r="AF3325" s="4">
        <v>0</v>
      </c>
      <c r="AG3325" s="4">
        <v>0</v>
      </c>
      <c r="AH3325" s="4">
        <v>48</v>
      </c>
      <c r="AI3325" s="4">
        <v>57</v>
      </c>
      <c r="AJ3325" s="4">
        <v>7</v>
      </c>
      <c r="AK3325" s="4">
        <v>8</v>
      </c>
      <c r="AL3325" s="4">
        <v>32</v>
      </c>
      <c r="AM3325" s="4">
        <v>39</v>
      </c>
      <c r="AN3325" s="4">
        <v>0</v>
      </c>
      <c r="AO3325" s="4">
        <v>0</v>
      </c>
      <c r="AP3325" s="4">
        <v>7</v>
      </c>
      <c r="AQ3325" s="4">
        <v>8</v>
      </c>
      <c r="AR3325" s="3" t="s">
        <v>65</v>
      </c>
      <c r="AS3325" s="3" t="s">
        <v>65</v>
      </c>
      <c r="AT3325" s="3" t="s">
        <v>209</v>
      </c>
      <c r="AU3325" s="6" t="str">
        <f>HYPERLINK("http://catalog.hathitrust.org/Record/004066199","HathiTrust Record")</f>
        <v>HathiTrust Record</v>
      </c>
      <c r="AV3325" s="6" t="str">
        <f>HYPERLINK("http://mcgill.on.worldcat.org/oclc/42668135","Catalog Record")</f>
        <v>Catalog Record</v>
      </c>
      <c r="AW3325" s="6" t="str">
        <f>HYPERLINK("http://www.worldcat.org/oclc/42668135","WorldCat Record")</f>
        <v>WorldCat Record</v>
      </c>
      <c r="AX3325" s="3" t="s">
        <v>32898</v>
      </c>
      <c r="AY3325" s="3" t="s">
        <v>32899</v>
      </c>
      <c r="AZ3325" s="3" t="s">
        <v>32900</v>
      </c>
      <c r="BA3325" s="3" t="s">
        <v>32900</v>
      </c>
      <c r="BB3325" s="3" t="s">
        <v>32901</v>
      </c>
      <c r="BC3325" s="3" t="s">
        <v>77</v>
      </c>
      <c r="BD3325" s="3" t="s">
        <v>78</v>
      </c>
      <c r="BE3325" s="3" t="s">
        <v>32902</v>
      </c>
      <c r="BF3325" s="3" t="s">
        <v>32901</v>
      </c>
      <c r="BG3325" s="3" t="s">
        <v>32903</v>
      </c>
    </row>
    <row r="3326" spans="1:59" ht="58" x14ac:dyDescent="0.35">
      <c r="A3326" s="2" t="s">
        <v>59</v>
      </c>
      <c r="B3326" s="2" t="s">
        <v>60</v>
      </c>
      <c r="C3326" s="2" t="s">
        <v>32904</v>
      </c>
      <c r="D3326" s="2" t="s">
        <v>32905</v>
      </c>
      <c r="E3326" s="2" t="s">
        <v>32906</v>
      </c>
      <c r="G3326" s="3" t="s">
        <v>65</v>
      </c>
      <c r="I3326" s="3" t="s">
        <v>65</v>
      </c>
      <c r="J3326" s="3" t="s">
        <v>65</v>
      </c>
      <c r="K3326" s="3" t="s">
        <v>66</v>
      </c>
      <c r="L3326" s="2" t="s">
        <v>32907</v>
      </c>
      <c r="M3326" s="2" t="s">
        <v>2280</v>
      </c>
      <c r="N3326" s="3" t="s">
        <v>126</v>
      </c>
      <c r="P3326" s="3" t="s">
        <v>140</v>
      </c>
      <c r="Q3326" s="2" t="s">
        <v>32908</v>
      </c>
      <c r="R3326" s="3" t="s">
        <v>71</v>
      </c>
      <c r="S3326" s="4">
        <v>0</v>
      </c>
      <c r="T3326" s="4">
        <v>0</v>
      </c>
      <c r="W3326" s="5" t="s">
        <v>72</v>
      </c>
      <c r="X3326" s="5" t="s">
        <v>72</v>
      </c>
      <c r="Y3326" s="4">
        <v>39</v>
      </c>
      <c r="Z3326" s="4">
        <v>4</v>
      </c>
      <c r="AA3326" s="4">
        <v>4</v>
      </c>
      <c r="AB3326" s="4">
        <v>1</v>
      </c>
      <c r="AC3326" s="4">
        <v>1</v>
      </c>
      <c r="AD3326" s="4">
        <v>30</v>
      </c>
      <c r="AE3326" s="4">
        <v>30</v>
      </c>
      <c r="AF3326" s="4">
        <v>0</v>
      </c>
      <c r="AG3326" s="4">
        <v>0</v>
      </c>
      <c r="AH3326" s="4">
        <v>29</v>
      </c>
      <c r="AI3326" s="4">
        <v>29</v>
      </c>
      <c r="AJ3326" s="4">
        <v>2</v>
      </c>
      <c r="AK3326" s="4">
        <v>2</v>
      </c>
      <c r="AL3326" s="4">
        <v>24</v>
      </c>
      <c r="AM3326" s="4">
        <v>24</v>
      </c>
      <c r="AN3326" s="4">
        <v>0</v>
      </c>
      <c r="AO3326" s="4">
        <v>0</v>
      </c>
      <c r="AP3326" s="4">
        <v>2</v>
      </c>
      <c r="AQ3326" s="4">
        <v>2</v>
      </c>
      <c r="AR3326" s="3" t="s">
        <v>65</v>
      </c>
      <c r="AS3326" s="3" t="s">
        <v>65</v>
      </c>
      <c r="AT3326" s="3" t="s">
        <v>65</v>
      </c>
      <c r="AV3326" s="6" t="str">
        <f>HYPERLINK("http://mcgill.on.worldcat.org/oclc/753624575","Catalog Record")</f>
        <v>Catalog Record</v>
      </c>
      <c r="AW3326" s="6" t="str">
        <f>HYPERLINK("http://www.worldcat.org/oclc/753624575","WorldCat Record")</f>
        <v>WorldCat Record</v>
      </c>
      <c r="AX3326" s="3" t="s">
        <v>32909</v>
      </c>
      <c r="AY3326" s="3" t="s">
        <v>32910</v>
      </c>
      <c r="AZ3326" s="3" t="s">
        <v>32911</v>
      </c>
      <c r="BA3326" s="3" t="s">
        <v>32911</v>
      </c>
      <c r="BB3326" s="3" t="s">
        <v>32912</v>
      </c>
      <c r="BC3326" s="3" t="s">
        <v>77</v>
      </c>
      <c r="BD3326" s="3" t="s">
        <v>78</v>
      </c>
      <c r="BE3326" s="3" t="s">
        <v>32913</v>
      </c>
      <c r="BF3326" s="3" t="s">
        <v>32912</v>
      </c>
      <c r="BG3326" s="3" t="s">
        <v>32914</v>
      </c>
    </row>
    <row r="3327" spans="1:59" ht="58" x14ac:dyDescent="0.35">
      <c r="A3327" s="2" t="s">
        <v>59</v>
      </c>
      <c r="B3327" s="2" t="s">
        <v>60</v>
      </c>
      <c r="C3327" s="2" t="s">
        <v>32915</v>
      </c>
      <c r="D3327" s="2" t="s">
        <v>32916</v>
      </c>
      <c r="E3327" s="2" t="s">
        <v>32917</v>
      </c>
      <c r="G3327" s="3" t="s">
        <v>65</v>
      </c>
      <c r="I3327" s="3" t="s">
        <v>65</v>
      </c>
      <c r="J3327" s="3" t="s">
        <v>65</v>
      </c>
      <c r="K3327" s="3" t="s">
        <v>66</v>
      </c>
      <c r="L3327" s="2" t="s">
        <v>32918</v>
      </c>
      <c r="M3327" s="2" t="s">
        <v>2603</v>
      </c>
      <c r="N3327" s="3" t="s">
        <v>139</v>
      </c>
      <c r="O3327" s="2" t="s">
        <v>365</v>
      </c>
      <c r="P3327" s="3" t="s">
        <v>140</v>
      </c>
      <c r="Q3327" s="2" t="s">
        <v>32919</v>
      </c>
      <c r="R3327" s="3" t="s">
        <v>71</v>
      </c>
      <c r="S3327" s="4">
        <v>0</v>
      </c>
      <c r="T3327" s="4">
        <v>0</v>
      </c>
      <c r="W3327" s="5" t="s">
        <v>72</v>
      </c>
      <c r="X3327" s="5" t="s">
        <v>72</v>
      </c>
      <c r="Y3327" s="4">
        <v>43</v>
      </c>
      <c r="Z3327" s="4">
        <v>5</v>
      </c>
      <c r="AA3327" s="4">
        <v>5</v>
      </c>
      <c r="AB3327" s="4">
        <v>1</v>
      </c>
      <c r="AC3327" s="4">
        <v>1</v>
      </c>
      <c r="AD3327" s="4">
        <v>33</v>
      </c>
      <c r="AE3327" s="4">
        <v>33</v>
      </c>
      <c r="AF3327" s="4">
        <v>0</v>
      </c>
      <c r="AG3327" s="4">
        <v>0</v>
      </c>
      <c r="AH3327" s="4">
        <v>32</v>
      </c>
      <c r="AI3327" s="4">
        <v>32</v>
      </c>
      <c r="AJ3327" s="4">
        <v>3</v>
      </c>
      <c r="AK3327" s="4">
        <v>3</v>
      </c>
      <c r="AL3327" s="4">
        <v>24</v>
      </c>
      <c r="AM3327" s="4">
        <v>24</v>
      </c>
      <c r="AN3327" s="4">
        <v>0</v>
      </c>
      <c r="AO3327" s="4">
        <v>0</v>
      </c>
      <c r="AP3327" s="4">
        <v>3</v>
      </c>
      <c r="AQ3327" s="4">
        <v>3</v>
      </c>
      <c r="AR3327" s="3" t="s">
        <v>65</v>
      </c>
      <c r="AS3327" s="3" t="s">
        <v>65</v>
      </c>
      <c r="AT3327" s="3" t="s">
        <v>65</v>
      </c>
      <c r="AV3327" s="6" t="str">
        <f>HYPERLINK("http://mcgill.on.worldcat.org/oclc/824351497","Catalog Record")</f>
        <v>Catalog Record</v>
      </c>
      <c r="AW3327" s="6" t="str">
        <f>HYPERLINK("http://www.worldcat.org/oclc/824351497","WorldCat Record")</f>
        <v>WorldCat Record</v>
      </c>
      <c r="AX3327" s="3" t="s">
        <v>32920</v>
      </c>
      <c r="AY3327" s="3" t="s">
        <v>32921</v>
      </c>
      <c r="AZ3327" s="3" t="s">
        <v>32922</v>
      </c>
      <c r="BA3327" s="3" t="s">
        <v>32922</v>
      </c>
      <c r="BB3327" s="3" t="s">
        <v>32923</v>
      </c>
      <c r="BC3327" s="3" t="s">
        <v>77</v>
      </c>
      <c r="BD3327" s="3" t="s">
        <v>78</v>
      </c>
      <c r="BE3327" s="3" t="s">
        <v>32924</v>
      </c>
      <c r="BF3327" s="3" t="s">
        <v>32923</v>
      </c>
      <c r="BG3327" s="3" t="s">
        <v>32925</v>
      </c>
    </row>
    <row r="3328" spans="1:59" ht="58" x14ac:dyDescent="0.35">
      <c r="A3328" s="2" t="s">
        <v>59</v>
      </c>
      <c r="B3328" s="2" t="s">
        <v>60</v>
      </c>
      <c r="C3328" s="2" t="s">
        <v>32926</v>
      </c>
      <c r="D3328" s="2" t="s">
        <v>32927</v>
      </c>
      <c r="E3328" s="2" t="s">
        <v>32928</v>
      </c>
      <c r="G3328" s="3" t="s">
        <v>65</v>
      </c>
      <c r="I3328" s="3" t="s">
        <v>65</v>
      </c>
      <c r="J3328" s="3" t="s">
        <v>65</v>
      </c>
      <c r="K3328" s="3" t="s">
        <v>66</v>
      </c>
      <c r="L3328" s="2" t="s">
        <v>32886</v>
      </c>
      <c r="M3328" s="2" t="s">
        <v>32929</v>
      </c>
      <c r="N3328" s="3" t="s">
        <v>139</v>
      </c>
      <c r="P3328" s="3" t="s">
        <v>140</v>
      </c>
      <c r="Q3328" s="2" t="s">
        <v>32930</v>
      </c>
      <c r="R3328" s="3" t="s">
        <v>71</v>
      </c>
      <c r="S3328" s="4">
        <v>0</v>
      </c>
      <c r="T3328" s="4">
        <v>0</v>
      </c>
      <c r="W3328" s="5" t="s">
        <v>72</v>
      </c>
      <c r="X3328" s="5" t="s">
        <v>72</v>
      </c>
      <c r="Y3328" s="4">
        <v>17</v>
      </c>
      <c r="Z3328" s="4">
        <v>2</v>
      </c>
      <c r="AA3328" s="4">
        <v>2</v>
      </c>
      <c r="AB3328" s="4">
        <v>1</v>
      </c>
      <c r="AC3328" s="4">
        <v>1</v>
      </c>
      <c r="AD3328" s="4">
        <v>8</v>
      </c>
      <c r="AE3328" s="4">
        <v>8</v>
      </c>
      <c r="AF3328" s="4">
        <v>0</v>
      </c>
      <c r="AG3328" s="4">
        <v>0</v>
      </c>
      <c r="AH3328" s="4">
        <v>8</v>
      </c>
      <c r="AI3328" s="4">
        <v>8</v>
      </c>
      <c r="AJ3328" s="4">
        <v>1</v>
      </c>
      <c r="AK3328" s="4">
        <v>1</v>
      </c>
      <c r="AL3328" s="4">
        <v>4</v>
      </c>
      <c r="AM3328" s="4">
        <v>4</v>
      </c>
      <c r="AN3328" s="4">
        <v>0</v>
      </c>
      <c r="AO3328" s="4">
        <v>0</v>
      </c>
      <c r="AP3328" s="4">
        <v>1</v>
      </c>
      <c r="AQ3328" s="4">
        <v>1</v>
      </c>
      <c r="AR3328" s="3" t="s">
        <v>65</v>
      </c>
      <c r="AS3328" s="3" t="s">
        <v>65</v>
      </c>
      <c r="AT3328" s="3" t="s">
        <v>65</v>
      </c>
      <c r="AV3328" s="6" t="str">
        <f>HYPERLINK("http://mcgill.on.worldcat.org/oclc/805053632","Catalog Record")</f>
        <v>Catalog Record</v>
      </c>
      <c r="AW3328" s="6" t="str">
        <f>HYPERLINK("http://www.worldcat.org/oclc/805053632","WorldCat Record")</f>
        <v>WorldCat Record</v>
      </c>
      <c r="AX3328" s="3" t="s">
        <v>32931</v>
      </c>
      <c r="AY3328" s="3" t="s">
        <v>32932</v>
      </c>
      <c r="AZ3328" s="3" t="s">
        <v>32933</v>
      </c>
      <c r="BA3328" s="3" t="s">
        <v>32933</v>
      </c>
      <c r="BB3328" s="3" t="s">
        <v>32934</v>
      </c>
      <c r="BC3328" s="3" t="s">
        <v>77</v>
      </c>
      <c r="BD3328" s="3" t="s">
        <v>78</v>
      </c>
      <c r="BE3328" s="3" t="s">
        <v>32935</v>
      </c>
      <c r="BF3328" s="3" t="s">
        <v>32934</v>
      </c>
      <c r="BG3328" s="3" t="s">
        <v>32936</v>
      </c>
    </row>
    <row r="3329" spans="1:59" ht="58" x14ac:dyDescent="0.35">
      <c r="A3329" s="2" t="s">
        <v>59</v>
      </c>
      <c r="B3329" s="2" t="s">
        <v>60</v>
      </c>
      <c r="C3329" s="2" t="s">
        <v>32937</v>
      </c>
      <c r="D3329" s="2" t="s">
        <v>32938</v>
      </c>
      <c r="E3329" s="2" t="s">
        <v>32939</v>
      </c>
      <c r="G3329" s="3" t="s">
        <v>65</v>
      </c>
      <c r="I3329" s="3" t="s">
        <v>65</v>
      </c>
      <c r="J3329" s="3" t="s">
        <v>65</v>
      </c>
      <c r="K3329" s="3" t="s">
        <v>66</v>
      </c>
      <c r="L3329" s="2" t="s">
        <v>32940</v>
      </c>
      <c r="M3329" s="2" t="s">
        <v>14406</v>
      </c>
      <c r="N3329" s="3" t="s">
        <v>126</v>
      </c>
      <c r="O3329" s="2" t="s">
        <v>365</v>
      </c>
      <c r="P3329" s="3" t="s">
        <v>140</v>
      </c>
      <c r="Q3329" s="2" t="s">
        <v>4334</v>
      </c>
      <c r="R3329" s="3" t="s">
        <v>71</v>
      </c>
      <c r="S3329" s="4">
        <v>0</v>
      </c>
      <c r="T3329" s="4">
        <v>0</v>
      </c>
      <c r="W3329" s="5" t="s">
        <v>72</v>
      </c>
      <c r="X3329" s="5" t="s">
        <v>72</v>
      </c>
      <c r="Y3329" s="4">
        <v>36</v>
      </c>
      <c r="Z3329" s="4">
        <v>6</v>
      </c>
      <c r="AA3329" s="4">
        <v>6</v>
      </c>
      <c r="AB3329" s="4">
        <v>1</v>
      </c>
      <c r="AC3329" s="4">
        <v>1</v>
      </c>
      <c r="AD3329" s="4">
        <v>25</v>
      </c>
      <c r="AE3329" s="4">
        <v>25</v>
      </c>
      <c r="AF3329" s="4">
        <v>0</v>
      </c>
      <c r="AG3329" s="4">
        <v>0</v>
      </c>
      <c r="AH3329" s="4">
        <v>24</v>
      </c>
      <c r="AI3329" s="4">
        <v>24</v>
      </c>
      <c r="AJ3329" s="4">
        <v>4</v>
      </c>
      <c r="AK3329" s="4">
        <v>4</v>
      </c>
      <c r="AL3329" s="4">
        <v>18</v>
      </c>
      <c r="AM3329" s="4">
        <v>18</v>
      </c>
      <c r="AN3329" s="4">
        <v>0</v>
      </c>
      <c r="AO3329" s="4">
        <v>0</v>
      </c>
      <c r="AP3329" s="4">
        <v>4</v>
      </c>
      <c r="AQ3329" s="4">
        <v>4</v>
      </c>
      <c r="AR3329" s="3" t="s">
        <v>65</v>
      </c>
      <c r="AS3329" s="3" t="s">
        <v>65</v>
      </c>
      <c r="AT3329" s="3" t="s">
        <v>65</v>
      </c>
      <c r="AV3329" s="6" t="str">
        <f>HYPERLINK("http://mcgill.on.worldcat.org/oclc/730397550","Catalog Record")</f>
        <v>Catalog Record</v>
      </c>
      <c r="AW3329" s="6" t="str">
        <f>HYPERLINK("http://www.worldcat.org/oclc/730397550","WorldCat Record")</f>
        <v>WorldCat Record</v>
      </c>
      <c r="AX3329" s="3" t="s">
        <v>32941</v>
      </c>
      <c r="AY3329" s="3" t="s">
        <v>32942</v>
      </c>
      <c r="AZ3329" s="3" t="s">
        <v>32943</v>
      </c>
      <c r="BA3329" s="3" t="s">
        <v>32943</v>
      </c>
      <c r="BB3329" s="3" t="s">
        <v>32944</v>
      </c>
      <c r="BC3329" s="3" t="s">
        <v>77</v>
      </c>
      <c r="BD3329" s="3" t="s">
        <v>78</v>
      </c>
      <c r="BE3329" s="3" t="s">
        <v>32945</v>
      </c>
      <c r="BF3329" s="3" t="s">
        <v>32944</v>
      </c>
      <c r="BG3329" s="3" t="s">
        <v>32946</v>
      </c>
    </row>
    <row r="3330" spans="1:59" ht="58" x14ac:dyDescent="0.35">
      <c r="A3330" s="2" t="s">
        <v>59</v>
      </c>
      <c r="B3330" s="2" t="s">
        <v>60</v>
      </c>
      <c r="C3330" s="2" t="s">
        <v>32947</v>
      </c>
      <c r="D3330" s="2" t="s">
        <v>32948</v>
      </c>
      <c r="E3330" s="2" t="s">
        <v>32949</v>
      </c>
      <c r="G3330" s="3" t="s">
        <v>65</v>
      </c>
      <c r="I3330" s="3" t="s">
        <v>65</v>
      </c>
      <c r="J3330" s="3" t="s">
        <v>65</v>
      </c>
      <c r="K3330" s="3" t="s">
        <v>66</v>
      </c>
      <c r="L3330" s="2" t="s">
        <v>32886</v>
      </c>
      <c r="M3330" s="2" t="s">
        <v>4617</v>
      </c>
      <c r="N3330" s="3" t="s">
        <v>126</v>
      </c>
      <c r="P3330" s="3" t="s">
        <v>140</v>
      </c>
      <c r="Q3330" s="2" t="s">
        <v>32950</v>
      </c>
      <c r="R3330" s="3" t="s">
        <v>71</v>
      </c>
      <c r="S3330" s="4">
        <v>0</v>
      </c>
      <c r="T3330" s="4">
        <v>0</v>
      </c>
      <c r="W3330" s="5" t="s">
        <v>72</v>
      </c>
      <c r="X3330" s="5" t="s">
        <v>72</v>
      </c>
      <c r="Y3330" s="4">
        <v>42</v>
      </c>
      <c r="Z3330" s="4">
        <v>5</v>
      </c>
      <c r="AA3330" s="4">
        <v>5</v>
      </c>
      <c r="AB3330" s="4">
        <v>1</v>
      </c>
      <c r="AC3330" s="4">
        <v>1</v>
      </c>
      <c r="AD3330" s="4">
        <v>31</v>
      </c>
      <c r="AE3330" s="4">
        <v>31</v>
      </c>
      <c r="AF3330" s="4">
        <v>0</v>
      </c>
      <c r="AG3330" s="4">
        <v>0</v>
      </c>
      <c r="AH3330" s="4">
        <v>30</v>
      </c>
      <c r="AI3330" s="4">
        <v>30</v>
      </c>
      <c r="AJ3330" s="4">
        <v>3</v>
      </c>
      <c r="AK3330" s="4">
        <v>3</v>
      </c>
      <c r="AL3330" s="4">
        <v>22</v>
      </c>
      <c r="AM3330" s="4">
        <v>22</v>
      </c>
      <c r="AN3330" s="4">
        <v>0</v>
      </c>
      <c r="AO3330" s="4">
        <v>0</v>
      </c>
      <c r="AP3330" s="4">
        <v>3</v>
      </c>
      <c r="AQ3330" s="4">
        <v>3</v>
      </c>
      <c r="AR3330" s="3" t="s">
        <v>65</v>
      </c>
      <c r="AS3330" s="3" t="s">
        <v>65</v>
      </c>
      <c r="AT3330" s="3" t="s">
        <v>65</v>
      </c>
      <c r="AV3330" s="6" t="str">
        <f>HYPERLINK("http://mcgill.on.worldcat.org/oclc/759152158","Catalog Record")</f>
        <v>Catalog Record</v>
      </c>
      <c r="AW3330" s="6" t="str">
        <f>HYPERLINK("http://www.worldcat.org/oclc/759152158","WorldCat Record")</f>
        <v>WorldCat Record</v>
      </c>
      <c r="AX3330" s="3" t="s">
        <v>32951</v>
      </c>
      <c r="AY3330" s="3" t="s">
        <v>32952</v>
      </c>
      <c r="AZ3330" s="3" t="s">
        <v>32953</v>
      </c>
      <c r="BA3330" s="3" t="s">
        <v>32953</v>
      </c>
      <c r="BB3330" s="3" t="s">
        <v>32954</v>
      </c>
      <c r="BC3330" s="3" t="s">
        <v>77</v>
      </c>
      <c r="BD3330" s="3" t="s">
        <v>78</v>
      </c>
      <c r="BE3330" s="3" t="s">
        <v>32955</v>
      </c>
      <c r="BF3330" s="3" t="s">
        <v>32954</v>
      </c>
      <c r="BG3330" s="3" t="s">
        <v>32956</v>
      </c>
    </row>
    <row r="3331" spans="1:59" ht="58" x14ac:dyDescent="0.35">
      <c r="A3331" s="2" t="s">
        <v>59</v>
      </c>
      <c r="B3331" s="2" t="s">
        <v>60</v>
      </c>
      <c r="C3331" s="2" t="s">
        <v>32957</v>
      </c>
      <c r="D3331" s="2" t="s">
        <v>32958</v>
      </c>
      <c r="E3331" s="2" t="s">
        <v>32959</v>
      </c>
      <c r="G3331" s="3" t="s">
        <v>65</v>
      </c>
      <c r="I3331" s="3" t="s">
        <v>65</v>
      </c>
      <c r="J3331" s="3" t="s">
        <v>65</v>
      </c>
      <c r="K3331" s="3" t="s">
        <v>66</v>
      </c>
      <c r="L3331" s="2" t="s">
        <v>32960</v>
      </c>
      <c r="M3331" s="2" t="s">
        <v>32961</v>
      </c>
      <c r="N3331" s="3" t="s">
        <v>176</v>
      </c>
      <c r="P3331" s="3" t="s">
        <v>140</v>
      </c>
      <c r="Q3331" s="2" t="s">
        <v>32962</v>
      </c>
      <c r="R3331" s="3" t="s">
        <v>71</v>
      </c>
      <c r="S3331" s="4">
        <v>0</v>
      </c>
      <c r="T3331" s="4">
        <v>0</v>
      </c>
      <c r="W3331" s="5" t="s">
        <v>72</v>
      </c>
      <c r="X3331" s="5" t="s">
        <v>72</v>
      </c>
      <c r="Y3331" s="4">
        <v>37</v>
      </c>
      <c r="Z3331" s="4">
        <v>4</v>
      </c>
      <c r="AA3331" s="4">
        <v>4</v>
      </c>
      <c r="AB3331" s="4">
        <v>1</v>
      </c>
      <c r="AC3331" s="4">
        <v>1</v>
      </c>
      <c r="AD3331" s="4">
        <v>29</v>
      </c>
      <c r="AE3331" s="4">
        <v>29</v>
      </c>
      <c r="AF3331" s="4">
        <v>0</v>
      </c>
      <c r="AG3331" s="4">
        <v>0</v>
      </c>
      <c r="AH3331" s="4">
        <v>28</v>
      </c>
      <c r="AI3331" s="4">
        <v>28</v>
      </c>
      <c r="AJ3331" s="4">
        <v>2</v>
      </c>
      <c r="AK3331" s="4">
        <v>2</v>
      </c>
      <c r="AL3331" s="4">
        <v>22</v>
      </c>
      <c r="AM3331" s="4">
        <v>22</v>
      </c>
      <c r="AN3331" s="4">
        <v>0</v>
      </c>
      <c r="AO3331" s="4">
        <v>0</v>
      </c>
      <c r="AP3331" s="4">
        <v>2</v>
      </c>
      <c r="AQ3331" s="4">
        <v>2</v>
      </c>
      <c r="AR3331" s="3" t="s">
        <v>65</v>
      </c>
      <c r="AS3331" s="3" t="s">
        <v>65</v>
      </c>
      <c r="AT3331" s="3" t="s">
        <v>65</v>
      </c>
      <c r="AV3331" s="6" t="str">
        <f>HYPERLINK("http://mcgill.on.worldcat.org/oclc/922331999","Catalog Record")</f>
        <v>Catalog Record</v>
      </c>
      <c r="AW3331" s="6" t="str">
        <f>HYPERLINK("http://www.worldcat.org/oclc/922331999","WorldCat Record")</f>
        <v>WorldCat Record</v>
      </c>
      <c r="AX3331" s="3" t="s">
        <v>32963</v>
      </c>
      <c r="AY3331" s="3" t="s">
        <v>32964</v>
      </c>
      <c r="AZ3331" s="3" t="s">
        <v>32965</v>
      </c>
      <c r="BA3331" s="3" t="s">
        <v>32965</v>
      </c>
      <c r="BB3331" s="3" t="s">
        <v>32966</v>
      </c>
      <c r="BC3331" s="3" t="s">
        <v>77</v>
      </c>
      <c r="BD3331" s="3" t="s">
        <v>78</v>
      </c>
      <c r="BE3331" s="3" t="s">
        <v>32967</v>
      </c>
      <c r="BF3331" s="3" t="s">
        <v>32966</v>
      </c>
      <c r="BG3331" s="3" t="s">
        <v>32968</v>
      </c>
    </row>
    <row r="3332" spans="1:59" ht="58" x14ac:dyDescent="0.35">
      <c r="A3332" s="2" t="s">
        <v>59</v>
      </c>
      <c r="B3332" s="2" t="s">
        <v>60</v>
      </c>
      <c r="C3332" s="2" t="s">
        <v>32969</v>
      </c>
      <c r="D3332" s="2" t="s">
        <v>32970</v>
      </c>
      <c r="E3332" s="2" t="s">
        <v>32971</v>
      </c>
      <c r="G3332" s="3" t="s">
        <v>65</v>
      </c>
      <c r="I3332" s="3" t="s">
        <v>65</v>
      </c>
      <c r="J3332" s="3" t="s">
        <v>65</v>
      </c>
      <c r="K3332" s="3" t="s">
        <v>66</v>
      </c>
      <c r="L3332" s="2" t="s">
        <v>32972</v>
      </c>
      <c r="M3332" s="2" t="s">
        <v>32973</v>
      </c>
      <c r="N3332" s="3" t="s">
        <v>2460</v>
      </c>
      <c r="P3332" s="3" t="s">
        <v>69</v>
      </c>
      <c r="R3332" s="3" t="s">
        <v>71</v>
      </c>
      <c r="S3332" s="4">
        <v>3</v>
      </c>
      <c r="T3332" s="4">
        <v>3</v>
      </c>
      <c r="U3332" s="5" t="s">
        <v>32974</v>
      </c>
      <c r="V3332" s="5" t="s">
        <v>32974</v>
      </c>
      <c r="W3332" s="5" t="s">
        <v>72</v>
      </c>
      <c r="X3332" s="5" t="s">
        <v>72</v>
      </c>
      <c r="Y3332" s="4">
        <v>211</v>
      </c>
      <c r="Z3332" s="4">
        <v>10</v>
      </c>
      <c r="AA3332" s="4">
        <v>10</v>
      </c>
      <c r="AB3332" s="4">
        <v>1</v>
      </c>
      <c r="AC3332" s="4">
        <v>1</v>
      </c>
      <c r="AD3332" s="4">
        <v>85</v>
      </c>
      <c r="AE3332" s="4">
        <v>85</v>
      </c>
      <c r="AF3332" s="4">
        <v>0</v>
      </c>
      <c r="AG3332" s="4">
        <v>0</v>
      </c>
      <c r="AH3332" s="4">
        <v>80</v>
      </c>
      <c r="AI3332" s="4">
        <v>80</v>
      </c>
      <c r="AJ3332" s="4">
        <v>8</v>
      </c>
      <c r="AK3332" s="4">
        <v>8</v>
      </c>
      <c r="AL3332" s="4">
        <v>47</v>
      </c>
      <c r="AM3332" s="4">
        <v>47</v>
      </c>
      <c r="AN3332" s="4">
        <v>0</v>
      </c>
      <c r="AO3332" s="4">
        <v>0</v>
      </c>
      <c r="AP3332" s="4">
        <v>8</v>
      </c>
      <c r="AQ3332" s="4">
        <v>8</v>
      </c>
      <c r="AR3332" s="3" t="s">
        <v>65</v>
      </c>
      <c r="AS3332" s="3" t="s">
        <v>65</v>
      </c>
      <c r="AT3332" s="3" t="s">
        <v>65</v>
      </c>
      <c r="AV3332" s="6" t="str">
        <f>HYPERLINK("http://mcgill.on.worldcat.org/oclc/16228244","Catalog Record")</f>
        <v>Catalog Record</v>
      </c>
      <c r="AW3332" s="6" t="str">
        <f>HYPERLINK("http://www.worldcat.org/oclc/16228244","WorldCat Record")</f>
        <v>WorldCat Record</v>
      </c>
      <c r="AX3332" s="3" t="s">
        <v>32975</v>
      </c>
      <c r="AY3332" s="3" t="s">
        <v>32976</v>
      </c>
      <c r="AZ3332" s="3" t="s">
        <v>32977</v>
      </c>
      <c r="BA3332" s="3" t="s">
        <v>32977</v>
      </c>
      <c r="BB3332" s="3" t="s">
        <v>32978</v>
      </c>
      <c r="BC3332" s="3" t="s">
        <v>77</v>
      </c>
      <c r="BD3332" s="3" t="s">
        <v>78</v>
      </c>
      <c r="BE3332" s="3" t="s">
        <v>32979</v>
      </c>
      <c r="BF3332" s="3" t="s">
        <v>32978</v>
      </c>
      <c r="BG3332" s="3" t="s">
        <v>32980</v>
      </c>
    </row>
    <row r="3333" spans="1:59" ht="58" x14ac:dyDescent="0.35">
      <c r="A3333" s="2" t="s">
        <v>59</v>
      </c>
      <c r="B3333" s="2" t="s">
        <v>60</v>
      </c>
      <c r="C3333" s="2" t="s">
        <v>32981</v>
      </c>
      <c r="D3333" s="2" t="s">
        <v>32982</v>
      </c>
      <c r="E3333" s="2" t="s">
        <v>32983</v>
      </c>
      <c r="G3333" s="3" t="s">
        <v>65</v>
      </c>
      <c r="I3333" s="3" t="s">
        <v>65</v>
      </c>
      <c r="J3333" s="3" t="s">
        <v>65</v>
      </c>
      <c r="K3333" s="3" t="s">
        <v>66</v>
      </c>
      <c r="L3333" s="2" t="s">
        <v>32984</v>
      </c>
      <c r="M3333" s="2" t="s">
        <v>338</v>
      </c>
      <c r="N3333" s="3" t="s">
        <v>113</v>
      </c>
      <c r="O3333" s="2" t="s">
        <v>339</v>
      </c>
      <c r="P3333" s="3" t="s">
        <v>140</v>
      </c>
      <c r="Q3333" s="2" t="s">
        <v>32985</v>
      </c>
      <c r="R3333" s="3" t="s">
        <v>71</v>
      </c>
      <c r="S3333" s="4">
        <v>0</v>
      </c>
      <c r="T3333" s="4">
        <v>0</v>
      </c>
      <c r="W3333" s="5" t="s">
        <v>72</v>
      </c>
      <c r="X3333" s="5" t="s">
        <v>72</v>
      </c>
      <c r="Y3333" s="4">
        <v>49</v>
      </c>
      <c r="Z3333" s="4">
        <v>4</v>
      </c>
      <c r="AA3333" s="4">
        <v>4</v>
      </c>
      <c r="AB3333" s="4">
        <v>1</v>
      </c>
      <c r="AC3333" s="4">
        <v>1</v>
      </c>
      <c r="AD3333" s="4">
        <v>38</v>
      </c>
      <c r="AE3333" s="4">
        <v>38</v>
      </c>
      <c r="AF3333" s="4">
        <v>0</v>
      </c>
      <c r="AG3333" s="4">
        <v>0</v>
      </c>
      <c r="AH3333" s="4">
        <v>37</v>
      </c>
      <c r="AI3333" s="4">
        <v>37</v>
      </c>
      <c r="AJ3333" s="4">
        <v>2</v>
      </c>
      <c r="AK3333" s="4">
        <v>2</v>
      </c>
      <c r="AL3333" s="4">
        <v>29</v>
      </c>
      <c r="AM3333" s="4">
        <v>29</v>
      </c>
      <c r="AN3333" s="4">
        <v>0</v>
      </c>
      <c r="AO3333" s="4">
        <v>0</v>
      </c>
      <c r="AP3333" s="4">
        <v>2</v>
      </c>
      <c r="AQ3333" s="4">
        <v>2</v>
      </c>
      <c r="AR3333" s="3" t="s">
        <v>65</v>
      </c>
      <c r="AS3333" s="3" t="s">
        <v>65</v>
      </c>
      <c r="AT3333" s="3" t="s">
        <v>65</v>
      </c>
      <c r="AV3333" s="6" t="str">
        <f>HYPERLINK("http://mcgill.on.worldcat.org/oclc/650437762","Catalog Record")</f>
        <v>Catalog Record</v>
      </c>
      <c r="AW3333" s="6" t="str">
        <f>HYPERLINK("http://www.worldcat.org/oclc/650437762","WorldCat Record")</f>
        <v>WorldCat Record</v>
      </c>
      <c r="AX3333" s="3" t="s">
        <v>32986</v>
      </c>
      <c r="AY3333" s="3" t="s">
        <v>32987</v>
      </c>
      <c r="AZ3333" s="3" t="s">
        <v>32988</v>
      </c>
      <c r="BA3333" s="3" t="s">
        <v>32988</v>
      </c>
      <c r="BB3333" s="3" t="s">
        <v>32989</v>
      </c>
      <c r="BC3333" s="3" t="s">
        <v>77</v>
      </c>
      <c r="BD3333" s="3" t="s">
        <v>78</v>
      </c>
      <c r="BE3333" s="3" t="s">
        <v>32990</v>
      </c>
      <c r="BF3333" s="3" t="s">
        <v>32989</v>
      </c>
      <c r="BG3333" s="3" t="s">
        <v>32991</v>
      </c>
    </row>
    <row r="3334" spans="1:59" ht="58" x14ac:dyDescent="0.35">
      <c r="A3334" s="2" t="s">
        <v>59</v>
      </c>
      <c r="B3334" s="2" t="s">
        <v>60</v>
      </c>
      <c r="C3334" s="2" t="s">
        <v>32992</v>
      </c>
      <c r="D3334" s="2" t="s">
        <v>32993</v>
      </c>
      <c r="E3334" s="2" t="s">
        <v>32994</v>
      </c>
      <c r="G3334" s="3" t="s">
        <v>65</v>
      </c>
      <c r="I3334" s="3" t="s">
        <v>65</v>
      </c>
      <c r="J3334" s="3" t="s">
        <v>65</v>
      </c>
      <c r="K3334" s="3" t="s">
        <v>66</v>
      </c>
      <c r="M3334" s="2" t="s">
        <v>32995</v>
      </c>
      <c r="N3334" s="3" t="s">
        <v>139</v>
      </c>
      <c r="O3334" s="2" t="s">
        <v>235</v>
      </c>
      <c r="P3334" s="3" t="s">
        <v>140</v>
      </c>
      <c r="Q3334" s="2" t="s">
        <v>32996</v>
      </c>
      <c r="R3334" s="3" t="s">
        <v>71</v>
      </c>
      <c r="S3334" s="4">
        <v>0</v>
      </c>
      <c r="T3334" s="4">
        <v>0</v>
      </c>
      <c r="W3334" s="5" t="s">
        <v>72</v>
      </c>
      <c r="X3334" s="5" t="s">
        <v>72</v>
      </c>
      <c r="Y3334" s="4">
        <v>23</v>
      </c>
      <c r="Z3334" s="4">
        <v>3</v>
      </c>
      <c r="AA3334" s="4">
        <v>3</v>
      </c>
      <c r="AB3334" s="4">
        <v>1</v>
      </c>
      <c r="AC3334" s="4">
        <v>1</v>
      </c>
      <c r="AD3334" s="4">
        <v>19</v>
      </c>
      <c r="AE3334" s="4">
        <v>19</v>
      </c>
      <c r="AF3334" s="4">
        <v>0</v>
      </c>
      <c r="AG3334" s="4">
        <v>0</v>
      </c>
      <c r="AH3334" s="4">
        <v>18</v>
      </c>
      <c r="AI3334" s="4">
        <v>18</v>
      </c>
      <c r="AJ3334" s="4">
        <v>1</v>
      </c>
      <c r="AK3334" s="4">
        <v>1</v>
      </c>
      <c r="AL3334" s="4">
        <v>16</v>
      </c>
      <c r="AM3334" s="4">
        <v>16</v>
      </c>
      <c r="AN3334" s="4">
        <v>0</v>
      </c>
      <c r="AO3334" s="4">
        <v>0</v>
      </c>
      <c r="AP3334" s="4">
        <v>1</v>
      </c>
      <c r="AQ3334" s="4">
        <v>1</v>
      </c>
      <c r="AR3334" s="3" t="s">
        <v>65</v>
      </c>
      <c r="AS3334" s="3" t="s">
        <v>65</v>
      </c>
      <c r="AT3334" s="3" t="s">
        <v>65</v>
      </c>
      <c r="AV3334" s="6" t="str">
        <f>HYPERLINK("http://mcgill.on.worldcat.org/oclc/798053223","Catalog Record")</f>
        <v>Catalog Record</v>
      </c>
      <c r="AW3334" s="6" t="str">
        <f>HYPERLINK("http://www.worldcat.org/oclc/798053223","WorldCat Record")</f>
        <v>WorldCat Record</v>
      </c>
      <c r="AX3334" s="3" t="s">
        <v>32997</v>
      </c>
      <c r="AY3334" s="3" t="s">
        <v>32998</v>
      </c>
      <c r="AZ3334" s="3" t="s">
        <v>32999</v>
      </c>
      <c r="BA3334" s="3" t="s">
        <v>32999</v>
      </c>
      <c r="BB3334" s="3" t="s">
        <v>33000</v>
      </c>
      <c r="BC3334" s="3" t="s">
        <v>77</v>
      </c>
      <c r="BD3334" s="3" t="s">
        <v>78</v>
      </c>
      <c r="BE3334" s="3" t="s">
        <v>33001</v>
      </c>
      <c r="BF3334" s="3" t="s">
        <v>33000</v>
      </c>
      <c r="BG3334" s="3" t="s">
        <v>33002</v>
      </c>
    </row>
    <row r="3335" spans="1:59" ht="58" x14ac:dyDescent="0.35">
      <c r="A3335" s="2" t="s">
        <v>59</v>
      </c>
      <c r="B3335" s="2" t="s">
        <v>60</v>
      </c>
      <c r="C3335" s="2" t="s">
        <v>33003</v>
      </c>
      <c r="D3335" s="2" t="s">
        <v>33004</v>
      </c>
      <c r="E3335" s="2" t="s">
        <v>33005</v>
      </c>
      <c r="G3335" s="3" t="s">
        <v>65</v>
      </c>
      <c r="I3335" s="3" t="s">
        <v>65</v>
      </c>
      <c r="J3335" s="3" t="s">
        <v>65</v>
      </c>
      <c r="K3335" s="3" t="s">
        <v>66</v>
      </c>
      <c r="L3335" s="2" t="s">
        <v>33006</v>
      </c>
      <c r="M3335" s="2" t="s">
        <v>2292</v>
      </c>
      <c r="N3335" s="3" t="s">
        <v>113</v>
      </c>
      <c r="O3335" s="2" t="s">
        <v>365</v>
      </c>
      <c r="P3335" s="3" t="s">
        <v>140</v>
      </c>
      <c r="Q3335" s="2" t="s">
        <v>33007</v>
      </c>
      <c r="R3335" s="3" t="s">
        <v>71</v>
      </c>
      <c r="S3335" s="4">
        <v>0</v>
      </c>
      <c r="T3335" s="4">
        <v>0</v>
      </c>
      <c r="W3335" s="5" t="s">
        <v>72</v>
      </c>
      <c r="X3335" s="5" t="s">
        <v>72</v>
      </c>
      <c r="Y3335" s="4">
        <v>33</v>
      </c>
      <c r="Z3335" s="4">
        <v>3</v>
      </c>
      <c r="AA3335" s="4">
        <v>3</v>
      </c>
      <c r="AB3335" s="4">
        <v>1</v>
      </c>
      <c r="AC3335" s="4">
        <v>1</v>
      </c>
      <c r="AD3335" s="4">
        <v>24</v>
      </c>
      <c r="AE3335" s="4">
        <v>24</v>
      </c>
      <c r="AF3335" s="4">
        <v>0</v>
      </c>
      <c r="AG3335" s="4">
        <v>0</v>
      </c>
      <c r="AH3335" s="4">
        <v>23</v>
      </c>
      <c r="AI3335" s="4">
        <v>23</v>
      </c>
      <c r="AJ3335" s="4">
        <v>1</v>
      </c>
      <c r="AK3335" s="4">
        <v>1</v>
      </c>
      <c r="AL3335" s="4">
        <v>19</v>
      </c>
      <c r="AM3335" s="4">
        <v>19</v>
      </c>
      <c r="AN3335" s="4">
        <v>0</v>
      </c>
      <c r="AO3335" s="4">
        <v>0</v>
      </c>
      <c r="AP3335" s="4">
        <v>1</v>
      </c>
      <c r="AQ3335" s="4">
        <v>1</v>
      </c>
      <c r="AR3335" s="3" t="s">
        <v>65</v>
      </c>
      <c r="AS3335" s="3" t="s">
        <v>65</v>
      </c>
      <c r="AT3335" s="3" t="s">
        <v>65</v>
      </c>
      <c r="AV3335" s="6" t="str">
        <f>HYPERLINK("http://mcgill.on.worldcat.org/oclc/681707490","Catalog Record")</f>
        <v>Catalog Record</v>
      </c>
      <c r="AW3335" s="6" t="str">
        <f>HYPERLINK("http://www.worldcat.org/oclc/681707490","WorldCat Record")</f>
        <v>WorldCat Record</v>
      </c>
      <c r="AX3335" s="3" t="s">
        <v>33008</v>
      </c>
      <c r="AY3335" s="3" t="s">
        <v>33009</v>
      </c>
      <c r="AZ3335" s="3" t="s">
        <v>33010</v>
      </c>
      <c r="BA3335" s="3" t="s">
        <v>33010</v>
      </c>
      <c r="BB3335" s="3" t="s">
        <v>33011</v>
      </c>
      <c r="BC3335" s="3" t="s">
        <v>77</v>
      </c>
      <c r="BD3335" s="3" t="s">
        <v>78</v>
      </c>
      <c r="BE3335" s="3" t="s">
        <v>33012</v>
      </c>
      <c r="BF3335" s="3" t="s">
        <v>33011</v>
      </c>
      <c r="BG3335" s="3" t="s">
        <v>33013</v>
      </c>
    </row>
    <row r="3336" spans="1:59" ht="58" x14ac:dyDescent="0.35">
      <c r="A3336" s="2" t="s">
        <v>59</v>
      </c>
      <c r="B3336" s="2" t="s">
        <v>60</v>
      </c>
      <c r="C3336" s="2" t="s">
        <v>33014</v>
      </c>
      <c r="D3336" s="2" t="s">
        <v>33015</v>
      </c>
      <c r="E3336" s="2" t="s">
        <v>33016</v>
      </c>
      <c r="G3336" s="3" t="s">
        <v>65</v>
      </c>
      <c r="I3336" s="3" t="s">
        <v>65</v>
      </c>
      <c r="J3336" s="3" t="s">
        <v>65</v>
      </c>
      <c r="K3336" s="3" t="s">
        <v>66</v>
      </c>
      <c r="L3336" s="2" t="s">
        <v>33017</v>
      </c>
      <c r="M3336" s="2" t="s">
        <v>33018</v>
      </c>
      <c r="N3336" s="3" t="s">
        <v>188</v>
      </c>
      <c r="P3336" s="3" t="s">
        <v>140</v>
      </c>
      <c r="Q3336" s="2" t="s">
        <v>5926</v>
      </c>
      <c r="R3336" s="3" t="s">
        <v>71</v>
      </c>
      <c r="S3336" s="4">
        <v>0</v>
      </c>
      <c r="T3336" s="4">
        <v>0</v>
      </c>
      <c r="W3336" s="5" t="s">
        <v>72</v>
      </c>
      <c r="X3336" s="5" t="s">
        <v>72</v>
      </c>
      <c r="Y3336" s="4">
        <v>47</v>
      </c>
      <c r="Z3336" s="4">
        <v>1</v>
      </c>
      <c r="AA3336" s="4">
        <v>1</v>
      </c>
      <c r="AB3336" s="4">
        <v>1</v>
      </c>
      <c r="AC3336" s="4">
        <v>1</v>
      </c>
      <c r="AD3336" s="4">
        <v>34</v>
      </c>
      <c r="AE3336" s="4">
        <v>34</v>
      </c>
      <c r="AF3336" s="4">
        <v>0</v>
      </c>
      <c r="AG3336" s="4">
        <v>0</v>
      </c>
      <c r="AH3336" s="4">
        <v>33</v>
      </c>
      <c r="AI3336" s="4">
        <v>33</v>
      </c>
      <c r="AJ3336" s="4">
        <v>0</v>
      </c>
      <c r="AK3336" s="4">
        <v>0</v>
      </c>
      <c r="AL3336" s="4">
        <v>25</v>
      </c>
      <c r="AM3336" s="4">
        <v>25</v>
      </c>
      <c r="AN3336" s="4">
        <v>0</v>
      </c>
      <c r="AO3336" s="4">
        <v>0</v>
      </c>
      <c r="AP3336" s="4">
        <v>0</v>
      </c>
      <c r="AQ3336" s="4">
        <v>0</v>
      </c>
      <c r="AR3336" s="3" t="s">
        <v>65</v>
      </c>
      <c r="AS3336" s="3" t="s">
        <v>65</v>
      </c>
      <c r="AT3336" s="3" t="s">
        <v>65</v>
      </c>
      <c r="AV3336" s="6" t="str">
        <f>HYPERLINK("http://mcgill.on.worldcat.org/oclc/989925645","Catalog Record")</f>
        <v>Catalog Record</v>
      </c>
      <c r="AW3336" s="6" t="str">
        <f>HYPERLINK("http://www.worldcat.org/oclc/989925645","WorldCat Record")</f>
        <v>WorldCat Record</v>
      </c>
      <c r="AX3336" s="3" t="s">
        <v>33019</v>
      </c>
      <c r="AY3336" s="3" t="s">
        <v>33020</v>
      </c>
      <c r="AZ3336" s="3" t="s">
        <v>33021</v>
      </c>
      <c r="BA3336" s="3" t="s">
        <v>33021</v>
      </c>
      <c r="BB3336" s="3" t="s">
        <v>33022</v>
      </c>
      <c r="BC3336" s="3" t="s">
        <v>77</v>
      </c>
      <c r="BD3336" s="3" t="s">
        <v>78</v>
      </c>
      <c r="BE3336" s="3" t="s">
        <v>33023</v>
      </c>
      <c r="BF3336" s="3" t="s">
        <v>33022</v>
      </c>
      <c r="BG3336" s="3" t="s">
        <v>33024</v>
      </c>
    </row>
    <row r="3337" spans="1:59" ht="72.5" x14ac:dyDescent="0.35">
      <c r="A3337" s="2" t="s">
        <v>59</v>
      </c>
      <c r="B3337" s="2" t="s">
        <v>60</v>
      </c>
      <c r="C3337" s="2" t="s">
        <v>33025</v>
      </c>
      <c r="D3337" s="2" t="s">
        <v>33026</v>
      </c>
      <c r="E3337" s="2" t="s">
        <v>33027</v>
      </c>
      <c r="G3337" s="3" t="s">
        <v>65</v>
      </c>
      <c r="I3337" s="3" t="s">
        <v>65</v>
      </c>
      <c r="J3337" s="3" t="s">
        <v>65</v>
      </c>
      <c r="K3337" s="3" t="s">
        <v>66</v>
      </c>
      <c r="L3337" s="2" t="s">
        <v>32886</v>
      </c>
      <c r="M3337" s="2" t="s">
        <v>33028</v>
      </c>
      <c r="N3337" s="3" t="s">
        <v>126</v>
      </c>
      <c r="O3337" s="2" t="s">
        <v>33029</v>
      </c>
      <c r="P3337" s="3" t="s">
        <v>140</v>
      </c>
      <c r="Q3337" s="2" t="s">
        <v>33030</v>
      </c>
      <c r="R3337" s="3" t="s">
        <v>71</v>
      </c>
      <c r="S3337" s="4">
        <v>0</v>
      </c>
      <c r="T3337" s="4">
        <v>0</v>
      </c>
      <c r="W3337" s="5" t="s">
        <v>72</v>
      </c>
      <c r="X3337" s="5" t="s">
        <v>72</v>
      </c>
      <c r="Y3337" s="4">
        <v>68</v>
      </c>
      <c r="Z3337" s="4">
        <v>5</v>
      </c>
      <c r="AA3337" s="4">
        <v>5</v>
      </c>
      <c r="AB3337" s="4">
        <v>1</v>
      </c>
      <c r="AC3337" s="4">
        <v>1</v>
      </c>
      <c r="AD3337" s="4">
        <v>46</v>
      </c>
      <c r="AE3337" s="4">
        <v>46</v>
      </c>
      <c r="AF3337" s="4">
        <v>0</v>
      </c>
      <c r="AG3337" s="4">
        <v>0</v>
      </c>
      <c r="AH3337" s="4">
        <v>45</v>
      </c>
      <c r="AI3337" s="4">
        <v>45</v>
      </c>
      <c r="AJ3337" s="4">
        <v>2</v>
      </c>
      <c r="AK3337" s="4">
        <v>2</v>
      </c>
      <c r="AL3337" s="4">
        <v>35</v>
      </c>
      <c r="AM3337" s="4">
        <v>35</v>
      </c>
      <c r="AN3337" s="4">
        <v>0</v>
      </c>
      <c r="AO3337" s="4">
        <v>0</v>
      </c>
      <c r="AP3337" s="4">
        <v>2</v>
      </c>
      <c r="AQ3337" s="4">
        <v>2</v>
      </c>
      <c r="AR3337" s="3" t="s">
        <v>65</v>
      </c>
      <c r="AS3337" s="3" t="s">
        <v>65</v>
      </c>
      <c r="AT3337" s="3" t="s">
        <v>65</v>
      </c>
      <c r="AV3337" s="6" t="str">
        <f>HYPERLINK("http://mcgill.on.worldcat.org/oclc/773318122","Catalog Record")</f>
        <v>Catalog Record</v>
      </c>
      <c r="AW3337" s="6" t="str">
        <f>HYPERLINK("http://www.worldcat.org/oclc/773318122","WorldCat Record")</f>
        <v>WorldCat Record</v>
      </c>
      <c r="AX3337" s="3" t="s">
        <v>33031</v>
      </c>
      <c r="AY3337" s="3" t="s">
        <v>33032</v>
      </c>
      <c r="AZ3337" s="3" t="s">
        <v>33033</v>
      </c>
      <c r="BA3337" s="3" t="s">
        <v>33033</v>
      </c>
      <c r="BB3337" s="3" t="s">
        <v>33034</v>
      </c>
      <c r="BC3337" s="3" t="s">
        <v>77</v>
      </c>
      <c r="BD3337" s="3" t="s">
        <v>78</v>
      </c>
      <c r="BE3337" s="3" t="s">
        <v>33035</v>
      </c>
      <c r="BF3337" s="3" t="s">
        <v>33034</v>
      </c>
      <c r="BG3337" s="3" t="s">
        <v>33036</v>
      </c>
    </row>
    <row r="3338" spans="1:59" ht="58" x14ac:dyDescent="0.35">
      <c r="A3338" s="2" t="s">
        <v>59</v>
      </c>
      <c r="B3338" s="2" t="s">
        <v>60</v>
      </c>
      <c r="C3338" s="2" t="s">
        <v>33037</v>
      </c>
      <c r="D3338" s="2" t="s">
        <v>33038</v>
      </c>
      <c r="E3338" s="2" t="s">
        <v>33039</v>
      </c>
      <c r="G3338" s="3" t="s">
        <v>65</v>
      </c>
      <c r="I3338" s="3" t="s">
        <v>65</v>
      </c>
      <c r="J3338" s="3" t="s">
        <v>65</v>
      </c>
      <c r="K3338" s="3" t="s">
        <v>66</v>
      </c>
      <c r="L3338" s="2" t="s">
        <v>33040</v>
      </c>
      <c r="M3338" s="2" t="s">
        <v>10185</v>
      </c>
      <c r="N3338" s="3" t="s">
        <v>139</v>
      </c>
      <c r="P3338" s="3" t="s">
        <v>140</v>
      </c>
      <c r="Q3338" s="2" t="s">
        <v>32206</v>
      </c>
      <c r="R3338" s="3" t="s">
        <v>71</v>
      </c>
      <c r="S3338" s="4">
        <v>0</v>
      </c>
      <c r="T3338" s="4">
        <v>0</v>
      </c>
      <c r="W3338" s="5" t="s">
        <v>72</v>
      </c>
      <c r="X3338" s="5" t="s">
        <v>72</v>
      </c>
      <c r="Y3338" s="4">
        <v>11</v>
      </c>
      <c r="Z3338" s="4">
        <v>1</v>
      </c>
      <c r="AA3338" s="4">
        <v>10</v>
      </c>
      <c r="AB3338" s="4">
        <v>1</v>
      </c>
      <c r="AC3338" s="4">
        <v>4</v>
      </c>
      <c r="AD3338" s="4">
        <v>2</v>
      </c>
      <c r="AE3338" s="4">
        <v>39</v>
      </c>
      <c r="AF3338" s="4">
        <v>0</v>
      </c>
      <c r="AG3338" s="4">
        <v>1</v>
      </c>
      <c r="AH3338" s="4">
        <v>2</v>
      </c>
      <c r="AI3338" s="4">
        <v>37</v>
      </c>
      <c r="AJ3338" s="4">
        <v>0</v>
      </c>
      <c r="AK3338" s="4">
        <v>4</v>
      </c>
      <c r="AL3338" s="4">
        <v>2</v>
      </c>
      <c r="AM3338" s="4">
        <v>27</v>
      </c>
      <c r="AN3338" s="4">
        <v>0</v>
      </c>
      <c r="AO3338" s="4">
        <v>0</v>
      </c>
      <c r="AP3338" s="4">
        <v>0</v>
      </c>
      <c r="AQ3338" s="4">
        <v>3</v>
      </c>
      <c r="AR3338" s="3" t="s">
        <v>65</v>
      </c>
      <c r="AS3338" s="3" t="s">
        <v>65</v>
      </c>
      <c r="AT3338" s="3" t="s">
        <v>65</v>
      </c>
      <c r="AV3338" s="6" t="str">
        <f>HYPERLINK("http://mcgill.on.worldcat.org/oclc/778849098","Catalog Record")</f>
        <v>Catalog Record</v>
      </c>
      <c r="AW3338" s="6" t="str">
        <f>HYPERLINK("http://www.worldcat.org/oclc/778849098","WorldCat Record")</f>
        <v>WorldCat Record</v>
      </c>
      <c r="AX3338" s="3" t="s">
        <v>33041</v>
      </c>
      <c r="AY3338" s="3" t="s">
        <v>33042</v>
      </c>
      <c r="AZ3338" s="3" t="s">
        <v>33043</v>
      </c>
      <c r="BA3338" s="3" t="s">
        <v>33043</v>
      </c>
      <c r="BB3338" s="3" t="s">
        <v>33044</v>
      </c>
      <c r="BC3338" s="3" t="s">
        <v>77</v>
      </c>
      <c r="BD3338" s="3" t="s">
        <v>78</v>
      </c>
      <c r="BE3338" s="3" t="s">
        <v>33045</v>
      </c>
      <c r="BF3338" s="3" t="s">
        <v>33044</v>
      </c>
      <c r="BG3338" s="3" t="s">
        <v>33046</v>
      </c>
    </row>
    <row r="3339" spans="1:59" ht="72.5" x14ac:dyDescent="0.35">
      <c r="A3339" s="2" t="s">
        <v>59</v>
      </c>
      <c r="B3339" s="2" t="s">
        <v>60</v>
      </c>
      <c r="C3339" s="2" t="s">
        <v>33047</v>
      </c>
      <c r="D3339" s="2" t="s">
        <v>33048</v>
      </c>
      <c r="E3339" s="2" t="s">
        <v>33049</v>
      </c>
      <c r="G3339" s="3" t="s">
        <v>65</v>
      </c>
      <c r="I3339" s="3" t="s">
        <v>65</v>
      </c>
      <c r="J3339" s="3" t="s">
        <v>65</v>
      </c>
      <c r="K3339" s="3" t="s">
        <v>66</v>
      </c>
      <c r="L3339" s="2" t="s">
        <v>33050</v>
      </c>
      <c r="M3339" s="2" t="s">
        <v>33051</v>
      </c>
      <c r="N3339" s="3" t="s">
        <v>113</v>
      </c>
      <c r="O3339" s="2" t="s">
        <v>33052</v>
      </c>
      <c r="P3339" s="3" t="s">
        <v>140</v>
      </c>
      <c r="Q3339" s="2" t="s">
        <v>33053</v>
      </c>
      <c r="R3339" s="3" t="s">
        <v>71</v>
      </c>
      <c r="S3339" s="4">
        <v>0</v>
      </c>
      <c r="T3339" s="4">
        <v>0</v>
      </c>
      <c r="W3339" s="5" t="s">
        <v>72</v>
      </c>
      <c r="X3339" s="5" t="s">
        <v>72</v>
      </c>
      <c r="Y3339" s="4">
        <v>72</v>
      </c>
      <c r="Z3339" s="4">
        <v>11</v>
      </c>
      <c r="AA3339" s="4">
        <v>12</v>
      </c>
      <c r="AB3339" s="4">
        <v>2</v>
      </c>
      <c r="AC3339" s="4">
        <v>2</v>
      </c>
      <c r="AD3339" s="4">
        <v>45</v>
      </c>
      <c r="AE3339" s="4">
        <v>45</v>
      </c>
      <c r="AF3339" s="4">
        <v>0</v>
      </c>
      <c r="AG3339" s="4">
        <v>0</v>
      </c>
      <c r="AH3339" s="4">
        <v>43</v>
      </c>
      <c r="AI3339" s="4">
        <v>43</v>
      </c>
      <c r="AJ3339" s="4">
        <v>7</v>
      </c>
      <c r="AK3339" s="4">
        <v>7</v>
      </c>
      <c r="AL3339" s="4">
        <v>30</v>
      </c>
      <c r="AM3339" s="4">
        <v>30</v>
      </c>
      <c r="AN3339" s="4">
        <v>0</v>
      </c>
      <c r="AO3339" s="4">
        <v>0</v>
      </c>
      <c r="AP3339" s="4">
        <v>7</v>
      </c>
      <c r="AQ3339" s="4">
        <v>7</v>
      </c>
      <c r="AR3339" s="3" t="s">
        <v>65</v>
      </c>
      <c r="AS3339" s="3" t="s">
        <v>65</v>
      </c>
      <c r="AT3339" s="3" t="s">
        <v>65</v>
      </c>
      <c r="AV3339" s="6" t="str">
        <f>HYPERLINK("http://mcgill.on.worldcat.org/oclc/670470556","Catalog Record")</f>
        <v>Catalog Record</v>
      </c>
      <c r="AW3339" s="6" t="str">
        <f>HYPERLINK("http://www.worldcat.org/oclc/670470556","WorldCat Record")</f>
        <v>WorldCat Record</v>
      </c>
      <c r="AX3339" s="3" t="s">
        <v>33054</v>
      </c>
      <c r="AY3339" s="3" t="s">
        <v>33055</v>
      </c>
      <c r="AZ3339" s="3" t="s">
        <v>33056</v>
      </c>
      <c r="BA3339" s="3" t="s">
        <v>33056</v>
      </c>
      <c r="BB3339" s="3" t="s">
        <v>33057</v>
      </c>
      <c r="BC3339" s="3" t="s">
        <v>77</v>
      </c>
      <c r="BD3339" s="3" t="s">
        <v>78</v>
      </c>
      <c r="BE3339" s="3" t="s">
        <v>33058</v>
      </c>
      <c r="BF3339" s="3" t="s">
        <v>33057</v>
      </c>
      <c r="BG3339" s="3" t="s">
        <v>33059</v>
      </c>
    </row>
    <row r="3340" spans="1:59" ht="72.5" x14ac:dyDescent="0.35">
      <c r="A3340" s="2" t="s">
        <v>59</v>
      </c>
      <c r="B3340" s="2" t="s">
        <v>60</v>
      </c>
      <c r="C3340" s="2" t="s">
        <v>33060</v>
      </c>
      <c r="D3340" s="2" t="s">
        <v>33061</v>
      </c>
      <c r="E3340" s="2" t="s">
        <v>33062</v>
      </c>
      <c r="G3340" s="3" t="s">
        <v>65</v>
      </c>
      <c r="I3340" s="3" t="s">
        <v>65</v>
      </c>
      <c r="J3340" s="3" t="s">
        <v>65</v>
      </c>
      <c r="K3340" s="3" t="s">
        <v>66</v>
      </c>
      <c r="L3340" s="2" t="s">
        <v>33050</v>
      </c>
      <c r="M3340" s="2" t="s">
        <v>33063</v>
      </c>
      <c r="N3340" s="3" t="s">
        <v>139</v>
      </c>
      <c r="P3340" s="3" t="s">
        <v>69</v>
      </c>
      <c r="R3340" s="3" t="s">
        <v>71</v>
      </c>
      <c r="S3340" s="4">
        <v>0</v>
      </c>
      <c r="T3340" s="4">
        <v>0</v>
      </c>
      <c r="W3340" s="5" t="s">
        <v>72</v>
      </c>
      <c r="X3340" s="5" t="s">
        <v>72</v>
      </c>
      <c r="Y3340" s="4">
        <v>260</v>
      </c>
      <c r="Z3340" s="4">
        <v>17</v>
      </c>
      <c r="AA3340" s="4">
        <v>21</v>
      </c>
      <c r="AB3340" s="4">
        <v>4</v>
      </c>
      <c r="AC3340" s="4">
        <v>6</v>
      </c>
      <c r="AD3340" s="4">
        <v>41</v>
      </c>
      <c r="AE3340" s="4">
        <v>44</v>
      </c>
      <c r="AF3340" s="4">
        <v>0</v>
      </c>
      <c r="AG3340" s="4">
        <v>0</v>
      </c>
      <c r="AH3340" s="4">
        <v>39</v>
      </c>
      <c r="AI3340" s="4">
        <v>40</v>
      </c>
      <c r="AJ3340" s="4">
        <v>6</v>
      </c>
      <c r="AK3340" s="4">
        <v>7</v>
      </c>
      <c r="AL3340" s="4">
        <v>22</v>
      </c>
      <c r="AM3340" s="4">
        <v>23</v>
      </c>
      <c r="AN3340" s="4">
        <v>0</v>
      </c>
      <c r="AO3340" s="4">
        <v>0</v>
      </c>
      <c r="AP3340" s="4">
        <v>6</v>
      </c>
      <c r="AQ3340" s="4">
        <v>8</v>
      </c>
      <c r="AR3340" s="3" t="s">
        <v>65</v>
      </c>
      <c r="AS3340" s="3" t="s">
        <v>65</v>
      </c>
      <c r="AT3340" s="3" t="s">
        <v>65</v>
      </c>
      <c r="AV3340" s="6" t="str">
        <f>HYPERLINK("http://mcgill.on.worldcat.org/oclc/751835278","Catalog Record")</f>
        <v>Catalog Record</v>
      </c>
      <c r="AW3340" s="6" t="str">
        <f>HYPERLINK("http://www.worldcat.org/oclc/751835278","WorldCat Record")</f>
        <v>WorldCat Record</v>
      </c>
      <c r="AX3340" s="3" t="s">
        <v>33064</v>
      </c>
      <c r="AY3340" s="3" t="s">
        <v>33065</v>
      </c>
      <c r="AZ3340" s="3" t="s">
        <v>33066</v>
      </c>
      <c r="BA3340" s="3" t="s">
        <v>33066</v>
      </c>
      <c r="BB3340" s="3" t="s">
        <v>33067</v>
      </c>
      <c r="BC3340" s="3" t="s">
        <v>77</v>
      </c>
      <c r="BD3340" s="3" t="s">
        <v>78</v>
      </c>
      <c r="BE3340" s="3" t="s">
        <v>33068</v>
      </c>
      <c r="BF3340" s="3" t="s">
        <v>33067</v>
      </c>
      <c r="BG3340" s="3" t="s">
        <v>33069</v>
      </c>
    </row>
    <row r="3341" spans="1:59" ht="58" x14ac:dyDescent="0.35">
      <c r="A3341" s="2" t="s">
        <v>59</v>
      </c>
      <c r="B3341" s="2" t="s">
        <v>60</v>
      </c>
      <c r="C3341" s="2" t="s">
        <v>33070</v>
      </c>
      <c r="D3341" s="2" t="s">
        <v>33071</v>
      </c>
      <c r="E3341" s="2" t="s">
        <v>33072</v>
      </c>
      <c r="G3341" s="3" t="s">
        <v>65</v>
      </c>
      <c r="I3341" s="3" t="s">
        <v>65</v>
      </c>
      <c r="J3341" s="3" t="s">
        <v>65</v>
      </c>
      <c r="K3341" s="3" t="s">
        <v>66</v>
      </c>
      <c r="L3341" s="2" t="s">
        <v>33073</v>
      </c>
      <c r="M3341" s="2" t="s">
        <v>33074</v>
      </c>
      <c r="N3341" s="3" t="s">
        <v>113</v>
      </c>
      <c r="P3341" s="3" t="s">
        <v>140</v>
      </c>
      <c r="Q3341" s="2" t="s">
        <v>33075</v>
      </c>
      <c r="R3341" s="3" t="s">
        <v>71</v>
      </c>
      <c r="S3341" s="4">
        <v>0</v>
      </c>
      <c r="T3341" s="4">
        <v>0</v>
      </c>
      <c r="W3341" s="5" t="s">
        <v>72</v>
      </c>
      <c r="X3341" s="5" t="s">
        <v>72</v>
      </c>
      <c r="Y3341" s="4">
        <v>16</v>
      </c>
      <c r="Z3341" s="4">
        <v>1</v>
      </c>
      <c r="AA3341" s="4">
        <v>1</v>
      </c>
      <c r="AB3341" s="4">
        <v>1</v>
      </c>
      <c r="AC3341" s="4">
        <v>1</v>
      </c>
      <c r="AD3341" s="4">
        <v>14</v>
      </c>
      <c r="AE3341" s="4">
        <v>14</v>
      </c>
      <c r="AF3341" s="4">
        <v>0</v>
      </c>
      <c r="AG3341" s="4">
        <v>0</v>
      </c>
      <c r="AH3341" s="4">
        <v>13</v>
      </c>
      <c r="AI3341" s="4">
        <v>13</v>
      </c>
      <c r="AJ3341" s="4">
        <v>0</v>
      </c>
      <c r="AK3341" s="4">
        <v>0</v>
      </c>
      <c r="AL3341" s="4">
        <v>11</v>
      </c>
      <c r="AM3341" s="4">
        <v>11</v>
      </c>
      <c r="AN3341" s="4">
        <v>0</v>
      </c>
      <c r="AO3341" s="4">
        <v>0</v>
      </c>
      <c r="AP3341" s="4">
        <v>0</v>
      </c>
      <c r="AQ3341" s="4">
        <v>0</v>
      </c>
      <c r="AR3341" s="3" t="s">
        <v>65</v>
      </c>
      <c r="AS3341" s="3" t="s">
        <v>65</v>
      </c>
      <c r="AT3341" s="3" t="s">
        <v>65</v>
      </c>
      <c r="AV3341" s="6" t="str">
        <f>HYPERLINK("http://mcgill.on.worldcat.org/oclc/666211465","Catalog Record")</f>
        <v>Catalog Record</v>
      </c>
      <c r="AW3341" s="6" t="str">
        <f>HYPERLINK("http://www.worldcat.org/oclc/666211465","WorldCat Record")</f>
        <v>WorldCat Record</v>
      </c>
      <c r="AX3341" s="3" t="s">
        <v>33076</v>
      </c>
      <c r="AY3341" s="3" t="s">
        <v>33077</v>
      </c>
      <c r="AZ3341" s="3" t="s">
        <v>33078</v>
      </c>
      <c r="BA3341" s="3" t="s">
        <v>33078</v>
      </c>
      <c r="BB3341" s="3" t="s">
        <v>33079</v>
      </c>
      <c r="BC3341" s="3" t="s">
        <v>77</v>
      </c>
      <c r="BD3341" s="3" t="s">
        <v>78</v>
      </c>
      <c r="BE3341" s="3" t="s">
        <v>33080</v>
      </c>
      <c r="BF3341" s="3" t="s">
        <v>33079</v>
      </c>
      <c r="BG3341" s="3" t="s">
        <v>33081</v>
      </c>
    </row>
    <row r="3342" spans="1:59" ht="72.5" x14ac:dyDescent="0.35">
      <c r="A3342" s="2" t="s">
        <v>59</v>
      </c>
      <c r="B3342" s="2" t="s">
        <v>60</v>
      </c>
      <c r="C3342" s="2" t="s">
        <v>33082</v>
      </c>
      <c r="D3342" s="2" t="s">
        <v>33083</v>
      </c>
      <c r="E3342" s="2" t="s">
        <v>33084</v>
      </c>
      <c r="G3342" s="3" t="s">
        <v>65</v>
      </c>
      <c r="I3342" s="3" t="s">
        <v>65</v>
      </c>
      <c r="J3342" s="3" t="s">
        <v>65</v>
      </c>
      <c r="K3342" s="3" t="s">
        <v>66</v>
      </c>
      <c r="L3342" s="2" t="s">
        <v>33085</v>
      </c>
      <c r="M3342" s="2" t="s">
        <v>33086</v>
      </c>
      <c r="N3342" s="3" t="s">
        <v>1122</v>
      </c>
      <c r="P3342" s="3" t="s">
        <v>140</v>
      </c>
      <c r="R3342" s="3" t="s">
        <v>71</v>
      </c>
      <c r="S3342" s="4">
        <v>2</v>
      </c>
      <c r="T3342" s="4">
        <v>2</v>
      </c>
      <c r="U3342" s="5" t="s">
        <v>31076</v>
      </c>
      <c r="V3342" s="5" t="s">
        <v>31076</v>
      </c>
      <c r="W3342" s="5" t="s">
        <v>72</v>
      </c>
      <c r="X3342" s="5" t="s">
        <v>72</v>
      </c>
      <c r="Y3342" s="4">
        <v>28</v>
      </c>
      <c r="Z3342" s="4">
        <v>2</v>
      </c>
      <c r="AA3342" s="4">
        <v>2</v>
      </c>
      <c r="AB3342" s="4">
        <v>2</v>
      </c>
      <c r="AC3342" s="4">
        <v>2</v>
      </c>
      <c r="AD3342" s="4">
        <v>16</v>
      </c>
      <c r="AE3342" s="4">
        <v>16</v>
      </c>
      <c r="AF3342" s="4">
        <v>0</v>
      </c>
      <c r="AG3342" s="4">
        <v>0</v>
      </c>
      <c r="AH3342" s="4">
        <v>15</v>
      </c>
      <c r="AI3342" s="4">
        <v>15</v>
      </c>
      <c r="AJ3342" s="4">
        <v>0</v>
      </c>
      <c r="AK3342" s="4">
        <v>0</v>
      </c>
      <c r="AL3342" s="4">
        <v>11</v>
      </c>
      <c r="AM3342" s="4">
        <v>11</v>
      </c>
      <c r="AN3342" s="4">
        <v>0</v>
      </c>
      <c r="AO3342" s="4">
        <v>0</v>
      </c>
      <c r="AP3342" s="4">
        <v>0</v>
      </c>
      <c r="AQ3342" s="4">
        <v>0</v>
      </c>
      <c r="AR3342" s="3" t="s">
        <v>65</v>
      </c>
      <c r="AS3342" s="3" t="s">
        <v>65</v>
      </c>
      <c r="AT3342" s="3" t="s">
        <v>65</v>
      </c>
      <c r="AV3342" s="6" t="str">
        <f>HYPERLINK("http://mcgill.on.worldcat.org/oclc/456186745","Catalog Record")</f>
        <v>Catalog Record</v>
      </c>
      <c r="AW3342" s="6" t="str">
        <f>HYPERLINK("http://www.worldcat.org/oclc/456186745","WorldCat Record")</f>
        <v>WorldCat Record</v>
      </c>
      <c r="AX3342" s="3" t="s">
        <v>33087</v>
      </c>
      <c r="AY3342" s="3" t="s">
        <v>33088</v>
      </c>
      <c r="AZ3342" s="3" t="s">
        <v>33089</v>
      </c>
      <c r="BA3342" s="3" t="s">
        <v>33089</v>
      </c>
      <c r="BB3342" s="3" t="s">
        <v>33090</v>
      </c>
      <c r="BC3342" s="3" t="s">
        <v>77</v>
      </c>
      <c r="BD3342" s="3" t="s">
        <v>78</v>
      </c>
      <c r="BE3342" s="3" t="s">
        <v>33091</v>
      </c>
      <c r="BF3342" s="3" t="s">
        <v>33090</v>
      </c>
      <c r="BG3342" s="3" t="s">
        <v>33092</v>
      </c>
    </row>
    <row r="3343" spans="1:59" ht="58" x14ac:dyDescent="0.35">
      <c r="A3343" s="2" t="s">
        <v>59</v>
      </c>
      <c r="B3343" s="2" t="s">
        <v>60</v>
      </c>
      <c r="C3343" s="2" t="s">
        <v>33093</v>
      </c>
      <c r="D3343" s="2" t="s">
        <v>33094</v>
      </c>
      <c r="E3343" s="2" t="s">
        <v>33095</v>
      </c>
      <c r="G3343" s="3" t="s">
        <v>65</v>
      </c>
      <c r="I3343" s="3" t="s">
        <v>65</v>
      </c>
      <c r="J3343" s="3" t="s">
        <v>65</v>
      </c>
      <c r="K3343" s="3" t="s">
        <v>66</v>
      </c>
      <c r="L3343" s="2" t="s">
        <v>33096</v>
      </c>
      <c r="M3343" s="2" t="s">
        <v>33097</v>
      </c>
      <c r="N3343" s="3" t="s">
        <v>68</v>
      </c>
      <c r="O3343" s="2" t="s">
        <v>33098</v>
      </c>
      <c r="P3343" s="3" t="s">
        <v>140</v>
      </c>
      <c r="Q3343" s="2" t="s">
        <v>28692</v>
      </c>
      <c r="R3343" s="3" t="s">
        <v>71</v>
      </c>
      <c r="S3343" s="4">
        <v>0</v>
      </c>
      <c r="T3343" s="4">
        <v>0</v>
      </c>
      <c r="W3343" s="5" t="s">
        <v>72</v>
      </c>
      <c r="X3343" s="5" t="s">
        <v>72</v>
      </c>
      <c r="Y3343" s="4">
        <v>79</v>
      </c>
      <c r="Z3343" s="4">
        <v>6</v>
      </c>
      <c r="AA3343" s="4">
        <v>8</v>
      </c>
      <c r="AB3343" s="4">
        <v>1</v>
      </c>
      <c r="AC3343" s="4">
        <v>2</v>
      </c>
      <c r="AD3343" s="4">
        <v>42</v>
      </c>
      <c r="AE3343" s="4">
        <v>43</v>
      </c>
      <c r="AF3343" s="4">
        <v>0</v>
      </c>
      <c r="AG3343" s="4">
        <v>0</v>
      </c>
      <c r="AH3343" s="4">
        <v>40</v>
      </c>
      <c r="AI3343" s="4">
        <v>41</v>
      </c>
      <c r="AJ3343" s="4">
        <v>3</v>
      </c>
      <c r="AK3343" s="4">
        <v>4</v>
      </c>
      <c r="AL3343" s="4">
        <v>32</v>
      </c>
      <c r="AM3343" s="4">
        <v>32</v>
      </c>
      <c r="AN3343" s="4">
        <v>0</v>
      </c>
      <c r="AO3343" s="4">
        <v>0</v>
      </c>
      <c r="AP3343" s="4">
        <v>3</v>
      </c>
      <c r="AQ3343" s="4">
        <v>4</v>
      </c>
      <c r="AR3343" s="3" t="s">
        <v>65</v>
      </c>
      <c r="AS3343" s="3" t="s">
        <v>65</v>
      </c>
      <c r="AT3343" s="3" t="s">
        <v>65</v>
      </c>
      <c r="AV3343" s="6" t="str">
        <f>HYPERLINK("http://mcgill.on.worldcat.org/oclc/946878071","Catalog Record")</f>
        <v>Catalog Record</v>
      </c>
      <c r="AW3343" s="6" t="str">
        <f>HYPERLINK("http://www.worldcat.org/oclc/946878071","WorldCat Record")</f>
        <v>WorldCat Record</v>
      </c>
      <c r="AX3343" s="3" t="s">
        <v>33099</v>
      </c>
      <c r="AY3343" s="3" t="s">
        <v>33100</v>
      </c>
      <c r="AZ3343" s="3" t="s">
        <v>33101</v>
      </c>
      <c r="BA3343" s="3" t="s">
        <v>33101</v>
      </c>
      <c r="BB3343" s="3" t="s">
        <v>33102</v>
      </c>
      <c r="BC3343" s="3" t="s">
        <v>77</v>
      </c>
      <c r="BD3343" s="3" t="s">
        <v>78</v>
      </c>
      <c r="BE3343" s="3" t="s">
        <v>33103</v>
      </c>
      <c r="BF3343" s="3" t="s">
        <v>33102</v>
      </c>
      <c r="BG3343" s="3" t="s">
        <v>33104</v>
      </c>
    </row>
    <row r="3344" spans="1:59" ht="58" x14ac:dyDescent="0.35">
      <c r="A3344" s="2" t="s">
        <v>59</v>
      </c>
      <c r="B3344" s="2" t="s">
        <v>60</v>
      </c>
      <c r="C3344" s="2" t="s">
        <v>33105</v>
      </c>
      <c r="D3344" s="2" t="s">
        <v>33106</v>
      </c>
      <c r="E3344" s="2" t="s">
        <v>33107</v>
      </c>
      <c r="G3344" s="3" t="s">
        <v>65</v>
      </c>
      <c r="I3344" s="3" t="s">
        <v>65</v>
      </c>
      <c r="J3344" s="3" t="s">
        <v>65</v>
      </c>
      <c r="K3344" s="3" t="s">
        <v>66</v>
      </c>
      <c r="L3344" s="2" t="s">
        <v>33085</v>
      </c>
      <c r="M3344" s="2" t="s">
        <v>10185</v>
      </c>
      <c r="N3344" s="3" t="s">
        <v>139</v>
      </c>
      <c r="P3344" s="3" t="s">
        <v>140</v>
      </c>
      <c r="Q3344" s="2" t="s">
        <v>32206</v>
      </c>
      <c r="R3344" s="3" t="s">
        <v>71</v>
      </c>
      <c r="S3344" s="4">
        <v>0</v>
      </c>
      <c r="T3344" s="4">
        <v>0</v>
      </c>
      <c r="W3344" s="5" t="s">
        <v>72</v>
      </c>
      <c r="X3344" s="5" t="s">
        <v>72</v>
      </c>
      <c r="Y3344" s="4">
        <v>8</v>
      </c>
      <c r="Z3344" s="4">
        <v>1</v>
      </c>
      <c r="AA3344" s="4">
        <v>6</v>
      </c>
      <c r="AB3344" s="4">
        <v>1</v>
      </c>
      <c r="AC3344" s="4">
        <v>1</v>
      </c>
      <c r="AD3344" s="4">
        <v>2</v>
      </c>
      <c r="AE3344" s="4">
        <v>33</v>
      </c>
      <c r="AF3344" s="4">
        <v>0</v>
      </c>
      <c r="AG3344" s="4">
        <v>0</v>
      </c>
      <c r="AH3344" s="4">
        <v>2</v>
      </c>
      <c r="AI3344" s="4">
        <v>32</v>
      </c>
      <c r="AJ3344" s="4">
        <v>0</v>
      </c>
      <c r="AK3344" s="4">
        <v>4</v>
      </c>
      <c r="AL3344" s="4">
        <v>2</v>
      </c>
      <c r="AM3344" s="4">
        <v>24</v>
      </c>
      <c r="AN3344" s="4">
        <v>0</v>
      </c>
      <c r="AO3344" s="4">
        <v>0</v>
      </c>
      <c r="AP3344" s="4">
        <v>0</v>
      </c>
      <c r="AQ3344" s="4">
        <v>4</v>
      </c>
      <c r="AR3344" s="3" t="s">
        <v>65</v>
      </c>
      <c r="AS3344" s="3" t="s">
        <v>65</v>
      </c>
      <c r="AT3344" s="3" t="s">
        <v>65</v>
      </c>
      <c r="AV3344" s="6" t="str">
        <f>HYPERLINK("http://mcgill.on.worldcat.org/oclc/779076295","Catalog Record")</f>
        <v>Catalog Record</v>
      </c>
      <c r="AW3344" s="6" t="str">
        <f>HYPERLINK("http://www.worldcat.org/oclc/779076295","WorldCat Record")</f>
        <v>WorldCat Record</v>
      </c>
      <c r="AX3344" s="3" t="s">
        <v>33108</v>
      </c>
      <c r="AY3344" s="3" t="s">
        <v>33109</v>
      </c>
      <c r="AZ3344" s="3" t="s">
        <v>33110</v>
      </c>
      <c r="BA3344" s="3" t="s">
        <v>33110</v>
      </c>
      <c r="BB3344" s="3" t="s">
        <v>33111</v>
      </c>
      <c r="BC3344" s="3" t="s">
        <v>77</v>
      </c>
      <c r="BD3344" s="3" t="s">
        <v>78</v>
      </c>
      <c r="BE3344" s="3" t="s">
        <v>33112</v>
      </c>
      <c r="BF3344" s="3" t="s">
        <v>33111</v>
      </c>
      <c r="BG3344" s="3" t="s">
        <v>33113</v>
      </c>
    </row>
    <row r="3345" spans="1:59" ht="58" x14ac:dyDescent="0.35">
      <c r="A3345" s="2" t="s">
        <v>59</v>
      </c>
      <c r="B3345" s="2" t="s">
        <v>60</v>
      </c>
      <c r="C3345" s="2" t="s">
        <v>33114</v>
      </c>
      <c r="D3345" s="2" t="s">
        <v>33115</v>
      </c>
      <c r="E3345" s="2" t="s">
        <v>33116</v>
      </c>
      <c r="G3345" s="3" t="s">
        <v>65</v>
      </c>
      <c r="I3345" s="3" t="s">
        <v>65</v>
      </c>
      <c r="J3345" s="3" t="s">
        <v>65</v>
      </c>
      <c r="K3345" s="3" t="s">
        <v>66</v>
      </c>
      <c r="L3345" s="2" t="s">
        <v>33117</v>
      </c>
      <c r="M3345" s="2" t="s">
        <v>3462</v>
      </c>
      <c r="N3345" s="3" t="s">
        <v>126</v>
      </c>
      <c r="P3345" s="3" t="s">
        <v>140</v>
      </c>
      <c r="Q3345" s="2" t="s">
        <v>33118</v>
      </c>
      <c r="R3345" s="3" t="s">
        <v>71</v>
      </c>
      <c r="S3345" s="4">
        <v>0</v>
      </c>
      <c r="T3345" s="4">
        <v>0</v>
      </c>
      <c r="W3345" s="5" t="s">
        <v>72</v>
      </c>
      <c r="X3345" s="5" t="s">
        <v>72</v>
      </c>
      <c r="Y3345" s="4">
        <v>24</v>
      </c>
      <c r="Z3345" s="4">
        <v>1</v>
      </c>
      <c r="AA3345" s="4">
        <v>1</v>
      </c>
      <c r="AB3345" s="4">
        <v>1</v>
      </c>
      <c r="AC3345" s="4">
        <v>1</v>
      </c>
      <c r="AD3345" s="4">
        <v>16</v>
      </c>
      <c r="AE3345" s="4">
        <v>16</v>
      </c>
      <c r="AF3345" s="4">
        <v>0</v>
      </c>
      <c r="AG3345" s="4">
        <v>0</v>
      </c>
      <c r="AH3345" s="4">
        <v>15</v>
      </c>
      <c r="AI3345" s="4">
        <v>15</v>
      </c>
      <c r="AJ3345" s="4">
        <v>0</v>
      </c>
      <c r="AK3345" s="4">
        <v>0</v>
      </c>
      <c r="AL3345" s="4">
        <v>14</v>
      </c>
      <c r="AM3345" s="4">
        <v>14</v>
      </c>
      <c r="AN3345" s="4">
        <v>0</v>
      </c>
      <c r="AO3345" s="4">
        <v>0</v>
      </c>
      <c r="AP3345" s="4">
        <v>0</v>
      </c>
      <c r="AQ3345" s="4">
        <v>0</v>
      </c>
      <c r="AR3345" s="3" t="s">
        <v>65</v>
      </c>
      <c r="AS3345" s="3" t="s">
        <v>65</v>
      </c>
      <c r="AT3345" s="3" t="s">
        <v>65</v>
      </c>
      <c r="AV3345" s="6" t="str">
        <f>HYPERLINK("http://mcgill.on.worldcat.org/oclc/707459759","Catalog Record")</f>
        <v>Catalog Record</v>
      </c>
      <c r="AW3345" s="6" t="str">
        <f>HYPERLINK("http://www.worldcat.org/oclc/707459759","WorldCat Record")</f>
        <v>WorldCat Record</v>
      </c>
      <c r="AX3345" s="3" t="s">
        <v>33119</v>
      </c>
      <c r="AY3345" s="3" t="s">
        <v>33120</v>
      </c>
      <c r="AZ3345" s="3" t="s">
        <v>33121</v>
      </c>
      <c r="BA3345" s="3" t="s">
        <v>33121</v>
      </c>
      <c r="BB3345" s="3" t="s">
        <v>33122</v>
      </c>
      <c r="BC3345" s="3" t="s">
        <v>77</v>
      </c>
      <c r="BD3345" s="3" t="s">
        <v>78</v>
      </c>
      <c r="BE3345" s="3" t="s">
        <v>33123</v>
      </c>
      <c r="BF3345" s="3" t="s">
        <v>33122</v>
      </c>
      <c r="BG3345" s="3" t="s">
        <v>33124</v>
      </c>
    </row>
    <row r="3346" spans="1:59" ht="72.5" x14ac:dyDescent="0.35">
      <c r="A3346" s="2" t="s">
        <v>59</v>
      </c>
      <c r="B3346" s="2" t="s">
        <v>60</v>
      </c>
      <c r="C3346" s="2" t="s">
        <v>33125</v>
      </c>
      <c r="D3346" s="2" t="s">
        <v>33126</v>
      </c>
      <c r="E3346" s="2" t="s">
        <v>33127</v>
      </c>
      <c r="G3346" s="3" t="s">
        <v>65</v>
      </c>
      <c r="I3346" s="3" t="s">
        <v>65</v>
      </c>
      <c r="J3346" s="3" t="s">
        <v>65</v>
      </c>
      <c r="K3346" s="3" t="s">
        <v>66</v>
      </c>
      <c r="L3346" s="2" t="s">
        <v>33128</v>
      </c>
      <c r="M3346" s="2" t="s">
        <v>24993</v>
      </c>
      <c r="N3346" s="3" t="s">
        <v>176</v>
      </c>
      <c r="P3346" s="3" t="s">
        <v>140</v>
      </c>
      <c r="Q3346" s="2" t="s">
        <v>33129</v>
      </c>
      <c r="R3346" s="3" t="s">
        <v>71</v>
      </c>
      <c r="S3346" s="4">
        <v>2</v>
      </c>
      <c r="T3346" s="4">
        <v>2</v>
      </c>
      <c r="U3346" s="5" t="s">
        <v>393</v>
      </c>
      <c r="V3346" s="5" t="s">
        <v>393</v>
      </c>
      <c r="W3346" s="5" t="s">
        <v>72</v>
      </c>
      <c r="X3346" s="5" t="s">
        <v>72</v>
      </c>
      <c r="Y3346" s="4">
        <v>74</v>
      </c>
      <c r="Z3346" s="4">
        <v>8</v>
      </c>
      <c r="AA3346" s="4">
        <v>12</v>
      </c>
      <c r="AB3346" s="4">
        <v>2</v>
      </c>
      <c r="AC3346" s="4">
        <v>5</v>
      </c>
      <c r="AD3346" s="4">
        <v>43</v>
      </c>
      <c r="AE3346" s="4">
        <v>44</v>
      </c>
      <c r="AF3346" s="4">
        <v>1</v>
      </c>
      <c r="AG3346" s="4">
        <v>2</v>
      </c>
      <c r="AH3346" s="4">
        <v>40</v>
      </c>
      <c r="AI3346" s="4">
        <v>40</v>
      </c>
      <c r="AJ3346" s="4">
        <v>5</v>
      </c>
      <c r="AK3346" s="4">
        <v>6</v>
      </c>
      <c r="AL3346" s="4">
        <v>29</v>
      </c>
      <c r="AM3346" s="4">
        <v>29</v>
      </c>
      <c r="AN3346" s="4">
        <v>0</v>
      </c>
      <c r="AO3346" s="4">
        <v>0</v>
      </c>
      <c r="AP3346" s="4">
        <v>5</v>
      </c>
      <c r="AQ3346" s="4">
        <v>5</v>
      </c>
      <c r="AR3346" s="3" t="s">
        <v>65</v>
      </c>
      <c r="AS3346" s="3" t="s">
        <v>65</v>
      </c>
      <c r="AT3346" s="3" t="s">
        <v>65</v>
      </c>
      <c r="AV3346" s="6" t="str">
        <f>HYPERLINK("http://mcgill.on.worldcat.org/oclc/927413987","Catalog Record")</f>
        <v>Catalog Record</v>
      </c>
      <c r="AW3346" s="6" t="str">
        <f>HYPERLINK("http://www.worldcat.org/oclc/927413987","WorldCat Record")</f>
        <v>WorldCat Record</v>
      </c>
      <c r="AX3346" s="3" t="s">
        <v>33130</v>
      </c>
      <c r="AY3346" s="3" t="s">
        <v>33131</v>
      </c>
      <c r="AZ3346" s="3" t="s">
        <v>33132</v>
      </c>
      <c r="BA3346" s="3" t="s">
        <v>33132</v>
      </c>
      <c r="BB3346" s="3" t="s">
        <v>33133</v>
      </c>
      <c r="BC3346" s="3" t="s">
        <v>77</v>
      </c>
      <c r="BD3346" s="3" t="s">
        <v>78</v>
      </c>
      <c r="BE3346" s="3" t="s">
        <v>33134</v>
      </c>
      <c r="BF3346" s="3" t="s">
        <v>33133</v>
      </c>
      <c r="BG3346" s="3" t="s">
        <v>33135</v>
      </c>
    </row>
    <row r="3347" spans="1:59" ht="72.5" x14ac:dyDescent="0.35">
      <c r="A3347" s="2" t="s">
        <v>59</v>
      </c>
      <c r="B3347" s="2" t="s">
        <v>60</v>
      </c>
      <c r="C3347" s="2" t="s">
        <v>33136</v>
      </c>
      <c r="D3347" s="2" t="s">
        <v>33137</v>
      </c>
      <c r="E3347" s="2" t="s">
        <v>33138</v>
      </c>
      <c r="G3347" s="3" t="s">
        <v>65</v>
      </c>
      <c r="I3347" s="3" t="s">
        <v>65</v>
      </c>
      <c r="J3347" s="3" t="s">
        <v>65</v>
      </c>
      <c r="K3347" s="3" t="s">
        <v>66</v>
      </c>
      <c r="L3347" s="2" t="s">
        <v>33139</v>
      </c>
      <c r="M3347" s="2" t="s">
        <v>33140</v>
      </c>
      <c r="N3347" s="3" t="s">
        <v>552</v>
      </c>
      <c r="O3347" s="2" t="s">
        <v>28443</v>
      </c>
      <c r="P3347" s="3" t="s">
        <v>140</v>
      </c>
      <c r="Q3347" s="2" t="s">
        <v>33141</v>
      </c>
      <c r="R3347" s="3" t="s">
        <v>71</v>
      </c>
      <c r="S3347" s="4">
        <v>8</v>
      </c>
      <c r="T3347" s="4">
        <v>8</v>
      </c>
      <c r="U3347" s="5" t="s">
        <v>30279</v>
      </c>
      <c r="V3347" s="5" t="s">
        <v>30279</v>
      </c>
      <c r="W3347" s="5" t="s">
        <v>72</v>
      </c>
      <c r="X3347" s="5" t="s">
        <v>72</v>
      </c>
      <c r="Y3347" s="4">
        <v>28</v>
      </c>
      <c r="Z3347" s="4">
        <v>3</v>
      </c>
      <c r="AA3347" s="4">
        <v>9</v>
      </c>
      <c r="AB3347" s="4">
        <v>2</v>
      </c>
      <c r="AC3347" s="4">
        <v>3</v>
      </c>
      <c r="AD3347" s="4">
        <v>11</v>
      </c>
      <c r="AE3347" s="4">
        <v>18</v>
      </c>
      <c r="AF3347" s="4">
        <v>0</v>
      </c>
      <c r="AG3347" s="4">
        <v>1</v>
      </c>
      <c r="AH3347" s="4">
        <v>11</v>
      </c>
      <c r="AI3347" s="4">
        <v>17</v>
      </c>
      <c r="AJ3347" s="4">
        <v>1</v>
      </c>
      <c r="AK3347" s="4">
        <v>5</v>
      </c>
      <c r="AL3347" s="4">
        <v>9</v>
      </c>
      <c r="AM3347" s="4">
        <v>11</v>
      </c>
      <c r="AN3347" s="4">
        <v>5</v>
      </c>
      <c r="AO3347" s="4">
        <v>5</v>
      </c>
      <c r="AP3347" s="4">
        <v>1</v>
      </c>
      <c r="AQ3347" s="4">
        <v>4</v>
      </c>
      <c r="AR3347" s="3" t="s">
        <v>65</v>
      </c>
      <c r="AS3347" s="3" t="s">
        <v>65</v>
      </c>
      <c r="AT3347" s="3" t="s">
        <v>209</v>
      </c>
      <c r="AU3347" s="6" t="str">
        <f>HYPERLINK("http://catalog.hathitrust.org/Record/102194514","HathiTrust Record")</f>
        <v>HathiTrust Record</v>
      </c>
      <c r="AV3347" s="6" t="str">
        <f>HYPERLINK("http://mcgill.on.worldcat.org/oclc/38312596","Catalog Record")</f>
        <v>Catalog Record</v>
      </c>
      <c r="AW3347" s="6" t="str">
        <f>HYPERLINK("http://www.worldcat.org/oclc/38312596","WorldCat Record")</f>
        <v>WorldCat Record</v>
      </c>
      <c r="AX3347" s="3" t="s">
        <v>33142</v>
      </c>
      <c r="AY3347" s="3" t="s">
        <v>33143</v>
      </c>
      <c r="AZ3347" s="3" t="s">
        <v>33144</v>
      </c>
      <c r="BA3347" s="3" t="s">
        <v>33144</v>
      </c>
      <c r="BB3347" s="3" t="s">
        <v>33145</v>
      </c>
      <c r="BC3347" s="3" t="s">
        <v>77</v>
      </c>
      <c r="BD3347" s="3" t="s">
        <v>78</v>
      </c>
      <c r="BE3347" s="3" t="s">
        <v>33146</v>
      </c>
      <c r="BF3347" s="3" t="s">
        <v>33145</v>
      </c>
      <c r="BG3347" s="3" t="s">
        <v>33147</v>
      </c>
    </row>
    <row r="3348" spans="1:59" ht="72.5" x14ac:dyDescent="0.35">
      <c r="A3348" s="2" t="s">
        <v>59</v>
      </c>
      <c r="B3348" s="2" t="s">
        <v>60</v>
      </c>
      <c r="C3348" s="2" t="s">
        <v>33148</v>
      </c>
      <c r="D3348" s="2" t="s">
        <v>33149</v>
      </c>
      <c r="E3348" s="2" t="s">
        <v>33150</v>
      </c>
      <c r="G3348" s="3" t="s">
        <v>65</v>
      </c>
      <c r="I3348" s="3" t="s">
        <v>65</v>
      </c>
      <c r="J3348" s="3" t="s">
        <v>65</v>
      </c>
      <c r="K3348" s="3" t="s">
        <v>66</v>
      </c>
      <c r="L3348" s="2" t="s">
        <v>33128</v>
      </c>
      <c r="M3348" s="2" t="s">
        <v>33151</v>
      </c>
      <c r="N3348" s="3" t="s">
        <v>152</v>
      </c>
      <c r="P3348" s="3" t="s">
        <v>69</v>
      </c>
      <c r="R3348" s="3" t="s">
        <v>71</v>
      </c>
      <c r="S3348" s="4">
        <v>7</v>
      </c>
      <c r="T3348" s="4">
        <v>7</v>
      </c>
      <c r="U3348" s="5" t="s">
        <v>27317</v>
      </c>
      <c r="V3348" s="5" t="s">
        <v>27317</v>
      </c>
      <c r="W3348" s="5" t="s">
        <v>72</v>
      </c>
      <c r="X3348" s="5" t="s">
        <v>72</v>
      </c>
      <c r="Y3348" s="4">
        <v>52</v>
      </c>
      <c r="Z3348" s="4">
        <v>8</v>
      </c>
      <c r="AA3348" s="4">
        <v>15</v>
      </c>
      <c r="AB3348" s="4">
        <v>1</v>
      </c>
      <c r="AC3348" s="4">
        <v>4</v>
      </c>
      <c r="AD3348" s="4">
        <v>4</v>
      </c>
      <c r="AE3348" s="4">
        <v>43</v>
      </c>
      <c r="AF3348" s="4">
        <v>0</v>
      </c>
      <c r="AG3348" s="4">
        <v>0</v>
      </c>
      <c r="AH3348" s="4">
        <v>3</v>
      </c>
      <c r="AI3348" s="4">
        <v>41</v>
      </c>
      <c r="AJ3348" s="4">
        <v>2</v>
      </c>
      <c r="AK3348" s="4">
        <v>5</v>
      </c>
      <c r="AL3348" s="4">
        <v>3</v>
      </c>
      <c r="AM3348" s="4">
        <v>24</v>
      </c>
      <c r="AN3348" s="4">
        <v>0</v>
      </c>
      <c r="AO3348" s="4">
        <v>0</v>
      </c>
      <c r="AP3348" s="4">
        <v>2</v>
      </c>
      <c r="AQ3348" s="4">
        <v>5</v>
      </c>
      <c r="AR3348" s="3" t="s">
        <v>65</v>
      </c>
      <c r="AS3348" s="3" t="s">
        <v>65</v>
      </c>
      <c r="AT3348" s="3" t="s">
        <v>65</v>
      </c>
      <c r="AV3348" s="6" t="str">
        <f>HYPERLINK("http://mcgill.on.worldcat.org/oclc/841186491","Catalog Record")</f>
        <v>Catalog Record</v>
      </c>
      <c r="AW3348" s="6" t="str">
        <f>HYPERLINK("http://www.worldcat.org/oclc/841186491","WorldCat Record")</f>
        <v>WorldCat Record</v>
      </c>
      <c r="AX3348" s="3" t="s">
        <v>33152</v>
      </c>
      <c r="AY3348" s="3" t="s">
        <v>33153</v>
      </c>
      <c r="AZ3348" s="3" t="s">
        <v>33154</v>
      </c>
      <c r="BA3348" s="3" t="s">
        <v>33154</v>
      </c>
      <c r="BB3348" s="3" t="s">
        <v>33155</v>
      </c>
      <c r="BC3348" s="3" t="s">
        <v>77</v>
      </c>
      <c r="BD3348" s="3" t="s">
        <v>78</v>
      </c>
      <c r="BE3348" s="3" t="s">
        <v>33156</v>
      </c>
      <c r="BF3348" s="3" t="s">
        <v>33155</v>
      </c>
      <c r="BG3348" s="3" t="s">
        <v>33157</v>
      </c>
    </row>
    <row r="3349" spans="1:59" ht="72.5" x14ac:dyDescent="0.35">
      <c r="A3349" s="2" t="s">
        <v>59</v>
      </c>
      <c r="B3349" s="2" t="s">
        <v>60</v>
      </c>
      <c r="C3349" s="2" t="s">
        <v>33158</v>
      </c>
      <c r="D3349" s="2" t="s">
        <v>33159</v>
      </c>
      <c r="E3349" s="2" t="s">
        <v>33160</v>
      </c>
      <c r="G3349" s="3" t="s">
        <v>65</v>
      </c>
      <c r="I3349" s="3" t="s">
        <v>65</v>
      </c>
      <c r="J3349" s="3" t="s">
        <v>65</v>
      </c>
      <c r="K3349" s="3" t="s">
        <v>66</v>
      </c>
      <c r="L3349" s="2" t="s">
        <v>33139</v>
      </c>
      <c r="M3349" s="2" t="s">
        <v>33161</v>
      </c>
      <c r="N3349" s="3" t="s">
        <v>1122</v>
      </c>
      <c r="O3349" s="2" t="s">
        <v>526</v>
      </c>
      <c r="P3349" s="3" t="s">
        <v>69</v>
      </c>
      <c r="R3349" s="3" t="s">
        <v>71</v>
      </c>
      <c r="S3349" s="4">
        <v>4</v>
      </c>
      <c r="T3349" s="4">
        <v>4</v>
      </c>
      <c r="U3349" s="5" t="s">
        <v>9956</v>
      </c>
      <c r="V3349" s="5" t="s">
        <v>9956</v>
      </c>
      <c r="W3349" s="5" t="s">
        <v>72</v>
      </c>
      <c r="X3349" s="5" t="s">
        <v>72</v>
      </c>
      <c r="Y3349" s="4">
        <v>468</v>
      </c>
      <c r="Z3349" s="4">
        <v>13</v>
      </c>
      <c r="AA3349" s="4">
        <v>15</v>
      </c>
      <c r="AB3349" s="4">
        <v>2</v>
      </c>
      <c r="AC3349" s="4">
        <v>4</v>
      </c>
      <c r="AD3349" s="4">
        <v>59</v>
      </c>
      <c r="AE3349" s="4">
        <v>59</v>
      </c>
      <c r="AF3349" s="4">
        <v>0</v>
      </c>
      <c r="AG3349" s="4">
        <v>0</v>
      </c>
      <c r="AH3349" s="4">
        <v>58</v>
      </c>
      <c r="AI3349" s="4">
        <v>58</v>
      </c>
      <c r="AJ3349" s="4">
        <v>4</v>
      </c>
      <c r="AK3349" s="4">
        <v>4</v>
      </c>
      <c r="AL3349" s="4">
        <v>38</v>
      </c>
      <c r="AM3349" s="4">
        <v>38</v>
      </c>
      <c r="AN3349" s="4">
        <v>0</v>
      </c>
      <c r="AO3349" s="4">
        <v>0</v>
      </c>
      <c r="AP3349" s="4">
        <v>4</v>
      </c>
      <c r="AQ3349" s="4">
        <v>4</v>
      </c>
      <c r="AR3349" s="3" t="s">
        <v>65</v>
      </c>
      <c r="AS3349" s="3" t="s">
        <v>65</v>
      </c>
      <c r="AT3349" s="3" t="s">
        <v>65</v>
      </c>
      <c r="AV3349" s="6" t="str">
        <f>HYPERLINK("http://mcgill.on.worldcat.org/oclc/316039829","Catalog Record")</f>
        <v>Catalog Record</v>
      </c>
      <c r="AW3349" s="6" t="str">
        <f>HYPERLINK("http://www.worldcat.org/oclc/316039829","WorldCat Record")</f>
        <v>WorldCat Record</v>
      </c>
      <c r="AX3349" s="3" t="s">
        <v>33162</v>
      </c>
      <c r="AY3349" s="3" t="s">
        <v>33163</v>
      </c>
      <c r="AZ3349" s="3" t="s">
        <v>33164</v>
      </c>
      <c r="BA3349" s="3" t="s">
        <v>33164</v>
      </c>
      <c r="BB3349" s="3" t="s">
        <v>33165</v>
      </c>
      <c r="BC3349" s="3" t="s">
        <v>77</v>
      </c>
      <c r="BD3349" s="3" t="s">
        <v>78</v>
      </c>
      <c r="BE3349" s="3" t="s">
        <v>33166</v>
      </c>
      <c r="BF3349" s="3" t="s">
        <v>33165</v>
      </c>
      <c r="BG3349" s="3" t="s">
        <v>33167</v>
      </c>
    </row>
    <row r="3350" spans="1:59" ht="72.5" x14ac:dyDescent="0.35">
      <c r="A3350" s="2" t="s">
        <v>59</v>
      </c>
      <c r="B3350" s="2" t="s">
        <v>60</v>
      </c>
      <c r="C3350" s="2" t="s">
        <v>33168</v>
      </c>
      <c r="D3350" s="2" t="s">
        <v>33169</v>
      </c>
      <c r="E3350" s="2" t="s">
        <v>33170</v>
      </c>
      <c r="G3350" s="3" t="s">
        <v>65</v>
      </c>
      <c r="I3350" s="3" t="s">
        <v>65</v>
      </c>
      <c r="J3350" s="3" t="s">
        <v>65</v>
      </c>
      <c r="K3350" s="3" t="s">
        <v>66</v>
      </c>
      <c r="L3350" s="2" t="s">
        <v>33139</v>
      </c>
      <c r="M3350" s="2" t="s">
        <v>33171</v>
      </c>
      <c r="N3350" s="3" t="s">
        <v>99</v>
      </c>
      <c r="O3350" s="2" t="s">
        <v>365</v>
      </c>
      <c r="P3350" s="3" t="s">
        <v>140</v>
      </c>
      <c r="Q3350" s="2" t="s">
        <v>32206</v>
      </c>
      <c r="R3350" s="3" t="s">
        <v>71</v>
      </c>
      <c r="S3350" s="4">
        <v>9</v>
      </c>
      <c r="T3350" s="4">
        <v>9</v>
      </c>
      <c r="U3350" s="5" t="s">
        <v>33172</v>
      </c>
      <c r="V3350" s="5" t="s">
        <v>33172</v>
      </c>
      <c r="W3350" s="5" t="s">
        <v>72</v>
      </c>
      <c r="X3350" s="5" t="s">
        <v>72</v>
      </c>
      <c r="Y3350" s="4">
        <v>129</v>
      </c>
      <c r="Z3350" s="4">
        <v>12</v>
      </c>
      <c r="AA3350" s="4">
        <v>16</v>
      </c>
      <c r="AB3350" s="4">
        <v>1</v>
      </c>
      <c r="AC3350" s="4">
        <v>2</v>
      </c>
      <c r="AD3350" s="4">
        <v>58</v>
      </c>
      <c r="AE3350" s="4">
        <v>61</v>
      </c>
      <c r="AF3350" s="4">
        <v>0</v>
      </c>
      <c r="AG3350" s="4">
        <v>1</v>
      </c>
      <c r="AH3350" s="4">
        <v>55</v>
      </c>
      <c r="AI3350" s="4">
        <v>57</v>
      </c>
      <c r="AJ3350" s="4">
        <v>8</v>
      </c>
      <c r="AK3350" s="4">
        <v>10</v>
      </c>
      <c r="AL3350" s="4">
        <v>35</v>
      </c>
      <c r="AM3350" s="4">
        <v>37</v>
      </c>
      <c r="AN3350" s="4">
        <v>0</v>
      </c>
      <c r="AO3350" s="4">
        <v>0</v>
      </c>
      <c r="AP3350" s="4">
        <v>8</v>
      </c>
      <c r="AQ3350" s="4">
        <v>9</v>
      </c>
      <c r="AR3350" s="3" t="s">
        <v>65</v>
      </c>
      <c r="AS3350" s="3" t="s">
        <v>65</v>
      </c>
      <c r="AT3350" s="3" t="s">
        <v>209</v>
      </c>
      <c r="AU3350" s="6" t="str">
        <f>HYPERLINK("http://catalog.hathitrust.org/Record/005376420","HathiTrust Record")</f>
        <v>HathiTrust Record</v>
      </c>
      <c r="AV3350" s="6" t="str">
        <f>HYPERLINK("http://mcgill.on.worldcat.org/oclc/74311261","Catalog Record")</f>
        <v>Catalog Record</v>
      </c>
      <c r="AW3350" s="6" t="str">
        <f>HYPERLINK("http://www.worldcat.org/oclc/74311261","WorldCat Record")</f>
        <v>WorldCat Record</v>
      </c>
      <c r="AX3350" s="3" t="s">
        <v>33173</v>
      </c>
      <c r="AY3350" s="3" t="s">
        <v>33174</v>
      </c>
      <c r="AZ3350" s="3" t="s">
        <v>33175</v>
      </c>
      <c r="BA3350" s="3" t="s">
        <v>33175</v>
      </c>
      <c r="BB3350" s="3" t="s">
        <v>33176</v>
      </c>
      <c r="BC3350" s="3" t="s">
        <v>77</v>
      </c>
      <c r="BD3350" s="3" t="s">
        <v>78</v>
      </c>
      <c r="BE3350" s="3" t="s">
        <v>33177</v>
      </c>
      <c r="BF3350" s="3" t="s">
        <v>33176</v>
      </c>
      <c r="BG3350" s="3" t="s">
        <v>33178</v>
      </c>
    </row>
    <row r="3351" spans="1:59" ht="72.5" x14ac:dyDescent="0.35">
      <c r="A3351" s="2" t="s">
        <v>59</v>
      </c>
      <c r="B3351" s="2" t="s">
        <v>60</v>
      </c>
      <c r="C3351" s="2" t="s">
        <v>33179</v>
      </c>
      <c r="D3351" s="2" t="s">
        <v>33180</v>
      </c>
      <c r="E3351" s="2" t="s">
        <v>33181</v>
      </c>
      <c r="G3351" s="3" t="s">
        <v>65</v>
      </c>
      <c r="I3351" s="3" t="s">
        <v>65</v>
      </c>
      <c r="J3351" s="3" t="s">
        <v>65</v>
      </c>
      <c r="K3351" s="3" t="s">
        <v>66</v>
      </c>
      <c r="L3351" s="2" t="s">
        <v>33139</v>
      </c>
      <c r="M3351" s="2" t="s">
        <v>33182</v>
      </c>
      <c r="N3351" s="3" t="s">
        <v>1122</v>
      </c>
      <c r="P3351" s="3" t="s">
        <v>69</v>
      </c>
      <c r="R3351" s="3" t="s">
        <v>71</v>
      </c>
      <c r="S3351" s="4">
        <v>2</v>
      </c>
      <c r="T3351" s="4">
        <v>2</v>
      </c>
      <c r="U3351" s="5" t="s">
        <v>18737</v>
      </c>
      <c r="V3351" s="5" t="s">
        <v>18737</v>
      </c>
      <c r="W3351" s="5" t="s">
        <v>72</v>
      </c>
      <c r="X3351" s="5" t="s">
        <v>72</v>
      </c>
      <c r="Y3351" s="4">
        <v>127</v>
      </c>
      <c r="Z3351" s="4">
        <v>26</v>
      </c>
      <c r="AA3351" s="4">
        <v>29</v>
      </c>
      <c r="AB3351" s="4">
        <v>5</v>
      </c>
      <c r="AC3351" s="4">
        <v>7</v>
      </c>
      <c r="AD3351" s="4">
        <v>32</v>
      </c>
      <c r="AE3351" s="4">
        <v>32</v>
      </c>
      <c r="AF3351" s="4">
        <v>0</v>
      </c>
      <c r="AG3351" s="4">
        <v>0</v>
      </c>
      <c r="AH3351" s="4">
        <v>27</v>
      </c>
      <c r="AI3351" s="4">
        <v>27</v>
      </c>
      <c r="AJ3351" s="4">
        <v>4</v>
      </c>
      <c r="AK3351" s="4">
        <v>4</v>
      </c>
      <c r="AL3351" s="4">
        <v>24</v>
      </c>
      <c r="AM3351" s="4">
        <v>24</v>
      </c>
      <c r="AN3351" s="4">
        <v>0</v>
      </c>
      <c r="AO3351" s="4">
        <v>0</v>
      </c>
      <c r="AP3351" s="4">
        <v>5</v>
      </c>
      <c r="AQ3351" s="4">
        <v>5</v>
      </c>
      <c r="AR3351" s="3" t="s">
        <v>65</v>
      </c>
      <c r="AS3351" s="3" t="s">
        <v>65</v>
      </c>
      <c r="AT3351" s="3" t="s">
        <v>65</v>
      </c>
      <c r="AV3351" s="6" t="str">
        <f>HYPERLINK("http://mcgill.on.worldcat.org/oclc/260209018","Catalog Record")</f>
        <v>Catalog Record</v>
      </c>
      <c r="AW3351" s="6" t="str">
        <f>HYPERLINK("http://www.worldcat.org/oclc/260209018","WorldCat Record")</f>
        <v>WorldCat Record</v>
      </c>
      <c r="AX3351" s="3" t="s">
        <v>33183</v>
      </c>
      <c r="AY3351" s="3" t="s">
        <v>33184</v>
      </c>
      <c r="AZ3351" s="3" t="s">
        <v>33185</v>
      </c>
      <c r="BA3351" s="3" t="s">
        <v>33185</v>
      </c>
      <c r="BB3351" s="3" t="s">
        <v>33186</v>
      </c>
      <c r="BC3351" s="3" t="s">
        <v>77</v>
      </c>
      <c r="BD3351" s="3" t="s">
        <v>78</v>
      </c>
      <c r="BE3351" s="3" t="s">
        <v>33187</v>
      </c>
      <c r="BF3351" s="3" t="s">
        <v>33186</v>
      </c>
      <c r="BG3351" s="3" t="s">
        <v>33188</v>
      </c>
    </row>
    <row r="3352" spans="1:59" ht="72.5" x14ac:dyDescent="0.35">
      <c r="A3352" s="2" t="s">
        <v>59</v>
      </c>
      <c r="B3352" s="2" t="s">
        <v>60</v>
      </c>
      <c r="C3352" s="2" t="s">
        <v>33189</v>
      </c>
      <c r="D3352" s="2" t="s">
        <v>33190</v>
      </c>
      <c r="E3352" s="2" t="s">
        <v>33191</v>
      </c>
      <c r="G3352" s="3" t="s">
        <v>65</v>
      </c>
      <c r="I3352" s="3" t="s">
        <v>65</v>
      </c>
      <c r="J3352" s="3" t="s">
        <v>65</v>
      </c>
      <c r="K3352" s="3" t="s">
        <v>66</v>
      </c>
      <c r="L3352" s="2" t="s">
        <v>33139</v>
      </c>
      <c r="M3352" s="2" t="s">
        <v>33192</v>
      </c>
      <c r="N3352" s="3" t="s">
        <v>3385</v>
      </c>
      <c r="P3352" s="3" t="s">
        <v>140</v>
      </c>
      <c r="Q3352" s="2" t="s">
        <v>33193</v>
      </c>
      <c r="R3352" s="3" t="s">
        <v>71</v>
      </c>
      <c r="S3352" s="4">
        <v>9</v>
      </c>
      <c r="T3352" s="4">
        <v>9</v>
      </c>
      <c r="U3352" s="5" t="s">
        <v>33194</v>
      </c>
      <c r="V3352" s="5" t="s">
        <v>33194</v>
      </c>
      <c r="W3352" s="5" t="s">
        <v>72</v>
      </c>
      <c r="X3352" s="5" t="s">
        <v>72</v>
      </c>
      <c r="Y3352" s="4">
        <v>58</v>
      </c>
      <c r="Z3352" s="4">
        <v>5</v>
      </c>
      <c r="AA3352" s="4">
        <v>8</v>
      </c>
      <c r="AB3352" s="4">
        <v>2</v>
      </c>
      <c r="AC3352" s="4">
        <v>3</v>
      </c>
      <c r="AD3352" s="4">
        <v>13</v>
      </c>
      <c r="AE3352" s="4">
        <v>37</v>
      </c>
      <c r="AF3352" s="4">
        <v>0</v>
      </c>
      <c r="AG3352" s="4">
        <v>1</v>
      </c>
      <c r="AH3352" s="4">
        <v>13</v>
      </c>
      <c r="AI3352" s="4">
        <v>34</v>
      </c>
      <c r="AJ3352" s="4">
        <v>2</v>
      </c>
      <c r="AK3352" s="4">
        <v>4</v>
      </c>
      <c r="AL3352" s="4">
        <v>10</v>
      </c>
      <c r="AM3352" s="4">
        <v>29</v>
      </c>
      <c r="AN3352" s="4">
        <v>0</v>
      </c>
      <c r="AO3352" s="4">
        <v>0</v>
      </c>
      <c r="AP3352" s="4">
        <v>2</v>
      </c>
      <c r="AQ3352" s="4">
        <v>3</v>
      </c>
      <c r="AR3352" s="3" t="s">
        <v>65</v>
      </c>
      <c r="AS3352" s="3" t="s">
        <v>65</v>
      </c>
      <c r="AT3352" s="3" t="s">
        <v>209</v>
      </c>
      <c r="AU3352" s="6" t="str">
        <f>HYPERLINK("http://catalog.hathitrust.org/Record/007583060","HathiTrust Record")</f>
        <v>HathiTrust Record</v>
      </c>
      <c r="AV3352" s="6" t="str">
        <f>HYPERLINK("http://mcgill.on.worldcat.org/oclc/43764156","Catalog Record")</f>
        <v>Catalog Record</v>
      </c>
      <c r="AW3352" s="6" t="str">
        <f>HYPERLINK("http://www.worldcat.org/oclc/43764156","WorldCat Record")</f>
        <v>WorldCat Record</v>
      </c>
      <c r="AX3352" s="3" t="s">
        <v>33195</v>
      </c>
      <c r="AY3352" s="3" t="s">
        <v>33196</v>
      </c>
      <c r="AZ3352" s="3" t="s">
        <v>33197</v>
      </c>
      <c r="BA3352" s="3" t="s">
        <v>33197</v>
      </c>
      <c r="BB3352" s="3" t="s">
        <v>33198</v>
      </c>
      <c r="BC3352" s="3" t="s">
        <v>77</v>
      </c>
      <c r="BD3352" s="3" t="s">
        <v>78</v>
      </c>
      <c r="BE3352" s="3" t="s">
        <v>33199</v>
      </c>
      <c r="BF3352" s="3" t="s">
        <v>33198</v>
      </c>
      <c r="BG3352" s="3" t="s">
        <v>33200</v>
      </c>
    </row>
    <row r="3353" spans="1:59" ht="72.5" x14ac:dyDescent="0.35">
      <c r="A3353" s="2" t="s">
        <v>59</v>
      </c>
      <c r="B3353" s="2" t="s">
        <v>60</v>
      </c>
      <c r="C3353" s="2" t="s">
        <v>33201</v>
      </c>
      <c r="D3353" s="2" t="s">
        <v>33202</v>
      </c>
      <c r="E3353" s="2" t="s">
        <v>33203</v>
      </c>
      <c r="G3353" s="3" t="s">
        <v>65</v>
      </c>
      <c r="I3353" s="3" t="s">
        <v>65</v>
      </c>
      <c r="J3353" s="3" t="s">
        <v>65</v>
      </c>
      <c r="K3353" s="3" t="s">
        <v>66</v>
      </c>
      <c r="L3353" s="2" t="s">
        <v>33139</v>
      </c>
      <c r="M3353" s="2" t="s">
        <v>33204</v>
      </c>
      <c r="N3353" s="3" t="s">
        <v>113</v>
      </c>
      <c r="P3353" s="3" t="s">
        <v>140</v>
      </c>
      <c r="Q3353" s="2" t="s">
        <v>33205</v>
      </c>
      <c r="R3353" s="3" t="s">
        <v>71</v>
      </c>
      <c r="S3353" s="4">
        <v>12</v>
      </c>
      <c r="T3353" s="4">
        <v>12</v>
      </c>
      <c r="U3353" s="5" t="s">
        <v>579</v>
      </c>
      <c r="V3353" s="5" t="s">
        <v>579</v>
      </c>
      <c r="W3353" s="5" t="s">
        <v>72</v>
      </c>
      <c r="X3353" s="5" t="s">
        <v>72</v>
      </c>
      <c r="Y3353" s="4">
        <v>118</v>
      </c>
      <c r="Z3353" s="4">
        <v>13</v>
      </c>
      <c r="AA3353" s="4">
        <v>16</v>
      </c>
      <c r="AB3353" s="4">
        <v>2</v>
      </c>
      <c r="AC3353" s="4">
        <v>5</v>
      </c>
      <c r="AD3353" s="4">
        <v>50</v>
      </c>
      <c r="AE3353" s="4">
        <v>53</v>
      </c>
      <c r="AF3353" s="4">
        <v>0</v>
      </c>
      <c r="AG3353" s="4">
        <v>3</v>
      </c>
      <c r="AH3353" s="4">
        <v>47</v>
      </c>
      <c r="AI3353" s="4">
        <v>48</v>
      </c>
      <c r="AJ3353" s="4">
        <v>5</v>
      </c>
      <c r="AK3353" s="4">
        <v>8</v>
      </c>
      <c r="AL3353" s="4">
        <v>34</v>
      </c>
      <c r="AM3353" s="4">
        <v>34</v>
      </c>
      <c r="AN3353" s="4">
        <v>0</v>
      </c>
      <c r="AO3353" s="4">
        <v>0</v>
      </c>
      <c r="AP3353" s="4">
        <v>6</v>
      </c>
      <c r="AQ3353" s="4">
        <v>8</v>
      </c>
      <c r="AR3353" s="3" t="s">
        <v>65</v>
      </c>
      <c r="AS3353" s="3" t="s">
        <v>65</v>
      </c>
      <c r="AT3353" s="3" t="s">
        <v>209</v>
      </c>
      <c r="AU3353" s="6" t="str">
        <f>HYPERLINK("http://catalog.hathitrust.org/Record/009452840","HathiTrust Record")</f>
        <v>HathiTrust Record</v>
      </c>
      <c r="AV3353" s="6" t="str">
        <f>HYPERLINK("http://mcgill.on.worldcat.org/oclc/688495792","Catalog Record")</f>
        <v>Catalog Record</v>
      </c>
      <c r="AW3353" s="6" t="str">
        <f>HYPERLINK("http://www.worldcat.org/oclc/688495792","WorldCat Record")</f>
        <v>WorldCat Record</v>
      </c>
      <c r="AX3353" s="3" t="s">
        <v>33206</v>
      </c>
      <c r="AY3353" s="3" t="s">
        <v>33207</v>
      </c>
      <c r="AZ3353" s="3" t="s">
        <v>33208</v>
      </c>
      <c r="BA3353" s="3" t="s">
        <v>33208</v>
      </c>
      <c r="BB3353" s="3" t="s">
        <v>33209</v>
      </c>
      <c r="BC3353" s="3" t="s">
        <v>77</v>
      </c>
      <c r="BD3353" s="3" t="s">
        <v>78</v>
      </c>
      <c r="BE3353" s="3" t="s">
        <v>33210</v>
      </c>
      <c r="BF3353" s="3" t="s">
        <v>33209</v>
      </c>
      <c r="BG3353" s="3" t="s">
        <v>33211</v>
      </c>
    </row>
    <row r="3354" spans="1:59" ht="72.5" x14ac:dyDescent="0.35">
      <c r="A3354" s="2" t="s">
        <v>59</v>
      </c>
      <c r="B3354" s="2" t="s">
        <v>60</v>
      </c>
      <c r="C3354" s="2" t="s">
        <v>33212</v>
      </c>
      <c r="D3354" s="2" t="s">
        <v>33213</v>
      </c>
      <c r="E3354" s="2" t="s">
        <v>33214</v>
      </c>
      <c r="G3354" s="3" t="s">
        <v>65</v>
      </c>
      <c r="I3354" s="3" t="s">
        <v>65</v>
      </c>
      <c r="J3354" s="3" t="s">
        <v>209</v>
      </c>
      <c r="K3354" s="3" t="s">
        <v>66</v>
      </c>
      <c r="L3354" s="2" t="s">
        <v>33139</v>
      </c>
      <c r="M3354" s="2" t="s">
        <v>33215</v>
      </c>
      <c r="N3354" s="3" t="s">
        <v>139</v>
      </c>
      <c r="P3354" s="3" t="s">
        <v>69</v>
      </c>
      <c r="R3354" s="3" t="s">
        <v>71</v>
      </c>
      <c r="S3354" s="4">
        <v>1</v>
      </c>
      <c r="T3354" s="4">
        <v>1</v>
      </c>
      <c r="U3354" s="5" t="s">
        <v>33216</v>
      </c>
      <c r="V3354" s="5" t="s">
        <v>33216</v>
      </c>
      <c r="W3354" s="5" t="s">
        <v>72</v>
      </c>
      <c r="X3354" s="5" t="s">
        <v>72</v>
      </c>
      <c r="Y3354" s="4">
        <v>96</v>
      </c>
      <c r="Z3354" s="4">
        <v>11</v>
      </c>
      <c r="AA3354" s="4">
        <v>40</v>
      </c>
      <c r="AB3354" s="4">
        <v>3</v>
      </c>
      <c r="AC3354" s="4">
        <v>6</v>
      </c>
      <c r="AD3354" s="4">
        <v>8</v>
      </c>
      <c r="AE3354" s="4">
        <v>57</v>
      </c>
      <c r="AF3354" s="4">
        <v>0</v>
      </c>
      <c r="AG3354" s="4">
        <v>0</v>
      </c>
      <c r="AH3354" s="4">
        <v>7</v>
      </c>
      <c r="AI3354" s="4">
        <v>54</v>
      </c>
      <c r="AJ3354" s="4">
        <v>2</v>
      </c>
      <c r="AK3354" s="4">
        <v>7</v>
      </c>
      <c r="AL3354" s="4">
        <v>6</v>
      </c>
      <c r="AM3354" s="4">
        <v>33</v>
      </c>
      <c r="AN3354" s="4">
        <v>0</v>
      </c>
      <c r="AO3354" s="4">
        <v>0</v>
      </c>
      <c r="AP3354" s="4">
        <v>2</v>
      </c>
      <c r="AQ3354" s="4">
        <v>6</v>
      </c>
      <c r="AR3354" s="3" t="s">
        <v>65</v>
      </c>
      <c r="AS3354" s="3" t="s">
        <v>65</v>
      </c>
      <c r="AT3354" s="3" t="s">
        <v>65</v>
      </c>
      <c r="AV3354" s="6" t="str">
        <f>HYPERLINK("http://mcgill.on.worldcat.org/oclc/757931361","Catalog Record")</f>
        <v>Catalog Record</v>
      </c>
      <c r="AW3354" s="6" t="str">
        <f>HYPERLINK("http://www.worldcat.org/oclc/757931361","WorldCat Record")</f>
        <v>WorldCat Record</v>
      </c>
      <c r="AX3354" s="3" t="s">
        <v>33217</v>
      </c>
      <c r="AY3354" s="3" t="s">
        <v>33218</v>
      </c>
      <c r="AZ3354" s="3" t="s">
        <v>33219</v>
      </c>
      <c r="BA3354" s="3" t="s">
        <v>33219</v>
      </c>
      <c r="BB3354" s="3" t="s">
        <v>33220</v>
      </c>
      <c r="BC3354" s="3" t="s">
        <v>77</v>
      </c>
      <c r="BD3354" s="3" t="s">
        <v>78</v>
      </c>
      <c r="BE3354" s="3" t="s">
        <v>33221</v>
      </c>
      <c r="BF3354" s="3" t="s">
        <v>33220</v>
      </c>
      <c r="BG3354" s="3" t="s">
        <v>33222</v>
      </c>
    </row>
    <row r="3355" spans="1:59" ht="87" x14ac:dyDescent="0.35">
      <c r="A3355" s="2" t="s">
        <v>59</v>
      </c>
      <c r="B3355" s="2" t="s">
        <v>60</v>
      </c>
      <c r="C3355" s="2" t="s">
        <v>33223</v>
      </c>
      <c r="D3355" s="2" t="s">
        <v>33224</v>
      </c>
      <c r="E3355" s="2" t="s">
        <v>33225</v>
      </c>
      <c r="G3355" s="3" t="s">
        <v>65</v>
      </c>
      <c r="I3355" s="3" t="s">
        <v>65</v>
      </c>
      <c r="J3355" s="3" t="s">
        <v>209</v>
      </c>
      <c r="K3355" s="3" t="s">
        <v>66</v>
      </c>
      <c r="L3355" s="2" t="s">
        <v>33139</v>
      </c>
      <c r="M3355" s="2" t="s">
        <v>33226</v>
      </c>
      <c r="N3355" s="3" t="s">
        <v>139</v>
      </c>
      <c r="P3355" s="3" t="s">
        <v>69</v>
      </c>
      <c r="R3355" s="3" t="s">
        <v>71</v>
      </c>
      <c r="S3355" s="4">
        <v>1</v>
      </c>
      <c r="T3355" s="4">
        <v>1</v>
      </c>
      <c r="U3355" s="5" t="s">
        <v>33227</v>
      </c>
      <c r="V3355" s="5" t="s">
        <v>33227</v>
      </c>
      <c r="W3355" s="5" t="s">
        <v>72</v>
      </c>
      <c r="X3355" s="5" t="s">
        <v>72</v>
      </c>
      <c r="Y3355" s="4">
        <v>525</v>
      </c>
      <c r="Z3355" s="4">
        <v>10</v>
      </c>
      <c r="AA3355" s="4">
        <v>40</v>
      </c>
      <c r="AB3355" s="4">
        <v>1</v>
      </c>
      <c r="AC3355" s="4">
        <v>6</v>
      </c>
      <c r="AD3355" s="4">
        <v>52</v>
      </c>
      <c r="AE3355" s="4">
        <v>57</v>
      </c>
      <c r="AF3355" s="4">
        <v>0</v>
      </c>
      <c r="AG3355" s="4">
        <v>0</v>
      </c>
      <c r="AH3355" s="4">
        <v>51</v>
      </c>
      <c r="AI3355" s="4">
        <v>54</v>
      </c>
      <c r="AJ3355" s="4">
        <v>5</v>
      </c>
      <c r="AK3355" s="4">
        <v>7</v>
      </c>
      <c r="AL3355" s="4">
        <v>30</v>
      </c>
      <c r="AM3355" s="4">
        <v>33</v>
      </c>
      <c r="AN3355" s="4">
        <v>0</v>
      </c>
      <c r="AO3355" s="4">
        <v>0</v>
      </c>
      <c r="AP3355" s="4">
        <v>5</v>
      </c>
      <c r="AQ3355" s="4">
        <v>6</v>
      </c>
      <c r="AR3355" s="3" t="s">
        <v>65</v>
      </c>
      <c r="AS3355" s="3" t="s">
        <v>65</v>
      </c>
      <c r="AT3355" s="3" t="s">
        <v>65</v>
      </c>
      <c r="AV3355" s="6" t="str">
        <f>HYPERLINK("http://mcgill.on.worldcat.org/oclc/741538973","Catalog Record")</f>
        <v>Catalog Record</v>
      </c>
      <c r="AW3355" s="6" t="str">
        <f>HYPERLINK("http://www.worldcat.org/oclc/741538973","WorldCat Record")</f>
        <v>WorldCat Record</v>
      </c>
      <c r="AX3355" s="3" t="s">
        <v>33217</v>
      </c>
      <c r="AY3355" s="3" t="s">
        <v>33228</v>
      </c>
      <c r="AZ3355" s="3" t="s">
        <v>33229</v>
      </c>
      <c r="BA3355" s="3" t="s">
        <v>33229</v>
      </c>
      <c r="BB3355" s="3" t="s">
        <v>33230</v>
      </c>
      <c r="BC3355" s="3" t="s">
        <v>77</v>
      </c>
      <c r="BD3355" s="3" t="s">
        <v>78</v>
      </c>
      <c r="BE3355" s="3" t="s">
        <v>33231</v>
      </c>
      <c r="BF3355" s="3" t="s">
        <v>33230</v>
      </c>
      <c r="BG3355" s="3" t="s">
        <v>33232</v>
      </c>
    </row>
    <row r="3356" spans="1:59" ht="72.5" x14ac:dyDescent="0.35">
      <c r="A3356" s="2" t="s">
        <v>59</v>
      </c>
      <c r="B3356" s="2" t="s">
        <v>60</v>
      </c>
      <c r="C3356" s="2" t="s">
        <v>33233</v>
      </c>
      <c r="D3356" s="2" t="s">
        <v>33234</v>
      </c>
      <c r="E3356" s="2" t="s">
        <v>33235</v>
      </c>
      <c r="G3356" s="3" t="s">
        <v>65</v>
      </c>
      <c r="I3356" s="3" t="s">
        <v>65</v>
      </c>
      <c r="J3356" s="3" t="s">
        <v>65</v>
      </c>
      <c r="K3356" s="3" t="s">
        <v>66</v>
      </c>
      <c r="L3356" s="2" t="s">
        <v>33139</v>
      </c>
      <c r="M3356" s="2" t="s">
        <v>23650</v>
      </c>
      <c r="N3356" s="3" t="s">
        <v>364</v>
      </c>
      <c r="P3356" s="3" t="s">
        <v>140</v>
      </c>
      <c r="Q3356" s="2" t="s">
        <v>33236</v>
      </c>
      <c r="R3356" s="3" t="s">
        <v>71</v>
      </c>
      <c r="S3356" s="4">
        <v>24</v>
      </c>
      <c r="T3356" s="4">
        <v>24</v>
      </c>
      <c r="U3356" s="5" t="s">
        <v>23306</v>
      </c>
      <c r="V3356" s="5" t="s">
        <v>23306</v>
      </c>
      <c r="W3356" s="5" t="s">
        <v>72</v>
      </c>
      <c r="X3356" s="5" t="s">
        <v>72</v>
      </c>
      <c r="Y3356" s="4">
        <v>47</v>
      </c>
      <c r="Z3356" s="4">
        <v>3</v>
      </c>
      <c r="AA3356" s="4">
        <v>28</v>
      </c>
      <c r="AB3356" s="4">
        <v>2</v>
      </c>
      <c r="AC3356" s="4">
        <v>6</v>
      </c>
      <c r="AD3356" s="4">
        <v>22</v>
      </c>
      <c r="AE3356" s="4">
        <v>65</v>
      </c>
      <c r="AF3356" s="4">
        <v>0</v>
      </c>
      <c r="AG3356" s="4">
        <v>3</v>
      </c>
      <c r="AH3356" s="4">
        <v>21</v>
      </c>
      <c r="AI3356" s="4">
        <v>56</v>
      </c>
      <c r="AJ3356" s="4">
        <v>1</v>
      </c>
      <c r="AK3356" s="4">
        <v>15</v>
      </c>
      <c r="AL3356" s="4">
        <v>17</v>
      </c>
      <c r="AM3356" s="4">
        <v>38</v>
      </c>
      <c r="AN3356" s="4">
        <v>0</v>
      </c>
      <c r="AO3356" s="4">
        <v>0</v>
      </c>
      <c r="AP3356" s="4">
        <v>1</v>
      </c>
      <c r="AQ3356" s="4">
        <v>15</v>
      </c>
      <c r="AR3356" s="3" t="s">
        <v>65</v>
      </c>
      <c r="AS3356" s="3" t="s">
        <v>65</v>
      </c>
      <c r="AT3356" s="3" t="s">
        <v>209</v>
      </c>
      <c r="AU3356" s="6" t="str">
        <f>HYPERLINK("http://catalog.hathitrust.org/Record/004182408","HathiTrust Record")</f>
        <v>HathiTrust Record</v>
      </c>
      <c r="AV3356" s="6" t="str">
        <f>HYPERLINK("http://mcgill.on.worldcat.org/oclc/47295002","Catalog Record")</f>
        <v>Catalog Record</v>
      </c>
      <c r="AW3356" s="6" t="str">
        <f>HYPERLINK("http://www.worldcat.org/oclc/47295002","WorldCat Record")</f>
        <v>WorldCat Record</v>
      </c>
      <c r="AX3356" s="3" t="s">
        <v>33237</v>
      </c>
      <c r="AY3356" s="3" t="s">
        <v>33238</v>
      </c>
      <c r="AZ3356" s="3" t="s">
        <v>33239</v>
      </c>
      <c r="BA3356" s="3" t="s">
        <v>33239</v>
      </c>
      <c r="BB3356" s="3" t="s">
        <v>33240</v>
      </c>
      <c r="BC3356" s="3" t="s">
        <v>77</v>
      </c>
      <c r="BD3356" s="3" t="s">
        <v>78</v>
      </c>
      <c r="BE3356" s="3" t="s">
        <v>33241</v>
      </c>
      <c r="BF3356" s="3" t="s">
        <v>33240</v>
      </c>
      <c r="BG3356" s="3" t="s">
        <v>33242</v>
      </c>
    </row>
    <row r="3357" spans="1:59" ht="72.5" x14ac:dyDescent="0.35">
      <c r="A3357" s="2" t="s">
        <v>59</v>
      </c>
      <c r="B3357" s="2" t="s">
        <v>60</v>
      </c>
      <c r="C3357" s="2" t="s">
        <v>33243</v>
      </c>
      <c r="D3357" s="2" t="s">
        <v>33244</v>
      </c>
      <c r="E3357" s="2" t="s">
        <v>33245</v>
      </c>
      <c r="G3357" s="3" t="s">
        <v>65</v>
      </c>
      <c r="I3357" s="3" t="s">
        <v>65</v>
      </c>
      <c r="J3357" s="3" t="s">
        <v>65</v>
      </c>
      <c r="K3357" s="3" t="s">
        <v>66</v>
      </c>
      <c r="L3357" s="2" t="s">
        <v>33246</v>
      </c>
      <c r="M3357" s="2" t="s">
        <v>25491</v>
      </c>
      <c r="N3357" s="3" t="s">
        <v>139</v>
      </c>
      <c r="P3357" s="3" t="s">
        <v>140</v>
      </c>
      <c r="Q3357" s="2" t="s">
        <v>33247</v>
      </c>
      <c r="R3357" s="3" t="s">
        <v>71</v>
      </c>
      <c r="S3357" s="4">
        <v>4</v>
      </c>
      <c r="T3357" s="4">
        <v>4</v>
      </c>
      <c r="U3357" s="5" t="s">
        <v>18737</v>
      </c>
      <c r="V3357" s="5" t="s">
        <v>18737</v>
      </c>
      <c r="W3357" s="5" t="s">
        <v>72</v>
      </c>
      <c r="X3357" s="5" t="s">
        <v>72</v>
      </c>
      <c r="Y3357" s="4">
        <v>24</v>
      </c>
      <c r="Z3357" s="4">
        <v>2</v>
      </c>
      <c r="AA3357" s="4">
        <v>9</v>
      </c>
      <c r="AB3357" s="4">
        <v>1</v>
      </c>
      <c r="AC3357" s="4">
        <v>4</v>
      </c>
      <c r="AD3357" s="4">
        <v>2</v>
      </c>
      <c r="AE3357" s="4">
        <v>36</v>
      </c>
      <c r="AF3357" s="4">
        <v>0</v>
      </c>
      <c r="AG3357" s="4">
        <v>1</v>
      </c>
      <c r="AH3357" s="4">
        <v>2</v>
      </c>
      <c r="AI3357" s="4">
        <v>34</v>
      </c>
      <c r="AJ3357" s="4">
        <v>0</v>
      </c>
      <c r="AK3357" s="4">
        <v>3</v>
      </c>
      <c r="AL3357" s="4">
        <v>2</v>
      </c>
      <c r="AM3357" s="4">
        <v>26</v>
      </c>
      <c r="AN3357" s="4">
        <v>0</v>
      </c>
      <c r="AO3357" s="4">
        <v>0</v>
      </c>
      <c r="AP3357" s="4">
        <v>0</v>
      </c>
      <c r="AQ3357" s="4">
        <v>2</v>
      </c>
      <c r="AR3357" s="3" t="s">
        <v>65</v>
      </c>
      <c r="AS3357" s="3" t="s">
        <v>65</v>
      </c>
      <c r="AT3357" s="3" t="s">
        <v>65</v>
      </c>
      <c r="AV3357" s="6" t="str">
        <f>HYPERLINK("http://mcgill.on.worldcat.org/oclc/793062289","Catalog Record")</f>
        <v>Catalog Record</v>
      </c>
      <c r="AW3357" s="6" t="str">
        <f>HYPERLINK("http://www.worldcat.org/oclc/793062289","WorldCat Record")</f>
        <v>WorldCat Record</v>
      </c>
      <c r="AX3357" s="3" t="s">
        <v>33248</v>
      </c>
      <c r="AY3357" s="3" t="s">
        <v>33249</v>
      </c>
      <c r="AZ3357" s="3" t="s">
        <v>33250</v>
      </c>
      <c r="BA3357" s="3" t="s">
        <v>33250</v>
      </c>
      <c r="BB3357" s="3" t="s">
        <v>33251</v>
      </c>
      <c r="BC3357" s="3" t="s">
        <v>77</v>
      </c>
      <c r="BD3357" s="3" t="s">
        <v>78</v>
      </c>
      <c r="BE3357" s="3" t="s">
        <v>33252</v>
      </c>
      <c r="BF3357" s="3" t="s">
        <v>33251</v>
      </c>
      <c r="BG3357" s="3" t="s">
        <v>33253</v>
      </c>
    </row>
    <row r="3358" spans="1:59" ht="72.5" x14ac:dyDescent="0.35">
      <c r="A3358" s="2" t="s">
        <v>59</v>
      </c>
      <c r="B3358" s="2" t="s">
        <v>60</v>
      </c>
      <c r="C3358" s="2" t="s">
        <v>33254</v>
      </c>
      <c r="D3358" s="2" t="s">
        <v>33255</v>
      </c>
      <c r="E3358" s="2" t="s">
        <v>33256</v>
      </c>
      <c r="G3358" s="3" t="s">
        <v>65</v>
      </c>
      <c r="I3358" s="3" t="s">
        <v>65</v>
      </c>
      <c r="J3358" s="3" t="s">
        <v>65</v>
      </c>
      <c r="K3358" s="3" t="s">
        <v>66</v>
      </c>
      <c r="L3358" s="2" t="s">
        <v>33139</v>
      </c>
      <c r="M3358" s="2" t="s">
        <v>33257</v>
      </c>
      <c r="N3358" s="3" t="s">
        <v>1944</v>
      </c>
      <c r="O3358" s="2" t="s">
        <v>365</v>
      </c>
      <c r="P3358" s="3" t="s">
        <v>140</v>
      </c>
      <c r="Q3358" s="2" t="s">
        <v>33258</v>
      </c>
      <c r="R3358" s="3" t="s">
        <v>71</v>
      </c>
      <c r="S3358" s="4">
        <v>9</v>
      </c>
      <c r="T3358" s="4">
        <v>9</v>
      </c>
      <c r="U3358" s="5" t="s">
        <v>33259</v>
      </c>
      <c r="V3358" s="5" t="s">
        <v>33259</v>
      </c>
      <c r="W3358" s="5" t="s">
        <v>72</v>
      </c>
      <c r="X3358" s="5" t="s">
        <v>72</v>
      </c>
      <c r="Y3358" s="4">
        <v>83</v>
      </c>
      <c r="Z3358" s="4">
        <v>10</v>
      </c>
      <c r="AA3358" s="4">
        <v>14</v>
      </c>
      <c r="AB3358" s="4">
        <v>1</v>
      </c>
      <c r="AC3358" s="4">
        <v>3</v>
      </c>
      <c r="AD3358" s="4">
        <v>19</v>
      </c>
      <c r="AE3358" s="4">
        <v>40</v>
      </c>
      <c r="AF3358" s="4">
        <v>0</v>
      </c>
      <c r="AG3358" s="4">
        <v>1</v>
      </c>
      <c r="AH3358" s="4">
        <v>18</v>
      </c>
      <c r="AI3358" s="4">
        <v>37</v>
      </c>
      <c r="AJ3358" s="4">
        <v>4</v>
      </c>
      <c r="AK3358" s="4">
        <v>5</v>
      </c>
      <c r="AL3358" s="4">
        <v>12</v>
      </c>
      <c r="AM3358" s="4">
        <v>28</v>
      </c>
      <c r="AN3358" s="4">
        <v>0</v>
      </c>
      <c r="AO3358" s="4">
        <v>0</v>
      </c>
      <c r="AP3358" s="4">
        <v>4</v>
      </c>
      <c r="AQ3358" s="4">
        <v>4</v>
      </c>
      <c r="AR3358" s="3" t="s">
        <v>65</v>
      </c>
      <c r="AS3358" s="3" t="s">
        <v>65</v>
      </c>
      <c r="AT3358" s="3" t="s">
        <v>209</v>
      </c>
      <c r="AU3358" s="6" t="str">
        <f>HYPERLINK("http://catalog.hathitrust.org/Record/007583061","HathiTrust Record")</f>
        <v>HathiTrust Record</v>
      </c>
      <c r="AV3358" s="6" t="str">
        <f>HYPERLINK("http://mcgill.on.worldcat.org/oclc/47872737","Catalog Record")</f>
        <v>Catalog Record</v>
      </c>
      <c r="AW3358" s="6" t="str">
        <f>HYPERLINK("http://www.worldcat.org/oclc/47872737","WorldCat Record")</f>
        <v>WorldCat Record</v>
      </c>
      <c r="AX3358" s="3" t="s">
        <v>33260</v>
      </c>
      <c r="AY3358" s="3" t="s">
        <v>33261</v>
      </c>
      <c r="AZ3358" s="3" t="s">
        <v>33262</v>
      </c>
      <c r="BA3358" s="3" t="s">
        <v>33262</v>
      </c>
      <c r="BB3358" s="3" t="s">
        <v>33263</v>
      </c>
      <c r="BC3358" s="3" t="s">
        <v>77</v>
      </c>
      <c r="BD3358" s="3" t="s">
        <v>78</v>
      </c>
      <c r="BE3358" s="3" t="s">
        <v>33264</v>
      </c>
      <c r="BF3358" s="3" t="s">
        <v>33263</v>
      </c>
      <c r="BG3358" s="3" t="s">
        <v>33265</v>
      </c>
    </row>
    <row r="3359" spans="1:59" ht="130.5" x14ac:dyDescent="0.35">
      <c r="A3359" s="2" t="s">
        <v>59</v>
      </c>
      <c r="B3359" s="2" t="s">
        <v>33266</v>
      </c>
      <c r="C3359" s="2" t="s">
        <v>33267</v>
      </c>
      <c r="D3359" s="2" t="s">
        <v>33268</v>
      </c>
      <c r="E3359" s="2" t="s">
        <v>33269</v>
      </c>
      <c r="G3359" s="3" t="s">
        <v>65</v>
      </c>
      <c r="I3359" s="3" t="s">
        <v>209</v>
      </c>
      <c r="J3359" s="3" t="s">
        <v>209</v>
      </c>
      <c r="K3359" s="3" t="s">
        <v>66</v>
      </c>
      <c r="M3359" s="2" t="s">
        <v>33270</v>
      </c>
      <c r="N3359" s="3" t="s">
        <v>1944</v>
      </c>
      <c r="P3359" s="3" t="s">
        <v>69</v>
      </c>
      <c r="R3359" s="3" t="s">
        <v>71</v>
      </c>
      <c r="S3359" s="4">
        <v>0</v>
      </c>
      <c r="T3359" s="4">
        <v>116</v>
      </c>
      <c r="V3359" s="5" t="s">
        <v>33271</v>
      </c>
      <c r="W3359" s="5" t="s">
        <v>72</v>
      </c>
      <c r="X3359" s="5" t="s">
        <v>72</v>
      </c>
      <c r="Y3359" s="4">
        <v>95</v>
      </c>
      <c r="Z3359" s="4">
        <v>2</v>
      </c>
      <c r="AA3359" s="4">
        <v>7</v>
      </c>
      <c r="AB3359" s="4">
        <v>1</v>
      </c>
      <c r="AC3359" s="4">
        <v>3</v>
      </c>
      <c r="AD3359" s="4">
        <v>32</v>
      </c>
      <c r="AE3359" s="4">
        <v>38</v>
      </c>
      <c r="AF3359" s="4">
        <v>0</v>
      </c>
      <c r="AG3359" s="4">
        <v>2</v>
      </c>
      <c r="AH3359" s="4">
        <v>31</v>
      </c>
      <c r="AI3359" s="4">
        <v>36</v>
      </c>
      <c r="AJ3359" s="4">
        <v>1</v>
      </c>
      <c r="AK3359" s="4">
        <v>4</v>
      </c>
      <c r="AL3359" s="4">
        <v>20</v>
      </c>
      <c r="AM3359" s="4">
        <v>22</v>
      </c>
      <c r="AN3359" s="4">
        <v>0</v>
      </c>
      <c r="AO3359" s="4">
        <v>0</v>
      </c>
      <c r="AP3359" s="4">
        <v>1</v>
      </c>
      <c r="AQ3359" s="4">
        <v>4</v>
      </c>
      <c r="AR3359" s="3" t="s">
        <v>65</v>
      </c>
      <c r="AS3359" s="3" t="s">
        <v>65</v>
      </c>
      <c r="AT3359" s="3" t="s">
        <v>65</v>
      </c>
      <c r="AV3359" s="6" t="str">
        <f>HYPERLINK("http://mcgill.on.worldcat.org/oclc/45000889","Catalog Record")</f>
        <v>Catalog Record</v>
      </c>
      <c r="AW3359" s="6" t="str">
        <f>HYPERLINK("http://www.worldcat.org/oclc/45000889","WorldCat Record")</f>
        <v>WorldCat Record</v>
      </c>
      <c r="AX3359" s="3" t="s">
        <v>33272</v>
      </c>
      <c r="AY3359" s="3" t="s">
        <v>33273</v>
      </c>
      <c r="AZ3359" s="3" t="s">
        <v>33274</v>
      </c>
      <c r="BA3359" s="3" t="s">
        <v>33274</v>
      </c>
      <c r="BB3359" s="3" t="s">
        <v>33275</v>
      </c>
      <c r="BC3359" s="3" t="s">
        <v>8222</v>
      </c>
      <c r="BD3359" s="3" t="s">
        <v>78</v>
      </c>
      <c r="BF3359" s="3" t="s">
        <v>33275</v>
      </c>
      <c r="BG3359" s="3" t="s">
        <v>33276</v>
      </c>
    </row>
    <row r="3360" spans="1:59" ht="72.5" x14ac:dyDescent="0.35">
      <c r="A3360" s="2" t="s">
        <v>59</v>
      </c>
      <c r="B3360" s="2" t="s">
        <v>60</v>
      </c>
      <c r="C3360" s="2" t="s">
        <v>33277</v>
      </c>
      <c r="D3360" s="2" t="s">
        <v>33278</v>
      </c>
      <c r="E3360" s="2" t="s">
        <v>33279</v>
      </c>
      <c r="G3360" s="3" t="s">
        <v>65</v>
      </c>
      <c r="I3360" s="3" t="s">
        <v>65</v>
      </c>
      <c r="J3360" s="3" t="s">
        <v>65</v>
      </c>
      <c r="K3360" s="3" t="s">
        <v>66</v>
      </c>
      <c r="L3360" s="2" t="s">
        <v>33280</v>
      </c>
      <c r="M3360" s="2" t="s">
        <v>33281</v>
      </c>
      <c r="N3360" s="3" t="s">
        <v>214</v>
      </c>
      <c r="O3360" s="2" t="s">
        <v>33282</v>
      </c>
      <c r="P3360" s="3" t="s">
        <v>140</v>
      </c>
      <c r="R3360" s="3" t="s">
        <v>71</v>
      </c>
      <c r="S3360" s="4">
        <v>3</v>
      </c>
      <c r="T3360" s="4">
        <v>3</v>
      </c>
      <c r="U3360" s="5" t="s">
        <v>33259</v>
      </c>
      <c r="V3360" s="5" t="s">
        <v>33259</v>
      </c>
      <c r="W3360" s="5" t="s">
        <v>72</v>
      </c>
      <c r="X3360" s="5" t="s">
        <v>72</v>
      </c>
      <c r="Y3360" s="4">
        <v>63</v>
      </c>
      <c r="Z3360" s="4">
        <v>5</v>
      </c>
      <c r="AA3360" s="4">
        <v>7</v>
      </c>
      <c r="AB3360" s="4">
        <v>1</v>
      </c>
      <c r="AC3360" s="4">
        <v>1</v>
      </c>
      <c r="AD3360" s="4">
        <v>38</v>
      </c>
      <c r="AE3360" s="4">
        <v>49</v>
      </c>
      <c r="AF3360" s="4">
        <v>0</v>
      </c>
      <c r="AG3360" s="4">
        <v>0</v>
      </c>
      <c r="AH3360" s="4">
        <v>36</v>
      </c>
      <c r="AI3360" s="4">
        <v>46</v>
      </c>
      <c r="AJ3360" s="4">
        <v>3</v>
      </c>
      <c r="AK3360" s="4">
        <v>5</v>
      </c>
      <c r="AL3360" s="4">
        <v>26</v>
      </c>
      <c r="AM3360" s="4">
        <v>33</v>
      </c>
      <c r="AN3360" s="4">
        <v>5</v>
      </c>
      <c r="AO3360" s="4">
        <v>5</v>
      </c>
      <c r="AP3360" s="4">
        <v>3</v>
      </c>
      <c r="AQ3360" s="4">
        <v>5</v>
      </c>
      <c r="AR3360" s="3" t="s">
        <v>65</v>
      </c>
      <c r="AS3360" s="3" t="s">
        <v>65</v>
      </c>
      <c r="AT3360" s="3" t="s">
        <v>209</v>
      </c>
      <c r="AU3360" s="6" t="str">
        <f>HYPERLINK("http://catalog.hathitrust.org/Record/101901988","HathiTrust Record")</f>
        <v>HathiTrust Record</v>
      </c>
      <c r="AV3360" s="6" t="str">
        <f>HYPERLINK("http://mcgill.on.worldcat.org/oclc/10761190","Catalog Record")</f>
        <v>Catalog Record</v>
      </c>
      <c r="AW3360" s="6" t="str">
        <f>HYPERLINK("http://www.worldcat.org/oclc/10761190","WorldCat Record")</f>
        <v>WorldCat Record</v>
      </c>
      <c r="AX3360" s="3" t="s">
        <v>33283</v>
      </c>
      <c r="AY3360" s="3" t="s">
        <v>33284</v>
      </c>
      <c r="AZ3360" s="3" t="s">
        <v>33285</v>
      </c>
      <c r="BA3360" s="3" t="s">
        <v>33285</v>
      </c>
      <c r="BB3360" s="3" t="s">
        <v>33286</v>
      </c>
      <c r="BC3360" s="3" t="s">
        <v>77</v>
      </c>
      <c r="BD3360" s="3" t="s">
        <v>78</v>
      </c>
      <c r="BE3360" s="3" t="s">
        <v>33287</v>
      </c>
      <c r="BF3360" s="3" t="s">
        <v>33286</v>
      </c>
      <c r="BG3360" s="3" t="s">
        <v>33288</v>
      </c>
    </row>
    <row r="3361" spans="1:59" ht="72.5" x14ac:dyDescent="0.35">
      <c r="A3361" s="2" t="s">
        <v>59</v>
      </c>
      <c r="B3361" s="2" t="s">
        <v>60</v>
      </c>
      <c r="C3361" s="2" t="s">
        <v>33289</v>
      </c>
      <c r="D3361" s="2" t="s">
        <v>33290</v>
      </c>
      <c r="E3361" s="2" t="s">
        <v>33291</v>
      </c>
      <c r="G3361" s="3" t="s">
        <v>65</v>
      </c>
      <c r="I3361" s="3" t="s">
        <v>65</v>
      </c>
      <c r="J3361" s="3" t="s">
        <v>65</v>
      </c>
      <c r="K3361" s="3" t="s">
        <v>66</v>
      </c>
      <c r="L3361" s="2" t="s">
        <v>33280</v>
      </c>
      <c r="M3361" s="2" t="s">
        <v>5746</v>
      </c>
      <c r="N3361" s="3" t="s">
        <v>139</v>
      </c>
      <c r="O3361" s="2" t="s">
        <v>235</v>
      </c>
      <c r="P3361" s="3" t="s">
        <v>140</v>
      </c>
      <c r="Q3361" s="2" t="s">
        <v>33292</v>
      </c>
      <c r="R3361" s="3" t="s">
        <v>71</v>
      </c>
      <c r="S3361" s="4">
        <v>0</v>
      </c>
      <c r="T3361" s="4">
        <v>0</v>
      </c>
      <c r="W3361" s="5" t="s">
        <v>72</v>
      </c>
      <c r="X3361" s="5" t="s">
        <v>72</v>
      </c>
      <c r="Y3361" s="4">
        <v>33</v>
      </c>
      <c r="Z3361" s="4">
        <v>3</v>
      </c>
      <c r="AA3361" s="4">
        <v>3</v>
      </c>
      <c r="AB3361" s="4">
        <v>1</v>
      </c>
      <c r="AC3361" s="4">
        <v>1</v>
      </c>
      <c r="AD3361" s="4">
        <v>23</v>
      </c>
      <c r="AE3361" s="4">
        <v>23</v>
      </c>
      <c r="AF3361" s="4">
        <v>0</v>
      </c>
      <c r="AG3361" s="4">
        <v>0</v>
      </c>
      <c r="AH3361" s="4">
        <v>22</v>
      </c>
      <c r="AI3361" s="4">
        <v>22</v>
      </c>
      <c r="AJ3361" s="4">
        <v>1</v>
      </c>
      <c r="AK3361" s="4">
        <v>1</v>
      </c>
      <c r="AL3361" s="4">
        <v>18</v>
      </c>
      <c r="AM3361" s="4">
        <v>18</v>
      </c>
      <c r="AN3361" s="4">
        <v>0</v>
      </c>
      <c r="AO3361" s="4">
        <v>0</v>
      </c>
      <c r="AP3361" s="4">
        <v>1</v>
      </c>
      <c r="AQ3361" s="4">
        <v>1</v>
      </c>
      <c r="AR3361" s="3" t="s">
        <v>65</v>
      </c>
      <c r="AS3361" s="3" t="s">
        <v>65</v>
      </c>
      <c r="AT3361" s="3" t="s">
        <v>65</v>
      </c>
      <c r="AV3361" s="6" t="str">
        <f>HYPERLINK("http://mcgill.on.worldcat.org/oclc/812249972","Catalog Record")</f>
        <v>Catalog Record</v>
      </c>
      <c r="AW3361" s="6" t="str">
        <f>HYPERLINK("http://www.worldcat.org/oclc/812249972","WorldCat Record")</f>
        <v>WorldCat Record</v>
      </c>
      <c r="AX3361" s="3" t="s">
        <v>33293</v>
      </c>
      <c r="AY3361" s="3" t="s">
        <v>33294</v>
      </c>
      <c r="AZ3361" s="3" t="s">
        <v>33295</v>
      </c>
      <c r="BA3361" s="3" t="s">
        <v>33295</v>
      </c>
      <c r="BB3361" s="3" t="s">
        <v>33296</v>
      </c>
      <c r="BC3361" s="3" t="s">
        <v>77</v>
      </c>
      <c r="BD3361" s="3" t="s">
        <v>78</v>
      </c>
      <c r="BE3361" s="3" t="s">
        <v>33297</v>
      </c>
      <c r="BF3361" s="3" t="s">
        <v>33296</v>
      </c>
      <c r="BG3361" s="3" t="s">
        <v>33298</v>
      </c>
    </row>
    <row r="3362" spans="1:59" ht="58" x14ac:dyDescent="0.35">
      <c r="A3362" s="2" t="s">
        <v>59</v>
      </c>
      <c r="B3362" s="2" t="s">
        <v>60</v>
      </c>
      <c r="C3362" s="2" t="s">
        <v>33299</v>
      </c>
      <c r="D3362" s="2" t="s">
        <v>33300</v>
      </c>
      <c r="E3362" s="2" t="s">
        <v>33301</v>
      </c>
      <c r="F3362" s="3" t="s">
        <v>258</v>
      </c>
      <c r="G3362" s="3" t="s">
        <v>209</v>
      </c>
      <c r="I3362" s="3" t="s">
        <v>65</v>
      </c>
      <c r="J3362" s="3" t="s">
        <v>65</v>
      </c>
      <c r="K3362" s="3" t="s">
        <v>66</v>
      </c>
      <c r="L3362" s="2" t="s">
        <v>33302</v>
      </c>
      <c r="M3362" s="2" t="s">
        <v>33303</v>
      </c>
      <c r="N3362" s="3" t="s">
        <v>1122</v>
      </c>
      <c r="O3362" s="2" t="s">
        <v>365</v>
      </c>
      <c r="P3362" s="3" t="s">
        <v>140</v>
      </c>
      <c r="Q3362" s="2" t="s">
        <v>6617</v>
      </c>
      <c r="R3362" s="3" t="s">
        <v>71</v>
      </c>
      <c r="S3362" s="4">
        <v>0</v>
      </c>
      <c r="T3362" s="4">
        <v>7</v>
      </c>
      <c r="V3362" s="5" t="s">
        <v>4310</v>
      </c>
      <c r="W3362" s="5" t="s">
        <v>72</v>
      </c>
      <c r="X3362" s="5" t="s">
        <v>72</v>
      </c>
      <c r="Y3362" s="4">
        <v>62</v>
      </c>
      <c r="Z3362" s="4">
        <v>6</v>
      </c>
      <c r="AA3362" s="4">
        <v>6</v>
      </c>
      <c r="AB3362" s="4">
        <v>1</v>
      </c>
      <c r="AC3362" s="4">
        <v>1</v>
      </c>
      <c r="AD3362" s="4">
        <v>45</v>
      </c>
      <c r="AE3362" s="4">
        <v>46</v>
      </c>
      <c r="AF3362" s="4">
        <v>0</v>
      </c>
      <c r="AG3362" s="4">
        <v>0</v>
      </c>
      <c r="AH3362" s="4">
        <v>44</v>
      </c>
      <c r="AI3362" s="4">
        <v>45</v>
      </c>
      <c r="AJ3362" s="4">
        <v>4</v>
      </c>
      <c r="AK3362" s="4">
        <v>4</v>
      </c>
      <c r="AL3362" s="4">
        <v>32</v>
      </c>
      <c r="AM3362" s="4">
        <v>33</v>
      </c>
      <c r="AN3362" s="4">
        <v>0</v>
      </c>
      <c r="AO3362" s="4">
        <v>0</v>
      </c>
      <c r="AP3362" s="4">
        <v>4</v>
      </c>
      <c r="AQ3362" s="4">
        <v>4</v>
      </c>
      <c r="AR3362" s="3" t="s">
        <v>65</v>
      </c>
      <c r="AS3362" s="3" t="s">
        <v>65</v>
      </c>
      <c r="AT3362" s="3" t="s">
        <v>65</v>
      </c>
      <c r="AV3362" s="6" t="str">
        <f>HYPERLINK("http://mcgill.on.worldcat.org/oclc/468976351","Catalog Record")</f>
        <v>Catalog Record</v>
      </c>
      <c r="AW3362" s="6" t="str">
        <f>HYPERLINK("http://www.worldcat.org/oclc/468976351","WorldCat Record")</f>
        <v>WorldCat Record</v>
      </c>
      <c r="AX3362" s="3" t="s">
        <v>33304</v>
      </c>
      <c r="AY3362" s="3" t="s">
        <v>33305</v>
      </c>
      <c r="AZ3362" s="3" t="s">
        <v>33306</v>
      </c>
      <c r="BA3362" s="3" t="s">
        <v>33306</v>
      </c>
      <c r="BB3362" s="3" t="s">
        <v>33307</v>
      </c>
      <c r="BC3362" s="3" t="s">
        <v>77</v>
      </c>
      <c r="BD3362" s="3" t="s">
        <v>78</v>
      </c>
      <c r="BE3362" s="3" t="s">
        <v>33308</v>
      </c>
      <c r="BF3362" s="3" t="s">
        <v>33307</v>
      </c>
      <c r="BG3362" s="3" t="s">
        <v>33309</v>
      </c>
    </row>
    <row r="3363" spans="1:59" ht="58" x14ac:dyDescent="0.35">
      <c r="A3363" s="2" t="s">
        <v>59</v>
      </c>
      <c r="B3363" s="2" t="s">
        <v>60</v>
      </c>
      <c r="C3363" s="2" t="s">
        <v>33299</v>
      </c>
      <c r="D3363" s="2" t="s">
        <v>33300</v>
      </c>
      <c r="E3363" s="2" t="s">
        <v>33301</v>
      </c>
      <c r="F3363" s="3" t="s">
        <v>245</v>
      </c>
      <c r="G3363" s="3" t="s">
        <v>209</v>
      </c>
      <c r="I3363" s="3" t="s">
        <v>65</v>
      </c>
      <c r="J3363" s="3" t="s">
        <v>65</v>
      </c>
      <c r="K3363" s="3" t="s">
        <v>66</v>
      </c>
      <c r="L3363" s="2" t="s">
        <v>33302</v>
      </c>
      <c r="M3363" s="2" t="s">
        <v>33303</v>
      </c>
      <c r="N3363" s="3" t="s">
        <v>1122</v>
      </c>
      <c r="O3363" s="2" t="s">
        <v>365</v>
      </c>
      <c r="P3363" s="3" t="s">
        <v>140</v>
      </c>
      <c r="Q3363" s="2" t="s">
        <v>6617</v>
      </c>
      <c r="R3363" s="3" t="s">
        <v>71</v>
      </c>
      <c r="S3363" s="4">
        <v>7</v>
      </c>
      <c r="T3363" s="4">
        <v>7</v>
      </c>
      <c r="U3363" s="5" t="s">
        <v>4310</v>
      </c>
      <c r="V3363" s="5" t="s">
        <v>4310</v>
      </c>
      <c r="W3363" s="5" t="s">
        <v>72</v>
      </c>
      <c r="X3363" s="5" t="s">
        <v>72</v>
      </c>
      <c r="Y3363" s="4">
        <v>62</v>
      </c>
      <c r="Z3363" s="4">
        <v>6</v>
      </c>
      <c r="AA3363" s="4">
        <v>6</v>
      </c>
      <c r="AB3363" s="4">
        <v>1</v>
      </c>
      <c r="AC3363" s="4">
        <v>1</v>
      </c>
      <c r="AD3363" s="4">
        <v>45</v>
      </c>
      <c r="AE3363" s="4">
        <v>46</v>
      </c>
      <c r="AF3363" s="4">
        <v>0</v>
      </c>
      <c r="AG3363" s="4">
        <v>0</v>
      </c>
      <c r="AH3363" s="4">
        <v>44</v>
      </c>
      <c r="AI3363" s="4">
        <v>45</v>
      </c>
      <c r="AJ3363" s="4">
        <v>4</v>
      </c>
      <c r="AK3363" s="4">
        <v>4</v>
      </c>
      <c r="AL3363" s="4">
        <v>32</v>
      </c>
      <c r="AM3363" s="4">
        <v>33</v>
      </c>
      <c r="AN3363" s="4">
        <v>0</v>
      </c>
      <c r="AO3363" s="4">
        <v>0</v>
      </c>
      <c r="AP3363" s="4">
        <v>4</v>
      </c>
      <c r="AQ3363" s="4">
        <v>4</v>
      </c>
      <c r="AR3363" s="3" t="s">
        <v>65</v>
      </c>
      <c r="AS3363" s="3" t="s">
        <v>65</v>
      </c>
      <c r="AT3363" s="3" t="s">
        <v>65</v>
      </c>
      <c r="AV3363" s="6" t="str">
        <f>HYPERLINK("http://mcgill.on.worldcat.org/oclc/468976351","Catalog Record")</f>
        <v>Catalog Record</v>
      </c>
      <c r="AW3363" s="6" t="str">
        <f>HYPERLINK("http://www.worldcat.org/oclc/468976351","WorldCat Record")</f>
        <v>WorldCat Record</v>
      </c>
      <c r="AX3363" s="3" t="s">
        <v>33304</v>
      </c>
      <c r="AY3363" s="3" t="s">
        <v>33305</v>
      </c>
      <c r="AZ3363" s="3" t="s">
        <v>33306</v>
      </c>
      <c r="BA3363" s="3" t="s">
        <v>33306</v>
      </c>
      <c r="BB3363" s="3" t="s">
        <v>33310</v>
      </c>
      <c r="BC3363" s="3" t="s">
        <v>77</v>
      </c>
      <c r="BD3363" s="3" t="s">
        <v>78</v>
      </c>
      <c r="BE3363" s="3" t="s">
        <v>33308</v>
      </c>
      <c r="BF3363" s="3" t="s">
        <v>33310</v>
      </c>
      <c r="BG3363" s="3" t="s">
        <v>33311</v>
      </c>
    </row>
    <row r="3364" spans="1:59" ht="58" x14ac:dyDescent="0.35">
      <c r="A3364" s="2" t="s">
        <v>59</v>
      </c>
      <c r="B3364" s="2" t="s">
        <v>60</v>
      </c>
      <c r="C3364" s="2" t="s">
        <v>33312</v>
      </c>
      <c r="D3364" s="2" t="s">
        <v>33313</v>
      </c>
      <c r="E3364" s="2" t="s">
        <v>33314</v>
      </c>
      <c r="G3364" s="3" t="s">
        <v>65</v>
      </c>
      <c r="I3364" s="3" t="s">
        <v>65</v>
      </c>
      <c r="J3364" s="3" t="s">
        <v>65</v>
      </c>
      <c r="K3364" s="3" t="s">
        <v>66</v>
      </c>
      <c r="M3364" s="2" t="s">
        <v>33315</v>
      </c>
      <c r="N3364" s="3" t="s">
        <v>3385</v>
      </c>
      <c r="P3364" s="3" t="s">
        <v>140</v>
      </c>
      <c r="Q3364" s="2" t="s">
        <v>33316</v>
      </c>
      <c r="R3364" s="3" t="s">
        <v>71</v>
      </c>
      <c r="S3364" s="4">
        <v>1</v>
      </c>
      <c r="T3364" s="4">
        <v>1</v>
      </c>
      <c r="U3364" s="5" t="s">
        <v>27245</v>
      </c>
      <c r="V3364" s="5" t="s">
        <v>27245</v>
      </c>
      <c r="W3364" s="5" t="s">
        <v>72</v>
      </c>
      <c r="X3364" s="5" t="s">
        <v>72</v>
      </c>
      <c r="Y3364" s="4">
        <v>38</v>
      </c>
      <c r="Z3364" s="4">
        <v>4</v>
      </c>
      <c r="AA3364" s="4">
        <v>4</v>
      </c>
      <c r="AB3364" s="4">
        <v>1</v>
      </c>
      <c r="AC3364" s="4">
        <v>1</v>
      </c>
      <c r="AD3364" s="4">
        <v>27</v>
      </c>
      <c r="AE3364" s="4">
        <v>27</v>
      </c>
      <c r="AF3364" s="4">
        <v>0</v>
      </c>
      <c r="AG3364" s="4">
        <v>0</v>
      </c>
      <c r="AH3364" s="4">
        <v>26</v>
      </c>
      <c r="AI3364" s="4">
        <v>26</v>
      </c>
      <c r="AJ3364" s="4">
        <v>2</v>
      </c>
      <c r="AK3364" s="4">
        <v>2</v>
      </c>
      <c r="AL3364" s="4">
        <v>21</v>
      </c>
      <c r="AM3364" s="4">
        <v>21</v>
      </c>
      <c r="AN3364" s="4">
        <v>0</v>
      </c>
      <c r="AO3364" s="4">
        <v>0</v>
      </c>
      <c r="AP3364" s="4">
        <v>2</v>
      </c>
      <c r="AQ3364" s="4">
        <v>2</v>
      </c>
      <c r="AR3364" s="3" t="s">
        <v>65</v>
      </c>
      <c r="AS3364" s="3" t="s">
        <v>65</v>
      </c>
      <c r="AT3364" s="3" t="s">
        <v>209</v>
      </c>
      <c r="AU3364" s="6" t="str">
        <f>HYPERLINK("http://catalog.hathitrust.org/Record/004076451","HathiTrust Record")</f>
        <v>HathiTrust Record</v>
      </c>
      <c r="AV3364" s="6" t="str">
        <f>HYPERLINK("http://mcgill.on.worldcat.org/oclc/42832327","Catalog Record")</f>
        <v>Catalog Record</v>
      </c>
      <c r="AW3364" s="6" t="str">
        <f>HYPERLINK("http://www.worldcat.org/oclc/42832327","WorldCat Record")</f>
        <v>WorldCat Record</v>
      </c>
      <c r="AX3364" s="3" t="s">
        <v>33317</v>
      </c>
      <c r="AY3364" s="3" t="s">
        <v>33318</v>
      </c>
      <c r="AZ3364" s="3" t="s">
        <v>33319</v>
      </c>
      <c r="BA3364" s="3" t="s">
        <v>33319</v>
      </c>
      <c r="BB3364" s="3" t="s">
        <v>33320</v>
      </c>
      <c r="BC3364" s="3" t="s">
        <v>77</v>
      </c>
      <c r="BD3364" s="3" t="s">
        <v>78</v>
      </c>
      <c r="BE3364" s="3" t="s">
        <v>33321</v>
      </c>
      <c r="BF3364" s="3" t="s">
        <v>33320</v>
      </c>
      <c r="BG3364" s="3" t="s">
        <v>33322</v>
      </c>
    </row>
    <row r="3365" spans="1:59" ht="58" x14ac:dyDescent="0.35">
      <c r="A3365" s="2" t="s">
        <v>59</v>
      </c>
      <c r="B3365" s="2" t="s">
        <v>60</v>
      </c>
      <c r="C3365" s="2" t="s">
        <v>33323</v>
      </c>
      <c r="D3365" s="2" t="s">
        <v>33324</v>
      </c>
      <c r="E3365" s="2" t="s">
        <v>33325</v>
      </c>
      <c r="G3365" s="3" t="s">
        <v>65</v>
      </c>
      <c r="I3365" s="3" t="s">
        <v>65</v>
      </c>
      <c r="J3365" s="3" t="s">
        <v>65</v>
      </c>
      <c r="K3365" s="3" t="s">
        <v>66</v>
      </c>
      <c r="L3365" s="2" t="s">
        <v>33302</v>
      </c>
      <c r="M3365" s="2" t="s">
        <v>33326</v>
      </c>
      <c r="N3365" s="3" t="s">
        <v>139</v>
      </c>
      <c r="P3365" s="3" t="s">
        <v>140</v>
      </c>
      <c r="Q3365" s="2" t="s">
        <v>33327</v>
      </c>
      <c r="R3365" s="3" t="s">
        <v>71</v>
      </c>
      <c r="S3365" s="4">
        <v>1</v>
      </c>
      <c r="T3365" s="4">
        <v>1</v>
      </c>
      <c r="U3365" s="5" t="s">
        <v>33328</v>
      </c>
      <c r="V3365" s="5" t="s">
        <v>33328</v>
      </c>
      <c r="W3365" s="5" t="s">
        <v>72</v>
      </c>
      <c r="X3365" s="5" t="s">
        <v>72</v>
      </c>
      <c r="Y3365" s="4">
        <v>41</v>
      </c>
      <c r="Z3365" s="4">
        <v>4</v>
      </c>
      <c r="AA3365" s="4">
        <v>4</v>
      </c>
      <c r="AB3365" s="4">
        <v>1</v>
      </c>
      <c r="AC3365" s="4">
        <v>1</v>
      </c>
      <c r="AD3365" s="4">
        <v>30</v>
      </c>
      <c r="AE3365" s="4">
        <v>30</v>
      </c>
      <c r="AF3365" s="4">
        <v>0</v>
      </c>
      <c r="AG3365" s="4">
        <v>0</v>
      </c>
      <c r="AH3365" s="4">
        <v>29</v>
      </c>
      <c r="AI3365" s="4">
        <v>29</v>
      </c>
      <c r="AJ3365" s="4">
        <v>2</v>
      </c>
      <c r="AK3365" s="4">
        <v>2</v>
      </c>
      <c r="AL3365" s="4">
        <v>23</v>
      </c>
      <c r="AM3365" s="4">
        <v>23</v>
      </c>
      <c r="AN3365" s="4">
        <v>0</v>
      </c>
      <c r="AO3365" s="4">
        <v>0</v>
      </c>
      <c r="AP3365" s="4">
        <v>2</v>
      </c>
      <c r="AQ3365" s="4">
        <v>2</v>
      </c>
      <c r="AR3365" s="3" t="s">
        <v>65</v>
      </c>
      <c r="AS3365" s="3" t="s">
        <v>65</v>
      </c>
      <c r="AT3365" s="3" t="s">
        <v>65</v>
      </c>
      <c r="AV3365" s="6" t="str">
        <f>HYPERLINK("http://mcgill.on.worldcat.org/oclc/794362143","Catalog Record")</f>
        <v>Catalog Record</v>
      </c>
      <c r="AW3365" s="6" t="str">
        <f>HYPERLINK("http://www.worldcat.org/oclc/794362143","WorldCat Record")</f>
        <v>WorldCat Record</v>
      </c>
      <c r="AX3365" s="3" t="s">
        <v>33329</v>
      </c>
      <c r="AY3365" s="3" t="s">
        <v>33330</v>
      </c>
      <c r="AZ3365" s="3" t="s">
        <v>33331</v>
      </c>
      <c r="BA3365" s="3" t="s">
        <v>33331</v>
      </c>
      <c r="BB3365" s="3" t="s">
        <v>33332</v>
      </c>
      <c r="BC3365" s="3" t="s">
        <v>77</v>
      </c>
      <c r="BD3365" s="3" t="s">
        <v>78</v>
      </c>
      <c r="BE3365" s="3" t="s">
        <v>33333</v>
      </c>
      <c r="BF3365" s="3" t="s">
        <v>33332</v>
      </c>
      <c r="BG3365" s="3" t="s">
        <v>33334</v>
      </c>
    </row>
    <row r="3366" spans="1:59" ht="58" x14ac:dyDescent="0.35">
      <c r="A3366" s="2" t="s">
        <v>59</v>
      </c>
      <c r="B3366" s="2" t="s">
        <v>60</v>
      </c>
      <c r="C3366" s="2" t="s">
        <v>33335</v>
      </c>
      <c r="D3366" s="2" t="s">
        <v>33336</v>
      </c>
      <c r="E3366" s="2" t="s">
        <v>33337</v>
      </c>
      <c r="G3366" s="3" t="s">
        <v>65</v>
      </c>
      <c r="I3366" s="3" t="s">
        <v>65</v>
      </c>
      <c r="J3366" s="3" t="s">
        <v>65</v>
      </c>
      <c r="K3366" s="3" t="s">
        <v>66</v>
      </c>
      <c r="L3366" s="2" t="s">
        <v>33302</v>
      </c>
      <c r="M3366" s="2" t="s">
        <v>33338</v>
      </c>
      <c r="N3366" s="3" t="s">
        <v>479</v>
      </c>
      <c r="O3366" s="2" t="s">
        <v>3829</v>
      </c>
      <c r="P3366" s="3" t="s">
        <v>140</v>
      </c>
      <c r="Q3366" s="2" t="s">
        <v>33339</v>
      </c>
      <c r="R3366" s="3" t="s">
        <v>71</v>
      </c>
      <c r="S3366" s="4">
        <v>1</v>
      </c>
      <c r="T3366" s="4">
        <v>1</v>
      </c>
      <c r="U3366" s="5" t="s">
        <v>33328</v>
      </c>
      <c r="V3366" s="5" t="s">
        <v>33328</v>
      </c>
      <c r="W3366" s="5" t="s">
        <v>72</v>
      </c>
      <c r="X3366" s="5" t="s">
        <v>72</v>
      </c>
      <c r="Y3366" s="4">
        <v>55</v>
      </c>
      <c r="Z3366" s="4">
        <v>8</v>
      </c>
      <c r="AA3366" s="4">
        <v>9</v>
      </c>
      <c r="AB3366" s="4">
        <v>2</v>
      </c>
      <c r="AC3366" s="4">
        <v>3</v>
      </c>
      <c r="AD3366" s="4">
        <v>40</v>
      </c>
      <c r="AE3366" s="4">
        <v>40</v>
      </c>
      <c r="AF3366" s="4">
        <v>0</v>
      </c>
      <c r="AG3366" s="4">
        <v>0</v>
      </c>
      <c r="AH3366" s="4">
        <v>38</v>
      </c>
      <c r="AI3366" s="4">
        <v>38</v>
      </c>
      <c r="AJ3366" s="4">
        <v>4</v>
      </c>
      <c r="AK3366" s="4">
        <v>4</v>
      </c>
      <c r="AL3366" s="4">
        <v>27</v>
      </c>
      <c r="AM3366" s="4">
        <v>27</v>
      </c>
      <c r="AN3366" s="4">
        <v>0</v>
      </c>
      <c r="AO3366" s="4">
        <v>0</v>
      </c>
      <c r="AP3366" s="4">
        <v>5</v>
      </c>
      <c r="AQ3366" s="4">
        <v>5</v>
      </c>
      <c r="AR3366" s="3" t="s">
        <v>65</v>
      </c>
      <c r="AS3366" s="3" t="s">
        <v>65</v>
      </c>
      <c r="AT3366" s="3" t="s">
        <v>209</v>
      </c>
      <c r="AU3366" s="6" t="str">
        <f>HYPERLINK("http://catalog.hathitrust.org/Record/005911587","HathiTrust Record")</f>
        <v>HathiTrust Record</v>
      </c>
      <c r="AV3366" s="6" t="str">
        <f>HYPERLINK("http://mcgill.on.worldcat.org/oclc/276908279","Catalog Record")</f>
        <v>Catalog Record</v>
      </c>
      <c r="AW3366" s="6" t="str">
        <f>HYPERLINK("http://www.worldcat.org/oclc/276908279","WorldCat Record")</f>
        <v>WorldCat Record</v>
      </c>
      <c r="AX3366" s="3" t="s">
        <v>33340</v>
      </c>
      <c r="AY3366" s="3" t="s">
        <v>33341</v>
      </c>
      <c r="AZ3366" s="3" t="s">
        <v>33342</v>
      </c>
      <c r="BA3366" s="3" t="s">
        <v>33342</v>
      </c>
      <c r="BB3366" s="3" t="s">
        <v>33343</v>
      </c>
      <c r="BC3366" s="3" t="s">
        <v>77</v>
      </c>
      <c r="BD3366" s="3" t="s">
        <v>78</v>
      </c>
      <c r="BE3366" s="3" t="s">
        <v>33344</v>
      </c>
      <c r="BF3366" s="3" t="s">
        <v>33343</v>
      </c>
      <c r="BG3366" s="3" t="s">
        <v>33345</v>
      </c>
    </row>
    <row r="3367" spans="1:59" ht="58" x14ac:dyDescent="0.35">
      <c r="A3367" s="2" t="s">
        <v>59</v>
      </c>
      <c r="B3367" s="2" t="s">
        <v>60</v>
      </c>
      <c r="C3367" s="2" t="s">
        <v>33346</v>
      </c>
      <c r="D3367" s="2" t="s">
        <v>33347</v>
      </c>
      <c r="E3367" s="2" t="s">
        <v>33348</v>
      </c>
      <c r="G3367" s="3" t="s">
        <v>65</v>
      </c>
      <c r="I3367" s="3" t="s">
        <v>65</v>
      </c>
      <c r="J3367" s="3" t="s">
        <v>65</v>
      </c>
      <c r="K3367" s="3" t="s">
        <v>66</v>
      </c>
      <c r="L3367" s="2" t="s">
        <v>33302</v>
      </c>
      <c r="M3367" s="2" t="s">
        <v>33349</v>
      </c>
      <c r="N3367" s="3" t="s">
        <v>126</v>
      </c>
      <c r="P3367" s="3" t="s">
        <v>140</v>
      </c>
      <c r="Q3367" s="2" t="s">
        <v>33350</v>
      </c>
      <c r="R3367" s="3" t="s">
        <v>71</v>
      </c>
      <c r="S3367" s="4">
        <v>2</v>
      </c>
      <c r="T3367" s="4">
        <v>2</v>
      </c>
      <c r="U3367" s="5" t="s">
        <v>33351</v>
      </c>
      <c r="V3367" s="5" t="s">
        <v>33351</v>
      </c>
      <c r="W3367" s="5" t="s">
        <v>72</v>
      </c>
      <c r="X3367" s="5" t="s">
        <v>72</v>
      </c>
      <c r="Y3367" s="4">
        <v>10</v>
      </c>
      <c r="Z3367" s="4">
        <v>2</v>
      </c>
      <c r="AA3367" s="4">
        <v>2</v>
      </c>
      <c r="AB3367" s="4">
        <v>1</v>
      </c>
      <c r="AC3367" s="4">
        <v>1</v>
      </c>
      <c r="AD3367" s="4">
        <v>5</v>
      </c>
      <c r="AE3367" s="4">
        <v>5</v>
      </c>
      <c r="AF3367" s="4">
        <v>0</v>
      </c>
      <c r="AG3367" s="4">
        <v>0</v>
      </c>
      <c r="AH3367" s="4">
        <v>5</v>
      </c>
      <c r="AI3367" s="4">
        <v>5</v>
      </c>
      <c r="AJ3367" s="4">
        <v>0</v>
      </c>
      <c r="AK3367" s="4">
        <v>0</v>
      </c>
      <c r="AL3367" s="4">
        <v>4</v>
      </c>
      <c r="AM3367" s="4">
        <v>4</v>
      </c>
      <c r="AN3367" s="4">
        <v>0</v>
      </c>
      <c r="AO3367" s="4">
        <v>0</v>
      </c>
      <c r="AP3367" s="4">
        <v>0</v>
      </c>
      <c r="AQ3367" s="4">
        <v>0</v>
      </c>
      <c r="AR3367" s="3" t="s">
        <v>65</v>
      </c>
      <c r="AS3367" s="3" t="s">
        <v>65</v>
      </c>
      <c r="AT3367" s="3" t="s">
        <v>65</v>
      </c>
      <c r="AV3367" s="6" t="str">
        <f>HYPERLINK("http://mcgill.on.worldcat.org/oclc/681707155","Catalog Record")</f>
        <v>Catalog Record</v>
      </c>
      <c r="AW3367" s="6" t="str">
        <f>HYPERLINK("http://www.worldcat.org/oclc/681707155","WorldCat Record")</f>
        <v>WorldCat Record</v>
      </c>
      <c r="AX3367" s="3" t="s">
        <v>33352</v>
      </c>
      <c r="AY3367" s="3" t="s">
        <v>33353</v>
      </c>
      <c r="AZ3367" s="3" t="s">
        <v>33354</v>
      </c>
      <c r="BA3367" s="3" t="s">
        <v>33354</v>
      </c>
      <c r="BB3367" s="3" t="s">
        <v>33355</v>
      </c>
      <c r="BC3367" s="3" t="s">
        <v>77</v>
      </c>
      <c r="BD3367" s="3" t="s">
        <v>78</v>
      </c>
      <c r="BE3367" s="3" t="s">
        <v>33356</v>
      </c>
      <c r="BF3367" s="3" t="s">
        <v>33355</v>
      </c>
      <c r="BG3367" s="3" t="s">
        <v>33357</v>
      </c>
    </row>
    <row r="3368" spans="1:59" ht="58" x14ac:dyDescent="0.35">
      <c r="A3368" s="2" t="s">
        <v>59</v>
      </c>
      <c r="B3368" s="2" t="s">
        <v>60</v>
      </c>
      <c r="C3368" s="2" t="s">
        <v>33358</v>
      </c>
      <c r="D3368" s="2" t="s">
        <v>33359</v>
      </c>
      <c r="E3368" s="2" t="s">
        <v>33360</v>
      </c>
      <c r="G3368" s="3" t="s">
        <v>65</v>
      </c>
      <c r="I3368" s="3" t="s">
        <v>65</v>
      </c>
      <c r="J3368" s="3" t="s">
        <v>65</v>
      </c>
      <c r="K3368" s="3" t="s">
        <v>66</v>
      </c>
      <c r="M3368" s="2" t="s">
        <v>33361</v>
      </c>
      <c r="N3368" s="3" t="s">
        <v>364</v>
      </c>
      <c r="P3368" s="3" t="s">
        <v>140</v>
      </c>
      <c r="Q3368" s="2" t="s">
        <v>33362</v>
      </c>
      <c r="R3368" s="3" t="s">
        <v>71</v>
      </c>
      <c r="S3368" s="4">
        <v>3</v>
      </c>
      <c r="T3368" s="4">
        <v>3</v>
      </c>
      <c r="U3368" s="5" t="s">
        <v>20508</v>
      </c>
      <c r="V3368" s="5" t="s">
        <v>20508</v>
      </c>
      <c r="W3368" s="5" t="s">
        <v>72</v>
      </c>
      <c r="X3368" s="5" t="s">
        <v>72</v>
      </c>
      <c r="Y3368" s="4">
        <v>52</v>
      </c>
      <c r="Z3368" s="4">
        <v>7</v>
      </c>
      <c r="AA3368" s="4">
        <v>7</v>
      </c>
      <c r="AB3368" s="4">
        <v>2</v>
      </c>
      <c r="AC3368" s="4">
        <v>2</v>
      </c>
      <c r="AD3368" s="4">
        <v>34</v>
      </c>
      <c r="AE3368" s="4">
        <v>34</v>
      </c>
      <c r="AF3368" s="4">
        <v>0</v>
      </c>
      <c r="AG3368" s="4">
        <v>0</v>
      </c>
      <c r="AH3368" s="4">
        <v>33</v>
      </c>
      <c r="AI3368" s="4">
        <v>33</v>
      </c>
      <c r="AJ3368" s="4">
        <v>3</v>
      </c>
      <c r="AK3368" s="4">
        <v>3</v>
      </c>
      <c r="AL3368" s="4">
        <v>24</v>
      </c>
      <c r="AM3368" s="4">
        <v>24</v>
      </c>
      <c r="AN3368" s="4">
        <v>0</v>
      </c>
      <c r="AO3368" s="4">
        <v>0</v>
      </c>
      <c r="AP3368" s="4">
        <v>3</v>
      </c>
      <c r="AQ3368" s="4">
        <v>3</v>
      </c>
      <c r="AR3368" s="3" t="s">
        <v>65</v>
      </c>
      <c r="AS3368" s="3" t="s">
        <v>65</v>
      </c>
      <c r="AT3368" s="3" t="s">
        <v>209</v>
      </c>
      <c r="AU3368" s="6" t="str">
        <f>HYPERLINK("http://catalog.hathitrust.org/Record/004176659","HathiTrust Record")</f>
        <v>HathiTrust Record</v>
      </c>
      <c r="AV3368" s="6" t="str">
        <f>HYPERLINK("http://mcgill.on.worldcat.org/oclc/47742322","Catalog Record")</f>
        <v>Catalog Record</v>
      </c>
      <c r="AW3368" s="6" t="str">
        <f>HYPERLINK("http://www.worldcat.org/oclc/47742322","WorldCat Record")</f>
        <v>WorldCat Record</v>
      </c>
      <c r="AX3368" s="3" t="s">
        <v>33363</v>
      </c>
      <c r="AY3368" s="3" t="s">
        <v>33364</v>
      </c>
      <c r="AZ3368" s="3" t="s">
        <v>33365</v>
      </c>
      <c r="BA3368" s="3" t="s">
        <v>33365</v>
      </c>
      <c r="BB3368" s="3" t="s">
        <v>33366</v>
      </c>
      <c r="BC3368" s="3" t="s">
        <v>77</v>
      </c>
      <c r="BD3368" s="3" t="s">
        <v>78</v>
      </c>
      <c r="BE3368" s="3" t="s">
        <v>33367</v>
      </c>
      <c r="BF3368" s="3" t="s">
        <v>33366</v>
      </c>
      <c r="BG3368" s="3" t="s">
        <v>33368</v>
      </c>
    </row>
    <row r="3369" spans="1:59" ht="58" x14ac:dyDescent="0.35">
      <c r="A3369" s="2" t="s">
        <v>59</v>
      </c>
      <c r="B3369" s="2" t="s">
        <v>60</v>
      </c>
      <c r="C3369" s="2" t="s">
        <v>33369</v>
      </c>
      <c r="D3369" s="2" t="s">
        <v>33370</v>
      </c>
      <c r="E3369" s="2" t="s">
        <v>33371</v>
      </c>
      <c r="G3369" s="3" t="s">
        <v>65</v>
      </c>
      <c r="I3369" s="3" t="s">
        <v>65</v>
      </c>
      <c r="J3369" s="3" t="s">
        <v>65</v>
      </c>
      <c r="K3369" s="3" t="s">
        <v>66</v>
      </c>
      <c r="L3369" s="2" t="s">
        <v>33372</v>
      </c>
      <c r="M3369" s="2" t="s">
        <v>33373</v>
      </c>
      <c r="N3369" s="3" t="s">
        <v>99</v>
      </c>
      <c r="P3369" s="3" t="s">
        <v>69</v>
      </c>
      <c r="R3369" s="3" t="s">
        <v>71</v>
      </c>
      <c r="S3369" s="4">
        <v>7</v>
      </c>
      <c r="T3369" s="4">
        <v>7</v>
      </c>
      <c r="U3369" s="5" t="s">
        <v>1896</v>
      </c>
      <c r="V3369" s="5" t="s">
        <v>1896</v>
      </c>
      <c r="W3369" s="5" t="s">
        <v>72</v>
      </c>
      <c r="X3369" s="5" t="s">
        <v>72</v>
      </c>
      <c r="Y3369" s="4">
        <v>86</v>
      </c>
      <c r="Z3369" s="4">
        <v>7</v>
      </c>
      <c r="AA3369" s="4">
        <v>10</v>
      </c>
      <c r="AB3369" s="4">
        <v>1</v>
      </c>
      <c r="AC3369" s="4">
        <v>3</v>
      </c>
      <c r="AD3369" s="4">
        <v>35</v>
      </c>
      <c r="AE3369" s="4">
        <v>44</v>
      </c>
      <c r="AF3369" s="4">
        <v>0</v>
      </c>
      <c r="AG3369" s="4">
        <v>0</v>
      </c>
      <c r="AH3369" s="4">
        <v>33</v>
      </c>
      <c r="AI3369" s="4">
        <v>41</v>
      </c>
      <c r="AJ3369" s="4">
        <v>3</v>
      </c>
      <c r="AK3369" s="4">
        <v>3</v>
      </c>
      <c r="AL3369" s="4">
        <v>28</v>
      </c>
      <c r="AM3369" s="4">
        <v>32</v>
      </c>
      <c r="AN3369" s="4">
        <v>0</v>
      </c>
      <c r="AO3369" s="4">
        <v>0</v>
      </c>
      <c r="AP3369" s="4">
        <v>3</v>
      </c>
      <c r="AQ3369" s="4">
        <v>3</v>
      </c>
      <c r="AR3369" s="3" t="s">
        <v>65</v>
      </c>
      <c r="AS3369" s="3" t="s">
        <v>65</v>
      </c>
      <c r="AT3369" s="3" t="s">
        <v>65</v>
      </c>
      <c r="AV3369" s="6" t="str">
        <f>HYPERLINK("http://mcgill.on.worldcat.org/oclc/70264455","Catalog Record")</f>
        <v>Catalog Record</v>
      </c>
      <c r="AW3369" s="6" t="str">
        <f>HYPERLINK("http://www.worldcat.org/oclc/70264455","WorldCat Record")</f>
        <v>WorldCat Record</v>
      </c>
      <c r="AX3369" s="3" t="s">
        <v>33374</v>
      </c>
      <c r="AY3369" s="3" t="s">
        <v>33375</v>
      </c>
      <c r="AZ3369" s="3" t="s">
        <v>33376</v>
      </c>
      <c r="BA3369" s="3" t="s">
        <v>33376</v>
      </c>
      <c r="BB3369" s="3" t="s">
        <v>33377</v>
      </c>
      <c r="BC3369" s="3" t="s">
        <v>77</v>
      </c>
      <c r="BD3369" s="3" t="s">
        <v>78</v>
      </c>
      <c r="BE3369" s="3" t="s">
        <v>33378</v>
      </c>
      <c r="BF3369" s="3" t="s">
        <v>33377</v>
      </c>
      <c r="BG3369" s="3" t="s">
        <v>33379</v>
      </c>
    </row>
    <row r="3370" spans="1:59" ht="72.5" x14ac:dyDescent="0.35">
      <c r="A3370" s="2" t="s">
        <v>59</v>
      </c>
      <c r="B3370" s="2" t="s">
        <v>60</v>
      </c>
      <c r="C3370" s="2" t="s">
        <v>33380</v>
      </c>
      <c r="D3370" s="2" t="s">
        <v>33381</v>
      </c>
      <c r="E3370" s="2" t="s">
        <v>33382</v>
      </c>
      <c r="G3370" s="3" t="s">
        <v>65</v>
      </c>
      <c r="I3370" s="3" t="s">
        <v>65</v>
      </c>
      <c r="J3370" s="3" t="s">
        <v>65</v>
      </c>
      <c r="K3370" s="3" t="s">
        <v>66</v>
      </c>
      <c r="L3370" s="2" t="s">
        <v>33383</v>
      </c>
      <c r="M3370" s="2" t="s">
        <v>33384</v>
      </c>
      <c r="N3370" s="3" t="s">
        <v>1932</v>
      </c>
      <c r="O3370" s="2" t="s">
        <v>365</v>
      </c>
      <c r="P3370" s="3" t="s">
        <v>140</v>
      </c>
      <c r="R3370" s="3" t="s">
        <v>71</v>
      </c>
      <c r="S3370" s="4">
        <v>2</v>
      </c>
      <c r="T3370" s="4">
        <v>2</v>
      </c>
      <c r="U3370" s="5" t="s">
        <v>7211</v>
      </c>
      <c r="V3370" s="5" t="s">
        <v>7211</v>
      </c>
      <c r="W3370" s="5" t="s">
        <v>72</v>
      </c>
      <c r="X3370" s="5" t="s">
        <v>72</v>
      </c>
      <c r="Y3370" s="4">
        <v>10</v>
      </c>
      <c r="Z3370" s="4">
        <v>1</v>
      </c>
      <c r="AA3370" s="4">
        <v>1</v>
      </c>
      <c r="AB3370" s="4">
        <v>1</v>
      </c>
      <c r="AC3370" s="4">
        <v>1</v>
      </c>
      <c r="AD3370" s="4">
        <v>5</v>
      </c>
      <c r="AE3370" s="4">
        <v>5</v>
      </c>
      <c r="AF3370" s="4">
        <v>0</v>
      </c>
      <c r="AG3370" s="4">
        <v>0</v>
      </c>
      <c r="AH3370" s="4">
        <v>5</v>
      </c>
      <c r="AI3370" s="4">
        <v>5</v>
      </c>
      <c r="AJ3370" s="4">
        <v>0</v>
      </c>
      <c r="AK3370" s="4">
        <v>0</v>
      </c>
      <c r="AL3370" s="4">
        <v>4</v>
      </c>
      <c r="AM3370" s="4">
        <v>4</v>
      </c>
      <c r="AN3370" s="4">
        <v>0</v>
      </c>
      <c r="AO3370" s="4">
        <v>0</v>
      </c>
      <c r="AP3370" s="4">
        <v>0</v>
      </c>
      <c r="AQ3370" s="4">
        <v>0</v>
      </c>
      <c r="AR3370" s="3" t="s">
        <v>65</v>
      </c>
      <c r="AS3370" s="3" t="s">
        <v>65</v>
      </c>
      <c r="AT3370" s="3" t="s">
        <v>65</v>
      </c>
      <c r="AV3370" s="6" t="str">
        <f>HYPERLINK("http://mcgill.on.worldcat.org/oclc/32031270","Catalog Record")</f>
        <v>Catalog Record</v>
      </c>
      <c r="AW3370" s="6" t="str">
        <f>HYPERLINK("http://www.worldcat.org/oclc/32031270","WorldCat Record")</f>
        <v>WorldCat Record</v>
      </c>
      <c r="AX3370" s="3" t="s">
        <v>33385</v>
      </c>
      <c r="AY3370" s="3" t="s">
        <v>33386</v>
      </c>
      <c r="AZ3370" s="3" t="s">
        <v>33387</v>
      </c>
      <c r="BA3370" s="3" t="s">
        <v>33387</v>
      </c>
      <c r="BB3370" s="3" t="s">
        <v>33388</v>
      </c>
      <c r="BC3370" s="3" t="s">
        <v>77</v>
      </c>
      <c r="BD3370" s="3" t="s">
        <v>78</v>
      </c>
      <c r="BE3370" s="3" t="s">
        <v>33389</v>
      </c>
      <c r="BF3370" s="3" t="s">
        <v>33388</v>
      </c>
      <c r="BG3370" s="3" t="s">
        <v>33390</v>
      </c>
    </row>
    <row r="3371" spans="1:59" ht="58" x14ac:dyDescent="0.35">
      <c r="A3371" s="2" t="s">
        <v>59</v>
      </c>
      <c r="B3371" s="2" t="s">
        <v>60</v>
      </c>
      <c r="C3371" s="2" t="s">
        <v>33391</v>
      </c>
      <c r="D3371" s="2" t="s">
        <v>33392</v>
      </c>
      <c r="E3371" s="2" t="s">
        <v>33393</v>
      </c>
      <c r="G3371" s="3" t="s">
        <v>65</v>
      </c>
      <c r="I3371" s="3" t="s">
        <v>65</v>
      </c>
      <c r="J3371" s="3" t="s">
        <v>65</v>
      </c>
      <c r="K3371" s="3" t="s">
        <v>66</v>
      </c>
      <c r="L3371" s="2" t="s">
        <v>33394</v>
      </c>
      <c r="M3371" s="2" t="s">
        <v>33395</v>
      </c>
      <c r="N3371" s="3" t="s">
        <v>955</v>
      </c>
      <c r="O3371" s="2" t="s">
        <v>11613</v>
      </c>
      <c r="P3371" s="3" t="s">
        <v>140</v>
      </c>
      <c r="Q3371" s="2" t="s">
        <v>33396</v>
      </c>
      <c r="R3371" s="3" t="s">
        <v>71</v>
      </c>
      <c r="S3371" s="4">
        <v>2</v>
      </c>
      <c r="T3371" s="4">
        <v>2</v>
      </c>
      <c r="U3371" s="5" t="s">
        <v>28192</v>
      </c>
      <c r="V3371" s="5" t="s">
        <v>28192</v>
      </c>
      <c r="W3371" s="5" t="s">
        <v>72</v>
      </c>
      <c r="X3371" s="5" t="s">
        <v>72</v>
      </c>
      <c r="Y3371" s="4">
        <v>35</v>
      </c>
      <c r="Z3371" s="4">
        <v>5</v>
      </c>
      <c r="AA3371" s="4">
        <v>5</v>
      </c>
      <c r="AB3371" s="4">
        <v>1</v>
      </c>
      <c r="AC3371" s="4">
        <v>1</v>
      </c>
      <c r="AD3371" s="4">
        <v>18</v>
      </c>
      <c r="AE3371" s="4">
        <v>18</v>
      </c>
      <c r="AF3371" s="4">
        <v>0</v>
      </c>
      <c r="AG3371" s="4">
        <v>0</v>
      </c>
      <c r="AH3371" s="4">
        <v>17</v>
      </c>
      <c r="AI3371" s="4">
        <v>17</v>
      </c>
      <c r="AJ3371" s="4">
        <v>3</v>
      </c>
      <c r="AK3371" s="4">
        <v>3</v>
      </c>
      <c r="AL3371" s="4">
        <v>13</v>
      </c>
      <c r="AM3371" s="4">
        <v>13</v>
      </c>
      <c r="AN3371" s="4">
        <v>0</v>
      </c>
      <c r="AO3371" s="4">
        <v>0</v>
      </c>
      <c r="AP3371" s="4">
        <v>3</v>
      </c>
      <c r="AQ3371" s="4">
        <v>3</v>
      </c>
      <c r="AR3371" s="3" t="s">
        <v>65</v>
      </c>
      <c r="AS3371" s="3" t="s">
        <v>65</v>
      </c>
      <c r="AT3371" s="3" t="s">
        <v>65</v>
      </c>
      <c r="AV3371" s="6" t="str">
        <f>HYPERLINK("http://mcgill.on.worldcat.org/oclc/7995877","Catalog Record")</f>
        <v>Catalog Record</v>
      </c>
      <c r="AW3371" s="6" t="str">
        <f>HYPERLINK("http://www.worldcat.org/oclc/7995877","WorldCat Record")</f>
        <v>WorldCat Record</v>
      </c>
      <c r="AX3371" s="3" t="s">
        <v>33397</v>
      </c>
      <c r="AY3371" s="3" t="s">
        <v>33398</v>
      </c>
      <c r="AZ3371" s="3" t="s">
        <v>33399</v>
      </c>
      <c r="BA3371" s="3" t="s">
        <v>33399</v>
      </c>
      <c r="BB3371" s="3" t="s">
        <v>33400</v>
      </c>
      <c r="BC3371" s="3" t="s">
        <v>77</v>
      </c>
      <c r="BD3371" s="3" t="s">
        <v>78</v>
      </c>
      <c r="BF3371" s="3" t="s">
        <v>33400</v>
      </c>
      <c r="BG3371" s="3" t="s">
        <v>33401</v>
      </c>
    </row>
    <row r="3372" spans="1:59" ht="58" x14ac:dyDescent="0.35">
      <c r="A3372" s="2" t="s">
        <v>59</v>
      </c>
      <c r="B3372" s="2" t="s">
        <v>60</v>
      </c>
      <c r="C3372" s="2" t="s">
        <v>33402</v>
      </c>
      <c r="D3372" s="2" t="s">
        <v>33403</v>
      </c>
      <c r="E3372" s="2" t="s">
        <v>33404</v>
      </c>
      <c r="G3372" s="3" t="s">
        <v>65</v>
      </c>
      <c r="I3372" s="3" t="s">
        <v>65</v>
      </c>
      <c r="J3372" s="3" t="s">
        <v>65</v>
      </c>
      <c r="K3372" s="3" t="s">
        <v>66</v>
      </c>
      <c r="L3372" s="2" t="s">
        <v>33394</v>
      </c>
      <c r="M3372" s="2" t="s">
        <v>33405</v>
      </c>
      <c r="N3372" s="3" t="s">
        <v>126</v>
      </c>
      <c r="P3372" s="3" t="s">
        <v>140</v>
      </c>
      <c r="Q3372" s="2" t="s">
        <v>33406</v>
      </c>
      <c r="R3372" s="3" t="s">
        <v>71</v>
      </c>
      <c r="S3372" s="4">
        <v>0</v>
      </c>
      <c r="T3372" s="4">
        <v>0</v>
      </c>
      <c r="W3372" s="5" t="s">
        <v>72</v>
      </c>
      <c r="X3372" s="5" t="s">
        <v>72</v>
      </c>
      <c r="Y3372" s="4">
        <v>29</v>
      </c>
      <c r="Z3372" s="4">
        <v>2</v>
      </c>
      <c r="AA3372" s="4">
        <v>2</v>
      </c>
      <c r="AB3372" s="4">
        <v>1</v>
      </c>
      <c r="AC3372" s="4">
        <v>1</v>
      </c>
      <c r="AD3372" s="4">
        <v>18</v>
      </c>
      <c r="AE3372" s="4">
        <v>18</v>
      </c>
      <c r="AF3372" s="4">
        <v>0</v>
      </c>
      <c r="AG3372" s="4">
        <v>0</v>
      </c>
      <c r="AH3372" s="4">
        <v>16</v>
      </c>
      <c r="AI3372" s="4">
        <v>16</v>
      </c>
      <c r="AJ3372" s="4">
        <v>1</v>
      </c>
      <c r="AK3372" s="4">
        <v>1</v>
      </c>
      <c r="AL3372" s="4">
        <v>13</v>
      </c>
      <c r="AM3372" s="4">
        <v>13</v>
      </c>
      <c r="AN3372" s="4">
        <v>0</v>
      </c>
      <c r="AO3372" s="4">
        <v>0</v>
      </c>
      <c r="AP3372" s="4">
        <v>1</v>
      </c>
      <c r="AQ3372" s="4">
        <v>1</v>
      </c>
      <c r="AR3372" s="3" t="s">
        <v>65</v>
      </c>
      <c r="AS3372" s="3" t="s">
        <v>65</v>
      </c>
      <c r="AT3372" s="3" t="s">
        <v>65</v>
      </c>
      <c r="AV3372" s="6" t="str">
        <f>HYPERLINK("http://mcgill.on.worldcat.org/oclc/768397143","Catalog Record")</f>
        <v>Catalog Record</v>
      </c>
      <c r="AW3372" s="6" t="str">
        <f>HYPERLINK("http://www.worldcat.org/oclc/768397143","WorldCat Record")</f>
        <v>WorldCat Record</v>
      </c>
      <c r="AX3372" s="3" t="s">
        <v>33407</v>
      </c>
      <c r="AY3372" s="3" t="s">
        <v>33408</v>
      </c>
      <c r="AZ3372" s="3" t="s">
        <v>33409</v>
      </c>
      <c r="BA3372" s="3" t="s">
        <v>33409</v>
      </c>
      <c r="BB3372" s="3" t="s">
        <v>33410</v>
      </c>
      <c r="BC3372" s="3" t="s">
        <v>77</v>
      </c>
      <c r="BD3372" s="3" t="s">
        <v>78</v>
      </c>
      <c r="BE3372" s="3" t="s">
        <v>33411</v>
      </c>
      <c r="BF3372" s="3" t="s">
        <v>33410</v>
      </c>
      <c r="BG3372" s="3" t="s">
        <v>33412</v>
      </c>
    </row>
    <row r="3373" spans="1:59" ht="58" x14ac:dyDescent="0.35">
      <c r="A3373" s="2" t="s">
        <v>59</v>
      </c>
      <c r="B3373" s="2" t="s">
        <v>60</v>
      </c>
      <c r="C3373" s="2" t="s">
        <v>33413</v>
      </c>
      <c r="D3373" s="2" t="s">
        <v>33414</v>
      </c>
      <c r="E3373" s="2" t="s">
        <v>33415</v>
      </c>
      <c r="G3373" s="3" t="s">
        <v>65</v>
      </c>
      <c r="I3373" s="3" t="s">
        <v>65</v>
      </c>
      <c r="J3373" s="3" t="s">
        <v>65</v>
      </c>
      <c r="K3373" s="3" t="s">
        <v>66</v>
      </c>
      <c r="L3373" s="2" t="s">
        <v>33416</v>
      </c>
      <c r="M3373" s="2" t="s">
        <v>33417</v>
      </c>
      <c r="N3373" s="3" t="s">
        <v>164</v>
      </c>
      <c r="P3373" s="3" t="s">
        <v>69</v>
      </c>
      <c r="R3373" s="3" t="s">
        <v>71</v>
      </c>
      <c r="S3373" s="4">
        <v>0</v>
      </c>
      <c r="T3373" s="4">
        <v>0</v>
      </c>
      <c r="W3373" s="5" t="s">
        <v>72</v>
      </c>
      <c r="X3373" s="5" t="s">
        <v>72</v>
      </c>
      <c r="Y3373" s="4">
        <v>99</v>
      </c>
      <c r="Z3373" s="4">
        <v>6</v>
      </c>
      <c r="AA3373" s="4">
        <v>7</v>
      </c>
      <c r="AB3373" s="4">
        <v>1</v>
      </c>
      <c r="AC3373" s="4">
        <v>1</v>
      </c>
      <c r="AD3373" s="4">
        <v>47</v>
      </c>
      <c r="AE3373" s="4">
        <v>50</v>
      </c>
      <c r="AF3373" s="4">
        <v>0</v>
      </c>
      <c r="AG3373" s="4">
        <v>0</v>
      </c>
      <c r="AH3373" s="4">
        <v>45</v>
      </c>
      <c r="AI3373" s="4">
        <v>46</v>
      </c>
      <c r="AJ3373" s="4">
        <v>4</v>
      </c>
      <c r="AK3373" s="4">
        <v>5</v>
      </c>
      <c r="AL3373" s="4">
        <v>27</v>
      </c>
      <c r="AM3373" s="4">
        <v>29</v>
      </c>
      <c r="AN3373" s="4">
        <v>0</v>
      </c>
      <c r="AO3373" s="4">
        <v>0</v>
      </c>
      <c r="AP3373" s="4">
        <v>5</v>
      </c>
      <c r="AQ3373" s="4">
        <v>6</v>
      </c>
      <c r="AR3373" s="3" t="s">
        <v>65</v>
      </c>
      <c r="AS3373" s="3" t="s">
        <v>65</v>
      </c>
      <c r="AT3373" s="3" t="s">
        <v>65</v>
      </c>
      <c r="AV3373" s="6" t="str">
        <f>HYPERLINK("http://mcgill.on.worldcat.org/oclc/842880767","Catalog Record")</f>
        <v>Catalog Record</v>
      </c>
      <c r="AW3373" s="6" t="str">
        <f>HYPERLINK("http://www.worldcat.org/oclc/842880767","WorldCat Record")</f>
        <v>WorldCat Record</v>
      </c>
      <c r="AX3373" s="3" t="s">
        <v>33418</v>
      </c>
      <c r="AY3373" s="3" t="s">
        <v>33419</v>
      </c>
      <c r="AZ3373" s="3" t="s">
        <v>33420</v>
      </c>
      <c r="BA3373" s="3" t="s">
        <v>33420</v>
      </c>
      <c r="BB3373" s="3" t="s">
        <v>33421</v>
      </c>
      <c r="BC3373" s="3" t="s">
        <v>77</v>
      </c>
      <c r="BD3373" s="3" t="s">
        <v>78</v>
      </c>
      <c r="BE3373" s="3" t="s">
        <v>33422</v>
      </c>
      <c r="BF3373" s="3" t="s">
        <v>33421</v>
      </c>
      <c r="BG3373" s="3" t="s">
        <v>33423</v>
      </c>
    </row>
    <row r="3374" spans="1:59" ht="58" x14ac:dyDescent="0.35">
      <c r="A3374" s="2" t="s">
        <v>59</v>
      </c>
      <c r="B3374" s="2" t="s">
        <v>60</v>
      </c>
      <c r="C3374" s="2" t="s">
        <v>33424</v>
      </c>
      <c r="D3374" s="2" t="s">
        <v>33425</v>
      </c>
      <c r="E3374" s="2" t="s">
        <v>33426</v>
      </c>
      <c r="G3374" s="3" t="s">
        <v>65</v>
      </c>
      <c r="I3374" s="3" t="s">
        <v>65</v>
      </c>
      <c r="J3374" s="3" t="s">
        <v>209</v>
      </c>
      <c r="K3374" s="3" t="s">
        <v>66</v>
      </c>
      <c r="L3374" s="2" t="s">
        <v>33394</v>
      </c>
      <c r="M3374" s="2" t="s">
        <v>33405</v>
      </c>
      <c r="N3374" s="3" t="s">
        <v>126</v>
      </c>
      <c r="O3374" s="2" t="s">
        <v>33427</v>
      </c>
      <c r="P3374" s="3" t="s">
        <v>140</v>
      </c>
      <c r="Q3374" s="2" t="s">
        <v>33428</v>
      </c>
      <c r="R3374" s="3" t="s">
        <v>71</v>
      </c>
      <c r="S3374" s="4">
        <v>0</v>
      </c>
      <c r="T3374" s="4">
        <v>0</v>
      </c>
      <c r="W3374" s="5" t="s">
        <v>72</v>
      </c>
      <c r="X3374" s="5" t="s">
        <v>72</v>
      </c>
      <c r="Y3374" s="4">
        <v>13</v>
      </c>
      <c r="Z3374" s="4">
        <v>1</v>
      </c>
      <c r="AA3374" s="4">
        <v>5</v>
      </c>
      <c r="AB3374" s="4">
        <v>1</v>
      </c>
      <c r="AC3374" s="4">
        <v>1</v>
      </c>
      <c r="AD3374" s="4">
        <v>7</v>
      </c>
      <c r="AE3374" s="4">
        <v>35</v>
      </c>
      <c r="AF3374" s="4">
        <v>0</v>
      </c>
      <c r="AG3374" s="4">
        <v>0</v>
      </c>
      <c r="AH3374" s="4">
        <v>7</v>
      </c>
      <c r="AI3374" s="4">
        <v>33</v>
      </c>
      <c r="AJ3374" s="4">
        <v>0</v>
      </c>
      <c r="AK3374" s="4">
        <v>3</v>
      </c>
      <c r="AL3374" s="4">
        <v>6</v>
      </c>
      <c r="AM3374" s="4">
        <v>26</v>
      </c>
      <c r="AN3374" s="4">
        <v>0</v>
      </c>
      <c r="AO3374" s="4">
        <v>0</v>
      </c>
      <c r="AP3374" s="4">
        <v>0</v>
      </c>
      <c r="AQ3374" s="4">
        <v>3</v>
      </c>
      <c r="AR3374" s="3" t="s">
        <v>65</v>
      </c>
      <c r="AS3374" s="3" t="s">
        <v>65</v>
      </c>
      <c r="AT3374" s="3" t="s">
        <v>65</v>
      </c>
      <c r="AV3374" s="6" t="str">
        <f>HYPERLINK("http://mcgill.on.worldcat.org/oclc/724303284","Catalog Record")</f>
        <v>Catalog Record</v>
      </c>
      <c r="AW3374" s="6" t="str">
        <f>HYPERLINK("http://www.worldcat.org/oclc/724303284","WorldCat Record")</f>
        <v>WorldCat Record</v>
      </c>
      <c r="AX3374" s="3" t="s">
        <v>33429</v>
      </c>
      <c r="AY3374" s="3" t="s">
        <v>33430</v>
      </c>
      <c r="AZ3374" s="3" t="s">
        <v>33431</v>
      </c>
      <c r="BA3374" s="3" t="s">
        <v>33431</v>
      </c>
      <c r="BB3374" s="3" t="s">
        <v>33432</v>
      </c>
      <c r="BC3374" s="3" t="s">
        <v>77</v>
      </c>
      <c r="BD3374" s="3" t="s">
        <v>78</v>
      </c>
      <c r="BE3374" s="3" t="s">
        <v>33433</v>
      </c>
      <c r="BF3374" s="3" t="s">
        <v>33432</v>
      </c>
      <c r="BG3374" s="3" t="s">
        <v>33434</v>
      </c>
    </row>
    <row r="3375" spans="1:59" ht="58" x14ac:dyDescent="0.35">
      <c r="A3375" s="2" t="s">
        <v>59</v>
      </c>
      <c r="B3375" s="2" t="s">
        <v>60</v>
      </c>
      <c r="C3375" s="2" t="s">
        <v>33435</v>
      </c>
      <c r="D3375" s="2" t="s">
        <v>33436</v>
      </c>
      <c r="E3375" s="2" t="s">
        <v>33437</v>
      </c>
      <c r="G3375" s="3" t="s">
        <v>65</v>
      </c>
      <c r="I3375" s="3" t="s">
        <v>65</v>
      </c>
      <c r="J3375" s="3" t="s">
        <v>65</v>
      </c>
      <c r="K3375" s="3" t="s">
        <v>66</v>
      </c>
      <c r="L3375" s="2" t="s">
        <v>33416</v>
      </c>
      <c r="M3375" s="2" t="s">
        <v>33438</v>
      </c>
      <c r="N3375" s="3" t="s">
        <v>68</v>
      </c>
      <c r="P3375" s="3" t="s">
        <v>69</v>
      </c>
      <c r="R3375" s="3" t="s">
        <v>71</v>
      </c>
      <c r="S3375" s="4">
        <v>0</v>
      </c>
      <c r="T3375" s="4">
        <v>0</v>
      </c>
      <c r="W3375" s="5" t="s">
        <v>72</v>
      </c>
      <c r="X3375" s="5" t="s">
        <v>72</v>
      </c>
      <c r="Y3375" s="4">
        <v>79</v>
      </c>
      <c r="Z3375" s="4">
        <v>7</v>
      </c>
      <c r="AA3375" s="4">
        <v>11</v>
      </c>
      <c r="AB3375" s="4">
        <v>1</v>
      </c>
      <c r="AC3375" s="4">
        <v>3</v>
      </c>
      <c r="AD3375" s="4">
        <v>29</v>
      </c>
      <c r="AE3375" s="4">
        <v>50</v>
      </c>
      <c r="AF3375" s="4">
        <v>0</v>
      </c>
      <c r="AG3375" s="4">
        <v>0</v>
      </c>
      <c r="AH3375" s="4">
        <v>28</v>
      </c>
      <c r="AI3375" s="4">
        <v>47</v>
      </c>
      <c r="AJ3375" s="4">
        <v>4</v>
      </c>
      <c r="AK3375" s="4">
        <v>5</v>
      </c>
      <c r="AL3375" s="4">
        <v>17</v>
      </c>
      <c r="AM3375" s="4">
        <v>31</v>
      </c>
      <c r="AN3375" s="4">
        <v>0</v>
      </c>
      <c r="AO3375" s="4">
        <v>0</v>
      </c>
      <c r="AP3375" s="4">
        <v>4</v>
      </c>
      <c r="AQ3375" s="4">
        <v>5</v>
      </c>
      <c r="AR3375" s="3" t="s">
        <v>65</v>
      </c>
      <c r="AS3375" s="3" t="s">
        <v>65</v>
      </c>
      <c r="AT3375" s="3" t="s">
        <v>65</v>
      </c>
      <c r="AV3375" s="6" t="str">
        <f>HYPERLINK("http://mcgill.on.worldcat.org/oclc/948794534","Catalog Record")</f>
        <v>Catalog Record</v>
      </c>
      <c r="AW3375" s="6" t="str">
        <f>HYPERLINK("http://www.worldcat.org/oclc/948794534","WorldCat Record")</f>
        <v>WorldCat Record</v>
      </c>
      <c r="AX3375" s="3" t="s">
        <v>33439</v>
      </c>
      <c r="AY3375" s="3" t="s">
        <v>33440</v>
      </c>
      <c r="AZ3375" s="3" t="s">
        <v>33441</v>
      </c>
      <c r="BA3375" s="3" t="s">
        <v>33441</v>
      </c>
      <c r="BB3375" s="3" t="s">
        <v>33442</v>
      </c>
      <c r="BC3375" s="3" t="s">
        <v>77</v>
      </c>
      <c r="BD3375" s="3" t="s">
        <v>78</v>
      </c>
      <c r="BE3375" s="3" t="s">
        <v>33443</v>
      </c>
      <c r="BF3375" s="3" t="s">
        <v>33442</v>
      </c>
      <c r="BG3375" s="3" t="s">
        <v>33444</v>
      </c>
    </row>
    <row r="3376" spans="1:59" ht="58" x14ac:dyDescent="0.35">
      <c r="A3376" s="2" t="s">
        <v>59</v>
      </c>
      <c r="B3376" s="2" t="s">
        <v>60</v>
      </c>
      <c r="C3376" s="2" t="s">
        <v>33445</v>
      </c>
      <c r="D3376" s="2" t="s">
        <v>33446</v>
      </c>
      <c r="E3376" s="2" t="s">
        <v>33447</v>
      </c>
      <c r="G3376" s="3" t="s">
        <v>65</v>
      </c>
      <c r="I3376" s="3" t="s">
        <v>65</v>
      </c>
      <c r="J3376" s="3" t="s">
        <v>65</v>
      </c>
      <c r="K3376" s="3" t="s">
        <v>66</v>
      </c>
      <c r="L3376" s="2" t="s">
        <v>33448</v>
      </c>
      <c r="M3376" s="2" t="s">
        <v>11713</v>
      </c>
      <c r="N3376" s="3" t="s">
        <v>164</v>
      </c>
      <c r="P3376" s="3" t="s">
        <v>140</v>
      </c>
      <c r="Q3376" s="2" t="s">
        <v>33449</v>
      </c>
      <c r="R3376" s="3" t="s">
        <v>71</v>
      </c>
      <c r="S3376" s="4">
        <v>0</v>
      </c>
      <c r="T3376" s="4">
        <v>0</v>
      </c>
      <c r="W3376" s="5" t="s">
        <v>72</v>
      </c>
      <c r="X3376" s="5" t="s">
        <v>72</v>
      </c>
      <c r="Y3376" s="4">
        <v>40</v>
      </c>
      <c r="Z3376" s="4">
        <v>4</v>
      </c>
      <c r="AA3376" s="4">
        <v>4</v>
      </c>
      <c r="AB3376" s="4">
        <v>1</v>
      </c>
      <c r="AC3376" s="4">
        <v>1</v>
      </c>
      <c r="AD3376" s="4">
        <v>27</v>
      </c>
      <c r="AE3376" s="4">
        <v>27</v>
      </c>
      <c r="AF3376" s="4">
        <v>0</v>
      </c>
      <c r="AG3376" s="4">
        <v>0</v>
      </c>
      <c r="AH3376" s="4">
        <v>26</v>
      </c>
      <c r="AI3376" s="4">
        <v>26</v>
      </c>
      <c r="AJ3376" s="4">
        <v>2</v>
      </c>
      <c r="AK3376" s="4">
        <v>2</v>
      </c>
      <c r="AL3376" s="4">
        <v>21</v>
      </c>
      <c r="AM3376" s="4">
        <v>21</v>
      </c>
      <c r="AN3376" s="4">
        <v>0</v>
      </c>
      <c r="AO3376" s="4">
        <v>0</v>
      </c>
      <c r="AP3376" s="4">
        <v>2</v>
      </c>
      <c r="AQ3376" s="4">
        <v>2</v>
      </c>
      <c r="AR3376" s="3" t="s">
        <v>65</v>
      </c>
      <c r="AS3376" s="3" t="s">
        <v>65</v>
      </c>
      <c r="AT3376" s="3" t="s">
        <v>65</v>
      </c>
      <c r="AV3376" s="6" t="str">
        <f>HYPERLINK("http://mcgill.on.worldcat.org/oclc/903204650","Catalog Record")</f>
        <v>Catalog Record</v>
      </c>
      <c r="AW3376" s="6" t="str">
        <f>HYPERLINK("http://www.worldcat.org/oclc/903204650","WorldCat Record")</f>
        <v>WorldCat Record</v>
      </c>
      <c r="AX3376" s="3" t="s">
        <v>33450</v>
      </c>
      <c r="AY3376" s="3" t="s">
        <v>33451</v>
      </c>
      <c r="AZ3376" s="3" t="s">
        <v>33452</v>
      </c>
      <c r="BA3376" s="3" t="s">
        <v>33452</v>
      </c>
      <c r="BB3376" s="3" t="s">
        <v>33453</v>
      </c>
      <c r="BC3376" s="3" t="s">
        <v>77</v>
      </c>
      <c r="BD3376" s="3" t="s">
        <v>78</v>
      </c>
      <c r="BE3376" s="3" t="s">
        <v>33454</v>
      </c>
      <c r="BF3376" s="3" t="s">
        <v>33453</v>
      </c>
      <c r="BG3376" s="3" t="s">
        <v>33455</v>
      </c>
    </row>
    <row r="3377" spans="1:59" ht="72.5" x14ac:dyDescent="0.35">
      <c r="A3377" s="2" t="s">
        <v>59</v>
      </c>
      <c r="B3377" s="2" t="s">
        <v>60</v>
      </c>
      <c r="C3377" s="2" t="s">
        <v>33456</v>
      </c>
      <c r="D3377" s="2" t="s">
        <v>33457</v>
      </c>
      <c r="E3377" s="2" t="s">
        <v>33458</v>
      </c>
      <c r="G3377" s="3" t="s">
        <v>65</v>
      </c>
      <c r="I3377" s="3" t="s">
        <v>65</v>
      </c>
      <c r="J3377" s="3" t="s">
        <v>65</v>
      </c>
      <c r="K3377" s="3" t="s">
        <v>66</v>
      </c>
      <c r="L3377" s="2" t="s">
        <v>33459</v>
      </c>
      <c r="M3377" s="2" t="s">
        <v>33460</v>
      </c>
      <c r="N3377" s="3" t="s">
        <v>139</v>
      </c>
      <c r="P3377" s="3" t="s">
        <v>69</v>
      </c>
      <c r="Q3377" s="2" t="s">
        <v>1600</v>
      </c>
      <c r="R3377" s="3" t="s">
        <v>71</v>
      </c>
      <c r="S3377" s="4">
        <v>0</v>
      </c>
      <c r="T3377" s="4">
        <v>0</v>
      </c>
      <c r="W3377" s="5" t="s">
        <v>72</v>
      </c>
      <c r="X3377" s="5" t="s">
        <v>72</v>
      </c>
      <c r="Y3377" s="4">
        <v>80</v>
      </c>
      <c r="Z3377" s="4">
        <v>5</v>
      </c>
      <c r="AA3377" s="4">
        <v>70</v>
      </c>
      <c r="AB3377" s="4">
        <v>1</v>
      </c>
      <c r="AC3377" s="4">
        <v>14</v>
      </c>
      <c r="AD3377" s="4">
        <v>43</v>
      </c>
      <c r="AE3377" s="4">
        <v>109</v>
      </c>
      <c r="AF3377" s="4">
        <v>0</v>
      </c>
      <c r="AG3377" s="4">
        <v>8</v>
      </c>
      <c r="AH3377" s="4">
        <v>41</v>
      </c>
      <c r="AI3377" s="4">
        <v>79</v>
      </c>
      <c r="AJ3377" s="4">
        <v>3</v>
      </c>
      <c r="AK3377" s="4">
        <v>20</v>
      </c>
      <c r="AL3377" s="4">
        <v>33</v>
      </c>
      <c r="AM3377" s="4">
        <v>44</v>
      </c>
      <c r="AN3377" s="4">
        <v>0</v>
      </c>
      <c r="AO3377" s="4">
        <v>0</v>
      </c>
      <c r="AP3377" s="4">
        <v>3</v>
      </c>
      <c r="AQ3377" s="4">
        <v>36</v>
      </c>
      <c r="AR3377" s="3" t="s">
        <v>65</v>
      </c>
      <c r="AS3377" s="3" t="s">
        <v>65</v>
      </c>
      <c r="AT3377" s="3" t="s">
        <v>65</v>
      </c>
      <c r="AV3377" s="6" t="str">
        <f>HYPERLINK("http://mcgill.on.worldcat.org/oclc/748576717","Catalog Record")</f>
        <v>Catalog Record</v>
      </c>
      <c r="AW3377" s="6" t="str">
        <f>HYPERLINK("http://www.worldcat.org/oclc/748576717","WorldCat Record")</f>
        <v>WorldCat Record</v>
      </c>
      <c r="AX3377" s="3" t="s">
        <v>33461</v>
      </c>
      <c r="AY3377" s="3" t="s">
        <v>33462</v>
      </c>
      <c r="AZ3377" s="3" t="s">
        <v>33463</v>
      </c>
      <c r="BA3377" s="3" t="s">
        <v>33463</v>
      </c>
      <c r="BB3377" s="3" t="s">
        <v>33464</v>
      </c>
      <c r="BC3377" s="3" t="s">
        <v>77</v>
      </c>
      <c r="BD3377" s="3" t="s">
        <v>78</v>
      </c>
      <c r="BE3377" s="3" t="s">
        <v>33465</v>
      </c>
      <c r="BF3377" s="3" t="s">
        <v>33464</v>
      </c>
      <c r="BG3377" s="3" t="s">
        <v>33466</v>
      </c>
    </row>
    <row r="3378" spans="1:59" ht="72.5" x14ac:dyDescent="0.35">
      <c r="A3378" s="2" t="s">
        <v>59</v>
      </c>
      <c r="B3378" s="2" t="s">
        <v>5411</v>
      </c>
      <c r="C3378" s="2" t="s">
        <v>33467</v>
      </c>
      <c r="D3378" s="2" t="s">
        <v>33468</v>
      </c>
      <c r="E3378" s="2" t="s">
        <v>33469</v>
      </c>
      <c r="G3378" s="3" t="s">
        <v>65</v>
      </c>
      <c r="I3378" s="3" t="s">
        <v>65</v>
      </c>
      <c r="J3378" s="3" t="s">
        <v>65</v>
      </c>
      <c r="K3378" s="3" t="s">
        <v>66</v>
      </c>
      <c r="L3378" s="2" t="s">
        <v>33470</v>
      </c>
      <c r="M3378" s="2" t="s">
        <v>33471</v>
      </c>
      <c r="N3378" s="3" t="s">
        <v>265</v>
      </c>
      <c r="O3378" s="2" t="s">
        <v>235</v>
      </c>
      <c r="P3378" s="3" t="s">
        <v>140</v>
      </c>
      <c r="Q3378" s="2" t="s">
        <v>33472</v>
      </c>
      <c r="R3378" s="3" t="s">
        <v>71</v>
      </c>
      <c r="S3378" s="4">
        <v>0</v>
      </c>
      <c r="T3378" s="4">
        <v>0</v>
      </c>
      <c r="W3378" s="5" t="s">
        <v>266</v>
      </c>
      <c r="X3378" s="5" t="s">
        <v>266</v>
      </c>
      <c r="Y3378" s="4">
        <v>32</v>
      </c>
      <c r="Z3378" s="4">
        <v>1</v>
      </c>
      <c r="AA3378" s="4">
        <v>1</v>
      </c>
      <c r="AB3378" s="4">
        <v>1</v>
      </c>
      <c r="AC3378" s="4">
        <v>1</v>
      </c>
      <c r="AD3378" s="4">
        <v>24</v>
      </c>
      <c r="AE3378" s="4">
        <v>24</v>
      </c>
      <c r="AF3378" s="4">
        <v>0</v>
      </c>
      <c r="AG3378" s="4">
        <v>0</v>
      </c>
      <c r="AH3378" s="4">
        <v>23</v>
      </c>
      <c r="AI3378" s="4">
        <v>23</v>
      </c>
      <c r="AJ3378" s="4">
        <v>0</v>
      </c>
      <c r="AK3378" s="4">
        <v>0</v>
      </c>
      <c r="AL3378" s="4">
        <v>20</v>
      </c>
      <c r="AM3378" s="4">
        <v>20</v>
      </c>
      <c r="AN3378" s="4">
        <v>0</v>
      </c>
      <c r="AO3378" s="4">
        <v>0</v>
      </c>
      <c r="AP3378" s="4">
        <v>0</v>
      </c>
      <c r="AQ3378" s="4">
        <v>0</v>
      </c>
      <c r="AR3378" s="3" t="s">
        <v>65</v>
      </c>
      <c r="AS3378" s="3" t="s">
        <v>65</v>
      </c>
      <c r="AT3378" s="3" t="s">
        <v>65</v>
      </c>
      <c r="AV3378" s="6" t="str">
        <f>HYPERLINK("http://mcgill.on.worldcat.org/oclc/1128030814","Catalog Record")</f>
        <v>Catalog Record</v>
      </c>
      <c r="AW3378" s="6" t="str">
        <f>HYPERLINK("http://www.worldcat.org/oclc/1128030814","WorldCat Record")</f>
        <v>WorldCat Record</v>
      </c>
      <c r="AX3378" s="3" t="s">
        <v>33473</v>
      </c>
      <c r="AY3378" s="3" t="s">
        <v>33474</v>
      </c>
      <c r="AZ3378" s="3" t="s">
        <v>33475</v>
      </c>
      <c r="BA3378" s="3" t="s">
        <v>33475</v>
      </c>
      <c r="BB3378" s="3" t="s">
        <v>33476</v>
      </c>
      <c r="BC3378" s="3" t="s">
        <v>77</v>
      </c>
      <c r="BD3378" s="3" t="s">
        <v>78</v>
      </c>
      <c r="BE3378" s="3" t="s">
        <v>33477</v>
      </c>
      <c r="BF3378" s="3" t="s">
        <v>33476</v>
      </c>
      <c r="BG3378" s="3" t="s">
        <v>33478</v>
      </c>
    </row>
    <row r="3379" spans="1:59" ht="72.5" x14ac:dyDescent="0.35">
      <c r="A3379" s="2" t="s">
        <v>59</v>
      </c>
      <c r="B3379" s="2" t="s">
        <v>60</v>
      </c>
      <c r="C3379" s="2" t="s">
        <v>33479</v>
      </c>
      <c r="D3379" s="2" t="s">
        <v>33480</v>
      </c>
      <c r="E3379" s="2" t="s">
        <v>33481</v>
      </c>
      <c r="G3379" s="3" t="s">
        <v>65</v>
      </c>
      <c r="I3379" s="3" t="s">
        <v>65</v>
      </c>
      <c r="J3379" s="3" t="s">
        <v>65</v>
      </c>
      <c r="K3379" s="3" t="s">
        <v>66</v>
      </c>
      <c r="L3379" s="2" t="s">
        <v>33482</v>
      </c>
      <c r="M3379" s="2" t="s">
        <v>33483</v>
      </c>
      <c r="N3379" s="3" t="s">
        <v>139</v>
      </c>
      <c r="P3379" s="3" t="s">
        <v>69</v>
      </c>
      <c r="R3379" s="3" t="s">
        <v>71</v>
      </c>
      <c r="S3379" s="4">
        <v>7</v>
      </c>
      <c r="T3379" s="4">
        <v>7</v>
      </c>
      <c r="U3379" s="5" t="s">
        <v>13469</v>
      </c>
      <c r="V3379" s="5" t="s">
        <v>13469</v>
      </c>
      <c r="W3379" s="5" t="s">
        <v>72</v>
      </c>
      <c r="X3379" s="5" t="s">
        <v>72</v>
      </c>
      <c r="Y3379" s="4">
        <v>80</v>
      </c>
      <c r="Z3379" s="4">
        <v>6</v>
      </c>
      <c r="AA3379" s="4">
        <v>8</v>
      </c>
      <c r="AB3379" s="4">
        <v>1</v>
      </c>
      <c r="AC3379" s="4">
        <v>3</v>
      </c>
      <c r="AD3379" s="4">
        <v>31</v>
      </c>
      <c r="AE3379" s="4">
        <v>32</v>
      </c>
      <c r="AF3379" s="4">
        <v>0</v>
      </c>
      <c r="AG3379" s="4">
        <v>0</v>
      </c>
      <c r="AH3379" s="4">
        <v>30</v>
      </c>
      <c r="AI3379" s="4">
        <v>31</v>
      </c>
      <c r="AJ3379" s="4">
        <v>3</v>
      </c>
      <c r="AK3379" s="4">
        <v>3</v>
      </c>
      <c r="AL3379" s="4">
        <v>16</v>
      </c>
      <c r="AM3379" s="4">
        <v>16</v>
      </c>
      <c r="AN3379" s="4">
        <v>0</v>
      </c>
      <c r="AO3379" s="4">
        <v>0</v>
      </c>
      <c r="AP3379" s="4">
        <v>3</v>
      </c>
      <c r="AQ3379" s="4">
        <v>3</v>
      </c>
      <c r="AR3379" s="3" t="s">
        <v>65</v>
      </c>
      <c r="AS3379" s="3" t="s">
        <v>65</v>
      </c>
      <c r="AT3379" s="3" t="s">
        <v>65</v>
      </c>
      <c r="AV3379" s="6" t="str">
        <f>HYPERLINK("http://mcgill.on.worldcat.org/oclc/815956641","Catalog Record")</f>
        <v>Catalog Record</v>
      </c>
      <c r="AW3379" s="6" t="str">
        <f>HYPERLINK("http://www.worldcat.org/oclc/815956641","WorldCat Record")</f>
        <v>WorldCat Record</v>
      </c>
      <c r="AX3379" s="3" t="s">
        <v>33484</v>
      </c>
      <c r="AY3379" s="3" t="s">
        <v>33485</v>
      </c>
      <c r="AZ3379" s="3" t="s">
        <v>33486</v>
      </c>
      <c r="BA3379" s="3" t="s">
        <v>33486</v>
      </c>
      <c r="BB3379" s="3" t="s">
        <v>33487</v>
      </c>
      <c r="BC3379" s="3" t="s">
        <v>77</v>
      </c>
      <c r="BD3379" s="3" t="s">
        <v>78</v>
      </c>
      <c r="BE3379" s="3" t="s">
        <v>33488</v>
      </c>
      <c r="BF3379" s="3" t="s">
        <v>33487</v>
      </c>
      <c r="BG3379" s="3" t="s">
        <v>33489</v>
      </c>
    </row>
    <row r="3380" spans="1:59" ht="72.5" x14ac:dyDescent="0.35">
      <c r="A3380" s="2" t="s">
        <v>59</v>
      </c>
      <c r="B3380" s="2" t="s">
        <v>60</v>
      </c>
      <c r="C3380" s="2" t="s">
        <v>33490</v>
      </c>
      <c r="D3380" s="2" t="s">
        <v>33491</v>
      </c>
      <c r="E3380" s="2" t="s">
        <v>33492</v>
      </c>
      <c r="G3380" s="3" t="s">
        <v>65</v>
      </c>
      <c r="I3380" s="3" t="s">
        <v>65</v>
      </c>
      <c r="J3380" s="3" t="s">
        <v>65</v>
      </c>
      <c r="K3380" s="3" t="s">
        <v>66</v>
      </c>
      <c r="L3380" s="2" t="s">
        <v>33493</v>
      </c>
      <c r="M3380" s="2" t="s">
        <v>14117</v>
      </c>
      <c r="N3380" s="3" t="s">
        <v>2210</v>
      </c>
      <c r="P3380" s="3" t="s">
        <v>69</v>
      </c>
      <c r="R3380" s="3" t="s">
        <v>71</v>
      </c>
      <c r="S3380" s="4">
        <v>6</v>
      </c>
      <c r="T3380" s="4">
        <v>6</v>
      </c>
      <c r="U3380" s="5" t="s">
        <v>25471</v>
      </c>
      <c r="V3380" s="5" t="s">
        <v>25471</v>
      </c>
      <c r="W3380" s="5" t="s">
        <v>72</v>
      </c>
      <c r="X3380" s="5" t="s">
        <v>72</v>
      </c>
      <c r="Y3380" s="4">
        <v>24</v>
      </c>
      <c r="Z3380" s="4">
        <v>1</v>
      </c>
      <c r="AA3380" s="4">
        <v>5</v>
      </c>
      <c r="AB3380" s="4">
        <v>1</v>
      </c>
      <c r="AC3380" s="4">
        <v>1</v>
      </c>
      <c r="AD3380" s="4">
        <v>5</v>
      </c>
      <c r="AE3380" s="4">
        <v>38</v>
      </c>
      <c r="AF3380" s="4">
        <v>0</v>
      </c>
      <c r="AG3380" s="4">
        <v>0</v>
      </c>
      <c r="AH3380" s="4">
        <v>5</v>
      </c>
      <c r="AI3380" s="4">
        <v>35</v>
      </c>
      <c r="AJ3380" s="4">
        <v>0</v>
      </c>
      <c r="AK3380" s="4">
        <v>2</v>
      </c>
      <c r="AL3380" s="4">
        <v>4</v>
      </c>
      <c r="AM3380" s="4">
        <v>29</v>
      </c>
      <c r="AN3380" s="4">
        <v>0</v>
      </c>
      <c r="AO3380" s="4">
        <v>0</v>
      </c>
      <c r="AP3380" s="4">
        <v>0</v>
      </c>
      <c r="AQ3380" s="4">
        <v>2</v>
      </c>
      <c r="AR3380" s="3" t="s">
        <v>65</v>
      </c>
      <c r="AS3380" s="3" t="s">
        <v>65</v>
      </c>
      <c r="AT3380" s="3" t="s">
        <v>209</v>
      </c>
      <c r="AU3380" s="6" t="str">
        <f>HYPERLINK("http://catalog.hathitrust.org/Record/004358189","HathiTrust Record")</f>
        <v>HathiTrust Record</v>
      </c>
      <c r="AV3380" s="6" t="str">
        <f>HYPERLINK("http://mcgill.on.worldcat.org/oclc/240544751","Catalog Record")</f>
        <v>Catalog Record</v>
      </c>
      <c r="AW3380" s="6" t="str">
        <f>HYPERLINK("http://www.worldcat.org/oclc/240544751","WorldCat Record")</f>
        <v>WorldCat Record</v>
      </c>
      <c r="AX3380" s="3" t="s">
        <v>33494</v>
      </c>
      <c r="AY3380" s="3" t="s">
        <v>33495</v>
      </c>
      <c r="AZ3380" s="3" t="s">
        <v>33496</v>
      </c>
      <c r="BA3380" s="3" t="s">
        <v>33496</v>
      </c>
      <c r="BB3380" s="3" t="s">
        <v>33497</v>
      </c>
      <c r="BC3380" s="3" t="s">
        <v>77</v>
      </c>
      <c r="BD3380" s="3" t="s">
        <v>78</v>
      </c>
      <c r="BE3380" s="3" t="s">
        <v>33498</v>
      </c>
      <c r="BF3380" s="3" t="s">
        <v>33497</v>
      </c>
      <c r="BG3380" s="3" t="s">
        <v>33499</v>
      </c>
    </row>
    <row r="3381" spans="1:59" ht="72.5" x14ac:dyDescent="0.35">
      <c r="A3381" s="2" t="s">
        <v>59</v>
      </c>
      <c r="B3381" s="2" t="s">
        <v>60</v>
      </c>
      <c r="C3381" s="2" t="s">
        <v>33500</v>
      </c>
      <c r="D3381" s="2" t="s">
        <v>33501</v>
      </c>
      <c r="E3381" s="2" t="s">
        <v>33502</v>
      </c>
      <c r="G3381" s="3" t="s">
        <v>65</v>
      </c>
      <c r="I3381" s="3" t="s">
        <v>65</v>
      </c>
      <c r="J3381" s="3" t="s">
        <v>65</v>
      </c>
      <c r="K3381" s="3" t="s">
        <v>66</v>
      </c>
      <c r="L3381" s="2" t="s">
        <v>33503</v>
      </c>
      <c r="M3381" s="2" t="s">
        <v>33504</v>
      </c>
      <c r="N3381" s="3" t="s">
        <v>364</v>
      </c>
      <c r="P3381" s="3" t="s">
        <v>69</v>
      </c>
      <c r="R3381" s="3" t="s">
        <v>71</v>
      </c>
      <c r="S3381" s="4">
        <v>14</v>
      </c>
      <c r="T3381" s="4">
        <v>14</v>
      </c>
      <c r="U3381" s="5" t="s">
        <v>4833</v>
      </c>
      <c r="V3381" s="5" t="s">
        <v>4833</v>
      </c>
      <c r="W3381" s="5" t="s">
        <v>72</v>
      </c>
      <c r="X3381" s="5" t="s">
        <v>72</v>
      </c>
      <c r="Y3381" s="4">
        <v>77</v>
      </c>
      <c r="Z3381" s="4">
        <v>6</v>
      </c>
      <c r="AA3381" s="4">
        <v>23</v>
      </c>
      <c r="AB3381" s="4">
        <v>2</v>
      </c>
      <c r="AC3381" s="4">
        <v>4</v>
      </c>
      <c r="AD3381" s="4">
        <v>36</v>
      </c>
      <c r="AE3381" s="4">
        <v>85</v>
      </c>
      <c r="AF3381" s="4">
        <v>0</v>
      </c>
      <c r="AG3381" s="4">
        <v>0</v>
      </c>
      <c r="AH3381" s="4">
        <v>35</v>
      </c>
      <c r="AI3381" s="4">
        <v>80</v>
      </c>
      <c r="AJ3381" s="4">
        <v>3</v>
      </c>
      <c r="AK3381" s="4">
        <v>8</v>
      </c>
      <c r="AL3381" s="4">
        <v>26</v>
      </c>
      <c r="AM3381" s="4">
        <v>50</v>
      </c>
      <c r="AN3381" s="4">
        <v>0</v>
      </c>
      <c r="AO3381" s="4">
        <v>0</v>
      </c>
      <c r="AP3381" s="4">
        <v>3</v>
      </c>
      <c r="AQ3381" s="4">
        <v>8</v>
      </c>
      <c r="AR3381" s="3" t="s">
        <v>65</v>
      </c>
      <c r="AS3381" s="3" t="s">
        <v>65</v>
      </c>
      <c r="AT3381" s="3" t="s">
        <v>209</v>
      </c>
      <c r="AU3381" s="6" t="str">
        <f>HYPERLINK("http://catalog.hathitrust.org/Record/004210797","HathiTrust Record")</f>
        <v>HathiTrust Record</v>
      </c>
      <c r="AV3381" s="6" t="str">
        <f>HYPERLINK("http://mcgill.on.worldcat.org/oclc/46394958","Catalog Record")</f>
        <v>Catalog Record</v>
      </c>
      <c r="AW3381" s="6" t="str">
        <f>HYPERLINK("http://www.worldcat.org/oclc/46394958","WorldCat Record")</f>
        <v>WorldCat Record</v>
      </c>
      <c r="AX3381" s="3" t="s">
        <v>33505</v>
      </c>
      <c r="AY3381" s="3" t="s">
        <v>33506</v>
      </c>
      <c r="AZ3381" s="3" t="s">
        <v>33507</v>
      </c>
      <c r="BA3381" s="3" t="s">
        <v>33507</v>
      </c>
      <c r="BB3381" s="3" t="s">
        <v>33508</v>
      </c>
      <c r="BC3381" s="3" t="s">
        <v>77</v>
      </c>
      <c r="BD3381" s="3" t="s">
        <v>78</v>
      </c>
      <c r="BE3381" s="3" t="s">
        <v>33509</v>
      </c>
      <c r="BF3381" s="3" t="s">
        <v>33508</v>
      </c>
      <c r="BG3381" s="3" t="s">
        <v>33510</v>
      </c>
    </row>
    <row r="3382" spans="1:59" ht="72.5" x14ac:dyDescent="0.35">
      <c r="A3382" s="2" t="s">
        <v>59</v>
      </c>
      <c r="B3382" s="2" t="s">
        <v>60</v>
      </c>
      <c r="C3382" s="2" t="s">
        <v>33511</v>
      </c>
      <c r="D3382" s="2" t="s">
        <v>33512</v>
      </c>
      <c r="E3382" s="2" t="s">
        <v>33513</v>
      </c>
      <c r="G3382" s="3" t="s">
        <v>65</v>
      </c>
      <c r="I3382" s="3" t="s">
        <v>65</v>
      </c>
      <c r="J3382" s="3" t="s">
        <v>65</v>
      </c>
      <c r="K3382" s="3" t="s">
        <v>66</v>
      </c>
      <c r="L3382" s="2" t="s">
        <v>33503</v>
      </c>
      <c r="M3382" s="2" t="s">
        <v>33514</v>
      </c>
      <c r="N3382" s="3" t="s">
        <v>139</v>
      </c>
      <c r="P3382" s="3" t="s">
        <v>69</v>
      </c>
      <c r="R3382" s="3" t="s">
        <v>71</v>
      </c>
      <c r="S3382" s="4">
        <v>3</v>
      </c>
      <c r="T3382" s="4">
        <v>3</v>
      </c>
      <c r="U3382" s="5" t="s">
        <v>33515</v>
      </c>
      <c r="V3382" s="5" t="s">
        <v>33515</v>
      </c>
      <c r="W3382" s="5" t="s">
        <v>72</v>
      </c>
      <c r="X3382" s="5" t="s">
        <v>72</v>
      </c>
      <c r="Y3382" s="4">
        <v>122</v>
      </c>
      <c r="Z3382" s="4">
        <v>17</v>
      </c>
      <c r="AA3382" s="4">
        <v>19</v>
      </c>
      <c r="AB3382" s="4">
        <v>4</v>
      </c>
      <c r="AC3382" s="4">
        <v>6</v>
      </c>
      <c r="AD3382" s="4">
        <v>42</v>
      </c>
      <c r="AE3382" s="4">
        <v>44</v>
      </c>
      <c r="AF3382" s="4">
        <v>0</v>
      </c>
      <c r="AG3382" s="4">
        <v>0</v>
      </c>
      <c r="AH3382" s="4">
        <v>38</v>
      </c>
      <c r="AI3382" s="4">
        <v>40</v>
      </c>
      <c r="AJ3382" s="4">
        <v>5</v>
      </c>
      <c r="AK3382" s="4">
        <v>5</v>
      </c>
      <c r="AL3382" s="4">
        <v>27</v>
      </c>
      <c r="AM3382" s="4">
        <v>27</v>
      </c>
      <c r="AN3382" s="4">
        <v>0</v>
      </c>
      <c r="AO3382" s="4">
        <v>0</v>
      </c>
      <c r="AP3382" s="4">
        <v>5</v>
      </c>
      <c r="AQ3382" s="4">
        <v>5</v>
      </c>
      <c r="AR3382" s="3" t="s">
        <v>65</v>
      </c>
      <c r="AS3382" s="3" t="s">
        <v>65</v>
      </c>
      <c r="AT3382" s="3" t="s">
        <v>65</v>
      </c>
      <c r="AV3382" s="6" t="str">
        <f>HYPERLINK("http://mcgill.on.worldcat.org/oclc/741539008","Catalog Record")</f>
        <v>Catalog Record</v>
      </c>
      <c r="AW3382" s="6" t="str">
        <f>HYPERLINK("http://www.worldcat.org/oclc/741539008","WorldCat Record")</f>
        <v>WorldCat Record</v>
      </c>
      <c r="AX3382" s="3" t="s">
        <v>33516</v>
      </c>
      <c r="AY3382" s="3" t="s">
        <v>33517</v>
      </c>
      <c r="AZ3382" s="3" t="s">
        <v>33518</v>
      </c>
      <c r="BA3382" s="3" t="s">
        <v>33518</v>
      </c>
      <c r="BB3382" s="3" t="s">
        <v>33519</v>
      </c>
      <c r="BC3382" s="3" t="s">
        <v>77</v>
      </c>
      <c r="BD3382" s="3" t="s">
        <v>78</v>
      </c>
      <c r="BE3382" s="3" t="s">
        <v>33520</v>
      </c>
      <c r="BF3382" s="3" t="s">
        <v>33519</v>
      </c>
      <c r="BG3382" s="3" t="s">
        <v>33521</v>
      </c>
    </row>
    <row r="3383" spans="1:59" ht="72.5" x14ac:dyDescent="0.35">
      <c r="A3383" s="2" t="s">
        <v>59</v>
      </c>
      <c r="B3383" s="2" t="s">
        <v>60</v>
      </c>
      <c r="C3383" s="2" t="s">
        <v>33522</v>
      </c>
      <c r="D3383" s="2" t="s">
        <v>33523</v>
      </c>
      <c r="E3383" s="2" t="s">
        <v>33524</v>
      </c>
      <c r="G3383" s="3" t="s">
        <v>65</v>
      </c>
      <c r="I3383" s="3" t="s">
        <v>65</v>
      </c>
      <c r="J3383" s="3" t="s">
        <v>65</v>
      </c>
      <c r="K3383" s="3" t="s">
        <v>66</v>
      </c>
      <c r="L3383" s="2" t="s">
        <v>33503</v>
      </c>
      <c r="M3383" s="2" t="s">
        <v>24921</v>
      </c>
      <c r="N3383" s="3" t="s">
        <v>1122</v>
      </c>
      <c r="O3383" s="2" t="s">
        <v>33052</v>
      </c>
      <c r="P3383" s="3" t="s">
        <v>140</v>
      </c>
      <c r="Q3383" s="2" t="s">
        <v>33053</v>
      </c>
      <c r="R3383" s="3" t="s">
        <v>71</v>
      </c>
      <c r="S3383" s="4">
        <v>3</v>
      </c>
      <c r="T3383" s="4">
        <v>3</v>
      </c>
      <c r="U3383" s="5" t="s">
        <v>33525</v>
      </c>
      <c r="V3383" s="5" t="s">
        <v>33525</v>
      </c>
      <c r="W3383" s="5" t="s">
        <v>72</v>
      </c>
      <c r="X3383" s="5" t="s">
        <v>72</v>
      </c>
      <c r="Y3383" s="4">
        <v>88</v>
      </c>
      <c r="Z3383" s="4">
        <v>9</v>
      </c>
      <c r="AA3383" s="4">
        <v>11</v>
      </c>
      <c r="AB3383" s="4">
        <v>1</v>
      </c>
      <c r="AC3383" s="4">
        <v>3</v>
      </c>
      <c r="AD3383" s="4">
        <v>47</v>
      </c>
      <c r="AE3383" s="4">
        <v>48</v>
      </c>
      <c r="AF3383" s="4">
        <v>0</v>
      </c>
      <c r="AG3383" s="4">
        <v>1</v>
      </c>
      <c r="AH3383" s="4">
        <v>46</v>
      </c>
      <c r="AI3383" s="4">
        <v>46</v>
      </c>
      <c r="AJ3383" s="4">
        <v>4</v>
      </c>
      <c r="AK3383" s="4">
        <v>5</v>
      </c>
      <c r="AL3383" s="4">
        <v>33</v>
      </c>
      <c r="AM3383" s="4">
        <v>33</v>
      </c>
      <c r="AN3383" s="4">
        <v>0</v>
      </c>
      <c r="AO3383" s="4">
        <v>0</v>
      </c>
      <c r="AP3383" s="4">
        <v>4</v>
      </c>
      <c r="AQ3383" s="4">
        <v>4</v>
      </c>
      <c r="AR3383" s="3" t="s">
        <v>65</v>
      </c>
      <c r="AS3383" s="3" t="s">
        <v>65</v>
      </c>
      <c r="AT3383" s="3" t="s">
        <v>65</v>
      </c>
      <c r="AV3383" s="6" t="str">
        <f>HYPERLINK("http://mcgill.on.worldcat.org/oclc/466430333","Catalog Record")</f>
        <v>Catalog Record</v>
      </c>
      <c r="AW3383" s="6" t="str">
        <f>HYPERLINK("http://www.worldcat.org/oclc/466430333","WorldCat Record")</f>
        <v>WorldCat Record</v>
      </c>
      <c r="AX3383" s="3" t="s">
        <v>33526</v>
      </c>
      <c r="AY3383" s="3" t="s">
        <v>33527</v>
      </c>
      <c r="AZ3383" s="3" t="s">
        <v>33528</v>
      </c>
      <c r="BA3383" s="3" t="s">
        <v>33528</v>
      </c>
      <c r="BB3383" s="3" t="s">
        <v>33529</v>
      </c>
      <c r="BC3383" s="3" t="s">
        <v>77</v>
      </c>
      <c r="BD3383" s="3" t="s">
        <v>78</v>
      </c>
      <c r="BE3383" s="3" t="s">
        <v>33530</v>
      </c>
      <c r="BF3383" s="3" t="s">
        <v>33529</v>
      </c>
      <c r="BG3383" s="3" t="s">
        <v>33531</v>
      </c>
    </row>
    <row r="3384" spans="1:59" ht="72.5" x14ac:dyDescent="0.35">
      <c r="A3384" s="2" t="s">
        <v>59</v>
      </c>
      <c r="B3384" s="2" t="s">
        <v>60</v>
      </c>
      <c r="C3384" s="2" t="s">
        <v>33532</v>
      </c>
      <c r="D3384" s="2" t="s">
        <v>33533</v>
      </c>
      <c r="E3384" s="2" t="s">
        <v>33534</v>
      </c>
      <c r="G3384" s="3" t="s">
        <v>65</v>
      </c>
      <c r="I3384" s="3" t="s">
        <v>65</v>
      </c>
      <c r="J3384" s="3" t="s">
        <v>65</v>
      </c>
      <c r="K3384" s="3" t="s">
        <v>66</v>
      </c>
      <c r="L3384" s="2" t="s">
        <v>33503</v>
      </c>
      <c r="M3384" s="2" t="s">
        <v>33535</v>
      </c>
      <c r="N3384" s="3" t="s">
        <v>126</v>
      </c>
      <c r="P3384" s="3" t="s">
        <v>140</v>
      </c>
      <c r="Q3384" s="2" t="s">
        <v>33536</v>
      </c>
      <c r="R3384" s="3" t="s">
        <v>71</v>
      </c>
      <c r="S3384" s="4">
        <v>0</v>
      </c>
      <c r="T3384" s="4">
        <v>0</v>
      </c>
      <c r="W3384" s="5" t="s">
        <v>72</v>
      </c>
      <c r="X3384" s="5" t="s">
        <v>72</v>
      </c>
      <c r="Y3384" s="4">
        <v>23</v>
      </c>
      <c r="Z3384" s="4">
        <v>1</v>
      </c>
      <c r="AA3384" s="4">
        <v>6</v>
      </c>
      <c r="AB3384" s="4">
        <v>1</v>
      </c>
      <c r="AC3384" s="4">
        <v>2</v>
      </c>
      <c r="AD3384" s="4">
        <v>6</v>
      </c>
      <c r="AE3384" s="4">
        <v>14</v>
      </c>
      <c r="AF3384" s="4">
        <v>0</v>
      </c>
      <c r="AG3384" s="4">
        <v>1</v>
      </c>
      <c r="AH3384" s="4">
        <v>6</v>
      </c>
      <c r="AI3384" s="4">
        <v>13</v>
      </c>
      <c r="AJ3384" s="4">
        <v>0</v>
      </c>
      <c r="AK3384" s="4">
        <v>4</v>
      </c>
      <c r="AL3384" s="4">
        <v>4</v>
      </c>
      <c r="AM3384" s="4">
        <v>8</v>
      </c>
      <c r="AN3384" s="4">
        <v>0</v>
      </c>
      <c r="AO3384" s="4">
        <v>0</v>
      </c>
      <c r="AP3384" s="4">
        <v>0</v>
      </c>
      <c r="AQ3384" s="4">
        <v>3</v>
      </c>
      <c r="AR3384" s="3" t="s">
        <v>65</v>
      </c>
      <c r="AS3384" s="3" t="s">
        <v>65</v>
      </c>
      <c r="AT3384" s="3" t="s">
        <v>65</v>
      </c>
      <c r="AV3384" s="6" t="str">
        <f>HYPERLINK("http://mcgill.on.worldcat.org/oclc/761167790","Catalog Record")</f>
        <v>Catalog Record</v>
      </c>
      <c r="AW3384" s="6" t="str">
        <f>HYPERLINK("http://www.worldcat.org/oclc/761167790","WorldCat Record")</f>
        <v>WorldCat Record</v>
      </c>
      <c r="AX3384" s="3" t="s">
        <v>33537</v>
      </c>
      <c r="AY3384" s="3" t="s">
        <v>33538</v>
      </c>
      <c r="AZ3384" s="3" t="s">
        <v>33539</v>
      </c>
      <c r="BA3384" s="3" t="s">
        <v>33539</v>
      </c>
      <c r="BB3384" s="3" t="s">
        <v>33540</v>
      </c>
      <c r="BC3384" s="3" t="s">
        <v>77</v>
      </c>
      <c r="BD3384" s="3" t="s">
        <v>78</v>
      </c>
      <c r="BE3384" s="3" t="s">
        <v>33541</v>
      </c>
      <c r="BF3384" s="3" t="s">
        <v>33540</v>
      </c>
      <c r="BG3384" s="3" t="s">
        <v>33542</v>
      </c>
    </row>
    <row r="3385" spans="1:59" ht="72.5" x14ac:dyDescent="0.35">
      <c r="A3385" s="2" t="s">
        <v>59</v>
      </c>
      <c r="B3385" s="2" t="s">
        <v>60</v>
      </c>
      <c r="C3385" s="2" t="s">
        <v>33543</v>
      </c>
      <c r="D3385" s="2" t="s">
        <v>33544</v>
      </c>
      <c r="E3385" s="2" t="s">
        <v>33545</v>
      </c>
      <c r="G3385" s="3" t="s">
        <v>65</v>
      </c>
      <c r="I3385" s="3" t="s">
        <v>65</v>
      </c>
      <c r="J3385" s="3" t="s">
        <v>65</v>
      </c>
      <c r="K3385" s="3" t="s">
        <v>66</v>
      </c>
      <c r="L3385" s="2" t="s">
        <v>33503</v>
      </c>
      <c r="M3385" s="2" t="s">
        <v>33546</v>
      </c>
      <c r="N3385" s="3" t="s">
        <v>139</v>
      </c>
      <c r="O3385" s="2" t="s">
        <v>365</v>
      </c>
      <c r="P3385" s="3" t="s">
        <v>7374</v>
      </c>
      <c r="Q3385" s="2" t="s">
        <v>33547</v>
      </c>
      <c r="R3385" s="3" t="s">
        <v>71</v>
      </c>
      <c r="S3385" s="4">
        <v>0</v>
      </c>
      <c r="T3385" s="4">
        <v>0</v>
      </c>
      <c r="W3385" s="5" t="s">
        <v>72</v>
      </c>
      <c r="X3385" s="5" t="s">
        <v>72</v>
      </c>
      <c r="Y3385" s="4">
        <v>9</v>
      </c>
      <c r="Z3385" s="4">
        <v>2</v>
      </c>
      <c r="AA3385" s="4">
        <v>2</v>
      </c>
      <c r="AB3385" s="4">
        <v>1</v>
      </c>
      <c r="AC3385" s="4">
        <v>1</v>
      </c>
      <c r="AD3385" s="4">
        <v>1</v>
      </c>
      <c r="AE3385" s="4">
        <v>1</v>
      </c>
      <c r="AF3385" s="4">
        <v>0</v>
      </c>
      <c r="AG3385" s="4">
        <v>0</v>
      </c>
      <c r="AH3385" s="4">
        <v>1</v>
      </c>
      <c r="AI3385" s="4">
        <v>1</v>
      </c>
      <c r="AJ3385" s="4">
        <v>0</v>
      </c>
      <c r="AK3385" s="4">
        <v>0</v>
      </c>
      <c r="AL3385" s="4">
        <v>1</v>
      </c>
      <c r="AM3385" s="4">
        <v>1</v>
      </c>
      <c r="AN3385" s="4">
        <v>0</v>
      </c>
      <c r="AO3385" s="4">
        <v>0</v>
      </c>
      <c r="AP3385" s="4">
        <v>0</v>
      </c>
      <c r="AQ3385" s="4">
        <v>0</v>
      </c>
      <c r="AR3385" s="3" t="s">
        <v>65</v>
      </c>
      <c r="AS3385" s="3" t="s">
        <v>65</v>
      </c>
      <c r="AT3385" s="3" t="s">
        <v>65</v>
      </c>
      <c r="AV3385" s="6" t="str">
        <f>HYPERLINK("http://mcgill.on.worldcat.org/oclc/820454452","Catalog Record")</f>
        <v>Catalog Record</v>
      </c>
      <c r="AW3385" s="6" t="str">
        <f>HYPERLINK("http://www.worldcat.org/oclc/820454452","WorldCat Record")</f>
        <v>WorldCat Record</v>
      </c>
      <c r="AX3385" s="3" t="s">
        <v>33548</v>
      </c>
      <c r="AY3385" s="3" t="s">
        <v>33549</v>
      </c>
      <c r="AZ3385" s="3" t="s">
        <v>33550</v>
      </c>
      <c r="BA3385" s="3" t="s">
        <v>33550</v>
      </c>
      <c r="BB3385" s="3" t="s">
        <v>33551</v>
      </c>
      <c r="BC3385" s="3" t="s">
        <v>77</v>
      </c>
      <c r="BD3385" s="3" t="s">
        <v>78</v>
      </c>
      <c r="BE3385" s="3" t="s">
        <v>33552</v>
      </c>
      <c r="BF3385" s="3" t="s">
        <v>33551</v>
      </c>
      <c r="BG3385" s="3" t="s">
        <v>33553</v>
      </c>
    </row>
    <row r="3386" spans="1:59" ht="72.5" x14ac:dyDescent="0.35">
      <c r="A3386" s="2" t="s">
        <v>59</v>
      </c>
      <c r="B3386" s="2" t="s">
        <v>60</v>
      </c>
      <c r="C3386" s="2" t="s">
        <v>33554</v>
      </c>
      <c r="D3386" s="2" t="s">
        <v>33555</v>
      </c>
      <c r="E3386" s="2" t="s">
        <v>33556</v>
      </c>
      <c r="G3386" s="3" t="s">
        <v>65</v>
      </c>
      <c r="I3386" s="3" t="s">
        <v>65</v>
      </c>
      <c r="J3386" s="3" t="s">
        <v>65</v>
      </c>
      <c r="K3386" s="3" t="s">
        <v>66</v>
      </c>
      <c r="L3386" s="2" t="s">
        <v>33557</v>
      </c>
      <c r="M3386" s="2" t="s">
        <v>33558</v>
      </c>
      <c r="N3386" s="3" t="s">
        <v>113</v>
      </c>
      <c r="P3386" s="3" t="s">
        <v>69</v>
      </c>
      <c r="Q3386" s="2" t="s">
        <v>33559</v>
      </c>
      <c r="R3386" s="3" t="s">
        <v>71</v>
      </c>
      <c r="S3386" s="4">
        <v>3</v>
      </c>
      <c r="T3386" s="4">
        <v>3</v>
      </c>
      <c r="U3386" s="5" t="s">
        <v>33560</v>
      </c>
      <c r="V3386" s="5" t="s">
        <v>33560</v>
      </c>
      <c r="W3386" s="5" t="s">
        <v>72</v>
      </c>
      <c r="X3386" s="5" t="s">
        <v>72</v>
      </c>
      <c r="Y3386" s="4">
        <v>78</v>
      </c>
      <c r="Z3386" s="4">
        <v>5</v>
      </c>
      <c r="AA3386" s="4">
        <v>5</v>
      </c>
      <c r="AB3386" s="4">
        <v>1</v>
      </c>
      <c r="AC3386" s="4">
        <v>1</v>
      </c>
      <c r="AD3386" s="4">
        <v>41</v>
      </c>
      <c r="AE3386" s="4">
        <v>41</v>
      </c>
      <c r="AF3386" s="4">
        <v>0</v>
      </c>
      <c r="AG3386" s="4">
        <v>0</v>
      </c>
      <c r="AH3386" s="4">
        <v>38</v>
      </c>
      <c r="AI3386" s="4">
        <v>38</v>
      </c>
      <c r="AJ3386" s="4">
        <v>4</v>
      </c>
      <c r="AK3386" s="4">
        <v>4</v>
      </c>
      <c r="AL3386" s="4">
        <v>26</v>
      </c>
      <c r="AM3386" s="4">
        <v>26</v>
      </c>
      <c r="AN3386" s="4">
        <v>0</v>
      </c>
      <c r="AO3386" s="4">
        <v>0</v>
      </c>
      <c r="AP3386" s="4">
        <v>4</v>
      </c>
      <c r="AQ3386" s="4">
        <v>4</v>
      </c>
      <c r="AR3386" s="3" t="s">
        <v>65</v>
      </c>
      <c r="AS3386" s="3" t="s">
        <v>65</v>
      </c>
      <c r="AT3386" s="3" t="s">
        <v>65</v>
      </c>
      <c r="AV3386" s="6" t="str">
        <f>HYPERLINK("http://mcgill.on.worldcat.org/oclc/671531615","Catalog Record")</f>
        <v>Catalog Record</v>
      </c>
      <c r="AW3386" s="6" t="str">
        <f>HYPERLINK("http://www.worldcat.org/oclc/671531615","WorldCat Record")</f>
        <v>WorldCat Record</v>
      </c>
      <c r="AX3386" s="3" t="s">
        <v>33561</v>
      </c>
      <c r="AY3386" s="3" t="s">
        <v>33562</v>
      </c>
      <c r="AZ3386" s="3" t="s">
        <v>33563</v>
      </c>
      <c r="BA3386" s="3" t="s">
        <v>33563</v>
      </c>
      <c r="BB3386" s="3" t="s">
        <v>33564</v>
      </c>
      <c r="BC3386" s="3" t="s">
        <v>77</v>
      </c>
      <c r="BD3386" s="3" t="s">
        <v>78</v>
      </c>
      <c r="BE3386" s="3" t="s">
        <v>33565</v>
      </c>
      <c r="BF3386" s="3" t="s">
        <v>33564</v>
      </c>
      <c r="BG3386" s="3" t="s">
        <v>33566</v>
      </c>
    </row>
    <row r="3387" spans="1:59" ht="72.5" x14ac:dyDescent="0.35">
      <c r="A3387" s="2" t="s">
        <v>59</v>
      </c>
      <c r="B3387" s="2" t="s">
        <v>60</v>
      </c>
      <c r="C3387" s="2" t="s">
        <v>33567</v>
      </c>
      <c r="D3387" s="2" t="s">
        <v>33568</v>
      </c>
      <c r="E3387" s="2" t="s">
        <v>33569</v>
      </c>
      <c r="G3387" s="3" t="s">
        <v>65</v>
      </c>
      <c r="I3387" s="3" t="s">
        <v>65</v>
      </c>
      <c r="J3387" s="3" t="s">
        <v>65</v>
      </c>
      <c r="K3387" s="3" t="s">
        <v>66</v>
      </c>
      <c r="L3387" s="2" t="s">
        <v>33503</v>
      </c>
      <c r="M3387" s="2" t="s">
        <v>33570</v>
      </c>
      <c r="N3387" s="3" t="s">
        <v>3385</v>
      </c>
      <c r="O3387" s="2" t="s">
        <v>2086</v>
      </c>
      <c r="P3387" s="3" t="s">
        <v>69</v>
      </c>
      <c r="R3387" s="3" t="s">
        <v>71</v>
      </c>
      <c r="S3387" s="4">
        <v>20</v>
      </c>
      <c r="T3387" s="4">
        <v>20</v>
      </c>
      <c r="U3387" s="5" t="s">
        <v>11625</v>
      </c>
      <c r="V3387" s="5" t="s">
        <v>11625</v>
      </c>
      <c r="W3387" s="5" t="s">
        <v>72</v>
      </c>
      <c r="X3387" s="5" t="s">
        <v>72</v>
      </c>
      <c r="Y3387" s="4">
        <v>406</v>
      </c>
      <c r="Z3387" s="4">
        <v>27</v>
      </c>
      <c r="AA3387" s="4">
        <v>39</v>
      </c>
      <c r="AB3387" s="4">
        <v>2</v>
      </c>
      <c r="AC3387" s="4">
        <v>5</v>
      </c>
      <c r="AD3387" s="4">
        <v>81</v>
      </c>
      <c r="AE3387" s="4">
        <v>89</v>
      </c>
      <c r="AF3387" s="4">
        <v>1</v>
      </c>
      <c r="AG3387" s="4">
        <v>1</v>
      </c>
      <c r="AH3387" s="4">
        <v>77</v>
      </c>
      <c r="AI3387" s="4">
        <v>83</v>
      </c>
      <c r="AJ3387" s="4">
        <v>4</v>
      </c>
      <c r="AK3387" s="4">
        <v>10</v>
      </c>
      <c r="AL3387" s="4">
        <v>48</v>
      </c>
      <c r="AM3387" s="4">
        <v>49</v>
      </c>
      <c r="AN3387" s="4">
        <v>0</v>
      </c>
      <c r="AO3387" s="4">
        <v>0</v>
      </c>
      <c r="AP3387" s="4">
        <v>5</v>
      </c>
      <c r="AQ3387" s="4">
        <v>11</v>
      </c>
      <c r="AR3387" s="3" t="s">
        <v>65</v>
      </c>
      <c r="AS3387" s="3" t="s">
        <v>65</v>
      </c>
      <c r="AT3387" s="3" t="s">
        <v>209</v>
      </c>
      <c r="AU3387" s="6" t="str">
        <f>HYPERLINK("http://catalog.hathitrust.org/Record/004026674","HathiTrust Record")</f>
        <v>HathiTrust Record</v>
      </c>
      <c r="AV3387" s="6" t="str">
        <f>HYPERLINK("http://mcgill.on.worldcat.org/oclc/39539054","Catalog Record")</f>
        <v>Catalog Record</v>
      </c>
      <c r="AW3387" s="6" t="str">
        <f>HYPERLINK("http://www.worldcat.org/oclc/39539054","WorldCat Record")</f>
        <v>WorldCat Record</v>
      </c>
      <c r="AX3387" s="3" t="s">
        <v>33571</v>
      </c>
      <c r="AY3387" s="3" t="s">
        <v>33572</v>
      </c>
      <c r="AZ3387" s="3" t="s">
        <v>33573</v>
      </c>
      <c r="BA3387" s="3" t="s">
        <v>33573</v>
      </c>
      <c r="BB3387" s="3" t="s">
        <v>33574</v>
      </c>
      <c r="BC3387" s="3" t="s">
        <v>77</v>
      </c>
      <c r="BD3387" s="3" t="s">
        <v>78</v>
      </c>
      <c r="BE3387" s="3" t="s">
        <v>33575</v>
      </c>
      <c r="BF3387" s="3" t="s">
        <v>33574</v>
      </c>
      <c r="BG3387" s="3" t="s">
        <v>33576</v>
      </c>
    </row>
    <row r="3388" spans="1:59" ht="72.5" x14ac:dyDescent="0.35">
      <c r="A3388" s="2" t="s">
        <v>59</v>
      </c>
      <c r="B3388" s="2" t="s">
        <v>60</v>
      </c>
      <c r="C3388" s="2" t="s">
        <v>33577</v>
      </c>
      <c r="D3388" s="2" t="s">
        <v>33578</v>
      </c>
      <c r="E3388" s="2" t="s">
        <v>33579</v>
      </c>
      <c r="G3388" s="3" t="s">
        <v>65</v>
      </c>
      <c r="I3388" s="3" t="s">
        <v>65</v>
      </c>
      <c r="J3388" s="3" t="s">
        <v>65</v>
      </c>
      <c r="K3388" s="3" t="s">
        <v>66</v>
      </c>
      <c r="L3388" s="2" t="s">
        <v>33503</v>
      </c>
      <c r="M3388" s="2" t="s">
        <v>33580</v>
      </c>
      <c r="N3388" s="3" t="s">
        <v>99</v>
      </c>
      <c r="O3388" s="2" t="s">
        <v>526</v>
      </c>
      <c r="P3388" s="3" t="s">
        <v>69</v>
      </c>
      <c r="R3388" s="3" t="s">
        <v>71</v>
      </c>
      <c r="S3388" s="4">
        <v>11</v>
      </c>
      <c r="T3388" s="4">
        <v>11</v>
      </c>
      <c r="U3388" s="5" t="s">
        <v>33581</v>
      </c>
      <c r="V3388" s="5" t="s">
        <v>33581</v>
      </c>
      <c r="W3388" s="5" t="s">
        <v>72</v>
      </c>
      <c r="X3388" s="5" t="s">
        <v>72</v>
      </c>
      <c r="Y3388" s="4">
        <v>537</v>
      </c>
      <c r="Z3388" s="4">
        <v>22</v>
      </c>
      <c r="AA3388" s="4">
        <v>28</v>
      </c>
      <c r="AB3388" s="4">
        <v>2</v>
      </c>
      <c r="AC3388" s="4">
        <v>3</v>
      </c>
      <c r="AD3388" s="4">
        <v>76</v>
      </c>
      <c r="AE3388" s="4">
        <v>81</v>
      </c>
      <c r="AF3388" s="4">
        <v>0</v>
      </c>
      <c r="AG3388" s="4">
        <v>0</v>
      </c>
      <c r="AH3388" s="4">
        <v>73</v>
      </c>
      <c r="AI3388" s="4">
        <v>76</v>
      </c>
      <c r="AJ3388" s="4">
        <v>5</v>
      </c>
      <c r="AK3388" s="4">
        <v>8</v>
      </c>
      <c r="AL3388" s="4">
        <v>44</v>
      </c>
      <c r="AM3388" s="4">
        <v>44</v>
      </c>
      <c r="AN3388" s="4">
        <v>0</v>
      </c>
      <c r="AO3388" s="4">
        <v>0</v>
      </c>
      <c r="AP3388" s="4">
        <v>5</v>
      </c>
      <c r="AQ3388" s="4">
        <v>8</v>
      </c>
      <c r="AR3388" s="3" t="s">
        <v>65</v>
      </c>
      <c r="AS3388" s="3" t="s">
        <v>65</v>
      </c>
      <c r="AT3388" s="3" t="s">
        <v>209</v>
      </c>
      <c r="AU3388" s="6" t="str">
        <f>HYPERLINK("http://catalog.hathitrust.org/Record/005263252","HathiTrust Record")</f>
        <v>HathiTrust Record</v>
      </c>
      <c r="AV3388" s="6" t="str">
        <f>HYPERLINK("http://mcgill.on.worldcat.org/oclc/61694852","Catalog Record")</f>
        <v>Catalog Record</v>
      </c>
      <c r="AW3388" s="6" t="str">
        <f>HYPERLINK("http://www.worldcat.org/oclc/61694852","WorldCat Record")</f>
        <v>WorldCat Record</v>
      </c>
      <c r="AX3388" s="3" t="s">
        <v>33582</v>
      </c>
      <c r="AY3388" s="3" t="s">
        <v>33583</v>
      </c>
      <c r="AZ3388" s="3" t="s">
        <v>33584</v>
      </c>
      <c r="BA3388" s="3" t="s">
        <v>33584</v>
      </c>
      <c r="BB3388" s="3" t="s">
        <v>33585</v>
      </c>
      <c r="BC3388" s="3" t="s">
        <v>77</v>
      </c>
      <c r="BD3388" s="3" t="s">
        <v>78</v>
      </c>
      <c r="BE3388" s="3" t="s">
        <v>33586</v>
      </c>
      <c r="BF3388" s="3" t="s">
        <v>33585</v>
      </c>
      <c r="BG3388" s="3" t="s">
        <v>33587</v>
      </c>
    </row>
    <row r="3389" spans="1:59" ht="72.5" x14ac:dyDescent="0.35">
      <c r="A3389" s="2" t="s">
        <v>59</v>
      </c>
      <c r="B3389" s="2" t="s">
        <v>60</v>
      </c>
      <c r="C3389" s="2" t="s">
        <v>33588</v>
      </c>
      <c r="D3389" s="2" t="s">
        <v>33589</v>
      </c>
      <c r="E3389" s="2" t="s">
        <v>33590</v>
      </c>
      <c r="G3389" s="3" t="s">
        <v>65</v>
      </c>
      <c r="I3389" s="3" t="s">
        <v>65</v>
      </c>
      <c r="J3389" s="3" t="s">
        <v>65</v>
      </c>
      <c r="K3389" s="3" t="s">
        <v>66</v>
      </c>
      <c r="L3389" s="2" t="s">
        <v>33503</v>
      </c>
      <c r="M3389" s="2" t="s">
        <v>33591</v>
      </c>
      <c r="N3389" s="3" t="s">
        <v>1196</v>
      </c>
      <c r="P3389" s="3" t="s">
        <v>140</v>
      </c>
      <c r="R3389" s="3" t="s">
        <v>71</v>
      </c>
      <c r="S3389" s="4">
        <v>6</v>
      </c>
      <c r="T3389" s="4">
        <v>6</v>
      </c>
      <c r="U3389" s="5" t="s">
        <v>4833</v>
      </c>
      <c r="V3389" s="5" t="s">
        <v>4833</v>
      </c>
      <c r="W3389" s="5" t="s">
        <v>72</v>
      </c>
      <c r="X3389" s="5" t="s">
        <v>72</v>
      </c>
      <c r="Y3389" s="4">
        <v>90</v>
      </c>
      <c r="Z3389" s="4">
        <v>6</v>
      </c>
      <c r="AA3389" s="4">
        <v>7</v>
      </c>
      <c r="AB3389" s="4">
        <v>1</v>
      </c>
      <c r="AC3389" s="4">
        <v>2</v>
      </c>
      <c r="AD3389" s="4">
        <v>45</v>
      </c>
      <c r="AE3389" s="4">
        <v>46</v>
      </c>
      <c r="AF3389" s="4">
        <v>0</v>
      </c>
      <c r="AG3389" s="4">
        <v>1</v>
      </c>
      <c r="AH3389" s="4">
        <v>44</v>
      </c>
      <c r="AI3389" s="4">
        <v>44</v>
      </c>
      <c r="AJ3389" s="4">
        <v>4</v>
      </c>
      <c r="AK3389" s="4">
        <v>5</v>
      </c>
      <c r="AL3389" s="4">
        <v>32</v>
      </c>
      <c r="AM3389" s="4">
        <v>32</v>
      </c>
      <c r="AN3389" s="4">
        <v>0</v>
      </c>
      <c r="AO3389" s="4">
        <v>0</v>
      </c>
      <c r="AP3389" s="4">
        <v>4</v>
      </c>
      <c r="AQ3389" s="4">
        <v>4</v>
      </c>
      <c r="AR3389" s="3" t="s">
        <v>65</v>
      </c>
      <c r="AS3389" s="3" t="s">
        <v>65</v>
      </c>
      <c r="AT3389" s="3" t="s">
        <v>209</v>
      </c>
      <c r="AU3389" s="6" t="str">
        <f>HYPERLINK("http://catalog.hathitrust.org/Record/005116329","HathiTrust Record")</f>
        <v>HathiTrust Record</v>
      </c>
      <c r="AV3389" s="6" t="str">
        <f>HYPERLINK("http://mcgill.on.worldcat.org/oclc/62363249","Catalog Record")</f>
        <v>Catalog Record</v>
      </c>
      <c r="AW3389" s="6" t="str">
        <f>HYPERLINK("http://www.worldcat.org/oclc/62363249","WorldCat Record")</f>
        <v>WorldCat Record</v>
      </c>
      <c r="AX3389" s="3" t="s">
        <v>33592</v>
      </c>
      <c r="AY3389" s="3" t="s">
        <v>33593</v>
      </c>
      <c r="AZ3389" s="3" t="s">
        <v>33594</v>
      </c>
      <c r="BA3389" s="3" t="s">
        <v>33594</v>
      </c>
      <c r="BB3389" s="3" t="s">
        <v>33595</v>
      </c>
      <c r="BC3389" s="3" t="s">
        <v>77</v>
      </c>
      <c r="BD3389" s="3" t="s">
        <v>78</v>
      </c>
      <c r="BE3389" s="3" t="s">
        <v>33596</v>
      </c>
      <c r="BF3389" s="3" t="s">
        <v>33595</v>
      </c>
      <c r="BG3389" s="3" t="s">
        <v>33597</v>
      </c>
    </row>
    <row r="3390" spans="1:59" ht="72.5" x14ac:dyDescent="0.35">
      <c r="A3390" s="2" t="s">
        <v>59</v>
      </c>
      <c r="B3390" s="2" t="s">
        <v>60</v>
      </c>
      <c r="C3390" s="2" t="s">
        <v>33598</v>
      </c>
      <c r="D3390" s="2" t="s">
        <v>33599</v>
      </c>
      <c r="E3390" s="2" t="s">
        <v>33600</v>
      </c>
      <c r="G3390" s="3" t="s">
        <v>65</v>
      </c>
      <c r="I3390" s="3" t="s">
        <v>65</v>
      </c>
      <c r="J3390" s="3" t="s">
        <v>65</v>
      </c>
      <c r="K3390" s="3" t="s">
        <v>66</v>
      </c>
      <c r="L3390" s="2" t="s">
        <v>33503</v>
      </c>
      <c r="M3390" s="2" t="s">
        <v>33601</v>
      </c>
      <c r="N3390" s="3" t="s">
        <v>1085</v>
      </c>
      <c r="O3390" s="2" t="s">
        <v>21374</v>
      </c>
      <c r="P3390" s="3" t="s">
        <v>140</v>
      </c>
      <c r="Q3390" s="2" t="s">
        <v>28692</v>
      </c>
      <c r="R3390" s="3" t="s">
        <v>71</v>
      </c>
      <c r="S3390" s="4">
        <v>40</v>
      </c>
      <c r="T3390" s="4">
        <v>40</v>
      </c>
      <c r="U3390" s="5" t="s">
        <v>33602</v>
      </c>
      <c r="V3390" s="5" t="s">
        <v>33602</v>
      </c>
      <c r="W3390" s="5" t="s">
        <v>72</v>
      </c>
      <c r="X3390" s="5" t="s">
        <v>72</v>
      </c>
      <c r="Y3390" s="4">
        <v>96</v>
      </c>
      <c r="Z3390" s="4">
        <v>8</v>
      </c>
      <c r="AA3390" s="4">
        <v>24</v>
      </c>
      <c r="AB3390" s="4">
        <v>1</v>
      </c>
      <c r="AC3390" s="4">
        <v>5</v>
      </c>
      <c r="AD3390" s="4">
        <v>43</v>
      </c>
      <c r="AE3390" s="4">
        <v>68</v>
      </c>
      <c r="AF3390" s="4">
        <v>0</v>
      </c>
      <c r="AG3390" s="4">
        <v>2</v>
      </c>
      <c r="AH3390" s="4">
        <v>40</v>
      </c>
      <c r="AI3390" s="4">
        <v>58</v>
      </c>
      <c r="AJ3390" s="4">
        <v>5</v>
      </c>
      <c r="AK3390" s="4">
        <v>13</v>
      </c>
      <c r="AL3390" s="4">
        <v>32</v>
      </c>
      <c r="AM3390" s="4">
        <v>41</v>
      </c>
      <c r="AN3390" s="4">
        <v>0</v>
      </c>
      <c r="AO3390" s="4">
        <v>0</v>
      </c>
      <c r="AP3390" s="4">
        <v>5</v>
      </c>
      <c r="AQ3390" s="4">
        <v>14</v>
      </c>
      <c r="AR3390" s="3" t="s">
        <v>65</v>
      </c>
      <c r="AS3390" s="3" t="s">
        <v>65</v>
      </c>
      <c r="AT3390" s="3" t="s">
        <v>209</v>
      </c>
      <c r="AU3390" s="6" t="str">
        <f>HYPERLINK("http://catalog.hathitrust.org/Record/003065893","HathiTrust Record")</f>
        <v>HathiTrust Record</v>
      </c>
      <c r="AV3390" s="6" t="str">
        <f>HYPERLINK("http://mcgill.on.worldcat.org/oclc/34657857","Catalog Record")</f>
        <v>Catalog Record</v>
      </c>
      <c r="AW3390" s="6" t="str">
        <f>HYPERLINK("http://www.worldcat.org/oclc/34657857","WorldCat Record")</f>
        <v>WorldCat Record</v>
      </c>
      <c r="AX3390" s="3" t="s">
        <v>33603</v>
      </c>
      <c r="AY3390" s="3" t="s">
        <v>33604</v>
      </c>
      <c r="AZ3390" s="3" t="s">
        <v>33605</v>
      </c>
      <c r="BA3390" s="3" t="s">
        <v>33605</v>
      </c>
      <c r="BB3390" s="3" t="s">
        <v>33606</v>
      </c>
      <c r="BC3390" s="3" t="s">
        <v>77</v>
      </c>
      <c r="BD3390" s="3" t="s">
        <v>78</v>
      </c>
      <c r="BE3390" s="3" t="s">
        <v>33607</v>
      </c>
      <c r="BF3390" s="3" t="s">
        <v>33606</v>
      </c>
      <c r="BG3390" s="3" t="s">
        <v>33608</v>
      </c>
    </row>
    <row r="3391" spans="1:59" ht="72.5" x14ac:dyDescent="0.35">
      <c r="A3391" s="2" t="s">
        <v>59</v>
      </c>
      <c r="B3391" s="2" t="s">
        <v>60</v>
      </c>
      <c r="C3391" s="2" t="s">
        <v>33609</v>
      </c>
      <c r="D3391" s="2" t="s">
        <v>33610</v>
      </c>
      <c r="E3391" s="2" t="s">
        <v>33611</v>
      </c>
      <c r="G3391" s="3" t="s">
        <v>65</v>
      </c>
      <c r="I3391" s="3" t="s">
        <v>65</v>
      </c>
      <c r="J3391" s="3" t="s">
        <v>209</v>
      </c>
      <c r="K3391" s="3" t="s">
        <v>66</v>
      </c>
      <c r="L3391" s="2" t="s">
        <v>33503</v>
      </c>
      <c r="M3391" s="2" t="s">
        <v>33612</v>
      </c>
      <c r="N3391" s="3" t="s">
        <v>552</v>
      </c>
      <c r="P3391" s="3" t="s">
        <v>69</v>
      </c>
      <c r="R3391" s="3" t="s">
        <v>71</v>
      </c>
      <c r="S3391" s="4">
        <v>46</v>
      </c>
      <c r="T3391" s="4">
        <v>46</v>
      </c>
      <c r="U3391" s="5" t="s">
        <v>33613</v>
      </c>
      <c r="V3391" s="5" t="s">
        <v>33613</v>
      </c>
      <c r="W3391" s="5" t="s">
        <v>72</v>
      </c>
      <c r="X3391" s="5" t="s">
        <v>72</v>
      </c>
      <c r="Y3391" s="4">
        <v>459</v>
      </c>
      <c r="Z3391" s="4">
        <v>15</v>
      </c>
      <c r="AA3391" s="4">
        <v>48</v>
      </c>
      <c r="AB3391" s="4">
        <v>2</v>
      </c>
      <c r="AC3391" s="4">
        <v>7</v>
      </c>
      <c r="AD3391" s="4">
        <v>66</v>
      </c>
      <c r="AE3391" s="4">
        <v>90</v>
      </c>
      <c r="AF3391" s="4">
        <v>1</v>
      </c>
      <c r="AG3391" s="4">
        <v>1</v>
      </c>
      <c r="AH3391" s="4">
        <v>64</v>
      </c>
      <c r="AI3391" s="4">
        <v>81</v>
      </c>
      <c r="AJ3391" s="4">
        <v>3</v>
      </c>
      <c r="AK3391" s="4">
        <v>9</v>
      </c>
      <c r="AL3391" s="4">
        <v>38</v>
      </c>
      <c r="AM3391" s="4">
        <v>52</v>
      </c>
      <c r="AN3391" s="4">
        <v>0</v>
      </c>
      <c r="AO3391" s="4">
        <v>0</v>
      </c>
      <c r="AP3391" s="4">
        <v>4</v>
      </c>
      <c r="AQ3391" s="4">
        <v>11</v>
      </c>
      <c r="AR3391" s="3" t="s">
        <v>65</v>
      </c>
      <c r="AS3391" s="3" t="s">
        <v>65</v>
      </c>
      <c r="AT3391" s="3" t="s">
        <v>209</v>
      </c>
      <c r="AU3391" s="6" t="str">
        <f>HYPERLINK("http://catalog.hathitrust.org/Record/003942510","HathiTrust Record")</f>
        <v>HathiTrust Record</v>
      </c>
      <c r="AV3391" s="6" t="str">
        <f>HYPERLINK("http://mcgill.on.worldcat.org/oclc/37041114","Catalog Record")</f>
        <v>Catalog Record</v>
      </c>
      <c r="AW3391" s="6" t="str">
        <f>HYPERLINK("http://www.worldcat.org/oclc/37041114","WorldCat Record")</f>
        <v>WorldCat Record</v>
      </c>
      <c r="AX3391" s="3" t="s">
        <v>33614</v>
      </c>
      <c r="AY3391" s="3" t="s">
        <v>33615</v>
      </c>
      <c r="AZ3391" s="3" t="s">
        <v>33616</v>
      </c>
      <c r="BA3391" s="3" t="s">
        <v>33616</v>
      </c>
      <c r="BB3391" s="3" t="s">
        <v>33617</v>
      </c>
      <c r="BC3391" s="3" t="s">
        <v>77</v>
      </c>
      <c r="BD3391" s="3" t="s">
        <v>78</v>
      </c>
      <c r="BE3391" s="3" t="s">
        <v>33618</v>
      </c>
      <c r="BF3391" s="3" t="s">
        <v>33617</v>
      </c>
      <c r="BG3391" s="3" t="s">
        <v>33619</v>
      </c>
    </row>
    <row r="3392" spans="1:59" ht="72.5" x14ac:dyDescent="0.35">
      <c r="A3392" s="2" t="s">
        <v>59</v>
      </c>
      <c r="B3392" s="2" t="s">
        <v>60</v>
      </c>
      <c r="C3392" s="2" t="s">
        <v>33620</v>
      </c>
      <c r="D3392" s="2" t="s">
        <v>33621</v>
      </c>
      <c r="E3392" s="2" t="s">
        <v>33622</v>
      </c>
      <c r="G3392" s="3" t="s">
        <v>65</v>
      </c>
      <c r="I3392" s="3" t="s">
        <v>65</v>
      </c>
      <c r="J3392" s="3" t="s">
        <v>209</v>
      </c>
      <c r="K3392" s="3" t="s">
        <v>66</v>
      </c>
      <c r="L3392" s="2" t="s">
        <v>33503</v>
      </c>
      <c r="M3392" s="2" t="s">
        <v>33623</v>
      </c>
      <c r="N3392" s="3" t="s">
        <v>221</v>
      </c>
      <c r="O3392" s="2" t="s">
        <v>33624</v>
      </c>
      <c r="P3392" s="3" t="s">
        <v>69</v>
      </c>
      <c r="R3392" s="3" t="s">
        <v>71</v>
      </c>
      <c r="S3392" s="4">
        <v>3</v>
      </c>
      <c r="T3392" s="4">
        <v>3</v>
      </c>
      <c r="U3392" s="5" t="s">
        <v>33625</v>
      </c>
      <c r="V3392" s="5" t="s">
        <v>33625</v>
      </c>
      <c r="W3392" s="5" t="s">
        <v>72</v>
      </c>
      <c r="X3392" s="5" t="s">
        <v>72</v>
      </c>
      <c r="Y3392" s="4">
        <v>188</v>
      </c>
      <c r="Z3392" s="4">
        <v>20</v>
      </c>
      <c r="AA3392" s="4">
        <v>48</v>
      </c>
      <c r="AB3392" s="4">
        <v>3</v>
      </c>
      <c r="AC3392" s="4">
        <v>7</v>
      </c>
      <c r="AD3392" s="4">
        <v>25</v>
      </c>
      <c r="AE3392" s="4">
        <v>90</v>
      </c>
      <c r="AF3392" s="4">
        <v>0</v>
      </c>
      <c r="AG3392" s="4">
        <v>1</v>
      </c>
      <c r="AH3392" s="4">
        <v>23</v>
      </c>
      <c r="AI3392" s="4">
        <v>81</v>
      </c>
      <c r="AJ3392" s="4">
        <v>5</v>
      </c>
      <c r="AK3392" s="4">
        <v>9</v>
      </c>
      <c r="AL3392" s="4">
        <v>16</v>
      </c>
      <c r="AM3392" s="4">
        <v>52</v>
      </c>
      <c r="AN3392" s="4">
        <v>0</v>
      </c>
      <c r="AO3392" s="4">
        <v>0</v>
      </c>
      <c r="AP3392" s="4">
        <v>5</v>
      </c>
      <c r="AQ3392" s="4">
        <v>11</v>
      </c>
      <c r="AR3392" s="3" t="s">
        <v>65</v>
      </c>
      <c r="AS3392" s="3" t="s">
        <v>65</v>
      </c>
      <c r="AT3392" s="3" t="s">
        <v>65</v>
      </c>
      <c r="AV3392" s="6" t="str">
        <f>HYPERLINK("http://mcgill.on.worldcat.org/oclc/134991682","Catalog Record")</f>
        <v>Catalog Record</v>
      </c>
      <c r="AW3392" s="6" t="str">
        <f>HYPERLINK("http://www.worldcat.org/oclc/134991682","WorldCat Record")</f>
        <v>WorldCat Record</v>
      </c>
      <c r="AX3392" s="3" t="s">
        <v>33614</v>
      </c>
      <c r="AY3392" s="3" t="s">
        <v>33626</v>
      </c>
      <c r="AZ3392" s="3" t="s">
        <v>33627</v>
      </c>
      <c r="BA3392" s="3" t="s">
        <v>33627</v>
      </c>
      <c r="BB3392" s="3" t="s">
        <v>33628</v>
      </c>
      <c r="BC3392" s="3" t="s">
        <v>77</v>
      </c>
      <c r="BD3392" s="3" t="s">
        <v>78</v>
      </c>
      <c r="BE3392" s="3" t="s">
        <v>33629</v>
      </c>
      <c r="BF3392" s="3" t="s">
        <v>33628</v>
      </c>
      <c r="BG3392" s="3" t="s">
        <v>33630</v>
      </c>
    </row>
    <row r="3393" spans="1:59" ht="72.5" x14ac:dyDescent="0.35">
      <c r="A3393" s="2" t="s">
        <v>59</v>
      </c>
      <c r="B3393" s="2" t="s">
        <v>60</v>
      </c>
      <c r="C3393" s="2" t="s">
        <v>33631</v>
      </c>
      <c r="D3393" s="2" t="s">
        <v>33632</v>
      </c>
      <c r="E3393" s="2" t="s">
        <v>33633</v>
      </c>
      <c r="G3393" s="3" t="s">
        <v>65</v>
      </c>
      <c r="I3393" s="3" t="s">
        <v>65</v>
      </c>
      <c r="J3393" s="3" t="s">
        <v>65</v>
      </c>
      <c r="K3393" s="3" t="s">
        <v>66</v>
      </c>
      <c r="L3393" s="2" t="s">
        <v>33557</v>
      </c>
      <c r="M3393" s="2" t="s">
        <v>33634</v>
      </c>
      <c r="N3393" s="3" t="s">
        <v>68</v>
      </c>
      <c r="P3393" s="3" t="s">
        <v>69</v>
      </c>
      <c r="R3393" s="3" t="s">
        <v>71</v>
      </c>
      <c r="S3393" s="4">
        <v>2</v>
      </c>
      <c r="T3393" s="4">
        <v>2</v>
      </c>
      <c r="U3393" s="5" t="s">
        <v>33515</v>
      </c>
      <c r="V3393" s="5" t="s">
        <v>33515</v>
      </c>
      <c r="W3393" s="5" t="s">
        <v>72</v>
      </c>
      <c r="X3393" s="5" t="s">
        <v>72</v>
      </c>
      <c r="Y3393" s="4">
        <v>119</v>
      </c>
      <c r="Z3393" s="4">
        <v>10</v>
      </c>
      <c r="AA3393" s="4">
        <v>14</v>
      </c>
      <c r="AB3393" s="4">
        <v>1</v>
      </c>
      <c r="AC3393" s="4">
        <v>4</v>
      </c>
      <c r="AD3393" s="4">
        <v>34</v>
      </c>
      <c r="AE3393" s="4">
        <v>37</v>
      </c>
      <c r="AF3393" s="4">
        <v>0</v>
      </c>
      <c r="AG3393" s="4">
        <v>0</v>
      </c>
      <c r="AH3393" s="4">
        <v>31</v>
      </c>
      <c r="AI3393" s="4">
        <v>34</v>
      </c>
      <c r="AJ3393" s="4">
        <v>5</v>
      </c>
      <c r="AK3393" s="4">
        <v>5</v>
      </c>
      <c r="AL3393" s="4">
        <v>22</v>
      </c>
      <c r="AM3393" s="4">
        <v>23</v>
      </c>
      <c r="AN3393" s="4">
        <v>0</v>
      </c>
      <c r="AO3393" s="4">
        <v>0</v>
      </c>
      <c r="AP3393" s="4">
        <v>5</v>
      </c>
      <c r="AQ3393" s="4">
        <v>5</v>
      </c>
      <c r="AR3393" s="3" t="s">
        <v>65</v>
      </c>
      <c r="AS3393" s="3" t="s">
        <v>65</v>
      </c>
      <c r="AT3393" s="3" t="s">
        <v>65</v>
      </c>
      <c r="AV3393" s="6" t="str">
        <f>HYPERLINK("http://mcgill.on.worldcat.org/oclc/928480260","Catalog Record")</f>
        <v>Catalog Record</v>
      </c>
      <c r="AW3393" s="6" t="str">
        <f>HYPERLINK("http://www.worldcat.org/oclc/928480260","WorldCat Record")</f>
        <v>WorldCat Record</v>
      </c>
      <c r="AX3393" s="3" t="s">
        <v>33635</v>
      </c>
      <c r="AY3393" s="3" t="s">
        <v>33636</v>
      </c>
      <c r="AZ3393" s="3" t="s">
        <v>33637</v>
      </c>
      <c r="BA3393" s="3" t="s">
        <v>33637</v>
      </c>
      <c r="BB3393" s="3" t="s">
        <v>33638</v>
      </c>
      <c r="BC3393" s="3" t="s">
        <v>77</v>
      </c>
      <c r="BD3393" s="3" t="s">
        <v>78</v>
      </c>
      <c r="BE3393" s="3" t="s">
        <v>33639</v>
      </c>
      <c r="BF3393" s="3" t="s">
        <v>33638</v>
      </c>
      <c r="BG3393" s="3" t="s">
        <v>33640</v>
      </c>
    </row>
    <row r="3394" spans="1:59" ht="72.5" x14ac:dyDescent="0.35">
      <c r="A3394" s="2" t="s">
        <v>59</v>
      </c>
      <c r="B3394" s="2" t="s">
        <v>60</v>
      </c>
      <c r="C3394" s="2" t="s">
        <v>33641</v>
      </c>
      <c r="D3394" s="2" t="s">
        <v>33642</v>
      </c>
      <c r="E3394" s="2" t="s">
        <v>33643</v>
      </c>
      <c r="G3394" s="3" t="s">
        <v>65</v>
      </c>
      <c r="I3394" s="3" t="s">
        <v>65</v>
      </c>
      <c r="J3394" s="3" t="s">
        <v>65</v>
      </c>
      <c r="K3394" s="3" t="s">
        <v>66</v>
      </c>
      <c r="L3394" s="2" t="s">
        <v>33557</v>
      </c>
      <c r="M3394" s="2" t="s">
        <v>33644</v>
      </c>
      <c r="N3394" s="3" t="s">
        <v>152</v>
      </c>
      <c r="P3394" s="3" t="s">
        <v>69</v>
      </c>
      <c r="Q3394" s="2" t="s">
        <v>33645</v>
      </c>
      <c r="R3394" s="3" t="s">
        <v>71</v>
      </c>
      <c r="S3394" s="4">
        <v>1</v>
      </c>
      <c r="T3394" s="4">
        <v>1</v>
      </c>
      <c r="U3394" s="5" t="s">
        <v>27592</v>
      </c>
      <c r="V3394" s="5" t="s">
        <v>27592</v>
      </c>
      <c r="W3394" s="5" t="s">
        <v>72</v>
      </c>
      <c r="X3394" s="5" t="s">
        <v>72</v>
      </c>
      <c r="Y3394" s="4">
        <v>21</v>
      </c>
      <c r="Z3394" s="4">
        <v>1</v>
      </c>
      <c r="AA3394" s="4">
        <v>2</v>
      </c>
      <c r="AB3394" s="4">
        <v>1</v>
      </c>
      <c r="AC3394" s="4">
        <v>2</v>
      </c>
      <c r="AD3394" s="4">
        <v>1</v>
      </c>
      <c r="AE3394" s="4">
        <v>1</v>
      </c>
      <c r="AF3394" s="4">
        <v>0</v>
      </c>
      <c r="AG3394" s="4">
        <v>0</v>
      </c>
      <c r="AH3394" s="4">
        <v>1</v>
      </c>
      <c r="AI3394" s="4">
        <v>1</v>
      </c>
      <c r="AJ3394" s="4">
        <v>0</v>
      </c>
      <c r="AK3394" s="4">
        <v>0</v>
      </c>
      <c r="AL3394" s="4">
        <v>0</v>
      </c>
      <c r="AM3394" s="4">
        <v>0</v>
      </c>
      <c r="AN3394" s="4">
        <v>0</v>
      </c>
      <c r="AO3394" s="4">
        <v>0</v>
      </c>
      <c r="AP3394" s="4">
        <v>0</v>
      </c>
      <c r="AQ3394" s="4">
        <v>0</v>
      </c>
      <c r="AR3394" s="3" t="s">
        <v>65</v>
      </c>
      <c r="AS3394" s="3" t="s">
        <v>65</v>
      </c>
      <c r="AT3394" s="3" t="s">
        <v>65</v>
      </c>
      <c r="AV3394" s="6" t="str">
        <f>HYPERLINK("http://mcgill.on.worldcat.org/oclc/863678093","Catalog Record")</f>
        <v>Catalog Record</v>
      </c>
      <c r="AW3394" s="6" t="str">
        <f>HYPERLINK("http://www.worldcat.org/oclc/863678093","WorldCat Record")</f>
        <v>WorldCat Record</v>
      </c>
      <c r="AX3394" s="3" t="s">
        <v>33646</v>
      </c>
      <c r="AY3394" s="3" t="s">
        <v>33647</v>
      </c>
      <c r="AZ3394" s="3" t="s">
        <v>33648</v>
      </c>
      <c r="BA3394" s="3" t="s">
        <v>33648</v>
      </c>
      <c r="BB3394" s="3" t="s">
        <v>33649</v>
      </c>
      <c r="BC3394" s="3" t="s">
        <v>77</v>
      </c>
      <c r="BD3394" s="3" t="s">
        <v>78</v>
      </c>
      <c r="BE3394" s="3" t="s">
        <v>33650</v>
      </c>
      <c r="BF3394" s="3" t="s">
        <v>33649</v>
      </c>
      <c r="BG3394" s="3" t="s">
        <v>33651</v>
      </c>
    </row>
    <row r="3395" spans="1:59" ht="72.5" x14ac:dyDescent="0.35">
      <c r="A3395" s="2" t="s">
        <v>59</v>
      </c>
      <c r="B3395" s="2" t="s">
        <v>60</v>
      </c>
      <c r="C3395" s="2" t="s">
        <v>33652</v>
      </c>
      <c r="D3395" s="2" t="s">
        <v>33653</v>
      </c>
      <c r="E3395" s="2" t="s">
        <v>33654</v>
      </c>
      <c r="G3395" s="3" t="s">
        <v>65</v>
      </c>
      <c r="I3395" s="3" t="s">
        <v>65</v>
      </c>
      <c r="J3395" s="3" t="s">
        <v>65</v>
      </c>
      <c r="K3395" s="3" t="s">
        <v>66</v>
      </c>
      <c r="L3395" s="2" t="s">
        <v>33655</v>
      </c>
      <c r="M3395" s="2" t="s">
        <v>33656</v>
      </c>
      <c r="N3395" s="3" t="s">
        <v>139</v>
      </c>
      <c r="P3395" s="3" t="s">
        <v>140</v>
      </c>
      <c r="Q3395" s="2" t="s">
        <v>33536</v>
      </c>
      <c r="R3395" s="3" t="s">
        <v>71</v>
      </c>
      <c r="S3395" s="4">
        <v>0</v>
      </c>
      <c r="T3395" s="4">
        <v>0</v>
      </c>
      <c r="W3395" s="5" t="s">
        <v>72</v>
      </c>
      <c r="X3395" s="5" t="s">
        <v>72</v>
      </c>
      <c r="Y3395" s="4">
        <v>14</v>
      </c>
      <c r="Z3395" s="4">
        <v>2</v>
      </c>
      <c r="AA3395" s="4">
        <v>7</v>
      </c>
      <c r="AB3395" s="4">
        <v>1</v>
      </c>
      <c r="AC3395" s="4">
        <v>4</v>
      </c>
      <c r="AD3395" s="4">
        <v>3</v>
      </c>
      <c r="AE3395" s="4">
        <v>40</v>
      </c>
      <c r="AF3395" s="4">
        <v>0</v>
      </c>
      <c r="AG3395" s="4">
        <v>1</v>
      </c>
      <c r="AH3395" s="4">
        <v>3</v>
      </c>
      <c r="AI3395" s="4">
        <v>38</v>
      </c>
      <c r="AJ3395" s="4">
        <v>0</v>
      </c>
      <c r="AK3395" s="4">
        <v>3</v>
      </c>
      <c r="AL3395" s="4">
        <v>3</v>
      </c>
      <c r="AM3395" s="4">
        <v>29</v>
      </c>
      <c r="AN3395" s="4">
        <v>0</v>
      </c>
      <c r="AO3395" s="4">
        <v>0</v>
      </c>
      <c r="AP3395" s="4">
        <v>0</v>
      </c>
      <c r="AQ3395" s="4">
        <v>2</v>
      </c>
      <c r="AR3395" s="3" t="s">
        <v>65</v>
      </c>
      <c r="AS3395" s="3" t="s">
        <v>65</v>
      </c>
      <c r="AT3395" s="3" t="s">
        <v>65</v>
      </c>
      <c r="AV3395" s="6" t="str">
        <f>HYPERLINK("http://mcgill.on.worldcat.org/oclc/782099487","Catalog Record")</f>
        <v>Catalog Record</v>
      </c>
      <c r="AW3395" s="6" t="str">
        <f>HYPERLINK("http://www.worldcat.org/oclc/782099487","WorldCat Record")</f>
        <v>WorldCat Record</v>
      </c>
      <c r="AX3395" s="3" t="s">
        <v>33657</v>
      </c>
      <c r="AY3395" s="3" t="s">
        <v>33658</v>
      </c>
      <c r="AZ3395" s="3" t="s">
        <v>33659</v>
      </c>
      <c r="BA3395" s="3" t="s">
        <v>33659</v>
      </c>
      <c r="BB3395" s="3" t="s">
        <v>33660</v>
      </c>
      <c r="BC3395" s="3" t="s">
        <v>77</v>
      </c>
      <c r="BD3395" s="3" t="s">
        <v>78</v>
      </c>
      <c r="BE3395" s="3" t="s">
        <v>33661</v>
      </c>
      <c r="BF3395" s="3" t="s">
        <v>33660</v>
      </c>
      <c r="BG3395" s="3" t="s">
        <v>33662</v>
      </c>
    </row>
    <row r="3396" spans="1:59" ht="58" x14ac:dyDescent="0.35">
      <c r="A3396" s="2" t="s">
        <v>59</v>
      </c>
      <c r="B3396" s="2" t="s">
        <v>60</v>
      </c>
      <c r="C3396" s="2" t="s">
        <v>33663</v>
      </c>
      <c r="D3396" s="2" t="s">
        <v>33664</v>
      </c>
      <c r="E3396" s="2" t="s">
        <v>33665</v>
      </c>
      <c r="G3396" s="3" t="s">
        <v>65</v>
      </c>
      <c r="I3396" s="3" t="s">
        <v>65</v>
      </c>
      <c r="J3396" s="3" t="s">
        <v>65</v>
      </c>
      <c r="K3396" s="3" t="s">
        <v>66</v>
      </c>
      <c r="L3396" s="2" t="s">
        <v>33666</v>
      </c>
      <c r="M3396" s="2" t="s">
        <v>33667</v>
      </c>
      <c r="N3396" s="3" t="s">
        <v>265</v>
      </c>
      <c r="P3396" s="3" t="s">
        <v>140</v>
      </c>
      <c r="Q3396" s="2" t="s">
        <v>33668</v>
      </c>
      <c r="R3396" s="3" t="s">
        <v>71</v>
      </c>
      <c r="S3396" s="4">
        <v>0</v>
      </c>
      <c r="T3396" s="4">
        <v>0</v>
      </c>
      <c r="W3396" s="5" t="s">
        <v>23166</v>
      </c>
      <c r="X3396" s="5" t="s">
        <v>23166</v>
      </c>
      <c r="Y3396" s="4">
        <v>12</v>
      </c>
      <c r="Z3396" s="4">
        <v>1</v>
      </c>
      <c r="AA3396" s="4">
        <v>1</v>
      </c>
      <c r="AB3396" s="4">
        <v>1</v>
      </c>
      <c r="AC3396" s="4">
        <v>1</v>
      </c>
      <c r="AD3396" s="4">
        <v>10</v>
      </c>
      <c r="AE3396" s="4">
        <v>10</v>
      </c>
      <c r="AF3396" s="4">
        <v>0</v>
      </c>
      <c r="AG3396" s="4">
        <v>0</v>
      </c>
      <c r="AH3396" s="4">
        <v>10</v>
      </c>
      <c r="AI3396" s="4">
        <v>10</v>
      </c>
      <c r="AJ3396" s="4">
        <v>0</v>
      </c>
      <c r="AK3396" s="4">
        <v>0</v>
      </c>
      <c r="AL3396" s="4">
        <v>7</v>
      </c>
      <c r="AM3396" s="4">
        <v>7</v>
      </c>
      <c r="AN3396" s="4">
        <v>0</v>
      </c>
      <c r="AO3396" s="4">
        <v>0</v>
      </c>
      <c r="AP3396" s="4">
        <v>0</v>
      </c>
      <c r="AQ3396" s="4">
        <v>0</v>
      </c>
      <c r="AR3396" s="3" t="s">
        <v>65</v>
      </c>
      <c r="AS3396" s="3" t="s">
        <v>65</v>
      </c>
      <c r="AT3396" s="3" t="s">
        <v>65</v>
      </c>
      <c r="AV3396" s="6" t="str">
        <f>HYPERLINK("http://mcgill.on.worldcat.org/oclc/1133663842","Catalog Record")</f>
        <v>Catalog Record</v>
      </c>
      <c r="AW3396" s="6" t="str">
        <f>HYPERLINK("http://www.worldcat.org/oclc/1133663842","WorldCat Record")</f>
        <v>WorldCat Record</v>
      </c>
      <c r="AX3396" s="3" t="s">
        <v>33669</v>
      </c>
      <c r="AY3396" s="3" t="s">
        <v>33670</v>
      </c>
      <c r="AZ3396" s="3" t="s">
        <v>33671</v>
      </c>
      <c r="BA3396" s="3" t="s">
        <v>33671</v>
      </c>
      <c r="BB3396" s="3" t="s">
        <v>33672</v>
      </c>
      <c r="BC3396" s="3" t="s">
        <v>77</v>
      </c>
      <c r="BD3396" s="3" t="s">
        <v>78</v>
      </c>
      <c r="BE3396" s="3" t="s">
        <v>33673</v>
      </c>
      <c r="BF3396" s="3" t="s">
        <v>33672</v>
      </c>
      <c r="BG3396" s="3" t="s">
        <v>33674</v>
      </c>
    </row>
    <row r="3397" spans="1:59" ht="58" x14ac:dyDescent="0.35">
      <c r="A3397" s="2" t="s">
        <v>59</v>
      </c>
      <c r="B3397" s="2" t="s">
        <v>60</v>
      </c>
      <c r="C3397" s="2" t="s">
        <v>33675</v>
      </c>
      <c r="D3397" s="2" t="s">
        <v>33676</v>
      </c>
      <c r="E3397" s="2" t="s">
        <v>33677</v>
      </c>
      <c r="G3397" s="3" t="s">
        <v>65</v>
      </c>
      <c r="I3397" s="3" t="s">
        <v>65</v>
      </c>
      <c r="J3397" s="3" t="s">
        <v>65</v>
      </c>
      <c r="K3397" s="3" t="s">
        <v>66</v>
      </c>
      <c r="L3397" s="2" t="s">
        <v>33678</v>
      </c>
      <c r="M3397" s="2" t="s">
        <v>1471</v>
      </c>
      <c r="N3397" s="3" t="s">
        <v>113</v>
      </c>
      <c r="P3397" s="3" t="s">
        <v>140</v>
      </c>
      <c r="Q3397" s="2" t="s">
        <v>33679</v>
      </c>
      <c r="R3397" s="3" t="s">
        <v>71</v>
      </c>
      <c r="S3397" s="4">
        <v>0</v>
      </c>
      <c r="T3397" s="4">
        <v>0</v>
      </c>
      <c r="W3397" s="5" t="s">
        <v>72</v>
      </c>
      <c r="X3397" s="5" t="s">
        <v>72</v>
      </c>
      <c r="Y3397" s="4">
        <v>20</v>
      </c>
      <c r="Z3397" s="4">
        <v>3</v>
      </c>
      <c r="AA3397" s="4">
        <v>3</v>
      </c>
      <c r="AB3397" s="4">
        <v>1</v>
      </c>
      <c r="AC3397" s="4">
        <v>1</v>
      </c>
      <c r="AD3397" s="4">
        <v>13</v>
      </c>
      <c r="AE3397" s="4">
        <v>13</v>
      </c>
      <c r="AF3397" s="4">
        <v>0</v>
      </c>
      <c r="AG3397" s="4">
        <v>0</v>
      </c>
      <c r="AH3397" s="4">
        <v>12</v>
      </c>
      <c r="AI3397" s="4">
        <v>12</v>
      </c>
      <c r="AJ3397" s="4">
        <v>1</v>
      </c>
      <c r="AK3397" s="4">
        <v>1</v>
      </c>
      <c r="AL3397" s="4">
        <v>11</v>
      </c>
      <c r="AM3397" s="4">
        <v>11</v>
      </c>
      <c r="AN3397" s="4">
        <v>0</v>
      </c>
      <c r="AO3397" s="4">
        <v>0</v>
      </c>
      <c r="AP3397" s="4">
        <v>1</v>
      </c>
      <c r="AQ3397" s="4">
        <v>1</v>
      </c>
      <c r="AR3397" s="3" t="s">
        <v>65</v>
      </c>
      <c r="AS3397" s="3" t="s">
        <v>65</v>
      </c>
      <c r="AT3397" s="3" t="s">
        <v>65</v>
      </c>
      <c r="AV3397" s="6" t="str">
        <f>HYPERLINK("http://mcgill.on.worldcat.org/oclc/730397472","Catalog Record")</f>
        <v>Catalog Record</v>
      </c>
      <c r="AW3397" s="6" t="str">
        <f>HYPERLINK("http://www.worldcat.org/oclc/730397472","WorldCat Record")</f>
        <v>WorldCat Record</v>
      </c>
      <c r="AX3397" s="3" t="s">
        <v>33680</v>
      </c>
      <c r="AY3397" s="3" t="s">
        <v>33681</v>
      </c>
      <c r="AZ3397" s="3" t="s">
        <v>33682</v>
      </c>
      <c r="BA3397" s="3" t="s">
        <v>33682</v>
      </c>
      <c r="BB3397" s="3" t="s">
        <v>33683</v>
      </c>
      <c r="BC3397" s="3" t="s">
        <v>77</v>
      </c>
      <c r="BD3397" s="3" t="s">
        <v>78</v>
      </c>
      <c r="BE3397" s="3" t="s">
        <v>33684</v>
      </c>
      <c r="BF3397" s="3" t="s">
        <v>33683</v>
      </c>
      <c r="BG3397" s="3" t="s">
        <v>33685</v>
      </c>
    </row>
    <row r="3398" spans="1:59" ht="58" x14ac:dyDescent="0.35">
      <c r="A3398" s="2" t="s">
        <v>59</v>
      </c>
      <c r="B3398" s="2" t="s">
        <v>60</v>
      </c>
      <c r="C3398" s="2" t="s">
        <v>33686</v>
      </c>
      <c r="D3398" s="2" t="s">
        <v>33687</v>
      </c>
      <c r="E3398" s="2" t="s">
        <v>33688</v>
      </c>
      <c r="G3398" s="3" t="s">
        <v>65</v>
      </c>
      <c r="I3398" s="3" t="s">
        <v>65</v>
      </c>
      <c r="J3398" s="3" t="s">
        <v>65</v>
      </c>
      <c r="K3398" s="3" t="s">
        <v>66</v>
      </c>
      <c r="L3398" s="2" t="s">
        <v>33689</v>
      </c>
      <c r="M3398" s="2" t="s">
        <v>33535</v>
      </c>
      <c r="N3398" s="3" t="s">
        <v>126</v>
      </c>
      <c r="O3398" s="2" t="s">
        <v>33690</v>
      </c>
      <c r="P3398" s="3" t="s">
        <v>140</v>
      </c>
      <c r="Q3398" s="2" t="s">
        <v>33053</v>
      </c>
      <c r="R3398" s="3" t="s">
        <v>71</v>
      </c>
      <c r="S3398" s="4">
        <v>0</v>
      </c>
      <c r="T3398" s="4">
        <v>0</v>
      </c>
      <c r="W3398" s="5" t="s">
        <v>72</v>
      </c>
      <c r="X3398" s="5" t="s">
        <v>72</v>
      </c>
      <c r="Y3398" s="4">
        <v>33</v>
      </c>
      <c r="Z3398" s="4">
        <v>2</v>
      </c>
      <c r="AA3398" s="4">
        <v>6</v>
      </c>
      <c r="AB3398" s="4">
        <v>1</v>
      </c>
      <c r="AC3398" s="4">
        <v>4</v>
      </c>
      <c r="AD3398" s="4">
        <v>19</v>
      </c>
      <c r="AE3398" s="4">
        <v>33</v>
      </c>
      <c r="AF3398" s="4">
        <v>0</v>
      </c>
      <c r="AG3398" s="4">
        <v>1</v>
      </c>
      <c r="AH3398" s="4">
        <v>19</v>
      </c>
      <c r="AI3398" s="4">
        <v>31</v>
      </c>
      <c r="AJ3398" s="4">
        <v>1</v>
      </c>
      <c r="AK3398" s="4">
        <v>3</v>
      </c>
      <c r="AL3398" s="4">
        <v>14</v>
      </c>
      <c r="AM3398" s="4">
        <v>23</v>
      </c>
      <c r="AN3398" s="4">
        <v>0</v>
      </c>
      <c r="AO3398" s="4">
        <v>0</v>
      </c>
      <c r="AP3398" s="4">
        <v>1</v>
      </c>
      <c r="AQ3398" s="4">
        <v>2</v>
      </c>
      <c r="AR3398" s="3" t="s">
        <v>65</v>
      </c>
      <c r="AS3398" s="3" t="s">
        <v>65</v>
      </c>
      <c r="AT3398" s="3" t="s">
        <v>65</v>
      </c>
      <c r="AV3398" s="6" t="str">
        <f>HYPERLINK("http://mcgill.on.worldcat.org/oclc/690102966","Catalog Record")</f>
        <v>Catalog Record</v>
      </c>
      <c r="AW3398" s="6" t="str">
        <f>HYPERLINK("http://www.worldcat.org/oclc/690102966","WorldCat Record")</f>
        <v>WorldCat Record</v>
      </c>
      <c r="AX3398" s="3" t="s">
        <v>33691</v>
      </c>
      <c r="AY3398" s="3" t="s">
        <v>33692</v>
      </c>
      <c r="AZ3398" s="3" t="s">
        <v>33693</v>
      </c>
      <c r="BA3398" s="3" t="s">
        <v>33693</v>
      </c>
      <c r="BB3398" s="3" t="s">
        <v>33694</v>
      </c>
      <c r="BC3398" s="3" t="s">
        <v>77</v>
      </c>
      <c r="BD3398" s="3" t="s">
        <v>78</v>
      </c>
      <c r="BE3398" s="3" t="s">
        <v>33695</v>
      </c>
      <c r="BF3398" s="3" t="s">
        <v>33694</v>
      </c>
      <c r="BG3398" s="3" t="s">
        <v>33696</v>
      </c>
    </row>
    <row r="3399" spans="1:59" ht="58" x14ac:dyDescent="0.35">
      <c r="A3399" s="2" t="s">
        <v>59</v>
      </c>
      <c r="B3399" s="2" t="s">
        <v>60</v>
      </c>
      <c r="C3399" s="2" t="s">
        <v>33697</v>
      </c>
      <c r="D3399" s="2" t="s">
        <v>33698</v>
      </c>
      <c r="E3399" s="2" t="s">
        <v>33699</v>
      </c>
      <c r="G3399" s="3" t="s">
        <v>65</v>
      </c>
      <c r="I3399" s="3" t="s">
        <v>65</v>
      </c>
      <c r="J3399" s="3" t="s">
        <v>65</v>
      </c>
      <c r="K3399" s="3" t="s">
        <v>66</v>
      </c>
      <c r="L3399" s="2" t="s">
        <v>33700</v>
      </c>
      <c r="M3399" s="2" t="s">
        <v>33701</v>
      </c>
      <c r="N3399" s="3" t="s">
        <v>176</v>
      </c>
      <c r="O3399" s="2" t="s">
        <v>33702</v>
      </c>
      <c r="P3399" s="3" t="s">
        <v>140</v>
      </c>
      <c r="Q3399" s="2" t="s">
        <v>33703</v>
      </c>
      <c r="R3399" s="3" t="s">
        <v>71</v>
      </c>
      <c r="S3399" s="4">
        <v>1</v>
      </c>
      <c r="T3399" s="4">
        <v>1</v>
      </c>
      <c r="U3399" s="5" t="s">
        <v>14097</v>
      </c>
      <c r="V3399" s="5" t="s">
        <v>14097</v>
      </c>
      <c r="W3399" s="5" t="s">
        <v>72</v>
      </c>
      <c r="X3399" s="5" t="s">
        <v>72</v>
      </c>
      <c r="Y3399" s="4">
        <v>59</v>
      </c>
      <c r="Z3399" s="4">
        <v>5</v>
      </c>
      <c r="AA3399" s="4">
        <v>8</v>
      </c>
      <c r="AB3399" s="4">
        <v>1</v>
      </c>
      <c r="AC3399" s="4">
        <v>4</v>
      </c>
      <c r="AD3399" s="4">
        <v>38</v>
      </c>
      <c r="AE3399" s="4">
        <v>39</v>
      </c>
      <c r="AF3399" s="4">
        <v>0</v>
      </c>
      <c r="AG3399" s="4">
        <v>1</v>
      </c>
      <c r="AH3399" s="4">
        <v>37</v>
      </c>
      <c r="AI3399" s="4">
        <v>37</v>
      </c>
      <c r="AJ3399" s="4">
        <v>3</v>
      </c>
      <c r="AK3399" s="4">
        <v>4</v>
      </c>
      <c r="AL3399" s="4">
        <v>28</v>
      </c>
      <c r="AM3399" s="4">
        <v>28</v>
      </c>
      <c r="AN3399" s="4">
        <v>0</v>
      </c>
      <c r="AO3399" s="4">
        <v>0</v>
      </c>
      <c r="AP3399" s="4">
        <v>3</v>
      </c>
      <c r="AQ3399" s="4">
        <v>3</v>
      </c>
      <c r="AR3399" s="3" t="s">
        <v>65</v>
      </c>
      <c r="AS3399" s="3" t="s">
        <v>65</v>
      </c>
      <c r="AT3399" s="3" t="s">
        <v>65</v>
      </c>
      <c r="AV3399" s="6" t="str">
        <f>HYPERLINK("http://mcgill.on.worldcat.org/oclc/905553065","Catalog Record")</f>
        <v>Catalog Record</v>
      </c>
      <c r="AW3399" s="6" t="str">
        <f>HYPERLINK("http://www.worldcat.org/oclc/905553065","WorldCat Record")</f>
        <v>WorldCat Record</v>
      </c>
      <c r="AX3399" s="3" t="s">
        <v>33704</v>
      </c>
      <c r="AY3399" s="3" t="s">
        <v>33705</v>
      </c>
      <c r="AZ3399" s="3" t="s">
        <v>33706</v>
      </c>
      <c r="BA3399" s="3" t="s">
        <v>33706</v>
      </c>
      <c r="BB3399" s="3" t="s">
        <v>33707</v>
      </c>
      <c r="BC3399" s="3" t="s">
        <v>77</v>
      </c>
      <c r="BD3399" s="3" t="s">
        <v>78</v>
      </c>
      <c r="BE3399" s="3" t="s">
        <v>33708</v>
      </c>
      <c r="BF3399" s="3" t="s">
        <v>33707</v>
      </c>
      <c r="BG3399" s="3" t="s">
        <v>33709</v>
      </c>
    </row>
    <row r="3400" spans="1:59" ht="72.5" x14ac:dyDescent="0.35">
      <c r="A3400" s="2" t="s">
        <v>59</v>
      </c>
      <c r="B3400" s="2" t="s">
        <v>60</v>
      </c>
      <c r="C3400" s="2" t="s">
        <v>33710</v>
      </c>
      <c r="D3400" s="2" t="s">
        <v>33711</v>
      </c>
      <c r="E3400" s="2" t="s">
        <v>33712</v>
      </c>
      <c r="G3400" s="3" t="s">
        <v>65</v>
      </c>
      <c r="I3400" s="3" t="s">
        <v>65</v>
      </c>
      <c r="J3400" s="3" t="s">
        <v>65</v>
      </c>
      <c r="K3400" s="3" t="s">
        <v>66</v>
      </c>
      <c r="L3400" s="2" t="s">
        <v>33700</v>
      </c>
      <c r="M3400" s="2" t="s">
        <v>33713</v>
      </c>
      <c r="N3400" s="3" t="s">
        <v>139</v>
      </c>
      <c r="O3400" s="2" t="s">
        <v>33714</v>
      </c>
      <c r="P3400" s="3" t="s">
        <v>140</v>
      </c>
      <c r="Q3400" s="2" t="s">
        <v>33715</v>
      </c>
      <c r="R3400" s="3" t="s">
        <v>71</v>
      </c>
      <c r="S3400" s="4">
        <v>0</v>
      </c>
      <c r="T3400" s="4">
        <v>0</v>
      </c>
      <c r="W3400" s="5" t="s">
        <v>72</v>
      </c>
      <c r="X3400" s="5" t="s">
        <v>72</v>
      </c>
      <c r="Y3400" s="4">
        <v>62</v>
      </c>
      <c r="Z3400" s="4">
        <v>6</v>
      </c>
      <c r="AA3400" s="4">
        <v>13</v>
      </c>
      <c r="AB3400" s="4">
        <v>1</v>
      </c>
      <c r="AC3400" s="4">
        <v>4</v>
      </c>
      <c r="AD3400" s="4">
        <v>38</v>
      </c>
      <c r="AE3400" s="4">
        <v>39</v>
      </c>
      <c r="AF3400" s="4">
        <v>0</v>
      </c>
      <c r="AG3400" s="4">
        <v>1</v>
      </c>
      <c r="AH3400" s="4">
        <v>37</v>
      </c>
      <c r="AI3400" s="4">
        <v>37</v>
      </c>
      <c r="AJ3400" s="4">
        <v>3</v>
      </c>
      <c r="AK3400" s="4">
        <v>4</v>
      </c>
      <c r="AL3400" s="4">
        <v>28</v>
      </c>
      <c r="AM3400" s="4">
        <v>28</v>
      </c>
      <c r="AN3400" s="4">
        <v>0</v>
      </c>
      <c r="AO3400" s="4">
        <v>0</v>
      </c>
      <c r="AP3400" s="4">
        <v>3</v>
      </c>
      <c r="AQ3400" s="4">
        <v>3</v>
      </c>
      <c r="AR3400" s="3" t="s">
        <v>65</v>
      </c>
      <c r="AS3400" s="3" t="s">
        <v>65</v>
      </c>
      <c r="AT3400" s="3" t="s">
        <v>65</v>
      </c>
      <c r="AV3400" s="6" t="str">
        <f>HYPERLINK("http://mcgill.on.worldcat.org/oclc/798053360","Catalog Record")</f>
        <v>Catalog Record</v>
      </c>
      <c r="AW3400" s="6" t="str">
        <f>HYPERLINK("http://www.worldcat.org/oclc/798053360","WorldCat Record")</f>
        <v>WorldCat Record</v>
      </c>
      <c r="AX3400" s="3" t="s">
        <v>33716</v>
      </c>
      <c r="AY3400" s="3" t="s">
        <v>33717</v>
      </c>
      <c r="AZ3400" s="3" t="s">
        <v>33718</v>
      </c>
      <c r="BA3400" s="3" t="s">
        <v>33718</v>
      </c>
      <c r="BB3400" s="3" t="s">
        <v>33719</v>
      </c>
      <c r="BC3400" s="3" t="s">
        <v>77</v>
      </c>
      <c r="BD3400" s="3" t="s">
        <v>78</v>
      </c>
      <c r="BE3400" s="3" t="s">
        <v>33720</v>
      </c>
      <c r="BF3400" s="3" t="s">
        <v>33719</v>
      </c>
      <c r="BG3400" s="3" t="s">
        <v>33721</v>
      </c>
    </row>
    <row r="3401" spans="1:59" ht="72.5" x14ac:dyDescent="0.35">
      <c r="A3401" s="2" t="s">
        <v>59</v>
      </c>
      <c r="B3401" s="2" t="s">
        <v>60</v>
      </c>
      <c r="C3401" s="2" t="s">
        <v>33722</v>
      </c>
      <c r="D3401" s="2" t="s">
        <v>33723</v>
      </c>
      <c r="E3401" s="2" t="s">
        <v>33724</v>
      </c>
      <c r="G3401" s="3" t="s">
        <v>65</v>
      </c>
      <c r="I3401" s="3" t="s">
        <v>65</v>
      </c>
      <c r="J3401" s="3" t="s">
        <v>65</v>
      </c>
      <c r="K3401" s="3" t="s">
        <v>66</v>
      </c>
      <c r="L3401" s="2" t="s">
        <v>33689</v>
      </c>
      <c r="M3401" s="2" t="s">
        <v>33725</v>
      </c>
      <c r="N3401" s="3" t="s">
        <v>364</v>
      </c>
      <c r="P3401" s="3" t="s">
        <v>140</v>
      </c>
      <c r="Q3401" s="2" t="s">
        <v>33726</v>
      </c>
      <c r="R3401" s="3" t="s">
        <v>71</v>
      </c>
      <c r="S3401" s="4">
        <v>6</v>
      </c>
      <c r="T3401" s="4">
        <v>6</v>
      </c>
      <c r="U3401" s="5" t="s">
        <v>18113</v>
      </c>
      <c r="V3401" s="5" t="s">
        <v>18113</v>
      </c>
      <c r="W3401" s="5" t="s">
        <v>72</v>
      </c>
      <c r="X3401" s="5" t="s">
        <v>72</v>
      </c>
      <c r="Y3401" s="4">
        <v>62</v>
      </c>
      <c r="Z3401" s="4">
        <v>6</v>
      </c>
      <c r="AA3401" s="4">
        <v>8</v>
      </c>
      <c r="AB3401" s="4">
        <v>2</v>
      </c>
      <c r="AC3401" s="4">
        <v>3</v>
      </c>
      <c r="AD3401" s="4">
        <v>33</v>
      </c>
      <c r="AE3401" s="4">
        <v>36</v>
      </c>
      <c r="AF3401" s="4">
        <v>0</v>
      </c>
      <c r="AG3401" s="4">
        <v>1</v>
      </c>
      <c r="AH3401" s="4">
        <v>32</v>
      </c>
      <c r="AI3401" s="4">
        <v>34</v>
      </c>
      <c r="AJ3401" s="4">
        <v>3</v>
      </c>
      <c r="AK3401" s="4">
        <v>5</v>
      </c>
      <c r="AL3401" s="4">
        <v>24</v>
      </c>
      <c r="AM3401" s="4">
        <v>24</v>
      </c>
      <c r="AN3401" s="4">
        <v>0</v>
      </c>
      <c r="AO3401" s="4">
        <v>0</v>
      </c>
      <c r="AP3401" s="4">
        <v>3</v>
      </c>
      <c r="AQ3401" s="4">
        <v>4</v>
      </c>
      <c r="AR3401" s="3" t="s">
        <v>65</v>
      </c>
      <c r="AS3401" s="3" t="s">
        <v>65</v>
      </c>
      <c r="AT3401" s="3" t="s">
        <v>209</v>
      </c>
      <c r="AU3401" s="6" t="str">
        <f>HYPERLINK("http://catalog.hathitrust.org/Record/004195331","HathiTrust Record")</f>
        <v>HathiTrust Record</v>
      </c>
      <c r="AV3401" s="6" t="str">
        <f>HYPERLINK("http://mcgill.on.worldcat.org/oclc/47752775","Catalog Record")</f>
        <v>Catalog Record</v>
      </c>
      <c r="AW3401" s="6" t="str">
        <f>HYPERLINK("http://www.worldcat.org/oclc/47752775","WorldCat Record")</f>
        <v>WorldCat Record</v>
      </c>
      <c r="AX3401" s="3" t="s">
        <v>33727</v>
      </c>
      <c r="AY3401" s="3" t="s">
        <v>33728</v>
      </c>
      <c r="AZ3401" s="3" t="s">
        <v>33729</v>
      </c>
      <c r="BA3401" s="3" t="s">
        <v>33729</v>
      </c>
      <c r="BB3401" s="3" t="s">
        <v>33730</v>
      </c>
      <c r="BC3401" s="3" t="s">
        <v>77</v>
      </c>
      <c r="BD3401" s="3" t="s">
        <v>78</v>
      </c>
      <c r="BE3401" s="3" t="s">
        <v>33731</v>
      </c>
      <c r="BF3401" s="3" t="s">
        <v>33730</v>
      </c>
      <c r="BG3401" s="3" t="s">
        <v>33732</v>
      </c>
    </row>
    <row r="3402" spans="1:59" ht="72.5" x14ac:dyDescent="0.35">
      <c r="A3402" s="2" t="s">
        <v>59</v>
      </c>
      <c r="B3402" s="2" t="s">
        <v>60</v>
      </c>
      <c r="C3402" s="2" t="s">
        <v>33733</v>
      </c>
      <c r="D3402" s="2" t="s">
        <v>33734</v>
      </c>
      <c r="E3402" s="2" t="s">
        <v>33735</v>
      </c>
      <c r="G3402" s="3" t="s">
        <v>65</v>
      </c>
      <c r="I3402" s="3" t="s">
        <v>65</v>
      </c>
      <c r="J3402" s="3" t="s">
        <v>65</v>
      </c>
      <c r="K3402" s="3" t="s">
        <v>66</v>
      </c>
      <c r="L3402" s="2" t="s">
        <v>33689</v>
      </c>
      <c r="M3402" s="2" t="s">
        <v>33736</v>
      </c>
      <c r="N3402" s="3" t="s">
        <v>99</v>
      </c>
      <c r="P3402" s="3" t="s">
        <v>69</v>
      </c>
      <c r="R3402" s="3" t="s">
        <v>71</v>
      </c>
      <c r="S3402" s="4">
        <v>4</v>
      </c>
      <c r="T3402" s="4">
        <v>4</v>
      </c>
      <c r="U3402" s="5" t="s">
        <v>2510</v>
      </c>
      <c r="V3402" s="5" t="s">
        <v>2510</v>
      </c>
      <c r="W3402" s="5" t="s">
        <v>72</v>
      </c>
      <c r="X3402" s="5" t="s">
        <v>72</v>
      </c>
      <c r="Y3402" s="4">
        <v>384</v>
      </c>
      <c r="Z3402" s="4">
        <v>20</v>
      </c>
      <c r="AA3402" s="4">
        <v>20</v>
      </c>
      <c r="AB3402" s="4">
        <v>2</v>
      </c>
      <c r="AC3402" s="4">
        <v>2</v>
      </c>
      <c r="AD3402" s="4">
        <v>62</v>
      </c>
      <c r="AE3402" s="4">
        <v>62</v>
      </c>
      <c r="AF3402" s="4">
        <v>0</v>
      </c>
      <c r="AG3402" s="4">
        <v>0</v>
      </c>
      <c r="AH3402" s="4">
        <v>59</v>
      </c>
      <c r="AI3402" s="4">
        <v>59</v>
      </c>
      <c r="AJ3402" s="4">
        <v>7</v>
      </c>
      <c r="AK3402" s="4">
        <v>7</v>
      </c>
      <c r="AL3402" s="4">
        <v>37</v>
      </c>
      <c r="AM3402" s="4">
        <v>37</v>
      </c>
      <c r="AN3402" s="4">
        <v>5</v>
      </c>
      <c r="AO3402" s="4">
        <v>5</v>
      </c>
      <c r="AP3402" s="4">
        <v>7</v>
      </c>
      <c r="AQ3402" s="4">
        <v>7</v>
      </c>
      <c r="AR3402" s="3" t="s">
        <v>65</v>
      </c>
      <c r="AS3402" s="3" t="s">
        <v>65</v>
      </c>
      <c r="AT3402" s="3" t="s">
        <v>209</v>
      </c>
      <c r="AU3402" s="6" t="str">
        <f>HYPERLINK("http://catalog.hathitrust.org/Record/005399521","HathiTrust Record")</f>
        <v>HathiTrust Record</v>
      </c>
      <c r="AV3402" s="6" t="str">
        <f>HYPERLINK("http://mcgill.on.worldcat.org/oclc/76282718","Catalog Record")</f>
        <v>Catalog Record</v>
      </c>
      <c r="AW3402" s="6" t="str">
        <f>HYPERLINK("http://www.worldcat.org/oclc/76282718","WorldCat Record")</f>
        <v>WorldCat Record</v>
      </c>
      <c r="AX3402" s="3" t="s">
        <v>33737</v>
      </c>
      <c r="AY3402" s="3" t="s">
        <v>33738</v>
      </c>
      <c r="AZ3402" s="3" t="s">
        <v>33739</v>
      </c>
      <c r="BA3402" s="3" t="s">
        <v>33739</v>
      </c>
      <c r="BB3402" s="3" t="s">
        <v>33740</v>
      </c>
      <c r="BC3402" s="3" t="s">
        <v>77</v>
      </c>
      <c r="BD3402" s="3" t="s">
        <v>78</v>
      </c>
      <c r="BE3402" s="3" t="s">
        <v>33741</v>
      </c>
      <c r="BF3402" s="3" t="s">
        <v>33740</v>
      </c>
      <c r="BG3402" s="3" t="s">
        <v>33742</v>
      </c>
    </row>
    <row r="3403" spans="1:59" ht="72.5" x14ac:dyDescent="0.35">
      <c r="A3403" s="2" t="s">
        <v>59</v>
      </c>
      <c r="B3403" s="2" t="s">
        <v>60</v>
      </c>
      <c r="C3403" s="2" t="s">
        <v>33743</v>
      </c>
      <c r="D3403" s="2" t="s">
        <v>33744</v>
      </c>
      <c r="E3403" s="2" t="s">
        <v>33745</v>
      </c>
      <c r="G3403" s="3" t="s">
        <v>65</v>
      </c>
      <c r="I3403" s="3" t="s">
        <v>65</v>
      </c>
      <c r="J3403" s="3" t="s">
        <v>65</v>
      </c>
      <c r="K3403" s="3" t="s">
        <v>66</v>
      </c>
      <c r="L3403" s="2" t="s">
        <v>33689</v>
      </c>
      <c r="M3403" s="2" t="s">
        <v>33746</v>
      </c>
      <c r="N3403" s="3" t="s">
        <v>479</v>
      </c>
      <c r="P3403" s="3" t="s">
        <v>69</v>
      </c>
      <c r="R3403" s="3" t="s">
        <v>71</v>
      </c>
      <c r="S3403" s="4">
        <v>3</v>
      </c>
      <c r="T3403" s="4">
        <v>3</v>
      </c>
      <c r="U3403" s="5" t="s">
        <v>25471</v>
      </c>
      <c r="V3403" s="5" t="s">
        <v>25471</v>
      </c>
      <c r="W3403" s="5" t="s">
        <v>72</v>
      </c>
      <c r="X3403" s="5" t="s">
        <v>72</v>
      </c>
      <c r="Y3403" s="4">
        <v>125</v>
      </c>
      <c r="Z3403" s="4">
        <v>10</v>
      </c>
      <c r="AA3403" s="4">
        <v>10</v>
      </c>
      <c r="AB3403" s="4">
        <v>1</v>
      </c>
      <c r="AC3403" s="4">
        <v>1</v>
      </c>
      <c r="AD3403" s="4">
        <v>46</v>
      </c>
      <c r="AE3403" s="4">
        <v>46</v>
      </c>
      <c r="AF3403" s="4">
        <v>0</v>
      </c>
      <c r="AG3403" s="4">
        <v>0</v>
      </c>
      <c r="AH3403" s="4">
        <v>42</v>
      </c>
      <c r="AI3403" s="4">
        <v>42</v>
      </c>
      <c r="AJ3403" s="4">
        <v>6</v>
      </c>
      <c r="AK3403" s="4">
        <v>6</v>
      </c>
      <c r="AL3403" s="4">
        <v>28</v>
      </c>
      <c r="AM3403" s="4">
        <v>28</v>
      </c>
      <c r="AN3403" s="4">
        <v>0</v>
      </c>
      <c r="AO3403" s="4">
        <v>0</v>
      </c>
      <c r="AP3403" s="4">
        <v>6</v>
      </c>
      <c r="AQ3403" s="4">
        <v>6</v>
      </c>
      <c r="AR3403" s="3" t="s">
        <v>65</v>
      </c>
      <c r="AS3403" s="3" t="s">
        <v>65</v>
      </c>
      <c r="AT3403" s="3" t="s">
        <v>65</v>
      </c>
      <c r="AV3403" s="6" t="str">
        <f>HYPERLINK("http://mcgill.on.worldcat.org/oclc/182529308","Catalog Record")</f>
        <v>Catalog Record</v>
      </c>
      <c r="AW3403" s="6" t="str">
        <f>HYPERLINK("http://www.worldcat.org/oclc/182529308","WorldCat Record")</f>
        <v>WorldCat Record</v>
      </c>
      <c r="AX3403" s="3" t="s">
        <v>33747</v>
      </c>
      <c r="AY3403" s="3" t="s">
        <v>33748</v>
      </c>
      <c r="AZ3403" s="3" t="s">
        <v>33749</v>
      </c>
      <c r="BA3403" s="3" t="s">
        <v>33749</v>
      </c>
      <c r="BB3403" s="3" t="s">
        <v>33750</v>
      </c>
      <c r="BC3403" s="3" t="s">
        <v>77</v>
      </c>
      <c r="BD3403" s="3" t="s">
        <v>78</v>
      </c>
      <c r="BE3403" s="3" t="s">
        <v>33751</v>
      </c>
      <c r="BF3403" s="3" t="s">
        <v>33750</v>
      </c>
      <c r="BG3403" s="3" t="s">
        <v>33752</v>
      </c>
    </row>
    <row r="3404" spans="1:59" ht="72.5" x14ac:dyDescent="0.35">
      <c r="A3404" s="2" t="s">
        <v>59</v>
      </c>
      <c r="B3404" s="2" t="s">
        <v>60</v>
      </c>
      <c r="C3404" s="2" t="s">
        <v>33753</v>
      </c>
      <c r="D3404" s="2" t="s">
        <v>33754</v>
      </c>
      <c r="E3404" s="2" t="s">
        <v>33755</v>
      </c>
      <c r="G3404" s="3" t="s">
        <v>65</v>
      </c>
      <c r="I3404" s="3" t="s">
        <v>65</v>
      </c>
      <c r="J3404" s="3" t="s">
        <v>65</v>
      </c>
      <c r="K3404" s="3" t="s">
        <v>66</v>
      </c>
      <c r="L3404" s="2" t="s">
        <v>33700</v>
      </c>
      <c r="M3404" s="2" t="s">
        <v>33756</v>
      </c>
      <c r="N3404" s="3" t="s">
        <v>164</v>
      </c>
      <c r="P3404" s="3" t="s">
        <v>69</v>
      </c>
      <c r="Q3404" s="2" t="s">
        <v>33645</v>
      </c>
      <c r="R3404" s="3" t="s">
        <v>71</v>
      </c>
      <c r="S3404" s="4">
        <v>0</v>
      </c>
      <c r="T3404" s="4">
        <v>0</v>
      </c>
      <c r="W3404" s="5" t="s">
        <v>72</v>
      </c>
      <c r="X3404" s="5" t="s">
        <v>72</v>
      </c>
      <c r="Y3404" s="4">
        <v>25</v>
      </c>
      <c r="Z3404" s="4">
        <v>1</v>
      </c>
      <c r="AA3404" s="4">
        <v>1</v>
      </c>
      <c r="AB3404" s="4">
        <v>1</v>
      </c>
      <c r="AC3404" s="4">
        <v>1</v>
      </c>
      <c r="AD3404" s="4">
        <v>0</v>
      </c>
      <c r="AE3404" s="4">
        <v>0</v>
      </c>
      <c r="AF3404" s="4">
        <v>0</v>
      </c>
      <c r="AG3404" s="4">
        <v>0</v>
      </c>
      <c r="AH3404" s="4">
        <v>0</v>
      </c>
      <c r="AI3404" s="4">
        <v>0</v>
      </c>
      <c r="AJ3404" s="4">
        <v>0</v>
      </c>
      <c r="AK3404" s="4">
        <v>0</v>
      </c>
      <c r="AL3404" s="4">
        <v>0</v>
      </c>
      <c r="AM3404" s="4">
        <v>0</v>
      </c>
      <c r="AN3404" s="4">
        <v>0</v>
      </c>
      <c r="AO3404" s="4">
        <v>0</v>
      </c>
      <c r="AP3404" s="4">
        <v>0</v>
      </c>
      <c r="AQ3404" s="4">
        <v>0</v>
      </c>
      <c r="AR3404" s="3" t="s">
        <v>65</v>
      </c>
      <c r="AS3404" s="3" t="s">
        <v>65</v>
      </c>
      <c r="AT3404" s="3" t="s">
        <v>65</v>
      </c>
      <c r="AV3404" s="6" t="str">
        <f>HYPERLINK("http://mcgill.on.worldcat.org/oclc/881131737","Catalog Record")</f>
        <v>Catalog Record</v>
      </c>
      <c r="AW3404" s="6" t="str">
        <f>HYPERLINK("http://www.worldcat.org/oclc/881131737","WorldCat Record")</f>
        <v>WorldCat Record</v>
      </c>
      <c r="AX3404" s="3" t="s">
        <v>33757</v>
      </c>
      <c r="AY3404" s="3" t="s">
        <v>33758</v>
      </c>
      <c r="AZ3404" s="3" t="s">
        <v>33759</v>
      </c>
      <c r="BA3404" s="3" t="s">
        <v>33759</v>
      </c>
      <c r="BB3404" s="3" t="s">
        <v>33760</v>
      </c>
      <c r="BC3404" s="3" t="s">
        <v>77</v>
      </c>
      <c r="BD3404" s="3" t="s">
        <v>78</v>
      </c>
      <c r="BE3404" s="3" t="s">
        <v>33761</v>
      </c>
      <c r="BF3404" s="3" t="s">
        <v>33760</v>
      </c>
      <c r="BG3404" s="3" t="s">
        <v>33762</v>
      </c>
    </row>
    <row r="3405" spans="1:59" ht="58" x14ac:dyDescent="0.35">
      <c r="A3405" s="2" t="s">
        <v>59</v>
      </c>
      <c r="B3405" s="2" t="s">
        <v>60</v>
      </c>
      <c r="C3405" s="2" t="s">
        <v>33763</v>
      </c>
      <c r="D3405" s="2" t="s">
        <v>33764</v>
      </c>
      <c r="E3405" s="2" t="s">
        <v>33765</v>
      </c>
      <c r="G3405" s="3" t="s">
        <v>65</v>
      </c>
      <c r="I3405" s="3" t="s">
        <v>65</v>
      </c>
      <c r="J3405" s="3" t="s">
        <v>65</v>
      </c>
      <c r="K3405" s="3" t="s">
        <v>66</v>
      </c>
      <c r="L3405" s="2" t="s">
        <v>33689</v>
      </c>
      <c r="M3405" s="2" t="s">
        <v>33766</v>
      </c>
      <c r="N3405" s="3" t="s">
        <v>4688</v>
      </c>
      <c r="O3405" s="2" t="s">
        <v>2086</v>
      </c>
      <c r="P3405" s="3" t="s">
        <v>69</v>
      </c>
      <c r="R3405" s="3" t="s">
        <v>71</v>
      </c>
      <c r="S3405" s="4">
        <v>9</v>
      </c>
      <c r="T3405" s="4">
        <v>9</v>
      </c>
      <c r="U3405" s="5" t="s">
        <v>33767</v>
      </c>
      <c r="V3405" s="5" t="s">
        <v>33767</v>
      </c>
      <c r="W3405" s="5" t="s">
        <v>72</v>
      </c>
      <c r="X3405" s="5" t="s">
        <v>72</v>
      </c>
      <c r="Y3405" s="4">
        <v>180</v>
      </c>
      <c r="Z3405" s="4">
        <v>5</v>
      </c>
      <c r="AA3405" s="4">
        <v>8</v>
      </c>
      <c r="AB3405" s="4">
        <v>1</v>
      </c>
      <c r="AC3405" s="4">
        <v>2</v>
      </c>
      <c r="AD3405" s="4">
        <v>35</v>
      </c>
      <c r="AE3405" s="4">
        <v>39</v>
      </c>
      <c r="AF3405" s="4">
        <v>0</v>
      </c>
      <c r="AG3405" s="4">
        <v>0</v>
      </c>
      <c r="AH3405" s="4">
        <v>34</v>
      </c>
      <c r="AI3405" s="4">
        <v>38</v>
      </c>
      <c r="AJ3405" s="4">
        <v>3</v>
      </c>
      <c r="AK3405" s="4">
        <v>4</v>
      </c>
      <c r="AL3405" s="4">
        <v>21</v>
      </c>
      <c r="AM3405" s="4">
        <v>23</v>
      </c>
      <c r="AN3405" s="4">
        <v>0</v>
      </c>
      <c r="AO3405" s="4">
        <v>2</v>
      </c>
      <c r="AP3405" s="4">
        <v>3</v>
      </c>
      <c r="AQ3405" s="4">
        <v>4</v>
      </c>
      <c r="AR3405" s="3" t="s">
        <v>65</v>
      </c>
      <c r="AS3405" s="3" t="s">
        <v>65</v>
      </c>
      <c r="AT3405" s="3" t="s">
        <v>209</v>
      </c>
      <c r="AU3405" s="6" t="str">
        <f>HYPERLINK("http://catalog.hathitrust.org/Record/003849991","HathiTrust Record")</f>
        <v>HathiTrust Record</v>
      </c>
      <c r="AV3405" s="6" t="str">
        <f>HYPERLINK("http://mcgill.on.worldcat.org/oclc/11291149","Catalog Record")</f>
        <v>Catalog Record</v>
      </c>
      <c r="AW3405" s="6" t="str">
        <f>HYPERLINK("http://www.worldcat.org/oclc/11291149","WorldCat Record")</f>
        <v>WorldCat Record</v>
      </c>
      <c r="AX3405" s="3" t="s">
        <v>33768</v>
      </c>
      <c r="AY3405" s="3" t="s">
        <v>33769</v>
      </c>
      <c r="AZ3405" s="3" t="s">
        <v>33770</v>
      </c>
      <c r="BA3405" s="3" t="s">
        <v>33770</v>
      </c>
      <c r="BB3405" s="3" t="s">
        <v>33771</v>
      </c>
      <c r="BC3405" s="3" t="s">
        <v>77</v>
      </c>
      <c r="BD3405" s="3" t="s">
        <v>78</v>
      </c>
      <c r="BE3405" s="3" t="s">
        <v>33772</v>
      </c>
      <c r="BF3405" s="3" t="s">
        <v>33771</v>
      </c>
      <c r="BG3405" s="3" t="s">
        <v>33773</v>
      </c>
    </row>
    <row r="3406" spans="1:59" ht="58" x14ac:dyDescent="0.35">
      <c r="A3406" s="2" t="s">
        <v>59</v>
      </c>
      <c r="B3406" s="2" t="s">
        <v>60</v>
      </c>
      <c r="C3406" s="2" t="s">
        <v>33774</v>
      </c>
      <c r="D3406" s="2" t="s">
        <v>33775</v>
      </c>
      <c r="E3406" s="2" t="s">
        <v>33776</v>
      </c>
      <c r="G3406" s="3" t="s">
        <v>65</v>
      </c>
      <c r="I3406" s="3" t="s">
        <v>65</v>
      </c>
      <c r="J3406" s="3" t="s">
        <v>65</v>
      </c>
      <c r="K3406" s="3" t="s">
        <v>66</v>
      </c>
      <c r="L3406" s="2" t="s">
        <v>33777</v>
      </c>
      <c r="M3406" s="2" t="s">
        <v>27358</v>
      </c>
      <c r="N3406" s="3" t="s">
        <v>126</v>
      </c>
      <c r="P3406" s="3" t="s">
        <v>140</v>
      </c>
      <c r="Q3406" s="2" t="s">
        <v>33778</v>
      </c>
      <c r="R3406" s="3" t="s">
        <v>71</v>
      </c>
      <c r="S3406" s="4">
        <v>0</v>
      </c>
      <c r="T3406" s="4">
        <v>0</v>
      </c>
      <c r="W3406" s="5" t="s">
        <v>72</v>
      </c>
      <c r="X3406" s="5" t="s">
        <v>72</v>
      </c>
      <c r="Y3406" s="4">
        <v>15</v>
      </c>
      <c r="Z3406" s="4">
        <v>1</v>
      </c>
      <c r="AA3406" s="4">
        <v>12</v>
      </c>
      <c r="AB3406" s="4">
        <v>1</v>
      </c>
      <c r="AC3406" s="4">
        <v>5</v>
      </c>
      <c r="AD3406" s="4">
        <v>2</v>
      </c>
      <c r="AE3406" s="4">
        <v>40</v>
      </c>
      <c r="AF3406" s="4">
        <v>0</v>
      </c>
      <c r="AG3406" s="4">
        <v>1</v>
      </c>
      <c r="AH3406" s="4">
        <v>2</v>
      </c>
      <c r="AI3406" s="4">
        <v>37</v>
      </c>
      <c r="AJ3406" s="4">
        <v>0</v>
      </c>
      <c r="AK3406" s="4">
        <v>7</v>
      </c>
      <c r="AL3406" s="4">
        <v>1</v>
      </c>
      <c r="AM3406" s="4">
        <v>26</v>
      </c>
      <c r="AN3406" s="4">
        <v>0</v>
      </c>
      <c r="AO3406" s="4">
        <v>0</v>
      </c>
      <c r="AP3406" s="4">
        <v>0</v>
      </c>
      <c r="AQ3406" s="4">
        <v>6</v>
      </c>
      <c r="AR3406" s="3" t="s">
        <v>65</v>
      </c>
      <c r="AS3406" s="3" t="s">
        <v>65</v>
      </c>
      <c r="AT3406" s="3" t="s">
        <v>65</v>
      </c>
      <c r="AV3406" s="6" t="str">
        <f>HYPERLINK("http://mcgill.on.worldcat.org/oclc/752246494","Catalog Record")</f>
        <v>Catalog Record</v>
      </c>
      <c r="AW3406" s="6" t="str">
        <f>HYPERLINK("http://www.worldcat.org/oclc/752246494","WorldCat Record")</f>
        <v>WorldCat Record</v>
      </c>
      <c r="AX3406" s="3" t="s">
        <v>33779</v>
      </c>
      <c r="AY3406" s="3" t="s">
        <v>33780</v>
      </c>
      <c r="AZ3406" s="3" t="s">
        <v>33781</v>
      </c>
      <c r="BA3406" s="3" t="s">
        <v>33781</v>
      </c>
      <c r="BB3406" s="3" t="s">
        <v>33782</v>
      </c>
      <c r="BC3406" s="3" t="s">
        <v>77</v>
      </c>
      <c r="BD3406" s="3" t="s">
        <v>78</v>
      </c>
      <c r="BE3406" s="3" t="s">
        <v>33783</v>
      </c>
      <c r="BF3406" s="3" t="s">
        <v>33782</v>
      </c>
      <c r="BG3406" s="3" t="s">
        <v>33784</v>
      </c>
    </row>
    <row r="3407" spans="1:59" ht="58" x14ac:dyDescent="0.35">
      <c r="A3407" s="2" t="s">
        <v>59</v>
      </c>
      <c r="B3407" s="2" t="s">
        <v>60</v>
      </c>
      <c r="C3407" s="2" t="s">
        <v>33785</v>
      </c>
      <c r="D3407" s="2" t="s">
        <v>33786</v>
      </c>
      <c r="E3407" s="2" t="s">
        <v>33787</v>
      </c>
      <c r="G3407" s="3" t="s">
        <v>65</v>
      </c>
      <c r="I3407" s="3" t="s">
        <v>65</v>
      </c>
      <c r="J3407" s="3" t="s">
        <v>65</v>
      </c>
      <c r="K3407" s="3" t="s">
        <v>66</v>
      </c>
      <c r="L3407" s="2" t="s">
        <v>33788</v>
      </c>
      <c r="M3407" s="2" t="s">
        <v>33789</v>
      </c>
      <c r="N3407" s="3" t="s">
        <v>1196</v>
      </c>
      <c r="P3407" s="3" t="s">
        <v>69</v>
      </c>
      <c r="Q3407" s="2" t="s">
        <v>33790</v>
      </c>
      <c r="R3407" s="3" t="s">
        <v>71</v>
      </c>
      <c r="S3407" s="4">
        <v>1</v>
      </c>
      <c r="T3407" s="4">
        <v>1</v>
      </c>
      <c r="U3407" s="5" t="s">
        <v>21348</v>
      </c>
      <c r="V3407" s="5" t="s">
        <v>21348</v>
      </c>
      <c r="W3407" s="5" t="s">
        <v>72</v>
      </c>
      <c r="X3407" s="5" t="s">
        <v>72</v>
      </c>
      <c r="Y3407" s="4">
        <v>30</v>
      </c>
      <c r="Z3407" s="4">
        <v>7</v>
      </c>
      <c r="AA3407" s="4">
        <v>7</v>
      </c>
      <c r="AB3407" s="4">
        <v>2</v>
      </c>
      <c r="AC3407" s="4">
        <v>2</v>
      </c>
      <c r="AD3407" s="4">
        <v>16</v>
      </c>
      <c r="AE3407" s="4">
        <v>16</v>
      </c>
      <c r="AF3407" s="4">
        <v>0</v>
      </c>
      <c r="AG3407" s="4">
        <v>0</v>
      </c>
      <c r="AH3407" s="4">
        <v>15</v>
      </c>
      <c r="AI3407" s="4">
        <v>15</v>
      </c>
      <c r="AJ3407" s="4">
        <v>4</v>
      </c>
      <c r="AK3407" s="4">
        <v>4</v>
      </c>
      <c r="AL3407" s="4">
        <v>8</v>
      </c>
      <c r="AM3407" s="4">
        <v>8</v>
      </c>
      <c r="AN3407" s="4">
        <v>0</v>
      </c>
      <c r="AO3407" s="4">
        <v>0</v>
      </c>
      <c r="AP3407" s="4">
        <v>4</v>
      </c>
      <c r="AQ3407" s="4">
        <v>4</v>
      </c>
      <c r="AR3407" s="3" t="s">
        <v>65</v>
      </c>
      <c r="AS3407" s="3" t="s">
        <v>65</v>
      </c>
      <c r="AT3407" s="3" t="s">
        <v>65</v>
      </c>
      <c r="AV3407" s="6" t="str">
        <f>HYPERLINK("http://mcgill.on.worldcat.org/oclc/61694826","Catalog Record")</f>
        <v>Catalog Record</v>
      </c>
      <c r="AW3407" s="6" t="str">
        <f>HYPERLINK("http://www.worldcat.org/oclc/61694826","WorldCat Record")</f>
        <v>WorldCat Record</v>
      </c>
      <c r="AX3407" s="3" t="s">
        <v>33791</v>
      </c>
      <c r="AY3407" s="3" t="s">
        <v>33792</v>
      </c>
      <c r="AZ3407" s="3" t="s">
        <v>33793</v>
      </c>
      <c r="BA3407" s="3" t="s">
        <v>33793</v>
      </c>
      <c r="BB3407" s="3" t="s">
        <v>33794</v>
      </c>
      <c r="BC3407" s="3" t="s">
        <v>77</v>
      </c>
      <c r="BD3407" s="3" t="s">
        <v>78</v>
      </c>
      <c r="BE3407" s="3" t="s">
        <v>33795</v>
      </c>
      <c r="BF3407" s="3" t="s">
        <v>33794</v>
      </c>
      <c r="BG3407" s="3" t="s">
        <v>33796</v>
      </c>
    </row>
    <row r="3408" spans="1:59" ht="72.5" x14ac:dyDescent="0.35">
      <c r="A3408" s="2" t="s">
        <v>59</v>
      </c>
      <c r="B3408" s="2" t="s">
        <v>60</v>
      </c>
      <c r="C3408" s="2" t="s">
        <v>33797</v>
      </c>
      <c r="D3408" s="2" t="s">
        <v>33798</v>
      </c>
      <c r="E3408" s="2" t="s">
        <v>33799</v>
      </c>
      <c r="G3408" s="3" t="s">
        <v>65</v>
      </c>
      <c r="I3408" s="3" t="s">
        <v>65</v>
      </c>
      <c r="J3408" s="3" t="s">
        <v>65</v>
      </c>
      <c r="K3408" s="3" t="s">
        <v>66</v>
      </c>
      <c r="M3408" s="2" t="s">
        <v>33800</v>
      </c>
      <c r="N3408" s="3" t="s">
        <v>113</v>
      </c>
      <c r="O3408" s="2" t="s">
        <v>365</v>
      </c>
      <c r="P3408" s="3" t="s">
        <v>140</v>
      </c>
      <c r="Q3408" s="2" t="s">
        <v>33801</v>
      </c>
      <c r="R3408" s="3" t="s">
        <v>71</v>
      </c>
      <c r="S3408" s="4">
        <v>0</v>
      </c>
      <c r="T3408" s="4">
        <v>0</v>
      </c>
      <c r="W3408" s="5" t="s">
        <v>72</v>
      </c>
      <c r="X3408" s="5" t="s">
        <v>72</v>
      </c>
      <c r="Y3408" s="4">
        <v>24</v>
      </c>
      <c r="Z3408" s="4">
        <v>3</v>
      </c>
      <c r="AA3408" s="4">
        <v>3</v>
      </c>
      <c r="AB3408" s="4">
        <v>1</v>
      </c>
      <c r="AC3408" s="4">
        <v>1</v>
      </c>
      <c r="AD3408" s="4">
        <v>17</v>
      </c>
      <c r="AE3408" s="4">
        <v>17</v>
      </c>
      <c r="AF3408" s="4">
        <v>0</v>
      </c>
      <c r="AG3408" s="4">
        <v>0</v>
      </c>
      <c r="AH3408" s="4">
        <v>16</v>
      </c>
      <c r="AI3408" s="4">
        <v>16</v>
      </c>
      <c r="AJ3408" s="4">
        <v>1</v>
      </c>
      <c r="AK3408" s="4">
        <v>1</v>
      </c>
      <c r="AL3408" s="4">
        <v>14</v>
      </c>
      <c r="AM3408" s="4">
        <v>14</v>
      </c>
      <c r="AN3408" s="4">
        <v>0</v>
      </c>
      <c r="AO3408" s="4">
        <v>0</v>
      </c>
      <c r="AP3408" s="4">
        <v>1</v>
      </c>
      <c r="AQ3408" s="4">
        <v>1</v>
      </c>
      <c r="AR3408" s="3" t="s">
        <v>65</v>
      </c>
      <c r="AS3408" s="3" t="s">
        <v>65</v>
      </c>
      <c r="AT3408" s="3" t="s">
        <v>65</v>
      </c>
      <c r="AV3408" s="6" t="str">
        <f>HYPERLINK("http://mcgill.on.worldcat.org/oclc/682881796","Catalog Record")</f>
        <v>Catalog Record</v>
      </c>
      <c r="AW3408" s="6" t="str">
        <f>HYPERLINK("http://www.worldcat.org/oclc/682881796","WorldCat Record")</f>
        <v>WorldCat Record</v>
      </c>
      <c r="AX3408" s="3" t="s">
        <v>33802</v>
      </c>
      <c r="AY3408" s="3" t="s">
        <v>33803</v>
      </c>
      <c r="AZ3408" s="3" t="s">
        <v>33804</v>
      </c>
      <c r="BA3408" s="3" t="s">
        <v>33804</v>
      </c>
      <c r="BB3408" s="3" t="s">
        <v>33805</v>
      </c>
      <c r="BC3408" s="3" t="s">
        <v>77</v>
      </c>
      <c r="BD3408" s="3" t="s">
        <v>78</v>
      </c>
      <c r="BE3408" s="3" t="s">
        <v>33806</v>
      </c>
      <c r="BF3408" s="3" t="s">
        <v>33805</v>
      </c>
      <c r="BG3408" s="3" t="s">
        <v>33807</v>
      </c>
    </row>
    <row r="3409" spans="1:59" ht="58" x14ac:dyDescent="0.35">
      <c r="A3409" s="2" t="s">
        <v>59</v>
      </c>
      <c r="B3409" s="2" t="s">
        <v>60</v>
      </c>
      <c r="C3409" s="2" t="s">
        <v>33808</v>
      </c>
      <c r="D3409" s="2" t="s">
        <v>33809</v>
      </c>
      <c r="E3409" s="2" t="s">
        <v>33810</v>
      </c>
      <c r="G3409" s="3" t="s">
        <v>65</v>
      </c>
      <c r="I3409" s="3" t="s">
        <v>65</v>
      </c>
      <c r="J3409" s="3" t="s">
        <v>65</v>
      </c>
      <c r="K3409" s="3" t="s">
        <v>66</v>
      </c>
      <c r="L3409" s="2" t="s">
        <v>33811</v>
      </c>
      <c r="M3409" s="2" t="s">
        <v>33812</v>
      </c>
      <c r="N3409" s="3" t="s">
        <v>126</v>
      </c>
      <c r="P3409" s="3" t="s">
        <v>140</v>
      </c>
      <c r="Q3409" s="2" t="s">
        <v>33813</v>
      </c>
      <c r="R3409" s="3" t="s">
        <v>71</v>
      </c>
      <c r="S3409" s="4">
        <v>0</v>
      </c>
      <c r="T3409" s="4">
        <v>0</v>
      </c>
      <c r="W3409" s="5" t="s">
        <v>72</v>
      </c>
      <c r="X3409" s="5" t="s">
        <v>72</v>
      </c>
      <c r="Y3409" s="4">
        <v>19</v>
      </c>
      <c r="Z3409" s="4">
        <v>1</v>
      </c>
      <c r="AA3409" s="4">
        <v>1</v>
      </c>
      <c r="AB3409" s="4">
        <v>1</v>
      </c>
      <c r="AC3409" s="4">
        <v>1</v>
      </c>
      <c r="AD3409" s="4">
        <v>14</v>
      </c>
      <c r="AE3409" s="4">
        <v>14</v>
      </c>
      <c r="AF3409" s="4">
        <v>0</v>
      </c>
      <c r="AG3409" s="4">
        <v>0</v>
      </c>
      <c r="AH3409" s="4">
        <v>13</v>
      </c>
      <c r="AI3409" s="4">
        <v>13</v>
      </c>
      <c r="AJ3409" s="4">
        <v>0</v>
      </c>
      <c r="AK3409" s="4">
        <v>0</v>
      </c>
      <c r="AL3409" s="4">
        <v>12</v>
      </c>
      <c r="AM3409" s="4">
        <v>12</v>
      </c>
      <c r="AN3409" s="4">
        <v>0</v>
      </c>
      <c r="AO3409" s="4">
        <v>0</v>
      </c>
      <c r="AP3409" s="4">
        <v>0</v>
      </c>
      <c r="AQ3409" s="4">
        <v>0</v>
      </c>
      <c r="AR3409" s="3" t="s">
        <v>65</v>
      </c>
      <c r="AS3409" s="3" t="s">
        <v>65</v>
      </c>
      <c r="AT3409" s="3" t="s">
        <v>65</v>
      </c>
      <c r="AV3409" s="6" t="str">
        <f>HYPERLINK("http://mcgill.on.worldcat.org/oclc/721864249","Catalog Record")</f>
        <v>Catalog Record</v>
      </c>
      <c r="AW3409" s="6" t="str">
        <f>HYPERLINK("http://www.worldcat.org/oclc/721864249","WorldCat Record")</f>
        <v>WorldCat Record</v>
      </c>
      <c r="AX3409" s="3" t="s">
        <v>33814</v>
      </c>
      <c r="AY3409" s="3" t="s">
        <v>33815</v>
      </c>
      <c r="AZ3409" s="3" t="s">
        <v>33816</v>
      </c>
      <c r="BA3409" s="3" t="s">
        <v>33816</v>
      </c>
      <c r="BB3409" s="3" t="s">
        <v>33817</v>
      </c>
      <c r="BC3409" s="3" t="s">
        <v>77</v>
      </c>
      <c r="BD3409" s="3" t="s">
        <v>78</v>
      </c>
      <c r="BE3409" s="3" t="s">
        <v>33818</v>
      </c>
      <c r="BF3409" s="3" t="s">
        <v>33817</v>
      </c>
      <c r="BG3409" s="3" t="s">
        <v>33819</v>
      </c>
    </row>
    <row r="3410" spans="1:59" ht="58" x14ac:dyDescent="0.35">
      <c r="A3410" s="2" t="s">
        <v>59</v>
      </c>
      <c r="B3410" s="2" t="s">
        <v>60</v>
      </c>
      <c r="C3410" s="2" t="s">
        <v>33808</v>
      </c>
      <c r="D3410" s="2" t="s">
        <v>33809</v>
      </c>
      <c r="E3410" s="2" t="s">
        <v>33820</v>
      </c>
      <c r="G3410" s="3" t="s">
        <v>65</v>
      </c>
      <c r="I3410" s="3" t="s">
        <v>65</v>
      </c>
      <c r="J3410" s="3" t="s">
        <v>65</v>
      </c>
      <c r="K3410" s="3" t="s">
        <v>66</v>
      </c>
      <c r="L3410" s="2" t="s">
        <v>33821</v>
      </c>
      <c r="M3410" s="2" t="s">
        <v>33822</v>
      </c>
      <c r="N3410" s="3" t="s">
        <v>126</v>
      </c>
      <c r="O3410" s="2" t="s">
        <v>365</v>
      </c>
      <c r="P3410" s="3" t="s">
        <v>140</v>
      </c>
      <c r="Q3410" s="2" t="s">
        <v>33823</v>
      </c>
      <c r="R3410" s="3" t="s">
        <v>71</v>
      </c>
      <c r="S3410" s="4">
        <v>0</v>
      </c>
      <c r="T3410" s="4">
        <v>0</v>
      </c>
      <c r="W3410" s="5" t="s">
        <v>72</v>
      </c>
      <c r="X3410" s="5" t="s">
        <v>72</v>
      </c>
      <c r="Y3410" s="4">
        <v>32</v>
      </c>
      <c r="Z3410" s="4">
        <v>2</v>
      </c>
      <c r="AA3410" s="4">
        <v>4</v>
      </c>
      <c r="AB3410" s="4">
        <v>1</v>
      </c>
      <c r="AC3410" s="4">
        <v>1</v>
      </c>
      <c r="AD3410" s="4">
        <v>23</v>
      </c>
      <c r="AE3410" s="4">
        <v>24</v>
      </c>
      <c r="AF3410" s="4">
        <v>0</v>
      </c>
      <c r="AG3410" s="4">
        <v>0</v>
      </c>
      <c r="AH3410" s="4">
        <v>22</v>
      </c>
      <c r="AI3410" s="4">
        <v>23</v>
      </c>
      <c r="AJ3410" s="4">
        <v>1</v>
      </c>
      <c r="AK3410" s="4">
        <v>2</v>
      </c>
      <c r="AL3410" s="4">
        <v>16</v>
      </c>
      <c r="AM3410" s="4">
        <v>17</v>
      </c>
      <c r="AN3410" s="4">
        <v>0</v>
      </c>
      <c r="AO3410" s="4">
        <v>0</v>
      </c>
      <c r="AP3410" s="4">
        <v>1</v>
      </c>
      <c r="AQ3410" s="4">
        <v>2</v>
      </c>
      <c r="AR3410" s="3" t="s">
        <v>65</v>
      </c>
      <c r="AS3410" s="3" t="s">
        <v>65</v>
      </c>
      <c r="AT3410" s="3" t="s">
        <v>65</v>
      </c>
      <c r="AV3410" s="6" t="str">
        <f>HYPERLINK("http://mcgill.on.worldcat.org/oclc/745969879","Catalog Record")</f>
        <v>Catalog Record</v>
      </c>
      <c r="AW3410" s="6" t="str">
        <f>HYPERLINK("http://www.worldcat.org/oclc/745969879","WorldCat Record")</f>
        <v>WorldCat Record</v>
      </c>
      <c r="AX3410" s="3" t="s">
        <v>33824</v>
      </c>
      <c r="AY3410" s="3" t="s">
        <v>33825</v>
      </c>
      <c r="AZ3410" s="3" t="s">
        <v>33826</v>
      </c>
      <c r="BA3410" s="3" t="s">
        <v>33826</v>
      </c>
      <c r="BB3410" s="3" t="s">
        <v>33827</v>
      </c>
      <c r="BC3410" s="3" t="s">
        <v>77</v>
      </c>
      <c r="BD3410" s="3" t="s">
        <v>78</v>
      </c>
      <c r="BE3410" s="3" t="s">
        <v>33828</v>
      </c>
      <c r="BF3410" s="3" t="s">
        <v>33827</v>
      </c>
      <c r="BG3410" s="3" t="s">
        <v>33829</v>
      </c>
    </row>
    <row r="3411" spans="1:59" ht="58" x14ac:dyDescent="0.35">
      <c r="A3411" s="2" t="s">
        <v>59</v>
      </c>
      <c r="B3411" s="2" t="s">
        <v>60</v>
      </c>
      <c r="C3411" s="2" t="s">
        <v>33830</v>
      </c>
      <c r="D3411" s="2" t="s">
        <v>33831</v>
      </c>
      <c r="E3411" s="2" t="s">
        <v>33832</v>
      </c>
      <c r="G3411" s="3" t="s">
        <v>65</v>
      </c>
      <c r="I3411" s="3" t="s">
        <v>65</v>
      </c>
      <c r="J3411" s="3" t="s">
        <v>65</v>
      </c>
      <c r="K3411" s="3" t="s">
        <v>66</v>
      </c>
      <c r="L3411" s="2" t="s">
        <v>33833</v>
      </c>
      <c r="M3411" s="2" t="s">
        <v>2879</v>
      </c>
      <c r="N3411" s="3" t="s">
        <v>188</v>
      </c>
      <c r="O3411" s="2" t="s">
        <v>1410</v>
      </c>
      <c r="P3411" s="3" t="s">
        <v>140</v>
      </c>
      <c r="Q3411" s="2" t="s">
        <v>33834</v>
      </c>
      <c r="R3411" s="3" t="s">
        <v>71</v>
      </c>
      <c r="S3411" s="4">
        <v>0</v>
      </c>
      <c r="T3411" s="4">
        <v>0</v>
      </c>
      <c r="W3411" s="5" t="s">
        <v>72</v>
      </c>
      <c r="X3411" s="5" t="s">
        <v>72</v>
      </c>
      <c r="Y3411" s="4">
        <v>28</v>
      </c>
      <c r="Z3411" s="4">
        <v>1</v>
      </c>
      <c r="AA3411" s="4">
        <v>1</v>
      </c>
      <c r="AB3411" s="4">
        <v>1</v>
      </c>
      <c r="AC3411" s="4">
        <v>1</v>
      </c>
      <c r="AD3411" s="4">
        <v>19</v>
      </c>
      <c r="AE3411" s="4">
        <v>19</v>
      </c>
      <c r="AF3411" s="4">
        <v>0</v>
      </c>
      <c r="AG3411" s="4">
        <v>0</v>
      </c>
      <c r="AH3411" s="4">
        <v>19</v>
      </c>
      <c r="AI3411" s="4">
        <v>19</v>
      </c>
      <c r="AJ3411" s="4">
        <v>0</v>
      </c>
      <c r="AK3411" s="4">
        <v>0</v>
      </c>
      <c r="AL3411" s="4">
        <v>17</v>
      </c>
      <c r="AM3411" s="4">
        <v>17</v>
      </c>
      <c r="AN3411" s="4">
        <v>0</v>
      </c>
      <c r="AO3411" s="4">
        <v>0</v>
      </c>
      <c r="AP3411" s="4">
        <v>0</v>
      </c>
      <c r="AQ3411" s="4">
        <v>0</v>
      </c>
      <c r="AR3411" s="3" t="s">
        <v>65</v>
      </c>
      <c r="AS3411" s="3" t="s">
        <v>65</v>
      </c>
      <c r="AT3411" s="3" t="s">
        <v>65</v>
      </c>
      <c r="AV3411" s="6" t="str">
        <f>HYPERLINK("http://mcgill.on.worldcat.org/oclc/973885467","Catalog Record")</f>
        <v>Catalog Record</v>
      </c>
      <c r="AW3411" s="6" t="str">
        <f>HYPERLINK("http://www.worldcat.org/oclc/973885467","WorldCat Record")</f>
        <v>WorldCat Record</v>
      </c>
      <c r="AX3411" s="3" t="s">
        <v>33835</v>
      </c>
      <c r="AY3411" s="3" t="s">
        <v>33836</v>
      </c>
      <c r="AZ3411" s="3" t="s">
        <v>33837</v>
      </c>
      <c r="BA3411" s="3" t="s">
        <v>33837</v>
      </c>
      <c r="BB3411" s="3" t="s">
        <v>33838</v>
      </c>
      <c r="BC3411" s="3" t="s">
        <v>77</v>
      </c>
      <c r="BD3411" s="3" t="s">
        <v>78</v>
      </c>
      <c r="BE3411" s="3" t="s">
        <v>33839</v>
      </c>
      <c r="BF3411" s="3" t="s">
        <v>33838</v>
      </c>
      <c r="BG3411" s="3" t="s">
        <v>33840</v>
      </c>
    </row>
    <row r="3412" spans="1:59" ht="58" x14ac:dyDescent="0.35">
      <c r="A3412" s="2" t="s">
        <v>59</v>
      </c>
      <c r="B3412" s="2" t="s">
        <v>60</v>
      </c>
      <c r="C3412" s="2" t="s">
        <v>33841</v>
      </c>
      <c r="D3412" s="2" t="s">
        <v>33842</v>
      </c>
      <c r="E3412" s="2" t="s">
        <v>33843</v>
      </c>
      <c r="G3412" s="3" t="s">
        <v>65</v>
      </c>
      <c r="I3412" s="3" t="s">
        <v>65</v>
      </c>
      <c r="J3412" s="3" t="s">
        <v>65</v>
      </c>
      <c r="K3412" s="3" t="s">
        <v>66</v>
      </c>
      <c r="L3412" s="2" t="s">
        <v>33844</v>
      </c>
      <c r="M3412" s="2" t="s">
        <v>33845</v>
      </c>
      <c r="N3412" s="3" t="s">
        <v>1944</v>
      </c>
      <c r="P3412" s="3" t="s">
        <v>7374</v>
      </c>
      <c r="Q3412" s="2" t="s">
        <v>33846</v>
      </c>
      <c r="R3412" s="3" t="s">
        <v>71</v>
      </c>
      <c r="S3412" s="4">
        <v>3</v>
      </c>
      <c r="T3412" s="4">
        <v>3</v>
      </c>
      <c r="U3412" s="5" t="s">
        <v>33847</v>
      </c>
      <c r="V3412" s="5" t="s">
        <v>33847</v>
      </c>
      <c r="W3412" s="5" t="s">
        <v>72</v>
      </c>
      <c r="X3412" s="5" t="s">
        <v>72</v>
      </c>
      <c r="Y3412" s="4">
        <v>2</v>
      </c>
      <c r="Z3412" s="4">
        <v>1</v>
      </c>
      <c r="AA3412" s="4">
        <v>2</v>
      </c>
      <c r="AB3412" s="4">
        <v>1</v>
      </c>
      <c r="AC3412" s="4">
        <v>1</v>
      </c>
      <c r="AD3412" s="4">
        <v>0</v>
      </c>
      <c r="AE3412" s="4">
        <v>1</v>
      </c>
      <c r="AF3412" s="4">
        <v>0</v>
      </c>
      <c r="AG3412" s="4">
        <v>0</v>
      </c>
      <c r="AH3412" s="4">
        <v>0</v>
      </c>
      <c r="AI3412" s="4">
        <v>1</v>
      </c>
      <c r="AJ3412" s="4">
        <v>0</v>
      </c>
      <c r="AK3412" s="4">
        <v>1</v>
      </c>
      <c r="AL3412" s="4">
        <v>0</v>
      </c>
      <c r="AM3412" s="4">
        <v>0</v>
      </c>
      <c r="AN3412" s="4">
        <v>0</v>
      </c>
      <c r="AO3412" s="4">
        <v>0</v>
      </c>
      <c r="AP3412" s="4">
        <v>0</v>
      </c>
      <c r="AQ3412" s="4">
        <v>1</v>
      </c>
      <c r="AR3412" s="3" t="s">
        <v>65</v>
      </c>
      <c r="AS3412" s="3" t="s">
        <v>65</v>
      </c>
      <c r="AT3412" s="3" t="s">
        <v>65</v>
      </c>
      <c r="AV3412" s="6" t="str">
        <f>HYPERLINK("http://mcgill.on.worldcat.org/oclc/427757364","Catalog Record")</f>
        <v>Catalog Record</v>
      </c>
      <c r="AW3412" s="6" t="str">
        <f>HYPERLINK("http://www.worldcat.org/oclc/427757364","WorldCat Record")</f>
        <v>WorldCat Record</v>
      </c>
      <c r="AX3412" s="3" t="s">
        <v>33848</v>
      </c>
      <c r="AY3412" s="3" t="s">
        <v>33849</v>
      </c>
      <c r="AZ3412" s="3" t="s">
        <v>33850</v>
      </c>
      <c r="BA3412" s="3" t="s">
        <v>33850</v>
      </c>
      <c r="BB3412" s="3" t="s">
        <v>33851</v>
      </c>
      <c r="BC3412" s="3" t="s">
        <v>77</v>
      </c>
      <c r="BD3412" s="3" t="s">
        <v>78</v>
      </c>
      <c r="BE3412" s="3" t="s">
        <v>33852</v>
      </c>
      <c r="BF3412" s="3" t="s">
        <v>33851</v>
      </c>
      <c r="BG3412" s="3" t="s">
        <v>33853</v>
      </c>
    </row>
    <row r="3413" spans="1:59" ht="58" x14ac:dyDescent="0.35">
      <c r="A3413" s="2" t="s">
        <v>59</v>
      </c>
      <c r="B3413" s="2" t="s">
        <v>60</v>
      </c>
      <c r="C3413" s="2" t="s">
        <v>33854</v>
      </c>
      <c r="D3413" s="2" t="s">
        <v>33855</v>
      </c>
      <c r="E3413" s="2" t="s">
        <v>33856</v>
      </c>
      <c r="G3413" s="3" t="s">
        <v>65</v>
      </c>
      <c r="I3413" s="3" t="s">
        <v>65</v>
      </c>
      <c r="J3413" s="3" t="s">
        <v>209</v>
      </c>
      <c r="K3413" s="3" t="s">
        <v>66</v>
      </c>
      <c r="L3413" s="2" t="s">
        <v>33844</v>
      </c>
      <c r="M3413" s="2" t="s">
        <v>33857</v>
      </c>
      <c r="N3413" s="3" t="s">
        <v>525</v>
      </c>
      <c r="O3413" s="2" t="s">
        <v>33858</v>
      </c>
      <c r="P3413" s="3" t="s">
        <v>69</v>
      </c>
      <c r="R3413" s="3" t="s">
        <v>71</v>
      </c>
      <c r="S3413" s="4">
        <v>8</v>
      </c>
      <c r="T3413" s="4">
        <v>8</v>
      </c>
      <c r="U3413" s="5" t="s">
        <v>5095</v>
      </c>
      <c r="V3413" s="5" t="s">
        <v>5095</v>
      </c>
      <c r="W3413" s="5" t="s">
        <v>72</v>
      </c>
      <c r="X3413" s="5" t="s">
        <v>72</v>
      </c>
      <c r="Y3413" s="4">
        <v>554</v>
      </c>
      <c r="Z3413" s="4">
        <v>8</v>
      </c>
      <c r="AA3413" s="4">
        <v>27</v>
      </c>
      <c r="AB3413" s="4">
        <v>2</v>
      </c>
      <c r="AC3413" s="4">
        <v>3</v>
      </c>
      <c r="AD3413" s="4">
        <v>26</v>
      </c>
      <c r="AE3413" s="4">
        <v>60</v>
      </c>
      <c r="AF3413" s="4">
        <v>0</v>
      </c>
      <c r="AG3413" s="4">
        <v>0</v>
      </c>
      <c r="AH3413" s="4">
        <v>25</v>
      </c>
      <c r="AI3413" s="4">
        <v>57</v>
      </c>
      <c r="AJ3413" s="4">
        <v>3</v>
      </c>
      <c r="AK3413" s="4">
        <v>7</v>
      </c>
      <c r="AL3413" s="4">
        <v>14</v>
      </c>
      <c r="AM3413" s="4">
        <v>38</v>
      </c>
      <c r="AN3413" s="4">
        <v>0</v>
      </c>
      <c r="AO3413" s="4">
        <v>0</v>
      </c>
      <c r="AP3413" s="4">
        <v>3</v>
      </c>
      <c r="AQ3413" s="4">
        <v>7</v>
      </c>
      <c r="AR3413" s="3" t="s">
        <v>65</v>
      </c>
      <c r="AS3413" s="3" t="s">
        <v>65</v>
      </c>
      <c r="AT3413" s="3" t="s">
        <v>65</v>
      </c>
      <c r="AV3413" s="6" t="str">
        <f>HYPERLINK("http://mcgill.on.worldcat.org/oclc/53443116","Catalog Record")</f>
        <v>Catalog Record</v>
      </c>
      <c r="AW3413" s="6" t="str">
        <f>HYPERLINK("http://www.worldcat.org/oclc/53443116","WorldCat Record")</f>
        <v>WorldCat Record</v>
      </c>
      <c r="AX3413" s="3" t="s">
        <v>33859</v>
      </c>
      <c r="AY3413" s="3" t="s">
        <v>33860</v>
      </c>
      <c r="AZ3413" s="3" t="s">
        <v>33861</v>
      </c>
      <c r="BA3413" s="3" t="s">
        <v>33861</v>
      </c>
      <c r="BB3413" s="3" t="s">
        <v>33862</v>
      </c>
      <c r="BC3413" s="3" t="s">
        <v>77</v>
      </c>
      <c r="BD3413" s="3" t="s">
        <v>78</v>
      </c>
      <c r="BE3413" s="3" t="s">
        <v>33863</v>
      </c>
      <c r="BF3413" s="3" t="s">
        <v>33862</v>
      </c>
      <c r="BG3413" s="3" t="s">
        <v>33864</v>
      </c>
    </row>
    <row r="3414" spans="1:59" ht="72.5" x14ac:dyDescent="0.35">
      <c r="A3414" s="2" t="s">
        <v>59</v>
      </c>
      <c r="B3414" s="2" t="s">
        <v>60</v>
      </c>
      <c r="C3414" s="2" t="s">
        <v>33865</v>
      </c>
      <c r="D3414" s="2" t="s">
        <v>33866</v>
      </c>
      <c r="E3414" s="2" t="s">
        <v>33867</v>
      </c>
      <c r="G3414" s="3" t="s">
        <v>65</v>
      </c>
      <c r="I3414" s="3" t="s">
        <v>65</v>
      </c>
      <c r="J3414" s="3" t="s">
        <v>65</v>
      </c>
      <c r="K3414" s="3" t="s">
        <v>66</v>
      </c>
      <c r="L3414" s="2" t="s">
        <v>33868</v>
      </c>
      <c r="M3414" s="2" t="s">
        <v>33869</v>
      </c>
      <c r="N3414" s="3" t="s">
        <v>221</v>
      </c>
      <c r="P3414" s="3" t="s">
        <v>69</v>
      </c>
      <c r="Q3414" s="2" t="s">
        <v>33870</v>
      </c>
      <c r="R3414" s="3" t="s">
        <v>71</v>
      </c>
      <c r="S3414" s="4">
        <v>1</v>
      </c>
      <c r="T3414" s="4">
        <v>1</v>
      </c>
      <c r="U3414" s="5" t="s">
        <v>11761</v>
      </c>
      <c r="V3414" s="5" t="s">
        <v>11761</v>
      </c>
      <c r="W3414" s="5" t="s">
        <v>72</v>
      </c>
      <c r="X3414" s="5" t="s">
        <v>72</v>
      </c>
      <c r="Y3414" s="4">
        <v>50</v>
      </c>
      <c r="Z3414" s="4">
        <v>5</v>
      </c>
      <c r="AA3414" s="4">
        <v>7</v>
      </c>
      <c r="AB3414" s="4">
        <v>1</v>
      </c>
      <c r="AC3414" s="4">
        <v>1</v>
      </c>
      <c r="AD3414" s="4">
        <v>34</v>
      </c>
      <c r="AE3414" s="4">
        <v>35</v>
      </c>
      <c r="AF3414" s="4">
        <v>0</v>
      </c>
      <c r="AG3414" s="4">
        <v>0</v>
      </c>
      <c r="AH3414" s="4">
        <v>32</v>
      </c>
      <c r="AI3414" s="4">
        <v>33</v>
      </c>
      <c r="AJ3414" s="4">
        <v>4</v>
      </c>
      <c r="AK3414" s="4">
        <v>5</v>
      </c>
      <c r="AL3414" s="4">
        <v>18</v>
      </c>
      <c r="AM3414" s="4">
        <v>19</v>
      </c>
      <c r="AN3414" s="4">
        <v>0</v>
      </c>
      <c r="AO3414" s="4">
        <v>0</v>
      </c>
      <c r="AP3414" s="4">
        <v>4</v>
      </c>
      <c r="AQ3414" s="4">
        <v>5</v>
      </c>
      <c r="AR3414" s="3" t="s">
        <v>65</v>
      </c>
      <c r="AS3414" s="3" t="s">
        <v>65</v>
      </c>
      <c r="AT3414" s="3" t="s">
        <v>65</v>
      </c>
      <c r="AV3414" s="6" t="str">
        <f>HYPERLINK("http://mcgill.on.worldcat.org/oclc/70676600","Catalog Record")</f>
        <v>Catalog Record</v>
      </c>
      <c r="AW3414" s="6" t="str">
        <f>HYPERLINK("http://www.worldcat.org/oclc/70676600","WorldCat Record")</f>
        <v>WorldCat Record</v>
      </c>
      <c r="AX3414" s="3" t="s">
        <v>33871</v>
      </c>
      <c r="AY3414" s="3" t="s">
        <v>33872</v>
      </c>
      <c r="AZ3414" s="3" t="s">
        <v>33873</v>
      </c>
      <c r="BA3414" s="3" t="s">
        <v>33873</v>
      </c>
      <c r="BB3414" s="3" t="s">
        <v>33874</v>
      </c>
      <c r="BC3414" s="3" t="s">
        <v>77</v>
      </c>
      <c r="BD3414" s="3" t="s">
        <v>78</v>
      </c>
      <c r="BE3414" s="3" t="s">
        <v>33875</v>
      </c>
      <c r="BF3414" s="3" t="s">
        <v>33874</v>
      </c>
      <c r="BG3414" s="3" t="s">
        <v>33876</v>
      </c>
    </row>
    <row r="3415" spans="1:59" ht="72.5" x14ac:dyDescent="0.35">
      <c r="A3415" s="2" t="s">
        <v>59</v>
      </c>
      <c r="B3415" s="2" t="s">
        <v>60</v>
      </c>
      <c r="C3415" s="2" t="s">
        <v>33877</v>
      </c>
      <c r="D3415" s="2" t="s">
        <v>33878</v>
      </c>
      <c r="E3415" s="2" t="s">
        <v>33879</v>
      </c>
      <c r="G3415" s="3" t="s">
        <v>65</v>
      </c>
      <c r="I3415" s="3" t="s">
        <v>65</v>
      </c>
      <c r="J3415" s="3" t="s">
        <v>65</v>
      </c>
      <c r="K3415" s="3" t="s">
        <v>66</v>
      </c>
      <c r="L3415" s="2" t="s">
        <v>33880</v>
      </c>
      <c r="M3415" s="2" t="s">
        <v>33881</v>
      </c>
      <c r="N3415" s="3" t="s">
        <v>126</v>
      </c>
      <c r="P3415" s="3" t="s">
        <v>140</v>
      </c>
      <c r="Q3415" s="2" t="s">
        <v>33882</v>
      </c>
      <c r="R3415" s="3" t="s">
        <v>71</v>
      </c>
      <c r="S3415" s="4">
        <v>0</v>
      </c>
      <c r="T3415" s="4">
        <v>0</v>
      </c>
      <c r="W3415" s="5" t="s">
        <v>72</v>
      </c>
      <c r="X3415" s="5" t="s">
        <v>72</v>
      </c>
      <c r="Y3415" s="4">
        <v>15</v>
      </c>
      <c r="Z3415" s="4">
        <v>3</v>
      </c>
      <c r="AA3415" s="4">
        <v>3</v>
      </c>
      <c r="AB3415" s="4">
        <v>1</v>
      </c>
      <c r="AC3415" s="4">
        <v>1</v>
      </c>
      <c r="AD3415" s="4">
        <v>8</v>
      </c>
      <c r="AE3415" s="4">
        <v>8</v>
      </c>
      <c r="AF3415" s="4">
        <v>0</v>
      </c>
      <c r="AG3415" s="4">
        <v>0</v>
      </c>
      <c r="AH3415" s="4">
        <v>8</v>
      </c>
      <c r="AI3415" s="4">
        <v>8</v>
      </c>
      <c r="AJ3415" s="4">
        <v>1</v>
      </c>
      <c r="AK3415" s="4">
        <v>1</v>
      </c>
      <c r="AL3415" s="4">
        <v>7</v>
      </c>
      <c r="AM3415" s="4">
        <v>7</v>
      </c>
      <c r="AN3415" s="4">
        <v>0</v>
      </c>
      <c r="AO3415" s="4">
        <v>0</v>
      </c>
      <c r="AP3415" s="4">
        <v>1</v>
      </c>
      <c r="AQ3415" s="4">
        <v>1</v>
      </c>
      <c r="AR3415" s="3" t="s">
        <v>65</v>
      </c>
      <c r="AS3415" s="3" t="s">
        <v>65</v>
      </c>
      <c r="AT3415" s="3" t="s">
        <v>65</v>
      </c>
      <c r="AV3415" s="6" t="str">
        <f>HYPERLINK("http://mcgill.on.worldcat.org/oclc/798609815","Catalog Record")</f>
        <v>Catalog Record</v>
      </c>
      <c r="AW3415" s="6" t="str">
        <f>HYPERLINK("http://www.worldcat.org/oclc/798609815","WorldCat Record")</f>
        <v>WorldCat Record</v>
      </c>
      <c r="AX3415" s="3" t="s">
        <v>33883</v>
      </c>
      <c r="AY3415" s="3" t="s">
        <v>33884</v>
      </c>
      <c r="AZ3415" s="3" t="s">
        <v>33885</v>
      </c>
      <c r="BA3415" s="3" t="s">
        <v>33885</v>
      </c>
      <c r="BB3415" s="3" t="s">
        <v>33886</v>
      </c>
      <c r="BC3415" s="3" t="s">
        <v>77</v>
      </c>
      <c r="BD3415" s="3" t="s">
        <v>78</v>
      </c>
      <c r="BE3415" s="3" t="s">
        <v>33887</v>
      </c>
      <c r="BF3415" s="3" t="s">
        <v>33886</v>
      </c>
      <c r="BG3415" s="3" t="s">
        <v>33888</v>
      </c>
    </row>
    <row r="3416" spans="1:59" ht="72.5" x14ac:dyDescent="0.35">
      <c r="A3416" s="2" t="s">
        <v>59</v>
      </c>
      <c r="B3416" s="2" t="s">
        <v>60</v>
      </c>
      <c r="C3416" s="2" t="s">
        <v>33889</v>
      </c>
      <c r="D3416" s="2" t="s">
        <v>33890</v>
      </c>
      <c r="E3416" s="2" t="s">
        <v>33891</v>
      </c>
      <c r="G3416" s="3" t="s">
        <v>65</v>
      </c>
      <c r="I3416" s="3" t="s">
        <v>65</v>
      </c>
      <c r="J3416" s="3" t="s">
        <v>65</v>
      </c>
      <c r="K3416" s="3" t="s">
        <v>66</v>
      </c>
      <c r="L3416" s="2" t="s">
        <v>33892</v>
      </c>
      <c r="M3416" s="2" t="s">
        <v>33893</v>
      </c>
      <c r="N3416" s="3" t="s">
        <v>139</v>
      </c>
      <c r="P3416" s="3" t="s">
        <v>140</v>
      </c>
      <c r="Q3416" s="2" t="s">
        <v>33894</v>
      </c>
      <c r="R3416" s="3" t="s">
        <v>71</v>
      </c>
      <c r="S3416" s="4">
        <v>0</v>
      </c>
      <c r="T3416" s="4">
        <v>0</v>
      </c>
      <c r="W3416" s="5" t="s">
        <v>72</v>
      </c>
      <c r="X3416" s="5" t="s">
        <v>72</v>
      </c>
      <c r="Y3416" s="4">
        <v>10</v>
      </c>
      <c r="Z3416" s="4">
        <v>1</v>
      </c>
      <c r="AA3416" s="4">
        <v>3</v>
      </c>
      <c r="AB3416" s="4">
        <v>1</v>
      </c>
      <c r="AC3416" s="4">
        <v>1</v>
      </c>
      <c r="AD3416" s="4">
        <v>3</v>
      </c>
      <c r="AE3416" s="4">
        <v>21</v>
      </c>
      <c r="AF3416" s="4">
        <v>0</v>
      </c>
      <c r="AG3416" s="4">
        <v>0</v>
      </c>
      <c r="AH3416" s="4">
        <v>3</v>
      </c>
      <c r="AI3416" s="4">
        <v>20</v>
      </c>
      <c r="AJ3416" s="4">
        <v>0</v>
      </c>
      <c r="AK3416" s="4">
        <v>1</v>
      </c>
      <c r="AL3416" s="4">
        <v>3</v>
      </c>
      <c r="AM3416" s="4">
        <v>17</v>
      </c>
      <c r="AN3416" s="4">
        <v>0</v>
      </c>
      <c r="AO3416" s="4">
        <v>0</v>
      </c>
      <c r="AP3416" s="4">
        <v>0</v>
      </c>
      <c r="AQ3416" s="4">
        <v>1</v>
      </c>
      <c r="AR3416" s="3" t="s">
        <v>65</v>
      </c>
      <c r="AS3416" s="3" t="s">
        <v>65</v>
      </c>
      <c r="AT3416" s="3" t="s">
        <v>65</v>
      </c>
      <c r="AV3416" s="6" t="str">
        <f>HYPERLINK("http://mcgill.on.worldcat.org/oclc/794293358","Catalog Record")</f>
        <v>Catalog Record</v>
      </c>
      <c r="AW3416" s="6" t="str">
        <f>HYPERLINK("http://www.worldcat.org/oclc/794293358","WorldCat Record")</f>
        <v>WorldCat Record</v>
      </c>
      <c r="AX3416" s="3" t="s">
        <v>33895</v>
      </c>
      <c r="AY3416" s="3" t="s">
        <v>33896</v>
      </c>
      <c r="AZ3416" s="3" t="s">
        <v>33897</v>
      </c>
      <c r="BA3416" s="3" t="s">
        <v>33897</v>
      </c>
      <c r="BB3416" s="3" t="s">
        <v>33898</v>
      </c>
      <c r="BC3416" s="3" t="s">
        <v>77</v>
      </c>
      <c r="BD3416" s="3" t="s">
        <v>78</v>
      </c>
      <c r="BE3416" s="3" t="s">
        <v>33899</v>
      </c>
      <c r="BF3416" s="3" t="s">
        <v>33898</v>
      </c>
      <c r="BG3416" s="3" t="s">
        <v>33900</v>
      </c>
    </row>
    <row r="3417" spans="1:59" ht="72.5" x14ac:dyDescent="0.35">
      <c r="A3417" s="2" t="s">
        <v>59</v>
      </c>
      <c r="B3417" s="2" t="s">
        <v>60</v>
      </c>
      <c r="C3417" s="2" t="s">
        <v>33901</v>
      </c>
      <c r="D3417" s="2" t="s">
        <v>33902</v>
      </c>
      <c r="E3417" s="2" t="s">
        <v>33903</v>
      </c>
      <c r="G3417" s="3" t="s">
        <v>65</v>
      </c>
      <c r="I3417" s="3" t="s">
        <v>65</v>
      </c>
      <c r="J3417" s="3" t="s">
        <v>65</v>
      </c>
      <c r="K3417" s="3" t="s">
        <v>66</v>
      </c>
      <c r="L3417" s="2" t="s">
        <v>33892</v>
      </c>
      <c r="M3417" s="2" t="s">
        <v>33904</v>
      </c>
      <c r="N3417" s="3" t="s">
        <v>139</v>
      </c>
      <c r="O3417" s="2" t="s">
        <v>235</v>
      </c>
      <c r="P3417" s="3" t="s">
        <v>140</v>
      </c>
      <c r="R3417" s="3" t="s">
        <v>71</v>
      </c>
      <c r="S3417" s="4">
        <v>0</v>
      </c>
      <c r="T3417" s="4">
        <v>0</v>
      </c>
      <c r="W3417" s="5" t="s">
        <v>72</v>
      </c>
      <c r="X3417" s="5" t="s">
        <v>72</v>
      </c>
      <c r="Y3417" s="4">
        <v>33</v>
      </c>
      <c r="Z3417" s="4">
        <v>4</v>
      </c>
      <c r="AA3417" s="4">
        <v>4</v>
      </c>
      <c r="AB3417" s="4">
        <v>1</v>
      </c>
      <c r="AC3417" s="4">
        <v>1</v>
      </c>
      <c r="AD3417" s="4">
        <v>21</v>
      </c>
      <c r="AE3417" s="4">
        <v>21</v>
      </c>
      <c r="AF3417" s="4">
        <v>0</v>
      </c>
      <c r="AG3417" s="4">
        <v>0</v>
      </c>
      <c r="AH3417" s="4">
        <v>20</v>
      </c>
      <c r="AI3417" s="4">
        <v>20</v>
      </c>
      <c r="AJ3417" s="4">
        <v>2</v>
      </c>
      <c r="AK3417" s="4">
        <v>2</v>
      </c>
      <c r="AL3417" s="4">
        <v>17</v>
      </c>
      <c r="AM3417" s="4">
        <v>17</v>
      </c>
      <c r="AN3417" s="4">
        <v>0</v>
      </c>
      <c r="AO3417" s="4">
        <v>0</v>
      </c>
      <c r="AP3417" s="4">
        <v>2</v>
      </c>
      <c r="AQ3417" s="4">
        <v>2</v>
      </c>
      <c r="AR3417" s="3" t="s">
        <v>65</v>
      </c>
      <c r="AS3417" s="3" t="s">
        <v>65</v>
      </c>
      <c r="AT3417" s="3" t="s">
        <v>65</v>
      </c>
      <c r="AV3417" s="6" t="str">
        <f>HYPERLINK("http://mcgill.on.worldcat.org/oclc/827228838","Catalog Record")</f>
        <v>Catalog Record</v>
      </c>
      <c r="AW3417" s="6" t="str">
        <f>HYPERLINK("http://www.worldcat.org/oclc/827228838","WorldCat Record")</f>
        <v>WorldCat Record</v>
      </c>
      <c r="AX3417" s="3" t="s">
        <v>33905</v>
      </c>
      <c r="AY3417" s="3" t="s">
        <v>33906</v>
      </c>
      <c r="AZ3417" s="3" t="s">
        <v>33907</v>
      </c>
      <c r="BA3417" s="3" t="s">
        <v>33907</v>
      </c>
      <c r="BB3417" s="3" t="s">
        <v>33908</v>
      </c>
      <c r="BC3417" s="3" t="s">
        <v>77</v>
      </c>
      <c r="BD3417" s="3" t="s">
        <v>78</v>
      </c>
      <c r="BE3417" s="3" t="s">
        <v>33909</v>
      </c>
      <c r="BF3417" s="3" t="s">
        <v>33908</v>
      </c>
      <c r="BG3417" s="3" t="s">
        <v>33910</v>
      </c>
    </row>
    <row r="3418" spans="1:59" ht="72.5" x14ac:dyDescent="0.35">
      <c r="A3418" s="2" t="s">
        <v>59</v>
      </c>
      <c r="B3418" s="2" t="s">
        <v>60</v>
      </c>
      <c r="C3418" s="2" t="s">
        <v>33911</v>
      </c>
      <c r="D3418" s="2" t="s">
        <v>33912</v>
      </c>
      <c r="E3418" s="2" t="s">
        <v>33913</v>
      </c>
      <c r="G3418" s="3" t="s">
        <v>65</v>
      </c>
      <c r="I3418" s="3" t="s">
        <v>65</v>
      </c>
      <c r="J3418" s="3" t="s">
        <v>65</v>
      </c>
      <c r="K3418" s="3" t="s">
        <v>66</v>
      </c>
      <c r="L3418" s="2" t="s">
        <v>33914</v>
      </c>
      <c r="M3418" s="2" t="s">
        <v>33915</v>
      </c>
      <c r="N3418" s="3" t="s">
        <v>176</v>
      </c>
      <c r="O3418" s="2" t="s">
        <v>379</v>
      </c>
      <c r="P3418" s="3" t="s">
        <v>140</v>
      </c>
      <c r="Q3418" s="2" t="s">
        <v>32206</v>
      </c>
      <c r="R3418" s="3" t="s">
        <v>71</v>
      </c>
      <c r="S3418" s="4">
        <v>0</v>
      </c>
      <c r="T3418" s="4">
        <v>0</v>
      </c>
      <c r="W3418" s="5" t="s">
        <v>72</v>
      </c>
      <c r="X3418" s="5" t="s">
        <v>72</v>
      </c>
      <c r="Y3418" s="4">
        <v>37</v>
      </c>
      <c r="Z3418" s="4">
        <v>3</v>
      </c>
      <c r="AA3418" s="4">
        <v>4</v>
      </c>
      <c r="AB3418" s="4">
        <v>1</v>
      </c>
      <c r="AC3418" s="4">
        <v>1</v>
      </c>
      <c r="AD3418" s="4">
        <v>28</v>
      </c>
      <c r="AE3418" s="4">
        <v>28</v>
      </c>
      <c r="AF3418" s="4">
        <v>0</v>
      </c>
      <c r="AG3418" s="4">
        <v>0</v>
      </c>
      <c r="AH3418" s="4">
        <v>27</v>
      </c>
      <c r="AI3418" s="4">
        <v>27</v>
      </c>
      <c r="AJ3418" s="4">
        <v>1</v>
      </c>
      <c r="AK3418" s="4">
        <v>1</v>
      </c>
      <c r="AL3418" s="4">
        <v>23</v>
      </c>
      <c r="AM3418" s="4">
        <v>23</v>
      </c>
      <c r="AN3418" s="4">
        <v>0</v>
      </c>
      <c r="AO3418" s="4">
        <v>0</v>
      </c>
      <c r="AP3418" s="4">
        <v>1</v>
      </c>
      <c r="AQ3418" s="4">
        <v>1</v>
      </c>
      <c r="AR3418" s="3" t="s">
        <v>65</v>
      </c>
      <c r="AS3418" s="3" t="s">
        <v>65</v>
      </c>
      <c r="AT3418" s="3" t="s">
        <v>65</v>
      </c>
      <c r="AV3418" s="6" t="str">
        <f>HYPERLINK("http://mcgill.on.worldcat.org/oclc/931884063","Catalog Record")</f>
        <v>Catalog Record</v>
      </c>
      <c r="AW3418" s="6" t="str">
        <f>HYPERLINK("http://www.worldcat.org/oclc/931884063","WorldCat Record")</f>
        <v>WorldCat Record</v>
      </c>
      <c r="AX3418" s="3" t="s">
        <v>33916</v>
      </c>
      <c r="AY3418" s="3" t="s">
        <v>33917</v>
      </c>
      <c r="AZ3418" s="3" t="s">
        <v>33918</v>
      </c>
      <c r="BA3418" s="3" t="s">
        <v>33918</v>
      </c>
      <c r="BB3418" s="3" t="s">
        <v>33919</v>
      </c>
      <c r="BC3418" s="3" t="s">
        <v>77</v>
      </c>
      <c r="BD3418" s="3" t="s">
        <v>78</v>
      </c>
      <c r="BE3418" s="3" t="s">
        <v>33920</v>
      </c>
      <c r="BF3418" s="3" t="s">
        <v>33919</v>
      </c>
      <c r="BG3418" s="3" t="s">
        <v>33921</v>
      </c>
    </row>
    <row r="3419" spans="1:59" ht="72.5" x14ac:dyDescent="0.35">
      <c r="A3419" s="2" t="s">
        <v>59</v>
      </c>
      <c r="B3419" s="2" t="s">
        <v>60</v>
      </c>
      <c r="C3419" s="2" t="s">
        <v>33922</v>
      </c>
      <c r="D3419" s="2" t="s">
        <v>33923</v>
      </c>
      <c r="E3419" s="2" t="s">
        <v>33924</v>
      </c>
      <c r="G3419" s="3" t="s">
        <v>65</v>
      </c>
      <c r="I3419" s="3" t="s">
        <v>65</v>
      </c>
      <c r="J3419" s="3" t="s">
        <v>65</v>
      </c>
      <c r="K3419" s="3" t="s">
        <v>66</v>
      </c>
      <c r="L3419" s="2" t="s">
        <v>33892</v>
      </c>
      <c r="M3419" s="2" t="s">
        <v>33925</v>
      </c>
      <c r="N3419" s="3" t="s">
        <v>126</v>
      </c>
      <c r="P3419" s="3" t="s">
        <v>140</v>
      </c>
      <c r="Q3419" s="2" t="s">
        <v>33926</v>
      </c>
      <c r="R3419" s="3" t="s">
        <v>71</v>
      </c>
      <c r="S3419" s="4">
        <v>0</v>
      </c>
      <c r="T3419" s="4">
        <v>0</v>
      </c>
      <c r="W3419" s="5" t="s">
        <v>72</v>
      </c>
      <c r="X3419" s="5" t="s">
        <v>72</v>
      </c>
      <c r="Y3419" s="4">
        <v>31</v>
      </c>
      <c r="Z3419" s="4">
        <v>3</v>
      </c>
      <c r="AA3419" s="4">
        <v>3</v>
      </c>
      <c r="AB3419" s="4">
        <v>1</v>
      </c>
      <c r="AC3419" s="4">
        <v>1</v>
      </c>
      <c r="AD3419" s="4">
        <v>24</v>
      </c>
      <c r="AE3419" s="4">
        <v>24</v>
      </c>
      <c r="AF3419" s="4">
        <v>0</v>
      </c>
      <c r="AG3419" s="4">
        <v>0</v>
      </c>
      <c r="AH3419" s="4">
        <v>23</v>
      </c>
      <c r="AI3419" s="4">
        <v>23</v>
      </c>
      <c r="AJ3419" s="4">
        <v>1</v>
      </c>
      <c r="AK3419" s="4">
        <v>1</v>
      </c>
      <c r="AL3419" s="4">
        <v>19</v>
      </c>
      <c r="AM3419" s="4">
        <v>19</v>
      </c>
      <c r="AN3419" s="4">
        <v>0</v>
      </c>
      <c r="AO3419" s="4">
        <v>0</v>
      </c>
      <c r="AP3419" s="4">
        <v>1</v>
      </c>
      <c r="AQ3419" s="4">
        <v>1</v>
      </c>
      <c r="AR3419" s="3" t="s">
        <v>65</v>
      </c>
      <c r="AS3419" s="3" t="s">
        <v>65</v>
      </c>
      <c r="AT3419" s="3" t="s">
        <v>65</v>
      </c>
      <c r="AV3419" s="6" t="str">
        <f>HYPERLINK("http://mcgill.on.worldcat.org/oclc/730397653","Catalog Record")</f>
        <v>Catalog Record</v>
      </c>
      <c r="AW3419" s="6" t="str">
        <f>HYPERLINK("http://www.worldcat.org/oclc/730397653","WorldCat Record")</f>
        <v>WorldCat Record</v>
      </c>
      <c r="AX3419" s="3" t="s">
        <v>33927</v>
      </c>
      <c r="AY3419" s="3" t="s">
        <v>33928</v>
      </c>
      <c r="AZ3419" s="3" t="s">
        <v>33929</v>
      </c>
      <c r="BA3419" s="3" t="s">
        <v>33929</v>
      </c>
      <c r="BB3419" s="3" t="s">
        <v>33930</v>
      </c>
      <c r="BC3419" s="3" t="s">
        <v>77</v>
      </c>
      <c r="BD3419" s="3" t="s">
        <v>78</v>
      </c>
      <c r="BE3419" s="3" t="s">
        <v>33931</v>
      </c>
      <c r="BF3419" s="3" t="s">
        <v>33930</v>
      </c>
      <c r="BG3419" s="3" t="s">
        <v>33932</v>
      </c>
    </row>
    <row r="3420" spans="1:59" ht="58" x14ac:dyDescent="0.35">
      <c r="A3420" s="2" t="s">
        <v>59</v>
      </c>
      <c r="B3420" s="2" t="s">
        <v>60</v>
      </c>
      <c r="C3420" s="2" t="s">
        <v>33933</v>
      </c>
      <c r="D3420" s="2" t="s">
        <v>33934</v>
      </c>
      <c r="E3420" s="2" t="s">
        <v>33935</v>
      </c>
      <c r="G3420" s="3" t="s">
        <v>65</v>
      </c>
      <c r="I3420" s="3" t="s">
        <v>65</v>
      </c>
      <c r="J3420" s="3" t="s">
        <v>65</v>
      </c>
      <c r="K3420" s="3" t="s">
        <v>66</v>
      </c>
      <c r="L3420" s="2" t="s">
        <v>33936</v>
      </c>
      <c r="M3420" s="2" t="s">
        <v>33937</v>
      </c>
      <c r="N3420" s="3" t="s">
        <v>99</v>
      </c>
      <c r="P3420" s="3" t="s">
        <v>69</v>
      </c>
      <c r="Q3420" s="2" t="s">
        <v>33938</v>
      </c>
      <c r="R3420" s="3" t="s">
        <v>71</v>
      </c>
      <c r="S3420" s="4">
        <v>1</v>
      </c>
      <c r="T3420" s="4">
        <v>1</v>
      </c>
      <c r="U3420" s="5" t="s">
        <v>4442</v>
      </c>
      <c r="V3420" s="5" t="s">
        <v>4442</v>
      </c>
      <c r="W3420" s="5" t="s">
        <v>72</v>
      </c>
      <c r="X3420" s="5" t="s">
        <v>72</v>
      </c>
      <c r="Y3420" s="4">
        <v>251</v>
      </c>
      <c r="Z3420" s="4">
        <v>13</v>
      </c>
      <c r="AA3420" s="4">
        <v>14</v>
      </c>
      <c r="AB3420" s="4">
        <v>2</v>
      </c>
      <c r="AC3420" s="4">
        <v>3</v>
      </c>
      <c r="AD3420" s="4">
        <v>81</v>
      </c>
      <c r="AE3420" s="4">
        <v>82</v>
      </c>
      <c r="AF3420" s="4">
        <v>1</v>
      </c>
      <c r="AG3420" s="4">
        <v>2</v>
      </c>
      <c r="AH3420" s="4">
        <v>73</v>
      </c>
      <c r="AI3420" s="4">
        <v>74</v>
      </c>
      <c r="AJ3420" s="4">
        <v>8</v>
      </c>
      <c r="AK3420" s="4">
        <v>9</v>
      </c>
      <c r="AL3420" s="4">
        <v>43</v>
      </c>
      <c r="AM3420" s="4">
        <v>43</v>
      </c>
      <c r="AN3420" s="4">
        <v>0</v>
      </c>
      <c r="AO3420" s="4">
        <v>0</v>
      </c>
      <c r="AP3420" s="4">
        <v>9</v>
      </c>
      <c r="AQ3420" s="4">
        <v>10</v>
      </c>
      <c r="AR3420" s="3" t="s">
        <v>65</v>
      </c>
      <c r="AS3420" s="3" t="s">
        <v>65</v>
      </c>
      <c r="AT3420" s="3" t="s">
        <v>65</v>
      </c>
      <c r="AV3420" s="6" t="str">
        <f>HYPERLINK("http://mcgill.on.worldcat.org/oclc/72354171","Catalog Record")</f>
        <v>Catalog Record</v>
      </c>
      <c r="AW3420" s="6" t="str">
        <f>HYPERLINK("http://www.worldcat.org/oclc/72354171","WorldCat Record")</f>
        <v>WorldCat Record</v>
      </c>
      <c r="AX3420" s="3" t="s">
        <v>33939</v>
      </c>
      <c r="AY3420" s="3" t="s">
        <v>33940</v>
      </c>
      <c r="AZ3420" s="3" t="s">
        <v>33941</v>
      </c>
      <c r="BA3420" s="3" t="s">
        <v>33941</v>
      </c>
      <c r="BB3420" s="3" t="s">
        <v>33942</v>
      </c>
      <c r="BC3420" s="3" t="s">
        <v>77</v>
      </c>
      <c r="BD3420" s="3" t="s">
        <v>78</v>
      </c>
      <c r="BE3420" s="3" t="s">
        <v>33943</v>
      </c>
      <c r="BF3420" s="3" t="s">
        <v>33942</v>
      </c>
      <c r="BG3420" s="3" t="s">
        <v>33944</v>
      </c>
    </row>
    <row r="3421" spans="1:59" ht="58" x14ac:dyDescent="0.35">
      <c r="A3421" s="2" t="s">
        <v>59</v>
      </c>
      <c r="B3421" s="2" t="s">
        <v>60</v>
      </c>
      <c r="C3421" s="2" t="s">
        <v>33945</v>
      </c>
      <c r="D3421" s="2" t="s">
        <v>33946</v>
      </c>
      <c r="E3421" s="2" t="s">
        <v>33947</v>
      </c>
      <c r="G3421" s="3" t="s">
        <v>65</v>
      </c>
      <c r="I3421" s="3" t="s">
        <v>65</v>
      </c>
      <c r="J3421" s="3" t="s">
        <v>65</v>
      </c>
      <c r="K3421" s="3" t="s">
        <v>66</v>
      </c>
      <c r="L3421" s="2" t="s">
        <v>33948</v>
      </c>
      <c r="M3421" s="2" t="s">
        <v>33949</v>
      </c>
      <c r="N3421" s="3" t="s">
        <v>1835</v>
      </c>
      <c r="P3421" s="3" t="s">
        <v>140</v>
      </c>
      <c r="Q3421" s="2" t="s">
        <v>33950</v>
      </c>
      <c r="R3421" s="3" t="s">
        <v>71</v>
      </c>
      <c r="S3421" s="4">
        <v>15</v>
      </c>
      <c r="T3421" s="4">
        <v>15</v>
      </c>
      <c r="U3421" s="5" t="s">
        <v>33951</v>
      </c>
      <c r="V3421" s="5" t="s">
        <v>33951</v>
      </c>
      <c r="W3421" s="5" t="s">
        <v>72</v>
      </c>
      <c r="X3421" s="5" t="s">
        <v>72</v>
      </c>
      <c r="Y3421" s="4">
        <v>85</v>
      </c>
      <c r="Z3421" s="4">
        <v>9</v>
      </c>
      <c r="AA3421" s="4">
        <v>10</v>
      </c>
      <c r="AB3421" s="4">
        <v>1</v>
      </c>
      <c r="AC3421" s="4">
        <v>2</v>
      </c>
      <c r="AD3421" s="4">
        <v>41</v>
      </c>
      <c r="AE3421" s="4">
        <v>53</v>
      </c>
      <c r="AF3421" s="4">
        <v>0</v>
      </c>
      <c r="AG3421" s="4">
        <v>1</v>
      </c>
      <c r="AH3421" s="4">
        <v>37</v>
      </c>
      <c r="AI3421" s="4">
        <v>48</v>
      </c>
      <c r="AJ3421" s="4">
        <v>6</v>
      </c>
      <c r="AK3421" s="4">
        <v>7</v>
      </c>
      <c r="AL3421" s="4">
        <v>25</v>
      </c>
      <c r="AM3421" s="4">
        <v>35</v>
      </c>
      <c r="AN3421" s="4">
        <v>0</v>
      </c>
      <c r="AO3421" s="4">
        <v>0</v>
      </c>
      <c r="AP3421" s="4">
        <v>6</v>
      </c>
      <c r="AQ3421" s="4">
        <v>6</v>
      </c>
      <c r="AR3421" s="3" t="s">
        <v>65</v>
      </c>
      <c r="AS3421" s="3" t="s">
        <v>65</v>
      </c>
      <c r="AT3421" s="3" t="s">
        <v>209</v>
      </c>
      <c r="AU3421" s="6" t="str">
        <f>HYPERLINK("http://catalog.hathitrust.org/Record/009494441","HathiTrust Record")</f>
        <v>HathiTrust Record</v>
      </c>
      <c r="AV3421" s="6" t="str">
        <f>HYPERLINK("http://mcgill.on.worldcat.org/oclc/8060058","Catalog Record")</f>
        <v>Catalog Record</v>
      </c>
      <c r="AW3421" s="6" t="str">
        <f>HYPERLINK("http://www.worldcat.org/oclc/8060058","WorldCat Record")</f>
        <v>WorldCat Record</v>
      </c>
      <c r="AX3421" s="3" t="s">
        <v>33952</v>
      </c>
      <c r="AY3421" s="3" t="s">
        <v>33953</v>
      </c>
      <c r="AZ3421" s="3" t="s">
        <v>33954</v>
      </c>
      <c r="BA3421" s="3" t="s">
        <v>33954</v>
      </c>
      <c r="BB3421" s="3" t="s">
        <v>33955</v>
      </c>
      <c r="BC3421" s="3" t="s">
        <v>77</v>
      </c>
      <c r="BD3421" s="3" t="s">
        <v>78</v>
      </c>
      <c r="BF3421" s="3" t="s">
        <v>33955</v>
      </c>
      <c r="BG3421" s="3" t="s">
        <v>33956</v>
      </c>
    </row>
    <row r="3422" spans="1:59" ht="72.5" x14ac:dyDescent="0.35">
      <c r="A3422" s="2" t="s">
        <v>59</v>
      </c>
      <c r="B3422" s="2" t="s">
        <v>60</v>
      </c>
      <c r="C3422" s="2" t="s">
        <v>33957</v>
      </c>
      <c r="D3422" s="2" t="s">
        <v>33958</v>
      </c>
      <c r="E3422" s="2" t="s">
        <v>33959</v>
      </c>
      <c r="G3422" s="3" t="s">
        <v>65</v>
      </c>
      <c r="I3422" s="3" t="s">
        <v>65</v>
      </c>
      <c r="J3422" s="3" t="s">
        <v>65</v>
      </c>
      <c r="K3422" s="3" t="s">
        <v>66</v>
      </c>
      <c r="L3422" s="2" t="s">
        <v>33948</v>
      </c>
      <c r="M3422" s="2" t="s">
        <v>26905</v>
      </c>
      <c r="N3422" s="3" t="s">
        <v>2460</v>
      </c>
      <c r="O3422" s="2" t="s">
        <v>3829</v>
      </c>
      <c r="P3422" s="3" t="s">
        <v>140</v>
      </c>
      <c r="Q3422" s="2" t="s">
        <v>33960</v>
      </c>
      <c r="R3422" s="3" t="s">
        <v>71</v>
      </c>
      <c r="S3422" s="4">
        <v>4</v>
      </c>
      <c r="T3422" s="4">
        <v>4</v>
      </c>
      <c r="U3422" s="5" t="s">
        <v>1448</v>
      </c>
      <c r="V3422" s="5" t="s">
        <v>1448</v>
      </c>
      <c r="W3422" s="5" t="s">
        <v>72</v>
      </c>
      <c r="X3422" s="5" t="s">
        <v>72</v>
      </c>
      <c r="Y3422" s="4">
        <v>45</v>
      </c>
      <c r="Z3422" s="4">
        <v>5</v>
      </c>
      <c r="AA3422" s="4">
        <v>6</v>
      </c>
      <c r="AB3422" s="4">
        <v>1</v>
      </c>
      <c r="AC3422" s="4">
        <v>2</v>
      </c>
      <c r="AD3422" s="4">
        <v>23</v>
      </c>
      <c r="AE3422" s="4">
        <v>37</v>
      </c>
      <c r="AF3422" s="4">
        <v>0</v>
      </c>
      <c r="AG3422" s="4">
        <v>1</v>
      </c>
      <c r="AH3422" s="4">
        <v>22</v>
      </c>
      <c r="AI3422" s="4">
        <v>35</v>
      </c>
      <c r="AJ3422" s="4">
        <v>2</v>
      </c>
      <c r="AK3422" s="4">
        <v>3</v>
      </c>
      <c r="AL3422" s="4">
        <v>20</v>
      </c>
      <c r="AM3422" s="4">
        <v>31</v>
      </c>
      <c r="AN3422" s="4">
        <v>0</v>
      </c>
      <c r="AO3422" s="4">
        <v>0</v>
      </c>
      <c r="AP3422" s="4">
        <v>2</v>
      </c>
      <c r="AQ3422" s="4">
        <v>2</v>
      </c>
      <c r="AR3422" s="3" t="s">
        <v>65</v>
      </c>
      <c r="AS3422" s="3" t="s">
        <v>65</v>
      </c>
      <c r="AT3422" s="3" t="s">
        <v>209</v>
      </c>
      <c r="AU3422" s="6" t="str">
        <f>HYPERLINK("http://catalog.hathitrust.org/Record/006232476","HathiTrust Record")</f>
        <v>HathiTrust Record</v>
      </c>
      <c r="AV3422" s="6" t="str">
        <f>HYPERLINK("http://mcgill.on.worldcat.org/oclc/19272263","Catalog Record")</f>
        <v>Catalog Record</v>
      </c>
      <c r="AW3422" s="6" t="str">
        <f>HYPERLINK("http://www.worldcat.org/oclc/19272263","WorldCat Record")</f>
        <v>WorldCat Record</v>
      </c>
      <c r="AX3422" s="3" t="s">
        <v>33961</v>
      </c>
      <c r="AY3422" s="3" t="s">
        <v>33962</v>
      </c>
      <c r="AZ3422" s="3" t="s">
        <v>33963</v>
      </c>
      <c r="BA3422" s="3" t="s">
        <v>33963</v>
      </c>
      <c r="BB3422" s="3" t="s">
        <v>33964</v>
      </c>
      <c r="BC3422" s="3" t="s">
        <v>77</v>
      </c>
      <c r="BD3422" s="3" t="s">
        <v>78</v>
      </c>
      <c r="BF3422" s="3" t="s">
        <v>33964</v>
      </c>
      <c r="BG3422" s="3" t="s">
        <v>33965</v>
      </c>
    </row>
    <row r="3423" spans="1:59" ht="72.5" x14ac:dyDescent="0.35">
      <c r="A3423" s="2" t="s">
        <v>59</v>
      </c>
      <c r="B3423" s="2" t="s">
        <v>60</v>
      </c>
      <c r="C3423" s="2" t="s">
        <v>33966</v>
      </c>
      <c r="D3423" s="2" t="s">
        <v>33967</v>
      </c>
      <c r="E3423" s="2" t="s">
        <v>33968</v>
      </c>
      <c r="G3423" s="3" t="s">
        <v>65</v>
      </c>
      <c r="I3423" s="3" t="s">
        <v>65</v>
      </c>
      <c r="J3423" s="3" t="s">
        <v>65</v>
      </c>
      <c r="K3423" s="3" t="s">
        <v>66</v>
      </c>
      <c r="L3423" s="2" t="s">
        <v>33948</v>
      </c>
      <c r="M3423" s="2" t="s">
        <v>33969</v>
      </c>
      <c r="N3423" s="3" t="s">
        <v>2460</v>
      </c>
      <c r="O3423" s="2" t="s">
        <v>654</v>
      </c>
      <c r="P3423" s="3" t="s">
        <v>140</v>
      </c>
      <c r="Q3423" s="2" t="s">
        <v>33472</v>
      </c>
      <c r="R3423" s="3" t="s">
        <v>71</v>
      </c>
      <c r="S3423" s="4">
        <v>9</v>
      </c>
      <c r="T3423" s="4">
        <v>9</v>
      </c>
      <c r="U3423" s="5" t="s">
        <v>33970</v>
      </c>
      <c r="V3423" s="5" t="s">
        <v>33970</v>
      </c>
      <c r="W3423" s="5" t="s">
        <v>72</v>
      </c>
      <c r="X3423" s="5" t="s">
        <v>72</v>
      </c>
      <c r="Y3423" s="4">
        <v>90</v>
      </c>
      <c r="Z3423" s="4">
        <v>8</v>
      </c>
      <c r="AA3423" s="4">
        <v>8</v>
      </c>
      <c r="AB3423" s="4">
        <v>1</v>
      </c>
      <c r="AC3423" s="4">
        <v>1</v>
      </c>
      <c r="AD3423" s="4">
        <v>37</v>
      </c>
      <c r="AE3423" s="4">
        <v>52</v>
      </c>
      <c r="AF3423" s="4">
        <v>0</v>
      </c>
      <c r="AG3423" s="4">
        <v>0</v>
      </c>
      <c r="AH3423" s="4">
        <v>36</v>
      </c>
      <c r="AI3423" s="4">
        <v>50</v>
      </c>
      <c r="AJ3423" s="4">
        <v>5</v>
      </c>
      <c r="AK3423" s="4">
        <v>5</v>
      </c>
      <c r="AL3423" s="4">
        <v>26</v>
      </c>
      <c r="AM3423" s="4">
        <v>37</v>
      </c>
      <c r="AN3423" s="4">
        <v>0</v>
      </c>
      <c r="AO3423" s="4">
        <v>1</v>
      </c>
      <c r="AP3423" s="4">
        <v>5</v>
      </c>
      <c r="AQ3423" s="4">
        <v>5</v>
      </c>
      <c r="AR3423" s="3" t="s">
        <v>65</v>
      </c>
      <c r="AS3423" s="3" t="s">
        <v>65</v>
      </c>
      <c r="AT3423" s="3" t="s">
        <v>209</v>
      </c>
      <c r="AU3423" s="6" t="str">
        <f>HYPERLINK("http://catalog.hathitrust.org/Record/001090671","HathiTrust Record")</f>
        <v>HathiTrust Record</v>
      </c>
      <c r="AV3423" s="6" t="str">
        <f>HYPERLINK("http://mcgill.on.worldcat.org/oclc/19627869","Catalog Record")</f>
        <v>Catalog Record</v>
      </c>
      <c r="AW3423" s="6" t="str">
        <f>HYPERLINK("http://www.worldcat.org/oclc/19627869","WorldCat Record")</f>
        <v>WorldCat Record</v>
      </c>
      <c r="AX3423" s="3" t="s">
        <v>33971</v>
      </c>
      <c r="AY3423" s="3" t="s">
        <v>33972</v>
      </c>
      <c r="AZ3423" s="3" t="s">
        <v>33973</v>
      </c>
      <c r="BA3423" s="3" t="s">
        <v>33973</v>
      </c>
      <c r="BB3423" s="3" t="s">
        <v>33974</v>
      </c>
      <c r="BC3423" s="3" t="s">
        <v>77</v>
      </c>
      <c r="BD3423" s="3" t="s">
        <v>78</v>
      </c>
      <c r="BE3423" s="3" t="s">
        <v>33975</v>
      </c>
      <c r="BF3423" s="3" t="s">
        <v>33974</v>
      </c>
      <c r="BG3423" s="3" t="s">
        <v>33976</v>
      </c>
    </row>
    <row r="3424" spans="1:59" ht="72.5" x14ac:dyDescent="0.35">
      <c r="A3424" s="2" t="s">
        <v>59</v>
      </c>
      <c r="B3424" s="2" t="s">
        <v>60</v>
      </c>
      <c r="C3424" s="2" t="s">
        <v>33977</v>
      </c>
      <c r="D3424" s="2" t="s">
        <v>33978</v>
      </c>
      <c r="E3424" s="2" t="s">
        <v>33979</v>
      </c>
      <c r="G3424" s="3" t="s">
        <v>65</v>
      </c>
      <c r="I3424" s="3" t="s">
        <v>65</v>
      </c>
      <c r="J3424" s="3" t="s">
        <v>65</v>
      </c>
      <c r="K3424" s="3" t="s">
        <v>66</v>
      </c>
      <c r="M3424" s="2" t="s">
        <v>3487</v>
      </c>
      <c r="N3424" s="3" t="s">
        <v>113</v>
      </c>
      <c r="P3424" s="3" t="s">
        <v>140</v>
      </c>
      <c r="Q3424" s="2" t="s">
        <v>33980</v>
      </c>
      <c r="R3424" s="3" t="s">
        <v>71</v>
      </c>
      <c r="S3424" s="4">
        <v>0</v>
      </c>
      <c r="T3424" s="4">
        <v>0</v>
      </c>
      <c r="W3424" s="5" t="s">
        <v>72</v>
      </c>
      <c r="X3424" s="5" t="s">
        <v>72</v>
      </c>
      <c r="Y3424" s="4">
        <v>34</v>
      </c>
      <c r="Z3424" s="4">
        <v>4</v>
      </c>
      <c r="AA3424" s="4">
        <v>4</v>
      </c>
      <c r="AB3424" s="4">
        <v>1</v>
      </c>
      <c r="AC3424" s="4">
        <v>1</v>
      </c>
      <c r="AD3424" s="4">
        <v>27</v>
      </c>
      <c r="AE3424" s="4">
        <v>27</v>
      </c>
      <c r="AF3424" s="4">
        <v>0</v>
      </c>
      <c r="AG3424" s="4">
        <v>0</v>
      </c>
      <c r="AH3424" s="4">
        <v>26</v>
      </c>
      <c r="AI3424" s="4">
        <v>26</v>
      </c>
      <c r="AJ3424" s="4">
        <v>2</v>
      </c>
      <c r="AK3424" s="4">
        <v>2</v>
      </c>
      <c r="AL3424" s="4">
        <v>20</v>
      </c>
      <c r="AM3424" s="4">
        <v>20</v>
      </c>
      <c r="AN3424" s="4">
        <v>0</v>
      </c>
      <c r="AO3424" s="4">
        <v>0</v>
      </c>
      <c r="AP3424" s="4">
        <v>2</v>
      </c>
      <c r="AQ3424" s="4">
        <v>2</v>
      </c>
      <c r="AR3424" s="3" t="s">
        <v>65</v>
      </c>
      <c r="AS3424" s="3" t="s">
        <v>65</v>
      </c>
      <c r="AT3424" s="3" t="s">
        <v>65</v>
      </c>
      <c r="AV3424" s="6" t="str">
        <f>HYPERLINK("http://mcgill.on.worldcat.org/oclc/781672435","Catalog Record")</f>
        <v>Catalog Record</v>
      </c>
      <c r="AW3424" s="6" t="str">
        <f>HYPERLINK("http://www.worldcat.org/oclc/781672435","WorldCat Record")</f>
        <v>WorldCat Record</v>
      </c>
      <c r="AX3424" s="3" t="s">
        <v>33981</v>
      </c>
      <c r="AY3424" s="3" t="s">
        <v>33982</v>
      </c>
      <c r="AZ3424" s="3" t="s">
        <v>33983</v>
      </c>
      <c r="BA3424" s="3" t="s">
        <v>33983</v>
      </c>
      <c r="BB3424" s="3" t="s">
        <v>33984</v>
      </c>
      <c r="BC3424" s="3" t="s">
        <v>77</v>
      </c>
      <c r="BD3424" s="3" t="s">
        <v>78</v>
      </c>
      <c r="BE3424" s="3" t="s">
        <v>33985</v>
      </c>
      <c r="BF3424" s="3" t="s">
        <v>33984</v>
      </c>
      <c r="BG3424" s="3" t="s">
        <v>33986</v>
      </c>
    </row>
    <row r="3425" spans="1:59" ht="72.5" x14ac:dyDescent="0.35">
      <c r="A3425" s="2" t="s">
        <v>59</v>
      </c>
      <c r="B3425" s="2" t="s">
        <v>60</v>
      </c>
      <c r="C3425" s="2" t="s">
        <v>33987</v>
      </c>
      <c r="D3425" s="2" t="s">
        <v>33988</v>
      </c>
      <c r="E3425" s="2" t="s">
        <v>33989</v>
      </c>
      <c r="G3425" s="3" t="s">
        <v>65</v>
      </c>
      <c r="I3425" s="3" t="s">
        <v>65</v>
      </c>
      <c r="J3425" s="3" t="s">
        <v>65</v>
      </c>
      <c r="K3425" s="3" t="s">
        <v>66</v>
      </c>
      <c r="M3425" s="2" t="s">
        <v>33990</v>
      </c>
      <c r="N3425" s="3" t="s">
        <v>164</v>
      </c>
      <c r="P3425" s="3" t="s">
        <v>140</v>
      </c>
      <c r="Q3425" s="2" t="s">
        <v>33991</v>
      </c>
      <c r="R3425" s="3" t="s">
        <v>71</v>
      </c>
      <c r="S3425" s="4">
        <v>0</v>
      </c>
      <c r="T3425" s="4">
        <v>0</v>
      </c>
      <c r="W3425" s="5" t="s">
        <v>72</v>
      </c>
      <c r="X3425" s="5" t="s">
        <v>72</v>
      </c>
      <c r="Y3425" s="4">
        <v>37</v>
      </c>
      <c r="Z3425" s="4">
        <v>4</v>
      </c>
      <c r="AA3425" s="4">
        <v>4</v>
      </c>
      <c r="AB3425" s="4">
        <v>1</v>
      </c>
      <c r="AC3425" s="4">
        <v>1</v>
      </c>
      <c r="AD3425" s="4">
        <v>27</v>
      </c>
      <c r="AE3425" s="4">
        <v>27</v>
      </c>
      <c r="AF3425" s="4">
        <v>0</v>
      </c>
      <c r="AG3425" s="4">
        <v>0</v>
      </c>
      <c r="AH3425" s="4">
        <v>26</v>
      </c>
      <c r="AI3425" s="4">
        <v>26</v>
      </c>
      <c r="AJ3425" s="4">
        <v>2</v>
      </c>
      <c r="AK3425" s="4">
        <v>2</v>
      </c>
      <c r="AL3425" s="4">
        <v>19</v>
      </c>
      <c r="AM3425" s="4">
        <v>19</v>
      </c>
      <c r="AN3425" s="4">
        <v>0</v>
      </c>
      <c r="AO3425" s="4">
        <v>0</v>
      </c>
      <c r="AP3425" s="4">
        <v>2</v>
      </c>
      <c r="AQ3425" s="4">
        <v>2</v>
      </c>
      <c r="AR3425" s="3" t="s">
        <v>65</v>
      </c>
      <c r="AS3425" s="3" t="s">
        <v>65</v>
      </c>
      <c r="AT3425" s="3" t="s">
        <v>65</v>
      </c>
      <c r="AV3425" s="6" t="str">
        <f>HYPERLINK("http://mcgill.on.worldcat.org/oclc/905553103","Catalog Record")</f>
        <v>Catalog Record</v>
      </c>
      <c r="AW3425" s="6" t="str">
        <f>HYPERLINK("http://www.worldcat.org/oclc/905553103","WorldCat Record")</f>
        <v>WorldCat Record</v>
      </c>
      <c r="AX3425" s="3" t="s">
        <v>33992</v>
      </c>
      <c r="AY3425" s="3" t="s">
        <v>33993</v>
      </c>
      <c r="AZ3425" s="3" t="s">
        <v>33994</v>
      </c>
      <c r="BA3425" s="3" t="s">
        <v>33994</v>
      </c>
      <c r="BB3425" s="3" t="s">
        <v>33995</v>
      </c>
      <c r="BC3425" s="3" t="s">
        <v>77</v>
      </c>
      <c r="BD3425" s="3" t="s">
        <v>78</v>
      </c>
      <c r="BE3425" s="3" t="s">
        <v>33996</v>
      </c>
      <c r="BF3425" s="3" t="s">
        <v>33995</v>
      </c>
      <c r="BG3425" s="3" t="s">
        <v>33997</v>
      </c>
    </row>
    <row r="3426" spans="1:59" ht="72.5" x14ac:dyDescent="0.35">
      <c r="A3426" s="2" t="s">
        <v>59</v>
      </c>
      <c r="B3426" s="2" t="s">
        <v>60</v>
      </c>
      <c r="C3426" s="2" t="s">
        <v>33998</v>
      </c>
      <c r="D3426" s="2" t="s">
        <v>33999</v>
      </c>
      <c r="E3426" s="2" t="s">
        <v>34000</v>
      </c>
      <c r="G3426" s="3" t="s">
        <v>65</v>
      </c>
      <c r="I3426" s="3" t="s">
        <v>65</v>
      </c>
      <c r="J3426" s="3" t="s">
        <v>65</v>
      </c>
      <c r="K3426" s="3" t="s">
        <v>66</v>
      </c>
      <c r="L3426" s="2" t="s">
        <v>34001</v>
      </c>
      <c r="M3426" s="2" t="s">
        <v>34002</v>
      </c>
      <c r="N3426" s="3" t="s">
        <v>176</v>
      </c>
      <c r="P3426" s="3" t="s">
        <v>140</v>
      </c>
      <c r="Q3426" s="2" t="s">
        <v>34003</v>
      </c>
      <c r="R3426" s="3" t="s">
        <v>71</v>
      </c>
      <c r="S3426" s="4">
        <v>0</v>
      </c>
      <c r="T3426" s="4">
        <v>0</v>
      </c>
      <c r="W3426" s="5" t="s">
        <v>72</v>
      </c>
      <c r="X3426" s="5" t="s">
        <v>72</v>
      </c>
      <c r="Y3426" s="4">
        <v>33</v>
      </c>
      <c r="Z3426" s="4">
        <v>4</v>
      </c>
      <c r="AA3426" s="4">
        <v>4</v>
      </c>
      <c r="AB3426" s="4">
        <v>1</v>
      </c>
      <c r="AC3426" s="4">
        <v>1</v>
      </c>
      <c r="AD3426" s="4">
        <v>28</v>
      </c>
      <c r="AE3426" s="4">
        <v>28</v>
      </c>
      <c r="AF3426" s="4">
        <v>0</v>
      </c>
      <c r="AG3426" s="4">
        <v>0</v>
      </c>
      <c r="AH3426" s="4">
        <v>27</v>
      </c>
      <c r="AI3426" s="4">
        <v>27</v>
      </c>
      <c r="AJ3426" s="4">
        <v>2</v>
      </c>
      <c r="AK3426" s="4">
        <v>2</v>
      </c>
      <c r="AL3426" s="4">
        <v>21</v>
      </c>
      <c r="AM3426" s="4">
        <v>21</v>
      </c>
      <c r="AN3426" s="4">
        <v>0</v>
      </c>
      <c r="AO3426" s="4">
        <v>0</v>
      </c>
      <c r="AP3426" s="4">
        <v>2</v>
      </c>
      <c r="AQ3426" s="4">
        <v>2</v>
      </c>
      <c r="AR3426" s="3" t="s">
        <v>65</v>
      </c>
      <c r="AS3426" s="3" t="s">
        <v>65</v>
      </c>
      <c r="AT3426" s="3" t="s">
        <v>65</v>
      </c>
      <c r="AV3426" s="6" t="str">
        <f>HYPERLINK("http://mcgill.on.worldcat.org/oclc/919085748","Catalog Record")</f>
        <v>Catalog Record</v>
      </c>
      <c r="AW3426" s="6" t="str">
        <f>HYPERLINK("http://www.worldcat.org/oclc/919085748","WorldCat Record")</f>
        <v>WorldCat Record</v>
      </c>
      <c r="AX3426" s="3" t="s">
        <v>34004</v>
      </c>
      <c r="AY3426" s="3" t="s">
        <v>34005</v>
      </c>
      <c r="AZ3426" s="3" t="s">
        <v>34006</v>
      </c>
      <c r="BA3426" s="3" t="s">
        <v>34006</v>
      </c>
      <c r="BB3426" s="3" t="s">
        <v>34007</v>
      </c>
      <c r="BC3426" s="3" t="s">
        <v>77</v>
      </c>
      <c r="BD3426" s="3" t="s">
        <v>78</v>
      </c>
      <c r="BE3426" s="3" t="s">
        <v>34008</v>
      </c>
      <c r="BF3426" s="3" t="s">
        <v>34007</v>
      </c>
      <c r="BG3426" s="3" t="s">
        <v>34009</v>
      </c>
    </row>
    <row r="3427" spans="1:59" ht="72.5" x14ac:dyDescent="0.35">
      <c r="A3427" s="2" t="s">
        <v>59</v>
      </c>
      <c r="B3427" s="2" t="s">
        <v>60</v>
      </c>
      <c r="C3427" s="2" t="s">
        <v>34010</v>
      </c>
      <c r="D3427" s="2" t="s">
        <v>34011</v>
      </c>
      <c r="E3427" s="2" t="s">
        <v>34012</v>
      </c>
      <c r="G3427" s="3" t="s">
        <v>65</v>
      </c>
      <c r="I3427" s="3" t="s">
        <v>65</v>
      </c>
      <c r="J3427" s="3" t="s">
        <v>65</v>
      </c>
      <c r="K3427" s="3" t="s">
        <v>66</v>
      </c>
      <c r="L3427" s="2" t="s">
        <v>34013</v>
      </c>
      <c r="M3427" s="2" t="s">
        <v>34014</v>
      </c>
      <c r="N3427" s="3" t="s">
        <v>139</v>
      </c>
      <c r="P3427" s="3" t="s">
        <v>140</v>
      </c>
      <c r="Q3427" s="2" t="s">
        <v>34015</v>
      </c>
      <c r="R3427" s="3" t="s">
        <v>71</v>
      </c>
      <c r="S3427" s="4">
        <v>1</v>
      </c>
      <c r="T3427" s="4">
        <v>1</v>
      </c>
      <c r="U3427" s="5" t="s">
        <v>34016</v>
      </c>
      <c r="V3427" s="5" t="s">
        <v>34016</v>
      </c>
      <c r="W3427" s="5" t="s">
        <v>72</v>
      </c>
      <c r="X3427" s="5" t="s">
        <v>72</v>
      </c>
      <c r="Y3427" s="4">
        <v>22</v>
      </c>
      <c r="Z3427" s="4">
        <v>1</v>
      </c>
      <c r="AA3427" s="4">
        <v>6</v>
      </c>
      <c r="AB3427" s="4">
        <v>1</v>
      </c>
      <c r="AC3427" s="4">
        <v>3</v>
      </c>
      <c r="AD3427" s="4">
        <v>14</v>
      </c>
      <c r="AE3427" s="4">
        <v>26</v>
      </c>
      <c r="AF3427" s="4">
        <v>0</v>
      </c>
      <c r="AG3427" s="4">
        <v>0</v>
      </c>
      <c r="AH3427" s="4">
        <v>14</v>
      </c>
      <c r="AI3427" s="4">
        <v>25</v>
      </c>
      <c r="AJ3427" s="4">
        <v>0</v>
      </c>
      <c r="AK3427" s="4">
        <v>2</v>
      </c>
      <c r="AL3427" s="4">
        <v>9</v>
      </c>
      <c r="AM3427" s="4">
        <v>18</v>
      </c>
      <c r="AN3427" s="4">
        <v>0</v>
      </c>
      <c r="AO3427" s="4">
        <v>0</v>
      </c>
      <c r="AP3427" s="4">
        <v>0</v>
      </c>
      <c r="AQ3427" s="4">
        <v>2</v>
      </c>
      <c r="AR3427" s="3" t="s">
        <v>65</v>
      </c>
      <c r="AS3427" s="3" t="s">
        <v>65</v>
      </c>
      <c r="AT3427" s="3" t="s">
        <v>65</v>
      </c>
      <c r="AV3427" s="6" t="str">
        <f>HYPERLINK("http://mcgill.on.worldcat.org/oclc/823755510","Catalog Record")</f>
        <v>Catalog Record</v>
      </c>
      <c r="AW3427" s="6" t="str">
        <f>HYPERLINK("http://www.worldcat.org/oclc/823755510","WorldCat Record")</f>
        <v>WorldCat Record</v>
      </c>
      <c r="AX3427" s="3" t="s">
        <v>34017</v>
      </c>
      <c r="AY3427" s="3" t="s">
        <v>34018</v>
      </c>
      <c r="AZ3427" s="3" t="s">
        <v>34019</v>
      </c>
      <c r="BA3427" s="3" t="s">
        <v>34019</v>
      </c>
      <c r="BB3427" s="3" t="s">
        <v>34020</v>
      </c>
      <c r="BC3427" s="3" t="s">
        <v>77</v>
      </c>
      <c r="BD3427" s="3" t="s">
        <v>78</v>
      </c>
      <c r="BE3427" s="3" t="s">
        <v>34021</v>
      </c>
      <c r="BF3427" s="3" t="s">
        <v>34020</v>
      </c>
      <c r="BG3427" s="3" t="s">
        <v>34022</v>
      </c>
    </row>
    <row r="3428" spans="1:59" ht="72.5" x14ac:dyDescent="0.35">
      <c r="A3428" s="2" t="s">
        <v>59</v>
      </c>
      <c r="B3428" s="2" t="s">
        <v>60</v>
      </c>
      <c r="C3428" s="2" t="s">
        <v>34023</v>
      </c>
      <c r="D3428" s="2" t="s">
        <v>34024</v>
      </c>
      <c r="E3428" s="2" t="s">
        <v>34025</v>
      </c>
      <c r="G3428" s="3" t="s">
        <v>65</v>
      </c>
      <c r="I3428" s="3" t="s">
        <v>65</v>
      </c>
      <c r="J3428" s="3" t="s">
        <v>65</v>
      </c>
      <c r="K3428" s="3" t="s">
        <v>66</v>
      </c>
      <c r="L3428" s="2" t="s">
        <v>34013</v>
      </c>
      <c r="M3428" s="2" t="s">
        <v>34026</v>
      </c>
      <c r="N3428" s="3" t="s">
        <v>113</v>
      </c>
      <c r="O3428" s="2" t="s">
        <v>34027</v>
      </c>
      <c r="P3428" s="3" t="s">
        <v>140</v>
      </c>
      <c r="Q3428" s="2" t="s">
        <v>34028</v>
      </c>
      <c r="R3428" s="3" t="s">
        <v>71</v>
      </c>
      <c r="S3428" s="4">
        <v>0</v>
      </c>
      <c r="T3428" s="4">
        <v>0</v>
      </c>
      <c r="W3428" s="5" t="s">
        <v>72</v>
      </c>
      <c r="X3428" s="5" t="s">
        <v>72</v>
      </c>
      <c r="Y3428" s="4">
        <v>39</v>
      </c>
      <c r="Z3428" s="4">
        <v>4</v>
      </c>
      <c r="AA3428" s="4">
        <v>4</v>
      </c>
      <c r="AB3428" s="4">
        <v>1</v>
      </c>
      <c r="AC3428" s="4">
        <v>1</v>
      </c>
      <c r="AD3428" s="4">
        <v>29</v>
      </c>
      <c r="AE3428" s="4">
        <v>29</v>
      </c>
      <c r="AF3428" s="4">
        <v>0</v>
      </c>
      <c r="AG3428" s="4">
        <v>0</v>
      </c>
      <c r="AH3428" s="4">
        <v>28</v>
      </c>
      <c r="AI3428" s="4">
        <v>28</v>
      </c>
      <c r="AJ3428" s="4">
        <v>2</v>
      </c>
      <c r="AK3428" s="4">
        <v>2</v>
      </c>
      <c r="AL3428" s="4">
        <v>20</v>
      </c>
      <c r="AM3428" s="4">
        <v>20</v>
      </c>
      <c r="AN3428" s="4">
        <v>0</v>
      </c>
      <c r="AO3428" s="4">
        <v>0</v>
      </c>
      <c r="AP3428" s="4">
        <v>2</v>
      </c>
      <c r="AQ3428" s="4">
        <v>2</v>
      </c>
      <c r="AR3428" s="3" t="s">
        <v>65</v>
      </c>
      <c r="AS3428" s="3" t="s">
        <v>65</v>
      </c>
      <c r="AT3428" s="3" t="s">
        <v>65</v>
      </c>
      <c r="AV3428" s="6" t="str">
        <f>HYPERLINK("http://mcgill.on.worldcat.org/oclc/549139925","Catalog Record")</f>
        <v>Catalog Record</v>
      </c>
      <c r="AW3428" s="6" t="str">
        <f>HYPERLINK("http://www.worldcat.org/oclc/549139925","WorldCat Record")</f>
        <v>WorldCat Record</v>
      </c>
      <c r="AX3428" s="3" t="s">
        <v>34029</v>
      </c>
      <c r="AY3428" s="3" t="s">
        <v>34030</v>
      </c>
      <c r="AZ3428" s="3" t="s">
        <v>34031</v>
      </c>
      <c r="BA3428" s="3" t="s">
        <v>34031</v>
      </c>
      <c r="BB3428" s="3" t="s">
        <v>34032</v>
      </c>
      <c r="BC3428" s="3" t="s">
        <v>77</v>
      </c>
      <c r="BD3428" s="3" t="s">
        <v>78</v>
      </c>
      <c r="BE3428" s="3" t="s">
        <v>34033</v>
      </c>
      <c r="BF3428" s="3" t="s">
        <v>34032</v>
      </c>
      <c r="BG3428" s="3" t="s">
        <v>34034</v>
      </c>
    </row>
    <row r="3429" spans="1:59" ht="72.5" x14ac:dyDescent="0.35">
      <c r="A3429" s="2" t="s">
        <v>59</v>
      </c>
      <c r="B3429" s="2" t="s">
        <v>60</v>
      </c>
      <c r="C3429" s="2" t="s">
        <v>34035</v>
      </c>
      <c r="D3429" s="2" t="s">
        <v>34036</v>
      </c>
      <c r="E3429" s="2" t="s">
        <v>34037</v>
      </c>
      <c r="G3429" s="3" t="s">
        <v>65</v>
      </c>
      <c r="I3429" s="3" t="s">
        <v>65</v>
      </c>
      <c r="J3429" s="3" t="s">
        <v>65</v>
      </c>
      <c r="K3429" s="3" t="s">
        <v>66</v>
      </c>
      <c r="L3429" s="2" t="s">
        <v>34038</v>
      </c>
      <c r="M3429" s="2" t="s">
        <v>34039</v>
      </c>
      <c r="N3429" s="3" t="s">
        <v>176</v>
      </c>
      <c r="O3429" s="2" t="s">
        <v>235</v>
      </c>
      <c r="P3429" s="3" t="s">
        <v>140</v>
      </c>
      <c r="Q3429" s="2" t="s">
        <v>34040</v>
      </c>
      <c r="R3429" s="3" t="s">
        <v>71</v>
      </c>
      <c r="S3429" s="4">
        <v>0</v>
      </c>
      <c r="T3429" s="4">
        <v>0</v>
      </c>
      <c r="W3429" s="5" t="s">
        <v>72</v>
      </c>
      <c r="X3429" s="5" t="s">
        <v>72</v>
      </c>
      <c r="Y3429" s="4">
        <v>51</v>
      </c>
      <c r="Z3429" s="4">
        <v>6</v>
      </c>
      <c r="AA3429" s="4">
        <v>7</v>
      </c>
      <c r="AB3429" s="4">
        <v>1</v>
      </c>
      <c r="AC3429" s="4">
        <v>2</v>
      </c>
      <c r="AD3429" s="4">
        <v>38</v>
      </c>
      <c r="AE3429" s="4">
        <v>40</v>
      </c>
      <c r="AF3429" s="4">
        <v>0</v>
      </c>
      <c r="AG3429" s="4">
        <v>0</v>
      </c>
      <c r="AH3429" s="4">
        <v>37</v>
      </c>
      <c r="AI3429" s="4">
        <v>39</v>
      </c>
      <c r="AJ3429" s="4">
        <v>3</v>
      </c>
      <c r="AK3429" s="4">
        <v>3</v>
      </c>
      <c r="AL3429" s="4">
        <v>29</v>
      </c>
      <c r="AM3429" s="4">
        <v>30</v>
      </c>
      <c r="AN3429" s="4">
        <v>0</v>
      </c>
      <c r="AO3429" s="4">
        <v>0</v>
      </c>
      <c r="AP3429" s="4">
        <v>3</v>
      </c>
      <c r="AQ3429" s="4">
        <v>3</v>
      </c>
      <c r="AR3429" s="3" t="s">
        <v>65</v>
      </c>
      <c r="AS3429" s="3" t="s">
        <v>65</v>
      </c>
      <c r="AT3429" s="3" t="s">
        <v>65</v>
      </c>
      <c r="AV3429" s="6" t="str">
        <f>HYPERLINK("http://mcgill.on.worldcat.org/oclc/909278121","Catalog Record")</f>
        <v>Catalog Record</v>
      </c>
      <c r="AW3429" s="6" t="str">
        <f>HYPERLINK("http://www.worldcat.org/oclc/909278121","WorldCat Record")</f>
        <v>WorldCat Record</v>
      </c>
      <c r="AX3429" s="3" t="s">
        <v>34041</v>
      </c>
      <c r="AY3429" s="3" t="s">
        <v>34042</v>
      </c>
      <c r="AZ3429" s="3" t="s">
        <v>34043</v>
      </c>
      <c r="BA3429" s="3" t="s">
        <v>34043</v>
      </c>
      <c r="BB3429" s="3" t="s">
        <v>34044</v>
      </c>
      <c r="BC3429" s="3" t="s">
        <v>77</v>
      </c>
      <c r="BD3429" s="3" t="s">
        <v>78</v>
      </c>
      <c r="BE3429" s="3" t="s">
        <v>34045</v>
      </c>
      <c r="BF3429" s="3" t="s">
        <v>34044</v>
      </c>
      <c r="BG3429" s="3" t="s">
        <v>34046</v>
      </c>
    </row>
    <row r="3430" spans="1:59" ht="72.5" x14ac:dyDescent="0.35">
      <c r="A3430" s="2" t="s">
        <v>59</v>
      </c>
      <c r="B3430" s="2" t="s">
        <v>60</v>
      </c>
      <c r="C3430" s="2" t="s">
        <v>34047</v>
      </c>
      <c r="D3430" s="2" t="s">
        <v>34048</v>
      </c>
      <c r="E3430" s="2" t="s">
        <v>34049</v>
      </c>
      <c r="G3430" s="3" t="s">
        <v>65</v>
      </c>
      <c r="I3430" s="3" t="s">
        <v>65</v>
      </c>
      <c r="J3430" s="3" t="s">
        <v>65</v>
      </c>
      <c r="K3430" s="3" t="s">
        <v>66</v>
      </c>
      <c r="L3430" s="2" t="s">
        <v>34013</v>
      </c>
      <c r="M3430" s="2" t="s">
        <v>34050</v>
      </c>
      <c r="N3430" s="3" t="s">
        <v>2460</v>
      </c>
      <c r="O3430" s="2" t="s">
        <v>526</v>
      </c>
      <c r="P3430" s="3" t="s">
        <v>69</v>
      </c>
      <c r="R3430" s="3" t="s">
        <v>71</v>
      </c>
      <c r="S3430" s="4">
        <v>3</v>
      </c>
      <c r="T3430" s="4">
        <v>3</v>
      </c>
      <c r="U3430" s="5" t="s">
        <v>34051</v>
      </c>
      <c r="V3430" s="5" t="s">
        <v>34051</v>
      </c>
      <c r="W3430" s="5" t="s">
        <v>72</v>
      </c>
      <c r="X3430" s="5" t="s">
        <v>72</v>
      </c>
      <c r="Y3430" s="4">
        <v>212</v>
      </c>
      <c r="Z3430" s="4">
        <v>10</v>
      </c>
      <c r="AA3430" s="4">
        <v>15</v>
      </c>
      <c r="AB3430" s="4">
        <v>1</v>
      </c>
      <c r="AC3430" s="4">
        <v>2</v>
      </c>
      <c r="AD3430" s="4">
        <v>74</v>
      </c>
      <c r="AE3430" s="4">
        <v>80</v>
      </c>
      <c r="AF3430" s="4">
        <v>0</v>
      </c>
      <c r="AG3430" s="4">
        <v>1</v>
      </c>
      <c r="AH3430" s="4">
        <v>70</v>
      </c>
      <c r="AI3430" s="4">
        <v>74</v>
      </c>
      <c r="AJ3430" s="4">
        <v>7</v>
      </c>
      <c r="AK3430" s="4">
        <v>8</v>
      </c>
      <c r="AL3430" s="4">
        <v>45</v>
      </c>
      <c r="AM3430" s="4">
        <v>47</v>
      </c>
      <c r="AN3430" s="4">
        <v>0</v>
      </c>
      <c r="AO3430" s="4">
        <v>0</v>
      </c>
      <c r="AP3430" s="4">
        <v>7</v>
      </c>
      <c r="AQ3430" s="4">
        <v>9</v>
      </c>
      <c r="AR3430" s="3" t="s">
        <v>65</v>
      </c>
      <c r="AS3430" s="3" t="s">
        <v>65</v>
      </c>
      <c r="AT3430" s="3" t="s">
        <v>209</v>
      </c>
      <c r="AU3430" s="6" t="str">
        <f>HYPERLINK("http://catalog.hathitrust.org/Record/001073552","HathiTrust Record")</f>
        <v>HathiTrust Record</v>
      </c>
      <c r="AV3430" s="6" t="str">
        <f>HYPERLINK("http://mcgill.on.worldcat.org/oclc/17386106","Catalog Record")</f>
        <v>Catalog Record</v>
      </c>
      <c r="AW3430" s="6" t="str">
        <f>HYPERLINK("http://www.worldcat.org/oclc/17386106","WorldCat Record")</f>
        <v>WorldCat Record</v>
      </c>
      <c r="AX3430" s="3" t="s">
        <v>34052</v>
      </c>
      <c r="AY3430" s="3" t="s">
        <v>34053</v>
      </c>
      <c r="AZ3430" s="3" t="s">
        <v>34054</v>
      </c>
      <c r="BA3430" s="3" t="s">
        <v>34054</v>
      </c>
      <c r="BB3430" s="3" t="s">
        <v>34055</v>
      </c>
      <c r="BC3430" s="3" t="s">
        <v>77</v>
      </c>
      <c r="BD3430" s="3" t="s">
        <v>78</v>
      </c>
      <c r="BE3430" s="3" t="s">
        <v>34056</v>
      </c>
      <c r="BF3430" s="3" t="s">
        <v>34055</v>
      </c>
      <c r="BG3430" s="3" t="s">
        <v>34057</v>
      </c>
    </row>
    <row r="3431" spans="1:59" ht="72.5" x14ac:dyDescent="0.35">
      <c r="A3431" s="2" t="s">
        <v>59</v>
      </c>
      <c r="B3431" s="2" t="s">
        <v>60</v>
      </c>
      <c r="C3431" s="2" t="s">
        <v>34058</v>
      </c>
      <c r="D3431" s="2" t="s">
        <v>34059</v>
      </c>
      <c r="E3431" s="2" t="s">
        <v>34060</v>
      </c>
      <c r="G3431" s="3" t="s">
        <v>65</v>
      </c>
      <c r="I3431" s="3" t="s">
        <v>65</v>
      </c>
      <c r="J3431" s="3" t="s">
        <v>65</v>
      </c>
      <c r="K3431" s="3" t="s">
        <v>66</v>
      </c>
      <c r="L3431" s="2" t="s">
        <v>34061</v>
      </c>
      <c r="M3431" s="2" t="s">
        <v>33656</v>
      </c>
      <c r="N3431" s="3" t="s">
        <v>139</v>
      </c>
      <c r="P3431" s="3" t="s">
        <v>140</v>
      </c>
      <c r="Q3431" s="2" t="s">
        <v>33536</v>
      </c>
      <c r="R3431" s="3" t="s">
        <v>71</v>
      </c>
      <c r="S3431" s="4">
        <v>0</v>
      </c>
      <c r="T3431" s="4">
        <v>0</v>
      </c>
      <c r="W3431" s="5" t="s">
        <v>72</v>
      </c>
      <c r="X3431" s="5" t="s">
        <v>72</v>
      </c>
      <c r="Y3431" s="4">
        <v>8</v>
      </c>
      <c r="Z3431" s="4">
        <v>2</v>
      </c>
      <c r="AA3431" s="4">
        <v>6</v>
      </c>
      <c r="AB3431" s="4">
        <v>1</v>
      </c>
      <c r="AC3431" s="4">
        <v>1</v>
      </c>
      <c r="AD3431" s="4">
        <v>3</v>
      </c>
      <c r="AE3431" s="4">
        <v>34</v>
      </c>
      <c r="AF3431" s="4">
        <v>0</v>
      </c>
      <c r="AG3431" s="4">
        <v>0</v>
      </c>
      <c r="AH3431" s="4">
        <v>3</v>
      </c>
      <c r="AI3431" s="4">
        <v>33</v>
      </c>
      <c r="AJ3431" s="4">
        <v>0</v>
      </c>
      <c r="AK3431" s="4">
        <v>3</v>
      </c>
      <c r="AL3431" s="4">
        <v>3</v>
      </c>
      <c r="AM3431" s="4">
        <v>23</v>
      </c>
      <c r="AN3431" s="4">
        <v>0</v>
      </c>
      <c r="AO3431" s="4">
        <v>0</v>
      </c>
      <c r="AP3431" s="4">
        <v>0</v>
      </c>
      <c r="AQ3431" s="4">
        <v>3</v>
      </c>
      <c r="AR3431" s="3" t="s">
        <v>65</v>
      </c>
      <c r="AS3431" s="3" t="s">
        <v>65</v>
      </c>
      <c r="AT3431" s="3" t="s">
        <v>65</v>
      </c>
      <c r="AV3431" s="6" t="str">
        <f>HYPERLINK("http://mcgill.on.worldcat.org/oclc/786110388","Catalog Record")</f>
        <v>Catalog Record</v>
      </c>
      <c r="AW3431" s="6" t="str">
        <f>HYPERLINK("http://www.worldcat.org/oclc/786110388","WorldCat Record")</f>
        <v>WorldCat Record</v>
      </c>
      <c r="AX3431" s="3" t="s">
        <v>34062</v>
      </c>
      <c r="AY3431" s="3" t="s">
        <v>34063</v>
      </c>
      <c r="AZ3431" s="3" t="s">
        <v>34064</v>
      </c>
      <c r="BA3431" s="3" t="s">
        <v>34064</v>
      </c>
      <c r="BB3431" s="3" t="s">
        <v>34065</v>
      </c>
      <c r="BC3431" s="3" t="s">
        <v>77</v>
      </c>
      <c r="BD3431" s="3" t="s">
        <v>78</v>
      </c>
      <c r="BE3431" s="3" t="s">
        <v>34066</v>
      </c>
      <c r="BF3431" s="3" t="s">
        <v>34065</v>
      </c>
      <c r="BG3431" s="3" t="s">
        <v>34067</v>
      </c>
    </row>
    <row r="3432" spans="1:59" ht="58" x14ac:dyDescent="0.35">
      <c r="A3432" s="2" t="s">
        <v>59</v>
      </c>
      <c r="B3432" s="2" t="s">
        <v>60</v>
      </c>
      <c r="C3432" s="2" t="s">
        <v>34068</v>
      </c>
      <c r="D3432" s="2" t="s">
        <v>34069</v>
      </c>
      <c r="E3432" s="2" t="s">
        <v>34070</v>
      </c>
      <c r="G3432" s="3" t="s">
        <v>65</v>
      </c>
      <c r="I3432" s="3" t="s">
        <v>65</v>
      </c>
      <c r="J3432" s="3" t="s">
        <v>65</v>
      </c>
      <c r="K3432" s="3" t="s">
        <v>66</v>
      </c>
      <c r="L3432" s="2" t="s">
        <v>34071</v>
      </c>
      <c r="M3432" s="2" t="s">
        <v>34072</v>
      </c>
      <c r="N3432" s="3" t="s">
        <v>126</v>
      </c>
      <c r="P3432" s="3" t="s">
        <v>69</v>
      </c>
      <c r="Q3432" s="2" t="s">
        <v>14992</v>
      </c>
      <c r="R3432" s="3" t="s">
        <v>71</v>
      </c>
      <c r="S3432" s="4">
        <v>5</v>
      </c>
      <c r="T3432" s="4">
        <v>5</v>
      </c>
      <c r="U3432" s="5" t="s">
        <v>34073</v>
      </c>
      <c r="V3432" s="5" t="s">
        <v>34073</v>
      </c>
      <c r="W3432" s="5" t="s">
        <v>72</v>
      </c>
      <c r="X3432" s="5" t="s">
        <v>72</v>
      </c>
      <c r="Y3432" s="4">
        <v>65</v>
      </c>
      <c r="Z3432" s="4">
        <v>5</v>
      </c>
      <c r="AA3432" s="4">
        <v>5</v>
      </c>
      <c r="AB3432" s="4">
        <v>1</v>
      </c>
      <c r="AC3432" s="4">
        <v>1</v>
      </c>
      <c r="AD3432" s="4">
        <v>28</v>
      </c>
      <c r="AE3432" s="4">
        <v>28</v>
      </c>
      <c r="AF3432" s="4">
        <v>0</v>
      </c>
      <c r="AG3432" s="4">
        <v>0</v>
      </c>
      <c r="AH3432" s="4">
        <v>26</v>
      </c>
      <c r="AI3432" s="4">
        <v>26</v>
      </c>
      <c r="AJ3432" s="4">
        <v>3</v>
      </c>
      <c r="AK3432" s="4">
        <v>3</v>
      </c>
      <c r="AL3432" s="4">
        <v>19</v>
      </c>
      <c r="AM3432" s="4">
        <v>19</v>
      </c>
      <c r="AN3432" s="4">
        <v>0</v>
      </c>
      <c r="AO3432" s="4">
        <v>0</v>
      </c>
      <c r="AP3432" s="4">
        <v>3</v>
      </c>
      <c r="AQ3432" s="4">
        <v>3</v>
      </c>
      <c r="AR3432" s="3" t="s">
        <v>65</v>
      </c>
      <c r="AS3432" s="3" t="s">
        <v>65</v>
      </c>
      <c r="AT3432" s="3" t="s">
        <v>65</v>
      </c>
      <c r="AV3432" s="6" t="str">
        <f>HYPERLINK("http://mcgill.on.worldcat.org/oclc/319210448","Catalog Record")</f>
        <v>Catalog Record</v>
      </c>
      <c r="AW3432" s="6" t="str">
        <f>HYPERLINK("http://www.worldcat.org/oclc/319210448","WorldCat Record")</f>
        <v>WorldCat Record</v>
      </c>
      <c r="AX3432" s="3" t="s">
        <v>34074</v>
      </c>
      <c r="AY3432" s="3" t="s">
        <v>34075</v>
      </c>
      <c r="AZ3432" s="3" t="s">
        <v>34076</v>
      </c>
      <c r="BA3432" s="3" t="s">
        <v>34076</v>
      </c>
      <c r="BB3432" s="3" t="s">
        <v>34077</v>
      </c>
      <c r="BC3432" s="3" t="s">
        <v>77</v>
      </c>
      <c r="BD3432" s="3" t="s">
        <v>78</v>
      </c>
      <c r="BE3432" s="3" t="s">
        <v>34078</v>
      </c>
      <c r="BF3432" s="3" t="s">
        <v>34077</v>
      </c>
      <c r="BG3432" s="3" t="s">
        <v>34079</v>
      </c>
    </row>
    <row r="3433" spans="1:59" ht="72.5" x14ac:dyDescent="0.35">
      <c r="A3433" s="2" t="s">
        <v>59</v>
      </c>
      <c r="B3433" s="2" t="s">
        <v>60</v>
      </c>
      <c r="C3433" s="2" t="s">
        <v>34080</v>
      </c>
      <c r="D3433" s="2" t="s">
        <v>34081</v>
      </c>
      <c r="E3433" s="2" t="s">
        <v>34082</v>
      </c>
      <c r="G3433" s="3" t="s">
        <v>65</v>
      </c>
      <c r="I3433" s="3" t="s">
        <v>65</v>
      </c>
      <c r="J3433" s="3" t="s">
        <v>65</v>
      </c>
      <c r="K3433" s="3" t="s">
        <v>66</v>
      </c>
      <c r="L3433" s="2" t="s">
        <v>34083</v>
      </c>
      <c r="M3433" s="2" t="s">
        <v>34084</v>
      </c>
      <c r="N3433" s="3" t="s">
        <v>164</v>
      </c>
      <c r="P3433" s="3" t="s">
        <v>140</v>
      </c>
      <c r="Q3433" s="2" t="s">
        <v>34085</v>
      </c>
      <c r="R3433" s="3" t="s">
        <v>71</v>
      </c>
      <c r="S3433" s="4">
        <v>0</v>
      </c>
      <c r="T3433" s="4">
        <v>0</v>
      </c>
      <c r="W3433" s="5" t="s">
        <v>72</v>
      </c>
      <c r="X3433" s="5" t="s">
        <v>72</v>
      </c>
      <c r="Y3433" s="4">
        <v>9</v>
      </c>
      <c r="Z3433" s="4">
        <v>3</v>
      </c>
      <c r="AA3433" s="4">
        <v>3</v>
      </c>
      <c r="AB3433" s="4">
        <v>1</v>
      </c>
      <c r="AC3433" s="4">
        <v>1</v>
      </c>
      <c r="AD3433" s="4">
        <v>5</v>
      </c>
      <c r="AE3433" s="4">
        <v>5</v>
      </c>
      <c r="AF3433" s="4">
        <v>0</v>
      </c>
      <c r="AG3433" s="4">
        <v>0</v>
      </c>
      <c r="AH3433" s="4">
        <v>5</v>
      </c>
      <c r="AI3433" s="4">
        <v>5</v>
      </c>
      <c r="AJ3433" s="4">
        <v>1</v>
      </c>
      <c r="AK3433" s="4">
        <v>1</v>
      </c>
      <c r="AL3433" s="4">
        <v>3</v>
      </c>
      <c r="AM3433" s="4">
        <v>3</v>
      </c>
      <c r="AN3433" s="4">
        <v>0</v>
      </c>
      <c r="AO3433" s="4">
        <v>0</v>
      </c>
      <c r="AP3433" s="4">
        <v>1</v>
      </c>
      <c r="AQ3433" s="4">
        <v>1</v>
      </c>
      <c r="AR3433" s="3" t="s">
        <v>65</v>
      </c>
      <c r="AS3433" s="3" t="s">
        <v>65</v>
      </c>
      <c r="AT3433" s="3" t="s">
        <v>65</v>
      </c>
      <c r="AV3433" s="6" t="str">
        <f>HYPERLINK("http://mcgill.on.worldcat.org/oclc/900091953","Catalog Record")</f>
        <v>Catalog Record</v>
      </c>
      <c r="AW3433" s="6" t="str">
        <f>HYPERLINK("http://www.worldcat.org/oclc/900091953","WorldCat Record")</f>
        <v>WorldCat Record</v>
      </c>
      <c r="AX3433" s="3" t="s">
        <v>34086</v>
      </c>
      <c r="AY3433" s="3" t="s">
        <v>34087</v>
      </c>
      <c r="AZ3433" s="3" t="s">
        <v>34088</v>
      </c>
      <c r="BA3433" s="3" t="s">
        <v>34088</v>
      </c>
      <c r="BB3433" s="3" t="s">
        <v>34089</v>
      </c>
      <c r="BC3433" s="3" t="s">
        <v>77</v>
      </c>
      <c r="BD3433" s="3" t="s">
        <v>78</v>
      </c>
      <c r="BE3433" s="3" t="s">
        <v>34090</v>
      </c>
      <c r="BF3433" s="3" t="s">
        <v>34089</v>
      </c>
      <c r="BG3433" s="3" t="s">
        <v>34091</v>
      </c>
    </row>
    <row r="3434" spans="1:59" ht="58" x14ac:dyDescent="0.35">
      <c r="A3434" s="2" t="s">
        <v>59</v>
      </c>
      <c r="B3434" s="2" t="s">
        <v>60</v>
      </c>
      <c r="C3434" s="2" t="s">
        <v>34092</v>
      </c>
      <c r="D3434" s="2" t="s">
        <v>34093</v>
      </c>
      <c r="E3434" s="2" t="s">
        <v>34094</v>
      </c>
      <c r="G3434" s="3" t="s">
        <v>65</v>
      </c>
      <c r="I3434" s="3" t="s">
        <v>65</v>
      </c>
      <c r="J3434" s="3" t="s">
        <v>65</v>
      </c>
      <c r="K3434" s="3" t="s">
        <v>66</v>
      </c>
      <c r="L3434" s="2" t="s">
        <v>34095</v>
      </c>
      <c r="M3434" s="2" t="s">
        <v>34096</v>
      </c>
      <c r="N3434" s="3" t="s">
        <v>188</v>
      </c>
      <c r="P3434" s="3" t="s">
        <v>140</v>
      </c>
      <c r="Q3434" s="2" t="s">
        <v>34097</v>
      </c>
      <c r="R3434" s="3" t="s">
        <v>71</v>
      </c>
      <c r="S3434" s="4">
        <v>0</v>
      </c>
      <c r="T3434" s="4">
        <v>0</v>
      </c>
      <c r="W3434" s="5" t="s">
        <v>72</v>
      </c>
      <c r="X3434" s="5" t="s">
        <v>72</v>
      </c>
      <c r="Y3434" s="4">
        <v>38</v>
      </c>
      <c r="Z3434" s="4">
        <v>3</v>
      </c>
      <c r="AA3434" s="4">
        <v>4</v>
      </c>
      <c r="AB3434" s="4">
        <v>1</v>
      </c>
      <c r="AC3434" s="4">
        <v>2</v>
      </c>
      <c r="AD3434" s="4">
        <v>28</v>
      </c>
      <c r="AE3434" s="4">
        <v>30</v>
      </c>
      <c r="AF3434" s="4">
        <v>0</v>
      </c>
      <c r="AG3434" s="4">
        <v>1</v>
      </c>
      <c r="AH3434" s="4">
        <v>27</v>
      </c>
      <c r="AI3434" s="4">
        <v>28</v>
      </c>
      <c r="AJ3434" s="4">
        <v>2</v>
      </c>
      <c r="AK3434" s="4">
        <v>3</v>
      </c>
      <c r="AL3434" s="4">
        <v>22</v>
      </c>
      <c r="AM3434" s="4">
        <v>22</v>
      </c>
      <c r="AN3434" s="4">
        <v>0</v>
      </c>
      <c r="AO3434" s="4">
        <v>0</v>
      </c>
      <c r="AP3434" s="4">
        <v>2</v>
      </c>
      <c r="AQ3434" s="4">
        <v>2</v>
      </c>
      <c r="AR3434" s="3" t="s">
        <v>65</v>
      </c>
      <c r="AS3434" s="3" t="s">
        <v>65</v>
      </c>
      <c r="AT3434" s="3" t="s">
        <v>65</v>
      </c>
      <c r="AV3434" s="6" t="str">
        <f>HYPERLINK("http://mcgill.on.worldcat.org/oclc/1012859586","Catalog Record")</f>
        <v>Catalog Record</v>
      </c>
      <c r="AW3434" s="6" t="str">
        <f>HYPERLINK("http://www.worldcat.org/oclc/1012859586","WorldCat Record")</f>
        <v>WorldCat Record</v>
      </c>
      <c r="AX3434" s="3" t="s">
        <v>34098</v>
      </c>
      <c r="AY3434" s="3" t="s">
        <v>34099</v>
      </c>
      <c r="AZ3434" s="3" t="s">
        <v>34100</v>
      </c>
      <c r="BA3434" s="3" t="s">
        <v>34100</v>
      </c>
      <c r="BB3434" s="3" t="s">
        <v>34101</v>
      </c>
      <c r="BC3434" s="3" t="s">
        <v>77</v>
      </c>
      <c r="BD3434" s="3" t="s">
        <v>78</v>
      </c>
      <c r="BE3434" s="3" t="s">
        <v>34102</v>
      </c>
      <c r="BF3434" s="3" t="s">
        <v>34101</v>
      </c>
      <c r="BG3434" s="3" t="s">
        <v>34103</v>
      </c>
    </row>
    <row r="3435" spans="1:59" ht="58" x14ac:dyDescent="0.35">
      <c r="A3435" s="2" t="s">
        <v>59</v>
      </c>
      <c r="B3435" s="2" t="s">
        <v>60</v>
      </c>
      <c r="C3435" s="2" t="s">
        <v>34104</v>
      </c>
      <c r="D3435" s="2" t="s">
        <v>34105</v>
      </c>
      <c r="E3435" s="2" t="s">
        <v>34106</v>
      </c>
      <c r="G3435" s="3" t="s">
        <v>65</v>
      </c>
      <c r="I3435" s="3" t="s">
        <v>65</v>
      </c>
      <c r="J3435" s="3" t="s">
        <v>65</v>
      </c>
      <c r="K3435" s="3" t="s">
        <v>66</v>
      </c>
      <c r="L3435" s="2" t="s">
        <v>34107</v>
      </c>
      <c r="M3435" s="2" t="s">
        <v>34108</v>
      </c>
      <c r="N3435" s="3" t="s">
        <v>1895</v>
      </c>
      <c r="O3435" s="2" t="s">
        <v>2086</v>
      </c>
      <c r="P3435" s="3" t="s">
        <v>69</v>
      </c>
      <c r="R3435" s="3" t="s">
        <v>71</v>
      </c>
      <c r="S3435" s="4">
        <v>11</v>
      </c>
      <c r="T3435" s="4">
        <v>11</v>
      </c>
      <c r="U3435" s="5" t="s">
        <v>34109</v>
      </c>
      <c r="V3435" s="5" t="s">
        <v>34109</v>
      </c>
      <c r="W3435" s="5" t="s">
        <v>72</v>
      </c>
      <c r="X3435" s="5" t="s">
        <v>72</v>
      </c>
      <c r="Y3435" s="4">
        <v>525</v>
      </c>
      <c r="Z3435" s="4">
        <v>19</v>
      </c>
      <c r="AA3435" s="4">
        <v>19</v>
      </c>
      <c r="AB3435" s="4">
        <v>1</v>
      </c>
      <c r="AC3435" s="4">
        <v>1</v>
      </c>
      <c r="AD3435" s="4">
        <v>95</v>
      </c>
      <c r="AE3435" s="4">
        <v>95</v>
      </c>
      <c r="AF3435" s="4">
        <v>0</v>
      </c>
      <c r="AG3435" s="4">
        <v>0</v>
      </c>
      <c r="AH3435" s="4">
        <v>91</v>
      </c>
      <c r="AI3435" s="4">
        <v>91</v>
      </c>
      <c r="AJ3435" s="4">
        <v>7</v>
      </c>
      <c r="AK3435" s="4">
        <v>7</v>
      </c>
      <c r="AL3435" s="4">
        <v>53</v>
      </c>
      <c r="AM3435" s="4">
        <v>53</v>
      </c>
      <c r="AN3435" s="4">
        <v>0</v>
      </c>
      <c r="AO3435" s="4">
        <v>0</v>
      </c>
      <c r="AP3435" s="4">
        <v>8</v>
      </c>
      <c r="AQ3435" s="4">
        <v>8</v>
      </c>
      <c r="AR3435" s="3" t="s">
        <v>65</v>
      </c>
      <c r="AS3435" s="3" t="s">
        <v>65</v>
      </c>
      <c r="AT3435" s="3" t="s">
        <v>65</v>
      </c>
      <c r="AV3435" s="6" t="str">
        <f>HYPERLINK("http://mcgill.on.worldcat.org/oclc/40218328","Catalog Record")</f>
        <v>Catalog Record</v>
      </c>
      <c r="AW3435" s="6" t="str">
        <f>HYPERLINK("http://www.worldcat.org/oclc/40218328","WorldCat Record")</f>
        <v>WorldCat Record</v>
      </c>
      <c r="AX3435" s="3" t="s">
        <v>34110</v>
      </c>
      <c r="AY3435" s="3" t="s">
        <v>34111</v>
      </c>
      <c r="AZ3435" s="3" t="s">
        <v>34112</v>
      </c>
      <c r="BA3435" s="3" t="s">
        <v>34112</v>
      </c>
      <c r="BB3435" s="3" t="s">
        <v>34113</v>
      </c>
      <c r="BC3435" s="3" t="s">
        <v>77</v>
      </c>
      <c r="BD3435" s="3" t="s">
        <v>78</v>
      </c>
      <c r="BE3435" s="3" t="s">
        <v>34114</v>
      </c>
      <c r="BF3435" s="3" t="s">
        <v>34113</v>
      </c>
      <c r="BG3435" s="3" t="s">
        <v>34115</v>
      </c>
    </row>
    <row r="3436" spans="1:59" ht="58" x14ac:dyDescent="0.35">
      <c r="A3436" s="2" t="s">
        <v>59</v>
      </c>
      <c r="B3436" s="2" t="s">
        <v>60</v>
      </c>
      <c r="C3436" s="2" t="s">
        <v>34116</v>
      </c>
      <c r="D3436" s="2" t="s">
        <v>34117</v>
      </c>
      <c r="E3436" s="2" t="s">
        <v>34118</v>
      </c>
      <c r="G3436" s="3" t="s">
        <v>65</v>
      </c>
      <c r="I3436" s="3" t="s">
        <v>65</v>
      </c>
      <c r="J3436" s="3" t="s">
        <v>65</v>
      </c>
      <c r="K3436" s="3" t="s">
        <v>66</v>
      </c>
      <c r="L3436" s="2" t="s">
        <v>34107</v>
      </c>
      <c r="M3436" s="2" t="s">
        <v>34119</v>
      </c>
      <c r="N3436" s="3" t="s">
        <v>770</v>
      </c>
      <c r="O3436" s="2" t="s">
        <v>34120</v>
      </c>
      <c r="P3436" s="3" t="s">
        <v>140</v>
      </c>
      <c r="Q3436" s="2" t="s">
        <v>34121</v>
      </c>
      <c r="R3436" s="3" t="s">
        <v>71</v>
      </c>
      <c r="S3436" s="4">
        <v>10</v>
      </c>
      <c r="T3436" s="4">
        <v>10</v>
      </c>
      <c r="U3436" s="5" t="s">
        <v>17810</v>
      </c>
      <c r="V3436" s="5" t="s">
        <v>17810</v>
      </c>
      <c r="W3436" s="5" t="s">
        <v>72</v>
      </c>
      <c r="X3436" s="5" t="s">
        <v>72</v>
      </c>
      <c r="Y3436" s="4">
        <v>19</v>
      </c>
      <c r="Z3436" s="4">
        <v>2</v>
      </c>
      <c r="AA3436" s="4">
        <v>10</v>
      </c>
      <c r="AB3436" s="4">
        <v>2</v>
      </c>
      <c r="AC3436" s="4">
        <v>3</v>
      </c>
      <c r="AD3436" s="4">
        <v>6</v>
      </c>
      <c r="AE3436" s="4">
        <v>49</v>
      </c>
      <c r="AF3436" s="4">
        <v>0</v>
      </c>
      <c r="AG3436" s="4">
        <v>1</v>
      </c>
      <c r="AH3436" s="4">
        <v>6</v>
      </c>
      <c r="AI3436" s="4">
        <v>44</v>
      </c>
      <c r="AJ3436" s="4">
        <v>0</v>
      </c>
      <c r="AK3436" s="4">
        <v>5</v>
      </c>
      <c r="AL3436" s="4">
        <v>5</v>
      </c>
      <c r="AM3436" s="4">
        <v>35</v>
      </c>
      <c r="AN3436" s="4">
        <v>0</v>
      </c>
      <c r="AO3436" s="4">
        <v>4</v>
      </c>
      <c r="AP3436" s="4">
        <v>0</v>
      </c>
      <c r="AQ3436" s="4">
        <v>5</v>
      </c>
      <c r="AR3436" s="3" t="s">
        <v>65</v>
      </c>
      <c r="AS3436" s="3" t="s">
        <v>65</v>
      </c>
      <c r="AT3436" s="3" t="s">
        <v>65</v>
      </c>
      <c r="AV3436" s="6" t="str">
        <f>HYPERLINK("http://mcgill.on.worldcat.org/oclc/27482057","Catalog Record")</f>
        <v>Catalog Record</v>
      </c>
      <c r="AW3436" s="6" t="str">
        <f>HYPERLINK("http://www.worldcat.org/oclc/27482057","WorldCat Record")</f>
        <v>WorldCat Record</v>
      </c>
      <c r="AX3436" s="3" t="s">
        <v>34122</v>
      </c>
      <c r="AY3436" s="3" t="s">
        <v>34123</v>
      </c>
      <c r="AZ3436" s="3" t="s">
        <v>34124</v>
      </c>
      <c r="BA3436" s="3" t="s">
        <v>34124</v>
      </c>
      <c r="BB3436" s="3" t="s">
        <v>34125</v>
      </c>
      <c r="BC3436" s="3" t="s">
        <v>77</v>
      </c>
      <c r="BD3436" s="3" t="s">
        <v>78</v>
      </c>
      <c r="BE3436" s="3" t="s">
        <v>34126</v>
      </c>
      <c r="BF3436" s="3" t="s">
        <v>34125</v>
      </c>
      <c r="BG3436" s="3" t="s">
        <v>34127</v>
      </c>
    </row>
    <row r="3437" spans="1:59" ht="58" x14ac:dyDescent="0.35">
      <c r="A3437" s="2" t="s">
        <v>59</v>
      </c>
      <c r="B3437" s="2" t="s">
        <v>60</v>
      </c>
      <c r="C3437" s="2" t="s">
        <v>34128</v>
      </c>
      <c r="D3437" s="2" t="s">
        <v>34129</v>
      </c>
      <c r="E3437" s="2" t="s">
        <v>34130</v>
      </c>
      <c r="G3437" s="3" t="s">
        <v>65</v>
      </c>
      <c r="I3437" s="3" t="s">
        <v>65</v>
      </c>
      <c r="J3437" s="3" t="s">
        <v>65</v>
      </c>
      <c r="K3437" s="3" t="s">
        <v>66</v>
      </c>
      <c r="L3437" s="2" t="s">
        <v>34107</v>
      </c>
      <c r="M3437" s="2" t="s">
        <v>34131</v>
      </c>
      <c r="N3437" s="3" t="s">
        <v>247</v>
      </c>
      <c r="O3437" s="2" t="s">
        <v>2086</v>
      </c>
      <c r="P3437" s="3" t="s">
        <v>69</v>
      </c>
      <c r="R3437" s="3" t="s">
        <v>71</v>
      </c>
      <c r="S3437" s="4">
        <v>24</v>
      </c>
      <c r="T3437" s="4">
        <v>24</v>
      </c>
      <c r="U3437" s="5" t="s">
        <v>3654</v>
      </c>
      <c r="V3437" s="5" t="s">
        <v>3654</v>
      </c>
      <c r="W3437" s="5" t="s">
        <v>72</v>
      </c>
      <c r="X3437" s="5" t="s">
        <v>72</v>
      </c>
      <c r="Y3437" s="4">
        <v>757</v>
      </c>
      <c r="Z3437" s="4">
        <v>27</v>
      </c>
      <c r="AA3437" s="4">
        <v>50</v>
      </c>
      <c r="AB3437" s="4">
        <v>2</v>
      </c>
      <c r="AC3437" s="4">
        <v>5</v>
      </c>
      <c r="AD3437" s="4">
        <v>96</v>
      </c>
      <c r="AE3437" s="4">
        <v>122</v>
      </c>
      <c r="AF3437" s="4">
        <v>1</v>
      </c>
      <c r="AG3437" s="4">
        <v>2</v>
      </c>
      <c r="AH3437" s="4">
        <v>82</v>
      </c>
      <c r="AI3437" s="4">
        <v>99</v>
      </c>
      <c r="AJ3437" s="4">
        <v>11</v>
      </c>
      <c r="AK3437" s="4">
        <v>19</v>
      </c>
      <c r="AL3437" s="4">
        <v>49</v>
      </c>
      <c r="AM3437" s="4">
        <v>56</v>
      </c>
      <c r="AN3437" s="4">
        <v>0</v>
      </c>
      <c r="AO3437" s="4">
        <v>0</v>
      </c>
      <c r="AP3437" s="4">
        <v>18</v>
      </c>
      <c r="AQ3437" s="4">
        <v>28</v>
      </c>
      <c r="AR3437" s="3" t="s">
        <v>65</v>
      </c>
      <c r="AS3437" s="3" t="s">
        <v>65</v>
      </c>
      <c r="AT3437" s="3" t="s">
        <v>209</v>
      </c>
      <c r="AU3437" s="6" t="str">
        <f>HYPERLINK("http://catalog.hathitrust.org/Record/002647563","HathiTrust Record")</f>
        <v>HathiTrust Record</v>
      </c>
      <c r="AV3437" s="6" t="str">
        <f>HYPERLINK("http://mcgill.on.worldcat.org/oclc/25317041","Catalog Record")</f>
        <v>Catalog Record</v>
      </c>
      <c r="AW3437" s="6" t="str">
        <f>HYPERLINK("http://www.worldcat.org/oclc/25317041","WorldCat Record")</f>
        <v>WorldCat Record</v>
      </c>
      <c r="AX3437" s="3" t="s">
        <v>34132</v>
      </c>
      <c r="AY3437" s="3" t="s">
        <v>34133</v>
      </c>
      <c r="AZ3437" s="3" t="s">
        <v>34134</v>
      </c>
      <c r="BA3437" s="3" t="s">
        <v>34134</v>
      </c>
      <c r="BB3437" s="3" t="s">
        <v>34135</v>
      </c>
      <c r="BC3437" s="3" t="s">
        <v>77</v>
      </c>
      <c r="BD3437" s="3" t="s">
        <v>78</v>
      </c>
      <c r="BE3437" s="3" t="s">
        <v>34136</v>
      </c>
      <c r="BF3437" s="3" t="s">
        <v>34135</v>
      </c>
      <c r="BG3437" s="3" t="s">
        <v>34137</v>
      </c>
    </row>
    <row r="3438" spans="1:59" ht="58" x14ac:dyDescent="0.35">
      <c r="A3438" s="2" t="s">
        <v>59</v>
      </c>
      <c r="B3438" s="2" t="s">
        <v>60</v>
      </c>
      <c r="C3438" s="2" t="s">
        <v>34138</v>
      </c>
      <c r="D3438" s="2" t="s">
        <v>34139</v>
      </c>
      <c r="E3438" s="2" t="s">
        <v>34140</v>
      </c>
      <c r="G3438" s="3" t="s">
        <v>65</v>
      </c>
      <c r="I3438" s="3" t="s">
        <v>65</v>
      </c>
      <c r="J3438" s="3" t="s">
        <v>209</v>
      </c>
      <c r="K3438" s="3" t="s">
        <v>66</v>
      </c>
      <c r="L3438" s="2" t="s">
        <v>34107</v>
      </c>
      <c r="M3438" s="2" t="s">
        <v>34141</v>
      </c>
      <c r="N3438" s="3" t="s">
        <v>392</v>
      </c>
      <c r="P3438" s="3" t="s">
        <v>140</v>
      </c>
      <c r="Q3438" s="2" t="s">
        <v>34142</v>
      </c>
      <c r="R3438" s="3" t="s">
        <v>71</v>
      </c>
      <c r="S3438" s="4">
        <v>6</v>
      </c>
      <c r="T3438" s="4">
        <v>6</v>
      </c>
      <c r="U3438" s="5" t="s">
        <v>25796</v>
      </c>
      <c r="V3438" s="5" t="s">
        <v>25796</v>
      </c>
      <c r="W3438" s="5" t="s">
        <v>72</v>
      </c>
      <c r="X3438" s="5" t="s">
        <v>72</v>
      </c>
      <c r="Y3438" s="4">
        <v>5</v>
      </c>
      <c r="Z3438" s="4">
        <v>1</v>
      </c>
      <c r="AA3438" s="4">
        <v>7</v>
      </c>
      <c r="AB3438" s="4">
        <v>1</v>
      </c>
      <c r="AC3438" s="4">
        <v>1</v>
      </c>
      <c r="AD3438" s="4">
        <v>1</v>
      </c>
      <c r="AE3438" s="4">
        <v>45</v>
      </c>
      <c r="AF3438" s="4">
        <v>0</v>
      </c>
      <c r="AG3438" s="4">
        <v>0</v>
      </c>
      <c r="AH3438" s="4">
        <v>1</v>
      </c>
      <c r="AI3438" s="4">
        <v>43</v>
      </c>
      <c r="AJ3438" s="4">
        <v>0</v>
      </c>
      <c r="AK3438" s="4">
        <v>4</v>
      </c>
      <c r="AL3438" s="4">
        <v>1</v>
      </c>
      <c r="AM3438" s="4">
        <v>35</v>
      </c>
      <c r="AN3438" s="4">
        <v>0</v>
      </c>
      <c r="AO3438" s="4">
        <v>5</v>
      </c>
      <c r="AP3438" s="4">
        <v>0</v>
      </c>
      <c r="AQ3438" s="4">
        <v>4</v>
      </c>
      <c r="AR3438" s="3" t="s">
        <v>65</v>
      </c>
      <c r="AS3438" s="3" t="s">
        <v>65</v>
      </c>
      <c r="AT3438" s="3" t="s">
        <v>209</v>
      </c>
      <c r="AU3438" s="6" t="str">
        <f>HYPERLINK("http://catalog.hathitrust.org/Record/007582470","HathiTrust Record")</f>
        <v>HathiTrust Record</v>
      </c>
      <c r="AV3438" s="6" t="str">
        <f>HYPERLINK("http://mcgill.on.worldcat.org/oclc/213828228","Catalog Record")</f>
        <v>Catalog Record</v>
      </c>
      <c r="AW3438" s="6" t="str">
        <f>HYPERLINK("http://www.worldcat.org/oclc/213828228","WorldCat Record")</f>
        <v>WorldCat Record</v>
      </c>
      <c r="AX3438" s="3" t="s">
        <v>34143</v>
      </c>
      <c r="AY3438" s="3" t="s">
        <v>34144</v>
      </c>
      <c r="AZ3438" s="3" t="s">
        <v>34145</v>
      </c>
      <c r="BA3438" s="3" t="s">
        <v>34145</v>
      </c>
      <c r="BB3438" s="3" t="s">
        <v>34146</v>
      </c>
      <c r="BC3438" s="3" t="s">
        <v>77</v>
      </c>
      <c r="BD3438" s="3" t="s">
        <v>78</v>
      </c>
      <c r="BE3438" s="3" t="s">
        <v>34147</v>
      </c>
      <c r="BF3438" s="3" t="s">
        <v>34146</v>
      </c>
      <c r="BG3438" s="3" t="s">
        <v>34148</v>
      </c>
    </row>
    <row r="3439" spans="1:59" ht="58" x14ac:dyDescent="0.35">
      <c r="A3439" s="2" t="s">
        <v>59</v>
      </c>
      <c r="B3439" s="2" t="s">
        <v>60</v>
      </c>
      <c r="C3439" s="2" t="s">
        <v>34149</v>
      </c>
      <c r="D3439" s="2" t="s">
        <v>34150</v>
      </c>
      <c r="E3439" s="2" t="s">
        <v>34151</v>
      </c>
      <c r="G3439" s="3" t="s">
        <v>65</v>
      </c>
      <c r="I3439" s="3" t="s">
        <v>65</v>
      </c>
      <c r="J3439" s="3" t="s">
        <v>65</v>
      </c>
      <c r="K3439" s="3" t="s">
        <v>66</v>
      </c>
      <c r="L3439" s="2" t="s">
        <v>34152</v>
      </c>
      <c r="M3439" s="2" t="s">
        <v>34153</v>
      </c>
      <c r="N3439" s="3" t="s">
        <v>99</v>
      </c>
      <c r="P3439" s="3" t="s">
        <v>140</v>
      </c>
      <c r="Q3439" s="2" t="s">
        <v>34154</v>
      </c>
      <c r="R3439" s="3" t="s">
        <v>71</v>
      </c>
      <c r="S3439" s="4">
        <v>2</v>
      </c>
      <c r="T3439" s="4">
        <v>2</v>
      </c>
      <c r="U3439" s="5" t="s">
        <v>22787</v>
      </c>
      <c r="V3439" s="5" t="s">
        <v>22787</v>
      </c>
      <c r="W3439" s="5" t="s">
        <v>72</v>
      </c>
      <c r="X3439" s="5" t="s">
        <v>72</v>
      </c>
      <c r="Y3439" s="4">
        <v>34</v>
      </c>
      <c r="Z3439" s="4">
        <v>3</v>
      </c>
      <c r="AA3439" s="4">
        <v>4</v>
      </c>
      <c r="AB3439" s="4">
        <v>1</v>
      </c>
      <c r="AC3439" s="4">
        <v>1</v>
      </c>
      <c r="AD3439" s="4">
        <v>20</v>
      </c>
      <c r="AE3439" s="4">
        <v>23</v>
      </c>
      <c r="AF3439" s="4">
        <v>0</v>
      </c>
      <c r="AG3439" s="4">
        <v>0</v>
      </c>
      <c r="AH3439" s="4">
        <v>19</v>
      </c>
      <c r="AI3439" s="4">
        <v>22</v>
      </c>
      <c r="AJ3439" s="4">
        <v>1</v>
      </c>
      <c r="AK3439" s="4">
        <v>2</v>
      </c>
      <c r="AL3439" s="4">
        <v>18</v>
      </c>
      <c r="AM3439" s="4">
        <v>20</v>
      </c>
      <c r="AN3439" s="4">
        <v>0</v>
      </c>
      <c r="AO3439" s="4">
        <v>0</v>
      </c>
      <c r="AP3439" s="4">
        <v>1</v>
      </c>
      <c r="AQ3439" s="4">
        <v>2</v>
      </c>
      <c r="AR3439" s="3" t="s">
        <v>65</v>
      </c>
      <c r="AS3439" s="3" t="s">
        <v>65</v>
      </c>
      <c r="AT3439" s="3" t="s">
        <v>209</v>
      </c>
      <c r="AU3439" s="6" t="str">
        <f>HYPERLINK("http://catalog.hathitrust.org/Record/005422457","HathiTrust Record")</f>
        <v>HathiTrust Record</v>
      </c>
      <c r="AV3439" s="6" t="str">
        <f>HYPERLINK("http://mcgill.on.worldcat.org/oclc/85628452","Catalog Record")</f>
        <v>Catalog Record</v>
      </c>
      <c r="AW3439" s="6" t="str">
        <f>HYPERLINK("http://www.worldcat.org/oclc/85628452","WorldCat Record")</f>
        <v>WorldCat Record</v>
      </c>
      <c r="AX3439" s="3" t="s">
        <v>34155</v>
      </c>
      <c r="AY3439" s="3" t="s">
        <v>34156</v>
      </c>
      <c r="AZ3439" s="3" t="s">
        <v>34157</v>
      </c>
      <c r="BA3439" s="3" t="s">
        <v>34157</v>
      </c>
      <c r="BB3439" s="3" t="s">
        <v>34158</v>
      </c>
      <c r="BC3439" s="3" t="s">
        <v>77</v>
      </c>
      <c r="BD3439" s="3" t="s">
        <v>78</v>
      </c>
      <c r="BE3439" s="3" t="s">
        <v>34159</v>
      </c>
      <c r="BF3439" s="3" t="s">
        <v>34158</v>
      </c>
      <c r="BG3439" s="3" t="s">
        <v>34160</v>
      </c>
    </row>
    <row r="3440" spans="1:59" ht="58" x14ac:dyDescent="0.35">
      <c r="A3440" s="2" t="s">
        <v>59</v>
      </c>
      <c r="B3440" s="2" t="s">
        <v>60</v>
      </c>
      <c r="C3440" s="2" t="s">
        <v>34161</v>
      </c>
      <c r="D3440" s="2" t="s">
        <v>34162</v>
      </c>
      <c r="E3440" s="2" t="s">
        <v>34163</v>
      </c>
      <c r="G3440" s="3" t="s">
        <v>65</v>
      </c>
      <c r="I3440" s="3" t="s">
        <v>65</v>
      </c>
      <c r="J3440" s="3" t="s">
        <v>65</v>
      </c>
      <c r="K3440" s="3" t="s">
        <v>66</v>
      </c>
      <c r="L3440" s="2" t="s">
        <v>34164</v>
      </c>
      <c r="M3440" s="2" t="s">
        <v>32226</v>
      </c>
      <c r="N3440" s="3" t="s">
        <v>176</v>
      </c>
      <c r="O3440" s="2" t="s">
        <v>379</v>
      </c>
      <c r="P3440" s="3" t="s">
        <v>140</v>
      </c>
      <c r="Q3440" s="2" t="s">
        <v>34165</v>
      </c>
      <c r="R3440" s="3" t="s">
        <v>71</v>
      </c>
      <c r="S3440" s="4">
        <v>0</v>
      </c>
      <c r="T3440" s="4">
        <v>0</v>
      </c>
      <c r="W3440" s="5" t="s">
        <v>72</v>
      </c>
      <c r="X3440" s="5" t="s">
        <v>72</v>
      </c>
      <c r="Y3440" s="4">
        <v>34</v>
      </c>
      <c r="Z3440" s="4">
        <v>4</v>
      </c>
      <c r="AA3440" s="4">
        <v>4</v>
      </c>
      <c r="AB3440" s="4">
        <v>1</v>
      </c>
      <c r="AC3440" s="4">
        <v>1</v>
      </c>
      <c r="AD3440" s="4">
        <v>24</v>
      </c>
      <c r="AE3440" s="4">
        <v>24</v>
      </c>
      <c r="AF3440" s="4">
        <v>0</v>
      </c>
      <c r="AG3440" s="4">
        <v>0</v>
      </c>
      <c r="AH3440" s="4">
        <v>23</v>
      </c>
      <c r="AI3440" s="4">
        <v>23</v>
      </c>
      <c r="AJ3440" s="4">
        <v>2</v>
      </c>
      <c r="AK3440" s="4">
        <v>2</v>
      </c>
      <c r="AL3440" s="4">
        <v>19</v>
      </c>
      <c r="AM3440" s="4">
        <v>19</v>
      </c>
      <c r="AN3440" s="4">
        <v>0</v>
      </c>
      <c r="AO3440" s="4">
        <v>0</v>
      </c>
      <c r="AP3440" s="4">
        <v>2</v>
      </c>
      <c r="AQ3440" s="4">
        <v>2</v>
      </c>
      <c r="AR3440" s="3" t="s">
        <v>65</v>
      </c>
      <c r="AS3440" s="3" t="s">
        <v>65</v>
      </c>
      <c r="AT3440" s="3" t="s">
        <v>65</v>
      </c>
      <c r="AV3440" s="6" t="str">
        <f>HYPERLINK("http://mcgill.on.worldcat.org/oclc/910505687","Catalog Record")</f>
        <v>Catalog Record</v>
      </c>
      <c r="AW3440" s="6" t="str">
        <f>HYPERLINK("http://www.worldcat.org/oclc/910505687","WorldCat Record")</f>
        <v>WorldCat Record</v>
      </c>
      <c r="AX3440" s="3" t="s">
        <v>34166</v>
      </c>
      <c r="AY3440" s="3" t="s">
        <v>34167</v>
      </c>
      <c r="AZ3440" s="3" t="s">
        <v>34168</v>
      </c>
      <c r="BA3440" s="3" t="s">
        <v>34168</v>
      </c>
      <c r="BB3440" s="3" t="s">
        <v>34169</v>
      </c>
      <c r="BC3440" s="3" t="s">
        <v>77</v>
      </c>
      <c r="BD3440" s="3" t="s">
        <v>78</v>
      </c>
      <c r="BE3440" s="3" t="s">
        <v>34170</v>
      </c>
      <c r="BF3440" s="3" t="s">
        <v>34169</v>
      </c>
      <c r="BG3440" s="3" t="s">
        <v>34171</v>
      </c>
    </row>
    <row r="3441" spans="1:59" ht="72.5" x14ac:dyDescent="0.35">
      <c r="A3441" s="2" t="s">
        <v>59</v>
      </c>
      <c r="B3441" s="2" t="s">
        <v>60</v>
      </c>
      <c r="C3441" s="2" t="s">
        <v>34172</v>
      </c>
      <c r="D3441" s="2" t="s">
        <v>34173</v>
      </c>
      <c r="E3441" s="2" t="s">
        <v>34174</v>
      </c>
      <c r="G3441" s="3" t="s">
        <v>65</v>
      </c>
      <c r="I3441" s="3" t="s">
        <v>65</v>
      </c>
      <c r="J3441" s="3" t="s">
        <v>65</v>
      </c>
      <c r="K3441" s="3" t="s">
        <v>66</v>
      </c>
      <c r="L3441" s="2" t="s">
        <v>34175</v>
      </c>
      <c r="M3441" s="2" t="s">
        <v>34176</v>
      </c>
      <c r="N3441" s="3" t="s">
        <v>68</v>
      </c>
      <c r="P3441" s="3" t="s">
        <v>69</v>
      </c>
      <c r="Q3441" s="2" t="s">
        <v>34177</v>
      </c>
      <c r="R3441" s="3" t="s">
        <v>71</v>
      </c>
      <c r="S3441" s="4">
        <v>2</v>
      </c>
      <c r="T3441" s="4">
        <v>2</v>
      </c>
      <c r="U3441" s="5" t="s">
        <v>11274</v>
      </c>
      <c r="V3441" s="5" t="s">
        <v>11274</v>
      </c>
      <c r="W3441" s="5" t="s">
        <v>72</v>
      </c>
      <c r="X3441" s="5" t="s">
        <v>72</v>
      </c>
      <c r="Y3441" s="4">
        <v>406</v>
      </c>
      <c r="Z3441" s="4">
        <v>15</v>
      </c>
      <c r="AA3441" s="4">
        <v>16</v>
      </c>
      <c r="AB3441" s="4">
        <v>2</v>
      </c>
      <c r="AC3441" s="4">
        <v>3</v>
      </c>
      <c r="AD3441" s="4">
        <v>28</v>
      </c>
      <c r="AE3441" s="4">
        <v>28</v>
      </c>
      <c r="AF3441" s="4">
        <v>0</v>
      </c>
      <c r="AG3441" s="4">
        <v>0</v>
      </c>
      <c r="AH3441" s="4">
        <v>27</v>
      </c>
      <c r="AI3441" s="4">
        <v>27</v>
      </c>
      <c r="AJ3441" s="4">
        <v>0</v>
      </c>
      <c r="AK3441" s="4">
        <v>0</v>
      </c>
      <c r="AL3441" s="4">
        <v>21</v>
      </c>
      <c r="AM3441" s="4">
        <v>21</v>
      </c>
      <c r="AN3441" s="4">
        <v>0</v>
      </c>
      <c r="AO3441" s="4">
        <v>0</v>
      </c>
      <c r="AP3441" s="4">
        <v>0</v>
      </c>
      <c r="AQ3441" s="4">
        <v>0</v>
      </c>
      <c r="AR3441" s="3" t="s">
        <v>65</v>
      </c>
      <c r="AS3441" s="3" t="s">
        <v>65</v>
      </c>
      <c r="AT3441" s="3" t="s">
        <v>65</v>
      </c>
      <c r="AV3441" s="6" t="str">
        <f>HYPERLINK("http://mcgill.on.worldcat.org/oclc/910412977","Catalog Record")</f>
        <v>Catalog Record</v>
      </c>
      <c r="AW3441" s="6" t="str">
        <f>HYPERLINK("http://www.worldcat.org/oclc/910412977","WorldCat Record")</f>
        <v>WorldCat Record</v>
      </c>
      <c r="AX3441" s="3" t="s">
        <v>34178</v>
      </c>
      <c r="AY3441" s="3" t="s">
        <v>34179</v>
      </c>
      <c r="AZ3441" s="3" t="s">
        <v>34180</v>
      </c>
      <c r="BA3441" s="3" t="s">
        <v>34180</v>
      </c>
      <c r="BB3441" s="3" t="s">
        <v>34181</v>
      </c>
      <c r="BC3441" s="3" t="s">
        <v>77</v>
      </c>
      <c r="BD3441" s="3" t="s">
        <v>78</v>
      </c>
      <c r="BE3441" s="3" t="s">
        <v>34182</v>
      </c>
      <c r="BF3441" s="3" t="s">
        <v>34181</v>
      </c>
      <c r="BG3441" s="3" t="s">
        <v>34183</v>
      </c>
    </row>
    <row r="3442" spans="1:59" ht="72.5" x14ac:dyDescent="0.35">
      <c r="A3442" s="2" t="s">
        <v>59</v>
      </c>
      <c r="B3442" s="2" t="s">
        <v>60</v>
      </c>
      <c r="C3442" s="2" t="s">
        <v>34184</v>
      </c>
      <c r="D3442" s="2" t="s">
        <v>34185</v>
      </c>
      <c r="E3442" s="2" t="s">
        <v>34186</v>
      </c>
      <c r="G3442" s="3" t="s">
        <v>65</v>
      </c>
      <c r="I3442" s="3" t="s">
        <v>65</v>
      </c>
      <c r="J3442" s="3" t="s">
        <v>65</v>
      </c>
      <c r="K3442" s="3" t="s">
        <v>66</v>
      </c>
      <c r="L3442" s="2" t="s">
        <v>28115</v>
      </c>
      <c r="M3442" s="2" t="s">
        <v>20482</v>
      </c>
      <c r="N3442" s="3" t="s">
        <v>2210</v>
      </c>
      <c r="O3442" s="2" t="s">
        <v>365</v>
      </c>
      <c r="P3442" s="3" t="s">
        <v>140</v>
      </c>
      <c r="Q3442" s="2" t="s">
        <v>6617</v>
      </c>
      <c r="R3442" s="3" t="s">
        <v>71</v>
      </c>
      <c r="S3442" s="4">
        <v>8</v>
      </c>
      <c r="T3442" s="4">
        <v>8</v>
      </c>
      <c r="U3442" s="5" t="s">
        <v>22764</v>
      </c>
      <c r="V3442" s="5" t="s">
        <v>22764</v>
      </c>
      <c r="W3442" s="5" t="s">
        <v>72</v>
      </c>
      <c r="X3442" s="5" t="s">
        <v>72</v>
      </c>
      <c r="Y3442" s="4">
        <v>64</v>
      </c>
      <c r="Z3442" s="4">
        <v>3</v>
      </c>
      <c r="AA3442" s="4">
        <v>3</v>
      </c>
      <c r="AB3442" s="4">
        <v>1</v>
      </c>
      <c r="AC3442" s="4">
        <v>1</v>
      </c>
      <c r="AD3442" s="4">
        <v>26</v>
      </c>
      <c r="AE3442" s="4">
        <v>27</v>
      </c>
      <c r="AF3442" s="4">
        <v>0</v>
      </c>
      <c r="AG3442" s="4">
        <v>0</v>
      </c>
      <c r="AH3442" s="4">
        <v>24</v>
      </c>
      <c r="AI3442" s="4">
        <v>25</v>
      </c>
      <c r="AJ3442" s="4">
        <v>2</v>
      </c>
      <c r="AK3442" s="4">
        <v>2</v>
      </c>
      <c r="AL3442" s="4">
        <v>17</v>
      </c>
      <c r="AM3442" s="4">
        <v>18</v>
      </c>
      <c r="AN3442" s="4">
        <v>0</v>
      </c>
      <c r="AO3442" s="4">
        <v>0</v>
      </c>
      <c r="AP3442" s="4">
        <v>2</v>
      </c>
      <c r="AQ3442" s="4">
        <v>2</v>
      </c>
      <c r="AR3442" s="3" t="s">
        <v>65</v>
      </c>
      <c r="AS3442" s="3" t="s">
        <v>65</v>
      </c>
      <c r="AT3442" s="3" t="s">
        <v>65</v>
      </c>
      <c r="AV3442" s="6" t="str">
        <f>HYPERLINK("http://mcgill.on.worldcat.org/oclc/50987132","Catalog Record")</f>
        <v>Catalog Record</v>
      </c>
      <c r="AW3442" s="6" t="str">
        <f>HYPERLINK("http://www.worldcat.org/oclc/50987132","WorldCat Record")</f>
        <v>WorldCat Record</v>
      </c>
      <c r="AX3442" s="3" t="s">
        <v>34187</v>
      </c>
      <c r="AY3442" s="3" t="s">
        <v>34188</v>
      </c>
      <c r="AZ3442" s="3" t="s">
        <v>34189</v>
      </c>
      <c r="BA3442" s="3" t="s">
        <v>34189</v>
      </c>
      <c r="BB3442" s="3" t="s">
        <v>34190</v>
      </c>
      <c r="BC3442" s="3" t="s">
        <v>77</v>
      </c>
      <c r="BD3442" s="3" t="s">
        <v>78</v>
      </c>
      <c r="BE3442" s="3" t="s">
        <v>34191</v>
      </c>
      <c r="BF3442" s="3" t="s">
        <v>34190</v>
      </c>
      <c r="BG3442" s="3" t="s">
        <v>34192</v>
      </c>
    </row>
    <row r="3443" spans="1:59" ht="72.5" x14ac:dyDescent="0.35">
      <c r="A3443" s="2" t="s">
        <v>59</v>
      </c>
      <c r="B3443" s="2" t="s">
        <v>60</v>
      </c>
      <c r="C3443" s="2" t="s">
        <v>34193</v>
      </c>
      <c r="D3443" s="2" t="s">
        <v>34194</v>
      </c>
      <c r="E3443" s="2" t="s">
        <v>34195</v>
      </c>
      <c r="G3443" s="3" t="s">
        <v>65</v>
      </c>
      <c r="I3443" s="3" t="s">
        <v>65</v>
      </c>
      <c r="J3443" s="3" t="s">
        <v>65</v>
      </c>
      <c r="K3443" s="3" t="s">
        <v>66</v>
      </c>
      <c r="L3443" s="2" t="s">
        <v>34175</v>
      </c>
      <c r="M3443" s="2" t="s">
        <v>20552</v>
      </c>
      <c r="N3443" s="3" t="s">
        <v>176</v>
      </c>
      <c r="P3443" s="3" t="s">
        <v>140</v>
      </c>
      <c r="Q3443" s="2" t="s">
        <v>34196</v>
      </c>
      <c r="R3443" s="3" t="s">
        <v>71</v>
      </c>
      <c r="S3443" s="4">
        <v>0</v>
      </c>
      <c r="T3443" s="4">
        <v>0</v>
      </c>
      <c r="W3443" s="5" t="s">
        <v>72</v>
      </c>
      <c r="X3443" s="5" t="s">
        <v>72</v>
      </c>
      <c r="Y3443" s="4">
        <v>48</v>
      </c>
      <c r="Z3443" s="4">
        <v>3</v>
      </c>
      <c r="AA3443" s="4">
        <v>6</v>
      </c>
      <c r="AB3443" s="4">
        <v>1</v>
      </c>
      <c r="AC3443" s="4">
        <v>2</v>
      </c>
      <c r="AD3443" s="4">
        <v>27</v>
      </c>
      <c r="AE3443" s="4">
        <v>28</v>
      </c>
      <c r="AF3443" s="4">
        <v>0</v>
      </c>
      <c r="AG3443" s="4">
        <v>0</v>
      </c>
      <c r="AH3443" s="4">
        <v>27</v>
      </c>
      <c r="AI3443" s="4">
        <v>28</v>
      </c>
      <c r="AJ3443" s="4">
        <v>2</v>
      </c>
      <c r="AK3443" s="4">
        <v>3</v>
      </c>
      <c r="AL3443" s="4">
        <v>19</v>
      </c>
      <c r="AM3443" s="4">
        <v>20</v>
      </c>
      <c r="AN3443" s="4">
        <v>0</v>
      </c>
      <c r="AO3443" s="4">
        <v>0</v>
      </c>
      <c r="AP3443" s="4">
        <v>2</v>
      </c>
      <c r="AQ3443" s="4">
        <v>3</v>
      </c>
      <c r="AR3443" s="3" t="s">
        <v>65</v>
      </c>
      <c r="AS3443" s="3" t="s">
        <v>65</v>
      </c>
      <c r="AT3443" s="3" t="s">
        <v>65</v>
      </c>
      <c r="AV3443" s="6" t="str">
        <f>HYPERLINK("http://mcgill.on.worldcat.org/oclc/903204651","Catalog Record")</f>
        <v>Catalog Record</v>
      </c>
      <c r="AW3443" s="6" t="str">
        <f>HYPERLINK("http://www.worldcat.org/oclc/903204651","WorldCat Record")</f>
        <v>WorldCat Record</v>
      </c>
      <c r="AX3443" s="3" t="s">
        <v>34197</v>
      </c>
      <c r="AY3443" s="3" t="s">
        <v>34198</v>
      </c>
      <c r="AZ3443" s="3" t="s">
        <v>34199</v>
      </c>
      <c r="BA3443" s="3" t="s">
        <v>34199</v>
      </c>
      <c r="BB3443" s="3" t="s">
        <v>34200</v>
      </c>
      <c r="BC3443" s="3" t="s">
        <v>77</v>
      </c>
      <c r="BD3443" s="3" t="s">
        <v>78</v>
      </c>
      <c r="BE3443" s="3" t="s">
        <v>34201</v>
      </c>
      <c r="BF3443" s="3" t="s">
        <v>34200</v>
      </c>
      <c r="BG3443" s="3" t="s">
        <v>34202</v>
      </c>
    </row>
    <row r="3444" spans="1:59" ht="72.5" x14ac:dyDescent="0.35">
      <c r="A3444" s="2" t="s">
        <v>59</v>
      </c>
      <c r="B3444" s="2" t="s">
        <v>60</v>
      </c>
      <c r="C3444" s="2" t="s">
        <v>34203</v>
      </c>
      <c r="D3444" s="2" t="s">
        <v>34204</v>
      </c>
      <c r="E3444" s="2" t="s">
        <v>34205</v>
      </c>
      <c r="G3444" s="3" t="s">
        <v>65</v>
      </c>
      <c r="I3444" s="3" t="s">
        <v>65</v>
      </c>
      <c r="J3444" s="3" t="s">
        <v>65</v>
      </c>
      <c r="K3444" s="3" t="s">
        <v>66</v>
      </c>
      <c r="L3444" s="2" t="s">
        <v>28115</v>
      </c>
      <c r="M3444" s="2" t="s">
        <v>34206</v>
      </c>
      <c r="N3444" s="3" t="s">
        <v>113</v>
      </c>
      <c r="O3444" s="2" t="s">
        <v>365</v>
      </c>
      <c r="P3444" s="3" t="s">
        <v>140</v>
      </c>
      <c r="Q3444" s="2" t="s">
        <v>34207</v>
      </c>
      <c r="R3444" s="3" t="s">
        <v>71</v>
      </c>
      <c r="S3444" s="4">
        <v>3</v>
      </c>
      <c r="T3444" s="4">
        <v>3</v>
      </c>
      <c r="U3444" s="5" t="s">
        <v>2631</v>
      </c>
      <c r="V3444" s="5" t="s">
        <v>2631</v>
      </c>
      <c r="W3444" s="5" t="s">
        <v>72</v>
      </c>
      <c r="X3444" s="5" t="s">
        <v>72</v>
      </c>
      <c r="Y3444" s="4">
        <v>71</v>
      </c>
      <c r="Z3444" s="4">
        <v>9</v>
      </c>
      <c r="AA3444" s="4">
        <v>10</v>
      </c>
      <c r="AB3444" s="4">
        <v>1</v>
      </c>
      <c r="AC3444" s="4">
        <v>2</v>
      </c>
      <c r="AD3444" s="4">
        <v>31</v>
      </c>
      <c r="AE3444" s="4">
        <v>32</v>
      </c>
      <c r="AF3444" s="4">
        <v>0</v>
      </c>
      <c r="AG3444" s="4">
        <v>1</v>
      </c>
      <c r="AH3444" s="4">
        <v>31</v>
      </c>
      <c r="AI3444" s="4">
        <v>31</v>
      </c>
      <c r="AJ3444" s="4">
        <v>3</v>
      </c>
      <c r="AK3444" s="4">
        <v>4</v>
      </c>
      <c r="AL3444" s="4">
        <v>23</v>
      </c>
      <c r="AM3444" s="4">
        <v>23</v>
      </c>
      <c r="AN3444" s="4">
        <v>0</v>
      </c>
      <c r="AO3444" s="4">
        <v>0</v>
      </c>
      <c r="AP3444" s="4">
        <v>3</v>
      </c>
      <c r="AQ3444" s="4">
        <v>3</v>
      </c>
      <c r="AR3444" s="3" t="s">
        <v>65</v>
      </c>
      <c r="AS3444" s="3" t="s">
        <v>65</v>
      </c>
      <c r="AT3444" s="3" t="s">
        <v>65</v>
      </c>
      <c r="AV3444" s="6" t="str">
        <f>HYPERLINK("http://mcgill.on.worldcat.org/oclc/649312219","Catalog Record")</f>
        <v>Catalog Record</v>
      </c>
      <c r="AW3444" s="6" t="str">
        <f>HYPERLINK("http://www.worldcat.org/oclc/649312219","WorldCat Record")</f>
        <v>WorldCat Record</v>
      </c>
      <c r="AX3444" s="3" t="s">
        <v>34208</v>
      </c>
      <c r="AY3444" s="3" t="s">
        <v>34209</v>
      </c>
      <c r="AZ3444" s="3" t="s">
        <v>34210</v>
      </c>
      <c r="BA3444" s="3" t="s">
        <v>34210</v>
      </c>
      <c r="BB3444" s="3" t="s">
        <v>34211</v>
      </c>
      <c r="BC3444" s="3" t="s">
        <v>77</v>
      </c>
      <c r="BD3444" s="3" t="s">
        <v>78</v>
      </c>
      <c r="BE3444" s="3" t="s">
        <v>34212</v>
      </c>
      <c r="BF3444" s="3" t="s">
        <v>34211</v>
      </c>
      <c r="BG3444" s="3" t="s">
        <v>34213</v>
      </c>
    </row>
    <row r="3445" spans="1:59" ht="72.5" x14ac:dyDescent="0.35">
      <c r="A3445" s="2" t="s">
        <v>59</v>
      </c>
      <c r="B3445" s="2" t="s">
        <v>60</v>
      </c>
      <c r="C3445" s="2" t="s">
        <v>34214</v>
      </c>
      <c r="D3445" s="2" t="s">
        <v>34215</v>
      </c>
      <c r="E3445" s="2" t="s">
        <v>34216</v>
      </c>
      <c r="G3445" s="3" t="s">
        <v>65</v>
      </c>
      <c r="I3445" s="3" t="s">
        <v>65</v>
      </c>
      <c r="J3445" s="3" t="s">
        <v>65</v>
      </c>
      <c r="K3445" s="3" t="s">
        <v>66</v>
      </c>
      <c r="L3445" s="2" t="s">
        <v>34175</v>
      </c>
      <c r="M3445" s="2" t="s">
        <v>34217</v>
      </c>
      <c r="N3445" s="3" t="s">
        <v>1122</v>
      </c>
      <c r="P3445" s="3" t="s">
        <v>69</v>
      </c>
      <c r="Q3445" s="2" t="s">
        <v>34177</v>
      </c>
      <c r="R3445" s="3" t="s">
        <v>71</v>
      </c>
      <c r="S3445" s="4">
        <v>14</v>
      </c>
      <c r="T3445" s="4">
        <v>14</v>
      </c>
      <c r="U3445" s="5" t="s">
        <v>34218</v>
      </c>
      <c r="V3445" s="5" t="s">
        <v>34218</v>
      </c>
      <c r="W3445" s="5" t="s">
        <v>72</v>
      </c>
      <c r="X3445" s="5" t="s">
        <v>72</v>
      </c>
      <c r="Y3445" s="4">
        <v>628</v>
      </c>
      <c r="Z3445" s="4">
        <v>28</v>
      </c>
      <c r="AA3445" s="4">
        <v>33</v>
      </c>
      <c r="AB3445" s="4">
        <v>4</v>
      </c>
      <c r="AC3445" s="4">
        <v>6</v>
      </c>
      <c r="AD3445" s="4">
        <v>42</v>
      </c>
      <c r="AE3445" s="4">
        <v>46</v>
      </c>
      <c r="AF3445" s="4">
        <v>0</v>
      </c>
      <c r="AG3445" s="4">
        <v>1</v>
      </c>
      <c r="AH3445" s="4">
        <v>40</v>
      </c>
      <c r="AI3445" s="4">
        <v>44</v>
      </c>
      <c r="AJ3445" s="4">
        <v>3</v>
      </c>
      <c r="AK3445" s="4">
        <v>4</v>
      </c>
      <c r="AL3445" s="4">
        <v>26</v>
      </c>
      <c r="AM3445" s="4">
        <v>28</v>
      </c>
      <c r="AN3445" s="4">
        <v>0</v>
      </c>
      <c r="AO3445" s="4">
        <v>0</v>
      </c>
      <c r="AP3445" s="4">
        <v>3</v>
      </c>
      <c r="AQ3445" s="4">
        <v>4</v>
      </c>
      <c r="AR3445" s="3" t="s">
        <v>65</v>
      </c>
      <c r="AS3445" s="3" t="s">
        <v>65</v>
      </c>
      <c r="AT3445" s="3" t="s">
        <v>65</v>
      </c>
      <c r="AV3445" s="6" t="str">
        <f>HYPERLINK("http://mcgill.on.worldcat.org/oclc/427757200","Catalog Record")</f>
        <v>Catalog Record</v>
      </c>
      <c r="AW3445" s="6" t="str">
        <f>HYPERLINK("http://www.worldcat.org/oclc/427757200","WorldCat Record")</f>
        <v>WorldCat Record</v>
      </c>
      <c r="AX3445" s="3" t="s">
        <v>34219</v>
      </c>
      <c r="AY3445" s="3" t="s">
        <v>34220</v>
      </c>
      <c r="AZ3445" s="3" t="s">
        <v>34221</v>
      </c>
      <c r="BA3445" s="3" t="s">
        <v>34221</v>
      </c>
      <c r="BB3445" s="3" t="s">
        <v>34222</v>
      </c>
      <c r="BC3445" s="3" t="s">
        <v>77</v>
      </c>
      <c r="BD3445" s="3" t="s">
        <v>78</v>
      </c>
      <c r="BE3445" s="3" t="s">
        <v>34223</v>
      </c>
      <c r="BF3445" s="3" t="s">
        <v>34222</v>
      </c>
      <c r="BG3445" s="3" t="s">
        <v>34224</v>
      </c>
    </row>
    <row r="3446" spans="1:59" ht="72.5" x14ac:dyDescent="0.35">
      <c r="A3446" s="2" t="s">
        <v>59</v>
      </c>
      <c r="B3446" s="2" t="s">
        <v>60</v>
      </c>
      <c r="C3446" s="2" t="s">
        <v>34225</v>
      </c>
      <c r="D3446" s="2" t="s">
        <v>34226</v>
      </c>
      <c r="E3446" s="2" t="s">
        <v>34227</v>
      </c>
      <c r="G3446" s="3" t="s">
        <v>65</v>
      </c>
      <c r="I3446" s="3" t="s">
        <v>65</v>
      </c>
      <c r="J3446" s="3" t="s">
        <v>65</v>
      </c>
      <c r="K3446" s="3" t="s">
        <v>66</v>
      </c>
      <c r="L3446" s="2" t="s">
        <v>34175</v>
      </c>
      <c r="M3446" s="2" t="s">
        <v>34228</v>
      </c>
      <c r="N3446" s="3" t="s">
        <v>164</v>
      </c>
      <c r="P3446" s="3" t="s">
        <v>69</v>
      </c>
      <c r="R3446" s="3" t="s">
        <v>71</v>
      </c>
      <c r="S3446" s="4">
        <v>3</v>
      </c>
      <c r="T3446" s="4">
        <v>3</v>
      </c>
      <c r="U3446" s="5" t="s">
        <v>17386</v>
      </c>
      <c r="V3446" s="5" t="s">
        <v>17386</v>
      </c>
      <c r="W3446" s="5" t="s">
        <v>72</v>
      </c>
      <c r="X3446" s="5" t="s">
        <v>72</v>
      </c>
      <c r="Y3446" s="4">
        <v>433</v>
      </c>
      <c r="Z3446" s="4">
        <v>15</v>
      </c>
      <c r="AA3446" s="4">
        <v>19</v>
      </c>
      <c r="AB3446" s="4">
        <v>3</v>
      </c>
      <c r="AC3446" s="4">
        <v>4</v>
      </c>
      <c r="AD3446" s="4">
        <v>17</v>
      </c>
      <c r="AE3446" s="4">
        <v>17</v>
      </c>
      <c r="AF3446" s="4">
        <v>0</v>
      </c>
      <c r="AG3446" s="4">
        <v>0</v>
      </c>
      <c r="AH3446" s="4">
        <v>15</v>
      </c>
      <c r="AI3446" s="4">
        <v>15</v>
      </c>
      <c r="AJ3446" s="4">
        <v>2</v>
      </c>
      <c r="AK3446" s="4">
        <v>2</v>
      </c>
      <c r="AL3446" s="4">
        <v>9</v>
      </c>
      <c r="AM3446" s="4">
        <v>9</v>
      </c>
      <c r="AN3446" s="4">
        <v>0</v>
      </c>
      <c r="AO3446" s="4">
        <v>0</v>
      </c>
      <c r="AP3446" s="4">
        <v>2</v>
      </c>
      <c r="AQ3446" s="4">
        <v>2</v>
      </c>
      <c r="AR3446" s="3" t="s">
        <v>65</v>
      </c>
      <c r="AS3446" s="3" t="s">
        <v>65</v>
      </c>
      <c r="AT3446" s="3" t="s">
        <v>65</v>
      </c>
      <c r="AV3446" s="6" t="str">
        <f>HYPERLINK("http://mcgill.on.worldcat.org/oclc/871192107","Catalog Record")</f>
        <v>Catalog Record</v>
      </c>
      <c r="AW3446" s="6" t="str">
        <f>HYPERLINK("http://www.worldcat.org/oclc/871192107","WorldCat Record")</f>
        <v>WorldCat Record</v>
      </c>
      <c r="AX3446" s="3" t="s">
        <v>34229</v>
      </c>
      <c r="AY3446" s="3" t="s">
        <v>34230</v>
      </c>
      <c r="AZ3446" s="3" t="s">
        <v>34231</v>
      </c>
      <c r="BA3446" s="3" t="s">
        <v>34231</v>
      </c>
      <c r="BB3446" s="3" t="s">
        <v>34232</v>
      </c>
      <c r="BC3446" s="3" t="s">
        <v>77</v>
      </c>
      <c r="BD3446" s="3" t="s">
        <v>78</v>
      </c>
      <c r="BE3446" s="3" t="s">
        <v>34233</v>
      </c>
      <c r="BF3446" s="3" t="s">
        <v>34232</v>
      </c>
      <c r="BG3446" s="3" t="s">
        <v>34234</v>
      </c>
    </row>
    <row r="3447" spans="1:59" ht="72.5" x14ac:dyDescent="0.35">
      <c r="A3447" s="2" t="s">
        <v>59</v>
      </c>
      <c r="B3447" s="2" t="s">
        <v>60</v>
      </c>
      <c r="C3447" s="2" t="s">
        <v>34235</v>
      </c>
      <c r="D3447" s="2" t="s">
        <v>34236</v>
      </c>
      <c r="E3447" s="2" t="s">
        <v>34237</v>
      </c>
      <c r="G3447" s="3" t="s">
        <v>65</v>
      </c>
      <c r="I3447" s="3" t="s">
        <v>65</v>
      </c>
      <c r="J3447" s="3" t="s">
        <v>65</v>
      </c>
      <c r="K3447" s="3" t="s">
        <v>66</v>
      </c>
      <c r="L3447" s="2" t="s">
        <v>28115</v>
      </c>
      <c r="M3447" s="2" t="s">
        <v>9006</v>
      </c>
      <c r="N3447" s="3" t="s">
        <v>1967</v>
      </c>
      <c r="P3447" s="3" t="s">
        <v>69</v>
      </c>
      <c r="R3447" s="3" t="s">
        <v>71</v>
      </c>
      <c r="S3447" s="4">
        <v>17</v>
      </c>
      <c r="T3447" s="4">
        <v>17</v>
      </c>
      <c r="U3447" s="5" t="s">
        <v>34238</v>
      </c>
      <c r="V3447" s="5" t="s">
        <v>34238</v>
      </c>
      <c r="W3447" s="5" t="s">
        <v>72</v>
      </c>
      <c r="X3447" s="5" t="s">
        <v>72</v>
      </c>
      <c r="Y3447" s="4">
        <v>95</v>
      </c>
      <c r="Z3447" s="4">
        <v>12</v>
      </c>
      <c r="AA3447" s="4">
        <v>41</v>
      </c>
      <c r="AB3447" s="4">
        <v>1</v>
      </c>
      <c r="AC3447" s="4">
        <v>5</v>
      </c>
      <c r="AD3447" s="4">
        <v>6</v>
      </c>
      <c r="AE3447" s="4">
        <v>72</v>
      </c>
      <c r="AF3447" s="4">
        <v>0</v>
      </c>
      <c r="AG3447" s="4">
        <v>1</v>
      </c>
      <c r="AH3447" s="4">
        <v>5</v>
      </c>
      <c r="AI3447" s="4">
        <v>67</v>
      </c>
      <c r="AJ3447" s="4">
        <v>3</v>
      </c>
      <c r="AK3447" s="4">
        <v>7</v>
      </c>
      <c r="AL3447" s="4">
        <v>3</v>
      </c>
      <c r="AM3447" s="4">
        <v>42</v>
      </c>
      <c r="AN3447" s="4">
        <v>0</v>
      </c>
      <c r="AO3447" s="4">
        <v>0</v>
      </c>
      <c r="AP3447" s="4">
        <v>3</v>
      </c>
      <c r="AQ3447" s="4">
        <v>8</v>
      </c>
      <c r="AR3447" s="3" t="s">
        <v>65</v>
      </c>
      <c r="AS3447" s="3" t="s">
        <v>65</v>
      </c>
      <c r="AT3447" s="3" t="s">
        <v>65</v>
      </c>
      <c r="AV3447" s="6" t="str">
        <f>HYPERLINK("http://mcgill.on.worldcat.org/oclc/51953906","Catalog Record")</f>
        <v>Catalog Record</v>
      </c>
      <c r="AW3447" s="6" t="str">
        <f>HYPERLINK("http://www.worldcat.org/oclc/51953906","WorldCat Record")</f>
        <v>WorldCat Record</v>
      </c>
      <c r="AX3447" s="3" t="s">
        <v>34239</v>
      </c>
      <c r="AY3447" s="3" t="s">
        <v>34240</v>
      </c>
      <c r="AZ3447" s="3" t="s">
        <v>34241</v>
      </c>
      <c r="BA3447" s="3" t="s">
        <v>34241</v>
      </c>
      <c r="BB3447" s="3" t="s">
        <v>34242</v>
      </c>
      <c r="BC3447" s="3" t="s">
        <v>77</v>
      </c>
      <c r="BD3447" s="3" t="s">
        <v>78</v>
      </c>
      <c r="BE3447" s="3" t="s">
        <v>34243</v>
      </c>
      <c r="BF3447" s="3" t="s">
        <v>34242</v>
      </c>
      <c r="BG3447" s="3" t="s">
        <v>34244</v>
      </c>
    </row>
    <row r="3448" spans="1:59" ht="72.5" x14ac:dyDescent="0.35">
      <c r="A3448" s="2" t="s">
        <v>59</v>
      </c>
      <c r="B3448" s="2" t="s">
        <v>60</v>
      </c>
      <c r="C3448" s="2" t="s">
        <v>34245</v>
      </c>
      <c r="D3448" s="2" t="s">
        <v>34246</v>
      </c>
      <c r="E3448" s="2" t="s">
        <v>34247</v>
      </c>
      <c r="G3448" s="3" t="s">
        <v>65</v>
      </c>
      <c r="I3448" s="3" t="s">
        <v>65</v>
      </c>
      <c r="J3448" s="3" t="s">
        <v>65</v>
      </c>
      <c r="K3448" s="3" t="s">
        <v>66</v>
      </c>
      <c r="L3448" s="2" t="s">
        <v>28115</v>
      </c>
      <c r="M3448" s="2" t="s">
        <v>34248</v>
      </c>
      <c r="N3448" s="3" t="s">
        <v>113</v>
      </c>
      <c r="P3448" s="3" t="s">
        <v>140</v>
      </c>
      <c r="Q3448" s="2" t="s">
        <v>34249</v>
      </c>
      <c r="R3448" s="3" t="s">
        <v>71</v>
      </c>
      <c r="S3448" s="4">
        <v>1</v>
      </c>
      <c r="T3448" s="4">
        <v>1</v>
      </c>
      <c r="U3448" s="5" t="s">
        <v>10142</v>
      </c>
      <c r="V3448" s="5" t="s">
        <v>10142</v>
      </c>
      <c r="W3448" s="5" t="s">
        <v>72</v>
      </c>
      <c r="X3448" s="5" t="s">
        <v>72</v>
      </c>
      <c r="Y3448" s="4">
        <v>88</v>
      </c>
      <c r="Z3448" s="4">
        <v>9</v>
      </c>
      <c r="AA3448" s="4">
        <v>11</v>
      </c>
      <c r="AB3448" s="4">
        <v>1</v>
      </c>
      <c r="AC3448" s="4">
        <v>3</v>
      </c>
      <c r="AD3448" s="4">
        <v>45</v>
      </c>
      <c r="AE3448" s="4">
        <v>46</v>
      </c>
      <c r="AF3448" s="4">
        <v>0</v>
      </c>
      <c r="AG3448" s="4">
        <v>1</v>
      </c>
      <c r="AH3448" s="4">
        <v>44</v>
      </c>
      <c r="AI3448" s="4">
        <v>44</v>
      </c>
      <c r="AJ3448" s="4">
        <v>2</v>
      </c>
      <c r="AK3448" s="4">
        <v>3</v>
      </c>
      <c r="AL3448" s="4">
        <v>33</v>
      </c>
      <c r="AM3448" s="4">
        <v>33</v>
      </c>
      <c r="AN3448" s="4">
        <v>0</v>
      </c>
      <c r="AO3448" s="4">
        <v>0</v>
      </c>
      <c r="AP3448" s="4">
        <v>2</v>
      </c>
      <c r="AQ3448" s="4">
        <v>2</v>
      </c>
      <c r="AR3448" s="3" t="s">
        <v>65</v>
      </c>
      <c r="AS3448" s="3" t="s">
        <v>65</v>
      </c>
      <c r="AT3448" s="3" t="s">
        <v>65</v>
      </c>
      <c r="AV3448" s="6" t="str">
        <f>HYPERLINK("http://mcgill.on.worldcat.org/oclc/644523343","Catalog Record")</f>
        <v>Catalog Record</v>
      </c>
      <c r="AW3448" s="6" t="str">
        <f>HYPERLINK("http://www.worldcat.org/oclc/644523343","WorldCat Record")</f>
        <v>WorldCat Record</v>
      </c>
      <c r="AX3448" s="3" t="s">
        <v>34250</v>
      </c>
      <c r="AY3448" s="3" t="s">
        <v>34251</v>
      </c>
      <c r="AZ3448" s="3" t="s">
        <v>34252</v>
      </c>
      <c r="BA3448" s="3" t="s">
        <v>34252</v>
      </c>
      <c r="BB3448" s="3" t="s">
        <v>34253</v>
      </c>
      <c r="BC3448" s="3" t="s">
        <v>77</v>
      </c>
      <c r="BD3448" s="3" t="s">
        <v>78</v>
      </c>
      <c r="BE3448" s="3" t="s">
        <v>34254</v>
      </c>
      <c r="BF3448" s="3" t="s">
        <v>34253</v>
      </c>
      <c r="BG3448" s="3" t="s">
        <v>34255</v>
      </c>
    </row>
    <row r="3449" spans="1:59" ht="72.5" x14ac:dyDescent="0.35">
      <c r="A3449" s="2" t="s">
        <v>59</v>
      </c>
      <c r="B3449" s="2" t="s">
        <v>60</v>
      </c>
      <c r="C3449" s="2" t="s">
        <v>34256</v>
      </c>
      <c r="D3449" s="2" t="s">
        <v>34257</v>
      </c>
      <c r="E3449" s="2" t="s">
        <v>34258</v>
      </c>
      <c r="G3449" s="3" t="s">
        <v>65</v>
      </c>
      <c r="I3449" s="3" t="s">
        <v>65</v>
      </c>
      <c r="J3449" s="3" t="s">
        <v>65</v>
      </c>
      <c r="K3449" s="3" t="s">
        <v>66</v>
      </c>
      <c r="L3449" s="2" t="s">
        <v>28115</v>
      </c>
      <c r="M3449" s="2" t="s">
        <v>34259</v>
      </c>
      <c r="N3449" s="3" t="s">
        <v>152</v>
      </c>
      <c r="P3449" s="3" t="s">
        <v>69</v>
      </c>
      <c r="Q3449" s="2" t="s">
        <v>34177</v>
      </c>
      <c r="R3449" s="3" t="s">
        <v>71</v>
      </c>
      <c r="S3449" s="4">
        <v>7</v>
      </c>
      <c r="T3449" s="4">
        <v>7</v>
      </c>
      <c r="U3449" s="5" t="s">
        <v>11326</v>
      </c>
      <c r="V3449" s="5" t="s">
        <v>11326</v>
      </c>
      <c r="W3449" s="5" t="s">
        <v>72</v>
      </c>
      <c r="X3449" s="5" t="s">
        <v>72</v>
      </c>
      <c r="Y3449" s="4">
        <v>610</v>
      </c>
      <c r="Z3449" s="4">
        <v>28</v>
      </c>
      <c r="AA3449" s="4">
        <v>33</v>
      </c>
      <c r="AB3449" s="4">
        <v>3</v>
      </c>
      <c r="AC3449" s="4">
        <v>5</v>
      </c>
      <c r="AD3449" s="4">
        <v>45</v>
      </c>
      <c r="AE3449" s="4">
        <v>45</v>
      </c>
      <c r="AF3449" s="4">
        <v>0</v>
      </c>
      <c r="AG3449" s="4">
        <v>0</v>
      </c>
      <c r="AH3449" s="4">
        <v>43</v>
      </c>
      <c r="AI3449" s="4">
        <v>43</v>
      </c>
      <c r="AJ3449" s="4">
        <v>5</v>
      </c>
      <c r="AK3449" s="4">
        <v>5</v>
      </c>
      <c r="AL3449" s="4">
        <v>26</v>
      </c>
      <c r="AM3449" s="4">
        <v>26</v>
      </c>
      <c r="AN3449" s="4">
        <v>0</v>
      </c>
      <c r="AO3449" s="4">
        <v>0</v>
      </c>
      <c r="AP3449" s="4">
        <v>5</v>
      </c>
      <c r="AQ3449" s="4">
        <v>5</v>
      </c>
      <c r="AR3449" s="3" t="s">
        <v>65</v>
      </c>
      <c r="AS3449" s="3" t="s">
        <v>65</v>
      </c>
      <c r="AT3449" s="3" t="s">
        <v>65</v>
      </c>
      <c r="AV3449" s="6" t="str">
        <f>HYPERLINK("http://mcgill.on.worldcat.org/oclc/837144054","Catalog Record")</f>
        <v>Catalog Record</v>
      </c>
      <c r="AW3449" s="6" t="str">
        <f>HYPERLINK("http://www.worldcat.org/oclc/837144054","WorldCat Record")</f>
        <v>WorldCat Record</v>
      </c>
      <c r="AX3449" s="3" t="s">
        <v>34260</v>
      </c>
      <c r="AY3449" s="3" t="s">
        <v>34261</v>
      </c>
      <c r="AZ3449" s="3" t="s">
        <v>34262</v>
      </c>
      <c r="BA3449" s="3" t="s">
        <v>34262</v>
      </c>
      <c r="BB3449" s="3" t="s">
        <v>34263</v>
      </c>
      <c r="BC3449" s="3" t="s">
        <v>77</v>
      </c>
      <c r="BD3449" s="3" t="s">
        <v>78</v>
      </c>
      <c r="BE3449" s="3" t="s">
        <v>34264</v>
      </c>
      <c r="BF3449" s="3" t="s">
        <v>34263</v>
      </c>
      <c r="BG3449" s="3" t="s">
        <v>34265</v>
      </c>
    </row>
    <row r="3450" spans="1:59" ht="72.5" x14ac:dyDescent="0.35">
      <c r="A3450" s="2" t="s">
        <v>59</v>
      </c>
      <c r="B3450" s="2" t="s">
        <v>60</v>
      </c>
      <c r="C3450" s="2" t="s">
        <v>34266</v>
      </c>
      <c r="D3450" s="2" t="s">
        <v>34267</v>
      </c>
      <c r="E3450" s="2" t="s">
        <v>34268</v>
      </c>
      <c r="G3450" s="3" t="s">
        <v>65</v>
      </c>
      <c r="I3450" s="3" t="s">
        <v>65</v>
      </c>
      <c r="J3450" s="3" t="s">
        <v>65</v>
      </c>
      <c r="K3450" s="3" t="s">
        <v>66</v>
      </c>
      <c r="L3450" s="2" t="s">
        <v>34269</v>
      </c>
      <c r="M3450" s="2" t="s">
        <v>34270</v>
      </c>
      <c r="N3450" s="3" t="s">
        <v>1196</v>
      </c>
      <c r="O3450" s="2" t="s">
        <v>34271</v>
      </c>
      <c r="P3450" s="3" t="s">
        <v>140</v>
      </c>
      <c r="Q3450" s="2" t="s">
        <v>34272</v>
      </c>
      <c r="R3450" s="3" t="s">
        <v>71</v>
      </c>
      <c r="S3450" s="4">
        <v>6</v>
      </c>
      <c r="T3450" s="4">
        <v>6</v>
      </c>
      <c r="U3450" s="5" t="s">
        <v>34273</v>
      </c>
      <c r="V3450" s="5" t="s">
        <v>34273</v>
      </c>
      <c r="W3450" s="5" t="s">
        <v>72</v>
      </c>
      <c r="X3450" s="5" t="s">
        <v>72</v>
      </c>
      <c r="Y3450" s="4">
        <v>2</v>
      </c>
      <c r="Z3450" s="4">
        <v>1</v>
      </c>
      <c r="AA3450" s="4">
        <v>9</v>
      </c>
      <c r="AB3450" s="4">
        <v>1</v>
      </c>
      <c r="AC3450" s="4">
        <v>3</v>
      </c>
      <c r="AD3450" s="4">
        <v>0</v>
      </c>
      <c r="AE3450" s="4">
        <v>37</v>
      </c>
      <c r="AF3450" s="4">
        <v>0</v>
      </c>
      <c r="AG3450" s="4">
        <v>1</v>
      </c>
      <c r="AH3450" s="4">
        <v>0</v>
      </c>
      <c r="AI3450" s="4">
        <v>34</v>
      </c>
      <c r="AJ3450" s="4">
        <v>0</v>
      </c>
      <c r="AK3450" s="4">
        <v>3</v>
      </c>
      <c r="AL3450" s="4">
        <v>0</v>
      </c>
      <c r="AM3450" s="4">
        <v>25</v>
      </c>
      <c r="AN3450" s="4">
        <v>0</v>
      </c>
      <c r="AO3450" s="4">
        <v>0</v>
      </c>
      <c r="AP3450" s="4">
        <v>0</v>
      </c>
      <c r="AQ3450" s="4">
        <v>3</v>
      </c>
      <c r="AR3450" s="3" t="s">
        <v>65</v>
      </c>
      <c r="AS3450" s="3" t="s">
        <v>65</v>
      </c>
      <c r="AT3450" s="3" t="s">
        <v>65</v>
      </c>
      <c r="AV3450" s="6" t="str">
        <f>HYPERLINK("http://mcgill.on.worldcat.org/oclc/68194928","Catalog Record")</f>
        <v>Catalog Record</v>
      </c>
      <c r="AW3450" s="6" t="str">
        <f>HYPERLINK("http://www.worldcat.org/oclc/68194928","WorldCat Record")</f>
        <v>WorldCat Record</v>
      </c>
      <c r="AX3450" s="3" t="s">
        <v>34274</v>
      </c>
      <c r="AY3450" s="3" t="s">
        <v>34275</v>
      </c>
      <c r="AZ3450" s="3" t="s">
        <v>34276</v>
      </c>
      <c r="BA3450" s="3" t="s">
        <v>34276</v>
      </c>
      <c r="BB3450" s="3" t="s">
        <v>34277</v>
      </c>
      <c r="BC3450" s="3" t="s">
        <v>77</v>
      </c>
      <c r="BD3450" s="3" t="s">
        <v>78</v>
      </c>
      <c r="BE3450" s="3" t="s">
        <v>34278</v>
      </c>
      <c r="BF3450" s="3" t="s">
        <v>34277</v>
      </c>
      <c r="BG3450" s="3" t="s">
        <v>34279</v>
      </c>
    </row>
    <row r="3451" spans="1:59" ht="72.5" x14ac:dyDescent="0.35">
      <c r="A3451" s="2" t="s">
        <v>59</v>
      </c>
      <c r="B3451" s="2" t="s">
        <v>60</v>
      </c>
      <c r="C3451" s="2" t="s">
        <v>34280</v>
      </c>
      <c r="D3451" s="2" t="s">
        <v>34281</v>
      </c>
      <c r="E3451" s="2" t="s">
        <v>34282</v>
      </c>
      <c r="G3451" s="3" t="s">
        <v>65</v>
      </c>
      <c r="I3451" s="3" t="s">
        <v>65</v>
      </c>
      <c r="J3451" s="3" t="s">
        <v>65</v>
      </c>
      <c r="K3451" s="3" t="s">
        <v>66</v>
      </c>
      <c r="L3451" s="2" t="s">
        <v>34175</v>
      </c>
      <c r="M3451" s="2" t="s">
        <v>34283</v>
      </c>
      <c r="N3451" s="3" t="s">
        <v>221</v>
      </c>
      <c r="O3451" s="2" t="s">
        <v>365</v>
      </c>
      <c r="P3451" s="3" t="s">
        <v>140</v>
      </c>
      <c r="Q3451" s="2" t="s">
        <v>32206</v>
      </c>
      <c r="R3451" s="3" t="s">
        <v>71</v>
      </c>
      <c r="S3451" s="4">
        <v>1</v>
      </c>
      <c r="T3451" s="4">
        <v>1</v>
      </c>
      <c r="U3451" s="5" t="s">
        <v>34284</v>
      </c>
      <c r="V3451" s="5" t="s">
        <v>34284</v>
      </c>
      <c r="W3451" s="5" t="s">
        <v>72</v>
      </c>
      <c r="X3451" s="5" t="s">
        <v>72</v>
      </c>
      <c r="Y3451" s="4">
        <v>78</v>
      </c>
      <c r="Z3451" s="4">
        <v>8</v>
      </c>
      <c r="AA3451" s="4">
        <v>12</v>
      </c>
      <c r="AB3451" s="4">
        <v>1</v>
      </c>
      <c r="AC3451" s="4">
        <v>2</v>
      </c>
      <c r="AD3451" s="4">
        <v>38</v>
      </c>
      <c r="AE3451" s="4">
        <v>40</v>
      </c>
      <c r="AF3451" s="4">
        <v>0</v>
      </c>
      <c r="AG3451" s="4">
        <v>1</v>
      </c>
      <c r="AH3451" s="4">
        <v>36</v>
      </c>
      <c r="AI3451" s="4">
        <v>37</v>
      </c>
      <c r="AJ3451" s="4">
        <v>4</v>
      </c>
      <c r="AK3451" s="4">
        <v>5</v>
      </c>
      <c r="AL3451" s="4">
        <v>26</v>
      </c>
      <c r="AM3451" s="4">
        <v>27</v>
      </c>
      <c r="AN3451" s="4">
        <v>0</v>
      </c>
      <c r="AO3451" s="4">
        <v>0</v>
      </c>
      <c r="AP3451" s="4">
        <v>5</v>
      </c>
      <c r="AQ3451" s="4">
        <v>5</v>
      </c>
      <c r="AR3451" s="3" t="s">
        <v>65</v>
      </c>
      <c r="AS3451" s="3" t="s">
        <v>65</v>
      </c>
      <c r="AT3451" s="3" t="s">
        <v>65</v>
      </c>
      <c r="AV3451" s="6" t="str">
        <f>HYPERLINK("http://mcgill.on.worldcat.org/oclc/85433731","Catalog Record")</f>
        <v>Catalog Record</v>
      </c>
      <c r="AW3451" s="6" t="str">
        <f>HYPERLINK("http://www.worldcat.org/oclc/85433731","WorldCat Record")</f>
        <v>WorldCat Record</v>
      </c>
      <c r="AX3451" s="3" t="s">
        <v>34285</v>
      </c>
      <c r="AY3451" s="3" t="s">
        <v>34286</v>
      </c>
      <c r="AZ3451" s="3" t="s">
        <v>34287</v>
      </c>
      <c r="BA3451" s="3" t="s">
        <v>34287</v>
      </c>
      <c r="BB3451" s="3" t="s">
        <v>34288</v>
      </c>
      <c r="BC3451" s="3" t="s">
        <v>77</v>
      </c>
      <c r="BD3451" s="3" t="s">
        <v>78</v>
      </c>
      <c r="BE3451" s="3" t="s">
        <v>34289</v>
      </c>
      <c r="BF3451" s="3" t="s">
        <v>34288</v>
      </c>
      <c r="BG3451" s="3" t="s">
        <v>34290</v>
      </c>
    </row>
    <row r="3452" spans="1:59" ht="72.5" x14ac:dyDescent="0.35">
      <c r="A3452" s="2" t="s">
        <v>59</v>
      </c>
      <c r="B3452" s="2" t="s">
        <v>60</v>
      </c>
      <c r="C3452" s="2" t="s">
        <v>34291</v>
      </c>
      <c r="D3452" s="2" t="s">
        <v>34292</v>
      </c>
      <c r="E3452" s="2" t="s">
        <v>34293</v>
      </c>
      <c r="G3452" s="3" t="s">
        <v>65</v>
      </c>
      <c r="I3452" s="3" t="s">
        <v>65</v>
      </c>
      <c r="J3452" s="3" t="s">
        <v>65</v>
      </c>
      <c r="K3452" s="3" t="s">
        <v>66</v>
      </c>
      <c r="L3452" s="2" t="s">
        <v>28115</v>
      </c>
      <c r="M3452" s="2" t="s">
        <v>34294</v>
      </c>
      <c r="N3452" s="3" t="s">
        <v>577</v>
      </c>
      <c r="O3452" s="2" t="s">
        <v>365</v>
      </c>
      <c r="P3452" s="3" t="s">
        <v>140</v>
      </c>
      <c r="Q3452" s="2" t="s">
        <v>34295</v>
      </c>
      <c r="R3452" s="3" t="s">
        <v>71</v>
      </c>
      <c r="S3452" s="4">
        <v>6</v>
      </c>
      <c r="T3452" s="4">
        <v>6</v>
      </c>
      <c r="U3452" s="5" t="s">
        <v>2631</v>
      </c>
      <c r="V3452" s="5" t="s">
        <v>2631</v>
      </c>
      <c r="W3452" s="5" t="s">
        <v>72</v>
      </c>
      <c r="X3452" s="5" t="s">
        <v>72</v>
      </c>
      <c r="Y3452" s="4">
        <v>5</v>
      </c>
      <c r="Z3452" s="4">
        <v>1</v>
      </c>
      <c r="AA3452" s="4">
        <v>1</v>
      </c>
      <c r="AB3452" s="4">
        <v>1</v>
      </c>
      <c r="AC3452" s="4">
        <v>1</v>
      </c>
      <c r="AD3452" s="4">
        <v>4</v>
      </c>
      <c r="AE3452" s="4">
        <v>4</v>
      </c>
      <c r="AF3452" s="4">
        <v>0</v>
      </c>
      <c r="AG3452" s="4">
        <v>0</v>
      </c>
      <c r="AH3452" s="4">
        <v>4</v>
      </c>
      <c r="AI3452" s="4">
        <v>4</v>
      </c>
      <c r="AJ3452" s="4">
        <v>0</v>
      </c>
      <c r="AK3452" s="4">
        <v>0</v>
      </c>
      <c r="AL3452" s="4">
        <v>2</v>
      </c>
      <c r="AM3452" s="4">
        <v>2</v>
      </c>
      <c r="AN3452" s="4">
        <v>0</v>
      </c>
      <c r="AO3452" s="4">
        <v>0</v>
      </c>
      <c r="AP3452" s="4">
        <v>0</v>
      </c>
      <c r="AQ3452" s="4">
        <v>0</v>
      </c>
      <c r="AR3452" s="3" t="s">
        <v>65</v>
      </c>
      <c r="AS3452" s="3" t="s">
        <v>65</v>
      </c>
      <c r="AT3452" s="3" t="s">
        <v>65</v>
      </c>
      <c r="AV3452" s="6" t="str">
        <f>HYPERLINK("http://mcgill.on.worldcat.org/oclc/6489316","Catalog Record")</f>
        <v>Catalog Record</v>
      </c>
      <c r="AW3452" s="6" t="str">
        <f>HYPERLINK("http://www.worldcat.org/oclc/6489316","WorldCat Record")</f>
        <v>WorldCat Record</v>
      </c>
      <c r="AX3452" s="3" t="s">
        <v>34296</v>
      </c>
      <c r="AY3452" s="3" t="s">
        <v>34297</v>
      </c>
      <c r="AZ3452" s="3" t="s">
        <v>34298</v>
      </c>
      <c r="BA3452" s="3" t="s">
        <v>34298</v>
      </c>
      <c r="BB3452" s="3" t="s">
        <v>34299</v>
      </c>
      <c r="BC3452" s="3" t="s">
        <v>77</v>
      </c>
      <c r="BD3452" s="3" t="s">
        <v>78</v>
      </c>
      <c r="BF3452" s="3" t="s">
        <v>34299</v>
      </c>
      <c r="BG3452" s="3" t="s">
        <v>34300</v>
      </c>
    </row>
    <row r="3453" spans="1:59" ht="72.5" x14ac:dyDescent="0.35">
      <c r="A3453" s="2" t="s">
        <v>59</v>
      </c>
      <c r="B3453" s="2" t="s">
        <v>60</v>
      </c>
      <c r="C3453" s="2" t="s">
        <v>34301</v>
      </c>
      <c r="D3453" s="2" t="s">
        <v>34302</v>
      </c>
      <c r="E3453" s="2" t="s">
        <v>34303</v>
      </c>
      <c r="G3453" s="3" t="s">
        <v>65</v>
      </c>
      <c r="I3453" s="3" t="s">
        <v>65</v>
      </c>
      <c r="J3453" s="3" t="s">
        <v>65</v>
      </c>
      <c r="K3453" s="3" t="s">
        <v>66</v>
      </c>
      <c r="L3453" s="2" t="s">
        <v>28115</v>
      </c>
      <c r="M3453" s="2" t="s">
        <v>34304</v>
      </c>
      <c r="N3453" s="3" t="s">
        <v>1122</v>
      </c>
      <c r="P3453" s="3" t="s">
        <v>140</v>
      </c>
      <c r="Q3453" s="2" t="s">
        <v>34305</v>
      </c>
      <c r="R3453" s="3" t="s">
        <v>71</v>
      </c>
      <c r="S3453" s="4">
        <v>5</v>
      </c>
      <c r="T3453" s="4">
        <v>5</v>
      </c>
      <c r="U3453" s="5" t="s">
        <v>34306</v>
      </c>
      <c r="V3453" s="5" t="s">
        <v>34306</v>
      </c>
      <c r="W3453" s="5" t="s">
        <v>72</v>
      </c>
      <c r="X3453" s="5" t="s">
        <v>72</v>
      </c>
      <c r="Y3453" s="4">
        <v>92</v>
      </c>
      <c r="Z3453" s="4">
        <v>8</v>
      </c>
      <c r="AA3453" s="4">
        <v>10</v>
      </c>
      <c r="AB3453" s="4">
        <v>1</v>
      </c>
      <c r="AC3453" s="4">
        <v>3</v>
      </c>
      <c r="AD3453" s="4">
        <v>42</v>
      </c>
      <c r="AE3453" s="4">
        <v>43</v>
      </c>
      <c r="AF3453" s="4">
        <v>0</v>
      </c>
      <c r="AG3453" s="4">
        <v>1</v>
      </c>
      <c r="AH3453" s="4">
        <v>41</v>
      </c>
      <c r="AI3453" s="4">
        <v>41</v>
      </c>
      <c r="AJ3453" s="4">
        <v>3</v>
      </c>
      <c r="AK3453" s="4">
        <v>4</v>
      </c>
      <c r="AL3453" s="4">
        <v>30</v>
      </c>
      <c r="AM3453" s="4">
        <v>30</v>
      </c>
      <c r="AN3453" s="4">
        <v>0</v>
      </c>
      <c r="AO3453" s="4">
        <v>0</v>
      </c>
      <c r="AP3453" s="4">
        <v>4</v>
      </c>
      <c r="AQ3453" s="4">
        <v>4</v>
      </c>
      <c r="AR3453" s="3" t="s">
        <v>65</v>
      </c>
      <c r="AS3453" s="3" t="s">
        <v>65</v>
      </c>
      <c r="AT3453" s="3" t="s">
        <v>65</v>
      </c>
      <c r="AV3453" s="6" t="str">
        <f>HYPERLINK("http://mcgill.on.worldcat.org/oclc/406145071","Catalog Record")</f>
        <v>Catalog Record</v>
      </c>
      <c r="AW3453" s="6" t="str">
        <f>HYPERLINK("http://www.worldcat.org/oclc/406145071","WorldCat Record")</f>
        <v>WorldCat Record</v>
      </c>
      <c r="AX3453" s="3" t="s">
        <v>34307</v>
      </c>
      <c r="AY3453" s="3" t="s">
        <v>34308</v>
      </c>
      <c r="AZ3453" s="3" t="s">
        <v>34309</v>
      </c>
      <c r="BA3453" s="3" t="s">
        <v>34309</v>
      </c>
      <c r="BB3453" s="3" t="s">
        <v>34310</v>
      </c>
      <c r="BC3453" s="3" t="s">
        <v>77</v>
      </c>
      <c r="BD3453" s="3" t="s">
        <v>78</v>
      </c>
      <c r="BE3453" s="3" t="s">
        <v>34311</v>
      </c>
      <c r="BF3453" s="3" t="s">
        <v>34310</v>
      </c>
      <c r="BG3453" s="3" t="s">
        <v>34312</v>
      </c>
    </row>
    <row r="3454" spans="1:59" ht="72.5" x14ac:dyDescent="0.35">
      <c r="A3454" s="2" t="s">
        <v>59</v>
      </c>
      <c r="B3454" s="2" t="s">
        <v>60</v>
      </c>
      <c r="C3454" s="2" t="s">
        <v>34313</v>
      </c>
      <c r="D3454" s="2" t="s">
        <v>34314</v>
      </c>
      <c r="E3454" s="2" t="s">
        <v>34315</v>
      </c>
      <c r="G3454" s="3" t="s">
        <v>65</v>
      </c>
      <c r="I3454" s="3" t="s">
        <v>65</v>
      </c>
      <c r="J3454" s="3" t="s">
        <v>65</v>
      </c>
      <c r="K3454" s="3" t="s">
        <v>66</v>
      </c>
      <c r="L3454" s="2" t="s">
        <v>28115</v>
      </c>
      <c r="M3454" s="2" t="s">
        <v>21492</v>
      </c>
      <c r="N3454" s="3" t="s">
        <v>152</v>
      </c>
      <c r="P3454" s="3" t="s">
        <v>69</v>
      </c>
      <c r="Q3454" s="2" t="s">
        <v>34177</v>
      </c>
      <c r="R3454" s="3" t="s">
        <v>71</v>
      </c>
      <c r="S3454" s="4">
        <v>6</v>
      </c>
      <c r="T3454" s="4">
        <v>6</v>
      </c>
      <c r="U3454" s="5" t="s">
        <v>34218</v>
      </c>
      <c r="V3454" s="5" t="s">
        <v>34218</v>
      </c>
      <c r="W3454" s="5" t="s">
        <v>72</v>
      </c>
      <c r="X3454" s="5" t="s">
        <v>72</v>
      </c>
      <c r="Y3454" s="4">
        <v>652</v>
      </c>
      <c r="Z3454" s="4">
        <v>33</v>
      </c>
      <c r="AA3454" s="4">
        <v>39</v>
      </c>
      <c r="AB3454" s="4">
        <v>2</v>
      </c>
      <c r="AC3454" s="4">
        <v>5</v>
      </c>
      <c r="AD3454" s="4">
        <v>47</v>
      </c>
      <c r="AE3454" s="4">
        <v>48</v>
      </c>
      <c r="AF3454" s="4">
        <v>0</v>
      </c>
      <c r="AG3454" s="4">
        <v>0</v>
      </c>
      <c r="AH3454" s="4">
        <v>44</v>
      </c>
      <c r="AI3454" s="4">
        <v>45</v>
      </c>
      <c r="AJ3454" s="4">
        <v>5</v>
      </c>
      <c r="AK3454" s="4">
        <v>5</v>
      </c>
      <c r="AL3454" s="4">
        <v>29</v>
      </c>
      <c r="AM3454" s="4">
        <v>30</v>
      </c>
      <c r="AN3454" s="4">
        <v>0</v>
      </c>
      <c r="AO3454" s="4">
        <v>0</v>
      </c>
      <c r="AP3454" s="4">
        <v>5</v>
      </c>
      <c r="AQ3454" s="4">
        <v>5</v>
      </c>
      <c r="AR3454" s="3" t="s">
        <v>65</v>
      </c>
      <c r="AS3454" s="3" t="s">
        <v>65</v>
      </c>
      <c r="AT3454" s="3" t="s">
        <v>65</v>
      </c>
      <c r="AV3454" s="6" t="str">
        <f>HYPERLINK("http://mcgill.on.worldcat.org/oclc/795168055","Catalog Record")</f>
        <v>Catalog Record</v>
      </c>
      <c r="AW3454" s="6" t="str">
        <f>HYPERLINK("http://www.worldcat.org/oclc/795168055","WorldCat Record")</f>
        <v>WorldCat Record</v>
      </c>
      <c r="AX3454" s="3" t="s">
        <v>34316</v>
      </c>
      <c r="AY3454" s="3" t="s">
        <v>34317</v>
      </c>
      <c r="AZ3454" s="3" t="s">
        <v>34318</v>
      </c>
      <c r="BA3454" s="3" t="s">
        <v>34318</v>
      </c>
      <c r="BB3454" s="3" t="s">
        <v>34319</v>
      </c>
      <c r="BC3454" s="3" t="s">
        <v>77</v>
      </c>
      <c r="BD3454" s="3" t="s">
        <v>78</v>
      </c>
      <c r="BE3454" s="3" t="s">
        <v>34320</v>
      </c>
      <c r="BF3454" s="3" t="s">
        <v>34319</v>
      </c>
      <c r="BG3454" s="3" t="s">
        <v>34321</v>
      </c>
    </row>
    <row r="3455" spans="1:59" ht="72.5" x14ac:dyDescent="0.35">
      <c r="A3455" s="2" t="s">
        <v>59</v>
      </c>
      <c r="B3455" s="2" t="s">
        <v>60</v>
      </c>
      <c r="C3455" s="2" t="s">
        <v>34322</v>
      </c>
      <c r="D3455" s="2" t="s">
        <v>34323</v>
      </c>
      <c r="E3455" s="2" t="s">
        <v>34324</v>
      </c>
      <c r="G3455" s="3" t="s">
        <v>65</v>
      </c>
      <c r="I3455" s="3" t="s">
        <v>65</v>
      </c>
      <c r="J3455" s="3" t="s">
        <v>65</v>
      </c>
      <c r="K3455" s="3" t="s">
        <v>66</v>
      </c>
      <c r="L3455" s="2" t="s">
        <v>34175</v>
      </c>
      <c r="M3455" s="2" t="s">
        <v>34325</v>
      </c>
      <c r="N3455" s="3" t="s">
        <v>139</v>
      </c>
      <c r="P3455" s="3" t="s">
        <v>140</v>
      </c>
      <c r="Q3455" s="2" t="s">
        <v>34326</v>
      </c>
      <c r="R3455" s="3" t="s">
        <v>71</v>
      </c>
      <c r="S3455" s="4">
        <v>0</v>
      </c>
      <c r="T3455" s="4">
        <v>0</v>
      </c>
      <c r="W3455" s="5" t="s">
        <v>72</v>
      </c>
      <c r="X3455" s="5" t="s">
        <v>72</v>
      </c>
      <c r="Y3455" s="4">
        <v>67</v>
      </c>
      <c r="Z3455" s="4">
        <v>8</v>
      </c>
      <c r="AA3455" s="4">
        <v>10</v>
      </c>
      <c r="AB3455" s="4">
        <v>2</v>
      </c>
      <c r="AC3455" s="4">
        <v>4</v>
      </c>
      <c r="AD3455" s="4">
        <v>38</v>
      </c>
      <c r="AE3455" s="4">
        <v>39</v>
      </c>
      <c r="AF3455" s="4">
        <v>0</v>
      </c>
      <c r="AG3455" s="4">
        <v>1</v>
      </c>
      <c r="AH3455" s="4">
        <v>37</v>
      </c>
      <c r="AI3455" s="4">
        <v>37</v>
      </c>
      <c r="AJ3455" s="4">
        <v>3</v>
      </c>
      <c r="AK3455" s="4">
        <v>4</v>
      </c>
      <c r="AL3455" s="4">
        <v>29</v>
      </c>
      <c r="AM3455" s="4">
        <v>29</v>
      </c>
      <c r="AN3455" s="4">
        <v>0</v>
      </c>
      <c r="AO3455" s="4">
        <v>0</v>
      </c>
      <c r="AP3455" s="4">
        <v>3</v>
      </c>
      <c r="AQ3455" s="4">
        <v>3</v>
      </c>
      <c r="AR3455" s="3" t="s">
        <v>65</v>
      </c>
      <c r="AS3455" s="3" t="s">
        <v>65</v>
      </c>
      <c r="AT3455" s="3" t="s">
        <v>65</v>
      </c>
      <c r="AV3455" s="6" t="str">
        <f>HYPERLINK("http://mcgill.on.worldcat.org/oclc/792948959","Catalog Record")</f>
        <v>Catalog Record</v>
      </c>
      <c r="AW3455" s="6" t="str">
        <f>HYPERLINK("http://www.worldcat.org/oclc/792948959","WorldCat Record")</f>
        <v>WorldCat Record</v>
      </c>
      <c r="AX3455" s="3" t="s">
        <v>34327</v>
      </c>
      <c r="AY3455" s="3" t="s">
        <v>34328</v>
      </c>
      <c r="AZ3455" s="3" t="s">
        <v>34329</v>
      </c>
      <c r="BA3455" s="3" t="s">
        <v>34329</v>
      </c>
      <c r="BB3455" s="3" t="s">
        <v>34330</v>
      </c>
      <c r="BC3455" s="3" t="s">
        <v>77</v>
      </c>
      <c r="BD3455" s="3" t="s">
        <v>78</v>
      </c>
      <c r="BE3455" s="3" t="s">
        <v>34331</v>
      </c>
      <c r="BF3455" s="3" t="s">
        <v>34330</v>
      </c>
      <c r="BG3455" s="3" t="s">
        <v>34332</v>
      </c>
    </row>
    <row r="3456" spans="1:59" ht="72.5" x14ac:dyDescent="0.35">
      <c r="A3456" s="2" t="s">
        <v>59</v>
      </c>
      <c r="B3456" s="2" t="s">
        <v>60</v>
      </c>
      <c r="C3456" s="2" t="s">
        <v>34333</v>
      </c>
      <c r="D3456" s="2" t="s">
        <v>34334</v>
      </c>
      <c r="E3456" s="2" t="s">
        <v>34335</v>
      </c>
      <c r="G3456" s="3" t="s">
        <v>65</v>
      </c>
      <c r="I3456" s="3" t="s">
        <v>65</v>
      </c>
      <c r="J3456" s="3" t="s">
        <v>65</v>
      </c>
      <c r="K3456" s="3" t="s">
        <v>66</v>
      </c>
      <c r="L3456" s="2" t="s">
        <v>28115</v>
      </c>
      <c r="M3456" s="2" t="s">
        <v>10185</v>
      </c>
      <c r="N3456" s="3" t="s">
        <v>139</v>
      </c>
      <c r="P3456" s="3" t="s">
        <v>140</v>
      </c>
      <c r="Q3456" s="2" t="s">
        <v>34336</v>
      </c>
      <c r="R3456" s="3" t="s">
        <v>71</v>
      </c>
      <c r="S3456" s="4">
        <v>3</v>
      </c>
      <c r="T3456" s="4">
        <v>3</v>
      </c>
      <c r="U3456" s="5" t="s">
        <v>2631</v>
      </c>
      <c r="V3456" s="5" t="s">
        <v>2631</v>
      </c>
      <c r="W3456" s="5" t="s">
        <v>72</v>
      </c>
      <c r="X3456" s="5" t="s">
        <v>72</v>
      </c>
      <c r="Y3456" s="4">
        <v>25</v>
      </c>
      <c r="Z3456" s="4">
        <v>1</v>
      </c>
      <c r="AA3456" s="4">
        <v>8</v>
      </c>
      <c r="AB3456" s="4">
        <v>1</v>
      </c>
      <c r="AC3456" s="4">
        <v>3</v>
      </c>
      <c r="AD3456" s="4">
        <v>5</v>
      </c>
      <c r="AE3456" s="4">
        <v>38</v>
      </c>
      <c r="AF3456" s="4">
        <v>0</v>
      </c>
      <c r="AG3456" s="4">
        <v>1</v>
      </c>
      <c r="AH3456" s="4">
        <v>5</v>
      </c>
      <c r="AI3456" s="4">
        <v>36</v>
      </c>
      <c r="AJ3456" s="4">
        <v>0</v>
      </c>
      <c r="AK3456" s="4">
        <v>4</v>
      </c>
      <c r="AL3456" s="4">
        <v>3</v>
      </c>
      <c r="AM3456" s="4">
        <v>27</v>
      </c>
      <c r="AN3456" s="4">
        <v>0</v>
      </c>
      <c r="AO3456" s="4">
        <v>0</v>
      </c>
      <c r="AP3456" s="4">
        <v>0</v>
      </c>
      <c r="AQ3456" s="4">
        <v>3</v>
      </c>
      <c r="AR3456" s="3" t="s">
        <v>65</v>
      </c>
      <c r="AS3456" s="3" t="s">
        <v>65</v>
      </c>
      <c r="AT3456" s="3" t="s">
        <v>65</v>
      </c>
      <c r="AV3456" s="6" t="str">
        <f>HYPERLINK("http://mcgill.on.worldcat.org/oclc/774091667","Catalog Record")</f>
        <v>Catalog Record</v>
      </c>
      <c r="AW3456" s="6" t="str">
        <f>HYPERLINK("http://www.worldcat.org/oclc/774091667","WorldCat Record")</f>
        <v>WorldCat Record</v>
      </c>
      <c r="AX3456" s="3" t="s">
        <v>34337</v>
      </c>
      <c r="AY3456" s="3" t="s">
        <v>34338</v>
      </c>
      <c r="AZ3456" s="3" t="s">
        <v>34339</v>
      </c>
      <c r="BA3456" s="3" t="s">
        <v>34339</v>
      </c>
      <c r="BB3456" s="3" t="s">
        <v>34340</v>
      </c>
      <c r="BC3456" s="3" t="s">
        <v>77</v>
      </c>
      <c r="BD3456" s="3" t="s">
        <v>78</v>
      </c>
      <c r="BE3456" s="3" t="s">
        <v>34341</v>
      </c>
      <c r="BF3456" s="3" t="s">
        <v>34340</v>
      </c>
      <c r="BG3456" s="3" t="s">
        <v>34342</v>
      </c>
    </row>
    <row r="3457" spans="1:59" ht="72.5" x14ac:dyDescent="0.35">
      <c r="A3457" s="2" t="s">
        <v>59</v>
      </c>
      <c r="B3457" s="2" t="s">
        <v>60</v>
      </c>
      <c r="C3457" s="2" t="s">
        <v>34343</v>
      </c>
      <c r="D3457" s="2" t="s">
        <v>34344</v>
      </c>
      <c r="E3457" s="2" t="s">
        <v>34345</v>
      </c>
      <c r="G3457" s="3" t="s">
        <v>65</v>
      </c>
      <c r="I3457" s="3" t="s">
        <v>65</v>
      </c>
      <c r="J3457" s="3" t="s">
        <v>65</v>
      </c>
      <c r="K3457" s="3" t="s">
        <v>66</v>
      </c>
      <c r="L3457" s="2" t="s">
        <v>28115</v>
      </c>
      <c r="M3457" s="2" t="s">
        <v>34346</v>
      </c>
      <c r="N3457" s="3" t="s">
        <v>479</v>
      </c>
      <c r="P3457" s="3" t="s">
        <v>140</v>
      </c>
      <c r="Q3457" s="2" t="s">
        <v>34347</v>
      </c>
      <c r="R3457" s="3" t="s">
        <v>71</v>
      </c>
      <c r="S3457" s="4">
        <v>6</v>
      </c>
      <c r="T3457" s="4">
        <v>6</v>
      </c>
      <c r="U3457" s="5" t="s">
        <v>34348</v>
      </c>
      <c r="V3457" s="5" t="s">
        <v>34348</v>
      </c>
      <c r="W3457" s="5" t="s">
        <v>72</v>
      </c>
      <c r="X3457" s="5" t="s">
        <v>72</v>
      </c>
      <c r="Y3457" s="4">
        <v>94</v>
      </c>
      <c r="Z3457" s="4">
        <v>8</v>
      </c>
      <c r="AA3457" s="4">
        <v>10</v>
      </c>
      <c r="AB3457" s="4">
        <v>3</v>
      </c>
      <c r="AC3457" s="4">
        <v>5</v>
      </c>
      <c r="AD3457" s="4">
        <v>46</v>
      </c>
      <c r="AE3457" s="4">
        <v>47</v>
      </c>
      <c r="AF3457" s="4">
        <v>1</v>
      </c>
      <c r="AG3457" s="4">
        <v>2</v>
      </c>
      <c r="AH3457" s="4">
        <v>44</v>
      </c>
      <c r="AI3457" s="4">
        <v>44</v>
      </c>
      <c r="AJ3457" s="4">
        <v>4</v>
      </c>
      <c r="AK3457" s="4">
        <v>5</v>
      </c>
      <c r="AL3457" s="4">
        <v>33</v>
      </c>
      <c r="AM3457" s="4">
        <v>33</v>
      </c>
      <c r="AN3457" s="4">
        <v>0</v>
      </c>
      <c r="AO3457" s="4">
        <v>0</v>
      </c>
      <c r="AP3457" s="4">
        <v>4</v>
      </c>
      <c r="AQ3457" s="4">
        <v>4</v>
      </c>
      <c r="AR3457" s="3" t="s">
        <v>65</v>
      </c>
      <c r="AS3457" s="3" t="s">
        <v>65</v>
      </c>
      <c r="AT3457" s="3" t="s">
        <v>209</v>
      </c>
      <c r="AU3457" s="6" t="str">
        <f>HYPERLINK("http://catalog.hathitrust.org/Record/005901127","HathiTrust Record")</f>
        <v>HathiTrust Record</v>
      </c>
      <c r="AV3457" s="6" t="str">
        <f>HYPERLINK("http://mcgill.on.worldcat.org/oclc/272561603","Catalog Record")</f>
        <v>Catalog Record</v>
      </c>
      <c r="AW3457" s="6" t="str">
        <f>HYPERLINK("http://www.worldcat.org/oclc/272561603","WorldCat Record")</f>
        <v>WorldCat Record</v>
      </c>
      <c r="AX3457" s="3" t="s">
        <v>34349</v>
      </c>
      <c r="AY3457" s="3" t="s">
        <v>34350</v>
      </c>
      <c r="AZ3457" s="3" t="s">
        <v>34351</v>
      </c>
      <c r="BA3457" s="3" t="s">
        <v>34351</v>
      </c>
      <c r="BB3457" s="3" t="s">
        <v>34352</v>
      </c>
      <c r="BC3457" s="3" t="s">
        <v>77</v>
      </c>
      <c r="BD3457" s="3" t="s">
        <v>78</v>
      </c>
      <c r="BE3457" s="3" t="s">
        <v>34353</v>
      </c>
      <c r="BF3457" s="3" t="s">
        <v>34352</v>
      </c>
      <c r="BG3457" s="3" t="s">
        <v>34354</v>
      </c>
    </row>
    <row r="3458" spans="1:59" ht="72.5" x14ac:dyDescent="0.35">
      <c r="A3458" s="2" t="s">
        <v>59</v>
      </c>
      <c r="B3458" s="2" t="s">
        <v>60</v>
      </c>
      <c r="C3458" s="2" t="s">
        <v>34355</v>
      </c>
      <c r="D3458" s="2" t="s">
        <v>34356</v>
      </c>
      <c r="E3458" s="2" t="s">
        <v>34357</v>
      </c>
      <c r="G3458" s="3" t="s">
        <v>65</v>
      </c>
      <c r="I3458" s="3" t="s">
        <v>65</v>
      </c>
      <c r="J3458" s="3" t="s">
        <v>65</v>
      </c>
      <c r="K3458" s="3" t="s">
        <v>66</v>
      </c>
      <c r="L3458" s="2" t="s">
        <v>28115</v>
      </c>
      <c r="M3458" s="2" t="s">
        <v>34358</v>
      </c>
      <c r="N3458" s="3" t="s">
        <v>139</v>
      </c>
      <c r="P3458" s="3" t="s">
        <v>69</v>
      </c>
      <c r="Q3458" s="2" t="s">
        <v>34177</v>
      </c>
      <c r="R3458" s="3" t="s">
        <v>71</v>
      </c>
      <c r="S3458" s="4">
        <v>11</v>
      </c>
      <c r="T3458" s="4">
        <v>11</v>
      </c>
      <c r="U3458" s="5" t="s">
        <v>33259</v>
      </c>
      <c r="V3458" s="5" t="s">
        <v>33259</v>
      </c>
      <c r="W3458" s="5" t="s">
        <v>72</v>
      </c>
      <c r="X3458" s="5" t="s">
        <v>72</v>
      </c>
      <c r="Y3458" s="4">
        <v>695</v>
      </c>
      <c r="Z3458" s="4">
        <v>33</v>
      </c>
      <c r="AA3458" s="4">
        <v>37</v>
      </c>
      <c r="AB3458" s="4">
        <v>4</v>
      </c>
      <c r="AC3458" s="4">
        <v>5</v>
      </c>
      <c r="AD3458" s="4">
        <v>51</v>
      </c>
      <c r="AE3458" s="4">
        <v>51</v>
      </c>
      <c r="AF3458" s="4">
        <v>0</v>
      </c>
      <c r="AG3458" s="4">
        <v>0</v>
      </c>
      <c r="AH3458" s="4">
        <v>49</v>
      </c>
      <c r="AI3458" s="4">
        <v>49</v>
      </c>
      <c r="AJ3458" s="4">
        <v>4</v>
      </c>
      <c r="AK3458" s="4">
        <v>4</v>
      </c>
      <c r="AL3458" s="4">
        <v>33</v>
      </c>
      <c r="AM3458" s="4">
        <v>33</v>
      </c>
      <c r="AN3458" s="4">
        <v>0</v>
      </c>
      <c r="AO3458" s="4">
        <v>0</v>
      </c>
      <c r="AP3458" s="4">
        <v>4</v>
      </c>
      <c r="AQ3458" s="4">
        <v>4</v>
      </c>
      <c r="AR3458" s="3" t="s">
        <v>65</v>
      </c>
      <c r="AS3458" s="3" t="s">
        <v>65</v>
      </c>
      <c r="AT3458" s="3" t="s">
        <v>65</v>
      </c>
      <c r="AV3458" s="6" t="str">
        <f>HYPERLINK("http://mcgill.on.worldcat.org/oclc/760974140","Catalog Record")</f>
        <v>Catalog Record</v>
      </c>
      <c r="AW3458" s="6" t="str">
        <f>HYPERLINK("http://www.worldcat.org/oclc/760974140","WorldCat Record")</f>
        <v>WorldCat Record</v>
      </c>
      <c r="AX3458" s="3" t="s">
        <v>34359</v>
      </c>
      <c r="AY3458" s="3" t="s">
        <v>34360</v>
      </c>
      <c r="AZ3458" s="3" t="s">
        <v>34361</v>
      </c>
      <c r="BA3458" s="3" t="s">
        <v>34361</v>
      </c>
      <c r="BB3458" s="3" t="s">
        <v>34362</v>
      </c>
      <c r="BC3458" s="3" t="s">
        <v>77</v>
      </c>
      <c r="BD3458" s="3" t="s">
        <v>78</v>
      </c>
      <c r="BE3458" s="3" t="s">
        <v>34363</v>
      </c>
      <c r="BF3458" s="3" t="s">
        <v>34362</v>
      </c>
      <c r="BG3458" s="3" t="s">
        <v>34364</v>
      </c>
    </row>
    <row r="3459" spans="1:59" ht="58" x14ac:dyDescent="0.35">
      <c r="A3459" s="2" t="s">
        <v>59</v>
      </c>
      <c r="B3459" s="2" t="s">
        <v>60</v>
      </c>
      <c r="C3459" s="2" t="s">
        <v>34365</v>
      </c>
      <c r="D3459" s="2" t="s">
        <v>34366</v>
      </c>
      <c r="E3459" s="2" t="s">
        <v>34367</v>
      </c>
      <c r="G3459" s="3" t="s">
        <v>65</v>
      </c>
      <c r="I3459" s="3" t="s">
        <v>65</v>
      </c>
      <c r="J3459" s="3" t="s">
        <v>65</v>
      </c>
      <c r="K3459" s="3" t="s">
        <v>66</v>
      </c>
      <c r="L3459" s="2" t="s">
        <v>28115</v>
      </c>
      <c r="M3459" s="2" t="s">
        <v>34368</v>
      </c>
      <c r="N3459" s="3" t="s">
        <v>955</v>
      </c>
      <c r="O3459" s="2" t="s">
        <v>654</v>
      </c>
      <c r="P3459" s="3" t="s">
        <v>140</v>
      </c>
      <c r="R3459" s="3" t="s">
        <v>71</v>
      </c>
      <c r="S3459" s="4">
        <v>8</v>
      </c>
      <c r="T3459" s="4">
        <v>8</v>
      </c>
      <c r="U3459" s="5" t="s">
        <v>18760</v>
      </c>
      <c r="V3459" s="5" t="s">
        <v>18760</v>
      </c>
      <c r="W3459" s="5" t="s">
        <v>72</v>
      </c>
      <c r="X3459" s="5" t="s">
        <v>72</v>
      </c>
      <c r="Y3459" s="4">
        <v>33</v>
      </c>
      <c r="Z3459" s="4">
        <v>4</v>
      </c>
      <c r="AA3459" s="4">
        <v>6</v>
      </c>
      <c r="AB3459" s="4">
        <v>1</v>
      </c>
      <c r="AC3459" s="4">
        <v>3</v>
      </c>
      <c r="AD3459" s="4">
        <v>13</v>
      </c>
      <c r="AE3459" s="4">
        <v>31</v>
      </c>
      <c r="AF3459" s="4">
        <v>0</v>
      </c>
      <c r="AG3459" s="4">
        <v>1</v>
      </c>
      <c r="AH3459" s="4">
        <v>13</v>
      </c>
      <c r="AI3459" s="4">
        <v>30</v>
      </c>
      <c r="AJ3459" s="4">
        <v>1</v>
      </c>
      <c r="AK3459" s="4">
        <v>2</v>
      </c>
      <c r="AL3459" s="4">
        <v>9</v>
      </c>
      <c r="AM3459" s="4">
        <v>23</v>
      </c>
      <c r="AN3459" s="4">
        <v>0</v>
      </c>
      <c r="AO3459" s="4">
        <v>0</v>
      </c>
      <c r="AP3459" s="4">
        <v>1</v>
      </c>
      <c r="AQ3459" s="4">
        <v>1</v>
      </c>
      <c r="AR3459" s="3" t="s">
        <v>65</v>
      </c>
      <c r="AS3459" s="3" t="s">
        <v>65</v>
      </c>
      <c r="AT3459" s="3" t="s">
        <v>209</v>
      </c>
      <c r="AU3459" s="6" t="str">
        <f>HYPERLINK("http://catalog.hathitrust.org/Record/007966501","HathiTrust Record")</f>
        <v>HathiTrust Record</v>
      </c>
      <c r="AV3459" s="6" t="str">
        <f>HYPERLINK("http://mcgill.on.worldcat.org/oclc/7192723","Catalog Record")</f>
        <v>Catalog Record</v>
      </c>
      <c r="AW3459" s="6" t="str">
        <f>HYPERLINK("http://www.worldcat.org/oclc/7192723","WorldCat Record")</f>
        <v>WorldCat Record</v>
      </c>
      <c r="AX3459" s="3" t="s">
        <v>34369</v>
      </c>
      <c r="AY3459" s="3" t="s">
        <v>34370</v>
      </c>
      <c r="AZ3459" s="3" t="s">
        <v>34371</v>
      </c>
      <c r="BA3459" s="3" t="s">
        <v>34371</v>
      </c>
      <c r="BB3459" s="3" t="s">
        <v>34372</v>
      </c>
      <c r="BC3459" s="3" t="s">
        <v>77</v>
      </c>
      <c r="BD3459" s="3" t="s">
        <v>78</v>
      </c>
      <c r="BF3459" s="3" t="s">
        <v>34372</v>
      </c>
      <c r="BG3459" s="3" t="s">
        <v>34373</v>
      </c>
    </row>
    <row r="3460" spans="1:59" ht="72.5" x14ac:dyDescent="0.35">
      <c r="A3460" s="2" t="s">
        <v>59</v>
      </c>
      <c r="B3460" s="2" t="s">
        <v>60</v>
      </c>
      <c r="C3460" s="2" t="s">
        <v>34374</v>
      </c>
      <c r="D3460" s="2" t="s">
        <v>34375</v>
      </c>
      <c r="E3460" s="2" t="s">
        <v>34376</v>
      </c>
      <c r="G3460" s="3" t="s">
        <v>65</v>
      </c>
      <c r="I3460" s="3" t="s">
        <v>65</v>
      </c>
      <c r="J3460" s="3" t="s">
        <v>65</v>
      </c>
      <c r="K3460" s="3" t="s">
        <v>66</v>
      </c>
      <c r="L3460" s="2" t="s">
        <v>28115</v>
      </c>
      <c r="M3460" s="2" t="s">
        <v>34377</v>
      </c>
      <c r="N3460" s="3" t="s">
        <v>1196</v>
      </c>
      <c r="P3460" s="3" t="s">
        <v>69</v>
      </c>
      <c r="Q3460" s="2" t="s">
        <v>34378</v>
      </c>
      <c r="R3460" s="3" t="s">
        <v>71</v>
      </c>
      <c r="S3460" s="4">
        <v>13</v>
      </c>
      <c r="T3460" s="4">
        <v>13</v>
      </c>
      <c r="U3460" s="5" t="s">
        <v>25728</v>
      </c>
      <c r="V3460" s="5" t="s">
        <v>25728</v>
      </c>
      <c r="W3460" s="5" t="s">
        <v>72</v>
      </c>
      <c r="X3460" s="5" t="s">
        <v>72</v>
      </c>
      <c r="Y3460" s="4">
        <v>168</v>
      </c>
      <c r="Z3460" s="4">
        <v>8</v>
      </c>
      <c r="AA3460" s="4">
        <v>46</v>
      </c>
      <c r="AB3460" s="4">
        <v>1</v>
      </c>
      <c r="AC3460" s="4">
        <v>4</v>
      </c>
      <c r="AD3460" s="4">
        <v>8</v>
      </c>
      <c r="AE3460" s="4">
        <v>59</v>
      </c>
      <c r="AF3460" s="4">
        <v>0</v>
      </c>
      <c r="AG3460" s="4">
        <v>1</v>
      </c>
      <c r="AH3460" s="4">
        <v>8</v>
      </c>
      <c r="AI3460" s="4">
        <v>55</v>
      </c>
      <c r="AJ3460" s="4">
        <v>2</v>
      </c>
      <c r="AK3460" s="4">
        <v>7</v>
      </c>
      <c r="AL3460" s="4">
        <v>4</v>
      </c>
      <c r="AM3460" s="4">
        <v>37</v>
      </c>
      <c r="AN3460" s="4">
        <v>0</v>
      </c>
      <c r="AO3460" s="4">
        <v>0</v>
      </c>
      <c r="AP3460" s="4">
        <v>2</v>
      </c>
      <c r="AQ3460" s="4">
        <v>8</v>
      </c>
      <c r="AR3460" s="3" t="s">
        <v>65</v>
      </c>
      <c r="AS3460" s="3" t="s">
        <v>65</v>
      </c>
      <c r="AT3460" s="3" t="s">
        <v>209</v>
      </c>
      <c r="AU3460" s="6" t="str">
        <f>HYPERLINK("http://catalog.hathitrust.org/Record/005023534","HathiTrust Record")</f>
        <v>HathiTrust Record</v>
      </c>
      <c r="AV3460" s="6" t="str">
        <f>HYPERLINK("http://mcgill.on.worldcat.org/oclc/70701585","Catalog Record")</f>
        <v>Catalog Record</v>
      </c>
      <c r="AW3460" s="6" t="str">
        <f>HYPERLINK("http://www.worldcat.org/oclc/70701585","WorldCat Record")</f>
        <v>WorldCat Record</v>
      </c>
      <c r="AX3460" s="3" t="s">
        <v>34379</v>
      </c>
      <c r="AY3460" s="3" t="s">
        <v>34380</v>
      </c>
      <c r="AZ3460" s="3" t="s">
        <v>34381</v>
      </c>
      <c r="BA3460" s="3" t="s">
        <v>34381</v>
      </c>
      <c r="BB3460" s="3" t="s">
        <v>34382</v>
      </c>
      <c r="BC3460" s="3" t="s">
        <v>77</v>
      </c>
      <c r="BD3460" s="3" t="s">
        <v>78</v>
      </c>
      <c r="BE3460" s="3" t="s">
        <v>34383</v>
      </c>
      <c r="BF3460" s="3" t="s">
        <v>34382</v>
      </c>
      <c r="BG3460" s="3" t="s">
        <v>34384</v>
      </c>
    </row>
    <row r="3461" spans="1:59" ht="72.5" x14ac:dyDescent="0.35">
      <c r="A3461" s="2" t="s">
        <v>59</v>
      </c>
      <c r="B3461" s="2" t="s">
        <v>60</v>
      </c>
      <c r="C3461" s="2" t="s">
        <v>34385</v>
      </c>
      <c r="D3461" s="2" t="s">
        <v>34386</v>
      </c>
      <c r="E3461" s="2" t="s">
        <v>34387</v>
      </c>
      <c r="G3461" s="3" t="s">
        <v>65</v>
      </c>
      <c r="I3461" s="3" t="s">
        <v>65</v>
      </c>
      <c r="J3461" s="3" t="s">
        <v>65</v>
      </c>
      <c r="K3461" s="3" t="s">
        <v>66</v>
      </c>
      <c r="L3461" s="2" t="s">
        <v>28115</v>
      </c>
      <c r="M3461" s="2" t="s">
        <v>34388</v>
      </c>
      <c r="N3461" s="3" t="s">
        <v>176</v>
      </c>
      <c r="P3461" s="3" t="s">
        <v>69</v>
      </c>
      <c r="Q3461" s="2" t="s">
        <v>34389</v>
      </c>
      <c r="R3461" s="3" t="s">
        <v>71</v>
      </c>
      <c r="S3461" s="4">
        <v>5</v>
      </c>
      <c r="T3461" s="4">
        <v>5</v>
      </c>
      <c r="U3461" s="5" t="s">
        <v>33259</v>
      </c>
      <c r="V3461" s="5" t="s">
        <v>33259</v>
      </c>
      <c r="W3461" s="5" t="s">
        <v>72</v>
      </c>
      <c r="X3461" s="5" t="s">
        <v>72</v>
      </c>
      <c r="Y3461" s="4">
        <v>546</v>
      </c>
      <c r="Z3461" s="4">
        <v>19</v>
      </c>
      <c r="AA3461" s="4">
        <v>22</v>
      </c>
      <c r="AB3461" s="4">
        <v>2</v>
      </c>
      <c r="AC3461" s="4">
        <v>4</v>
      </c>
      <c r="AD3461" s="4">
        <v>22</v>
      </c>
      <c r="AE3461" s="4">
        <v>22</v>
      </c>
      <c r="AF3461" s="4">
        <v>0</v>
      </c>
      <c r="AG3461" s="4">
        <v>0</v>
      </c>
      <c r="AH3461" s="4">
        <v>20</v>
      </c>
      <c r="AI3461" s="4">
        <v>20</v>
      </c>
      <c r="AJ3461" s="4">
        <v>2</v>
      </c>
      <c r="AK3461" s="4">
        <v>2</v>
      </c>
      <c r="AL3461" s="4">
        <v>14</v>
      </c>
      <c r="AM3461" s="4">
        <v>14</v>
      </c>
      <c r="AN3461" s="4">
        <v>0</v>
      </c>
      <c r="AO3461" s="4">
        <v>0</v>
      </c>
      <c r="AP3461" s="4">
        <v>2</v>
      </c>
      <c r="AQ3461" s="4">
        <v>2</v>
      </c>
      <c r="AR3461" s="3" t="s">
        <v>65</v>
      </c>
      <c r="AS3461" s="3" t="s">
        <v>65</v>
      </c>
      <c r="AT3461" s="3" t="s">
        <v>65</v>
      </c>
      <c r="AV3461" s="6" t="str">
        <f>HYPERLINK("http://mcgill.on.worldcat.org/oclc/881869832","Catalog Record")</f>
        <v>Catalog Record</v>
      </c>
      <c r="AW3461" s="6" t="str">
        <f>HYPERLINK("http://www.worldcat.org/oclc/881869832","WorldCat Record")</f>
        <v>WorldCat Record</v>
      </c>
      <c r="AX3461" s="3" t="s">
        <v>34390</v>
      </c>
      <c r="AY3461" s="3" t="s">
        <v>34391</v>
      </c>
      <c r="AZ3461" s="3" t="s">
        <v>34392</v>
      </c>
      <c r="BA3461" s="3" t="s">
        <v>34392</v>
      </c>
      <c r="BB3461" s="3" t="s">
        <v>34393</v>
      </c>
      <c r="BC3461" s="3" t="s">
        <v>77</v>
      </c>
      <c r="BD3461" s="3" t="s">
        <v>78</v>
      </c>
      <c r="BE3461" s="3" t="s">
        <v>34394</v>
      </c>
      <c r="BF3461" s="3" t="s">
        <v>34393</v>
      </c>
      <c r="BG3461" s="3" t="s">
        <v>34395</v>
      </c>
    </row>
    <row r="3462" spans="1:59" ht="72.5" x14ac:dyDescent="0.35">
      <c r="A3462" s="2" t="s">
        <v>59</v>
      </c>
      <c r="B3462" s="2" t="s">
        <v>60</v>
      </c>
      <c r="C3462" s="2" t="s">
        <v>34396</v>
      </c>
      <c r="D3462" s="2" t="s">
        <v>34397</v>
      </c>
      <c r="E3462" s="2" t="s">
        <v>34398</v>
      </c>
      <c r="G3462" s="3" t="s">
        <v>65</v>
      </c>
      <c r="I3462" s="3" t="s">
        <v>65</v>
      </c>
      <c r="J3462" s="3" t="s">
        <v>65</v>
      </c>
      <c r="K3462" s="3" t="s">
        <v>66</v>
      </c>
      <c r="L3462" s="2" t="s">
        <v>28115</v>
      </c>
      <c r="M3462" s="2" t="s">
        <v>27358</v>
      </c>
      <c r="N3462" s="3" t="s">
        <v>126</v>
      </c>
      <c r="P3462" s="3" t="s">
        <v>140</v>
      </c>
      <c r="Q3462" s="2" t="s">
        <v>34399</v>
      </c>
      <c r="R3462" s="3" t="s">
        <v>71</v>
      </c>
      <c r="S3462" s="4">
        <v>0</v>
      </c>
      <c r="T3462" s="4">
        <v>0</v>
      </c>
      <c r="W3462" s="5" t="s">
        <v>72</v>
      </c>
      <c r="X3462" s="5" t="s">
        <v>72</v>
      </c>
      <c r="Y3462" s="4">
        <v>92</v>
      </c>
      <c r="Z3462" s="4">
        <v>11</v>
      </c>
      <c r="AA3462" s="4">
        <v>14</v>
      </c>
      <c r="AB3462" s="4">
        <v>2</v>
      </c>
      <c r="AC3462" s="4">
        <v>4</v>
      </c>
      <c r="AD3462" s="4">
        <v>47</v>
      </c>
      <c r="AE3462" s="4">
        <v>49</v>
      </c>
      <c r="AF3462" s="4">
        <v>0</v>
      </c>
      <c r="AG3462" s="4">
        <v>1</v>
      </c>
      <c r="AH3462" s="4">
        <v>46</v>
      </c>
      <c r="AI3462" s="4">
        <v>47</v>
      </c>
      <c r="AJ3462" s="4">
        <v>5</v>
      </c>
      <c r="AK3462" s="4">
        <v>7</v>
      </c>
      <c r="AL3462" s="4">
        <v>35</v>
      </c>
      <c r="AM3462" s="4">
        <v>35</v>
      </c>
      <c r="AN3462" s="4">
        <v>0</v>
      </c>
      <c r="AO3462" s="4">
        <v>0</v>
      </c>
      <c r="AP3462" s="4">
        <v>5</v>
      </c>
      <c r="AQ3462" s="4">
        <v>6</v>
      </c>
      <c r="AR3462" s="3" t="s">
        <v>65</v>
      </c>
      <c r="AS3462" s="3" t="s">
        <v>65</v>
      </c>
      <c r="AT3462" s="3" t="s">
        <v>65</v>
      </c>
      <c r="AV3462" s="6" t="str">
        <f>HYPERLINK("http://mcgill.on.worldcat.org/oclc/733222486","Catalog Record")</f>
        <v>Catalog Record</v>
      </c>
      <c r="AW3462" s="6" t="str">
        <f>HYPERLINK("http://www.worldcat.org/oclc/733222486","WorldCat Record")</f>
        <v>WorldCat Record</v>
      </c>
      <c r="AX3462" s="3" t="s">
        <v>34400</v>
      </c>
      <c r="AY3462" s="3" t="s">
        <v>34401</v>
      </c>
      <c r="AZ3462" s="3" t="s">
        <v>34402</v>
      </c>
      <c r="BA3462" s="3" t="s">
        <v>34402</v>
      </c>
      <c r="BB3462" s="3" t="s">
        <v>34403</v>
      </c>
      <c r="BC3462" s="3" t="s">
        <v>77</v>
      </c>
      <c r="BD3462" s="3" t="s">
        <v>78</v>
      </c>
      <c r="BE3462" s="3" t="s">
        <v>34404</v>
      </c>
      <c r="BF3462" s="3" t="s">
        <v>34403</v>
      </c>
      <c r="BG3462" s="3" t="s">
        <v>34405</v>
      </c>
    </row>
    <row r="3463" spans="1:59" ht="72.5" x14ac:dyDescent="0.35">
      <c r="A3463" s="2" t="s">
        <v>59</v>
      </c>
      <c r="B3463" s="2" t="s">
        <v>60</v>
      </c>
      <c r="C3463" s="2" t="s">
        <v>34406</v>
      </c>
      <c r="D3463" s="2" t="s">
        <v>34407</v>
      </c>
      <c r="E3463" s="2" t="s">
        <v>34408</v>
      </c>
      <c r="G3463" s="3" t="s">
        <v>65</v>
      </c>
      <c r="I3463" s="3" t="s">
        <v>65</v>
      </c>
      <c r="J3463" s="3" t="s">
        <v>65</v>
      </c>
      <c r="K3463" s="3" t="s">
        <v>66</v>
      </c>
      <c r="L3463" s="2" t="s">
        <v>28115</v>
      </c>
      <c r="M3463" s="2" t="s">
        <v>34409</v>
      </c>
      <c r="N3463" s="3" t="s">
        <v>99</v>
      </c>
      <c r="P3463" s="3" t="s">
        <v>69</v>
      </c>
      <c r="R3463" s="3" t="s">
        <v>71</v>
      </c>
      <c r="S3463" s="4">
        <v>8</v>
      </c>
      <c r="T3463" s="4">
        <v>8</v>
      </c>
      <c r="U3463" s="5" t="s">
        <v>2891</v>
      </c>
      <c r="V3463" s="5" t="s">
        <v>2891</v>
      </c>
      <c r="W3463" s="5" t="s">
        <v>72</v>
      </c>
      <c r="X3463" s="5" t="s">
        <v>72</v>
      </c>
      <c r="Y3463" s="4">
        <v>609</v>
      </c>
      <c r="Z3463" s="4">
        <v>31</v>
      </c>
      <c r="AA3463" s="4">
        <v>36</v>
      </c>
      <c r="AB3463" s="4">
        <v>3</v>
      </c>
      <c r="AC3463" s="4">
        <v>3</v>
      </c>
      <c r="AD3463" s="4">
        <v>49</v>
      </c>
      <c r="AE3463" s="4">
        <v>50</v>
      </c>
      <c r="AF3463" s="4">
        <v>0</v>
      </c>
      <c r="AG3463" s="4">
        <v>0</v>
      </c>
      <c r="AH3463" s="4">
        <v>47</v>
      </c>
      <c r="AI3463" s="4">
        <v>48</v>
      </c>
      <c r="AJ3463" s="4">
        <v>4</v>
      </c>
      <c r="AK3463" s="4">
        <v>4</v>
      </c>
      <c r="AL3463" s="4">
        <v>32</v>
      </c>
      <c r="AM3463" s="4">
        <v>32</v>
      </c>
      <c r="AN3463" s="4">
        <v>0</v>
      </c>
      <c r="AO3463" s="4">
        <v>0</v>
      </c>
      <c r="AP3463" s="4">
        <v>4</v>
      </c>
      <c r="AQ3463" s="4">
        <v>4</v>
      </c>
      <c r="AR3463" s="3" t="s">
        <v>65</v>
      </c>
      <c r="AS3463" s="3" t="s">
        <v>65</v>
      </c>
      <c r="AT3463" s="3" t="s">
        <v>65</v>
      </c>
      <c r="AV3463" s="6" t="str">
        <f>HYPERLINK("http://mcgill.on.worldcat.org/oclc/70294723","Catalog Record")</f>
        <v>Catalog Record</v>
      </c>
      <c r="AW3463" s="6" t="str">
        <f>HYPERLINK("http://www.worldcat.org/oclc/70294723","WorldCat Record")</f>
        <v>WorldCat Record</v>
      </c>
      <c r="AX3463" s="3" t="s">
        <v>34410</v>
      </c>
      <c r="AY3463" s="3" t="s">
        <v>34411</v>
      </c>
      <c r="AZ3463" s="3" t="s">
        <v>34412</v>
      </c>
      <c r="BA3463" s="3" t="s">
        <v>34412</v>
      </c>
      <c r="BB3463" s="3" t="s">
        <v>34413</v>
      </c>
      <c r="BC3463" s="3" t="s">
        <v>77</v>
      </c>
      <c r="BD3463" s="3" t="s">
        <v>78</v>
      </c>
      <c r="BE3463" s="3" t="s">
        <v>34414</v>
      </c>
      <c r="BF3463" s="3" t="s">
        <v>34413</v>
      </c>
      <c r="BG3463" s="3" t="s">
        <v>34415</v>
      </c>
    </row>
    <row r="3464" spans="1:59" ht="72.5" x14ac:dyDescent="0.35">
      <c r="A3464" s="2" t="s">
        <v>59</v>
      </c>
      <c r="B3464" s="2" t="s">
        <v>60</v>
      </c>
      <c r="C3464" s="2" t="s">
        <v>34416</v>
      </c>
      <c r="D3464" s="2" t="s">
        <v>34417</v>
      </c>
      <c r="E3464" s="2" t="s">
        <v>34418</v>
      </c>
      <c r="G3464" s="3" t="s">
        <v>65</v>
      </c>
      <c r="I3464" s="3" t="s">
        <v>65</v>
      </c>
      <c r="J3464" s="3" t="s">
        <v>65</v>
      </c>
      <c r="K3464" s="3" t="s">
        <v>66</v>
      </c>
      <c r="L3464" s="2" t="s">
        <v>28115</v>
      </c>
      <c r="M3464" s="2" t="s">
        <v>34419</v>
      </c>
      <c r="N3464" s="3" t="s">
        <v>1196</v>
      </c>
      <c r="P3464" s="3" t="s">
        <v>69</v>
      </c>
      <c r="Q3464" s="2" t="s">
        <v>34420</v>
      </c>
      <c r="R3464" s="3" t="s">
        <v>71</v>
      </c>
      <c r="S3464" s="4">
        <v>8</v>
      </c>
      <c r="T3464" s="4">
        <v>8</v>
      </c>
      <c r="U3464" s="5" t="s">
        <v>3501</v>
      </c>
      <c r="V3464" s="5" t="s">
        <v>3501</v>
      </c>
      <c r="W3464" s="5" t="s">
        <v>72</v>
      </c>
      <c r="X3464" s="5" t="s">
        <v>72</v>
      </c>
      <c r="Y3464" s="4">
        <v>463</v>
      </c>
      <c r="Z3464" s="4">
        <v>23</v>
      </c>
      <c r="AA3464" s="4">
        <v>32</v>
      </c>
      <c r="AB3464" s="4">
        <v>3</v>
      </c>
      <c r="AC3464" s="4">
        <v>5</v>
      </c>
      <c r="AD3464" s="4">
        <v>37</v>
      </c>
      <c r="AE3464" s="4">
        <v>41</v>
      </c>
      <c r="AF3464" s="4">
        <v>0</v>
      </c>
      <c r="AG3464" s="4">
        <v>0</v>
      </c>
      <c r="AH3464" s="4">
        <v>36</v>
      </c>
      <c r="AI3464" s="4">
        <v>39</v>
      </c>
      <c r="AJ3464" s="4">
        <v>3</v>
      </c>
      <c r="AK3464" s="4">
        <v>3</v>
      </c>
      <c r="AL3464" s="4">
        <v>25</v>
      </c>
      <c r="AM3464" s="4">
        <v>28</v>
      </c>
      <c r="AN3464" s="4">
        <v>0</v>
      </c>
      <c r="AO3464" s="4">
        <v>0</v>
      </c>
      <c r="AP3464" s="4">
        <v>3</v>
      </c>
      <c r="AQ3464" s="4">
        <v>3</v>
      </c>
      <c r="AR3464" s="3" t="s">
        <v>65</v>
      </c>
      <c r="AS3464" s="3" t="s">
        <v>65</v>
      </c>
      <c r="AT3464" s="3" t="s">
        <v>209</v>
      </c>
      <c r="AU3464" s="6" t="str">
        <f>HYPERLINK("http://catalog.hathitrust.org/Record/008324246","HathiTrust Record")</f>
        <v>HathiTrust Record</v>
      </c>
      <c r="AV3464" s="6" t="str">
        <f>HYPERLINK("http://mcgill.on.worldcat.org/oclc/55644905","Catalog Record")</f>
        <v>Catalog Record</v>
      </c>
      <c r="AW3464" s="6" t="str">
        <f>HYPERLINK("http://www.worldcat.org/oclc/55644905","WorldCat Record")</f>
        <v>WorldCat Record</v>
      </c>
      <c r="AX3464" s="3" t="s">
        <v>34421</v>
      </c>
      <c r="AY3464" s="3" t="s">
        <v>34422</v>
      </c>
      <c r="AZ3464" s="3" t="s">
        <v>34423</v>
      </c>
      <c r="BA3464" s="3" t="s">
        <v>34423</v>
      </c>
      <c r="BB3464" s="3" t="s">
        <v>34424</v>
      </c>
      <c r="BC3464" s="3" t="s">
        <v>77</v>
      </c>
      <c r="BD3464" s="3" t="s">
        <v>78</v>
      </c>
      <c r="BE3464" s="3" t="s">
        <v>34425</v>
      </c>
      <c r="BF3464" s="3" t="s">
        <v>34424</v>
      </c>
      <c r="BG3464" s="3" t="s">
        <v>34426</v>
      </c>
    </row>
    <row r="3465" spans="1:59" ht="72.5" x14ac:dyDescent="0.35">
      <c r="A3465" s="2" t="s">
        <v>59</v>
      </c>
      <c r="B3465" s="2" t="s">
        <v>60</v>
      </c>
      <c r="C3465" s="2" t="s">
        <v>34427</v>
      </c>
      <c r="D3465" s="2" t="s">
        <v>34428</v>
      </c>
      <c r="E3465" s="2" t="s">
        <v>34429</v>
      </c>
      <c r="G3465" s="3" t="s">
        <v>65</v>
      </c>
      <c r="I3465" s="3" t="s">
        <v>65</v>
      </c>
      <c r="J3465" s="3" t="s">
        <v>65</v>
      </c>
      <c r="K3465" s="3" t="s">
        <v>66</v>
      </c>
      <c r="L3465" s="2" t="s">
        <v>28115</v>
      </c>
      <c r="M3465" s="2" t="s">
        <v>27358</v>
      </c>
      <c r="N3465" s="3" t="s">
        <v>126</v>
      </c>
      <c r="P3465" s="3" t="s">
        <v>140</v>
      </c>
      <c r="Q3465" s="2" t="s">
        <v>34430</v>
      </c>
      <c r="R3465" s="3" t="s">
        <v>71</v>
      </c>
      <c r="S3465" s="4">
        <v>1</v>
      </c>
      <c r="T3465" s="4">
        <v>1</v>
      </c>
      <c r="U3465" s="5" t="s">
        <v>17522</v>
      </c>
      <c r="V3465" s="5" t="s">
        <v>17522</v>
      </c>
      <c r="W3465" s="5" t="s">
        <v>72</v>
      </c>
      <c r="X3465" s="5" t="s">
        <v>72</v>
      </c>
      <c r="Y3465" s="4">
        <v>69</v>
      </c>
      <c r="Z3465" s="4">
        <v>7</v>
      </c>
      <c r="AA3465" s="4">
        <v>9</v>
      </c>
      <c r="AB3465" s="4">
        <v>2</v>
      </c>
      <c r="AC3465" s="4">
        <v>4</v>
      </c>
      <c r="AD3465" s="4">
        <v>44</v>
      </c>
      <c r="AE3465" s="4">
        <v>45</v>
      </c>
      <c r="AF3465" s="4">
        <v>0</v>
      </c>
      <c r="AG3465" s="4">
        <v>1</v>
      </c>
      <c r="AH3465" s="4">
        <v>43</v>
      </c>
      <c r="AI3465" s="4">
        <v>43</v>
      </c>
      <c r="AJ3465" s="4">
        <v>3</v>
      </c>
      <c r="AK3465" s="4">
        <v>4</v>
      </c>
      <c r="AL3465" s="4">
        <v>34</v>
      </c>
      <c r="AM3465" s="4">
        <v>34</v>
      </c>
      <c r="AN3465" s="4">
        <v>0</v>
      </c>
      <c r="AO3465" s="4">
        <v>0</v>
      </c>
      <c r="AP3465" s="4">
        <v>3</v>
      </c>
      <c r="AQ3465" s="4">
        <v>3</v>
      </c>
      <c r="AR3465" s="3" t="s">
        <v>65</v>
      </c>
      <c r="AS3465" s="3" t="s">
        <v>65</v>
      </c>
      <c r="AT3465" s="3" t="s">
        <v>65</v>
      </c>
      <c r="AV3465" s="6" t="str">
        <f>HYPERLINK("http://mcgill.on.worldcat.org/oclc/719413274","Catalog Record")</f>
        <v>Catalog Record</v>
      </c>
      <c r="AW3465" s="6" t="str">
        <f>HYPERLINK("http://www.worldcat.org/oclc/719413274","WorldCat Record")</f>
        <v>WorldCat Record</v>
      </c>
      <c r="AX3465" s="3" t="s">
        <v>34431</v>
      </c>
      <c r="AY3465" s="3" t="s">
        <v>34432</v>
      </c>
      <c r="AZ3465" s="3" t="s">
        <v>34433</v>
      </c>
      <c r="BA3465" s="3" t="s">
        <v>34433</v>
      </c>
      <c r="BB3465" s="3" t="s">
        <v>34434</v>
      </c>
      <c r="BC3465" s="3" t="s">
        <v>77</v>
      </c>
      <c r="BD3465" s="3" t="s">
        <v>78</v>
      </c>
      <c r="BE3465" s="3" t="s">
        <v>34435</v>
      </c>
      <c r="BF3465" s="3" t="s">
        <v>34434</v>
      </c>
      <c r="BG3465" s="3" t="s">
        <v>34436</v>
      </c>
    </row>
    <row r="3466" spans="1:59" ht="58" x14ac:dyDescent="0.35">
      <c r="A3466" s="2" t="s">
        <v>59</v>
      </c>
      <c r="B3466" s="2" t="s">
        <v>60</v>
      </c>
      <c r="C3466" s="2" t="s">
        <v>34437</v>
      </c>
      <c r="D3466" s="2" t="s">
        <v>34438</v>
      </c>
      <c r="E3466" s="2" t="s">
        <v>34439</v>
      </c>
      <c r="G3466" s="3" t="s">
        <v>65</v>
      </c>
      <c r="I3466" s="3" t="s">
        <v>65</v>
      </c>
      <c r="J3466" s="3" t="s">
        <v>65</v>
      </c>
      <c r="K3466" s="3" t="s">
        <v>66</v>
      </c>
      <c r="L3466" s="2" t="s">
        <v>28115</v>
      </c>
      <c r="M3466" s="2" t="s">
        <v>34440</v>
      </c>
      <c r="N3466" s="3" t="s">
        <v>113</v>
      </c>
      <c r="O3466" s="2" t="s">
        <v>365</v>
      </c>
      <c r="P3466" s="3" t="s">
        <v>140</v>
      </c>
      <c r="Q3466" s="2" t="s">
        <v>34441</v>
      </c>
      <c r="R3466" s="3" t="s">
        <v>71</v>
      </c>
      <c r="S3466" s="4">
        <v>1</v>
      </c>
      <c r="T3466" s="4">
        <v>1</v>
      </c>
      <c r="U3466" s="5" t="s">
        <v>34442</v>
      </c>
      <c r="V3466" s="5" t="s">
        <v>34442</v>
      </c>
      <c r="W3466" s="5" t="s">
        <v>72</v>
      </c>
      <c r="X3466" s="5" t="s">
        <v>72</v>
      </c>
      <c r="Y3466" s="4">
        <v>72</v>
      </c>
      <c r="Z3466" s="4">
        <v>7</v>
      </c>
      <c r="AA3466" s="4">
        <v>9</v>
      </c>
      <c r="AB3466" s="4">
        <v>1</v>
      </c>
      <c r="AC3466" s="4">
        <v>2</v>
      </c>
      <c r="AD3466" s="4">
        <v>45</v>
      </c>
      <c r="AE3466" s="4">
        <v>46</v>
      </c>
      <c r="AF3466" s="4">
        <v>0</v>
      </c>
      <c r="AG3466" s="4">
        <v>1</v>
      </c>
      <c r="AH3466" s="4">
        <v>44</v>
      </c>
      <c r="AI3466" s="4">
        <v>44</v>
      </c>
      <c r="AJ3466" s="4">
        <v>2</v>
      </c>
      <c r="AK3466" s="4">
        <v>3</v>
      </c>
      <c r="AL3466" s="4">
        <v>34</v>
      </c>
      <c r="AM3466" s="4">
        <v>34</v>
      </c>
      <c r="AN3466" s="4">
        <v>0</v>
      </c>
      <c r="AO3466" s="4">
        <v>0</v>
      </c>
      <c r="AP3466" s="4">
        <v>2</v>
      </c>
      <c r="AQ3466" s="4">
        <v>2</v>
      </c>
      <c r="AR3466" s="3" t="s">
        <v>65</v>
      </c>
      <c r="AS3466" s="3" t="s">
        <v>65</v>
      </c>
      <c r="AT3466" s="3" t="s">
        <v>65</v>
      </c>
      <c r="AV3466" s="6" t="str">
        <f>HYPERLINK("http://mcgill.on.worldcat.org/oclc/667883146","Catalog Record")</f>
        <v>Catalog Record</v>
      </c>
      <c r="AW3466" s="6" t="str">
        <f>HYPERLINK("http://www.worldcat.org/oclc/667883146","WorldCat Record")</f>
        <v>WorldCat Record</v>
      </c>
      <c r="AX3466" s="3" t="s">
        <v>34443</v>
      </c>
      <c r="AY3466" s="3" t="s">
        <v>34444</v>
      </c>
      <c r="AZ3466" s="3" t="s">
        <v>34445</v>
      </c>
      <c r="BA3466" s="3" t="s">
        <v>34445</v>
      </c>
      <c r="BB3466" s="3" t="s">
        <v>34446</v>
      </c>
      <c r="BC3466" s="3" t="s">
        <v>77</v>
      </c>
      <c r="BD3466" s="3" t="s">
        <v>78</v>
      </c>
      <c r="BE3466" s="3" t="s">
        <v>34447</v>
      </c>
      <c r="BF3466" s="3" t="s">
        <v>34446</v>
      </c>
      <c r="BG3466" s="3" t="s">
        <v>34448</v>
      </c>
    </row>
    <row r="3467" spans="1:59" ht="72.5" x14ac:dyDescent="0.35">
      <c r="A3467" s="2" t="s">
        <v>59</v>
      </c>
      <c r="B3467" s="2" t="s">
        <v>60</v>
      </c>
      <c r="C3467" s="2" t="s">
        <v>34449</v>
      </c>
      <c r="D3467" s="2" t="s">
        <v>34450</v>
      </c>
      <c r="E3467" s="2" t="s">
        <v>34451</v>
      </c>
      <c r="G3467" s="3" t="s">
        <v>65</v>
      </c>
      <c r="I3467" s="3" t="s">
        <v>65</v>
      </c>
      <c r="J3467" s="3" t="s">
        <v>65</v>
      </c>
      <c r="K3467" s="3" t="s">
        <v>66</v>
      </c>
      <c r="L3467" s="2" t="s">
        <v>28115</v>
      </c>
      <c r="M3467" s="2" t="s">
        <v>34452</v>
      </c>
      <c r="N3467" s="3" t="s">
        <v>1196</v>
      </c>
      <c r="P3467" s="3" t="s">
        <v>69</v>
      </c>
      <c r="Q3467" s="2" t="s">
        <v>34453</v>
      </c>
      <c r="R3467" s="3" t="s">
        <v>71</v>
      </c>
      <c r="S3467" s="4">
        <v>14</v>
      </c>
      <c r="T3467" s="4">
        <v>14</v>
      </c>
      <c r="U3467" s="5" t="s">
        <v>34454</v>
      </c>
      <c r="V3467" s="5" t="s">
        <v>34454</v>
      </c>
      <c r="W3467" s="5" t="s">
        <v>72</v>
      </c>
      <c r="X3467" s="5" t="s">
        <v>72</v>
      </c>
      <c r="Y3467" s="4">
        <v>144</v>
      </c>
      <c r="Z3467" s="4">
        <v>6</v>
      </c>
      <c r="AA3467" s="4">
        <v>33</v>
      </c>
      <c r="AB3467" s="4">
        <v>1</v>
      </c>
      <c r="AC3467" s="4">
        <v>5</v>
      </c>
      <c r="AD3467" s="4">
        <v>10</v>
      </c>
      <c r="AE3467" s="4">
        <v>55</v>
      </c>
      <c r="AF3467" s="4">
        <v>0</v>
      </c>
      <c r="AG3467" s="4">
        <v>0</v>
      </c>
      <c r="AH3467" s="4">
        <v>10</v>
      </c>
      <c r="AI3467" s="4">
        <v>53</v>
      </c>
      <c r="AJ3467" s="4">
        <v>1</v>
      </c>
      <c r="AK3467" s="4">
        <v>2</v>
      </c>
      <c r="AL3467" s="4">
        <v>5</v>
      </c>
      <c r="AM3467" s="4">
        <v>41</v>
      </c>
      <c r="AN3467" s="4">
        <v>0</v>
      </c>
      <c r="AO3467" s="4">
        <v>0</v>
      </c>
      <c r="AP3467" s="4">
        <v>1</v>
      </c>
      <c r="AQ3467" s="4">
        <v>2</v>
      </c>
      <c r="AR3467" s="3" t="s">
        <v>65</v>
      </c>
      <c r="AS3467" s="3" t="s">
        <v>65</v>
      </c>
      <c r="AT3467" s="3" t="s">
        <v>65</v>
      </c>
      <c r="AV3467" s="6" t="str">
        <f>HYPERLINK("http://mcgill.on.worldcat.org/oclc/65469394","Catalog Record")</f>
        <v>Catalog Record</v>
      </c>
      <c r="AW3467" s="6" t="str">
        <f>HYPERLINK("http://www.worldcat.org/oclc/65469394","WorldCat Record")</f>
        <v>WorldCat Record</v>
      </c>
      <c r="AX3467" s="3" t="s">
        <v>34455</v>
      </c>
      <c r="AY3467" s="3" t="s">
        <v>34456</v>
      </c>
      <c r="AZ3467" s="3" t="s">
        <v>34457</v>
      </c>
      <c r="BA3467" s="3" t="s">
        <v>34457</v>
      </c>
      <c r="BB3467" s="3" t="s">
        <v>34458</v>
      </c>
      <c r="BC3467" s="3" t="s">
        <v>77</v>
      </c>
      <c r="BD3467" s="3" t="s">
        <v>78</v>
      </c>
      <c r="BE3467" s="3" t="s">
        <v>34459</v>
      </c>
      <c r="BF3467" s="3" t="s">
        <v>34458</v>
      </c>
      <c r="BG3467" s="3" t="s">
        <v>34460</v>
      </c>
    </row>
    <row r="3468" spans="1:59" ht="72.5" x14ac:dyDescent="0.35">
      <c r="A3468" s="2" t="s">
        <v>59</v>
      </c>
      <c r="B3468" s="2" t="s">
        <v>60</v>
      </c>
      <c r="C3468" s="2" t="s">
        <v>34461</v>
      </c>
      <c r="D3468" s="2" t="s">
        <v>34462</v>
      </c>
      <c r="E3468" s="2" t="s">
        <v>34463</v>
      </c>
      <c r="G3468" s="3" t="s">
        <v>65</v>
      </c>
      <c r="I3468" s="3" t="s">
        <v>65</v>
      </c>
      <c r="J3468" s="3" t="s">
        <v>65</v>
      </c>
      <c r="K3468" s="3" t="s">
        <v>66</v>
      </c>
      <c r="L3468" s="2" t="s">
        <v>28115</v>
      </c>
      <c r="M3468" s="2" t="s">
        <v>34464</v>
      </c>
      <c r="N3468" s="3" t="s">
        <v>139</v>
      </c>
      <c r="P3468" s="3" t="s">
        <v>140</v>
      </c>
      <c r="Q3468" s="2" t="s">
        <v>34465</v>
      </c>
      <c r="R3468" s="3" t="s">
        <v>71</v>
      </c>
      <c r="S3468" s="4">
        <v>0</v>
      </c>
      <c r="T3468" s="4">
        <v>0</v>
      </c>
      <c r="W3468" s="5" t="s">
        <v>72</v>
      </c>
      <c r="X3468" s="5" t="s">
        <v>72</v>
      </c>
      <c r="Y3468" s="4">
        <v>24</v>
      </c>
      <c r="Z3468" s="4">
        <v>2</v>
      </c>
      <c r="AA3468" s="4">
        <v>12</v>
      </c>
      <c r="AB3468" s="4">
        <v>2</v>
      </c>
      <c r="AC3468" s="4">
        <v>5</v>
      </c>
      <c r="AD3468" s="4">
        <v>5</v>
      </c>
      <c r="AE3468" s="4">
        <v>43</v>
      </c>
      <c r="AF3468" s="4">
        <v>0</v>
      </c>
      <c r="AG3468" s="4">
        <v>1</v>
      </c>
      <c r="AH3468" s="4">
        <v>5</v>
      </c>
      <c r="AI3468" s="4">
        <v>40</v>
      </c>
      <c r="AJ3468" s="4">
        <v>0</v>
      </c>
      <c r="AK3468" s="4">
        <v>4</v>
      </c>
      <c r="AL3468" s="4">
        <v>5</v>
      </c>
      <c r="AM3468" s="4">
        <v>32</v>
      </c>
      <c r="AN3468" s="4">
        <v>0</v>
      </c>
      <c r="AO3468" s="4">
        <v>0</v>
      </c>
      <c r="AP3468" s="4">
        <v>0</v>
      </c>
      <c r="AQ3468" s="4">
        <v>3</v>
      </c>
      <c r="AR3468" s="3" t="s">
        <v>65</v>
      </c>
      <c r="AS3468" s="3" t="s">
        <v>65</v>
      </c>
      <c r="AT3468" s="3" t="s">
        <v>65</v>
      </c>
      <c r="AV3468" s="6" t="str">
        <f>HYPERLINK("http://mcgill.on.worldcat.org/oclc/795622875","Catalog Record")</f>
        <v>Catalog Record</v>
      </c>
      <c r="AW3468" s="6" t="str">
        <f>HYPERLINK("http://www.worldcat.org/oclc/795622875","WorldCat Record")</f>
        <v>WorldCat Record</v>
      </c>
      <c r="AX3468" s="3" t="s">
        <v>34466</v>
      </c>
      <c r="AY3468" s="3" t="s">
        <v>34467</v>
      </c>
      <c r="AZ3468" s="3" t="s">
        <v>34468</v>
      </c>
      <c r="BA3468" s="3" t="s">
        <v>34468</v>
      </c>
      <c r="BB3468" s="3" t="s">
        <v>34469</v>
      </c>
      <c r="BC3468" s="3" t="s">
        <v>77</v>
      </c>
      <c r="BD3468" s="3" t="s">
        <v>78</v>
      </c>
      <c r="BE3468" s="3" t="s">
        <v>34470</v>
      </c>
      <c r="BF3468" s="3" t="s">
        <v>34469</v>
      </c>
      <c r="BG3468" s="3" t="s">
        <v>34471</v>
      </c>
    </row>
    <row r="3469" spans="1:59" ht="72.5" x14ac:dyDescent="0.35">
      <c r="A3469" s="2" t="s">
        <v>59</v>
      </c>
      <c r="B3469" s="2" t="s">
        <v>60</v>
      </c>
      <c r="C3469" s="2" t="s">
        <v>34472</v>
      </c>
      <c r="D3469" s="2" t="s">
        <v>34473</v>
      </c>
      <c r="E3469" s="2" t="s">
        <v>34474</v>
      </c>
      <c r="G3469" s="3" t="s">
        <v>65</v>
      </c>
      <c r="I3469" s="3" t="s">
        <v>65</v>
      </c>
      <c r="J3469" s="3" t="s">
        <v>65</v>
      </c>
      <c r="K3469" s="3" t="s">
        <v>66</v>
      </c>
      <c r="L3469" s="2" t="s">
        <v>34175</v>
      </c>
      <c r="M3469" s="2" t="s">
        <v>34475</v>
      </c>
      <c r="N3469" s="3" t="s">
        <v>176</v>
      </c>
      <c r="P3469" s="3" t="s">
        <v>69</v>
      </c>
      <c r="Q3469" s="2" t="s">
        <v>34177</v>
      </c>
      <c r="R3469" s="3" t="s">
        <v>71</v>
      </c>
      <c r="S3469" s="4">
        <v>1</v>
      </c>
      <c r="T3469" s="4">
        <v>1</v>
      </c>
      <c r="U3469" s="5" t="s">
        <v>34476</v>
      </c>
      <c r="V3469" s="5" t="s">
        <v>34476</v>
      </c>
      <c r="W3469" s="5" t="s">
        <v>72</v>
      </c>
      <c r="X3469" s="5" t="s">
        <v>72</v>
      </c>
      <c r="Y3469" s="4">
        <v>525</v>
      </c>
      <c r="Z3469" s="4">
        <v>23</v>
      </c>
      <c r="AA3469" s="4">
        <v>28</v>
      </c>
      <c r="AB3469" s="4">
        <v>2</v>
      </c>
      <c r="AC3469" s="4">
        <v>4</v>
      </c>
      <c r="AD3469" s="4">
        <v>17</v>
      </c>
      <c r="AE3469" s="4">
        <v>17</v>
      </c>
      <c r="AF3469" s="4">
        <v>0</v>
      </c>
      <c r="AG3469" s="4">
        <v>0</v>
      </c>
      <c r="AH3469" s="4">
        <v>16</v>
      </c>
      <c r="AI3469" s="4">
        <v>16</v>
      </c>
      <c r="AJ3469" s="4">
        <v>2</v>
      </c>
      <c r="AK3469" s="4">
        <v>2</v>
      </c>
      <c r="AL3469" s="4">
        <v>9</v>
      </c>
      <c r="AM3469" s="4">
        <v>9</v>
      </c>
      <c r="AN3469" s="4">
        <v>0</v>
      </c>
      <c r="AO3469" s="4">
        <v>0</v>
      </c>
      <c r="AP3469" s="4">
        <v>2</v>
      </c>
      <c r="AQ3469" s="4">
        <v>2</v>
      </c>
      <c r="AR3469" s="3" t="s">
        <v>65</v>
      </c>
      <c r="AS3469" s="3" t="s">
        <v>65</v>
      </c>
      <c r="AT3469" s="3" t="s">
        <v>65</v>
      </c>
      <c r="AV3469" s="6" t="str">
        <f>HYPERLINK("http://mcgill.on.worldcat.org/oclc/900623552","Catalog Record")</f>
        <v>Catalog Record</v>
      </c>
      <c r="AW3469" s="6" t="str">
        <f>HYPERLINK("http://www.worldcat.org/oclc/900623552","WorldCat Record")</f>
        <v>WorldCat Record</v>
      </c>
      <c r="AX3469" s="3" t="s">
        <v>34477</v>
      </c>
      <c r="AY3469" s="3" t="s">
        <v>34478</v>
      </c>
      <c r="AZ3469" s="3" t="s">
        <v>34479</v>
      </c>
      <c r="BA3469" s="3" t="s">
        <v>34479</v>
      </c>
      <c r="BB3469" s="3" t="s">
        <v>34480</v>
      </c>
      <c r="BC3469" s="3" t="s">
        <v>77</v>
      </c>
      <c r="BD3469" s="3" t="s">
        <v>78</v>
      </c>
      <c r="BE3469" s="3" t="s">
        <v>34481</v>
      </c>
      <c r="BF3469" s="3" t="s">
        <v>34480</v>
      </c>
      <c r="BG3469" s="3" t="s">
        <v>34482</v>
      </c>
    </row>
    <row r="3470" spans="1:59" ht="72.5" x14ac:dyDescent="0.35">
      <c r="A3470" s="2" t="s">
        <v>59</v>
      </c>
      <c r="B3470" s="2" t="s">
        <v>60</v>
      </c>
      <c r="C3470" s="2" t="s">
        <v>34483</v>
      </c>
      <c r="D3470" s="2" t="s">
        <v>34484</v>
      </c>
      <c r="E3470" s="2" t="s">
        <v>34485</v>
      </c>
      <c r="G3470" s="3" t="s">
        <v>65</v>
      </c>
      <c r="I3470" s="3" t="s">
        <v>65</v>
      </c>
      <c r="J3470" s="3" t="s">
        <v>65</v>
      </c>
      <c r="K3470" s="3" t="s">
        <v>66</v>
      </c>
      <c r="L3470" s="2" t="s">
        <v>28115</v>
      </c>
      <c r="M3470" s="2" t="s">
        <v>34486</v>
      </c>
      <c r="N3470" s="3" t="s">
        <v>479</v>
      </c>
      <c r="P3470" s="3" t="s">
        <v>69</v>
      </c>
      <c r="R3470" s="3" t="s">
        <v>71</v>
      </c>
      <c r="S3470" s="4">
        <v>11</v>
      </c>
      <c r="T3470" s="4">
        <v>11</v>
      </c>
      <c r="U3470" s="5" t="s">
        <v>6399</v>
      </c>
      <c r="V3470" s="5" t="s">
        <v>6399</v>
      </c>
      <c r="W3470" s="5" t="s">
        <v>72</v>
      </c>
      <c r="X3470" s="5" t="s">
        <v>72</v>
      </c>
      <c r="Y3470" s="4">
        <v>454</v>
      </c>
      <c r="Z3470" s="4">
        <v>10</v>
      </c>
      <c r="AA3470" s="4">
        <v>39</v>
      </c>
      <c r="AB3470" s="4">
        <v>3</v>
      </c>
      <c r="AC3470" s="4">
        <v>4</v>
      </c>
      <c r="AD3470" s="4">
        <v>30</v>
      </c>
      <c r="AE3470" s="4">
        <v>54</v>
      </c>
      <c r="AF3470" s="4">
        <v>0</v>
      </c>
      <c r="AG3470" s="4">
        <v>0</v>
      </c>
      <c r="AH3470" s="4">
        <v>29</v>
      </c>
      <c r="AI3470" s="4">
        <v>49</v>
      </c>
      <c r="AJ3470" s="4">
        <v>1</v>
      </c>
      <c r="AK3470" s="4">
        <v>7</v>
      </c>
      <c r="AL3470" s="4">
        <v>20</v>
      </c>
      <c r="AM3470" s="4">
        <v>30</v>
      </c>
      <c r="AN3470" s="4">
        <v>0</v>
      </c>
      <c r="AO3470" s="4">
        <v>0</v>
      </c>
      <c r="AP3470" s="4">
        <v>1</v>
      </c>
      <c r="AQ3470" s="4">
        <v>8</v>
      </c>
      <c r="AR3470" s="3" t="s">
        <v>65</v>
      </c>
      <c r="AS3470" s="3" t="s">
        <v>65</v>
      </c>
      <c r="AT3470" s="3" t="s">
        <v>65</v>
      </c>
      <c r="AV3470" s="6" t="str">
        <f>HYPERLINK("http://mcgill.on.worldcat.org/oclc/166382351","Catalog Record")</f>
        <v>Catalog Record</v>
      </c>
      <c r="AW3470" s="6" t="str">
        <f>HYPERLINK("http://www.worldcat.org/oclc/166382351","WorldCat Record")</f>
        <v>WorldCat Record</v>
      </c>
      <c r="AX3470" s="3" t="s">
        <v>34487</v>
      </c>
      <c r="AY3470" s="3" t="s">
        <v>34488</v>
      </c>
      <c r="AZ3470" s="3" t="s">
        <v>34489</v>
      </c>
      <c r="BA3470" s="3" t="s">
        <v>34489</v>
      </c>
      <c r="BB3470" s="3" t="s">
        <v>34490</v>
      </c>
      <c r="BC3470" s="3" t="s">
        <v>77</v>
      </c>
      <c r="BD3470" s="3" t="s">
        <v>78</v>
      </c>
      <c r="BE3470" s="3" t="s">
        <v>34491</v>
      </c>
      <c r="BF3470" s="3" t="s">
        <v>34490</v>
      </c>
      <c r="BG3470" s="3" t="s">
        <v>34492</v>
      </c>
    </row>
    <row r="3471" spans="1:59" ht="72.5" x14ac:dyDescent="0.35">
      <c r="A3471" s="2" t="s">
        <v>59</v>
      </c>
      <c r="B3471" s="2" t="s">
        <v>60</v>
      </c>
      <c r="C3471" s="2" t="s">
        <v>34493</v>
      </c>
      <c r="D3471" s="2" t="s">
        <v>34494</v>
      </c>
      <c r="E3471" s="2" t="s">
        <v>34495</v>
      </c>
      <c r="G3471" s="3" t="s">
        <v>65</v>
      </c>
      <c r="I3471" s="3" t="s">
        <v>65</v>
      </c>
      <c r="J3471" s="3" t="s">
        <v>65</v>
      </c>
      <c r="K3471" s="3" t="s">
        <v>66</v>
      </c>
      <c r="L3471" s="2" t="s">
        <v>28115</v>
      </c>
      <c r="M3471" s="2" t="s">
        <v>34496</v>
      </c>
      <c r="N3471" s="3" t="s">
        <v>113</v>
      </c>
      <c r="P3471" s="3" t="s">
        <v>140</v>
      </c>
      <c r="Q3471" s="2" t="s">
        <v>34326</v>
      </c>
      <c r="R3471" s="3" t="s">
        <v>71</v>
      </c>
      <c r="S3471" s="4">
        <v>0</v>
      </c>
      <c r="T3471" s="4">
        <v>0</v>
      </c>
      <c r="W3471" s="5" t="s">
        <v>72</v>
      </c>
      <c r="X3471" s="5" t="s">
        <v>72</v>
      </c>
      <c r="Y3471" s="4">
        <v>61</v>
      </c>
      <c r="Z3471" s="4">
        <v>4</v>
      </c>
      <c r="AA3471" s="4">
        <v>6</v>
      </c>
      <c r="AB3471" s="4">
        <v>1</v>
      </c>
      <c r="AC3471" s="4">
        <v>3</v>
      </c>
      <c r="AD3471" s="4">
        <v>37</v>
      </c>
      <c r="AE3471" s="4">
        <v>38</v>
      </c>
      <c r="AF3471" s="4">
        <v>0</v>
      </c>
      <c r="AG3471" s="4">
        <v>1</v>
      </c>
      <c r="AH3471" s="4">
        <v>36</v>
      </c>
      <c r="AI3471" s="4">
        <v>36</v>
      </c>
      <c r="AJ3471" s="4">
        <v>2</v>
      </c>
      <c r="AK3471" s="4">
        <v>3</v>
      </c>
      <c r="AL3471" s="4">
        <v>27</v>
      </c>
      <c r="AM3471" s="4">
        <v>27</v>
      </c>
      <c r="AN3471" s="4">
        <v>0</v>
      </c>
      <c r="AO3471" s="4">
        <v>0</v>
      </c>
      <c r="AP3471" s="4">
        <v>2</v>
      </c>
      <c r="AQ3471" s="4">
        <v>2</v>
      </c>
      <c r="AR3471" s="3" t="s">
        <v>65</v>
      </c>
      <c r="AS3471" s="3" t="s">
        <v>65</v>
      </c>
      <c r="AT3471" s="3" t="s">
        <v>65</v>
      </c>
      <c r="AV3471" s="6" t="str">
        <f>HYPERLINK("http://mcgill.on.worldcat.org/oclc/701795880","Catalog Record")</f>
        <v>Catalog Record</v>
      </c>
      <c r="AW3471" s="6" t="str">
        <f>HYPERLINK("http://www.worldcat.org/oclc/701795880","WorldCat Record")</f>
        <v>WorldCat Record</v>
      </c>
      <c r="AX3471" s="3" t="s">
        <v>34497</v>
      </c>
      <c r="AY3471" s="3" t="s">
        <v>34498</v>
      </c>
      <c r="AZ3471" s="3" t="s">
        <v>34499</v>
      </c>
      <c r="BA3471" s="3" t="s">
        <v>34499</v>
      </c>
      <c r="BB3471" s="3" t="s">
        <v>34500</v>
      </c>
      <c r="BC3471" s="3" t="s">
        <v>77</v>
      </c>
      <c r="BD3471" s="3" t="s">
        <v>78</v>
      </c>
      <c r="BE3471" s="3" t="s">
        <v>34501</v>
      </c>
      <c r="BF3471" s="3" t="s">
        <v>34500</v>
      </c>
      <c r="BG3471" s="3" t="s">
        <v>34502</v>
      </c>
    </row>
    <row r="3472" spans="1:59" ht="72.5" x14ac:dyDescent="0.35">
      <c r="A3472" s="2" t="s">
        <v>59</v>
      </c>
      <c r="B3472" s="2" t="s">
        <v>60</v>
      </c>
      <c r="C3472" s="2" t="s">
        <v>34503</v>
      </c>
      <c r="D3472" s="2" t="s">
        <v>34504</v>
      </c>
      <c r="E3472" s="2" t="s">
        <v>34505</v>
      </c>
      <c r="G3472" s="3" t="s">
        <v>65</v>
      </c>
      <c r="I3472" s="3" t="s">
        <v>65</v>
      </c>
      <c r="J3472" s="3" t="s">
        <v>65</v>
      </c>
      <c r="K3472" s="3" t="s">
        <v>66</v>
      </c>
      <c r="L3472" s="2" t="s">
        <v>28115</v>
      </c>
      <c r="M3472" s="2" t="s">
        <v>34248</v>
      </c>
      <c r="N3472" s="3" t="s">
        <v>113</v>
      </c>
      <c r="P3472" s="3" t="s">
        <v>140</v>
      </c>
      <c r="Q3472" s="2" t="s">
        <v>34506</v>
      </c>
      <c r="R3472" s="3" t="s">
        <v>71</v>
      </c>
      <c r="S3472" s="4">
        <v>0</v>
      </c>
      <c r="T3472" s="4">
        <v>0</v>
      </c>
      <c r="W3472" s="5" t="s">
        <v>72</v>
      </c>
      <c r="X3472" s="5" t="s">
        <v>72</v>
      </c>
      <c r="Y3472" s="4">
        <v>74</v>
      </c>
      <c r="Z3472" s="4">
        <v>6</v>
      </c>
      <c r="AA3472" s="4">
        <v>7</v>
      </c>
      <c r="AB3472" s="4">
        <v>1</v>
      </c>
      <c r="AC3472" s="4">
        <v>2</v>
      </c>
      <c r="AD3472" s="4">
        <v>39</v>
      </c>
      <c r="AE3472" s="4">
        <v>40</v>
      </c>
      <c r="AF3472" s="4">
        <v>0</v>
      </c>
      <c r="AG3472" s="4">
        <v>1</v>
      </c>
      <c r="AH3472" s="4">
        <v>38</v>
      </c>
      <c r="AI3472" s="4">
        <v>38</v>
      </c>
      <c r="AJ3472" s="4">
        <v>3</v>
      </c>
      <c r="AK3472" s="4">
        <v>4</v>
      </c>
      <c r="AL3472" s="4">
        <v>29</v>
      </c>
      <c r="AM3472" s="4">
        <v>29</v>
      </c>
      <c r="AN3472" s="4">
        <v>0</v>
      </c>
      <c r="AO3472" s="4">
        <v>0</v>
      </c>
      <c r="AP3472" s="4">
        <v>3</v>
      </c>
      <c r="AQ3472" s="4">
        <v>3</v>
      </c>
      <c r="AR3472" s="3" t="s">
        <v>65</v>
      </c>
      <c r="AS3472" s="3" t="s">
        <v>65</v>
      </c>
      <c r="AT3472" s="3" t="s">
        <v>65</v>
      </c>
      <c r="AV3472" s="6" t="str">
        <f>HYPERLINK("http://mcgill.on.worldcat.org/oclc/609529521","Catalog Record")</f>
        <v>Catalog Record</v>
      </c>
      <c r="AW3472" s="6" t="str">
        <f>HYPERLINK("http://www.worldcat.org/oclc/609529521","WorldCat Record")</f>
        <v>WorldCat Record</v>
      </c>
      <c r="AX3472" s="3" t="s">
        <v>34507</v>
      </c>
      <c r="AY3472" s="3" t="s">
        <v>34508</v>
      </c>
      <c r="AZ3472" s="3" t="s">
        <v>34509</v>
      </c>
      <c r="BA3472" s="3" t="s">
        <v>34509</v>
      </c>
      <c r="BB3472" s="3" t="s">
        <v>34510</v>
      </c>
      <c r="BC3472" s="3" t="s">
        <v>77</v>
      </c>
      <c r="BD3472" s="3" t="s">
        <v>78</v>
      </c>
      <c r="BE3472" s="3" t="s">
        <v>34511</v>
      </c>
      <c r="BF3472" s="3" t="s">
        <v>34510</v>
      </c>
      <c r="BG3472" s="3" t="s">
        <v>34512</v>
      </c>
    </row>
    <row r="3473" spans="1:59" ht="72.5" x14ac:dyDescent="0.35">
      <c r="A3473" s="2" t="s">
        <v>59</v>
      </c>
      <c r="B3473" s="2" t="s">
        <v>60</v>
      </c>
      <c r="C3473" s="2" t="s">
        <v>34513</v>
      </c>
      <c r="D3473" s="2" t="s">
        <v>34514</v>
      </c>
      <c r="E3473" s="2" t="s">
        <v>34515</v>
      </c>
      <c r="G3473" s="3" t="s">
        <v>65</v>
      </c>
      <c r="I3473" s="3" t="s">
        <v>65</v>
      </c>
      <c r="J3473" s="3" t="s">
        <v>65</v>
      </c>
      <c r="K3473" s="3" t="s">
        <v>66</v>
      </c>
      <c r="L3473" s="2" t="s">
        <v>34175</v>
      </c>
      <c r="M3473" s="2" t="s">
        <v>34516</v>
      </c>
      <c r="N3473" s="3" t="s">
        <v>68</v>
      </c>
      <c r="O3473" s="2" t="s">
        <v>379</v>
      </c>
      <c r="P3473" s="3" t="s">
        <v>140</v>
      </c>
      <c r="Q3473" s="2" t="s">
        <v>32206</v>
      </c>
      <c r="R3473" s="3" t="s">
        <v>71</v>
      </c>
      <c r="S3473" s="4">
        <v>0</v>
      </c>
      <c r="T3473" s="4">
        <v>0</v>
      </c>
      <c r="W3473" s="5" t="s">
        <v>72</v>
      </c>
      <c r="X3473" s="5" t="s">
        <v>72</v>
      </c>
      <c r="Y3473" s="4">
        <v>84</v>
      </c>
      <c r="Z3473" s="4">
        <v>11</v>
      </c>
      <c r="AA3473" s="4">
        <v>12</v>
      </c>
      <c r="AB3473" s="4">
        <v>1</v>
      </c>
      <c r="AC3473" s="4">
        <v>2</v>
      </c>
      <c r="AD3473" s="4">
        <v>44</v>
      </c>
      <c r="AE3473" s="4">
        <v>44</v>
      </c>
      <c r="AF3473" s="4">
        <v>0</v>
      </c>
      <c r="AG3473" s="4">
        <v>0</v>
      </c>
      <c r="AH3473" s="4">
        <v>43</v>
      </c>
      <c r="AI3473" s="4">
        <v>43</v>
      </c>
      <c r="AJ3473" s="4">
        <v>3</v>
      </c>
      <c r="AK3473" s="4">
        <v>3</v>
      </c>
      <c r="AL3473" s="4">
        <v>33</v>
      </c>
      <c r="AM3473" s="4">
        <v>33</v>
      </c>
      <c r="AN3473" s="4">
        <v>0</v>
      </c>
      <c r="AO3473" s="4">
        <v>0</v>
      </c>
      <c r="AP3473" s="4">
        <v>3</v>
      </c>
      <c r="AQ3473" s="4">
        <v>3</v>
      </c>
      <c r="AR3473" s="3" t="s">
        <v>65</v>
      </c>
      <c r="AS3473" s="3" t="s">
        <v>65</v>
      </c>
      <c r="AT3473" s="3" t="s">
        <v>65</v>
      </c>
      <c r="AV3473" s="6" t="str">
        <f>HYPERLINK("http://mcgill.on.worldcat.org/oclc/939396084","Catalog Record")</f>
        <v>Catalog Record</v>
      </c>
      <c r="AW3473" s="6" t="str">
        <f>HYPERLINK("http://www.worldcat.org/oclc/939396084","WorldCat Record")</f>
        <v>WorldCat Record</v>
      </c>
      <c r="AX3473" s="3" t="s">
        <v>34517</v>
      </c>
      <c r="AY3473" s="3" t="s">
        <v>34518</v>
      </c>
      <c r="AZ3473" s="3" t="s">
        <v>34519</v>
      </c>
      <c r="BA3473" s="3" t="s">
        <v>34519</v>
      </c>
      <c r="BB3473" s="3" t="s">
        <v>34520</v>
      </c>
      <c r="BC3473" s="3" t="s">
        <v>77</v>
      </c>
      <c r="BD3473" s="3" t="s">
        <v>78</v>
      </c>
      <c r="BE3473" s="3" t="s">
        <v>34521</v>
      </c>
      <c r="BF3473" s="3" t="s">
        <v>34520</v>
      </c>
      <c r="BG3473" s="3" t="s">
        <v>34522</v>
      </c>
    </row>
    <row r="3474" spans="1:59" ht="72.5" x14ac:dyDescent="0.35">
      <c r="A3474" s="2" t="s">
        <v>59</v>
      </c>
      <c r="B3474" s="2" t="s">
        <v>60</v>
      </c>
      <c r="C3474" s="2" t="s">
        <v>34523</v>
      </c>
      <c r="D3474" s="2" t="s">
        <v>34524</v>
      </c>
      <c r="E3474" s="2" t="s">
        <v>34525</v>
      </c>
      <c r="G3474" s="3" t="s">
        <v>65</v>
      </c>
      <c r="I3474" s="3" t="s">
        <v>65</v>
      </c>
      <c r="J3474" s="3" t="s">
        <v>65</v>
      </c>
      <c r="K3474" s="3" t="s">
        <v>66</v>
      </c>
      <c r="L3474" s="2" t="s">
        <v>28115</v>
      </c>
      <c r="M3474" s="2" t="s">
        <v>34526</v>
      </c>
      <c r="N3474" s="3" t="s">
        <v>364</v>
      </c>
      <c r="O3474" s="2" t="s">
        <v>29398</v>
      </c>
      <c r="P3474" s="3" t="s">
        <v>140</v>
      </c>
      <c r="Q3474" s="2" t="s">
        <v>34527</v>
      </c>
      <c r="R3474" s="3" t="s">
        <v>71</v>
      </c>
      <c r="S3474" s="4">
        <v>8</v>
      </c>
      <c r="T3474" s="4">
        <v>8</v>
      </c>
      <c r="U3474" s="5" t="s">
        <v>34442</v>
      </c>
      <c r="V3474" s="5" t="s">
        <v>34442</v>
      </c>
      <c r="W3474" s="5" t="s">
        <v>72</v>
      </c>
      <c r="X3474" s="5" t="s">
        <v>72</v>
      </c>
      <c r="Y3474" s="4">
        <v>108</v>
      </c>
      <c r="Z3474" s="4">
        <v>8</v>
      </c>
      <c r="AA3474" s="4">
        <v>10</v>
      </c>
      <c r="AB3474" s="4">
        <v>1</v>
      </c>
      <c r="AC3474" s="4">
        <v>3</v>
      </c>
      <c r="AD3474" s="4">
        <v>38</v>
      </c>
      <c r="AE3474" s="4">
        <v>42</v>
      </c>
      <c r="AF3474" s="4">
        <v>0</v>
      </c>
      <c r="AG3474" s="4">
        <v>1</v>
      </c>
      <c r="AH3474" s="4">
        <v>36</v>
      </c>
      <c r="AI3474" s="4">
        <v>39</v>
      </c>
      <c r="AJ3474" s="4">
        <v>3</v>
      </c>
      <c r="AK3474" s="4">
        <v>4</v>
      </c>
      <c r="AL3474" s="4">
        <v>31</v>
      </c>
      <c r="AM3474" s="4">
        <v>33</v>
      </c>
      <c r="AN3474" s="4">
        <v>0</v>
      </c>
      <c r="AO3474" s="4">
        <v>0</v>
      </c>
      <c r="AP3474" s="4">
        <v>3</v>
      </c>
      <c r="AQ3474" s="4">
        <v>3</v>
      </c>
      <c r="AR3474" s="3" t="s">
        <v>65</v>
      </c>
      <c r="AS3474" s="3" t="s">
        <v>65</v>
      </c>
      <c r="AT3474" s="3" t="s">
        <v>209</v>
      </c>
      <c r="AU3474" s="6" t="str">
        <f>HYPERLINK("http://catalog.hathitrust.org/Record/003581619","HathiTrust Record")</f>
        <v>HathiTrust Record</v>
      </c>
      <c r="AV3474" s="6" t="str">
        <f>HYPERLINK("http://mcgill.on.worldcat.org/oclc/47677168","Catalog Record")</f>
        <v>Catalog Record</v>
      </c>
      <c r="AW3474" s="6" t="str">
        <f>HYPERLINK("http://www.worldcat.org/oclc/47677168","WorldCat Record")</f>
        <v>WorldCat Record</v>
      </c>
      <c r="AX3474" s="3" t="s">
        <v>34528</v>
      </c>
      <c r="AY3474" s="3" t="s">
        <v>34529</v>
      </c>
      <c r="AZ3474" s="3" t="s">
        <v>34530</v>
      </c>
      <c r="BA3474" s="3" t="s">
        <v>34530</v>
      </c>
      <c r="BB3474" s="3" t="s">
        <v>34531</v>
      </c>
      <c r="BC3474" s="3" t="s">
        <v>77</v>
      </c>
      <c r="BD3474" s="3" t="s">
        <v>78</v>
      </c>
      <c r="BE3474" s="3" t="s">
        <v>34532</v>
      </c>
      <c r="BF3474" s="3" t="s">
        <v>34531</v>
      </c>
      <c r="BG3474" s="3" t="s">
        <v>34533</v>
      </c>
    </row>
    <row r="3475" spans="1:59" ht="72.5" x14ac:dyDescent="0.35">
      <c r="A3475" s="2" t="s">
        <v>59</v>
      </c>
      <c r="B3475" s="2" t="s">
        <v>60</v>
      </c>
      <c r="C3475" s="2" t="s">
        <v>34534</v>
      </c>
      <c r="D3475" s="2" t="s">
        <v>34535</v>
      </c>
      <c r="E3475" s="2" t="s">
        <v>34536</v>
      </c>
      <c r="G3475" s="3" t="s">
        <v>65</v>
      </c>
      <c r="I3475" s="3" t="s">
        <v>65</v>
      </c>
      <c r="J3475" s="3" t="s">
        <v>65</v>
      </c>
      <c r="K3475" s="3" t="s">
        <v>66</v>
      </c>
      <c r="L3475" s="2" t="s">
        <v>28115</v>
      </c>
      <c r="M3475" s="2" t="s">
        <v>34419</v>
      </c>
      <c r="N3475" s="3" t="s">
        <v>1196</v>
      </c>
      <c r="P3475" s="3" t="s">
        <v>69</v>
      </c>
      <c r="Q3475" s="2" t="s">
        <v>34537</v>
      </c>
      <c r="R3475" s="3" t="s">
        <v>71</v>
      </c>
      <c r="S3475" s="4">
        <v>11</v>
      </c>
      <c r="T3475" s="4">
        <v>11</v>
      </c>
      <c r="U3475" s="5" t="s">
        <v>2891</v>
      </c>
      <c r="V3475" s="5" t="s">
        <v>2891</v>
      </c>
      <c r="W3475" s="5" t="s">
        <v>72</v>
      </c>
      <c r="X3475" s="5" t="s">
        <v>72</v>
      </c>
      <c r="Y3475" s="4">
        <v>617</v>
      </c>
      <c r="Z3475" s="4">
        <v>23</v>
      </c>
      <c r="AA3475" s="4">
        <v>31</v>
      </c>
      <c r="AB3475" s="4">
        <v>4</v>
      </c>
      <c r="AC3475" s="4">
        <v>5</v>
      </c>
      <c r="AD3475" s="4">
        <v>54</v>
      </c>
      <c r="AE3475" s="4">
        <v>54</v>
      </c>
      <c r="AF3475" s="4">
        <v>0</v>
      </c>
      <c r="AG3475" s="4">
        <v>0</v>
      </c>
      <c r="AH3475" s="4">
        <v>51</v>
      </c>
      <c r="AI3475" s="4">
        <v>51</v>
      </c>
      <c r="AJ3475" s="4">
        <v>2</v>
      </c>
      <c r="AK3475" s="4">
        <v>2</v>
      </c>
      <c r="AL3475" s="4">
        <v>35</v>
      </c>
      <c r="AM3475" s="4">
        <v>35</v>
      </c>
      <c r="AN3475" s="4">
        <v>0</v>
      </c>
      <c r="AO3475" s="4">
        <v>0</v>
      </c>
      <c r="AP3475" s="4">
        <v>2</v>
      </c>
      <c r="AQ3475" s="4">
        <v>2</v>
      </c>
      <c r="AR3475" s="3" t="s">
        <v>65</v>
      </c>
      <c r="AS3475" s="3" t="s">
        <v>65</v>
      </c>
      <c r="AT3475" s="3" t="s">
        <v>65</v>
      </c>
      <c r="AV3475" s="6" t="str">
        <f>HYPERLINK("http://mcgill.on.worldcat.org/oclc/60349163","Catalog Record")</f>
        <v>Catalog Record</v>
      </c>
      <c r="AW3475" s="6" t="str">
        <f>HYPERLINK("http://www.worldcat.org/oclc/60349163","WorldCat Record")</f>
        <v>WorldCat Record</v>
      </c>
      <c r="AX3475" s="3" t="s">
        <v>34538</v>
      </c>
      <c r="AY3475" s="3" t="s">
        <v>34539</v>
      </c>
      <c r="AZ3475" s="3" t="s">
        <v>34540</v>
      </c>
      <c r="BA3475" s="3" t="s">
        <v>34540</v>
      </c>
      <c r="BB3475" s="3" t="s">
        <v>34541</v>
      </c>
      <c r="BC3475" s="3" t="s">
        <v>77</v>
      </c>
      <c r="BD3475" s="3" t="s">
        <v>78</v>
      </c>
      <c r="BE3475" s="3" t="s">
        <v>34542</v>
      </c>
      <c r="BF3475" s="3" t="s">
        <v>34541</v>
      </c>
      <c r="BG3475" s="3" t="s">
        <v>34543</v>
      </c>
    </row>
    <row r="3476" spans="1:59" ht="72.5" x14ac:dyDescent="0.35">
      <c r="A3476" s="2" t="s">
        <v>59</v>
      </c>
      <c r="B3476" s="2" t="s">
        <v>60</v>
      </c>
      <c r="C3476" s="2" t="s">
        <v>34544</v>
      </c>
      <c r="D3476" s="2" t="s">
        <v>34545</v>
      </c>
      <c r="E3476" s="2" t="s">
        <v>34546</v>
      </c>
      <c r="G3476" s="3" t="s">
        <v>65</v>
      </c>
      <c r="I3476" s="3" t="s">
        <v>65</v>
      </c>
      <c r="J3476" s="3" t="s">
        <v>65</v>
      </c>
      <c r="K3476" s="3" t="s">
        <v>66</v>
      </c>
      <c r="L3476" s="2" t="s">
        <v>28115</v>
      </c>
      <c r="M3476" s="2" t="s">
        <v>4262</v>
      </c>
      <c r="N3476" s="3" t="s">
        <v>525</v>
      </c>
      <c r="P3476" s="3" t="s">
        <v>140</v>
      </c>
      <c r="Q3476" s="2" t="s">
        <v>34547</v>
      </c>
      <c r="R3476" s="3" t="s">
        <v>71</v>
      </c>
      <c r="S3476" s="4">
        <v>4</v>
      </c>
      <c r="T3476" s="4">
        <v>4</v>
      </c>
      <c r="U3476" s="5" t="s">
        <v>18760</v>
      </c>
      <c r="V3476" s="5" t="s">
        <v>18760</v>
      </c>
      <c r="W3476" s="5" t="s">
        <v>72</v>
      </c>
      <c r="X3476" s="5" t="s">
        <v>72</v>
      </c>
      <c r="Y3476" s="4">
        <v>104</v>
      </c>
      <c r="Z3476" s="4">
        <v>6</v>
      </c>
      <c r="AA3476" s="4">
        <v>7</v>
      </c>
      <c r="AB3476" s="4">
        <v>1</v>
      </c>
      <c r="AC3476" s="4">
        <v>2</v>
      </c>
      <c r="AD3476" s="4">
        <v>37</v>
      </c>
      <c r="AE3476" s="4">
        <v>37</v>
      </c>
      <c r="AF3476" s="4">
        <v>0</v>
      </c>
      <c r="AG3476" s="4">
        <v>0</v>
      </c>
      <c r="AH3476" s="4">
        <v>36</v>
      </c>
      <c r="AI3476" s="4">
        <v>36</v>
      </c>
      <c r="AJ3476" s="4">
        <v>2</v>
      </c>
      <c r="AK3476" s="4">
        <v>2</v>
      </c>
      <c r="AL3476" s="4">
        <v>29</v>
      </c>
      <c r="AM3476" s="4">
        <v>29</v>
      </c>
      <c r="AN3476" s="4">
        <v>0</v>
      </c>
      <c r="AO3476" s="4">
        <v>0</v>
      </c>
      <c r="AP3476" s="4">
        <v>2</v>
      </c>
      <c r="AQ3476" s="4">
        <v>2</v>
      </c>
      <c r="AR3476" s="3" t="s">
        <v>65</v>
      </c>
      <c r="AS3476" s="3" t="s">
        <v>65</v>
      </c>
      <c r="AT3476" s="3" t="s">
        <v>209</v>
      </c>
      <c r="AU3476" s="6" t="str">
        <f>HYPERLINK("http://catalog.hathitrust.org/Record/004941045","HathiTrust Record")</f>
        <v>HathiTrust Record</v>
      </c>
      <c r="AV3476" s="6" t="str">
        <f>HYPERLINK("http://mcgill.on.worldcat.org/oclc/56702002","Catalog Record")</f>
        <v>Catalog Record</v>
      </c>
      <c r="AW3476" s="6" t="str">
        <f>HYPERLINK("http://www.worldcat.org/oclc/56702002","WorldCat Record")</f>
        <v>WorldCat Record</v>
      </c>
      <c r="AX3476" s="3" t="s">
        <v>34548</v>
      </c>
      <c r="AY3476" s="3" t="s">
        <v>34549</v>
      </c>
      <c r="AZ3476" s="3" t="s">
        <v>34550</v>
      </c>
      <c r="BA3476" s="3" t="s">
        <v>34550</v>
      </c>
      <c r="BB3476" s="3" t="s">
        <v>34551</v>
      </c>
      <c r="BC3476" s="3" t="s">
        <v>77</v>
      </c>
      <c r="BD3476" s="3" t="s">
        <v>78</v>
      </c>
      <c r="BE3476" s="3" t="s">
        <v>34552</v>
      </c>
      <c r="BF3476" s="3" t="s">
        <v>34551</v>
      </c>
      <c r="BG3476" s="3" t="s">
        <v>34553</v>
      </c>
    </row>
    <row r="3477" spans="1:59" ht="72.5" x14ac:dyDescent="0.35">
      <c r="A3477" s="2" t="s">
        <v>59</v>
      </c>
      <c r="B3477" s="2" t="s">
        <v>60</v>
      </c>
      <c r="C3477" s="2" t="s">
        <v>34554</v>
      </c>
      <c r="D3477" s="2" t="s">
        <v>34555</v>
      </c>
      <c r="E3477" s="2" t="s">
        <v>34556</v>
      </c>
      <c r="G3477" s="3" t="s">
        <v>65</v>
      </c>
      <c r="I3477" s="3" t="s">
        <v>65</v>
      </c>
      <c r="J3477" s="3" t="s">
        <v>65</v>
      </c>
      <c r="K3477" s="3" t="s">
        <v>66</v>
      </c>
      <c r="L3477" s="2" t="s">
        <v>28115</v>
      </c>
      <c r="M3477" s="2" t="s">
        <v>34557</v>
      </c>
      <c r="N3477" s="3" t="s">
        <v>479</v>
      </c>
      <c r="P3477" s="3" t="s">
        <v>69</v>
      </c>
      <c r="R3477" s="3" t="s">
        <v>71</v>
      </c>
      <c r="S3477" s="4">
        <v>5</v>
      </c>
      <c r="T3477" s="4">
        <v>5</v>
      </c>
      <c r="U3477" s="5" t="s">
        <v>6399</v>
      </c>
      <c r="V3477" s="5" t="s">
        <v>6399</v>
      </c>
      <c r="W3477" s="5" t="s">
        <v>72</v>
      </c>
      <c r="X3477" s="5" t="s">
        <v>72</v>
      </c>
      <c r="Y3477" s="4">
        <v>148</v>
      </c>
      <c r="Z3477" s="4">
        <v>1</v>
      </c>
      <c r="AA3477" s="4">
        <v>35</v>
      </c>
      <c r="AB3477" s="4">
        <v>1</v>
      </c>
      <c r="AC3477" s="4">
        <v>5</v>
      </c>
      <c r="AD3477" s="4">
        <v>2</v>
      </c>
      <c r="AE3477" s="4">
        <v>32</v>
      </c>
      <c r="AF3477" s="4">
        <v>0</v>
      </c>
      <c r="AG3477" s="4">
        <v>0</v>
      </c>
      <c r="AH3477" s="4">
        <v>2</v>
      </c>
      <c r="AI3477" s="4">
        <v>30</v>
      </c>
      <c r="AJ3477" s="4">
        <v>0</v>
      </c>
      <c r="AK3477" s="4">
        <v>3</v>
      </c>
      <c r="AL3477" s="4">
        <v>0</v>
      </c>
      <c r="AM3477" s="4">
        <v>20</v>
      </c>
      <c r="AN3477" s="4">
        <v>0</v>
      </c>
      <c r="AO3477" s="4">
        <v>0</v>
      </c>
      <c r="AP3477" s="4">
        <v>0</v>
      </c>
      <c r="AQ3477" s="4">
        <v>3</v>
      </c>
      <c r="AR3477" s="3" t="s">
        <v>65</v>
      </c>
      <c r="AS3477" s="3" t="s">
        <v>65</v>
      </c>
      <c r="AT3477" s="3" t="s">
        <v>65</v>
      </c>
      <c r="AV3477" s="6" t="str">
        <f>HYPERLINK("http://mcgill.on.worldcat.org/oclc/173238754","Catalog Record")</f>
        <v>Catalog Record</v>
      </c>
      <c r="AW3477" s="6" t="str">
        <f>HYPERLINK("http://www.worldcat.org/oclc/173238754","WorldCat Record")</f>
        <v>WorldCat Record</v>
      </c>
      <c r="AX3477" s="3" t="s">
        <v>34558</v>
      </c>
      <c r="AY3477" s="3" t="s">
        <v>34559</v>
      </c>
      <c r="AZ3477" s="3" t="s">
        <v>34560</v>
      </c>
      <c r="BA3477" s="3" t="s">
        <v>34560</v>
      </c>
      <c r="BB3477" s="3" t="s">
        <v>34561</v>
      </c>
      <c r="BC3477" s="3" t="s">
        <v>77</v>
      </c>
      <c r="BD3477" s="3" t="s">
        <v>78</v>
      </c>
      <c r="BE3477" s="3" t="s">
        <v>34562</v>
      </c>
      <c r="BF3477" s="3" t="s">
        <v>34561</v>
      </c>
      <c r="BG3477" s="3" t="s">
        <v>34563</v>
      </c>
    </row>
    <row r="3478" spans="1:59" ht="72.5" x14ac:dyDescent="0.35">
      <c r="A3478" s="2" t="s">
        <v>59</v>
      </c>
      <c r="B3478" s="2" t="s">
        <v>60</v>
      </c>
      <c r="C3478" s="2" t="s">
        <v>34564</v>
      </c>
      <c r="D3478" s="2" t="s">
        <v>34565</v>
      </c>
      <c r="E3478" s="2" t="s">
        <v>34566</v>
      </c>
      <c r="G3478" s="3" t="s">
        <v>65</v>
      </c>
      <c r="I3478" s="3" t="s">
        <v>65</v>
      </c>
      <c r="J3478" s="3" t="s">
        <v>65</v>
      </c>
      <c r="K3478" s="3" t="s">
        <v>66</v>
      </c>
      <c r="L3478" s="2" t="s">
        <v>28115</v>
      </c>
      <c r="M3478" s="2" t="s">
        <v>34567</v>
      </c>
      <c r="N3478" s="3" t="s">
        <v>113</v>
      </c>
      <c r="P3478" s="3" t="s">
        <v>69</v>
      </c>
      <c r="Q3478" s="2" t="s">
        <v>34177</v>
      </c>
      <c r="R3478" s="3" t="s">
        <v>71</v>
      </c>
      <c r="S3478" s="4">
        <v>13</v>
      </c>
      <c r="T3478" s="4">
        <v>13</v>
      </c>
      <c r="U3478" s="5" t="s">
        <v>34218</v>
      </c>
      <c r="V3478" s="5" t="s">
        <v>34218</v>
      </c>
      <c r="W3478" s="5" t="s">
        <v>72</v>
      </c>
      <c r="X3478" s="5" t="s">
        <v>72</v>
      </c>
      <c r="Y3478" s="4">
        <v>617</v>
      </c>
      <c r="Z3478" s="4">
        <v>26</v>
      </c>
      <c r="AA3478" s="4">
        <v>31</v>
      </c>
      <c r="AB3478" s="4">
        <v>4</v>
      </c>
      <c r="AC3478" s="4">
        <v>5</v>
      </c>
      <c r="AD3478" s="4">
        <v>51</v>
      </c>
      <c r="AE3478" s="4">
        <v>51</v>
      </c>
      <c r="AF3478" s="4">
        <v>0</v>
      </c>
      <c r="AG3478" s="4">
        <v>0</v>
      </c>
      <c r="AH3478" s="4">
        <v>49</v>
      </c>
      <c r="AI3478" s="4">
        <v>49</v>
      </c>
      <c r="AJ3478" s="4">
        <v>3</v>
      </c>
      <c r="AK3478" s="4">
        <v>3</v>
      </c>
      <c r="AL3478" s="4">
        <v>34</v>
      </c>
      <c r="AM3478" s="4">
        <v>34</v>
      </c>
      <c r="AN3478" s="4">
        <v>0</v>
      </c>
      <c r="AO3478" s="4">
        <v>0</v>
      </c>
      <c r="AP3478" s="4">
        <v>3</v>
      </c>
      <c r="AQ3478" s="4">
        <v>3</v>
      </c>
      <c r="AR3478" s="3" t="s">
        <v>65</v>
      </c>
      <c r="AS3478" s="3" t="s">
        <v>65</v>
      </c>
      <c r="AT3478" s="3" t="s">
        <v>65</v>
      </c>
      <c r="AV3478" s="6" t="str">
        <f>HYPERLINK("http://mcgill.on.worldcat.org/oclc/515456099","Catalog Record")</f>
        <v>Catalog Record</v>
      </c>
      <c r="AW3478" s="6" t="str">
        <f>HYPERLINK("http://www.worldcat.org/oclc/515456099","WorldCat Record")</f>
        <v>WorldCat Record</v>
      </c>
      <c r="AX3478" s="3" t="s">
        <v>34568</v>
      </c>
      <c r="AY3478" s="3" t="s">
        <v>34569</v>
      </c>
      <c r="AZ3478" s="3" t="s">
        <v>34570</v>
      </c>
      <c r="BA3478" s="3" t="s">
        <v>34570</v>
      </c>
      <c r="BB3478" s="3" t="s">
        <v>34571</v>
      </c>
      <c r="BC3478" s="3" t="s">
        <v>77</v>
      </c>
      <c r="BD3478" s="3" t="s">
        <v>78</v>
      </c>
      <c r="BE3478" s="3" t="s">
        <v>34572</v>
      </c>
      <c r="BF3478" s="3" t="s">
        <v>34571</v>
      </c>
      <c r="BG3478" s="3" t="s">
        <v>34573</v>
      </c>
    </row>
    <row r="3479" spans="1:59" ht="72.5" x14ac:dyDescent="0.35">
      <c r="A3479" s="2" t="s">
        <v>59</v>
      </c>
      <c r="B3479" s="2" t="s">
        <v>60</v>
      </c>
      <c r="C3479" s="2" t="s">
        <v>34574</v>
      </c>
      <c r="D3479" s="2" t="s">
        <v>34575</v>
      </c>
      <c r="E3479" s="2" t="s">
        <v>34576</v>
      </c>
      <c r="G3479" s="3" t="s">
        <v>65</v>
      </c>
      <c r="I3479" s="3" t="s">
        <v>65</v>
      </c>
      <c r="J3479" s="3" t="s">
        <v>65</v>
      </c>
      <c r="K3479" s="3" t="s">
        <v>66</v>
      </c>
      <c r="L3479" s="2" t="s">
        <v>28115</v>
      </c>
      <c r="M3479" s="2" t="s">
        <v>34577</v>
      </c>
      <c r="N3479" s="3" t="s">
        <v>525</v>
      </c>
      <c r="O3479" s="2" t="s">
        <v>17363</v>
      </c>
      <c r="P3479" s="3" t="s">
        <v>140</v>
      </c>
      <c r="Q3479" s="2" t="s">
        <v>32206</v>
      </c>
      <c r="R3479" s="3" t="s">
        <v>71</v>
      </c>
      <c r="S3479" s="4">
        <v>5</v>
      </c>
      <c r="T3479" s="4">
        <v>5</v>
      </c>
      <c r="U3479" s="5" t="s">
        <v>34578</v>
      </c>
      <c r="V3479" s="5" t="s">
        <v>34578</v>
      </c>
      <c r="W3479" s="5" t="s">
        <v>72</v>
      </c>
      <c r="X3479" s="5" t="s">
        <v>72</v>
      </c>
      <c r="Y3479" s="4">
        <v>72</v>
      </c>
      <c r="Z3479" s="4">
        <v>8</v>
      </c>
      <c r="AA3479" s="4">
        <v>9</v>
      </c>
      <c r="AB3479" s="4">
        <v>1</v>
      </c>
      <c r="AC3479" s="4">
        <v>2</v>
      </c>
      <c r="AD3479" s="4">
        <v>37</v>
      </c>
      <c r="AE3479" s="4">
        <v>39</v>
      </c>
      <c r="AF3479" s="4">
        <v>0</v>
      </c>
      <c r="AG3479" s="4">
        <v>1</v>
      </c>
      <c r="AH3479" s="4">
        <v>36</v>
      </c>
      <c r="AI3479" s="4">
        <v>37</v>
      </c>
      <c r="AJ3479" s="4">
        <v>3</v>
      </c>
      <c r="AK3479" s="4">
        <v>4</v>
      </c>
      <c r="AL3479" s="4">
        <v>27</v>
      </c>
      <c r="AM3479" s="4">
        <v>28</v>
      </c>
      <c r="AN3479" s="4">
        <v>0</v>
      </c>
      <c r="AO3479" s="4">
        <v>0</v>
      </c>
      <c r="AP3479" s="4">
        <v>3</v>
      </c>
      <c r="AQ3479" s="4">
        <v>3</v>
      </c>
      <c r="AR3479" s="3" t="s">
        <v>65</v>
      </c>
      <c r="AS3479" s="3" t="s">
        <v>65</v>
      </c>
      <c r="AT3479" s="3" t="s">
        <v>209</v>
      </c>
      <c r="AU3479" s="6" t="str">
        <f>HYPERLINK("http://catalog.hathitrust.org/Record/004726964","HathiTrust Record")</f>
        <v>HathiTrust Record</v>
      </c>
      <c r="AV3479" s="6" t="str">
        <f>HYPERLINK("http://mcgill.on.worldcat.org/oclc/55070442","Catalog Record")</f>
        <v>Catalog Record</v>
      </c>
      <c r="AW3479" s="6" t="str">
        <f>HYPERLINK("http://www.worldcat.org/oclc/55070442","WorldCat Record")</f>
        <v>WorldCat Record</v>
      </c>
      <c r="AX3479" s="3" t="s">
        <v>34579</v>
      </c>
      <c r="AY3479" s="3" t="s">
        <v>34580</v>
      </c>
      <c r="AZ3479" s="3" t="s">
        <v>34581</v>
      </c>
      <c r="BA3479" s="3" t="s">
        <v>34581</v>
      </c>
      <c r="BB3479" s="3" t="s">
        <v>34582</v>
      </c>
      <c r="BC3479" s="3" t="s">
        <v>77</v>
      </c>
      <c r="BD3479" s="3" t="s">
        <v>78</v>
      </c>
      <c r="BE3479" s="3" t="s">
        <v>34583</v>
      </c>
      <c r="BF3479" s="3" t="s">
        <v>34582</v>
      </c>
      <c r="BG3479" s="3" t="s">
        <v>34584</v>
      </c>
    </row>
    <row r="3480" spans="1:59" ht="72.5" x14ac:dyDescent="0.35">
      <c r="A3480" s="2" t="s">
        <v>59</v>
      </c>
      <c r="B3480" s="2" t="s">
        <v>60</v>
      </c>
      <c r="C3480" s="2" t="s">
        <v>34585</v>
      </c>
      <c r="D3480" s="2" t="s">
        <v>34586</v>
      </c>
      <c r="E3480" s="2" t="s">
        <v>34587</v>
      </c>
      <c r="G3480" s="3" t="s">
        <v>65</v>
      </c>
      <c r="I3480" s="3" t="s">
        <v>65</v>
      </c>
      <c r="J3480" s="3" t="s">
        <v>65</v>
      </c>
      <c r="K3480" s="3" t="s">
        <v>66</v>
      </c>
      <c r="L3480" s="2" t="s">
        <v>28115</v>
      </c>
      <c r="M3480" s="2" t="s">
        <v>34464</v>
      </c>
      <c r="N3480" s="3" t="s">
        <v>139</v>
      </c>
      <c r="P3480" s="3" t="s">
        <v>140</v>
      </c>
      <c r="Q3480" s="2" t="s">
        <v>34588</v>
      </c>
      <c r="R3480" s="3" t="s">
        <v>71</v>
      </c>
      <c r="S3480" s="4">
        <v>0</v>
      </c>
      <c r="T3480" s="4">
        <v>0</v>
      </c>
      <c r="W3480" s="5" t="s">
        <v>72</v>
      </c>
      <c r="X3480" s="5" t="s">
        <v>72</v>
      </c>
      <c r="Y3480" s="4">
        <v>17</v>
      </c>
      <c r="Z3480" s="4">
        <v>1</v>
      </c>
      <c r="AA3480" s="4">
        <v>10</v>
      </c>
      <c r="AB3480" s="4">
        <v>1</v>
      </c>
      <c r="AC3480" s="4">
        <v>4</v>
      </c>
      <c r="AD3480" s="4">
        <v>4</v>
      </c>
      <c r="AE3480" s="4">
        <v>37</v>
      </c>
      <c r="AF3480" s="4">
        <v>0</v>
      </c>
      <c r="AG3480" s="4">
        <v>1</v>
      </c>
      <c r="AH3480" s="4">
        <v>4</v>
      </c>
      <c r="AI3480" s="4">
        <v>35</v>
      </c>
      <c r="AJ3480" s="4">
        <v>0</v>
      </c>
      <c r="AK3480" s="4">
        <v>3</v>
      </c>
      <c r="AL3480" s="4">
        <v>3</v>
      </c>
      <c r="AM3480" s="4">
        <v>27</v>
      </c>
      <c r="AN3480" s="4">
        <v>0</v>
      </c>
      <c r="AO3480" s="4">
        <v>0</v>
      </c>
      <c r="AP3480" s="4">
        <v>0</v>
      </c>
      <c r="AQ3480" s="4">
        <v>2</v>
      </c>
      <c r="AR3480" s="3" t="s">
        <v>65</v>
      </c>
      <c r="AS3480" s="3" t="s">
        <v>65</v>
      </c>
      <c r="AT3480" s="3" t="s">
        <v>65</v>
      </c>
      <c r="AV3480" s="6" t="str">
        <f>HYPERLINK("http://mcgill.on.worldcat.org/oclc/781610035","Catalog Record")</f>
        <v>Catalog Record</v>
      </c>
      <c r="AW3480" s="6" t="str">
        <f>HYPERLINK("http://www.worldcat.org/oclc/781610035","WorldCat Record")</f>
        <v>WorldCat Record</v>
      </c>
      <c r="AX3480" s="3" t="s">
        <v>34589</v>
      </c>
      <c r="AY3480" s="3" t="s">
        <v>34590</v>
      </c>
      <c r="AZ3480" s="3" t="s">
        <v>34591</v>
      </c>
      <c r="BA3480" s="3" t="s">
        <v>34591</v>
      </c>
      <c r="BB3480" s="3" t="s">
        <v>34592</v>
      </c>
      <c r="BC3480" s="3" t="s">
        <v>77</v>
      </c>
      <c r="BD3480" s="3" t="s">
        <v>78</v>
      </c>
      <c r="BE3480" s="3" t="s">
        <v>34593</v>
      </c>
      <c r="BF3480" s="3" t="s">
        <v>34592</v>
      </c>
      <c r="BG3480" s="3" t="s">
        <v>34594</v>
      </c>
    </row>
    <row r="3481" spans="1:59" ht="72.5" x14ac:dyDescent="0.35">
      <c r="A3481" s="2" t="s">
        <v>59</v>
      </c>
      <c r="B3481" s="2" t="s">
        <v>60</v>
      </c>
      <c r="C3481" s="2" t="s">
        <v>34595</v>
      </c>
      <c r="D3481" s="2" t="s">
        <v>34596</v>
      </c>
      <c r="E3481" s="2" t="s">
        <v>34597</v>
      </c>
      <c r="G3481" s="3" t="s">
        <v>65</v>
      </c>
      <c r="I3481" s="3" t="s">
        <v>65</v>
      </c>
      <c r="J3481" s="3" t="s">
        <v>65</v>
      </c>
      <c r="K3481" s="3" t="s">
        <v>66</v>
      </c>
      <c r="L3481" s="2" t="s">
        <v>34175</v>
      </c>
      <c r="M3481" s="2" t="s">
        <v>34598</v>
      </c>
      <c r="N3481" s="3" t="s">
        <v>164</v>
      </c>
      <c r="O3481" s="2" t="s">
        <v>379</v>
      </c>
      <c r="P3481" s="3" t="s">
        <v>140</v>
      </c>
      <c r="Q3481" s="2" t="s">
        <v>32206</v>
      </c>
      <c r="R3481" s="3" t="s">
        <v>71</v>
      </c>
      <c r="S3481" s="4">
        <v>0</v>
      </c>
      <c r="T3481" s="4">
        <v>0</v>
      </c>
      <c r="W3481" s="5" t="s">
        <v>72</v>
      </c>
      <c r="X3481" s="5" t="s">
        <v>72</v>
      </c>
      <c r="Y3481" s="4">
        <v>57</v>
      </c>
      <c r="Z3481" s="4">
        <v>4</v>
      </c>
      <c r="AA3481" s="4">
        <v>9</v>
      </c>
      <c r="AB3481" s="4">
        <v>1</v>
      </c>
      <c r="AC3481" s="4">
        <v>2</v>
      </c>
      <c r="AD3481" s="4">
        <v>38</v>
      </c>
      <c r="AE3481" s="4">
        <v>42</v>
      </c>
      <c r="AF3481" s="4">
        <v>0</v>
      </c>
      <c r="AG3481" s="4">
        <v>0</v>
      </c>
      <c r="AH3481" s="4">
        <v>37</v>
      </c>
      <c r="AI3481" s="4">
        <v>41</v>
      </c>
      <c r="AJ3481" s="4">
        <v>2</v>
      </c>
      <c r="AK3481" s="4">
        <v>3</v>
      </c>
      <c r="AL3481" s="4">
        <v>30</v>
      </c>
      <c r="AM3481" s="4">
        <v>32</v>
      </c>
      <c r="AN3481" s="4">
        <v>0</v>
      </c>
      <c r="AO3481" s="4">
        <v>0</v>
      </c>
      <c r="AP3481" s="4">
        <v>2</v>
      </c>
      <c r="AQ3481" s="4">
        <v>3</v>
      </c>
      <c r="AR3481" s="3" t="s">
        <v>65</v>
      </c>
      <c r="AS3481" s="3" t="s">
        <v>65</v>
      </c>
      <c r="AT3481" s="3" t="s">
        <v>65</v>
      </c>
      <c r="AV3481" s="6" t="str">
        <f>HYPERLINK("http://mcgill.on.worldcat.org/oclc/903204652","Catalog Record")</f>
        <v>Catalog Record</v>
      </c>
      <c r="AW3481" s="6" t="str">
        <f>HYPERLINK("http://www.worldcat.org/oclc/903204652","WorldCat Record")</f>
        <v>WorldCat Record</v>
      </c>
      <c r="AX3481" s="3" t="s">
        <v>34599</v>
      </c>
      <c r="AY3481" s="3" t="s">
        <v>34600</v>
      </c>
      <c r="AZ3481" s="3" t="s">
        <v>34601</v>
      </c>
      <c r="BA3481" s="3" t="s">
        <v>34601</v>
      </c>
      <c r="BB3481" s="3" t="s">
        <v>34602</v>
      </c>
      <c r="BC3481" s="3" t="s">
        <v>77</v>
      </c>
      <c r="BD3481" s="3" t="s">
        <v>78</v>
      </c>
      <c r="BE3481" s="3" t="s">
        <v>34603</v>
      </c>
      <c r="BF3481" s="3" t="s">
        <v>34602</v>
      </c>
      <c r="BG3481" s="3" t="s">
        <v>34604</v>
      </c>
    </row>
    <row r="3482" spans="1:59" ht="72.5" x14ac:dyDescent="0.35">
      <c r="A3482" s="2" t="s">
        <v>59</v>
      </c>
      <c r="B3482" s="2" t="s">
        <v>60</v>
      </c>
      <c r="C3482" s="2" t="s">
        <v>34605</v>
      </c>
      <c r="D3482" s="2" t="s">
        <v>34606</v>
      </c>
      <c r="E3482" s="2" t="s">
        <v>34607</v>
      </c>
      <c r="G3482" s="3" t="s">
        <v>65</v>
      </c>
      <c r="I3482" s="3" t="s">
        <v>65</v>
      </c>
      <c r="J3482" s="3" t="s">
        <v>65</v>
      </c>
      <c r="K3482" s="3" t="s">
        <v>66</v>
      </c>
      <c r="L3482" s="2" t="s">
        <v>34175</v>
      </c>
      <c r="M3482" s="2" t="s">
        <v>34608</v>
      </c>
      <c r="N3482" s="3" t="s">
        <v>152</v>
      </c>
      <c r="P3482" s="3" t="s">
        <v>140</v>
      </c>
      <c r="Q3482" s="2" t="s">
        <v>34609</v>
      </c>
      <c r="R3482" s="3" t="s">
        <v>71</v>
      </c>
      <c r="S3482" s="4">
        <v>1</v>
      </c>
      <c r="T3482" s="4">
        <v>1</v>
      </c>
      <c r="W3482" s="5" t="s">
        <v>72</v>
      </c>
      <c r="X3482" s="5" t="s">
        <v>72</v>
      </c>
      <c r="Y3482" s="4">
        <v>70</v>
      </c>
      <c r="Z3482" s="4">
        <v>8</v>
      </c>
      <c r="AA3482" s="4">
        <v>11</v>
      </c>
      <c r="AB3482" s="4">
        <v>1</v>
      </c>
      <c r="AC3482" s="4">
        <v>4</v>
      </c>
      <c r="AD3482" s="4">
        <v>40</v>
      </c>
      <c r="AE3482" s="4">
        <v>41</v>
      </c>
      <c r="AF3482" s="4">
        <v>0</v>
      </c>
      <c r="AG3482" s="4">
        <v>1</v>
      </c>
      <c r="AH3482" s="4">
        <v>39</v>
      </c>
      <c r="AI3482" s="4">
        <v>39</v>
      </c>
      <c r="AJ3482" s="4">
        <v>4</v>
      </c>
      <c r="AK3482" s="4">
        <v>5</v>
      </c>
      <c r="AL3482" s="4">
        <v>32</v>
      </c>
      <c r="AM3482" s="4">
        <v>32</v>
      </c>
      <c r="AN3482" s="4">
        <v>0</v>
      </c>
      <c r="AO3482" s="4">
        <v>0</v>
      </c>
      <c r="AP3482" s="4">
        <v>4</v>
      </c>
      <c r="AQ3482" s="4">
        <v>4</v>
      </c>
      <c r="AR3482" s="3" t="s">
        <v>65</v>
      </c>
      <c r="AS3482" s="3" t="s">
        <v>65</v>
      </c>
      <c r="AT3482" s="3" t="s">
        <v>65</v>
      </c>
      <c r="AV3482" s="6" t="str">
        <f>HYPERLINK("http://mcgill.on.worldcat.org/oclc/828409776","Catalog Record")</f>
        <v>Catalog Record</v>
      </c>
      <c r="AW3482" s="6" t="str">
        <f>HYPERLINK("http://www.worldcat.org/oclc/828409776","WorldCat Record")</f>
        <v>WorldCat Record</v>
      </c>
      <c r="AX3482" s="3" t="s">
        <v>34610</v>
      </c>
      <c r="AY3482" s="3" t="s">
        <v>34611</v>
      </c>
      <c r="AZ3482" s="3" t="s">
        <v>34612</v>
      </c>
      <c r="BA3482" s="3" t="s">
        <v>34612</v>
      </c>
      <c r="BB3482" s="3" t="s">
        <v>34613</v>
      </c>
      <c r="BC3482" s="3" t="s">
        <v>77</v>
      </c>
      <c r="BD3482" s="3" t="s">
        <v>106</v>
      </c>
      <c r="BE3482" s="3" t="s">
        <v>34614</v>
      </c>
      <c r="BF3482" s="3" t="s">
        <v>34613</v>
      </c>
      <c r="BG3482" s="3" t="s">
        <v>34615</v>
      </c>
    </row>
    <row r="3483" spans="1:59" ht="72.5" x14ac:dyDescent="0.35">
      <c r="A3483" s="2" t="s">
        <v>59</v>
      </c>
      <c r="B3483" s="2" t="s">
        <v>60</v>
      </c>
      <c r="C3483" s="2" t="s">
        <v>34616</v>
      </c>
      <c r="D3483" s="2" t="s">
        <v>34617</v>
      </c>
      <c r="E3483" s="2" t="s">
        <v>34618</v>
      </c>
      <c r="G3483" s="3" t="s">
        <v>65</v>
      </c>
      <c r="I3483" s="3" t="s">
        <v>65</v>
      </c>
      <c r="J3483" s="3" t="s">
        <v>65</v>
      </c>
      <c r="K3483" s="3" t="s">
        <v>66</v>
      </c>
      <c r="L3483" s="2" t="s">
        <v>34175</v>
      </c>
      <c r="M3483" s="2" t="s">
        <v>34619</v>
      </c>
      <c r="N3483" s="3" t="s">
        <v>188</v>
      </c>
      <c r="P3483" s="3" t="s">
        <v>69</v>
      </c>
      <c r="R3483" s="3" t="s">
        <v>71</v>
      </c>
      <c r="S3483" s="4">
        <v>0</v>
      </c>
      <c r="T3483" s="4">
        <v>0</v>
      </c>
      <c r="W3483" s="5" t="s">
        <v>72</v>
      </c>
      <c r="X3483" s="5" t="s">
        <v>72</v>
      </c>
      <c r="Y3483" s="4">
        <v>336</v>
      </c>
      <c r="Z3483" s="4">
        <v>12</v>
      </c>
      <c r="AA3483" s="4">
        <v>17</v>
      </c>
      <c r="AB3483" s="4">
        <v>3</v>
      </c>
      <c r="AC3483" s="4">
        <v>7</v>
      </c>
      <c r="AD3483" s="4">
        <v>21</v>
      </c>
      <c r="AE3483" s="4">
        <v>21</v>
      </c>
      <c r="AF3483" s="4">
        <v>0</v>
      </c>
      <c r="AG3483" s="4">
        <v>0</v>
      </c>
      <c r="AH3483" s="4">
        <v>21</v>
      </c>
      <c r="AI3483" s="4">
        <v>21</v>
      </c>
      <c r="AJ3483" s="4">
        <v>1</v>
      </c>
      <c r="AK3483" s="4">
        <v>1</v>
      </c>
      <c r="AL3483" s="4">
        <v>15</v>
      </c>
      <c r="AM3483" s="4">
        <v>15</v>
      </c>
      <c r="AN3483" s="4">
        <v>0</v>
      </c>
      <c r="AO3483" s="4">
        <v>0</v>
      </c>
      <c r="AP3483" s="4">
        <v>1</v>
      </c>
      <c r="AQ3483" s="4">
        <v>1</v>
      </c>
      <c r="AR3483" s="3" t="s">
        <v>65</v>
      </c>
      <c r="AS3483" s="3" t="s">
        <v>65</v>
      </c>
      <c r="AT3483" s="3" t="s">
        <v>65</v>
      </c>
      <c r="AV3483" s="6" t="str">
        <f>HYPERLINK("http://mcgill.on.worldcat.org/oclc/981760471","Catalog Record")</f>
        <v>Catalog Record</v>
      </c>
      <c r="AW3483" s="6" t="str">
        <f>HYPERLINK("http://www.worldcat.org/oclc/981760471","WorldCat Record")</f>
        <v>WorldCat Record</v>
      </c>
      <c r="AX3483" s="3" t="s">
        <v>34620</v>
      </c>
      <c r="AY3483" s="3" t="s">
        <v>34621</v>
      </c>
      <c r="AZ3483" s="3" t="s">
        <v>34622</v>
      </c>
      <c r="BA3483" s="3" t="s">
        <v>34622</v>
      </c>
      <c r="BB3483" s="3" t="s">
        <v>34623</v>
      </c>
      <c r="BC3483" s="3" t="s">
        <v>77</v>
      </c>
      <c r="BD3483" s="3" t="s">
        <v>78</v>
      </c>
      <c r="BE3483" s="3" t="s">
        <v>34624</v>
      </c>
      <c r="BF3483" s="3" t="s">
        <v>34623</v>
      </c>
      <c r="BG3483" s="3" t="s">
        <v>34625</v>
      </c>
    </row>
    <row r="3484" spans="1:59" ht="72.5" x14ac:dyDescent="0.35">
      <c r="A3484" s="2" t="s">
        <v>59</v>
      </c>
      <c r="B3484" s="2" t="s">
        <v>60</v>
      </c>
      <c r="C3484" s="2" t="s">
        <v>34626</v>
      </c>
      <c r="D3484" s="2" t="s">
        <v>34627</v>
      </c>
      <c r="E3484" s="2" t="s">
        <v>34628</v>
      </c>
      <c r="G3484" s="3" t="s">
        <v>65</v>
      </c>
      <c r="I3484" s="3" t="s">
        <v>65</v>
      </c>
      <c r="J3484" s="3" t="s">
        <v>65</v>
      </c>
      <c r="K3484" s="3" t="s">
        <v>66</v>
      </c>
      <c r="L3484" s="2" t="s">
        <v>28115</v>
      </c>
      <c r="M3484" s="2" t="s">
        <v>34304</v>
      </c>
      <c r="N3484" s="3" t="s">
        <v>1122</v>
      </c>
      <c r="P3484" s="3" t="s">
        <v>140</v>
      </c>
      <c r="Q3484" s="2" t="s">
        <v>34629</v>
      </c>
      <c r="R3484" s="3" t="s">
        <v>71</v>
      </c>
      <c r="S3484" s="4">
        <v>3</v>
      </c>
      <c r="T3484" s="4">
        <v>3</v>
      </c>
      <c r="U3484" s="5" t="s">
        <v>34578</v>
      </c>
      <c r="V3484" s="5" t="s">
        <v>34578</v>
      </c>
      <c r="W3484" s="5" t="s">
        <v>72</v>
      </c>
      <c r="X3484" s="5" t="s">
        <v>72</v>
      </c>
      <c r="Y3484" s="4">
        <v>70</v>
      </c>
      <c r="Z3484" s="4">
        <v>6</v>
      </c>
      <c r="AA3484" s="4">
        <v>8</v>
      </c>
      <c r="AB3484" s="4">
        <v>1</v>
      </c>
      <c r="AC3484" s="4">
        <v>3</v>
      </c>
      <c r="AD3484" s="4">
        <v>37</v>
      </c>
      <c r="AE3484" s="4">
        <v>38</v>
      </c>
      <c r="AF3484" s="4">
        <v>0</v>
      </c>
      <c r="AG3484" s="4">
        <v>1</v>
      </c>
      <c r="AH3484" s="4">
        <v>36</v>
      </c>
      <c r="AI3484" s="4">
        <v>36</v>
      </c>
      <c r="AJ3484" s="4">
        <v>4</v>
      </c>
      <c r="AK3484" s="4">
        <v>5</v>
      </c>
      <c r="AL3484" s="4">
        <v>26</v>
      </c>
      <c r="AM3484" s="4">
        <v>26</v>
      </c>
      <c r="AN3484" s="4">
        <v>0</v>
      </c>
      <c r="AO3484" s="4">
        <v>0</v>
      </c>
      <c r="AP3484" s="4">
        <v>4</v>
      </c>
      <c r="AQ3484" s="4">
        <v>4</v>
      </c>
      <c r="AR3484" s="3" t="s">
        <v>65</v>
      </c>
      <c r="AS3484" s="3" t="s">
        <v>65</v>
      </c>
      <c r="AT3484" s="3" t="s">
        <v>65</v>
      </c>
      <c r="AV3484" s="6" t="str">
        <f>HYPERLINK("http://mcgill.on.worldcat.org/oclc/464742422","Catalog Record")</f>
        <v>Catalog Record</v>
      </c>
      <c r="AW3484" s="6" t="str">
        <f>HYPERLINK("http://www.worldcat.org/oclc/464742422","WorldCat Record")</f>
        <v>WorldCat Record</v>
      </c>
      <c r="AX3484" s="3" t="s">
        <v>34630</v>
      </c>
      <c r="AY3484" s="3" t="s">
        <v>34631</v>
      </c>
      <c r="AZ3484" s="3" t="s">
        <v>34632</v>
      </c>
      <c r="BA3484" s="3" t="s">
        <v>34632</v>
      </c>
      <c r="BB3484" s="3" t="s">
        <v>34633</v>
      </c>
      <c r="BC3484" s="3" t="s">
        <v>77</v>
      </c>
      <c r="BD3484" s="3" t="s">
        <v>78</v>
      </c>
      <c r="BE3484" s="3" t="s">
        <v>34634</v>
      </c>
      <c r="BF3484" s="3" t="s">
        <v>34633</v>
      </c>
      <c r="BG3484" s="3" t="s">
        <v>34635</v>
      </c>
    </row>
    <row r="3485" spans="1:59" ht="72.5" x14ac:dyDescent="0.35">
      <c r="A3485" s="2" t="s">
        <v>59</v>
      </c>
      <c r="B3485" s="2" t="s">
        <v>60</v>
      </c>
      <c r="C3485" s="2" t="s">
        <v>34636</v>
      </c>
      <c r="D3485" s="2" t="s">
        <v>34637</v>
      </c>
      <c r="E3485" s="2" t="s">
        <v>34638</v>
      </c>
      <c r="G3485" s="3" t="s">
        <v>65</v>
      </c>
      <c r="I3485" s="3" t="s">
        <v>65</v>
      </c>
      <c r="J3485" s="3" t="s">
        <v>65</v>
      </c>
      <c r="K3485" s="3" t="s">
        <v>66</v>
      </c>
      <c r="L3485" s="2" t="s">
        <v>28115</v>
      </c>
      <c r="M3485" s="2" t="s">
        <v>34639</v>
      </c>
      <c r="N3485" s="3" t="s">
        <v>1122</v>
      </c>
      <c r="O3485" s="2" t="s">
        <v>365</v>
      </c>
      <c r="P3485" s="3" t="s">
        <v>140</v>
      </c>
      <c r="Q3485" s="2" t="s">
        <v>32206</v>
      </c>
      <c r="R3485" s="3" t="s">
        <v>71</v>
      </c>
      <c r="S3485" s="4">
        <v>2</v>
      </c>
      <c r="T3485" s="4">
        <v>2</v>
      </c>
      <c r="U3485" s="5" t="s">
        <v>34578</v>
      </c>
      <c r="V3485" s="5" t="s">
        <v>34578</v>
      </c>
      <c r="W3485" s="5" t="s">
        <v>72</v>
      </c>
      <c r="X3485" s="5" t="s">
        <v>72</v>
      </c>
      <c r="Y3485" s="4">
        <v>78</v>
      </c>
      <c r="Z3485" s="4">
        <v>10</v>
      </c>
      <c r="AA3485" s="4">
        <v>14</v>
      </c>
      <c r="AB3485" s="4">
        <v>2</v>
      </c>
      <c r="AC3485" s="4">
        <v>4</v>
      </c>
      <c r="AD3485" s="4">
        <v>42</v>
      </c>
      <c r="AE3485" s="4">
        <v>44</v>
      </c>
      <c r="AF3485" s="4">
        <v>0</v>
      </c>
      <c r="AG3485" s="4">
        <v>2</v>
      </c>
      <c r="AH3485" s="4">
        <v>40</v>
      </c>
      <c r="AI3485" s="4">
        <v>41</v>
      </c>
      <c r="AJ3485" s="4">
        <v>3</v>
      </c>
      <c r="AK3485" s="4">
        <v>5</v>
      </c>
      <c r="AL3485" s="4">
        <v>31</v>
      </c>
      <c r="AM3485" s="4">
        <v>31</v>
      </c>
      <c r="AN3485" s="4">
        <v>0</v>
      </c>
      <c r="AO3485" s="4">
        <v>0</v>
      </c>
      <c r="AP3485" s="4">
        <v>4</v>
      </c>
      <c r="AQ3485" s="4">
        <v>5</v>
      </c>
      <c r="AR3485" s="3" t="s">
        <v>65</v>
      </c>
      <c r="AS3485" s="3" t="s">
        <v>65</v>
      </c>
      <c r="AT3485" s="3" t="s">
        <v>209</v>
      </c>
      <c r="AU3485" s="6" t="str">
        <f>HYPERLINK("http://catalog.hathitrust.org/Record/005984327","HathiTrust Record")</f>
        <v>HathiTrust Record</v>
      </c>
      <c r="AV3485" s="6" t="str">
        <f>HYPERLINK("http://mcgill.on.worldcat.org/oclc/301754224","Catalog Record")</f>
        <v>Catalog Record</v>
      </c>
      <c r="AW3485" s="6" t="str">
        <f>HYPERLINK("http://www.worldcat.org/oclc/301754224","WorldCat Record")</f>
        <v>WorldCat Record</v>
      </c>
      <c r="AX3485" s="3" t="s">
        <v>34640</v>
      </c>
      <c r="AY3485" s="3" t="s">
        <v>34641</v>
      </c>
      <c r="AZ3485" s="3" t="s">
        <v>34642</v>
      </c>
      <c r="BA3485" s="3" t="s">
        <v>34642</v>
      </c>
      <c r="BB3485" s="3" t="s">
        <v>34643</v>
      </c>
      <c r="BC3485" s="3" t="s">
        <v>77</v>
      </c>
      <c r="BD3485" s="3" t="s">
        <v>78</v>
      </c>
      <c r="BE3485" s="3" t="s">
        <v>34644</v>
      </c>
      <c r="BF3485" s="3" t="s">
        <v>34643</v>
      </c>
      <c r="BG3485" s="3" t="s">
        <v>34645</v>
      </c>
    </row>
    <row r="3486" spans="1:59" ht="72.5" x14ac:dyDescent="0.35">
      <c r="A3486" s="2" t="s">
        <v>59</v>
      </c>
      <c r="B3486" s="2" t="s">
        <v>60</v>
      </c>
      <c r="C3486" s="2" t="s">
        <v>34646</v>
      </c>
      <c r="D3486" s="2" t="s">
        <v>34647</v>
      </c>
      <c r="E3486" s="2" t="s">
        <v>34648</v>
      </c>
      <c r="G3486" s="3" t="s">
        <v>65</v>
      </c>
      <c r="I3486" s="3" t="s">
        <v>65</v>
      </c>
      <c r="J3486" s="3" t="s">
        <v>65</v>
      </c>
      <c r="K3486" s="3" t="s">
        <v>66</v>
      </c>
      <c r="L3486" s="2" t="s">
        <v>28115</v>
      </c>
      <c r="M3486" s="2" t="s">
        <v>27358</v>
      </c>
      <c r="N3486" s="3" t="s">
        <v>126</v>
      </c>
      <c r="P3486" s="3" t="s">
        <v>140</v>
      </c>
      <c r="Q3486" s="2" t="s">
        <v>34649</v>
      </c>
      <c r="R3486" s="3" t="s">
        <v>71</v>
      </c>
      <c r="S3486" s="4">
        <v>1</v>
      </c>
      <c r="T3486" s="4">
        <v>1</v>
      </c>
      <c r="U3486" s="5" t="s">
        <v>10142</v>
      </c>
      <c r="V3486" s="5" t="s">
        <v>10142</v>
      </c>
      <c r="W3486" s="5" t="s">
        <v>72</v>
      </c>
      <c r="X3486" s="5" t="s">
        <v>72</v>
      </c>
      <c r="Y3486" s="4">
        <v>69</v>
      </c>
      <c r="Z3486" s="4">
        <v>9</v>
      </c>
      <c r="AA3486" s="4">
        <v>11</v>
      </c>
      <c r="AB3486" s="4">
        <v>2</v>
      </c>
      <c r="AC3486" s="4">
        <v>4</v>
      </c>
      <c r="AD3486" s="4">
        <v>39</v>
      </c>
      <c r="AE3486" s="4">
        <v>40</v>
      </c>
      <c r="AF3486" s="4">
        <v>0</v>
      </c>
      <c r="AG3486" s="4">
        <v>1</v>
      </c>
      <c r="AH3486" s="4">
        <v>38</v>
      </c>
      <c r="AI3486" s="4">
        <v>38</v>
      </c>
      <c r="AJ3486" s="4">
        <v>3</v>
      </c>
      <c r="AK3486" s="4">
        <v>4</v>
      </c>
      <c r="AL3486" s="4">
        <v>30</v>
      </c>
      <c r="AM3486" s="4">
        <v>30</v>
      </c>
      <c r="AN3486" s="4">
        <v>0</v>
      </c>
      <c r="AO3486" s="4">
        <v>0</v>
      </c>
      <c r="AP3486" s="4">
        <v>3</v>
      </c>
      <c r="AQ3486" s="4">
        <v>3</v>
      </c>
      <c r="AR3486" s="3" t="s">
        <v>65</v>
      </c>
      <c r="AS3486" s="3" t="s">
        <v>65</v>
      </c>
      <c r="AT3486" s="3" t="s">
        <v>65</v>
      </c>
      <c r="AV3486" s="6" t="str">
        <f>HYPERLINK("http://mcgill.on.worldcat.org/oclc/759505774","Catalog Record")</f>
        <v>Catalog Record</v>
      </c>
      <c r="AW3486" s="6" t="str">
        <f>HYPERLINK("http://www.worldcat.org/oclc/759505774","WorldCat Record")</f>
        <v>WorldCat Record</v>
      </c>
      <c r="AX3486" s="3" t="s">
        <v>34650</v>
      </c>
      <c r="AY3486" s="3" t="s">
        <v>34651</v>
      </c>
      <c r="AZ3486" s="3" t="s">
        <v>34652</v>
      </c>
      <c r="BA3486" s="3" t="s">
        <v>34652</v>
      </c>
      <c r="BB3486" s="3" t="s">
        <v>34653</v>
      </c>
      <c r="BC3486" s="3" t="s">
        <v>77</v>
      </c>
      <c r="BD3486" s="3" t="s">
        <v>78</v>
      </c>
      <c r="BE3486" s="3" t="s">
        <v>34654</v>
      </c>
      <c r="BF3486" s="3" t="s">
        <v>34653</v>
      </c>
      <c r="BG3486" s="3" t="s">
        <v>34655</v>
      </c>
    </row>
    <row r="3487" spans="1:59" ht="72.5" x14ac:dyDescent="0.35">
      <c r="A3487" s="2" t="s">
        <v>59</v>
      </c>
      <c r="B3487" s="2" t="s">
        <v>60</v>
      </c>
      <c r="C3487" s="2" t="s">
        <v>34656</v>
      </c>
      <c r="D3487" s="2" t="s">
        <v>34657</v>
      </c>
      <c r="E3487" s="2" t="s">
        <v>34658</v>
      </c>
      <c r="G3487" s="3" t="s">
        <v>65</v>
      </c>
      <c r="I3487" s="3" t="s">
        <v>65</v>
      </c>
      <c r="J3487" s="3" t="s">
        <v>65</v>
      </c>
      <c r="K3487" s="3" t="s">
        <v>66</v>
      </c>
      <c r="L3487" s="2" t="s">
        <v>28115</v>
      </c>
      <c r="M3487" s="2" t="s">
        <v>34248</v>
      </c>
      <c r="N3487" s="3" t="s">
        <v>113</v>
      </c>
      <c r="P3487" s="3" t="s">
        <v>140</v>
      </c>
      <c r="Q3487" s="2" t="s">
        <v>34659</v>
      </c>
      <c r="R3487" s="3" t="s">
        <v>71</v>
      </c>
      <c r="S3487" s="4">
        <v>1</v>
      </c>
      <c r="T3487" s="4">
        <v>1</v>
      </c>
      <c r="U3487" s="5" t="s">
        <v>34660</v>
      </c>
      <c r="V3487" s="5" t="s">
        <v>34660</v>
      </c>
      <c r="W3487" s="5" t="s">
        <v>72</v>
      </c>
      <c r="X3487" s="5" t="s">
        <v>72</v>
      </c>
      <c r="Y3487" s="4">
        <v>94</v>
      </c>
      <c r="Z3487" s="4">
        <v>5</v>
      </c>
      <c r="AA3487" s="4">
        <v>8</v>
      </c>
      <c r="AB3487" s="4">
        <v>1</v>
      </c>
      <c r="AC3487" s="4">
        <v>4</v>
      </c>
      <c r="AD3487" s="4">
        <v>45</v>
      </c>
      <c r="AE3487" s="4">
        <v>46</v>
      </c>
      <c r="AF3487" s="4">
        <v>0</v>
      </c>
      <c r="AG3487" s="4">
        <v>1</v>
      </c>
      <c r="AH3487" s="4">
        <v>44</v>
      </c>
      <c r="AI3487" s="4">
        <v>44</v>
      </c>
      <c r="AJ3487" s="4">
        <v>2</v>
      </c>
      <c r="AK3487" s="4">
        <v>3</v>
      </c>
      <c r="AL3487" s="4">
        <v>35</v>
      </c>
      <c r="AM3487" s="4">
        <v>35</v>
      </c>
      <c r="AN3487" s="4">
        <v>0</v>
      </c>
      <c r="AO3487" s="4">
        <v>0</v>
      </c>
      <c r="AP3487" s="4">
        <v>2</v>
      </c>
      <c r="AQ3487" s="4">
        <v>2</v>
      </c>
      <c r="AR3487" s="3" t="s">
        <v>65</v>
      </c>
      <c r="AS3487" s="3" t="s">
        <v>65</v>
      </c>
      <c r="AT3487" s="3" t="s">
        <v>65</v>
      </c>
      <c r="AV3487" s="6" t="str">
        <f>HYPERLINK("http://mcgill.on.worldcat.org/oclc/679933826","Catalog Record")</f>
        <v>Catalog Record</v>
      </c>
      <c r="AW3487" s="6" t="str">
        <f>HYPERLINK("http://www.worldcat.org/oclc/679933826","WorldCat Record")</f>
        <v>WorldCat Record</v>
      </c>
      <c r="AX3487" s="3" t="s">
        <v>34661</v>
      </c>
      <c r="AY3487" s="3" t="s">
        <v>34662</v>
      </c>
      <c r="AZ3487" s="3" t="s">
        <v>34663</v>
      </c>
      <c r="BA3487" s="3" t="s">
        <v>34663</v>
      </c>
      <c r="BB3487" s="3" t="s">
        <v>34664</v>
      </c>
      <c r="BC3487" s="3" t="s">
        <v>77</v>
      </c>
      <c r="BD3487" s="3" t="s">
        <v>78</v>
      </c>
      <c r="BE3487" s="3" t="s">
        <v>34665</v>
      </c>
      <c r="BF3487" s="3" t="s">
        <v>34664</v>
      </c>
      <c r="BG3487" s="3" t="s">
        <v>34666</v>
      </c>
    </row>
    <row r="3488" spans="1:59" ht="72.5" x14ac:dyDescent="0.35">
      <c r="A3488" s="2" t="s">
        <v>59</v>
      </c>
      <c r="B3488" s="2" t="s">
        <v>60</v>
      </c>
      <c r="C3488" s="2" t="s">
        <v>34667</v>
      </c>
      <c r="D3488" s="2" t="s">
        <v>34668</v>
      </c>
      <c r="E3488" s="2" t="s">
        <v>34669</v>
      </c>
      <c r="G3488" s="3" t="s">
        <v>65</v>
      </c>
      <c r="I3488" s="3" t="s">
        <v>65</v>
      </c>
      <c r="J3488" s="3" t="s">
        <v>65</v>
      </c>
      <c r="K3488" s="3" t="s">
        <v>66</v>
      </c>
      <c r="L3488" s="2" t="s">
        <v>34175</v>
      </c>
      <c r="M3488" s="2" t="s">
        <v>33756</v>
      </c>
      <c r="N3488" s="3" t="s">
        <v>164</v>
      </c>
      <c r="P3488" s="3" t="s">
        <v>69</v>
      </c>
      <c r="Q3488" s="2" t="s">
        <v>33645</v>
      </c>
      <c r="R3488" s="3" t="s">
        <v>71</v>
      </c>
      <c r="S3488" s="4">
        <v>1</v>
      </c>
      <c r="T3488" s="4">
        <v>1</v>
      </c>
      <c r="U3488" s="5" t="s">
        <v>34218</v>
      </c>
      <c r="V3488" s="5" t="s">
        <v>34218</v>
      </c>
      <c r="W3488" s="5" t="s">
        <v>72</v>
      </c>
      <c r="X3488" s="5" t="s">
        <v>72</v>
      </c>
      <c r="Y3488" s="4">
        <v>28</v>
      </c>
      <c r="Z3488" s="4">
        <v>2</v>
      </c>
      <c r="AA3488" s="4">
        <v>2</v>
      </c>
      <c r="AB3488" s="4">
        <v>1</v>
      </c>
      <c r="AC3488" s="4">
        <v>1</v>
      </c>
      <c r="AD3488" s="4">
        <v>1</v>
      </c>
      <c r="AE3488" s="4">
        <v>1</v>
      </c>
      <c r="AF3488" s="4">
        <v>0</v>
      </c>
      <c r="AG3488" s="4">
        <v>0</v>
      </c>
      <c r="AH3488" s="4">
        <v>1</v>
      </c>
      <c r="AI3488" s="4">
        <v>1</v>
      </c>
      <c r="AJ3488" s="4">
        <v>0</v>
      </c>
      <c r="AK3488" s="4">
        <v>0</v>
      </c>
      <c r="AL3488" s="4">
        <v>0</v>
      </c>
      <c r="AM3488" s="4">
        <v>0</v>
      </c>
      <c r="AN3488" s="4">
        <v>0</v>
      </c>
      <c r="AO3488" s="4">
        <v>0</v>
      </c>
      <c r="AP3488" s="4">
        <v>0</v>
      </c>
      <c r="AQ3488" s="4">
        <v>0</v>
      </c>
      <c r="AR3488" s="3" t="s">
        <v>65</v>
      </c>
      <c r="AS3488" s="3" t="s">
        <v>65</v>
      </c>
      <c r="AT3488" s="3" t="s">
        <v>65</v>
      </c>
      <c r="AV3488" s="6" t="str">
        <f>HYPERLINK("http://mcgill.on.worldcat.org/oclc/882983532","Catalog Record")</f>
        <v>Catalog Record</v>
      </c>
      <c r="AW3488" s="6" t="str">
        <f>HYPERLINK("http://www.worldcat.org/oclc/882983532","WorldCat Record")</f>
        <v>WorldCat Record</v>
      </c>
      <c r="AX3488" s="3" t="s">
        <v>34670</v>
      </c>
      <c r="AY3488" s="3" t="s">
        <v>34671</v>
      </c>
      <c r="AZ3488" s="3" t="s">
        <v>34672</v>
      </c>
      <c r="BA3488" s="3" t="s">
        <v>34672</v>
      </c>
      <c r="BB3488" s="3" t="s">
        <v>34673</v>
      </c>
      <c r="BC3488" s="3" t="s">
        <v>77</v>
      </c>
      <c r="BD3488" s="3" t="s">
        <v>78</v>
      </c>
      <c r="BE3488" s="3" t="s">
        <v>34674</v>
      </c>
      <c r="BF3488" s="3" t="s">
        <v>34673</v>
      </c>
      <c r="BG3488" s="3" t="s">
        <v>34675</v>
      </c>
    </row>
    <row r="3489" spans="1:59" ht="72.5" x14ac:dyDescent="0.35">
      <c r="A3489" s="2" t="s">
        <v>59</v>
      </c>
      <c r="B3489" s="2" t="s">
        <v>60</v>
      </c>
      <c r="C3489" s="2" t="s">
        <v>34676</v>
      </c>
      <c r="D3489" s="2" t="s">
        <v>34677</v>
      </c>
      <c r="E3489" s="2" t="s">
        <v>34678</v>
      </c>
      <c r="G3489" s="3" t="s">
        <v>65</v>
      </c>
      <c r="I3489" s="3" t="s">
        <v>65</v>
      </c>
      <c r="J3489" s="3" t="s">
        <v>65</v>
      </c>
      <c r="K3489" s="3" t="s">
        <v>66</v>
      </c>
      <c r="L3489" s="2" t="s">
        <v>28115</v>
      </c>
      <c r="M3489" s="2" t="s">
        <v>21746</v>
      </c>
      <c r="N3489" s="3" t="s">
        <v>152</v>
      </c>
      <c r="O3489" s="2" t="s">
        <v>379</v>
      </c>
      <c r="P3489" s="3" t="s">
        <v>140</v>
      </c>
      <c r="Q3489" s="2" t="s">
        <v>32206</v>
      </c>
      <c r="R3489" s="3" t="s">
        <v>71</v>
      </c>
      <c r="S3489" s="4">
        <v>2</v>
      </c>
      <c r="T3489" s="4">
        <v>2</v>
      </c>
      <c r="U3489" s="5" t="s">
        <v>2631</v>
      </c>
      <c r="V3489" s="5" t="s">
        <v>2631</v>
      </c>
      <c r="W3489" s="5" t="s">
        <v>72</v>
      </c>
      <c r="X3489" s="5" t="s">
        <v>72</v>
      </c>
      <c r="Y3489" s="4">
        <v>61</v>
      </c>
      <c r="Z3489" s="4">
        <v>5</v>
      </c>
      <c r="AA3489" s="4">
        <v>7</v>
      </c>
      <c r="AB3489" s="4">
        <v>1</v>
      </c>
      <c r="AC3489" s="4">
        <v>3</v>
      </c>
      <c r="AD3489" s="4">
        <v>35</v>
      </c>
      <c r="AE3489" s="4">
        <v>36</v>
      </c>
      <c r="AF3489" s="4">
        <v>0</v>
      </c>
      <c r="AG3489" s="4">
        <v>1</v>
      </c>
      <c r="AH3489" s="4">
        <v>34</v>
      </c>
      <c r="AI3489" s="4">
        <v>34</v>
      </c>
      <c r="AJ3489" s="4">
        <v>3</v>
      </c>
      <c r="AK3489" s="4">
        <v>4</v>
      </c>
      <c r="AL3489" s="4">
        <v>26</v>
      </c>
      <c r="AM3489" s="4">
        <v>26</v>
      </c>
      <c r="AN3489" s="4">
        <v>0</v>
      </c>
      <c r="AO3489" s="4">
        <v>0</v>
      </c>
      <c r="AP3489" s="4">
        <v>3</v>
      </c>
      <c r="AQ3489" s="4">
        <v>3</v>
      </c>
      <c r="AR3489" s="3" t="s">
        <v>65</v>
      </c>
      <c r="AS3489" s="3" t="s">
        <v>65</v>
      </c>
      <c r="AT3489" s="3" t="s">
        <v>65</v>
      </c>
      <c r="AV3489" s="6" t="str">
        <f>HYPERLINK("http://mcgill.on.worldcat.org/oclc/826639324","Catalog Record")</f>
        <v>Catalog Record</v>
      </c>
      <c r="AW3489" s="6" t="str">
        <f>HYPERLINK("http://www.worldcat.org/oclc/826639324","WorldCat Record")</f>
        <v>WorldCat Record</v>
      </c>
      <c r="AX3489" s="3" t="s">
        <v>34679</v>
      </c>
      <c r="AY3489" s="3" t="s">
        <v>34680</v>
      </c>
      <c r="AZ3489" s="3" t="s">
        <v>34681</v>
      </c>
      <c r="BA3489" s="3" t="s">
        <v>34681</v>
      </c>
      <c r="BB3489" s="3" t="s">
        <v>34682</v>
      </c>
      <c r="BC3489" s="3" t="s">
        <v>77</v>
      </c>
      <c r="BD3489" s="3" t="s">
        <v>78</v>
      </c>
      <c r="BE3489" s="3" t="s">
        <v>34683</v>
      </c>
      <c r="BF3489" s="3" t="s">
        <v>34682</v>
      </c>
      <c r="BG3489" s="3" t="s">
        <v>34684</v>
      </c>
    </row>
    <row r="3490" spans="1:59" ht="72.5" x14ac:dyDescent="0.35">
      <c r="A3490" s="2" t="s">
        <v>59</v>
      </c>
      <c r="B3490" s="2" t="s">
        <v>60</v>
      </c>
      <c r="C3490" s="2" t="s">
        <v>34685</v>
      </c>
      <c r="D3490" s="2" t="s">
        <v>34686</v>
      </c>
      <c r="E3490" s="2" t="s">
        <v>34687</v>
      </c>
      <c r="G3490" s="3" t="s">
        <v>65</v>
      </c>
      <c r="I3490" s="3" t="s">
        <v>65</v>
      </c>
      <c r="J3490" s="3" t="s">
        <v>65</v>
      </c>
      <c r="K3490" s="3" t="s">
        <v>66</v>
      </c>
      <c r="L3490" s="2" t="s">
        <v>28115</v>
      </c>
      <c r="M3490" s="2" t="s">
        <v>34688</v>
      </c>
      <c r="N3490" s="3" t="s">
        <v>1122</v>
      </c>
      <c r="P3490" s="3" t="s">
        <v>69</v>
      </c>
      <c r="Q3490" s="2" t="s">
        <v>34177</v>
      </c>
      <c r="R3490" s="3" t="s">
        <v>71</v>
      </c>
      <c r="S3490" s="4">
        <v>5</v>
      </c>
      <c r="T3490" s="4">
        <v>5</v>
      </c>
      <c r="U3490" s="5" t="s">
        <v>6399</v>
      </c>
      <c r="V3490" s="5" t="s">
        <v>6399</v>
      </c>
      <c r="W3490" s="5" t="s">
        <v>72</v>
      </c>
      <c r="X3490" s="5" t="s">
        <v>72</v>
      </c>
      <c r="Y3490" s="4">
        <v>687</v>
      </c>
      <c r="Z3490" s="4">
        <v>30</v>
      </c>
      <c r="AA3490" s="4">
        <v>38</v>
      </c>
      <c r="AB3490" s="4">
        <v>3</v>
      </c>
      <c r="AC3490" s="4">
        <v>4</v>
      </c>
      <c r="AD3490" s="4">
        <v>50</v>
      </c>
      <c r="AE3490" s="4">
        <v>51</v>
      </c>
      <c r="AF3490" s="4">
        <v>0</v>
      </c>
      <c r="AG3490" s="4">
        <v>0</v>
      </c>
      <c r="AH3490" s="4">
        <v>47</v>
      </c>
      <c r="AI3490" s="4">
        <v>48</v>
      </c>
      <c r="AJ3490" s="4">
        <v>4</v>
      </c>
      <c r="AK3490" s="4">
        <v>4</v>
      </c>
      <c r="AL3490" s="4">
        <v>29</v>
      </c>
      <c r="AM3490" s="4">
        <v>30</v>
      </c>
      <c r="AN3490" s="4">
        <v>0</v>
      </c>
      <c r="AO3490" s="4">
        <v>0</v>
      </c>
      <c r="AP3490" s="4">
        <v>4</v>
      </c>
      <c r="AQ3490" s="4">
        <v>4</v>
      </c>
      <c r="AR3490" s="3" t="s">
        <v>65</v>
      </c>
      <c r="AS3490" s="3" t="s">
        <v>65</v>
      </c>
      <c r="AT3490" s="3" t="s">
        <v>65</v>
      </c>
      <c r="AV3490" s="6" t="str">
        <f>HYPERLINK("http://mcgill.on.worldcat.org/oclc/191929160","Catalog Record")</f>
        <v>Catalog Record</v>
      </c>
      <c r="AW3490" s="6" t="str">
        <f>HYPERLINK("http://www.worldcat.org/oclc/191929160","WorldCat Record")</f>
        <v>WorldCat Record</v>
      </c>
      <c r="AX3490" s="3" t="s">
        <v>34689</v>
      </c>
      <c r="AY3490" s="3" t="s">
        <v>34690</v>
      </c>
      <c r="AZ3490" s="3" t="s">
        <v>34691</v>
      </c>
      <c r="BA3490" s="3" t="s">
        <v>34691</v>
      </c>
      <c r="BB3490" s="3" t="s">
        <v>34692</v>
      </c>
      <c r="BC3490" s="3" t="s">
        <v>77</v>
      </c>
      <c r="BD3490" s="3" t="s">
        <v>78</v>
      </c>
      <c r="BE3490" s="3" t="s">
        <v>34693</v>
      </c>
      <c r="BF3490" s="3" t="s">
        <v>34692</v>
      </c>
      <c r="BG3490" s="3" t="s">
        <v>34694</v>
      </c>
    </row>
    <row r="3491" spans="1:59" ht="72.5" x14ac:dyDescent="0.35">
      <c r="A3491" s="2" t="s">
        <v>59</v>
      </c>
      <c r="B3491" s="2" t="s">
        <v>60</v>
      </c>
      <c r="C3491" s="2" t="s">
        <v>34695</v>
      </c>
      <c r="D3491" s="2" t="s">
        <v>34696</v>
      </c>
      <c r="E3491" s="2" t="s">
        <v>34697</v>
      </c>
      <c r="G3491" s="3" t="s">
        <v>65</v>
      </c>
      <c r="I3491" s="3" t="s">
        <v>65</v>
      </c>
      <c r="J3491" s="3" t="s">
        <v>65</v>
      </c>
      <c r="K3491" s="3" t="s">
        <v>66</v>
      </c>
      <c r="L3491" s="2" t="s">
        <v>34175</v>
      </c>
      <c r="M3491" s="2" t="s">
        <v>20552</v>
      </c>
      <c r="N3491" s="3" t="s">
        <v>176</v>
      </c>
      <c r="P3491" s="3" t="s">
        <v>140</v>
      </c>
      <c r="Q3491" s="2" t="s">
        <v>34698</v>
      </c>
      <c r="R3491" s="3" t="s">
        <v>71</v>
      </c>
      <c r="S3491" s="4">
        <v>0</v>
      </c>
      <c r="T3491" s="4">
        <v>0</v>
      </c>
      <c r="W3491" s="5" t="s">
        <v>72</v>
      </c>
      <c r="X3491" s="5" t="s">
        <v>72</v>
      </c>
      <c r="Y3491" s="4">
        <v>58</v>
      </c>
      <c r="Z3491" s="4">
        <v>6</v>
      </c>
      <c r="AA3491" s="4">
        <v>6</v>
      </c>
      <c r="AB3491" s="4">
        <v>1</v>
      </c>
      <c r="AC3491" s="4">
        <v>1</v>
      </c>
      <c r="AD3491" s="4">
        <v>39</v>
      </c>
      <c r="AE3491" s="4">
        <v>39</v>
      </c>
      <c r="AF3491" s="4">
        <v>0</v>
      </c>
      <c r="AG3491" s="4">
        <v>0</v>
      </c>
      <c r="AH3491" s="4">
        <v>38</v>
      </c>
      <c r="AI3491" s="4">
        <v>38</v>
      </c>
      <c r="AJ3491" s="4">
        <v>2</v>
      </c>
      <c r="AK3491" s="4">
        <v>2</v>
      </c>
      <c r="AL3491" s="4">
        <v>30</v>
      </c>
      <c r="AM3491" s="4">
        <v>30</v>
      </c>
      <c r="AN3491" s="4">
        <v>0</v>
      </c>
      <c r="AO3491" s="4">
        <v>0</v>
      </c>
      <c r="AP3491" s="4">
        <v>2</v>
      </c>
      <c r="AQ3491" s="4">
        <v>2</v>
      </c>
      <c r="AR3491" s="3" t="s">
        <v>65</v>
      </c>
      <c r="AS3491" s="3" t="s">
        <v>65</v>
      </c>
      <c r="AT3491" s="3" t="s">
        <v>65</v>
      </c>
      <c r="AV3491" s="6" t="str">
        <f>HYPERLINK("http://mcgill.on.worldcat.org/oclc/930605385","Catalog Record")</f>
        <v>Catalog Record</v>
      </c>
      <c r="AW3491" s="6" t="str">
        <f>HYPERLINK("http://www.worldcat.org/oclc/930605385","WorldCat Record")</f>
        <v>WorldCat Record</v>
      </c>
      <c r="AX3491" s="3" t="s">
        <v>34699</v>
      </c>
      <c r="AY3491" s="3" t="s">
        <v>34700</v>
      </c>
      <c r="AZ3491" s="3" t="s">
        <v>34701</v>
      </c>
      <c r="BA3491" s="3" t="s">
        <v>34701</v>
      </c>
      <c r="BB3491" s="3" t="s">
        <v>34702</v>
      </c>
      <c r="BC3491" s="3" t="s">
        <v>77</v>
      </c>
      <c r="BD3491" s="3" t="s">
        <v>78</v>
      </c>
      <c r="BE3491" s="3" t="s">
        <v>34703</v>
      </c>
      <c r="BF3491" s="3" t="s">
        <v>34702</v>
      </c>
      <c r="BG3491" s="3" t="s">
        <v>34704</v>
      </c>
    </row>
    <row r="3492" spans="1:59" ht="72.5" x14ac:dyDescent="0.35">
      <c r="A3492" s="2" t="s">
        <v>59</v>
      </c>
      <c r="B3492" s="2" t="s">
        <v>60</v>
      </c>
      <c r="C3492" s="2" t="s">
        <v>34705</v>
      </c>
      <c r="D3492" s="2" t="s">
        <v>34706</v>
      </c>
      <c r="E3492" s="2" t="s">
        <v>34707</v>
      </c>
      <c r="G3492" s="3" t="s">
        <v>65</v>
      </c>
      <c r="I3492" s="3" t="s">
        <v>65</v>
      </c>
      <c r="J3492" s="3" t="s">
        <v>65</v>
      </c>
      <c r="K3492" s="3" t="s">
        <v>66</v>
      </c>
      <c r="L3492" s="2" t="s">
        <v>28115</v>
      </c>
      <c r="M3492" s="2" t="s">
        <v>34708</v>
      </c>
      <c r="N3492" s="3" t="s">
        <v>139</v>
      </c>
      <c r="P3492" s="3" t="s">
        <v>140</v>
      </c>
      <c r="Q3492" s="2" t="s">
        <v>34709</v>
      </c>
      <c r="R3492" s="3" t="s">
        <v>71</v>
      </c>
      <c r="S3492" s="4">
        <v>0</v>
      </c>
      <c r="T3492" s="4">
        <v>0</v>
      </c>
      <c r="W3492" s="5" t="s">
        <v>72</v>
      </c>
      <c r="X3492" s="5" t="s">
        <v>72</v>
      </c>
      <c r="Y3492" s="4">
        <v>68</v>
      </c>
      <c r="Z3492" s="4">
        <v>7</v>
      </c>
      <c r="AA3492" s="4">
        <v>11</v>
      </c>
      <c r="AB3492" s="4">
        <v>1</v>
      </c>
      <c r="AC3492" s="4">
        <v>5</v>
      </c>
      <c r="AD3492" s="4">
        <v>37</v>
      </c>
      <c r="AE3492" s="4">
        <v>38</v>
      </c>
      <c r="AF3492" s="4">
        <v>0</v>
      </c>
      <c r="AG3492" s="4">
        <v>1</v>
      </c>
      <c r="AH3492" s="4">
        <v>36</v>
      </c>
      <c r="AI3492" s="4">
        <v>36</v>
      </c>
      <c r="AJ3492" s="4">
        <v>4</v>
      </c>
      <c r="AK3492" s="4">
        <v>5</v>
      </c>
      <c r="AL3492" s="4">
        <v>29</v>
      </c>
      <c r="AM3492" s="4">
        <v>29</v>
      </c>
      <c r="AN3492" s="4">
        <v>0</v>
      </c>
      <c r="AO3492" s="4">
        <v>0</v>
      </c>
      <c r="AP3492" s="4">
        <v>4</v>
      </c>
      <c r="AQ3492" s="4">
        <v>4</v>
      </c>
      <c r="AR3492" s="3" t="s">
        <v>65</v>
      </c>
      <c r="AS3492" s="3" t="s">
        <v>65</v>
      </c>
      <c r="AT3492" s="3" t="s">
        <v>65</v>
      </c>
      <c r="AV3492" s="6" t="str">
        <f>HYPERLINK("http://mcgill.on.worldcat.org/oclc/805054034","Catalog Record")</f>
        <v>Catalog Record</v>
      </c>
      <c r="AW3492" s="6" t="str">
        <f>HYPERLINK("http://www.worldcat.org/oclc/805054034","WorldCat Record")</f>
        <v>WorldCat Record</v>
      </c>
      <c r="AX3492" s="3" t="s">
        <v>34710</v>
      </c>
      <c r="AY3492" s="3" t="s">
        <v>34711</v>
      </c>
      <c r="AZ3492" s="3" t="s">
        <v>34712</v>
      </c>
      <c r="BA3492" s="3" t="s">
        <v>34712</v>
      </c>
      <c r="BB3492" s="3" t="s">
        <v>34713</v>
      </c>
      <c r="BC3492" s="3" t="s">
        <v>77</v>
      </c>
      <c r="BD3492" s="3" t="s">
        <v>78</v>
      </c>
      <c r="BE3492" s="3" t="s">
        <v>34714</v>
      </c>
      <c r="BF3492" s="3" t="s">
        <v>34713</v>
      </c>
      <c r="BG3492" s="3" t="s">
        <v>34715</v>
      </c>
    </row>
    <row r="3493" spans="1:59" ht="72.5" x14ac:dyDescent="0.35">
      <c r="A3493" s="2" t="s">
        <v>59</v>
      </c>
      <c r="B3493" s="2" t="s">
        <v>60</v>
      </c>
      <c r="C3493" s="2" t="s">
        <v>34716</v>
      </c>
      <c r="D3493" s="2" t="s">
        <v>34717</v>
      </c>
      <c r="E3493" s="2" t="s">
        <v>34718</v>
      </c>
      <c r="G3493" s="3" t="s">
        <v>65</v>
      </c>
      <c r="I3493" s="3" t="s">
        <v>65</v>
      </c>
      <c r="J3493" s="3" t="s">
        <v>65</v>
      </c>
      <c r="K3493" s="3" t="s">
        <v>66</v>
      </c>
      <c r="L3493" s="2" t="s">
        <v>28115</v>
      </c>
      <c r="M3493" s="2" t="s">
        <v>34377</v>
      </c>
      <c r="N3493" s="3" t="s">
        <v>1196</v>
      </c>
      <c r="P3493" s="3" t="s">
        <v>69</v>
      </c>
      <c r="Q3493" s="2" t="s">
        <v>34177</v>
      </c>
      <c r="R3493" s="3" t="s">
        <v>71</v>
      </c>
      <c r="S3493" s="4">
        <v>3</v>
      </c>
      <c r="T3493" s="4">
        <v>3</v>
      </c>
      <c r="U3493" s="5" t="s">
        <v>34218</v>
      </c>
      <c r="V3493" s="5" t="s">
        <v>34218</v>
      </c>
      <c r="W3493" s="5" t="s">
        <v>72</v>
      </c>
      <c r="X3493" s="5" t="s">
        <v>72</v>
      </c>
      <c r="Y3493" s="4">
        <v>138</v>
      </c>
      <c r="Z3493" s="4">
        <v>8</v>
      </c>
      <c r="AA3493" s="4">
        <v>41</v>
      </c>
      <c r="AB3493" s="4">
        <v>1</v>
      </c>
      <c r="AC3493" s="4">
        <v>6</v>
      </c>
      <c r="AD3493" s="4">
        <v>12</v>
      </c>
      <c r="AE3493" s="4">
        <v>61</v>
      </c>
      <c r="AF3493" s="4">
        <v>0</v>
      </c>
      <c r="AG3493" s="4">
        <v>1</v>
      </c>
      <c r="AH3493" s="4">
        <v>12</v>
      </c>
      <c r="AI3493" s="4">
        <v>57</v>
      </c>
      <c r="AJ3493" s="4">
        <v>2</v>
      </c>
      <c r="AK3493" s="4">
        <v>3</v>
      </c>
      <c r="AL3493" s="4">
        <v>4</v>
      </c>
      <c r="AM3493" s="4">
        <v>39</v>
      </c>
      <c r="AN3493" s="4">
        <v>0</v>
      </c>
      <c r="AO3493" s="4">
        <v>0</v>
      </c>
      <c r="AP3493" s="4">
        <v>2</v>
      </c>
      <c r="AQ3493" s="4">
        <v>4</v>
      </c>
      <c r="AR3493" s="3" t="s">
        <v>65</v>
      </c>
      <c r="AS3493" s="3" t="s">
        <v>65</v>
      </c>
      <c r="AT3493" s="3" t="s">
        <v>65</v>
      </c>
      <c r="AV3493" s="6" t="str">
        <f>HYPERLINK("http://mcgill.on.worldcat.org/oclc/55879964","Catalog Record")</f>
        <v>Catalog Record</v>
      </c>
      <c r="AW3493" s="6" t="str">
        <f>HYPERLINK("http://www.worldcat.org/oclc/55879964","WorldCat Record")</f>
        <v>WorldCat Record</v>
      </c>
      <c r="AX3493" s="3" t="s">
        <v>34719</v>
      </c>
      <c r="AY3493" s="3" t="s">
        <v>34720</v>
      </c>
      <c r="AZ3493" s="3" t="s">
        <v>34721</v>
      </c>
      <c r="BA3493" s="3" t="s">
        <v>34721</v>
      </c>
      <c r="BB3493" s="3" t="s">
        <v>34722</v>
      </c>
      <c r="BC3493" s="3" t="s">
        <v>77</v>
      </c>
      <c r="BD3493" s="3" t="s">
        <v>78</v>
      </c>
      <c r="BE3493" s="3" t="s">
        <v>34723</v>
      </c>
      <c r="BF3493" s="3" t="s">
        <v>34722</v>
      </c>
      <c r="BG3493" s="3" t="s">
        <v>34724</v>
      </c>
    </row>
    <row r="3494" spans="1:59" ht="72.5" x14ac:dyDescent="0.35">
      <c r="A3494" s="2" t="s">
        <v>59</v>
      </c>
      <c r="B3494" s="2" t="s">
        <v>60</v>
      </c>
      <c r="C3494" s="2" t="s">
        <v>34725</v>
      </c>
      <c r="D3494" s="2" t="s">
        <v>34726</v>
      </c>
      <c r="E3494" s="2" t="s">
        <v>34727</v>
      </c>
      <c r="G3494" s="3" t="s">
        <v>65</v>
      </c>
      <c r="I3494" s="3" t="s">
        <v>65</v>
      </c>
      <c r="J3494" s="3" t="s">
        <v>65</v>
      </c>
      <c r="K3494" s="3" t="s">
        <v>66</v>
      </c>
      <c r="L3494" s="2" t="s">
        <v>34175</v>
      </c>
      <c r="M3494" s="2" t="s">
        <v>34176</v>
      </c>
      <c r="N3494" s="3" t="s">
        <v>68</v>
      </c>
      <c r="P3494" s="3" t="s">
        <v>69</v>
      </c>
      <c r="Q3494" s="2" t="s">
        <v>34177</v>
      </c>
      <c r="R3494" s="3" t="s">
        <v>71</v>
      </c>
      <c r="S3494" s="4">
        <v>2</v>
      </c>
      <c r="T3494" s="4">
        <v>2</v>
      </c>
      <c r="U3494" s="5" t="s">
        <v>11274</v>
      </c>
      <c r="V3494" s="5" t="s">
        <v>11274</v>
      </c>
      <c r="W3494" s="5" t="s">
        <v>72</v>
      </c>
      <c r="X3494" s="5" t="s">
        <v>72</v>
      </c>
      <c r="Y3494" s="4">
        <v>559</v>
      </c>
      <c r="Z3494" s="4">
        <v>13</v>
      </c>
      <c r="AA3494" s="4">
        <v>19</v>
      </c>
      <c r="AB3494" s="4">
        <v>2</v>
      </c>
      <c r="AC3494" s="4">
        <v>5</v>
      </c>
      <c r="AD3494" s="4">
        <v>27</v>
      </c>
      <c r="AE3494" s="4">
        <v>28</v>
      </c>
      <c r="AF3494" s="4">
        <v>0</v>
      </c>
      <c r="AG3494" s="4">
        <v>0</v>
      </c>
      <c r="AH3494" s="4">
        <v>26</v>
      </c>
      <c r="AI3494" s="4">
        <v>27</v>
      </c>
      <c r="AJ3494" s="4">
        <v>1</v>
      </c>
      <c r="AK3494" s="4">
        <v>2</v>
      </c>
      <c r="AL3494" s="4">
        <v>19</v>
      </c>
      <c r="AM3494" s="4">
        <v>19</v>
      </c>
      <c r="AN3494" s="4">
        <v>0</v>
      </c>
      <c r="AO3494" s="4">
        <v>0</v>
      </c>
      <c r="AP3494" s="4">
        <v>1</v>
      </c>
      <c r="AQ3494" s="4">
        <v>2</v>
      </c>
      <c r="AR3494" s="3" t="s">
        <v>65</v>
      </c>
      <c r="AS3494" s="3" t="s">
        <v>65</v>
      </c>
      <c r="AT3494" s="3" t="s">
        <v>65</v>
      </c>
      <c r="AV3494" s="6" t="str">
        <f>HYPERLINK("http://mcgill.on.worldcat.org/oclc/944380200","Catalog Record")</f>
        <v>Catalog Record</v>
      </c>
      <c r="AW3494" s="6" t="str">
        <f>HYPERLINK("http://www.worldcat.org/oclc/944380200","WorldCat Record")</f>
        <v>WorldCat Record</v>
      </c>
      <c r="AX3494" s="3" t="s">
        <v>34728</v>
      </c>
      <c r="AY3494" s="3" t="s">
        <v>34729</v>
      </c>
      <c r="AZ3494" s="3" t="s">
        <v>34730</v>
      </c>
      <c r="BA3494" s="3" t="s">
        <v>34730</v>
      </c>
      <c r="BB3494" s="3" t="s">
        <v>34731</v>
      </c>
      <c r="BC3494" s="3" t="s">
        <v>77</v>
      </c>
      <c r="BD3494" s="3" t="s">
        <v>78</v>
      </c>
      <c r="BE3494" s="3" t="s">
        <v>34732</v>
      </c>
      <c r="BF3494" s="3" t="s">
        <v>34731</v>
      </c>
      <c r="BG3494" s="3" t="s">
        <v>34733</v>
      </c>
    </row>
    <row r="3495" spans="1:59" ht="72.5" x14ac:dyDescent="0.35">
      <c r="A3495" s="2" t="s">
        <v>59</v>
      </c>
      <c r="B3495" s="2" t="s">
        <v>60</v>
      </c>
      <c r="C3495" s="2" t="s">
        <v>34734</v>
      </c>
      <c r="D3495" s="2" t="s">
        <v>34735</v>
      </c>
      <c r="E3495" s="2" t="s">
        <v>34736</v>
      </c>
      <c r="G3495" s="3" t="s">
        <v>65</v>
      </c>
      <c r="I3495" s="3" t="s">
        <v>65</v>
      </c>
      <c r="J3495" s="3" t="s">
        <v>65</v>
      </c>
      <c r="K3495" s="3" t="s">
        <v>66</v>
      </c>
      <c r="L3495" s="2" t="s">
        <v>34737</v>
      </c>
      <c r="M3495" s="2" t="s">
        <v>34738</v>
      </c>
      <c r="N3495" s="3" t="s">
        <v>152</v>
      </c>
      <c r="P3495" s="3" t="s">
        <v>69</v>
      </c>
      <c r="R3495" s="3" t="s">
        <v>71</v>
      </c>
      <c r="S3495" s="4">
        <v>0</v>
      </c>
      <c r="T3495" s="4">
        <v>0</v>
      </c>
      <c r="W3495" s="5" t="s">
        <v>72</v>
      </c>
      <c r="X3495" s="5" t="s">
        <v>72</v>
      </c>
      <c r="Y3495" s="4">
        <v>21</v>
      </c>
      <c r="Z3495" s="4">
        <v>1</v>
      </c>
      <c r="AA3495" s="4">
        <v>1</v>
      </c>
      <c r="AB3495" s="4">
        <v>1</v>
      </c>
      <c r="AC3495" s="4">
        <v>1</v>
      </c>
      <c r="AD3495" s="4">
        <v>9</v>
      </c>
      <c r="AE3495" s="4">
        <v>9</v>
      </c>
      <c r="AF3495" s="4">
        <v>0</v>
      </c>
      <c r="AG3495" s="4">
        <v>0</v>
      </c>
      <c r="AH3495" s="4">
        <v>9</v>
      </c>
      <c r="AI3495" s="4">
        <v>9</v>
      </c>
      <c r="AJ3495" s="4">
        <v>0</v>
      </c>
      <c r="AK3495" s="4">
        <v>0</v>
      </c>
      <c r="AL3495" s="4">
        <v>4</v>
      </c>
      <c r="AM3495" s="4">
        <v>4</v>
      </c>
      <c r="AN3495" s="4">
        <v>0</v>
      </c>
      <c r="AO3495" s="4">
        <v>0</v>
      </c>
      <c r="AP3495" s="4">
        <v>0</v>
      </c>
      <c r="AQ3495" s="4">
        <v>0</v>
      </c>
      <c r="AR3495" s="3" t="s">
        <v>65</v>
      </c>
      <c r="AS3495" s="3" t="s">
        <v>65</v>
      </c>
      <c r="AT3495" s="3" t="s">
        <v>65</v>
      </c>
      <c r="AV3495" s="6" t="str">
        <f>HYPERLINK("http://mcgill.on.worldcat.org/oclc/855195957","Catalog Record")</f>
        <v>Catalog Record</v>
      </c>
      <c r="AW3495" s="6" t="str">
        <f>HYPERLINK("http://www.worldcat.org/oclc/855195957","WorldCat Record")</f>
        <v>WorldCat Record</v>
      </c>
      <c r="AX3495" s="3" t="s">
        <v>34739</v>
      </c>
      <c r="AY3495" s="3" t="s">
        <v>34740</v>
      </c>
      <c r="AZ3495" s="3" t="s">
        <v>34741</v>
      </c>
      <c r="BA3495" s="3" t="s">
        <v>34741</v>
      </c>
      <c r="BB3495" s="3" t="s">
        <v>34742</v>
      </c>
      <c r="BC3495" s="3" t="s">
        <v>77</v>
      </c>
      <c r="BD3495" s="3" t="s">
        <v>78</v>
      </c>
      <c r="BE3495" s="3" t="s">
        <v>34743</v>
      </c>
      <c r="BF3495" s="3" t="s">
        <v>34742</v>
      </c>
      <c r="BG3495" s="3" t="s">
        <v>34744</v>
      </c>
    </row>
    <row r="3496" spans="1:59" ht="72.5" x14ac:dyDescent="0.35">
      <c r="A3496" s="2" t="s">
        <v>59</v>
      </c>
      <c r="B3496" s="2" t="s">
        <v>60</v>
      </c>
      <c r="C3496" s="2" t="s">
        <v>34745</v>
      </c>
      <c r="D3496" s="2" t="s">
        <v>34746</v>
      </c>
      <c r="E3496" s="2" t="s">
        <v>34747</v>
      </c>
      <c r="G3496" s="3" t="s">
        <v>65</v>
      </c>
      <c r="I3496" s="3" t="s">
        <v>65</v>
      </c>
      <c r="J3496" s="3" t="s">
        <v>65</v>
      </c>
      <c r="K3496" s="3" t="s">
        <v>66</v>
      </c>
      <c r="L3496" s="2" t="s">
        <v>28115</v>
      </c>
      <c r="M3496" s="2" t="s">
        <v>34748</v>
      </c>
      <c r="N3496" s="3" t="s">
        <v>139</v>
      </c>
      <c r="P3496" s="3" t="s">
        <v>140</v>
      </c>
      <c r="R3496" s="3" t="s">
        <v>71</v>
      </c>
      <c r="S3496" s="4">
        <v>0</v>
      </c>
      <c r="T3496" s="4">
        <v>0</v>
      </c>
      <c r="W3496" s="5" t="s">
        <v>72</v>
      </c>
      <c r="X3496" s="5" t="s">
        <v>72</v>
      </c>
      <c r="Y3496" s="4">
        <v>56</v>
      </c>
      <c r="Z3496" s="4">
        <v>4</v>
      </c>
      <c r="AA3496" s="4">
        <v>4</v>
      </c>
      <c r="AB3496" s="4">
        <v>1</v>
      </c>
      <c r="AC3496" s="4">
        <v>1</v>
      </c>
      <c r="AD3496" s="4">
        <v>37</v>
      </c>
      <c r="AE3496" s="4">
        <v>37</v>
      </c>
      <c r="AF3496" s="4">
        <v>0</v>
      </c>
      <c r="AG3496" s="4">
        <v>0</v>
      </c>
      <c r="AH3496" s="4">
        <v>36</v>
      </c>
      <c r="AI3496" s="4">
        <v>36</v>
      </c>
      <c r="AJ3496" s="4">
        <v>2</v>
      </c>
      <c r="AK3496" s="4">
        <v>2</v>
      </c>
      <c r="AL3496" s="4">
        <v>27</v>
      </c>
      <c r="AM3496" s="4">
        <v>27</v>
      </c>
      <c r="AN3496" s="4">
        <v>0</v>
      </c>
      <c r="AO3496" s="4">
        <v>0</v>
      </c>
      <c r="AP3496" s="4">
        <v>2</v>
      </c>
      <c r="AQ3496" s="4">
        <v>2</v>
      </c>
      <c r="AR3496" s="3" t="s">
        <v>65</v>
      </c>
      <c r="AS3496" s="3" t="s">
        <v>65</v>
      </c>
      <c r="AT3496" s="3" t="s">
        <v>65</v>
      </c>
      <c r="AV3496" s="6" t="str">
        <f>HYPERLINK("http://mcgill.on.worldcat.org/oclc/820120674","Catalog Record")</f>
        <v>Catalog Record</v>
      </c>
      <c r="AW3496" s="6" t="str">
        <f>HYPERLINK("http://www.worldcat.org/oclc/820120674","WorldCat Record")</f>
        <v>WorldCat Record</v>
      </c>
      <c r="AX3496" s="3" t="s">
        <v>34749</v>
      </c>
      <c r="AY3496" s="3" t="s">
        <v>34750</v>
      </c>
      <c r="AZ3496" s="3" t="s">
        <v>34751</v>
      </c>
      <c r="BA3496" s="3" t="s">
        <v>34751</v>
      </c>
      <c r="BB3496" s="3" t="s">
        <v>34752</v>
      </c>
      <c r="BC3496" s="3" t="s">
        <v>77</v>
      </c>
      <c r="BD3496" s="3" t="s">
        <v>78</v>
      </c>
      <c r="BE3496" s="3" t="s">
        <v>34753</v>
      </c>
      <c r="BF3496" s="3" t="s">
        <v>34752</v>
      </c>
      <c r="BG3496" s="3" t="s">
        <v>34754</v>
      </c>
    </row>
    <row r="3497" spans="1:59" ht="72.5" x14ac:dyDescent="0.35">
      <c r="A3497" s="2" t="s">
        <v>59</v>
      </c>
      <c r="B3497" s="2" t="s">
        <v>60</v>
      </c>
      <c r="C3497" s="2" t="s">
        <v>34755</v>
      </c>
      <c r="D3497" s="2" t="s">
        <v>34756</v>
      </c>
      <c r="E3497" s="2" t="s">
        <v>34757</v>
      </c>
      <c r="G3497" s="3" t="s">
        <v>65</v>
      </c>
      <c r="I3497" s="3" t="s">
        <v>65</v>
      </c>
      <c r="J3497" s="3" t="s">
        <v>65</v>
      </c>
      <c r="K3497" s="3" t="s">
        <v>66</v>
      </c>
      <c r="L3497" s="2" t="s">
        <v>34758</v>
      </c>
      <c r="M3497" s="2" t="s">
        <v>200</v>
      </c>
      <c r="N3497" s="3" t="s">
        <v>139</v>
      </c>
      <c r="P3497" s="3" t="s">
        <v>140</v>
      </c>
      <c r="Q3497" s="2" t="s">
        <v>34759</v>
      </c>
      <c r="R3497" s="3" t="s">
        <v>71</v>
      </c>
      <c r="S3497" s="4">
        <v>0</v>
      </c>
      <c r="T3497" s="4">
        <v>0</v>
      </c>
      <c r="W3497" s="5" t="s">
        <v>72</v>
      </c>
      <c r="X3497" s="5" t="s">
        <v>72</v>
      </c>
      <c r="Y3497" s="4">
        <v>59</v>
      </c>
      <c r="Z3497" s="4">
        <v>5</v>
      </c>
      <c r="AA3497" s="4">
        <v>7</v>
      </c>
      <c r="AB3497" s="4">
        <v>1</v>
      </c>
      <c r="AC3497" s="4">
        <v>3</v>
      </c>
      <c r="AD3497" s="4">
        <v>36</v>
      </c>
      <c r="AE3497" s="4">
        <v>37</v>
      </c>
      <c r="AF3497" s="4">
        <v>0</v>
      </c>
      <c r="AG3497" s="4">
        <v>1</v>
      </c>
      <c r="AH3497" s="4">
        <v>35</v>
      </c>
      <c r="AI3497" s="4">
        <v>35</v>
      </c>
      <c r="AJ3497" s="4">
        <v>3</v>
      </c>
      <c r="AK3497" s="4">
        <v>4</v>
      </c>
      <c r="AL3497" s="4">
        <v>27</v>
      </c>
      <c r="AM3497" s="4">
        <v>27</v>
      </c>
      <c r="AN3497" s="4">
        <v>0</v>
      </c>
      <c r="AO3497" s="4">
        <v>0</v>
      </c>
      <c r="AP3497" s="4">
        <v>3</v>
      </c>
      <c r="AQ3497" s="4">
        <v>3</v>
      </c>
      <c r="AR3497" s="3" t="s">
        <v>65</v>
      </c>
      <c r="AS3497" s="3" t="s">
        <v>65</v>
      </c>
      <c r="AT3497" s="3" t="s">
        <v>65</v>
      </c>
      <c r="AV3497" s="6" t="str">
        <f>HYPERLINK("http://mcgill.on.worldcat.org/oclc/813927221","Catalog Record")</f>
        <v>Catalog Record</v>
      </c>
      <c r="AW3497" s="6" t="str">
        <f>HYPERLINK("http://www.worldcat.org/oclc/813927221","WorldCat Record")</f>
        <v>WorldCat Record</v>
      </c>
      <c r="AX3497" s="3" t="s">
        <v>34760</v>
      </c>
      <c r="AY3497" s="3" t="s">
        <v>34761</v>
      </c>
      <c r="AZ3497" s="3" t="s">
        <v>34762</v>
      </c>
      <c r="BA3497" s="3" t="s">
        <v>34762</v>
      </c>
      <c r="BB3497" s="3" t="s">
        <v>34763</v>
      </c>
      <c r="BC3497" s="3" t="s">
        <v>77</v>
      </c>
      <c r="BD3497" s="3" t="s">
        <v>78</v>
      </c>
      <c r="BE3497" s="3" t="s">
        <v>34764</v>
      </c>
      <c r="BF3497" s="3" t="s">
        <v>34763</v>
      </c>
      <c r="BG3497" s="3" t="s">
        <v>34765</v>
      </c>
    </row>
    <row r="3498" spans="1:59" ht="72.5" x14ac:dyDescent="0.35">
      <c r="A3498" s="2" t="s">
        <v>59</v>
      </c>
      <c r="B3498" s="2" t="s">
        <v>60</v>
      </c>
      <c r="C3498" s="2" t="s">
        <v>34766</v>
      </c>
      <c r="D3498" s="2" t="s">
        <v>34767</v>
      </c>
      <c r="E3498" s="2" t="s">
        <v>34768</v>
      </c>
      <c r="G3498" s="3" t="s">
        <v>65</v>
      </c>
      <c r="I3498" s="3" t="s">
        <v>65</v>
      </c>
      <c r="J3498" s="3" t="s">
        <v>65</v>
      </c>
      <c r="K3498" s="3" t="s">
        <v>66</v>
      </c>
      <c r="M3498" s="2" t="s">
        <v>20552</v>
      </c>
      <c r="N3498" s="3" t="s">
        <v>176</v>
      </c>
      <c r="P3498" s="3" t="s">
        <v>140</v>
      </c>
      <c r="Q3498" s="2" t="s">
        <v>34769</v>
      </c>
      <c r="R3498" s="3" t="s">
        <v>71</v>
      </c>
      <c r="S3498" s="4">
        <v>0</v>
      </c>
      <c r="T3498" s="4">
        <v>0</v>
      </c>
      <c r="W3498" s="5" t="s">
        <v>72</v>
      </c>
      <c r="X3498" s="5" t="s">
        <v>72</v>
      </c>
      <c r="Y3498" s="4">
        <v>51</v>
      </c>
      <c r="Z3498" s="4">
        <v>4</v>
      </c>
      <c r="AA3498" s="4">
        <v>4</v>
      </c>
      <c r="AB3498" s="4">
        <v>1</v>
      </c>
      <c r="AC3498" s="4">
        <v>1</v>
      </c>
      <c r="AD3498" s="4">
        <v>36</v>
      </c>
      <c r="AE3498" s="4">
        <v>36</v>
      </c>
      <c r="AF3498" s="4">
        <v>0</v>
      </c>
      <c r="AG3498" s="4">
        <v>0</v>
      </c>
      <c r="AH3498" s="4">
        <v>35</v>
      </c>
      <c r="AI3498" s="4">
        <v>35</v>
      </c>
      <c r="AJ3498" s="4">
        <v>2</v>
      </c>
      <c r="AK3498" s="4">
        <v>2</v>
      </c>
      <c r="AL3498" s="4">
        <v>28</v>
      </c>
      <c r="AM3498" s="4">
        <v>28</v>
      </c>
      <c r="AN3498" s="4">
        <v>0</v>
      </c>
      <c r="AO3498" s="4">
        <v>0</v>
      </c>
      <c r="AP3498" s="4">
        <v>2</v>
      </c>
      <c r="AQ3498" s="4">
        <v>2</v>
      </c>
      <c r="AR3498" s="3" t="s">
        <v>65</v>
      </c>
      <c r="AS3498" s="3" t="s">
        <v>65</v>
      </c>
      <c r="AT3498" s="3" t="s">
        <v>65</v>
      </c>
      <c r="AV3498" s="6" t="str">
        <f>HYPERLINK("http://mcgill.on.worldcat.org/oclc/910505671","Catalog Record")</f>
        <v>Catalog Record</v>
      </c>
      <c r="AW3498" s="6" t="str">
        <f>HYPERLINK("http://www.worldcat.org/oclc/910505671","WorldCat Record")</f>
        <v>WorldCat Record</v>
      </c>
      <c r="AX3498" s="3" t="s">
        <v>34770</v>
      </c>
      <c r="AY3498" s="3" t="s">
        <v>34771</v>
      </c>
      <c r="AZ3498" s="3" t="s">
        <v>34772</v>
      </c>
      <c r="BA3498" s="3" t="s">
        <v>34772</v>
      </c>
      <c r="BB3498" s="3" t="s">
        <v>34773</v>
      </c>
      <c r="BC3498" s="3" t="s">
        <v>77</v>
      </c>
      <c r="BD3498" s="3" t="s">
        <v>78</v>
      </c>
      <c r="BE3498" s="3" t="s">
        <v>34774</v>
      </c>
      <c r="BF3498" s="3" t="s">
        <v>34773</v>
      </c>
      <c r="BG3498" s="3" t="s">
        <v>34775</v>
      </c>
    </row>
    <row r="3499" spans="1:59" ht="72.5" x14ac:dyDescent="0.35">
      <c r="A3499" s="2" t="s">
        <v>59</v>
      </c>
      <c r="B3499" s="2" t="s">
        <v>60</v>
      </c>
      <c r="C3499" s="2" t="s">
        <v>34776</v>
      </c>
      <c r="D3499" s="2" t="s">
        <v>34777</v>
      </c>
      <c r="E3499" s="2" t="s">
        <v>34778</v>
      </c>
      <c r="G3499" s="3" t="s">
        <v>65</v>
      </c>
      <c r="I3499" s="3" t="s">
        <v>65</v>
      </c>
      <c r="J3499" s="3" t="s">
        <v>65</v>
      </c>
      <c r="K3499" s="3" t="s">
        <v>66</v>
      </c>
      <c r="L3499" s="2" t="s">
        <v>34779</v>
      </c>
      <c r="M3499" s="2" t="s">
        <v>34780</v>
      </c>
      <c r="N3499" s="3" t="s">
        <v>139</v>
      </c>
      <c r="P3499" s="3" t="s">
        <v>140</v>
      </c>
      <c r="Q3499" s="2" t="s">
        <v>34781</v>
      </c>
      <c r="R3499" s="3" t="s">
        <v>71</v>
      </c>
      <c r="S3499" s="4">
        <v>0</v>
      </c>
      <c r="T3499" s="4">
        <v>0</v>
      </c>
      <c r="W3499" s="5" t="s">
        <v>72</v>
      </c>
      <c r="X3499" s="5" t="s">
        <v>72</v>
      </c>
      <c r="Y3499" s="4">
        <v>45</v>
      </c>
      <c r="Z3499" s="4">
        <v>5</v>
      </c>
      <c r="AA3499" s="4">
        <v>5</v>
      </c>
      <c r="AB3499" s="4">
        <v>1</v>
      </c>
      <c r="AC3499" s="4">
        <v>1</v>
      </c>
      <c r="AD3499" s="4">
        <v>29</v>
      </c>
      <c r="AE3499" s="4">
        <v>31</v>
      </c>
      <c r="AF3499" s="4">
        <v>0</v>
      </c>
      <c r="AG3499" s="4">
        <v>0</v>
      </c>
      <c r="AH3499" s="4">
        <v>28</v>
      </c>
      <c r="AI3499" s="4">
        <v>30</v>
      </c>
      <c r="AJ3499" s="4">
        <v>3</v>
      </c>
      <c r="AK3499" s="4">
        <v>3</v>
      </c>
      <c r="AL3499" s="4">
        <v>22</v>
      </c>
      <c r="AM3499" s="4">
        <v>24</v>
      </c>
      <c r="AN3499" s="4">
        <v>0</v>
      </c>
      <c r="AO3499" s="4">
        <v>0</v>
      </c>
      <c r="AP3499" s="4">
        <v>3</v>
      </c>
      <c r="AQ3499" s="4">
        <v>3</v>
      </c>
      <c r="AR3499" s="3" t="s">
        <v>65</v>
      </c>
      <c r="AS3499" s="3" t="s">
        <v>65</v>
      </c>
      <c r="AT3499" s="3" t="s">
        <v>65</v>
      </c>
      <c r="AV3499" s="6" t="str">
        <f>HYPERLINK("http://mcgill.on.worldcat.org/oclc/788214478","Catalog Record")</f>
        <v>Catalog Record</v>
      </c>
      <c r="AW3499" s="6" t="str">
        <f>HYPERLINK("http://www.worldcat.org/oclc/788214478","WorldCat Record")</f>
        <v>WorldCat Record</v>
      </c>
      <c r="AX3499" s="3" t="s">
        <v>34782</v>
      </c>
      <c r="AY3499" s="3" t="s">
        <v>34783</v>
      </c>
      <c r="AZ3499" s="3" t="s">
        <v>34784</v>
      </c>
      <c r="BA3499" s="3" t="s">
        <v>34784</v>
      </c>
      <c r="BB3499" s="3" t="s">
        <v>34785</v>
      </c>
      <c r="BC3499" s="3" t="s">
        <v>77</v>
      </c>
      <c r="BD3499" s="3" t="s">
        <v>78</v>
      </c>
      <c r="BE3499" s="3" t="s">
        <v>34786</v>
      </c>
      <c r="BF3499" s="3" t="s">
        <v>34785</v>
      </c>
      <c r="BG3499" s="3" t="s">
        <v>34787</v>
      </c>
    </row>
    <row r="3500" spans="1:59" ht="72.5" x14ac:dyDescent="0.35">
      <c r="A3500" s="2" t="s">
        <v>59</v>
      </c>
      <c r="B3500" s="2" t="s">
        <v>60</v>
      </c>
      <c r="C3500" s="2" t="s">
        <v>34788</v>
      </c>
      <c r="D3500" s="2" t="s">
        <v>34789</v>
      </c>
      <c r="E3500" s="2" t="s">
        <v>34790</v>
      </c>
      <c r="G3500" s="3" t="s">
        <v>65</v>
      </c>
      <c r="I3500" s="3" t="s">
        <v>65</v>
      </c>
      <c r="J3500" s="3" t="s">
        <v>65</v>
      </c>
      <c r="K3500" s="3" t="s">
        <v>66</v>
      </c>
      <c r="L3500" s="2" t="s">
        <v>34791</v>
      </c>
      <c r="M3500" s="2" t="s">
        <v>34792</v>
      </c>
      <c r="N3500" s="3" t="s">
        <v>113</v>
      </c>
      <c r="O3500" s="2" t="s">
        <v>365</v>
      </c>
      <c r="P3500" s="3" t="s">
        <v>140</v>
      </c>
      <c r="Q3500" s="2" t="s">
        <v>34793</v>
      </c>
      <c r="R3500" s="3" t="s">
        <v>71</v>
      </c>
      <c r="S3500" s="4">
        <v>0</v>
      </c>
      <c r="T3500" s="4">
        <v>0</v>
      </c>
      <c r="W3500" s="5" t="s">
        <v>72</v>
      </c>
      <c r="X3500" s="5" t="s">
        <v>72</v>
      </c>
      <c r="Y3500" s="4">
        <v>13</v>
      </c>
      <c r="Z3500" s="4">
        <v>1</v>
      </c>
      <c r="AA3500" s="4">
        <v>1</v>
      </c>
      <c r="AB3500" s="4">
        <v>1</v>
      </c>
      <c r="AC3500" s="4">
        <v>1</v>
      </c>
      <c r="AD3500" s="4">
        <v>7</v>
      </c>
      <c r="AE3500" s="4">
        <v>7</v>
      </c>
      <c r="AF3500" s="4">
        <v>0</v>
      </c>
      <c r="AG3500" s="4">
        <v>0</v>
      </c>
      <c r="AH3500" s="4">
        <v>7</v>
      </c>
      <c r="AI3500" s="4">
        <v>7</v>
      </c>
      <c r="AJ3500" s="4">
        <v>0</v>
      </c>
      <c r="AK3500" s="4">
        <v>0</v>
      </c>
      <c r="AL3500" s="4">
        <v>5</v>
      </c>
      <c r="AM3500" s="4">
        <v>5</v>
      </c>
      <c r="AN3500" s="4">
        <v>0</v>
      </c>
      <c r="AO3500" s="4">
        <v>0</v>
      </c>
      <c r="AP3500" s="4">
        <v>0</v>
      </c>
      <c r="AQ3500" s="4">
        <v>0</v>
      </c>
      <c r="AR3500" s="3" t="s">
        <v>65</v>
      </c>
      <c r="AS3500" s="3" t="s">
        <v>65</v>
      </c>
      <c r="AT3500" s="3" t="s">
        <v>65</v>
      </c>
      <c r="AV3500" s="6" t="str">
        <f>HYPERLINK("http://mcgill.on.worldcat.org/oclc/749781335","Catalog Record")</f>
        <v>Catalog Record</v>
      </c>
      <c r="AW3500" s="6" t="str">
        <f>HYPERLINK("http://www.worldcat.org/oclc/749781335","WorldCat Record")</f>
        <v>WorldCat Record</v>
      </c>
      <c r="AX3500" s="3" t="s">
        <v>34794</v>
      </c>
      <c r="AY3500" s="3" t="s">
        <v>34795</v>
      </c>
      <c r="AZ3500" s="3" t="s">
        <v>34796</v>
      </c>
      <c r="BA3500" s="3" t="s">
        <v>34796</v>
      </c>
      <c r="BB3500" s="3" t="s">
        <v>34797</v>
      </c>
      <c r="BC3500" s="3" t="s">
        <v>77</v>
      </c>
      <c r="BD3500" s="3" t="s">
        <v>78</v>
      </c>
      <c r="BE3500" s="3" t="s">
        <v>34798</v>
      </c>
      <c r="BF3500" s="3" t="s">
        <v>34797</v>
      </c>
      <c r="BG3500" s="3" t="s">
        <v>34799</v>
      </c>
    </row>
    <row r="3501" spans="1:59" ht="72.5" x14ac:dyDescent="0.35">
      <c r="A3501" s="2" t="s">
        <v>59</v>
      </c>
      <c r="B3501" s="2" t="s">
        <v>60</v>
      </c>
      <c r="C3501" s="2" t="s">
        <v>34800</v>
      </c>
      <c r="D3501" s="2" t="s">
        <v>34801</v>
      </c>
      <c r="E3501" s="2" t="s">
        <v>34802</v>
      </c>
      <c r="G3501" s="3" t="s">
        <v>65</v>
      </c>
      <c r="I3501" s="3" t="s">
        <v>65</v>
      </c>
      <c r="J3501" s="3" t="s">
        <v>65</v>
      </c>
      <c r="K3501" s="3" t="s">
        <v>66</v>
      </c>
      <c r="L3501" s="2" t="s">
        <v>3827</v>
      </c>
      <c r="M3501" s="2" t="s">
        <v>34803</v>
      </c>
      <c r="N3501" s="3" t="s">
        <v>126</v>
      </c>
      <c r="O3501" s="2" t="s">
        <v>365</v>
      </c>
      <c r="P3501" s="3" t="s">
        <v>140</v>
      </c>
      <c r="Q3501" s="2" t="s">
        <v>22053</v>
      </c>
      <c r="R3501" s="3" t="s">
        <v>71</v>
      </c>
      <c r="S3501" s="4">
        <v>0</v>
      </c>
      <c r="T3501" s="4">
        <v>0</v>
      </c>
      <c r="W3501" s="5" t="s">
        <v>72</v>
      </c>
      <c r="X3501" s="5" t="s">
        <v>72</v>
      </c>
      <c r="Y3501" s="4">
        <v>51</v>
      </c>
      <c r="Z3501" s="4">
        <v>9</v>
      </c>
      <c r="AA3501" s="4">
        <v>9</v>
      </c>
      <c r="AB3501" s="4">
        <v>1</v>
      </c>
      <c r="AC3501" s="4">
        <v>1</v>
      </c>
      <c r="AD3501" s="4">
        <v>31</v>
      </c>
      <c r="AE3501" s="4">
        <v>31</v>
      </c>
      <c r="AF3501" s="4">
        <v>0</v>
      </c>
      <c r="AG3501" s="4">
        <v>0</v>
      </c>
      <c r="AH3501" s="4">
        <v>30</v>
      </c>
      <c r="AI3501" s="4">
        <v>30</v>
      </c>
      <c r="AJ3501" s="4">
        <v>4</v>
      </c>
      <c r="AK3501" s="4">
        <v>4</v>
      </c>
      <c r="AL3501" s="4">
        <v>20</v>
      </c>
      <c r="AM3501" s="4">
        <v>20</v>
      </c>
      <c r="AN3501" s="4">
        <v>0</v>
      </c>
      <c r="AO3501" s="4">
        <v>0</v>
      </c>
      <c r="AP3501" s="4">
        <v>4</v>
      </c>
      <c r="AQ3501" s="4">
        <v>4</v>
      </c>
      <c r="AR3501" s="3" t="s">
        <v>65</v>
      </c>
      <c r="AS3501" s="3" t="s">
        <v>65</v>
      </c>
      <c r="AT3501" s="3" t="s">
        <v>65</v>
      </c>
      <c r="AV3501" s="6" t="str">
        <f>HYPERLINK("http://mcgill.on.worldcat.org/oclc/719413418","Catalog Record")</f>
        <v>Catalog Record</v>
      </c>
      <c r="AW3501" s="6" t="str">
        <f>HYPERLINK("http://www.worldcat.org/oclc/719413418","WorldCat Record")</f>
        <v>WorldCat Record</v>
      </c>
      <c r="AX3501" s="3" t="s">
        <v>34804</v>
      </c>
      <c r="AY3501" s="3" t="s">
        <v>34805</v>
      </c>
      <c r="AZ3501" s="3" t="s">
        <v>34806</v>
      </c>
      <c r="BA3501" s="3" t="s">
        <v>34806</v>
      </c>
      <c r="BB3501" s="3" t="s">
        <v>34807</v>
      </c>
      <c r="BC3501" s="3" t="s">
        <v>77</v>
      </c>
      <c r="BD3501" s="3" t="s">
        <v>78</v>
      </c>
      <c r="BE3501" s="3" t="s">
        <v>34808</v>
      </c>
      <c r="BF3501" s="3" t="s">
        <v>34807</v>
      </c>
      <c r="BG3501" s="3" t="s">
        <v>34809</v>
      </c>
    </row>
    <row r="3502" spans="1:59" ht="72.5" x14ac:dyDescent="0.35">
      <c r="A3502" s="2" t="s">
        <v>59</v>
      </c>
      <c r="B3502" s="2" t="s">
        <v>60</v>
      </c>
      <c r="C3502" s="2" t="s">
        <v>34810</v>
      </c>
      <c r="D3502" s="2" t="s">
        <v>34811</v>
      </c>
      <c r="E3502" s="2" t="s">
        <v>34812</v>
      </c>
      <c r="G3502" s="3" t="s">
        <v>65</v>
      </c>
      <c r="I3502" s="3" t="s">
        <v>65</v>
      </c>
      <c r="J3502" s="3" t="s">
        <v>65</v>
      </c>
      <c r="K3502" s="3" t="s">
        <v>66</v>
      </c>
      <c r="L3502" s="2" t="s">
        <v>34813</v>
      </c>
      <c r="M3502" s="2" t="s">
        <v>34814</v>
      </c>
      <c r="N3502" s="3" t="s">
        <v>68</v>
      </c>
      <c r="O3502" s="2" t="s">
        <v>379</v>
      </c>
      <c r="P3502" s="3" t="s">
        <v>140</v>
      </c>
      <c r="Q3502" s="2" t="s">
        <v>34815</v>
      </c>
      <c r="R3502" s="3" t="s">
        <v>71</v>
      </c>
      <c r="S3502" s="4">
        <v>1</v>
      </c>
      <c r="T3502" s="4">
        <v>1</v>
      </c>
      <c r="U3502" s="5" t="s">
        <v>22919</v>
      </c>
      <c r="V3502" s="5" t="s">
        <v>22919</v>
      </c>
      <c r="W3502" s="5" t="s">
        <v>72</v>
      </c>
      <c r="X3502" s="5" t="s">
        <v>72</v>
      </c>
      <c r="Y3502" s="4">
        <v>37</v>
      </c>
      <c r="Z3502" s="4">
        <v>1</v>
      </c>
      <c r="AA3502" s="4">
        <v>1</v>
      </c>
      <c r="AB3502" s="4">
        <v>1</v>
      </c>
      <c r="AC3502" s="4">
        <v>1</v>
      </c>
      <c r="AD3502" s="4">
        <v>28</v>
      </c>
      <c r="AE3502" s="4">
        <v>28</v>
      </c>
      <c r="AF3502" s="4">
        <v>0</v>
      </c>
      <c r="AG3502" s="4">
        <v>0</v>
      </c>
      <c r="AH3502" s="4">
        <v>27</v>
      </c>
      <c r="AI3502" s="4">
        <v>27</v>
      </c>
      <c r="AJ3502" s="4">
        <v>0</v>
      </c>
      <c r="AK3502" s="4">
        <v>0</v>
      </c>
      <c r="AL3502" s="4">
        <v>22</v>
      </c>
      <c r="AM3502" s="4">
        <v>22</v>
      </c>
      <c r="AN3502" s="4">
        <v>0</v>
      </c>
      <c r="AO3502" s="4">
        <v>0</v>
      </c>
      <c r="AP3502" s="4">
        <v>0</v>
      </c>
      <c r="AQ3502" s="4">
        <v>0</v>
      </c>
      <c r="AR3502" s="3" t="s">
        <v>65</v>
      </c>
      <c r="AS3502" s="3" t="s">
        <v>65</v>
      </c>
      <c r="AT3502" s="3" t="s">
        <v>65</v>
      </c>
      <c r="AV3502" s="6" t="str">
        <f>HYPERLINK("http://mcgill.on.worldcat.org/oclc/976020620","Catalog Record")</f>
        <v>Catalog Record</v>
      </c>
      <c r="AW3502" s="6" t="str">
        <f>HYPERLINK("http://www.worldcat.org/oclc/976020620","WorldCat Record")</f>
        <v>WorldCat Record</v>
      </c>
      <c r="AX3502" s="3" t="s">
        <v>34816</v>
      </c>
      <c r="AY3502" s="3" t="s">
        <v>34817</v>
      </c>
      <c r="AZ3502" s="3" t="s">
        <v>34818</v>
      </c>
      <c r="BA3502" s="3" t="s">
        <v>34818</v>
      </c>
      <c r="BB3502" s="3" t="s">
        <v>34819</v>
      </c>
      <c r="BC3502" s="3" t="s">
        <v>77</v>
      </c>
      <c r="BD3502" s="3" t="s">
        <v>78</v>
      </c>
      <c r="BE3502" s="3" t="s">
        <v>34820</v>
      </c>
      <c r="BF3502" s="3" t="s">
        <v>34819</v>
      </c>
      <c r="BG3502" s="3" t="s">
        <v>34821</v>
      </c>
    </row>
    <row r="3503" spans="1:59" ht="72.5" x14ac:dyDescent="0.35">
      <c r="A3503" s="2" t="s">
        <v>59</v>
      </c>
      <c r="B3503" s="2" t="s">
        <v>60</v>
      </c>
      <c r="C3503" s="2" t="s">
        <v>34822</v>
      </c>
      <c r="D3503" s="2" t="s">
        <v>34823</v>
      </c>
      <c r="E3503" s="2" t="s">
        <v>34824</v>
      </c>
      <c r="G3503" s="3" t="s">
        <v>65</v>
      </c>
      <c r="I3503" s="3" t="s">
        <v>65</v>
      </c>
      <c r="J3503" s="3" t="s">
        <v>65</v>
      </c>
      <c r="K3503" s="3" t="s">
        <v>66</v>
      </c>
      <c r="L3503" s="2" t="s">
        <v>34825</v>
      </c>
      <c r="M3503" s="2" t="s">
        <v>34826</v>
      </c>
      <c r="N3503" s="3" t="s">
        <v>139</v>
      </c>
      <c r="P3503" s="3" t="s">
        <v>140</v>
      </c>
      <c r="Q3503" s="2" t="s">
        <v>34827</v>
      </c>
      <c r="R3503" s="3" t="s">
        <v>71</v>
      </c>
      <c r="S3503" s="4">
        <v>0</v>
      </c>
      <c r="T3503" s="4">
        <v>0</v>
      </c>
      <c r="W3503" s="5" t="s">
        <v>72</v>
      </c>
      <c r="X3503" s="5" t="s">
        <v>72</v>
      </c>
      <c r="Y3503" s="4">
        <v>35</v>
      </c>
      <c r="Z3503" s="4">
        <v>3</v>
      </c>
      <c r="AA3503" s="4">
        <v>3</v>
      </c>
      <c r="AB3503" s="4">
        <v>1</v>
      </c>
      <c r="AC3503" s="4">
        <v>1</v>
      </c>
      <c r="AD3503" s="4">
        <v>25</v>
      </c>
      <c r="AE3503" s="4">
        <v>25</v>
      </c>
      <c r="AF3503" s="4">
        <v>0</v>
      </c>
      <c r="AG3503" s="4">
        <v>0</v>
      </c>
      <c r="AH3503" s="4">
        <v>24</v>
      </c>
      <c r="AI3503" s="4">
        <v>24</v>
      </c>
      <c r="AJ3503" s="4">
        <v>1</v>
      </c>
      <c r="AK3503" s="4">
        <v>1</v>
      </c>
      <c r="AL3503" s="4">
        <v>21</v>
      </c>
      <c r="AM3503" s="4">
        <v>21</v>
      </c>
      <c r="AN3503" s="4">
        <v>0</v>
      </c>
      <c r="AO3503" s="4">
        <v>0</v>
      </c>
      <c r="AP3503" s="4">
        <v>1</v>
      </c>
      <c r="AQ3503" s="4">
        <v>1</v>
      </c>
      <c r="AR3503" s="3" t="s">
        <v>65</v>
      </c>
      <c r="AS3503" s="3" t="s">
        <v>65</v>
      </c>
      <c r="AT3503" s="3" t="s">
        <v>65</v>
      </c>
      <c r="AV3503" s="6" t="str">
        <f>HYPERLINK("http://mcgill.on.worldcat.org/oclc/816040874","Catalog Record")</f>
        <v>Catalog Record</v>
      </c>
      <c r="AW3503" s="6" t="str">
        <f>HYPERLINK("http://www.worldcat.org/oclc/816040874","WorldCat Record")</f>
        <v>WorldCat Record</v>
      </c>
      <c r="AX3503" s="3" t="s">
        <v>34828</v>
      </c>
      <c r="AY3503" s="3" t="s">
        <v>34829</v>
      </c>
      <c r="AZ3503" s="3" t="s">
        <v>34830</v>
      </c>
      <c r="BA3503" s="3" t="s">
        <v>34830</v>
      </c>
      <c r="BB3503" s="3" t="s">
        <v>34831</v>
      </c>
      <c r="BC3503" s="3" t="s">
        <v>77</v>
      </c>
      <c r="BD3503" s="3" t="s">
        <v>78</v>
      </c>
      <c r="BE3503" s="3" t="s">
        <v>34832</v>
      </c>
      <c r="BF3503" s="3" t="s">
        <v>34831</v>
      </c>
      <c r="BG3503" s="3" t="s">
        <v>34833</v>
      </c>
    </row>
    <row r="3504" spans="1:59" ht="72.5" x14ac:dyDescent="0.35">
      <c r="A3504" s="2" t="s">
        <v>59</v>
      </c>
      <c r="B3504" s="2" t="s">
        <v>60</v>
      </c>
      <c r="C3504" s="2" t="s">
        <v>34834</v>
      </c>
      <c r="D3504" s="2" t="s">
        <v>34835</v>
      </c>
      <c r="E3504" s="2" t="s">
        <v>34836</v>
      </c>
      <c r="G3504" s="3" t="s">
        <v>65</v>
      </c>
      <c r="I3504" s="3" t="s">
        <v>65</v>
      </c>
      <c r="J3504" s="3" t="s">
        <v>65</v>
      </c>
      <c r="K3504" s="3" t="s">
        <v>66</v>
      </c>
      <c r="L3504" s="2" t="s">
        <v>34837</v>
      </c>
      <c r="M3504" s="2" t="s">
        <v>34838</v>
      </c>
      <c r="N3504" s="3" t="s">
        <v>176</v>
      </c>
      <c r="O3504" s="2" t="s">
        <v>379</v>
      </c>
      <c r="P3504" s="3" t="s">
        <v>140</v>
      </c>
      <c r="Q3504" s="2" t="s">
        <v>34839</v>
      </c>
      <c r="R3504" s="3" t="s">
        <v>71</v>
      </c>
      <c r="S3504" s="4">
        <v>0</v>
      </c>
      <c r="T3504" s="4">
        <v>0</v>
      </c>
      <c r="W3504" s="5" t="s">
        <v>72</v>
      </c>
      <c r="X3504" s="5" t="s">
        <v>72</v>
      </c>
      <c r="Y3504" s="4">
        <v>51</v>
      </c>
      <c r="Z3504" s="4">
        <v>3</v>
      </c>
      <c r="AA3504" s="4">
        <v>3</v>
      </c>
      <c r="AB3504" s="4">
        <v>1</v>
      </c>
      <c r="AC3504" s="4">
        <v>1</v>
      </c>
      <c r="AD3504" s="4">
        <v>37</v>
      </c>
      <c r="AE3504" s="4">
        <v>37</v>
      </c>
      <c r="AF3504" s="4">
        <v>0</v>
      </c>
      <c r="AG3504" s="4">
        <v>0</v>
      </c>
      <c r="AH3504" s="4">
        <v>36</v>
      </c>
      <c r="AI3504" s="4">
        <v>36</v>
      </c>
      <c r="AJ3504" s="4">
        <v>1</v>
      </c>
      <c r="AK3504" s="4">
        <v>1</v>
      </c>
      <c r="AL3504" s="4">
        <v>30</v>
      </c>
      <c r="AM3504" s="4">
        <v>30</v>
      </c>
      <c r="AN3504" s="4">
        <v>0</v>
      </c>
      <c r="AO3504" s="4">
        <v>0</v>
      </c>
      <c r="AP3504" s="4">
        <v>1</v>
      </c>
      <c r="AQ3504" s="4">
        <v>1</v>
      </c>
      <c r="AR3504" s="3" t="s">
        <v>65</v>
      </c>
      <c r="AS3504" s="3" t="s">
        <v>65</v>
      </c>
      <c r="AT3504" s="3" t="s">
        <v>65</v>
      </c>
      <c r="AV3504" s="6" t="str">
        <f>HYPERLINK("http://mcgill.on.worldcat.org/oclc/926733478","Catalog Record")</f>
        <v>Catalog Record</v>
      </c>
      <c r="AW3504" s="6" t="str">
        <f>HYPERLINK("http://www.worldcat.org/oclc/926733478","WorldCat Record")</f>
        <v>WorldCat Record</v>
      </c>
      <c r="AX3504" s="3" t="s">
        <v>34840</v>
      </c>
      <c r="AY3504" s="3" t="s">
        <v>34841</v>
      </c>
      <c r="AZ3504" s="3" t="s">
        <v>34842</v>
      </c>
      <c r="BA3504" s="3" t="s">
        <v>34842</v>
      </c>
      <c r="BB3504" s="3" t="s">
        <v>34843</v>
      </c>
      <c r="BC3504" s="3" t="s">
        <v>77</v>
      </c>
      <c r="BD3504" s="3" t="s">
        <v>78</v>
      </c>
      <c r="BE3504" s="3" t="s">
        <v>34844</v>
      </c>
      <c r="BF3504" s="3" t="s">
        <v>34843</v>
      </c>
      <c r="BG3504" s="3" t="s">
        <v>34845</v>
      </c>
    </row>
    <row r="3505" spans="1:59" ht="72.5" x14ac:dyDescent="0.35">
      <c r="A3505" s="2" t="s">
        <v>59</v>
      </c>
      <c r="B3505" s="2" t="s">
        <v>60</v>
      </c>
      <c r="C3505" s="2" t="s">
        <v>34846</v>
      </c>
      <c r="D3505" s="2" t="s">
        <v>34847</v>
      </c>
      <c r="E3505" s="2" t="s">
        <v>34848</v>
      </c>
      <c r="G3505" s="3" t="s">
        <v>65</v>
      </c>
      <c r="I3505" s="3" t="s">
        <v>65</v>
      </c>
      <c r="J3505" s="3" t="s">
        <v>65</v>
      </c>
      <c r="K3505" s="3" t="s">
        <v>66</v>
      </c>
      <c r="L3505" s="2" t="s">
        <v>34825</v>
      </c>
      <c r="M3505" s="2" t="s">
        <v>34849</v>
      </c>
      <c r="N3505" s="3" t="s">
        <v>139</v>
      </c>
      <c r="P3505" s="3" t="s">
        <v>140</v>
      </c>
      <c r="Q3505" s="2" t="s">
        <v>29924</v>
      </c>
      <c r="R3505" s="3" t="s">
        <v>71</v>
      </c>
      <c r="S3505" s="4">
        <v>0</v>
      </c>
      <c r="T3505" s="4">
        <v>0</v>
      </c>
      <c r="W3505" s="5" t="s">
        <v>72</v>
      </c>
      <c r="X3505" s="5" t="s">
        <v>72</v>
      </c>
      <c r="Y3505" s="4">
        <v>27</v>
      </c>
      <c r="Z3505" s="4">
        <v>1</v>
      </c>
      <c r="AA3505" s="4">
        <v>1</v>
      </c>
      <c r="AB3505" s="4">
        <v>1</v>
      </c>
      <c r="AC3505" s="4">
        <v>1</v>
      </c>
      <c r="AD3505" s="4">
        <v>22</v>
      </c>
      <c r="AE3505" s="4">
        <v>22</v>
      </c>
      <c r="AF3505" s="4">
        <v>0</v>
      </c>
      <c r="AG3505" s="4">
        <v>0</v>
      </c>
      <c r="AH3505" s="4">
        <v>21</v>
      </c>
      <c r="AI3505" s="4">
        <v>21</v>
      </c>
      <c r="AJ3505" s="4">
        <v>0</v>
      </c>
      <c r="AK3505" s="4">
        <v>0</v>
      </c>
      <c r="AL3505" s="4">
        <v>19</v>
      </c>
      <c r="AM3505" s="4">
        <v>19</v>
      </c>
      <c r="AN3505" s="4">
        <v>0</v>
      </c>
      <c r="AO3505" s="4">
        <v>0</v>
      </c>
      <c r="AP3505" s="4">
        <v>0</v>
      </c>
      <c r="AQ3505" s="4">
        <v>0</v>
      </c>
      <c r="AR3505" s="3" t="s">
        <v>65</v>
      </c>
      <c r="AS3505" s="3" t="s">
        <v>65</v>
      </c>
      <c r="AT3505" s="3" t="s">
        <v>65</v>
      </c>
      <c r="AV3505" s="6" t="str">
        <f>HYPERLINK("http://mcgill.on.worldcat.org/oclc/794703403","Catalog Record")</f>
        <v>Catalog Record</v>
      </c>
      <c r="AW3505" s="6" t="str">
        <f>HYPERLINK("http://www.worldcat.org/oclc/794703403","WorldCat Record")</f>
        <v>WorldCat Record</v>
      </c>
      <c r="AX3505" s="3" t="s">
        <v>34850</v>
      </c>
      <c r="AY3505" s="3" t="s">
        <v>34851</v>
      </c>
      <c r="AZ3505" s="3" t="s">
        <v>34852</v>
      </c>
      <c r="BA3505" s="3" t="s">
        <v>34852</v>
      </c>
      <c r="BB3505" s="3" t="s">
        <v>34853</v>
      </c>
      <c r="BC3505" s="3" t="s">
        <v>77</v>
      </c>
      <c r="BD3505" s="3" t="s">
        <v>78</v>
      </c>
      <c r="BE3505" s="3" t="s">
        <v>34854</v>
      </c>
      <c r="BF3505" s="3" t="s">
        <v>34853</v>
      </c>
      <c r="BG3505" s="3" t="s">
        <v>34855</v>
      </c>
    </row>
    <row r="3506" spans="1:59" ht="58" x14ac:dyDescent="0.35">
      <c r="A3506" s="2" t="s">
        <v>59</v>
      </c>
      <c r="B3506" s="2" t="s">
        <v>60</v>
      </c>
      <c r="C3506" s="2" t="s">
        <v>34856</v>
      </c>
      <c r="D3506" s="2" t="s">
        <v>34857</v>
      </c>
      <c r="E3506" s="2" t="s">
        <v>34858</v>
      </c>
      <c r="G3506" s="3" t="s">
        <v>65</v>
      </c>
      <c r="I3506" s="3" t="s">
        <v>65</v>
      </c>
      <c r="J3506" s="3" t="s">
        <v>65</v>
      </c>
      <c r="K3506" s="3" t="s">
        <v>66</v>
      </c>
      <c r="L3506" s="2" t="s">
        <v>34825</v>
      </c>
      <c r="M3506" s="2" t="s">
        <v>34859</v>
      </c>
      <c r="N3506" s="3" t="s">
        <v>126</v>
      </c>
      <c r="O3506" s="2" t="s">
        <v>365</v>
      </c>
      <c r="P3506" s="3" t="s">
        <v>140</v>
      </c>
      <c r="Q3506" s="2" t="s">
        <v>34860</v>
      </c>
      <c r="R3506" s="3" t="s">
        <v>71</v>
      </c>
      <c r="S3506" s="4">
        <v>1</v>
      </c>
      <c r="T3506" s="4">
        <v>1</v>
      </c>
      <c r="U3506" s="5" t="s">
        <v>34861</v>
      </c>
      <c r="V3506" s="5" t="s">
        <v>34861</v>
      </c>
      <c r="W3506" s="5" t="s">
        <v>72</v>
      </c>
      <c r="X3506" s="5" t="s">
        <v>72</v>
      </c>
      <c r="Y3506" s="4">
        <v>44</v>
      </c>
      <c r="Z3506" s="4">
        <v>4</v>
      </c>
      <c r="AA3506" s="4">
        <v>4</v>
      </c>
      <c r="AB3506" s="4">
        <v>1</v>
      </c>
      <c r="AC3506" s="4">
        <v>1</v>
      </c>
      <c r="AD3506" s="4">
        <v>34</v>
      </c>
      <c r="AE3506" s="4">
        <v>34</v>
      </c>
      <c r="AF3506" s="4">
        <v>0</v>
      </c>
      <c r="AG3506" s="4">
        <v>0</v>
      </c>
      <c r="AH3506" s="4">
        <v>33</v>
      </c>
      <c r="AI3506" s="4">
        <v>33</v>
      </c>
      <c r="AJ3506" s="4">
        <v>2</v>
      </c>
      <c r="AK3506" s="4">
        <v>2</v>
      </c>
      <c r="AL3506" s="4">
        <v>25</v>
      </c>
      <c r="AM3506" s="4">
        <v>25</v>
      </c>
      <c r="AN3506" s="4">
        <v>0</v>
      </c>
      <c r="AO3506" s="4">
        <v>0</v>
      </c>
      <c r="AP3506" s="4">
        <v>2</v>
      </c>
      <c r="AQ3506" s="4">
        <v>2</v>
      </c>
      <c r="AR3506" s="3" t="s">
        <v>65</v>
      </c>
      <c r="AS3506" s="3" t="s">
        <v>65</v>
      </c>
      <c r="AT3506" s="3" t="s">
        <v>65</v>
      </c>
      <c r="AV3506" s="6" t="str">
        <f>HYPERLINK("http://mcgill.on.worldcat.org/oclc/773016589","Catalog Record")</f>
        <v>Catalog Record</v>
      </c>
      <c r="AW3506" s="6" t="str">
        <f>HYPERLINK("http://www.worldcat.org/oclc/773016589","WorldCat Record")</f>
        <v>WorldCat Record</v>
      </c>
      <c r="AX3506" s="3" t="s">
        <v>34862</v>
      </c>
      <c r="AY3506" s="3" t="s">
        <v>34863</v>
      </c>
      <c r="AZ3506" s="3" t="s">
        <v>34864</v>
      </c>
      <c r="BA3506" s="3" t="s">
        <v>34864</v>
      </c>
      <c r="BB3506" s="3" t="s">
        <v>34865</v>
      </c>
      <c r="BC3506" s="3" t="s">
        <v>77</v>
      </c>
      <c r="BD3506" s="3" t="s">
        <v>78</v>
      </c>
      <c r="BE3506" s="3" t="s">
        <v>34866</v>
      </c>
      <c r="BF3506" s="3" t="s">
        <v>34865</v>
      </c>
      <c r="BG3506" s="3" t="s">
        <v>34867</v>
      </c>
    </row>
    <row r="3507" spans="1:59" ht="58" x14ac:dyDescent="0.35">
      <c r="A3507" s="2" t="s">
        <v>59</v>
      </c>
      <c r="B3507" s="2" t="s">
        <v>60</v>
      </c>
      <c r="C3507" s="2" t="s">
        <v>34868</v>
      </c>
      <c r="D3507" s="2" t="s">
        <v>34869</v>
      </c>
      <c r="E3507" s="2" t="s">
        <v>34870</v>
      </c>
      <c r="G3507" s="3" t="s">
        <v>65</v>
      </c>
      <c r="I3507" s="3" t="s">
        <v>65</v>
      </c>
      <c r="J3507" s="3" t="s">
        <v>65</v>
      </c>
      <c r="K3507" s="3" t="s">
        <v>66</v>
      </c>
      <c r="L3507" s="2" t="s">
        <v>34825</v>
      </c>
      <c r="M3507" s="2" t="s">
        <v>34871</v>
      </c>
      <c r="N3507" s="3" t="s">
        <v>11262</v>
      </c>
      <c r="P3507" s="3" t="s">
        <v>140</v>
      </c>
      <c r="Q3507" s="2" t="s">
        <v>34872</v>
      </c>
      <c r="R3507" s="3" t="s">
        <v>71</v>
      </c>
      <c r="S3507" s="4">
        <v>1</v>
      </c>
      <c r="T3507" s="4">
        <v>1</v>
      </c>
      <c r="U3507" s="5" t="s">
        <v>34861</v>
      </c>
      <c r="V3507" s="5" t="s">
        <v>34861</v>
      </c>
      <c r="W3507" s="5" t="s">
        <v>72</v>
      </c>
      <c r="X3507" s="5" t="s">
        <v>72</v>
      </c>
      <c r="Y3507" s="4">
        <v>25</v>
      </c>
      <c r="Z3507" s="4">
        <v>3</v>
      </c>
      <c r="AA3507" s="4">
        <v>3</v>
      </c>
      <c r="AB3507" s="4">
        <v>1</v>
      </c>
      <c r="AC3507" s="4">
        <v>1</v>
      </c>
      <c r="AD3507" s="4">
        <v>14</v>
      </c>
      <c r="AE3507" s="4">
        <v>14</v>
      </c>
      <c r="AF3507" s="4">
        <v>0</v>
      </c>
      <c r="AG3507" s="4">
        <v>0</v>
      </c>
      <c r="AH3507" s="4">
        <v>12</v>
      </c>
      <c r="AI3507" s="4">
        <v>12</v>
      </c>
      <c r="AJ3507" s="4">
        <v>1</v>
      </c>
      <c r="AK3507" s="4">
        <v>1</v>
      </c>
      <c r="AL3507" s="4">
        <v>11</v>
      </c>
      <c r="AM3507" s="4">
        <v>11</v>
      </c>
      <c r="AN3507" s="4">
        <v>0</v>
      </c>
      <c r="AO3507" s="4">
        <v>0</v>
      </c>
      <c r="AP3507" s="4">
        <v>1</v>
      </c>
      <c r="AQ3507" s="4">
        <v>1</v>
      </c>
      <c r="AR3507" s="3" t="s">
        <v>65</v>
      </c>
      <c r="AS3507" s="3" t="s">
        <v>65</v>
      </c>
      <c r="AT3507" s="3" t="s">
        <v>209</v>
      </c>
      <c r="AU3507" s="6" t="str">
        <f>HYPERLINK("http://catalog.hathitrust.org/Record/006647398","HathiTrust Record")</f>
        <v>HathiTrust Record</v>
      </c>
      <c r="AV3507" s="6" t="str">
        <f>HYPERLINK("http://mcgill.on.worldcat.org/oclc/10826888","Catalog Record")</f>
        <v>Catalog Record</v>
      </c>
      <c r="AW3507" s="6" t="str">
        <f>HYPERLINK("http://www.worldcat.org/oclc/10826888","WorldCat Record")</f>
        <v>WorldCat Record</v>
      </c>
      <c r="AX3507" s="3" t="s">
        <v>34873</v>
      </c>
      <c r="AY3507" s="3" t="s">
        <v>34874</v>
      </c>
      <c r="AZ3507" s="3" t="s">
        <v>34875</v>
      </c>
      <c r="BA3507" s="3" t="s">
        <v>34875</v>
      </c>
      <c r="BB3507" s="3" t="s">
        <v>34876</v>
      </c>
      <c r="BC3507" s="3" t="s">
        <v>77</v>
      </c>
      <c r="BD3507" s="3" t="s">
        <v>78</v>
      </c>
      <c r="BF3507" s="3" t="s">
        <v>34876</v>
      </c>
      <c r="BG3507" s="3" t="s">
        <v>34877</v>
      </c>
    </row>
    <row r="3508" spans="1:59" ht="58" x14ac:dyDescent="0.35">
      <c r="A3508" s="2" t="s">
        <v>59</v>
      </c>
      <c r="B3508" s="2" t="s">
        <v>60</v>
      </c>
      <c r="C3508" s="2" t="s">
        <v>34878</v>
      </c>
      <c r="D3508" s="2" t="s">
        <v>34879</v>
      </c>
      <c r="E3508" s="2" t="s">
        <v>34880</v>
      </c>
      <c r="G3508" s="3" t="s">
        <v>65</v>
      </c>
      <c r="I3508" s="3" t="s">
        <v>65</v>
      </c>
      <c r="J3508" s="3" t="s">
        <v>65</v>
      </c>
      <c r="K3508" s="3" t="s">
        <v>66</v>
      </c>
      <c r="L3508" s="2" t="s">
        <v>34881</v>
      </c>
      <c r="M3508" s="2" t="s">
        <v>34882</v>
      </c>
      <c r="N3508" s="3" t="s">
        <v>188</v>
      </c>
      <c r="P3508" s="3" t="s">
        <v>140</v>
      </c>
      <c r="Q3508" s="2" t="s">
        <v>34883</v>
      </c>
      <c r="R3508" s="3" t="s">
        <v>71</v>
      </c>
      <c r="S3508" s="4">
        <v>0</v>
      </c>
      <c r="T3508" s="4">
        <v>0</v>
      </c>
      <c r="W3508" s="5" t="s">
        <v>72</v>
      </c>
      <c r="X3508" s="5" t="s">
        <v>72</v>
      </c>
      <c r="Y3508" s="4">
        <v>18</v>
      </c>
      <c r="Z3508" s="4">
        <v>1</v>
      </c>
      <c r="AA3508" s="4">
        <v>2</v>
      </c>
      <c r="AB3508" s="4">
        <v>1</v>
      </c>
      <c r="AC3508" s="4">
        <v>2</v>
      </c>
      <c r="AD3508" s="4">
        <v>13</v>
      </c>
      <c r="AE3508" s="4">
        <v>13</v>
      </c>
      <c r="AF3508" s="4">
        <v>0</v>
      </c>
      <c r="AG3508" s="4">
        <v>0</v>
      </c>
      <c r="AH3508" s="4">
        <v>12</v>
      </c>
      <c r="AI3508" s="4">
        <v>12</v>
      </c>
      <c r="AJ3508" s="4">
        <v>0</v>
      </c>
      <c r="AK3508" s="4">
        <v>0</v>
      </c>
      <c r="AL3508" s="4">
        <v>11</v>
      </c>
      <c r="AM3508" s="4">
        <v>11</v>
      </c>
      <c r="AN3508" s="4">
        <v>0</v>
      </c>
      <c r="AO3508" s="4">
        <v>0</v>
      </c>
      <c r="AP3508" s="4">
        <v>0</v>
      </c>
      <c r="AQ3508" s="4">
        <v>0</v>
      </c>
      <c r="AR3508" s="3" t="s">
        <v>65</v>
      </c>
      <c r="AS3508" s="3" t="s">
        <v>65</v>
      </c>
      <c r="AT3508" s="3" t="s">
        <v>65</v>
      </c>
      <c r="AV3508" s="6" t="str">
        <f>HYPERLINK("http://mcgill.on.worldcat.org/oclc/1023631130","Catalog Record")</f>
        <v>Catalog Record</v>
      </c>
      <c r="AW3508" s="6" t="str">
        <f>HYPERLINK("http://www.worldcat.org/oclc/1023631130","WorldCat Record")</f>
        <v>WorldCat Record</v>
      </c>
      <c r="AX3508" s="3" t="s">
        <v>34884</v>
      </c>
      <c r="AY3508" s="3" t="s">
        <v>34885</v>
      </c>
      <c r="AZ3508" s="3" t="s">
        <v>34886</v>
      </c>
      <c r="BA3508" s="3" t="s">
        <v>34886</v>
      </c>
      <c r="BB3508" s="3" t="s">
        <v>34887</v>
      </c>
      <c r="BC3508" s="3" t="s">
        <v>77</v>
      </c>
      <c r="BD3508" s="3" t="s">
        <v>78</v>
      </c>
      <c r="BE3508" s="3" t="s">
        <v>34888</v>
      </c>
      <c r="BF3508" s="3" t="s">
        <v>34887</v>
      </c>
      <c r="BG3508" s="3" t="s">
        <v>34889</v>
      </c>
    </row>
    <row r="3509" spans="1:59" ht="72.5" x14ac:dyDescent="0.35">
      <c r="A3509" s="2" t="s">
        <v>59</v>
      </c>
      <c r="B3509" s="2" t="s">
        <v>60</v>
      </c>
      <c r="C3509" s="2" t="s">
        <v>34890</v>
      </c>
      <c r="D3509" s="2" t="s">
        <v>34891</v>
      </c>
      <c r="E3509" s="2" t="s">
        <v>34892</v>
      </c>
      <c r="G3509" s="3" t="s">
        <v>65</v>
      </c>
      <c r="I3509" s="3" t="s">
        <v>65</v>
      </c>
      <c r="J3509" s="3" t="s">
        <v>65</v>
      </c>
      <c r="K3509" s="3" t="s">
        <v>66</v>
      </c>
      <c r="L3509" s="2" t="s">
        <v>34893</v>
      </c>
      <c r="M3509" s="2" t="s">
        <v>34894</v>
      </c>
      <c r="N3509" s="3" t="s">
        <v>152</v>
      </c>
      <c r="O3509" s="2" t="s">
        <v>33714</v>
      </c>
      <c r="P3509" s="3" t="s">
        <v>140</v>
      </c>
      <c r="Q3509" s="2" t="s">
        <v>33715</v>
      </c>
      <c r="R3509" s="3" t="s">
        <v>71</v>
      </c>
      <c r="S3509" s="4">
        <v>0</v>
      </c>
      <c r="T3509" s="4">
        <v>0</v>
      </c>
      <c r="W3509" s="5" t="s">
        <v>72</v>
      </c>
      <c r="X3509" s="5" t="s">
        <v>72</v>
      </c>
      <c r="Y3509" s="4">
        <v>35</v>
      </c>
      <c r="Z3509" s="4">
        <v>7</v>
      </c>
      <c r="AA3509" s="4">
        <v>8</v>
      </c>
      <c r="AB3509" s="4">
        <v>1</v>
      </c>
      <c r="AC3509" s="4">
        <v>2</v>
      </c>
      <c r="AD3509" s="4">
        <v>24</v>
      </c>
      <c r="AE3509" s="4">
        <v>24</v>
      </c>
      <c r="AF3509" s="4">
        <v>0</v>
      </c>
      <c r="AG3509" s="4">
        <v>0</v>
      </c>
      <c r="AH3509" s="4">
        <v>23</v>
      </c>
      <c r="AI3509" s="4">
        <v>23</v>
      </c>
      <c r="AJ3509" s="4">
        <v>4</v>
      </c>
      <c r="AK3509" s="4">
        <v>4</v>
      </c>
      <c r="AL3509" s="4">
        <v>16</v>
      </c>
      <c r="AM3509" s="4">
        <v>16</v>
      </c>
      <c r="AN3509" s="4">
        <v>0</v>
      </c>
      <c r="AO3509" s="4">
        <v>0</v>
      </c>
      <c r="AP3509" s="4">
        <v>4</v>
      </c>
      <c r="AQ3509" s="4">
        <v>4</v>
      </c>
      <c r="AR3509" s="3" t="s">
        <v>65</v>
      </c>
      <c r="AS3509" s="3" t="s">
        <v>65</v>
      </c>
      <c r="AT3509" s="3" t="s">
        <v>65</v>
      </c>
      <c r="AV3509" s="6" t="str">
        <f>HYPERLINK("http://mcgill.on.worldcat.org/oclc/827227845","Catalog Record")</f>
        <v>Catalog Record</v>
      </c>
      <c r="AW3509" s="6" t="str">
        <f>HYPERLINK("http://www.worldcat.org/oclc/827227845","WorldCat Record")</f>
        <v>WorldCat Record</v>
      </c>
      <c r="AX3509" s="3" t="s">
        <v>34895</v>
      </c>
      <c r="AY3509" s="3" t="s">
        <v>34896</v>
      </c>
      <c r="AZ3509" s="3" t="s">
        <v>34897</v>
      </c>
      <c r="BA3509" s="3" t="s">
        <v>34897</v>
      </c>
      <c r="BB3509" s="3" t="s">
        <v>34898</v>
      </c>
      <c r="BC3509" s="3" t="s">
        <v>77</v>
      </c>
      <c r="BD3509" s="3" t="s">
        <v>78</v>
      </c>
      <c r="BE3509" s="3" t="s">
        <v>34899</v>
      </c>
      <c r="BF3509" s="3" t="s">
        <v>34898</v>
      </c>
      <c r="BG3509" s="3" t="s">
        <v>34900</v>
      </c>
    </row>
    <row r="3510" spans="1:59" ht="72.5" x14ac:dyDescent="0.35">
      <c r="A3510" s="2" t="s">
        <v>59</v>
      </c>
      <c r="B3510" s="2" t="s">
        <v>60</v>
      </c>
      <c r="C3510" s="2" t="s">
        <v>34901</v>
      </c>
      <c r="D3510" s="2" t="s">
        <v>34902</v>
      </c>
      <c r="E3510" s="2" t="s">
        <v>34903</v>
      </c>
      <c r="G3510" s="3" t="s">
        <v>65</v>
      </c>
      <c r="I3510" s="3" t="s">
        <v>65</v>
      </c>
      <c r="J3510" s="3" t="s">
        <v>65</v>
      </c>
      <c r="K3510" s="3" t="s">
        <v>66</v>
      </c>
      <c r="L3510" s="2" t="s">
        <v>34893</v>
      </c>
      <c r="M3510" s="2" t="s">
        <v>34904</v>
      </c>
      <c r="N3510" s="3" t="s">
        <v>164</v>
      </c>
      <c r="P3510" s="3" t="s">
        <v>69</v>
      </c>
      <c r="R3510" s="3" t="s">
        <v>71</v>
      </c>
      <c r="S3510" s="4">
        <v>1</v>
      </c>
      <c r="T3510" s="4">
        <v>1</v>
      </c>
      <c r="U3510" s="5" t="s">
        <v>33172</v>
      </c>
      <c r="V3510" s="5" t="s">
        <v>33172</v>
      </c>
      <c r="W3510" s="5" t="s">
        <v>72</v>
      </c>
      <c r="X3510" s="5" t="s">
        <v>72</v>
      </c>
      <c r="Y3510" s="4">
        <v>218</v>
      </c>
      <c r="Z3510" s="4">
        <v>15</v>
      </c>
      <c r="AA3510" s="4">
        <v>16</v>
      </c>
      <c r="AB3510" s="4">
        <v>1</v>
      </c>
      <c r="AC3510" s="4">
        <v>2</v>
      </c>
      <c r="AD3510" s="4">
        <v>54</v>
      </c>
      <c r="AE3510" s="4">
        <v>55</v>
      </c>
      <c r="AF3510" s="4">
        <v>0</v>
      </c>
      <c r="AG3510" s="4">
        <v>0</v>
      </c>
      <c r="AH3510" s="4">
        <v>52</v>
      </c>
      <c r="AI3510" s="4">
        <v>53</v>
      </c>
      <c r="AJ3510" s="4">
        <v>6</v>
      </c>
      <c r="AK3510" s="4">
        <v>6</v>
      </c>
      <c r="AL3510" s="4">
        <v>31</v>
      </c>
      <c r="AM3510" s="4">
        <v>32</v>
      </c>
      <c r="AN3510" s="4">
        <v>0</v>
      </c>
      <c r="AO3510" s="4">
        <v>0</v>
      </c>
      <c r="AP3510" s="4">
        <v>6</v>
      </c>
      <c r="AQ3510" s="4">
        <v>6</v>
      </c>
      <c r="AR3510" s="3" t="s">
        <v>65</v>
      </c>
      <c r="AS3510" s="3" t="s">
        <v>65</v>
      </c>
      <c r="AT3510" s="3" t="s">
        <v>65</v>
      </c>
      <c r="AV3510" s="6" t="str">
        <f>HYPERLINK("http://mcgill.on.worldcat.org/oclc/858731097","Catalog Record")</f>
        <v>Catalog Record</v>
      </c>
      <c r="AW3510" s="6" t="str">
        <f>HYPERLINK("http://www.worldcat.org/oclc/858731097","WorldCat Record")</f>
        <v>WorldCat Record</v>
      </c>
      <c r="AX3510" s="3" t="s">
        <v>34905</v>
      </c>
      <c r="AY3510" s="3" t="s">
        <v>34906</v>
      </c>
      <c r="AZ3510" s="3" t="s">
        <v>34907</v>
      </c>
      <c r="BA3510" s="3" t="s">
        <v>34907</v>
      </c>
      <c r="BB3510" s="3" t="s">
        <v>34908</v>
      </c>
      <c r="BC3510" s="3" t="s">
        <v>77</v>
      </c>
      <c r="BD3510" s="3" t="s">
        <v>78</v>
      </c>
      <c r="BE3510" s="3" t="s">
        <v>34909</v>
      </c>
      <c r="BF3510" s="3" t="s">
        <v>34908</v>
      </c>
      <c r="BG3510" s="3" t="s">
        <v>34910</v>
      </c>
    </row>
    <row r="3511" spans="1:59" ht="72.5" x14ac:dyDescent="0.35">
      <c r="A3511" s="2" t="s">
        <v>59</v>
      </c>
      <c r="B3511" s="2" t="s">
        <v>60</v>
      </c>
      <c r="C3511" s="2" t="s">
        <v>34911</v>
      </c>
      <c r="D3511" s="2" t="s">
        <v>34912</v>
      </c>
      <c r="E3511" s="2" t="s">
        <v>34913</v>
      </c>
      <c r="G3511" s="3" t="s">
        <v>65</v>
      </c>
      <c r="I3511" s="3" t="s">
        <v>65</v>
      </c>
      <c r="J3511" s="3" t="s">
        <v>65</v>
      </c>
      <c r="K3511" s="3" t="s">
        <v>66</v>
      </c>
      <c r="L3511" s="2" t="s">
        <v>34914</v>
      </c>
      <c r="M3511" s="2" t="s">
        <v>34915</v>
      </c>
      <c r="N3511" s="3" t="s">
        <v>139</v>
      </c>
      <c r="P3511" s="3" t="s">
        <v>140</v>
      </c>
      <c r="Q3511" s="2" t="s">
        <v>34916</v>
      </c>
      <c r="R3511" s="3" t="s">
        <v>71</v>
      </c>
      <c r="S3511" s="4">
        <v>0</v>
      </c>
      <c r="T3511" s="4">
        <v>0</v>
      </c>
      <c r="W3511" s="5" t="s">
        <v>72</v>
      </c>
      <c r="X3511" s="5" t="s">
        <v>72</v>
      </c>
      <c r="Y3511" s="4">
        <v>8</v>
      </c>
      <c r="Z3511" s="4">
        <v>1</v>
      </c>
      <c r="AA3511" s="4">
        <v>4</v>
      </c>
      <c r="AB3511" s="4">
        <v>1</v>
      </c>
      <c r="AC3511" s="4">
        <v>1</v>
      </c>
      <c r="AD3511" s="4">
        <v>5</v>
      </c>
      <c r="AE3511" s="4">
        <v>38</v>
      </c>
      <c r="AF3511" s="4">
        <v>0</v>
      </c>
      <c r="AG3511" s="4">
        <v>0</v>
      </c>
      <c r="AH3511" s="4">
        <v>5</v>
      </c>
      <c r="AI3511" s="4">
        <v>37</v>
      </c>
      <c r="AJ3511" s="4">
        <v>0</v>
      </c>
      <c r="AK3511" s="4">
        <v>2</v>
      </c>
      <c r="AL3511" s="4">
        <v>3</v>
      </c>
      <c r="AM3511" s="4">
        <v>27</v>
      </c>
      <c r="AN3511" s="4">
        <v>0</v>
      </c>
      <c r="AO3511" s="4">
        <v>0</v>
      </c>
      <c r="AP3511" s="4">
        <v>0</v>
      </c>
      <c r="AQ3511" s="4">
        <v>2</v>
      </c>
      <c r="AR3511" s="3" t="s">
        <v>65</v>
      </c>
      <c r="AS3511" s="3" t="s">
        <v>65</v>
      </c>
      <c r="AT3511" s="3" t="s">
        <v>65</v>
      </c>
      <c r="AV3511" s="6" t="str">
        <f>HYPERLINK("http://mcgill.on.worldcat.org/oclc/779553549","Catalog Record")</f>
        <v>Catalog Record</v>
      </c>
      <c r="AW3511" s="6" t="str">
        <f>HYPERLINK("http://www.worldcat.org/oclc/779553549","WorldCat Record")</f>
        <v>WorldCat Record</v>
      </c>
      <c r="AX3511" s="3" t="s">
        <v>34917</v>
      </c>
      <c r="AY3511" s="3" t="s">
        <v>34918</v>
      </c>
      <c r="AZ3511" s="3" t="s">
        <v>34919</v>
      </c>
      <c r="BA3511" s="3" t="s">
        <v>34919</v>
      </c>
      <c r="BB3511" s="3" t="s">
        <v>34920</v>
      </c>
      <c r="BC3511" s="3" t="s">
        <v>77</v>
      </c>
      <c r="BD3511" s="3" t="s">
        <v>78</v>
      </c>
      <c r="BE3511" s="3" t="s">
        <v>34921</v>
      </c>
      <c r="BF3511" s="3" t="s">
        <v>34920</v>
      </c>
      <c r="BG3511" s="3" t="s">
        <v>34922</v>
      </c>
    </row>
    <row r="3512" spans="1:59" ht="72.5" x14ac:dyDescent="0.35">
      <c r="A3512" s="2" t="s">
        <v>59</v>
      </c>
      <c r="B3512" s="2" t="s">
        <v>60</v>
      </c>
      <c r="C3512" s="2" t="s">
        <v>34923</v>
      </c>
      <c r="D3512" s="2" t="s">
        <v>34924</v>
      </c>
      <c r="E3512" s="2" t="s">
        <v>34925</v>
      </c>
      <c r="G3512" s="3" t="s">
        <v>65</v>
      </c>
      <c r="I3512" s="3" t="s">
        <v>65</v>
      </c>
      <c r="J3512" s="3" t="s">
        <v>65</v>
      </c>
      <c r="K3512" s="3" t="s">
        <v>66</v>
      </c>
      <c r="L3512" s="2" t="s">
        <v>34926</v>
      </c>
      <c r="M3512" s="2" t="s">
        <v>34927</v>
      </c>
      <c r="N3512" s="3" t="s">
        <v>176</v>
      </c>
      <c r="P3512" s="3" t="s">
        <v>140</v>
      </c>
      <c r="Q3512" s="2" t="s">
        <v>34928</v>
      </c>
      <c r="R3512" s="3" t="s">
        <v>71</v>
      </c>
      <c r="S3512" s="4">
        <v>0</v>
      </c>
      <c r="T3512" s="4">
        <v>0</v>
      </c>
      <c r="W3512" s="5" t="s">
        <v>72</v>
      </c>
      <c r="X3512" s="5" t="s">
        <v>72</v>
      </c>
      <c r="Y3512" s="4">
        <v>55</v>
      </c>
      <c r="Z3512" s="4">
        <v>5</v>
      </c>
      <c r="AA3512" s="4">
        <v>5</v>
      </c>
      <c r="AB3512" s="4">
        <v>1</v>
      </c>
      <c r="AC3512" s="4">
        <v>1</v>
      </c>
      <c r="AD3512" s="4">
        <v>36</v>
      </c>
      <c r="AE3512" s="4">
        <v>36</v>
      </c>
      <c r="AF3512" s="4">
        <v>0</v>
      </c>
      <c r="AG3512" s="4">
        <v>0</v>
      </c>
      <c r="AH3512" s="4">
        <v>35</v>
      </c>
      <c r="AI3512" s="4">
        <v>35</v>
      </c>
      <c r="AJ3512" s="4">
        <v>2</v>
      </c>
      <c r="AK3512" s="4">
        <v>2</v>
      </c>
      <c r="AL3512" s="4">
        <v>29</v>
      </c>
      <c r="AM3512" s="4">
        <v>29</v>
      </c>
      <c r="AN3512" s="4">
        <v>0</v>
      </c>
      <c r="AO3512" s="4">
        <v>0</v>
      </c>
      <c r="AP3512" s="4">
        <v>2</v>
      </c>
      <c r="AQ3512" s="4">
        <v>2</v>
      </c>
      <c r="AR3512" s="3" t="s">
        <v>65</v>
      </c>
      <c r="AS3512" s="3" t="s">
        <v>65</v>
      </c>
      <c r="AT3512" s="3" t="s">
        <v>65</v>
      </c>
      <c r="AV3512" s="6" t="str">
        <f>HYPERLINK("http://mcgill.on.worldcat.org/oclc/905553116","Catalog Record")</f>
        <v>Catalog Record</v>
      </c>
      <c r="AW3512" s="6" t="str">
        <f>HYPERLINK("http://www.worldcat.org/oclc/905553116","WorldCat Record")</f>
        <v>WorldCat Record</v>
      </c>
      <c r="AX3512" s="3" t="s">
        <v>34929</v>
      </c>
      <c r="AY3512" s="3" t="s">
        <v>34930</v>
      </c>
      <c r="AZ3512" s="3" t="s">
        <v>34931</v>
      </c>
      <c r="BA3512" s="3" t="s">
        <v>34931</v>
      </c>
      <c r="BB3512" s="3" t="s">
        <v>34932</v>
      </c>
      <c r="BC3512" s="3" t="s">
        <v>77</v>
      </c>
      <c r="BD3512" s="3" t="s">
        <v>78</v>
      </c>
      <c r="BE3512" s="3" t="s">
        <v>34933</v>
      </c>
      <c r="BF3512" s="3" t="s">
        <v>34932</v>
      </c>
      <c r="BG3512" s="3" t="s">
        <v>34934</v>
      </c>
    </row>
    <row r="3513" spans="1:59" ht="72.5" x14ac:dyDescent="0.35">
      <c r="A3513" s="2" t="s">
        <v>59</v>
      </c>
      <c r="B3513" s="2" t="s">
        <v>60</v>
      </c>
      <c r="C3513" s="2" t="s">
        <v>34935</v>
      </c>
      <c r="D3513" s="2" t="s">
        <v>34936</v>
      </c>
      <c r="E3513" s="2" t="s">
        <v>34937</v>
      </c>
      <c r="G3513" s="3" t="s">
        <v>65</v>
      </c>
      <c r="I3513" s="3" t="s">
        <v>65</v>
      </c>
      <c r="J3513" s="3" t="s">
        <v>65</v>
      </c>
      <c r="K3513" s="3" t="s">
        <v>66</v>
      </c>
      <c r="L3513" s="2" t="s">
        <v>34938</v>
      </c>
      <c r="M3513" s="2" t="s">
        <v>34939</v>
      </c>
      <c r="N3513" s="3" t="s">
        <v>152</v>
      </c>
      <c r="O3513" s="2" t="s">
        <v>235</v>
      </c>
      <c r="P3513" s="3" t="s">
        <v>140</v>
      </c>
      <c r="Q3513" s="2" t="s">
        <v>34940</v>
      </c>
      <c r="R3513" s="3" t="s">
        <v>71</v>
      </c>
      <c r="S3513" s="4">
        <v>0</v>
      </c>
      <c r="T3513" s="4">
        <v>0</v>
      </c>
      <c r="W3513" s="5" t="s">
        <v>72</v>
      </c>
      <c r="X3513" s="5" t="s">
        <v>72</v>
      </c>
      <c r="Y3513" s="4">
        <v>36</v>
      </c>
      <c r="Z3513" s="4">
        <v>5</v>
      </c>
      <c r="AA3513" s="4">
        <v>5</v>
      </c>
      <c r="AB3513" s="4">
        <v>1</v>
      </c>
      <c r="AC3513" s="4">
        <v>1</v>
      </c>
      <c r="AD3513" s="4">
        <v>26</v>
      </c>
      <c r="AE3513" s="4">
        <v>26</v>
      </c>
      <c r="AF3513" s="4">
        <v>0</v>
      </c>
      <c r="AG3513" s="4">
        <v>0</v>
      </c>
      <c r="AH3513" s="4">
        <v>24</v>
      </c>
      <c r="AI3513" s="4">
        <v>24</v>
      </c>
      <c r="AJ3513" s="4">
        <v>3</v>
      </c>
      <c r="AK3513" s="4">
        <v>3</v>
      </c>
      <c r="AL3513" s="4">
        <v>20</v>
      </c>
      <c r="AM3513" s="4">
        <v>20</v>
      </c>
      <c r="AN3513" s="4">
        <v>0</v>
      </c>
      <c r="AO3513" s="4">
        <v>0</v>
      </c>
      <c r="AP3513" s="4">
        <v>3</v>
      </c>
      <c r="AQ3513" s="4">
        <v>3</v>
      </c>
      <c r="AR3513" s="3" t="s">
        <v>65</v>
      </c>
      <c r="AS3513" s="3" t="s">
        <v>65</v>
      </c>
      <c r="AT3513" s="3" t="s">
        <v>65</v>
      </c>
      <c r="AV3513" s="6" t="str">
        <f>HYPERLINK("http://mcgill.on.worldcat.org/oclc/828889169","Catalog Record")</f>
        <v>Catalog Record</v>
      </c>
      <c r="AW3513" s="6" t="str">
        <f>HYPERLINK("http://www.worldcat.org/oclc/828889169","WorldCat Record")</f>
        <v>WorldCat Record</v>
      </c>
      <c r="AX3513" s="3" t="s">
        <v>34941</v>
      </c>
      <c r="AY3513" s="3" t="s">
        <v>34942</v>
      </c>
      <c r="AZ3513" s="3" t="s">
        <v>34943</v>
      </c>
      <c r="BA3513" s="3" t="s">
        <v>34943</v>
      </c>
      <c r="BB3513" s="3" t="s">
        <v>34944</v>
      </c>
      <c r="BC3513" s="3" t="s">
        <v>77</v>
      </c>
      <c r="BD3513" s="3" t="s">
        <v>78</v>
      </c>
      <c r="BE3513" s="3" t="s">
        <v>34945</v>
      </c>
      <c r="BF3513" s="3" t="s">
        <v>34944</v>
      </c>
      <c r="BG3513" s="3" t="s">
        <v>34946</v>
      </c>
    </row>
    <row r="3514" spans="1:59" ht="72.5" x14ac:dyDescent="0.35">
      <c r="A3514" s="2" t="s">
        <v>59</v>
      </c>
      <c r="B3514" s="2" t="s">
        <v>60</v>
      </c>
      <c r="C3514" s="2" t="s">
        <v>34947</v>
      </c>
      <c r="D3514" s="2" t="s">
        <v>34948</v>
      </c>
      <c r="E3514" s="2" t="s">
        <v>34949</v>
      </c>
      <c r="G3514" s="3" t="s">
        <v>65</v>
      </c>
      <c r="I3514" s="3" t="s">
        <v>65</v>
      </c>
      <c r="J3514" s="3" t="s">
        <v>65</v>
      </c>
      <c r="K3514" s="3" t="s">
        <v>66</v>
      </c>
      <c r="L3514" s="2" t="s">
        <v>34950</v>
      </c>
      <c r="M3514" s="2" t="s">
        <v>34951</v>
      </c>
      <c r="N3514" s="3" t="s">
        <v>152</v>
      </c>
      <c r="P3514" s="3" t="s">
        <v>69</v>
      </c>
      <c r="Q3514" s="2" t="s">
        <v>34952</v>
      </c>
      <c r="R3514" s="3" t="s">
        <v>71</v>
      </c>
      <c r="S3514" s="4">
        <v>2</v>
      </c>
      <c r="T3514" s="4">
        <v>2</v>
      </c>
      <c r="U3514" s="5" t="s">
        <v>34953</v>
      </c>
      <c r="V3514" s="5" t="s">
        <v>34953</v>
      </c>
      <c r="W3514" s="5" t="s">
        <v>72</v>
      </c>
      <c r="X3514" s="5" t="s">
        <v>72</v>
      </c>
      <c r="Y3514" s="4">
        <v>196</v>
      </c>
      <c r="Z3514" s="4">
        <v>14</v>
      </c>
      <c r="AA3514" s="4">
        <v>19</v>
      </c>
      <c r="AB3514" s="4">
        <v>3</v>
      </c>
      <c r="AC3514" s="4">
        <v>7</v>
      </c>
      <c r="AD3514" s="4">
        <v>35</v>
      </c>
      <c r="AE3514" s="4">
        <v>35</v>
      </c>
      <c r="AF3514" s="4">
        <v>0</v>
      </c>
      <c r="AG3514" s="4">
        <v>0</v>
      </c>
      <c r="AH3514" s="4">
        <v>34</v>
      </c>
      <c r="AI3514" s="4">
        <v>34</v>
      </c>
      <c r="AJ3514" s="4">
        <v>3</v>
      </c>
      <c r="AK3514" s="4">
        <v>3</v>
      </c>
      <c r="AL3514" s="4">
        <v>24</v>
      </c>
      <c r="AM3514" s="4">
        <v>24</v>
      </c>
      <c r="AN3514" s="4">
        <v>0</v>
      </c>
      <c r="AO3514" s="4">
        <v>0</v>
      </c>
      <c r="AP3514" s="4">
        <v>3</v>
      </c>
      <c r="AQ3514" s="4">
        <v>3</v>
      </c>
      <c r="AR3514" s="3" t="s">
        <v>65</v>
      </c>
      <c r="AS3514" s="3" t="s">
        <v>65</v>
      </c>
      <c r="AT3514" s="3" t="s">
        <v>65</v>
      </c>
      <c r="AV3514" s="6" t="str">
        <f>HYPERLINK("http://mcgill.on.worldcat.org/oclc/814455090","Catalog Record")</f>
        <v>Catalog Record</v>
      </c>
      <c r="AW3514" s="6" t="str">
        <f>HYPERLINK("http://www.worldcat.org/oclc/814455090","WorldCat Record")</f>
        <v>WorldCat Record</v>
      </c>
      <c r="AX3514" s="3" t="s">
        <v>34954</v>
      </c>
      <c r="AY3514" s="3" t="s">
        <v>34955</v>
      </c>
      <c r="AZ3514" s="3" t="s">
        <v>34956</v>
      </c>
      <c r="BA3514" s="3" t="s">
        <v>34956</v>
      </c>
      <c r="BB3514" s="3" t="s">
        <v>34957</v>
      </c>
      <c r="BC3514" s="3" t="s">
        <v>77</v>
      </c>
      <c r="BD3514" s="3" t="s">
        <v>78</v>
      </c>
      <c r="BE3514" s="3" t="s">
        <v>34958</v>
      </c>
      <c r="BF3514" s="3" t="s">
        <v>34957</v>
      </c>
      <c r="BG3514" s="3" t="s">
        <v>34959</v>
      </c>
    </row>
    <row r="3515" spans="1:59" ht="72.5" x14ac:dyDescent="0.35">
      <c r="A3515" s="2" t="s">
        <v>59</v>
      </c>
      <c r="B3515" s="2" t="s">
        <v>60</v>
      </c>
      <c r="C3515" s="2" t="s">
        <v>34960</v>
      </c>
      <c r="D3515" s="2" t="s">
        <v>34961</v>
      </c>
      <c r="E3515" s="2" t="s">
        <v>34962</v>
      </c>
      <c r="G3515" s="3" t="s">
        <v>65</v>
      </c>
      <c r="I3515" s="3" t="s">
        <v>65</v>
      </c>
      <c r="J3515" s="3" t="s">
        <v>65</v>
      </c>
      <c r="K3515" s="3" t="s">
        <v>66</v>
      </c>
      <c r="L3515" s="2" t="s">
        <v>34950</v>
      </c>
      <c r="M3515" s="2" t="s">
        <v>34963</v>
      </c>
      <c r="N3515" s="3" t="s">
        <v>99</v>
      </c>
      <c r="O3515" s="2" t="s">
        <v>526</v>
      </c>
      <c r="P3515" s="3" t="s">
        <v>69</v>
      </c>
      <c r="R3515" s="3" t="s">
        <v>71</v>
      </c>
      <c r="S3515" s="4">
        <v>4</v>
      </c>
      <c r="T3515" s="4">
        <v>4</v>
      </c>
      <c r="U3515" s="5" t="s">
        <v>29863</v>
      </c>
      <c r="V3515" s="5" t="s">
        <v>29863</v>
      </c>
      <c r="W3515" s="5" t="s">
        <v>72</v>
      </c>
      <c r="X3515" s="5" t="s">
        <v>72</v>
      </c>
      <c r="Y3515" s="4">
        <v>278</v>
      </c>
      <c r="Z3515" s="4">
        <v>16</v>
      </c>
      <c r="AA3515" s="4">
        <v>20</v>
      </c>
      <c r="AB3515" s="4">
        <v>1</v>
      </c>
      <c r="AC3515" s="4">
        <v>3</v>
      </c>
      <c r="AD3515" s="4">
        <v>40</v>
      </c>
      <c r="AE3515" s="4">
        <v>41</v>
      </c>
      <c r="AF3515" s="4">
        <v>0</v>
      </c>
      <c r="AG3515" s="4">
        <v>0</v>
      </c>
      <c r="AH3515" s="4">
        <v>37</v>
      </c>
      <c r="AI3515" s="4">
        <v>38</v>
      </c>
      <c r="AJ3515" s="4">
        <v>5</v>
      </c>
      <c r="AK3515" s="4">
        <v>5</v>
      </c>
      <c r="AL3515" s="4">
        <v>23</v>
      </c>
      <c r="AM3515" s="4">
        <v>23</v>
      </c>
      <c r="AN3515" s="4">
        <v>0</v>
      </c>
      <c r="AO3515" s="4">
        <v>0</v>
      </c>
      <c r="AP3515" s="4">
        <v>5</v>
      </c>
      <c r="AQ3515" s="4">
        <v>5</v>
      </c>
      <c r="AR3515" s="3" t="s">
        <v>65</v>
      </c>
      <c r="AS3515" s="3" t="s">
        <v>65</v>
      </c>
      <c r="AT3515" s="3" t="s">
        <v>65</v>
      </c>
      <c r="AV3515" s="6" t="str">
        <f>HYPERLINK("http://mcgill.on.worldcat.org/oclc/62774916","Catalog Record")</f>
        <v>Catalog Record</v>
      </c>
      <c r="AW3515" s="6" t="str">
        <f>HYPERLINK("http://www.worldcat.org/oclc/62774916","WorldCat Record")</f>
        <v>WorldCat Record</v>
      </c>
      <c r="AX3515" s="3" t="s">
        <v>34964</v>
      </c>
      <c r="AY3515" s="3" t="s">
        <v>34965</v>
      </c>
      <c r="AZ3515" s="3" t="s">
        <v>34966</v>
      </c>
      <c r="BA3515" s="3" t="s">
        <v>34966</v>
      </c>
      <c r="BB3515" s="3" t="s">
        <v>34967</v>
      </c>
      <c r="BC3515" s="3" t="s">
        <v>77</v>
      </c>
      <c r="BD3515" s="3" t="s">
        <v>78</v>
      </c>
      <c r="BE3515" s="3" t="s">
        <v>34968</v>
      </c>
      <c r="BF3515" s="3" t="s">
        <v>34967</v>
      </c>
      <c r="BG3515" s="3" t="s">
        <v>34969</v>
      </c>
    </row>
    <row r="3516" spans="1:59" ht="58" x14ac:dyDescent="0.35">
      <c r="A3516" s="2" t="s">
        <v>59</v>
      </c>
      <c r="B3516" s="2" t="s">
        <v>60</v>
      </c>
      <c r="C3516" s="2" t="s">
        <v>34970</v>
      </c>
      <c r="D3516" s="2" t="s">
        <v>34971</v>
      </c>
      <c r="E3516" s="2" t="s">
        <v>34972</v>
      </c>
      <c r="G3516" s="3" t="s">
        <v>65</v>
      </c>
      <c r="I3516" s="3" t="s">
        <v>65</v>
      </c>
      <c r="J3516" s="3" t="s">
        <v>65</v>
      </c>
      <c r="K3516" s="3" t="s">
        <v>66</v>
      </c>
      <c r="L3516" s="2" t="s">
        <v>34973</v>
      </c>
      <c r="M3516" s="2" t="s">
        <v>34974</v>
      </c>
      <c r="N3516" s="3" t="s">
        <v>552</v>
      </c>
      <c r="P3516" s="3" t="s">
        <v>140</v>
      </c>
      <c r="Q3516" s="2" t="s">
        <v>34975</v>
      </c>
      <c r="R3516" s="3" t="s">
        <v>71</v>
      </c>
      <c r="S3516" s="4">
        <v>2</v>
      </c>
      <c r="T3516" s="4">
        <v>2</v>
      </c>
      <c r="U3516" s="5" t="s">
        <v>34976</v>
      </c>
      <c r="V3516" s="5" t="s">
        <v>34976</v>
      </c>
      <c r="W3516" s="5" t="s">
        <v>72</v>
      </c>
      <c r="X3516" s="5" t="s">
        <v>72</v>
      </c>
      <c r="Y3516" s="4">
        <v>36</v>
      </c>
      <c r="Z3516" s="4">
        <v>6</v>
      </c>
      <c r="AA3516" s="4">
        <v>6</v>
      </c>
      <c r="AB3516" s="4">
        <v>1</v>
      </c>
      <c r="AC3516" s="4">
        <v>1</v>
      </c>
      <c r="AD3516" s="4">
        <v>28</v>
      </c>
      <c r="AE3516" s="4">
        <v>28</v>
      </c>
      <c r="AF3516" s="4">
        <v>0</v>
      </c>
      <c r="AG3516" s="4">
        <v>0</v>
      </c>
      <c r="AH3516" s="4">
        <v>26</v>
      </c>
      <c r="AI3516" s="4">
        <v>26</v>
      </c>
      <c r="AJ3516" s="4">
        <v>4</v>
      </c>
      <c r="AK3516" s="4">
        <v>4</v>
      </c>
      <c r="AL3516" s="4">
        <v>19</v>
      </c>
      <c r="AM3516" s="4">
        <v>19</v>
      </c>
      <c r="AN3516" s="4">
        <v>0</v>
      </c>
      <c r="AO3516" s="4">
        <v>0</v>
      </c>
      <c r="AP3516" s="4">
        <v>4</v>
      </c>
      <c r="AQ3516" s="4">
        <v>4</v>
      </c>
      <c r="AR3516" s="3" t="s">
        <v>65</v>
      </c>
      <c r="AS3516" s="3" t="s">
        <v>65</v>
      </c>
      <c r="AT3516" s="3" t="s">
        <v>209</v>
      </c>
      <c r="AU3516" s="6" t="str">
        <f>HYPERLINK("http://catalog.hathitrust.org/Record/003958045","HathiTrust Record")</f>
        <v>HathiTrust Record</v>
      </c>
      <c r="AV3516" s="6" t="str">
        <f>HYPERLINK("http://mcgill.on.worldcat.org/oclc/37206623","Catalog Record")</f>
        <v>Catalog Record</v>
      </c>
      <c r="AW3516" s="6" t="str">
        <f>HYPERLINK("http://www.worldcat.org/oclc/37206623","WorldCat Record")</f>
        <v>WorldCat Record</v>
      </c>
      <c r="AX3516" s="3" t="s">
        <v>34977</v>
      </c>
      <c r="AY3516" s="3" t="s">
        <v>34978</v>
      </c>
      <c r="AZ3516" s="3" t="s">
        <v>34979</v>
      </c>
      <c r="BA3516" s="3" t="s">
        <v>34979</v>
      </c>
      <c r="BB3516" s="3" t="s">
        <v>34980</v>
      </c>
      <c r="BC3516" s="3" t="s">
        <v>77</v>
      </c>
      <c r="BD3516" s="3" t="s">
        <v>78</v>
      </c>
      <c r="BE3516" s="3" t="s">
        <v>34981</v>
      </c>
      <c r="BF3516" s="3" t="s">
        <v>34980</v>
      </c>
      <c r="BG3516" s="3" t="s">
        <v>34982</v>
      </c>
    </row>
    <row r="3517" spans="1:59" ht="58" x14ac:dyDescent="0.35">
      <c r="A3517" s="2" t="s">
        <v>59</v>
      </c>
      <c r="B3517" s="2" t="s">
        <v>60</v>
      </c>
      <c r="C3517" s="2" t="s">
        <v>34983</v>
      </c>
      <c r="D3517" s="2" t="s">
        <v>34984</v>
      </c>
      <c r="E3517" s="2" t="s">
        <v>34985</v>
      </c>
      <c r="G3517" s="3" t="s">
        <v>65</v>
      </c>
      <c r="I3517" s="3" t="s">
        <v>65</v>
      </c>
      <c r="J3517" s="3" t="s">
        <v>65</v>
      </c>
      <c r="K3517" s="3" t="s">
        <v>66</v>
      </c>
      <c r="L3517" s="2" t="s">
        <v>34973</v>
      </c>
      <c r="M3517" s="2" t="s">
        <v>34986</v>
      </c>
      <c r="N3517" s="3" t="s">
        <v>3385</v>
      </c>
      <c r="P3517" s="3" t="s">
        <v>140</v>
      </c>
      <c r="Q3517" s="2" t="s">
        <v>34987</v>
      </c>
      <c r="R3517" s="3" t="s">
        <v>71</v>
      </c>
      <c r="S3517" s="4">
        <v>2</v>
      </c>
      <c r="T3517" s="4">
        <v>2</v>
      </c>
      <c r="U3517" s="5" t="s">
        <v>34988</v>
      </c>
      <c r="V3517" s="5" t="s">
        <v>34988</v>
      </c>
      <c r="W3517" s="5" t="s">
        <v>72</v>
      </c>
      <c r="X3517" s="5" t="s">
        <v>72</v>
      </c>
      <c r="Y3517" s="4">
        <v>2</v>
      </c>
      <c r="Z3517" s="4">
        <v>1</v>
      </c>
      <c r="AA3517" s="4">
        <v>4</v>
      </c>
      <c r="AB3517" s="4">
        <v>1</v>
      </c>
      <c r="AC3517" s="4">
        <v>1</v>
      </c>
      <c r="AD3517" s="4">
        <v>1</v>
      </c>
      <c r="AE3517" s="4">
        <v>20</v>
      </c>
      <c r="AF3517" s="4">
        <v>0</v>
      </c>
      <c r="AG3517" s="4">
        <v>0</v>
      </c>
      <c r="AH3517" s="4">
        <v>1</v>
      </c>
      <c r="AI3517" s="4">
        <v>19</v>
      </c>
      <c r="AJ3517" s="4">
        <v>0</v>
      </c>
      <c r="AK3517" s="4">
        <v>2</v>
      </c>
      <c r="AL3517" s="4">
        <v>0</v>
      </c>
      <c r="AM3517" s="4">
        <v>14</v>
      </c>
      <c r="AN3517" s="4">
        <v>0</v>
      </c>
      <c r="AO3517" s="4">
        <v>0</v>
      </c>
      <c r="AP3517" s="4">
        <v>0</v>
      </c>
      <c r="AQ3517" s="4">
        <v>2</v>
      </c>
      <c r="AR3517" s="3" t="s">
        <v>65</v>
      </c>
      <c r="AS3517" s="3" t="s">
        <v>65</v>
      </c>
      <c r="AT3517" s="3" t="s">
        <v>209</v>
      </c>
      <c r="AU3517" s="6" t="str">
        <f>HYPERLINK("http://catalog.hathitrust.org/Record/004061916","HathiTrust Record")</f>
        <v>HathiTrust Record</v>
      </c>
      <c r="AV3517" s="6" t="str">
        <f>HYPERLINK("http://mcgill.on.worldcat.org/oclc/428073519","Catalog Record")</f>
        <v>Catalog Record</v>
      </c>
      <c r="AW3517" s="6" t="str">
        <f>HYPERLINK("http://www.worldcat.org/oclc/428073519","WorldCat Record")</f>
        <v>WorldCat Record</v>
      </c>
      <c r="AX3517" s="3" t="s">
        <v>34989</v>
      </c>
      <c r="AY3517" s="3" t="s">
        <v>34990</v>
      </c>
      <c r="AZ3517" s="3" t="s">
        <v>34991</v>
      </c>
      <c r="BA3517" s="3" t="s">
        <v>34991</v>
      </c>
      <c r="BB3517" s="3" t="s">
        <v>34992</v>
      </c>
      <c r="BC3517" s="3" t="s">
        <v>77</v>
      </c>
      <c r="BD3517" s="3" t="s">
        <v>78</v>
      </c>
      <c r="BE3517" s="3" t="s">
        <v>34993</v>
      </c>
      <c r="BF3517" s="3" t="s">
        <v>34992</v>
      </c>
      <c r="BG3517" s="3" t="s">
        <v>34994</v>
      </c>
    </row>
    <row r="3518" spans="1:59" ht="72.5" x14ac:dyDescent="0.35">
      <c r="A3518" s="2" t="s">
        <v>59</v>
      </c>
      <c r="B3518" s="2" t="s">
        <v>60</v>
      </c>
      <c r="C3518" s="2" t="s">
        <v>34995</v>
      </c>
      <c r="D3518" s="2" t="s">
        <v>34996</v>
      </c>
      <c r="E3518" s="2" t="s">
        <v>34997</v>
      </c>
      <c r="G3518" s="3" t="s">
        <v>65</v>
      </c>
      <c r="I3518" s="3" t="s">
        <v>65</v>
      </c>
      <c r="J3518" s="3" t="s">
        <v>65</v>
      </c>
      <c r="K3518" s="3" t="s">
        <v>66</v>
      </c>
      <c r="L3518" s="2" t="s">
        <v>34998</v>
      </c>
      <c r="M3518" s="2" t="s">
        <v>19282</v>
      </c>
      <c r="N3518" s="3" t="s">
        <v>152</v>
      </c>
      <c r="O3518" s="2" t="s">
        <v>2438</v>
      </c>
      <c r="P3518" s="3" t="s">
        <v>69</v>
      </c>
      <c r="R3518" s="3" t="s">
        <v>71</v>
      </c>
      <c r="S3518" s="4">
        <v>0</v>
      </c>
      <c r="T3518" s="4">
        <v>0</v>
      </c>
      <c r="W3518" s="5" t="s">
        <v>72</v>
      </c>
      <c r="X3518" s="5" t="s">
        <v>72</v>
      </c>
      <c r="Y3518" s="4">
        <v>130</v>
      </c>
      <c r="Z3518" s="4">
        <v>4</v>
      </c>
      <c r="AA3518" s="4">
        <v>5</v>
      </c>
      <c r="AB3518" s="4">
        <v>1</v>
      </c>
      <c r="AC3518" s="4">
        <v>2</v>
      </c>
      <c r="AD3518" s="4">
        <v>44</v>
      </c>
      <c r="AE3518" s="4">
        <v>45</v>
      </c>
      <c r="AF3518" s="4">
        <v>0</v>
      </c>
      <c r="AG3518" s="4">
        <v>0</v>
      </c>
      <c r="AH3518" s="4">
        <v>44</v>
      </c>
      <c r="AI3518" s="4">
        <v>45</v>
      </c>
      <c r="AJ3518" s="4">
        <v>2</v>
      </c>
      <c r="AK3518" s="4">
        <v>2</v>
      </c>
      <c r="AL3518" s="4">
        <v>30</v>
      </c>
      <c r="AM3518" s="4">
        <v>30</v>
      </c>
      <c r="AN3518" s="4">
        <v>0</v>
      </c>
      <c r="AO3518" s="4">
        <v>0</v>
      </c>
      <c r="AP3518" s="4">
        <v>2</v>
      </c>
      <c r="AQ3518" s="4">
        <v>2</v>
      </c>
      <c r="AR3518" s="3" t="s">
        <v>65</v>
      </c>
      <c r="AS3518" s="3" t="s">
        <v>65</v>
      </c>
      <c r="AT3518" s="3" t="s">
        <v>65</v>
      </c>
      <c r="AV3518" s="6" t="str">
        <f>HYPERLINK("http://mcgill.on.worldcat.org/oclc/827256988","Catalog Record")</f>
        <v>Catalog Record</v>
      </c>
      <c r="AW3518" s="6" t="str">
        <f>HYPERLINK("http://www.worldcat.org/oclc/827256988","WorldCat Record")</f>
        <v>WorldCat Record</v>
      </c>
      <c r="AX3518" s="3" t="s">
        <v>34999</v>
      </c>
      <c r="AY3518" s="3" t="s">
        <v>35000</v>
      </c>
      <c r="AZ3518" s="3" t="s">
        <v>35001</v>
      </c>
      <c r="BA3518" s="3" t="s">
        <v>35001</v>
      </c>
      <c r="BB3518" s="3" t="s">
        <v>35002</v>
      </c>
      <c r="BC3518" s="3" t="s">
        <v>77</v>
      </c>
      <c r="BD3518" s="3" t="s">
        <v>78</v>
      </c>
      <c r="BE3518" s="3" t="s">
        <v>35003</v>
      </c>
      <c r="BF3518" s="3" t="s">
        <v>35002</v>
      </c>
      <c r="BG3518" s="3" t="s">
        <v>35004</v>
      </c>
    </row>
    <row r="3519" spans="1:59" ht="72.5" x14ac:dyDescent="0.35">
      <c r="A3519" s="2" t="s">
        <v>59</v>
      </c>
      <c r="B3519" s="2" t="s">
        <v>60</v>
      </c>
      <c r="C3519" s="2" t="s">
        <v>35005</v>
      </c>
      <c r="D3519" s="2" t="s">
        <v>35006</v>
      </c>
      <c r="E3519" s="2" t="s">
        <v>35007</v>
      </c>
      <c r="G3519" s="3" t="s">
        <v>65</v>
      </c>
      <c r="I3519" s="3" t="s">
        <v>65</v>
      </c>
      <c r="J3519" s="3" t="s">
        <v>65</v>
      </c>
      <c r="K3519" s="3" t="s">
        <v>66</v>
      </c>
      <c r="L3519" s="2" t="s">
        <v>35008</v>
      </c>
      <c r="M3519" s="2" t="s">
        <v>35009</v>
      </c>
      <c r="N3519" s="3" t="s">
        <v>126</v>
      </c>
      <c r="P3519" s="3" t="s">
        <v>140</v>
      </c>
      <c r="Q3519" s="2" t="s">
        <v>35010</v>
      </c>
      <c r="R3519" s="3" t="s">
        <v>71</v>
      </c>
      <c r="S3519" s="4">
        <v>0</v>
      </c>
      <c r="T3519" s="4">
        <v>0</v>
      </c>
      <c r="W3519" s="5" t="s">
        <v>72</v>
      </c>
      <c r="X3519" s="5" t="s">
        <v>72</v>
      </c>
      <c r="Y3519" s="4">
        <v>27</v>
      </c>
      <c r="Z3519" s="4">
        <v>3</v>
      </c>
      <c r="AA3519" s="4">
        <v>3</v>
      </c>
      <c r="AB3519" s="4">
        <v>1</v>
      </c>
      <c r="AC3519" s="4">
        <v>1</v>
      </c>
      <c r="AD3519" s="4">
        <v>19</v>
      </c>
      <c r="AE3519" s="4">
        <v>19</v>
      </c>
      <c r="AF3519" s="4">
        <v>0</v>
      </c>
      <c r="AG3519" s="4">
        <v>0</v>
      </c>
      <c r="AH3519" s="4">
        <v>18</v>
      </c>
      <c r="AI3519" s="4">
        <v>18</v>
      </c>
      <c r="AJ3519" s="4">
        <v>1</v>
      </c>
      <c r="AK3519" s="4">
        <v>1</v>
      </c>
      <c r="AL3519" s="4">
        <v>16</v>
      </c>
      <c r="AM3519" s="4">
        <v>16</v>
      </c>
      <c r="AN3519" s="4">
        <v>0</v>
      </c>
      <c r="AO3519" s="4">
        <v>0</v>
      </c>
      <c r="AP3519" s="4">
        <v>1</v>
      </c>
      <c r="AQ3519" s="4">
        <v>1</v>
      </c>
      <c r="AR3519" s="3" t="s">
        <v>65</v>
      </c>
      <c r="AS3519" s="3" t="s">
        <v>65</v>
      </c>
      <c r="AT3519" s="3" t="s">
        <v>65</v>
      </c>
      <c r="AV3519" s="6" t="str">
        <f>HYPERLINK("http://mcgill.on.worldcat.org/oclc/729344883","Catalog Record")</f>
        <v>Catalog Record</v>
      </c>
      <c r="AW3519" s="6" t="str">
        <f>HYPERLINK("http://www.worldcat.org/oclc/729344883","WorldCat Record")</f>
        <v>WorldCat Record</v>
      </c>
      <c r="AX3519" s="3" t="s">
        <v>35011</v>
      </c>
      <c r="AY3519" s="3" t="s">
        <v>35012</v>
      </c>
      <c r="AZ3519" s="3" t="s">
        <v>35013</v>
      </c>
      <c r="BA3519" s="3" t="s">
        <v>35013</v>
      </c>
      <c r="BB3519" s="3" t="s">
        <v>35014</v>
      </c>
      <c r="BC3519" s="3" t="s">
        <v>77</v>
      </c>
      <c r="BD3519" s="3" t="s">
        <v>78</v>
      </c>
      <c r="BE3519" s="3" t="s">
        <v>35015</v>
      </c>
      <c r="BF3519" s="3" t="s">
        <v>35014</v>
      </c>
      <c r="BG3519" s="3" t="s">
        <v>35016</v>
      </c>
    </row>
    <row r="3520" spans="1:59" ht="58" x14ac:dyDescent="0.35">
      <c r="A3520" s="2" t="s">
        <v>59</v>
      </c>
      <c r="B3520" s="2" t="s">
        <v>60</v>
      </c>
      <c r="C3520" s="2" t="s">
        <v>35017</v>
      </c>
      <c r="D3520" s="2" t="s">
        <v>35018</v>
      </c>
      <c r="E3520" s="2" t="s">
        <v>35019</v>
      </c>
      <c r="G3520" s="3" t="s">
        <v>65</v>
      </c>
      <c r="I3520" s="3" t="s">
        <v>65</v>
      </c>
      <c r="J3520" s="3" t="s">
        <v>65</v>
      </c>
      <c r="K3520" s="3" t="s">
        <v>66</v>
      </c>
      <c r="L3520" s="2" t="s">
        <v>35008</v>
      </c>
      <c r="M3520" s="2" t="s">
        <v>35020</v>
      </c>
      <c r="N3520" s="3" t="s">
        <v>479</v>
      </c>
      <c r="P3520" s="3" t="s">
        <v>140</v>
      </c>
      <c r="Q3520" s="2" t="s">
        <v>35021</v>
      </c>
      <c r="R3520" s="3" t="s">
        <v>71</v>
      </c>
      <c r="S3520" s="4">
        <v>2</v>
      </c>
      <c r="T3520" s="4">
        <v>2</v>
      </c>
      <c r="U3520" s="5" t="s">
        <v>10744</v>
      </c>
      <c r="V3520" s="5" t="s">
        <v>10744</v>
      </c>
      <c r="W3520" s="5" t="s">
        <v>72</v>
      </c>
      <c r="X3520" s="5" t="s">
        <v>72</v>
      </c>
      <c r="Y3520" s="4">
        <v>4</v>
      </c>
      <c r="Z3520" s="4">
        <v>1</v>
      </c>
      <c r="AA3520" s="4">
        <v>3</v>
      </c>
      <c r="AB3520" s="4">
        <v>1</v>
      </c>
      <c r="AC3520" s="4">
        <v>2</v>
      </c>
      <c r="AD3520" s="4">
        <v>2</v>
      </c>
      <c r="AE3520" s="4">
        <v>27</v>
      </c>
      <c r="AF3520" s="4">
        <v>0</v>
      </c>
      <c r="AG3520" s="4">
        <v>0</v>
      </c>
      <c r="AH3520" s="4">
        <v>2</v>
      </c>
      <c r="AI3520" s="4">
        <v>26</v>
      </c>
      <c r="AJ3520" s="4">
        <v>0</v>
      </c>
      <c r="AK3520" s="4">
        <v>1</v>
      </c>
      <c r="AL3520" s="4">
        <v>1</v>
      </c>
      <c r="AM3520" s="4">
        <v>20</v>
      </c>
      <c r="AN3520" s="4">
        <v>0</v>
      </c>
      <c r="AO3520" s="4">
        <v>0</v>
      </c>
      <c r="AP3520" s="4">
        <v>0</v>
      </c>
      <c r="AQ3520" s="4">
        <v>1</v>
      </c>
      <c r="AR3520" s="3" t="s">
        <v>65</v>
      </c>
      <c r="AS3520" s="3" t="s">
        <v>65</v>
      </c>
      <c r="AT3520" s="3" t="s">
        <v>65</v>
      </c>
      <c r="AV3520" s="6" t="str">
        <f>HYPERLINK("http://mcgill.on.worldcat.org/oclc/227926277","Catalog Record")</f>
        <v>Catalog Record</v>
      </c>
      <c r="AW3520" s="6" t="str">
        <f>HYPERLINK("http://www.worldcat.org/oclc/227926277","WorldCat Record")</f>
        <v>WorldCat Record</v>
      </c>
      <c r="AX3520" s="3" t="s">
        <v>35022</v>
      </c>
      <c r="AY3520" s="3" t="s">
        <v>35023</v>
      </c>
      <c r="AZ3520" s="3" t="s">
        <v>35024</v>
      </c>
      <c r="BA3520" s="3" t="s">
        <v>35024</v>
      </c>
      <c r="BB3520" s="3" t="s">
        <v>35025</v>
      </c>
      <c r="BC3520" s="3" t="s">
        <v>77</v>
      </c>
      <c r="BD3520" s="3" t="s">
        <v>78</v>
      </c>
      <c r="BE3520" s="3" t="s">
        <v>35026</v>
      </c>
      <c r="BF3520" s="3" t="s">
        <v>35025</v>
      </c>
      <c r="BG3520" s="3" t="s">
        <v>35027</v>
      </c>
    </row>
    <row r="3521" spans="1:59" ht="58" x14ac:dyDescent="0.35">
      <c r="A3521" s="2" t="s">
        <v>59</v>
      </c>
      <c r="B3521" s="2" t="s">
        <v>60</v>
      </c>
      <c r="C3521" s="2" t="s">
        <v>35028</v>
      </c>
      <c r="D3521" s="2" t="s">
        <v>35029</v>
      </c>
      <c r="E3521" s="2" t="s">
        <v>35030</v>
      </c>
      <c r="G3521" s="3" t="s">
        <v>65</v>
      </c>
      <c r="I3521" s="3" t="s">
        <v>65</v>
      </c>
      <c r="J3521" s="3" t="s">
        <v>65</v>
      </c>
      <c r="K3521" s="3" t="s">
        <v>66</v>
      </c>
      <c r="L3521" s="2" t="s">
        <v>35031</v>
      </c>
      <c r="M3521" s="2" t="s">
        <v>28508</v>
      </c>
      <c r="N3521" s="3" t="s">
        <v>113</v>
      </c>
      <c r="P3521" s="3" t="s">
        <v>140</v>
      </c>
      <c r="Q3521" s="2" t="s">
        <v>35021</v>
      </c>
      <c r="R3521" s="3" t="s">
        <v>71</v>
      </c>
      <c r="S3521" s="4">
        <v>2</v>
      </c>
      <c r="T3521" s="4">
        <v>2</v>
      </c>
      <c r="U3521" s="5" t="s">
        <v>35032</v>
      </c>
      <c r="V3521" s="5" t="s">
        <v>35032</v>
      </c>
      <c r="W3521" s="5" t="s">
        <v>72</v>
      </c>
      <c r="X3521" s="5" t="s">
        <v>72</v>
      </c>
      <c r="Y3521" s="4">
        <v>5</v>
      </c>
      <c r="Z3521" s="4">
        <v>1</v>
      </c>
      <c r="AA3521" s="4">
        <v>4</v>
      </c>
      <c r="AB3521" s="4">
        <v>1</v>
      </c>
      <c r="AC3521" s="4">
        <v>1</v>
      </c>
      <c r="AD3521" s="4">
        <v>1</v>
      </c>
      <c r="AE3521" s="4">
        <v>28</v>
      </c>
      <c r="AF3521" s="4">
        <v>0</v>
      </c>
      <c r="AG3521" s="4">
        <v>0</v>
      </c>
      <c r="AH3521" s="4">
        <v>1</v>
      </c>
      <c r="AI3521" s="4">
        <v>27</v>
      </c>
      <c r="AJ3521" s="4">
        <v>0</v>
      </c>
      <c r="AK3521" s="4">
        <v>2</v>
      </c>
      <c r="AL3521" s="4">
        <v>0</v>
      </c>
      <c r="AM3521" s="4">
        <v>22</v>
      </c>
      <c r="AN3521" s="4">
        <v>0</v>
      </c>
      <c r="AO3521" s="4">
        <v>4</v>
      </c>
      <c r="AP3521" s="4">
        <v>0</v>
      </c>
      <c r="AQ3521" s="4">
        <v>2</v>
      </c>
      <c r="AR3521" s="3" t="s">
        <v>65</v>
      </c>
      <c r="AS3521" s="3" t="s">
        <v>65</v>
      </c>
      <c r="AT3521" s="3" t="s">
        <v>65</v>
      </c>
      <c r="AV3521" s="6" t="str">
        <f>HYPERLINK("http://mcgill.on.worldcat.org/oclc/646006524","Catalog Record")</f>
        <v>Catalog Record</v>
      </c>
      <c r="AW3521" s="6" t="str">
        <f>HYPERLINK("http://www.worldcat.org/oclc/646006524","WorldCat Record")</f>
        <v>WorldCat Record</v>
      </c>
      <c r="AX3521" s="3" t="s">
        <v>35033</v>
      </c>
      <c r="AY3521" s="3" t="s">
        <v>35034</v>
      </c>
      <c r="AZ3521" s="3" t="s">
        <v>35035</v>
      </c>
      <c r="BA3521" s="3" t="s">
        <v>35035</v>
      </c>
      <c r="BB3521" s="3" t="s">
        <v>35036</v>
      </c>
      <c r="BC3521" s="3" t="s">
        <v>77</v>
      </c>
      <c r="BD3521" s="3" t="s">
        <v>78</v>
      </c>
      <c r="BE3521" s="3" t="s">
        <v>35037</v>
      </c>
      <c r="BF3521" s="3" t="s">
        <v>35036</v>
      </c>
      <c r="BG3521" s="3" t="s">
        <v>35038</v>
      </c>
    </row>
    <row r="3522" spans="1:59" ht="58" x14ac:dyDescent="0.35">
      <c r="A3522" s="2" t="s">
        <v>59</v>
      </c>
      <c r="B3522" s="2" t="s">
        <v>60</v>
      </c>
      <c r="C3522" s="2" t="s">
        <v>35039</v>
      </c>
      <c r="D3522" s="2" t="s">
        <v>35040</v>
      </c>
      <c r="E3522" s="2" t="s">
        <v>35041</v>
      </c>
      <c r="G3522" s="3" t="s">
        <v>65</v>
      </c>
      <c r="I3522" s="3" t="s">
        <v>65</v>
      </c>
      <c r="J3522" s="3" t="s">
        <v>65</v>
      </c>
      <c r="K3522" s="3" t="s">
        <v>66</v>
      </c>
      <c r="L3522" s="2" t="s">
        <v>35042</v>
      </c>
      <c r="M3522" s="2" t="s">
        <v>35043</v>
      </c>
      <c r="N3522" s="3" t="s">
        <v>5130</v>
      </c>
      <c r="P3522" s="3" t="s">
        <v>140</v>
      </c>
      <c r="Q3522" s="2" t="s">
        <v>35044</v>
      </c>
      <c r="R3522" s="3" t="s">
        <v>71</v>
      </c>
      <c r="S3522" s="4">
        <v>7</v>
      </c>
      <c r="T3522" s="4">
        <v>7</v>
      </c>
      <c r="U3522" s="5" t="s">
        <v>25614</v>
      </c>
      <c r="V3522" s="5" t="s">
        <v>25614</v>
      </c>
      <c r="W3522" s="5" t="s">
        <v>72</v>
      </c>
      <c r="X3522" s="5" t="s">
        <v>72</v>
      </c>
      <c r="Y3522" s="4">
        <v>36</v>
      </c>
      <c r="Z3522" s="4">
        <v>5</v>
      </c>
      <c r="AA3522" s="4">
        <v>6</v>
      </c>
      <c r="AB3522" s="4">
        <v>1</v>
      </c>
      <c r="AC3522" s="4">
        <v>1</v>
      </c>
      <c r="AD3522" s="4">
        <v>21</v>
      </c>
      <c r="AE3522" s="4">
        <v>32</v>
      </c>
      <c r="AF3522" s="4">
        <v>0</v>
      </c>
      <c r="AG3522" s="4">
        <v>0</v>
      </c>
      <c r="AH3522" s="4">
        <v>18</v>
      </c>
      <c r="AI3522" s="4">
        <v>29</v>
      </c>
      <c r="AJ3522" s="4">
        <v>3</v>
      </c>
      <c r="AK3522" s="4">
        <v>3</v>
      </c>
      <c r="AL3522" s="4">
        <v>15</v>
      </c>
      <c r="AM3522" s="4">
        <v>25</v>
      </c>
      <c r="AN3522" s="4">
        <v>0</v>
      </c>
      <c r="AO3522" s="4">
        <v>0</v>
      </c>
      <c r="AP3522" s="4">
        <v>3</v>
      </c>
      <c r="AQ3522" s="4">
        <v>3</v>
      </c>
      <c r="AR3522" s="3" t="s">
        <v>65</v>
      </c>
      <c r="AS3522" s="3" t="s">
        <v>65</v>
      </c>
      <c r="AT3522" s="3" t="s">
        <v>209</v>
      </c>
      <c r="AU3522" s="6" t="str">
        <f>HYPERLINK("http://catalog.hathitrust.org/Record/009497645","HathiTrust Record")</f>
        <v>HathiTrust Record</v>
      </c>
      <c r="AV3522" s="6" t="str">
        <f>HYPERLINK("http://mcgill.on.worldcat.org/oclc/871354","Catalog Record")</f>
        <v>Catalog Record</v>
      </c>
      <c r="AW3522" s="6" t="str">
        <f>HYPERLINK("http://www.worldcat.org/oclc/871354","WorldCat Record")</f>
        <v>WorldCat Record</v>
      </c>
      <c r="AX3522" s="3" t="s">
        <v>35045</v>
      </c>
      <c r="AY3522" s="3" t="s">
        <v>35046</v>
      </c>
      <c r="AZ3522" s="3" t="s">
        <v>35047</v>
      </c>
      <c r="BA3522" s="3" t="s">
        <v>35047</v>
      </c>
      <c r="BB3522" s="3" t="s">
        <v>35048</v>
      </c>
      <c r="BC3522" s="3" t="s">
        <v>77</v>
      </c>
      <c r="BD3522" s="3" t="s">
        <v>78</v>
      </c>
      <c r="BF3522" s="3" t="s">
        <v>35048</v>
      </c>
      <c r="BG3522" s="3" t="s">
        <v>35049</v>
      </c>
    </row>
    <row r="3523" spans="1:59" ht="58" x14ac:dyDescent="0.35">
      <c r="A3523" s="2" t="s">
        <v>59</v>
      </c>
      <c r="B3523" s="2" t="s">
        <v>60</v>
      </c>
      <c r="C3523" s="2" t="s">
        <v>35050</v>
      </c>
      <c r="D3523" s="2" t="s">
        <v>35051</v>
      </c>
      <c r="E3523" s="2" t="s">
        <v>35052</v>
      </c>
      <c r="G3523" s="3" t="s">
        <v>65</v>
      </c>
      <c r="I3523" s="3" t="s">
        <v>65</v>
      </c>
      <c r="J3523" s="3" t="s">
        <v>65</v>
      </c>
      <c r="K3523" s="3" t="s">
        <v>66</v>
      </c>
      <c r="L3523" s="2" t="s">
        <v>35042</v>
      </c>
      <c r="M3523" s="2" t="s">
        <v>21139</v>
      </c>
      <c r="N3523" s="3" t="s">
        <v>139</v>
      </c>
      <c r="P3523" s="3" t="s">
        <v>140</v>
      </c>
      <c r="Q3523" s="2" t="s">
        <v>35053</v>
      </c>
      <c r="R3523" s="3" t="s">
        <v>71</v>
      </c>
      <c r="S3523" s="4">
        <v>0</v>
      </c>
      <c r="T3523" s="4">
        <v>0</v>
      </c>
      <c r="W3523" s="5" t="s">
        <v>72</v>
      </c>
      <c r="X3523" s="5" t="s">
        <v>72</v>
      </c>
      <c r="Y3523" s="4">
        <v>12</v>
      </c>
      <c r="Z3523" s="4">
        <v>2</v>
      </c>
      <c r="AA3523" s="4">
        <v>4</v>
      </c>
      <c r="AB3523" s="4">
        <v>1</v>
      </c>
      <c r="AC3523" s="4">
        <v>1</v>
      </c>
      <c r="AD3523" s="4">
        <v>9</v>
      </c>
      <c r="AE3523" s="4">
        <v>25</v>
      </c>
      <c r="AF3523" s="4">
        <v>0</v>
      </c>
      <c r="AG3523" s="4">
        <v>0</v>
      </c>
      <c r="AH3523" s="4">
        <v>8</v>
      </c>
      <c r="AI3523" s="4">
        <v>23</v>
      </c>
      <c r="AJ3523" s="4">
        <v>1</v>
      </c>
      <c r="AK3523" s="4">
        <v>3</v>
      </c>
      <c r="AL3523" s="4">
        <v>5</v>
      </c>
      <c r="AM3523" s="4">
        <v>17</v>
      </c>
      <c r="AN3523" s="4">
        <v>0</v>
      </c>
      <c r="AO3523" s="4">
        <v>0</v>
      </c>
      <c r="AP3523" s="4">
        <v>1</v>
      </c>
      <c r="AQ3523" s="4">
        <v>3</v>
      </c>
      <c r="AR3523" s="3" t="s">
        <v>65</v>
      </c>
      <c r="AS3523" s="3" t="s">
        <v>65</v>
      </c>
      <c r="AT3523" s="3" t="s">
        <v>65</v>
      </c>
      <c r="AV3523" s="6" t="str">
        <f>HYPERLINK("http://mcgill.on.worldcat.org/oclc/795754680","Catalog Record")</f>
        <v>Catalog Record</v>
      </c>
      <c r="AW3523" s="6" t="str">
        <f>HYPERLINK("http://www.worldcat.org/oclc/795754680","WorldCat Record")</f>
        <v>WorldCat Record</v>
      </c>
      <c r="AX3523" s="3" t="s">
        <v>35054</v>
      </c>
      <c r="AY3523" s="3" t="s">
        <v>35055</v>
      </c>
      <c r="AZ3523" s="3" t="s">
        <v>35056</v>
      </c>
      <c r="BA3523" s="3" t="s">
        <v>35056</v>
      </c>
      <c r="BB3523" s="3" t="s">
        <v>35057</v>
      </c>
      <c r="BC3523" s="3" t="s">
        <v>77</v>
      </c>
      <c r="BD3523" s="3" t="s">
        <v>78</v>
      </c>
      <c r="BE3523" s="3" t="s">
        <v>35058</v>
      </c>
      <c r="BF3523" s="3" t="s">
        <v>35057</v>
      </c>
      <c r="BG3523" s="3" t="s">
        <v>35059</v>
      </c>
    </row>
    <row r="3524" spans="1:59" ht="58" x14ac:dyDescent="0.35">
      <c r="A3524" s="2" t="s">
        <v>59</v>
      </c>
      <c r="B3524" s="2" t="s">
        <v>60</v>
      </c>
      <c r="C3524" s="2" t="s">
        <v>35060</v>
      </c>
      <c r="D3524" s="2" t="s">
        <v>35061</v>
      </c>
      <c r="E3524" s="2" t="s">
        <v>35062</v>
      </c>
      <c r="G3524" s="3" t="s">
        <v>65</v>
      </c>
      <c r="I3524" s="3" t="s">
        <v>65</v>
      </c>
      <c r="J3524" s="3" t="s">
        <v>65</v>
      </c>
      <c r="K3524" s="3" t="s">
        <v>66</v>
      </c>
      <c r="L3524" s="2" t="s">
        <v>35042</v>
      </c>
      <c r="M3524" s="2" t="s">
        <v>35063</v>
      </c>
      <c r="N3524" s="3" t="s">
        <v>1196</v>
      </c>
      <c r="O3524" s="2" t="s">
        <v>365</v>
      </c>
      <c r="P3524" s="3" t="s">
        <v>140</v>
      </c>
      <c r="Q3524" s="2" t="s">
        <v>33053</v>
      </c>
      <c r="R3524" s="3" t="s">
        <v>71</v>
      </c>
      <c r="S3524" s="4">
        <v>3</v>
      </c>
      <c r="T3524" s="4">
        <v>3</v>
      </c>
      <c r="U3524" s="5" t="s">
        <v>17444</v>
      </c>
      <c r="V3524" s="5" t="s">
        <v>17444</v>
      </c>
      <c r="W3524" s="5" t="s">
        <v>72</v>
      </c>
      <c r="X3524" s="5" t="s">
        <v>72</v>
      </c>
      <c r="Y3524" s="4">
        <v>79</v>
      </c>
      <c r="Z3524" s="4">
        <v>7</v>
      </c>
      <c r="AA3524" s="4">
        <v>7</v>
      </c>
      <c r="AB3524" s="4">
        <v>1</v>
      </c>
      <c r="AC3524" s="4">
        <v>1</v>
      </c>
      <c r="AD3524" s="4">
        <v>40</v>
      </c>
      <c r="AE3524" s="4">
        <v>40</v>
      </c>
      <c r="AF3524" s="4">
        <v>0</v>
      </c>
      <c r="AG3524" s="4">
        <v>0</v>
      </c>
      <c r="AH3524" s="4">
        <v>39</v>
      </c>
      <c r="AI3524" s="4">
        <v>39</v>
      </c>
      <c r="AJ3524" s="4">
        <v>5</v>
      </c>
      <c r="AK3524" s="4">
        <v>5</v>
      </c>
      <c r="AL3524" s="4">
        <v>28</v>
      </c>
      <c r="AM3524" s="4">
        <v>28</v>
      </c>
      <c r="AN3524" s="4">
        <v>0</v>
      </c>
      <c r="AO3524" s="4">
        <v>0</v>
      </c>
      <c r="AP3524" s="4">
        <v>5</v>
      </c>
      <c r="AQ3524" s="4">
        <v>5</v>
      </c>
      <c r="AR3524" s="3" t="s">
        <v>65</v>
      </c>
      <c r="AS3524" s="3" t="s">
        <v>65</v>
      </c>
      <c r="AT3524" s="3" t="s">
        <v>209</v>
      </c>
      <c r="AU3524" s="6" t="str">
        <f>HYPERLINK("http://catalog.hathitrust.org/Record/004965466","HathiTrust Record")</f>
        <v>HathiTrust Record</v>
      </c>
      <c r="AV3524" s="6" t="str">
        <f>HYPERLINK("http://mcgill.on.worldcat.org/oclc/57892279","Catalog Record")</f>
        <v>Catalog Record</v>
      </c>
      <c r="AW3524" s="6" t="str">
        <f>HYPERLINK("http://www.worldcat.org/oclc/57892279","WorldCat Record")</f>
        <v>WorldCat Record</v>
      </c>
      <c r="AX3524" s="3" t="s">
        <v>35064</v>
      </c>
      <c r="AY3524" s="3" t="s">
        <v>35065</v>
      </c>
      <c r="AZ3524" s="3" t="s">
        <v>35066</v>
      </c>
      <c r="BA3524" s="3" t="s">
        <v>35066</v>
      </c>
      <c r="BB3524" s="3" t="s">
        <v>35067</v>
      </c>
      <c r="BC3524" s="3" t="s">
        <v>77</v>
      </c>
      <c r="BD3524" s="3" t="s">
        <v>78</v>
      </c>
      <c r="BE3524" s="3" t="s">
        <v>35068</v>
      </c>
      <c r="BF3524" s="3" t="s">
        <v>35067</v>
      </c>
      <c r="BG3524" s="3" t="s">
        <v>35069</v>
      </c>
    </row>
    <row r="3525" spans="1:59" ht="58" x14ac:dyDescent="0.35">
      <c r="A3525" s="2" t="s">
        <v>59</v>
      </c>
      <c r="B3525" s="2" t="s">
        <v>60</v>
      </c>
      <c r="C3525" s="2" t="s">
        <v>35070</v>
      </c>
      <c r="D3525" s="2" t="s">
        <v>35071</v>
      </c>
      <c r="E3525" s="2" t="s">
        <v>35072</v>
      </c>
      <c r="G3525" s="3" t="s">
        <v>65</v>
      </c>
      <c r="I3525" s="3" t="s">
        <v>65</v>
      </c>
      <c r="J3525" s="3" t="s">
        <v>65</v>
      </c>
      <c r="K3525" s="3" t="s">
        <v>66</v>
      </c>
      <c r="L3525" s="2" t="s">
        <v>35073</v>
      </c>
      <c r="M3525" s="2" t="s">
        <v>14406</v>
      </c>
      <c r="N3525" s="3" t="s">
        <v>126</v>
      </c>
      <c r="O3525" s="2" t="s">
        <v>365</v>
      </c>
      <c r="P3525" s="3" t="s">
        <v>140</v>
      </c>
      <c r="Q3525" s="2" t="s">
        <v>4334</v>
      </c>
      <c r="R3525" s="3" t="s">
        <v>71</v>
      </c>
      <c r="S3525" s="4">
        <v>2</v>
      </c>
      <c r="T3525" s="4">
        <v>2</v>
      </c>
      <c r="U3525" s="5" t="s">
        <v>17444</v>
      </c>
      <c r="V3525" s="5" t="s">
        <v>17444</v>
      </c>
      <c r="W3525" s="5" t="s">
        <v>72</v>
      </c>
      <c r="X3525" s="5" t="s">
        <v>72</v>
      </c>
      <c r="Y3525" s="4">
        <v>32</v>
      </c>
      <c r="Z3525" s="4">
        <v>2</v>
      </c>
      <c r="AA3525" s="4">
        <v>2</v>
      </c>
      <c r="AB3525" s="4">
        <v>1</v>
      </c>
      <c r="AC3525" s="4">
        <v>1</v>
      </c>
      <c r="AD3525" s="4">
        <v>20</v>
      </c>
      <c r="AE3525" s="4">
        <v>20</v>
      </c>
      <c r="AF3525" s="4">
        <v>0</v>
      </c>
      <c r="AG3525" s="4">
        <v>0</v>
      </c>
      <c r="AH3525" s="4">
        <v>19</v>
      </c>
      <c r="AI3525" s="4">
        <v>19</v>
      </c>
      <c r="AJ3525" s="4">
        <v>1</v>
      </c>
      <c r="AK3525" s="4">
        <v>1</v>
      </c>
      <c r="AL3525" s="4">
        <v>13</v>
      </c>
      <c r="AM3525" s="4">
        <v>13</v>
      </c>
      <c r="AN3525" s="4">
        <v>0</v>
      </c>
      <c r="AO3525" s="4">
        <v>0</v>
      </c>
      <c r="AP3525" s="4">
        <v>1</v>
      </c>
      <c r="AQ3525" s="4">
        <v>1</v>
      </c>
      <c r="AR3525" s="3" t="s">
        <v>65</v>
      </c>
      <c r="AS3525" s="3" t="s">
        <v>65</v>
      </c>
      <c r="AT3525" s="3" t="s">
        <v>65</v>
      </c>
      <c r="AV3525" s="6" t="str">
        <f>HYPERLINK("http://mcgill.on.worldcat.org/oclc/775411067","Catalog Record")</f>
        <v>Catalog Record</v>
      </c>
      <c r="AW3525" s="6" t="str">
        <f>HYPERLINK("http://www.worldcat.org/oclc/775411067","WorldCat Record")</f>
        <v>WorldCat Record</v>
      </c>
      <c r="AX3525" s="3" t="s">
        <v>35074</v>
      </c>
      <c r="AY3525" s="3" t="s">
        <v>35075</v>
      </c>
      <c r="AZ3525" s="3" t="s">
        <v>35076</v>
      </c>
      <c r="BA3525" s="3" t="s">
        <v>35076</v>
      </c>
      <c r="BB3525" s="3" t="s">
        <v>35077</v>
      </c>
      <c r="BC3525" s="3" t="s">
        <v>77</v>
      </c>
      <c r="BD3525" s="3" t="s">
        <v>78</v>
      </c>
      <c r="BE3525" s="3" t="s">
        <v>35078</v>
      </c>
      <c r="BF3525" s="3" t="s">
        <v>35077</v>
      </c>
      <c r="BG3525" s="3" t="s">
        <v>35079</v>
      </c>
    </row>
    <row r="3526" spans="1:59" ht="58" x14ac:dyDescent="0.35">
      <c r="A3526" s="2" t="s">
        <v>59</v>
      </c>
      <c r="B3526" s="2" t="s">
        <v>60</v>
      </c>
      <c r="C3526" s="2" t="s">
        <v>35080</v>
      </c>
      <c r="D3526" s="2" t="s">
        <v>35081</v>
      </c>
      <c r="E3526" s="2" t="s">
        <v>35082</v>
      </c>
      <c r="G3526" s="3" t="s">
        <v>65</v>
      </c>
      <c r="I3526" s="3" t="s">
        <v>65</v>
      </c>
      <c r="J3526" s="3" t="s">
        <v>65</v>
      </c>
      <c r="K3526" s="3" t="s">
        <v>66</v>
      </c>
      <c r="L3526" s="2" t="s">
        <v>35083</v>
      </c>
      <c r="M3526" s="2" t="s">
        <v>35084</v>
      </c>
      <c r="N3526" s="3" t="s">
        <v>1944</v>
      </c>
      <c r="P3526" s="3" t="s">
        <v>69</v>
      </c>
      <c r="Q3526" s="2" t="s">
        <v>1197</v>
      </c>
      <c r="R3526" s="3" t="s">
        <v>71</v>
      </c>
      <c r="S3526" s="4">
        <v>3</v>
      </c>
      <c r="T3526" s="4">
        <v>3</v>
      </c>
      <c r="U3526" s="5" t="s">
        <v>27799</v>
      </c>
      <c r="V3526" s="5" t="s">
        <v>27799</v>
      </c>
      <c r="W3526" s="5" t="s">
        <v>72</v>
      </c>
      <c r="X3526" s="5" t="s">
        <v>72</v>
      </c>
      <c r="Y3526" s="4">
        <v>228</v>
      </c>
      <c r="Z3526" s="4">
        <v>23</v>
      </c>
      <c r="AA3526" s="4">
        <v>117</v>
      </c>
      <c r="AB3526" s="4">
        <v>1</v>
      </c>
      <c r="AC3526" s="4">
        <v>22</v>
      </c>
      <c r="AD3526" s="4">
        <v>103</v>
      </c>
      <c r="AE3526" s="4">
        <v>158</v>
      </c>
      <c r="AF3526" s="4">
        <v>0</v>
      </c>
      <c r="AG3526" s="4">
        <v>8</v>
      </c>
      <c r="AH3526" s="4">
        <v>89</v>
      </c>
      <c r="AI3526" s="4">
        <v>110</v>
      </c>
      <c r="AJ3526" s="4">
        <v>14</v>
      </c>
      <c r="AK3526" s="4">
        <v>27</v>
      </c>
      <c r="AL3526" s="4">
        <v>52</v>
      </c>
      <c r="AM3526" s="4">
        <v>59</v>
      </c>
      <c r="AN3526" s="4">
        <v>0</v>
      </c>
      <c r="AO3526" s="4">
        <v>0</v>
      </c>
      <c r="AP3526" s="4">
        <v>17</v>
      </c>
      <c r="AQ3526" s="4">
        <v>54</v>
      </c>
      <c r="AR3526" s="3" t="s">
        <v>209</v>
      </c>
      <c r="AS3526" s="3" t="s">
        <v>65</v>
      </c>
      <c r="AT3526" s="3" t="s">
        <v>65</v>
      </c>
      <c r="AV3526" s="6" t="str">
        <f>HYPERLINK("http://mcgill.on.worldcat.org/oclc/43282662","Catalog Record")</f>
        <v>Catalog Record</v>
      </c>
      <c r="AW3526" s="6" t="str">
        <f>HYPERLINK("http://www.worldcat.org/oclc/43282662","WorldCat Record")</f>
        <v>WorldCat Record</v>
      </c>
      <c r="AX3526" s="3" t="s">
        <v>35085</v>
      </c>
      <c r="AY3526" s="3" t="s">
        <v>35086</v>
      </c>
      <c r="AZ3526" s="3" t="s">
        <v>35087</v>
      </c>
      <c r="BA3526" s="3" t="s">
        <v>35087</v>
      </c>
      <c r="BB3526" s="3" t="s">
        <v>35088</v>
      </c>
      <c r="BC3526" s="3" t="s">
        <v>77</v>
      </c>
      <c r="BD3526" s="3" t="s">
        <v>78</v>
      </c>
      <c r="BE3526" s="3" t="s">
        <v>35089</v>
      </c>
      <c r="BF3526" s="3" t="s">
        <v>35088</v>
      </c>
      <c r="BG3526" s="3" t="s">
        <v>35090</v>
      </c>
    </row>
    <row r="3527" spans="1:59" ht="58" x14ac:dyDescent="0.35">
      <c r="A3527" s="2" t="s">
        <v>59</v>
      </c>
      <c r="B3527" s="2" t="s">
        <v>60</v>
      </c>
      <c r="C3527" s="2" t="s">
        <v>35091</v>
      </c>
      <c r="D3527" s="2" t="s">
        <v>35092</v>
      </c>
      <c r="E3527" s="2" t="s">
        <v>35093</v>
      </c>
      <c r="G3527" s="3" t="s">
        <v>65</v>
      </c>
      <c r="I3527" s="3" t="s">
        <v>65</v>
      </c>
      <c r="J3527" s="3" t="s">
        <v>65</v>
      </c>
      <c r="K3527" s="3" t="s">
        <v>66</v>
      </c>
      <c r="L3527" s="2" t="s">
        <v>35094</v>
      </c>
      <c r="M3527" s="2" t="s">
        <v>35095</v>
      </c>
      <c r="N3527" s="3" t="s">
        <v>8188</v>
      </c>
      <c r="P3527" s="3" t="s">
        <v>140</v>
      </c>
      <c r="R3527" s="3" t="s">
        <v>71</v>
      </c>
      <c r="S3527" s="4">
        <v>1</v>
      </c>
      <c r="T3527" s="4">
        <v>1</v>
      </c>
      <c r="U3527" s="5" t="s">
        <v>35096</v>
      </c>
      <c r="V3527" s="5" t="s">
        <v>35096</v>
      </c>
      <c r="W3527" s="5" t="s">
        <v>72</v>
      </c>
      <c r="X3527" s="5" t="s">
        <v>72</v>
      </c>
      <c r="Y3527" s="4">
        <v>2</v>
      </c>
      <c r="Z3527" s="4">
        <v>1</v>
      </c>
      <c r="AA3527" s="4">
        <v>1</v>
      </c>
      <c r="AB3527" s="4">
        <v>1</v>
      </c>
      <c r="AC3527" s="4">
        <v>1</v>
      </c>
      <c r="AD3527" s="4">
        <v>0</v>
      </c>
      <c r="AE3527" s="4">
        <v>0</v>
      </c>
      <c r="AF3527" s="4">
        <v>0</v>
      </c>
      <c r="AG3527" s="4">
        <v>0</v>
      </c>
      <c r="AH3527" s="4">
        <v>0</v>
      </c>
      <c r="AI3527" s="4">
        <v>0</v>
      </c>
      <c r="AJ3527" s="4">
        <v>0</v>
      </c>
      <c r="AK3527" s="4">
        <v>0</v>
      </c>
      <c r="AL3527" s="4">
        <v>0</v>
      </c>
      <c r="AM3527" s="4">
        <v>0</v>
      </c>
      <c r="AN3527" s="4">
        <v>0</v>
      </c>
      <c r="AO3527" s="4">
        <v>0</v>
      </c>
      <c r="AP3527" s="4">
        <v>0</v>
      </c>
      <c r="AQ3527" s="4">
        <v>0</v>
      </c>
      <c r="AR3527" s="3" t="s">
        <v>65</v>
      </c>
      <c r="AS3527" s="3" t="s">
        <v>65</v>
      </c>
      <c r="AT3527" s="3" t="s">
        <v>65</v>
      </c>
      <c r="AV3527" s="6" t="str">
        <f>HYPERLINK("http://mcgill.on.worldcat.org/oclc/222856957","Catalog Record")</f>
        <v>Catalog Record</v>
      </c>
      <c r="AW3527" s="6" t="str">
        <f>HYPERLINK("http://www.worldcat.org/oclc/222856957","WorldCat Record")</f>
        <v>WorldCat Record</v>
      </c>
      <c r="AX3527" s="3" t="s">
        <v>35097</v>
      </c>
      <c r="AY3527" s="3" t="s">
        <v>35098</v>
      </c>
      <c r="AZ3527" s="3" t="s">
        <v>35099</v>
      </c>
      <c r="BA3527" s="3" t="s">
        <v>35099</v>
      </c>
      <c r="BB3527" s="3" t="s">
        <v>35100</v>
      </c>
      <c r="BC3527" s="3" t="s">
        <v>77</v>
      </c>
      <c r="BD3527" s="3" t="s">
        <v>78</v>
      </c>
      <c r="BE3527" s="3" t="s">
        <v>35101</v>
      </c>
      <c r="BF3527" s="3" t="s">
        <v>35100</v>
      </c>
      <c r="BG3527" s="3" t="s">
        <v>35102</v>
      </c>
    </row>
    <row r="3528" spans="1:59" ht="58" x14ac:dyDescent="0.35">
      <c r="A3528" s="2" t="s">
        <v>59</v>
      </c>
      <c r="B3528" s="2" t="s">
        <v>60</v>
      </c>
      <c r="C3528" s="2" t="s">
        <v>35103</v>
      </c>
      <c r="D3528" s="2" t="s">
        <v>35104</v>
      </c>
      <c r="E3528" s="2" t="s">
        <v>35105</v>
      </c>
      <c r="G3528" s="3" t="s">
        <v>65</v>
      </c>
      <c r="I3528" s="3" t="s">
        <v>65</v>
      </c>
      <c r="J3528" s="3" t="s">
        <v>65</v>
      </c>
      <c r="K3528" s="3" t="s">
        <v>66</v>
      </c>
      <c r="L3528" s="2" t="s">
        <v>35106</v>
      </c>
      <c r="M3528" s="2" t="s">
        <v>35107</v>
      </c>
      <c r="N3528" s="3" t="s">
        <v>906</v>
      </c>
      <c r="O3528" s="2" t="s">
        <v>365</v>
      </c>
      <c r="P3528" s="3" t="s">
        <v>140</v>
      </c>
      <c r="Q3528" s="2" t="s">
        <v>32206</v>
      </c>
      <c r="R3528" s="3" t="s">
        <v>71</v>
      </c>
      <c r="S3528" s="4">
        <v>4</v>
      </c>
      <c r="T3528" s="4">
        <v>4</v>
      </c>
      <c r="U3528" s="5" t="s">
        <v>25796</v>
      </c>
      <c r="V3528" s="5" t="s">
        <v>25796</v>
      </c>
      <c r="W3528" s="5" t="s">
        <v>72</v>
      </c>
      <c r="X3528" s="5" t="s">
        <v>72</v>
      </c>
      <c r="Y3528" s="4">
        <v>50</v>
      </c>
      <c r="Z3528" s="4">
        <v>3</v>
      </c>
      <c r="AA3528" s="4">
        <v>3</v>
      </c>
      <c r="AB3528" s="4">
        <v>1</v>
      </c>
      <c r="AC3528" s="4">
        <v>1</v>
      </c>
      <c r="AD3528" s="4">
        <v>23</v>
      </c>
      <c r="AE3528" s="4">
        <v>23</v>
      </c>
      <c r="AF3528" s="4">
        <v>0</v>
      </c>
      <c r="AG3528" s="4">
        <v>0</v>
      </c>
      <c r="AH3528" s="4">
        <v>21</v>
      </c>
      <c r="AI3528" s="4">
        <v>21</v>
      </c>
      <c r="AJ3528" s="4">
        <v>1</v>
      </c>
      <c r="AK3528" s="4">
        <v>1</v>
      </c>
      <c r="AL3528" s="4">
        <v>18</v>
      </c>
      <c r="AM3528" s="4">
        <v>18</v>
      </c>
      <c r="AN3528" s="4">
        <v>0</v>
      </c>
      <c r="AO3528" s="4">
        <v>0</v>
      </c>
      <c r="AP3528" s="4">
        <v>1</v>
      </c>
      <c r="AQ3528" s="4">
        <v>1</v>
      </c>
      <c r="AR3528" s="3" t="s">
        <v>65</v>
      </c>
      <c r="AS3528" s="3" t="s">
        <v>65</v>
      </c>
      <c r="AT3528" s="3" t="s">
        <v>209</v>
      </c>
      <c r="AU3528" s="6" t="str">
        <f>HYPERLINK("http://catalog.hathitrust.org/Record/007862541","HathiTrust Record")</f>
        <v>HathiTrust Record</v>
      </c>
      <c r="AV3528" s="6" t="str">
        <f>HYPERLINK("http://mcgill.on.worldcat.org/oclc/5940074","Catalog Record")</f>
        <v>Catalog Record</v>
      </c>
      <c r="AW3528" s="6" t="str">
        <f>HYPERLINK("http://www.worldcat.org/oclc/5940074","WorldCat Record")</f>
        <v>WorldCat Record</v>
      </c>
      <c r="AX3528" s="3" t="s">
        <v>35108</v>
      </c>
      <c r="AY3528" s="3" t="s">
        <v>35109</v>
      </c>
      <c r="AZ3528" s="3" t="s">
        <v>35110</v>
      </c>
      <c r="BA3528" s="3" t="s">
        <v>35110</v>
      </c>
      <c r="BB3528" s="3" t="s">
        <v>35111</v>
      </c>
      <c r="BC3528" s="3" t="s">
        <v>77</v>
      </c>
      <c r="BD3528" s="3" t="s">
        <v>78</v>
      </c>
      <c r="BF3528" s="3" t="s">
        <v>35111</v>
      </c>
      <c r="BG3528" s="3" t="s">
        <v>35112</v>
      </c>
    </row>
    <row r="3529" spans="1:59" ht="58" x14ac:dyDescent="0.35">
      <c r="A3529" s="2" t="s">
        <v>59</v>
      </c>
      <c r="B3529" s="2" t="s">
        <v>60</v>
      </c>
      <c r="C3529" s="2" t="s">
        <v>35113</v>
      </c>
      <c r="D3529" s="2" t="s">
        <v>35114</v>
      </c>
      <c r="E3529" s="2" t="s">
        <v>35115</v>
      </c>
      <c r="G3529" s="3" t="s">
        <v>65</v>
      </c>
      <c r="I3529" s="3" t="s">
        <v>65</v>
      </c>
      <c r="J3529" s="3" t="s">
        <v>65</v>
      </c>
      <c r="K3529" s="3" t="s">
        <v>66</v>
      </c>
      <c r="L3529" s="2" t="s">
        <v>35106</v>
      </c>
      <c r="M3529" s="2" t="s">
        <v>31120</v>
      </c>
      <c r="N3529" s="3" t="s">
        <v>615</v>
      </c>
      <c r="O3529" s="2" t="s">
        <v>654</v>
      </c>
      <c r="P3529" s="3" t="s">
        <v>140</v>
      </c>
      <c r="Q3529" s="2" t="s">
        <v>32206</v>
      </c>
      <c r="R3529" s="3" t="s">
        <v>71</v>
      </c>
      <c r="S3529" s="4">
        <v>2</v>
      </c>
      <c r="T3529" s="4">
        <v>2</v>
      </c>
      <c r="U3529" s="5" t="s">
        <v>215</v>
      </c>
      <c r="V3529" s="5" t="s">
        <v>215</v>
      </c>
      <c r="W3529" s="5" t="s">
        <v>72</v>
      </c>
      <c r="X3529" s="5" t="s">
        <v>72</v>
      </c>
      <c r="Y3529" s="4">
        <v>28</v>
      </c>
      <c r="Z3529" s="4">
        <v>6</v>
      </c>
      <c r="AA3529" s="4">
        <v>6</v>
      </c>
      <c r="AB3529" s="4">
        <v>1</v>
      </c>
      <c r="AC3529" s="4">
        <v>1</v>
      </c>
      <c r="AD3529" s="4">
        <v>17</v>
      </c>
      <c r="AE3529" s="4">
        <v>17</v>
      </c>
      <c r="AF3529" s="4">
        <v>0</v>
      </c>
      <c r="AG3529" s="4">
        <v>0</v>
      </c>
      <c r="AH3529" s="4">
        <v>15</v>
      </c>
      <c r="AI3529" s="4">
        <v>15</v>
      </c>
      <c r="AJ3529" s="4">
        <v>3</v>
      </c>
      <c r="AK3529" s="4">
        <v>3</v>
      </c>
      <c r="AL3529" s="4">
        <v>11</v>
      </c>
      <c r="AM3529" s="4">
        <v>11</v>
      </c>
      <c r="AN3529" s="4">
        <v>0</v>
      </c>
      <c r="AO3529" s="4">
        <v>0</v>
      </c>
      <c r="AP3529" s="4">
        <v>3</v>
      </c>
      <c r="AQ3529" s="4">
        <v>3</v>
      </c>
      <c r="AR3529" s="3" t="s">
        <v>65</v>
      </c>
      <c r="AS3529" s="3" t="s">
        <v>65</v>
      </c>
      <c r="AT3529" s="3" t="s">
        <v>65</v>
      </c>
      <c r="AV3529" s="6" t="str">
        <f>HYPERLINK("http://mcgill.on.worldcat.org/oclc/11951612","Catalog Record")</f>
        <v>Catalog Record</v>
      </c>
      <c r="AW3529" s="6" t="str">
        <f>HYPERLINK("http://www.worldcat.org/oclc/11951612","WorldCat Record")</f>
        <v>WorldCat Record</v>
      </c>
      <c r="AX3529" s="3" t="s">
        <v>35116</v>
      </c>
      <c r="AY3529" s="3" t="s">
        <v>35117</v>
      </c>
      <c r="AZ3529" s="3" t="s">
        <v>35118</v>
      </c>
      <c r="BA3529" s="3" t="s">
        <v>35118</v>
      </c>
      <c r="BB3529" s="3" t="s">
        <v>35119</v>
      </c>
      <c r="BC3529" s="3" t="s">
        <v>77</v>
      </c>
      <c r="BD3529" s="3" t="s">
        <v>78</v>
      </c>
      <c r="BF3529" s="3" t="s">
        <v>35119</v>
      </c>
      <c r="BG3529" s="3" t="s">
        <v>35120</v>
      </c>
    </row>
    <row r="3530" spans="1:59" ht="58" x14ac:dyDescent="0.35">
      <c r="A3530" s="2" t="s">
        <v>59</v>
      </c>
      <c r="B3530" s="2" t="s">
        <v>60</v>
      </c>
      <c r="C3530" s="2" t="s">
        <v>35121</v>
      </c>
      <c r="D3530" s="2" t="s">
        <v>35122</v>
      </c>
      <c r="E3530" s="2" t="s">
        <v>35123</v>
      </c>
      <c r="G3530" s="3" t="s">
        <v>65</v>
      </c>
      <c r="I3530" s="3" t="s">
        <v>65</v>
      </c>
      <c r="J3530" s="3" t="s">
        <v>65</v>
      </c>
      <c r="K3530" s="3" t="s">
        <v>66</v>
      </c>
      <c r="L3530" s="2" t="s">
        <v>35124</v>
      </c>
      <c r="M3530" s="2" t="s">
        <v>35125</v>
      </c>
      <c r="N3530" s="3" t="s">
        <v>5130</v>
      </c>
      <c r="P3530" s="3" t="s">
        <v>140</v>
      </c>
      <c r="Q3530" s="2" t="s">
        <v>35126</v>
      </c>
      <c r="R3530" s="3" t="s">
        <v>71</v>
      </c>
      <c r="S3530" s="4">
        <v>2</v>
      </c>
      <c r="T3530" s="4">
        <v>2</v>
      </c>
      <c r="U3530" s="5" t="s">
        <v>18113</v>
      </c>
      <c r="V3530" s="5" t="s">
        <v>18113</v>
      </c>
      <c r="W3530" s="5" t="s">
        <v>72</v>
      </c>
      <c r="X3530" s="5" t="s">
        <v>72</v>
      </c>
      <c r="Y3530" s="4">
        <v>34</v>
      </c>
      <c r="Z3530" s="4">
        <v>6</v>
      </c>
      <c r="AA3530" s="4">
        <v>7</v>
      </c>
      <c r="AB3530" s="4">
        <v>1</v>
      </c>
      <c r="AC3530" s="4">
        <v>1</v>
      </c>
      <c r="AD3530" s="4">
        <v>22</v>
      </c>
      <c r="AE3530" s="4">
        <v>34</v>
      </c>
      <c r="AF3530" s="4">
        <v>0</v>
      </c>
      <c r="AG3530" s="4">
        <v>0</v>
      </c>
      <c r="AH3530" s="4">
        <v>18</v>
      </c>
      <c r="AI3530" s="4">
        <v>30</v>
      </c>
      <c r="AJ3530" s="4">
        <v>4</v>
      </c>
      <c r="AK3530" s="4">
        <v>5</v>
      </c>
      <c r="AL3530" s="4">
        <v>14</v>
      </c>
      <c r="AM3530" s="4">
        <v>23</v>
      </c>
      <c r="AN3530" s="4">
        <v>0</v>
      </c>
      <c r="AO3530" s="4">
        <v>0</v>
      </c>
      <c r="AP3530" s="4">
        <v>4</v>
      </c>
      <c r="AQ3530" s="4">
        <v>5</v>
      </c>
      <c r="AR3530" s="3" t="s">
        <v>65</v>
      </c>
      <c r="AS3530" s="3" t="s">
        <v>65</v>
      </c>
      <c r="AT3530" s="3" t="s">
        <v>65</v>
      </c>
      <c r="AV3530" s="6" t="str">
        <f>HYPERLINK("http://mcgill.on.worldcat.org/oclc/896331","Catalog Record")</f>
        <v>Catalog Record</v>
      </c>
      <c r="AW3530" s="6" t="str">
        <f>HYPERLINK("http://www.worldcat.org/oclc/896331","WorldCat Record")</f>
        <v>WorldCat Record</v>
      </c>
      <c r="AX3530" s="3" t="s">
        <v>35127</v>
      </c>
      <c r="AY3530" s="3" t="s">
        <v>35128</v>
      </c>
      <c r="AZ3530" s="3" t="s">
        <v>35129</v>
      </c>
      <c r="BA3530" s="3" t="s">
        <v>35129</v>
      </c>
      <c r="BB3530" s="3" t="s">
        <v>35130</v>
      </c>
      <c r="BC3530" s="3" t="s">
        <v>77</v>
      </c>
      <c r="BD3530" s="3" t="s">
        <v>78</v>
      </c>
      <c r="BF3530" s="3" t="s">
        <v>35130</v>
      </c>
      <c r="BG3530" s="3" t="s">
        <v>35131</v>
      </c>
    </row>
    <row r="3531" spans="1:59" ht="58" x14ac:dyDescent="0.35">
      <c r="A3531" s="2" t="s">
        <v>59</v>
      </c>
      <c r="B3531" s="2" t="s">
        <v>60</v>
      </c>
      <c r="C3531" s="2" t="s">
        <v>35132</v>
      </c>
      <c r="D3531" s="2" t="s">
        <v>35133</v>
      </c>
      <c r="E3531" s="2" t="s">
        <v>35134</v>
      </c>
      <c r="G3531" s="3" t="s">
        <v>65</v>
      </c>
      <c r="I3531" s="3" t="s">
        <v>65</v>
      </c>
      <c r="J3531" s="3" t="s">
        <v>65</v>
      </c>
      <c r="K3531" s="3" t="s">
        <v>66</v>
      </c>
      <c r="L3531" s="2" t="s">
        <v>35124</v>
      </c>
      <c r="M3531" s="2" t="s">
        <v>35135</v>
      </c>
      <c r="N3531" s="3" t="s">
        <v>577</v>
      </c>
      <c r="O3531" s="2" t="s">
        <v>365</v>
      </c>
      <c r="P3531" s="3" t="s">
        <v>140</v>
      </c>
      <c r="R3531" s="3" t="s">
        <v>71</v>
      </c>
      <c r="S3531" s="4">
        <v>4</v>
      </c>
      <c r="T3531" s="4">
        <v>4</v>
      </c>
      <c r="U3531" s="5" t="s">
        <v>18069</v>
      </c>
      <c r="V3531" s="5" t="s">
        <v>18069</v>
      </c>
      <c r="W3531" s="5" t="s">
        <v>72</v>
      </c>
      <c r="X3531" s="5" t="s">
        <v>72</v>
      </c>
      <c r="Y3531" s="4">
        <v>25</v>
      </c>
      <c r="Z3531" s="4">
        <v>3</v>
      </c>
      <c r="AA3531" s="4">
        <v>3</v>
      </c>
      <c r="AB3531" s="4">
        <v>1</v>
      </c>
      <c r="AC3531" s="4">
        <v>1</v>
      </c>
      <c r="AD3531" s="4">
        <v>14</v>
      </c>
      <c r="AE3531" s="4">
        <v>14</v>
      </c>
      <c r="AF3531" s="4">
        <v>0</v>
      </c>
      <c r="AG3531" s="4">
        <v>0</v>
      </c>
      <c r="AH3531" s="4">
        <v>13</v>
      </c>
      <c r="AI3531" s="4">
        <v>13</v>
      </c>
      <c r="AJ3531" s="4">
        <v>1</v>
      </c>
      <c r="AK3531" s="4">
        <v>1</v>
      </c>
      <c r="AL3531" s="4">
        <v>10</v>
      </c>
      <c r="AM3531" s="4">
        <v>10</v>
      </c>
      <c r="AN3531" s="4">
        <v>0</v>
      </c>
      <c r="AO3531" s="4">
        <v>0</v>
      </c>
      <c r="AP3531" s="4">
        <v>1</v>
      </c>
      <c r="AQ3531" s="4">
        <v>1</v>
      </c>
      <c r="AR3531" s="3" t="s">
        <v>65</v>
      </c>
      <c r="AS3531" s="3" t="s">
        <v>65</v>
      </c>
      <c r="AT3531" s="3" t="s">
        <v>65</v>
      </c>
      <c r="AV3531" s="6" t="str">
        <f>HYPERLINK("http://mcgill.on.worldcat.org/oclc/4489308","Catalog Record")</f>
        <v>Catalog Record</v>
      </c>
      <c r="AW3531" s="6" t="str">
        <f>HYPERLINK("http://www.worldcat.org/oclc/4489308","WorldCat Record")</f>
        <v>WorldCat Record</v>
      </c>
      <c r="AX3531" s="3" t="s">
        <v>35136</v>
      </c>
      <c r="AY3531" s="3" t="s">
        <v>35137</v>
      </c>
      <c r="AZ3531" s="3" t="s">
        <v>35138</v>
      </c>
      <c r="BA3531" s="3" t="s">
        <v>35138</v>
      </c>
      <c r="BB3531" s="3" t="s">
        <v>35139</v>
      </c>
      <c r="BC3531" s="3" t="s">
        <v>77</v>
      </c>
      <c r="BD3531" s="3" t="s">
        <v>78</v>
      </c>
      <c r="BF3531" s="3" t="s">
        <v>35139</v>
      </c>
      <c r="BG3531" s="3" t="s">
        <v>35140</v>
      </c>
    </row>
    <row r="3532" spans="1:59" ht="72.5" x14ac:dyDescent="0.35">
      <c r="A3532" s="2" t="s">
        <v>59</v>
      </c>
      <c r="B3532" s="2" t="s">
        <v>60</v>
      </c>
      <c r="C3532" s="2" t="s">
        <v>35141</v>
      </c>
      <c r="D3532" s="2" t="s">
        <v>35142</v>
      </c>
      <c r="E3532" s="2" t="s">
        <v>35143</v>
      </c>
      <c r="G3532" s="3" t="s">
        <v>65</v>
      </c>
      <c r="I3532" s="3" t="s">
        <v>65</v>
      </c>
      <c r="J3532" s="3" t="s">
        <v>65</v>
      </c>
      <c r="K3532" s="3" t="s">
        <v>66</v>
      </c>
      <c r="L3532" s="2" t="s">
        <v>35144</v>
      </c>
      <c r="M3532" s="2" t="s">
        <v>35145</v>
      </c>
      <c r="N3532" s="3" t="s">
        <v>139</v>
      </c>
      <c r="P3532" s="3" t="s">
        <v>69</v>
      </c>
      <c r="R3532" s="3" t="s">
        <v>71</v>
      </c>
      <c r="S3532" s="4">
        <v>0</v>
      </c>
      <c r="T3532" s="4">
        <v>0</v>
      </c>
      <c r="W3532" s="5" t="s">
        <v>72</v>
      </c>
      <c r="X3532" s="5" t="s">
        <v>72</v>
      </c>
      <c r="Y3532" s="4">
        <v>184</v>
      </c>
      <c r="Z3532" s="4">
        <v>12</v>
      </c>
      <c r="AA3532" s="4">
        <v>18</v>
      </c>
      <c r="AB3532" s="4">
        <v>2</v>
      </c>
      <c r="AC3532" s="4">
        <v>3</v>
      </c>
      <c r="AD3532" s="4">
        <v>33</v>
      </c>
      <c r="AE3532" s="4">
        <v>33</v>
      </c>
      <c r="AF3532" s="4">
        <v>0</v>
      </c>
      <c r="AG3532" s="4">
        <v>0</v>
      </c>
      <c r="AH3532" s="4">
        <v>31</v>
      </c>
      <c r="AI3532" s="4">
        <v>31</v>
      </c>
      <c r="AJ3532" s="4">
        <v>4</v>
      </c>
      <c r="AK3532" s="4">
        <v>4</v>
      </c>
      <c r="AL3532" s="4">
        <v>18</v>
      </c>
      <c r="AM3532" s="4">
        <v>18</v>
      </c>
      <c r="AN3532" s="4">
        <v>0</v>
      </c>
      <c r="AO3532" s="4">
        <v>0</v>
      </c>
      <c r="AP3532" s="4">
        <v>4</v>
      </c>
      <c r="AQ3532" s="4">
        <v>4</v>
      </c>
      <c r="AR3532" s="3" t="s">
        <v>65</v>
      </c>
      <c r="AS3532" s="3" t="s">
        <v>65</v>
      </c>
      <c r="AT3532" s="3" t="s">
        <v>65</v>
      </c>
      <c r="AV3532" s="6" t="str">
        <f>HYPERLINK("http://mcgill.on.worldcat.org/oclc/745979770","Catalog Record")</f>
        <v>Catalog Record</v>
      </c>
      <c r="AW3532" s="6" t="str">
        <f>HYPERLINK("http://www.worldcat.org/oclc/745979770","WorldCat Record")</f>
        <v>WorldCat Record</v>
      </c>
      <c r="AX3532" s="3" t="s">
        <v>35146</v>
      </c>
      <c r="AY3532" s="3" t="s">
        <v>35147</v>
      </c>
      <c r="AZ3532" s="3" t="s">
        <v>35148</v>
      </c>
      <c r="BA3532" s="3" t="s">
        <v>35148</v>
      </c>
      <c r="BB3532" s="3" t="s">
        <v>35149</v>
      </c>
      <c r="BC3532" s="3" t="s">
        <v>77</v>
      </c>
      <c r="BD3532" s="3" t="s">
        <v>78</v>
      </c>
      <c r="BE3532" s="3" t="s">
        <v>35150</v>
      </c>
      <c r="BF3532" s="3" t="s">
        <v>35149</v>
      </c>
      <c r="BG3532" s="3" t="s">
        <v>35151</v>
      </c>
    </row>
    <row r="3533" spans="1:59" ht="58" x14ac:dyDescent="0.35">
      <c r="A3533" s="2" t="s">
        <v>59</v>
      </c>
      <c r="B3533" s="2" t="s">
        <v>60</v>
      </c>
      <c r="C3533" s="2" t="s">
        <v>35152</v>
      </c>
      <c r="D3533" s="2" t="s">
        <v>35153</v>
      </c>
      <c r="E3533" s="2" t="s">
        <v>35154</v>
      </c>
      <c r="G3533" s="3" t="s">
        <v>65</v>
      </c>
      <c r="I3533" s="3" t="s">
        <v>65</v>
      </c>
      <c r="J3533" s="3" t="s">
        <v>65</v>
      </c>
      <c r="K3533" s="3" t="s">
        <v>66</v>
      </c>
      <c r="L3533" s="2" t="s">
        <v>35155</v>
      </c>
      <c r="M3533" s="2" t="s">
        <v>35156</v>
      </c>
      <c r="N3533" s="3" t="s">
        <v>176</v>
      </c>
      <c r="O3533" s="2" t="s">
        <v>21416</v>
      </c>
      <c r="P3533" s="3" t="s">
        <v>140</v>
      </c>
      <c r="Q3533" s="2" t="s">
        <v>6617</v>
      </c>
      <c r="R3533" s="3" t="s">
        <v>71</v>
      </c>
      <c r="S3533" s="4">
        <v>0</v>
      </c>
      <c r="T3533" s="4">
        <v>0</v>
      </c>
      <c r="W3533" s="5" t="s">
        <v>72</v>
      </c>
      <c r="X3533" s="5" t="s">
        <v>72</v>
      </c>
      <c r="Y3533" s="4">
        <v>69</v>
      </c>
      <c r="Z3533" s="4">
        <v>4</v>
      </c>
      <c r="AA3533" s="4">
        <v>4</v>
      </c>
      <c r="AB3533" s="4">
        <v>1</v>
      </c>
      <c r="AC3533" s="4">
        <v>1</v>
      </c>
      <c r="AD3533" s="4">
        <v>41</v>
      </c>
      <c r="AE3533" s="4">
        <v>41</v>
      </c>
      <c r="AF3533" s="4">
        <v>0</v>
      </c>
      <c r="AG3533" s="4">
        <v>0</v>
      </c>
      <c r="AH3533" s="4">
        <v>40</v>
      </c>
      <c r="AI3533" s="4">
        <v>40</v>
      </c>
      <c r="AJ3533" s="4">
        <v>2</v>
      </c>
      <c r="AK3533" s="4">
        <v>2</v>
      </c>
      <c r="AL3533" s="4">
        <v>31</v>
      </c>
      <c r="AM3533" s="4">
        <v>31</v>
      </c>
      <c r="AN3533" s="4">
        <v>0</v>
      </c>
      <c r="AO3533" s="4">
        <v>0</v>
      </c>
      <c r="AP3533" s="4">
        <v>2</v>
      </c>
      <c r="AQ3533" s="4">
        <v>2</v>
      </c>
      <c r="AR3533" s="3" t="s">
        <v>65</v>
      </c>
      <c r="AS3533" s="3" t="s">
        <v>65</v>
      </c>
      <c r="AT3533" s="3" t="s">
        <v>65</v>
      </c>
      <c r="AV3533" s="6" t="str">
        <f>HYPERLINK("http://mcgill.on.worldcat.org/oclc/905086310","Catalog Record")</f>
        <v>Catalog Record</v>
      </c>
      <c r="AW3533" s="6" t="str">
        <f>HYPERLINK("http://www.worldcat.org/oclc/905086310","WorldCat Record")</f>
        <v>WorldCat Record</v>
      </c>
      <c r="AX3533" s="3" t="s">
        <v>35157</v>
      </c>
      <c r="AY3533" s="3" t="s">
        <v>35158</v>
      </c>
      <c r="AZ3533" s="3" t="s">
        <v>35159</v>
      </c>
      <c r="BA3533" s="3" t="s">
        <v>35159</v>
      </c>
      <c r="BB3533" s="3" t="s">
        <v>35160</v>
      </c>
      <c r="BC3533" s="3" t="s">
        <v>77</v>
      </c>
      <c r="BD3533" s="3" t="s">
        <v>78</v>
      </c>
      <c r="BE3533" s="3" t="s">
        <v>35161</v>
      </c>
      <c r="BF3533" s="3" t="s">
        <v>35160</v>
      </c>
      <c r="BG3533" s="3" t="s">
        <v>35162</v>
      </c>
    </row>
    <row r="3534" spans="1:59" ht="58" x14ac:dyDescent="0.35">
      <c r="A3534" s="2" t="s">
        <v>59</v>
      </c>
      <c r="B3534" s="2" t="s">
        <v>60</v>
      </c>
      <c r="C3534" s="2" t="s">
        <v>35163</v>
      </c>
      <c r="D3534" s="2" t="s">
        <v>35164</v>
      </c>
      <c r="E3534" s="2" t="s">
        <v>35165</v>
      </c>
      <c r="G3534" s="3" t="s">
        <v>65</v>
      </c>
      <c r="I3534" s="3" t="s">
        <v>65</v>
      </c>
      <c r="J3534" s="3" t="s">
        <v>65</v>
      </c>
      <c r="K3534" s="3" t="s">
        <v>66</v>
      </c>
      <c r="L3534" s="2" t="s">
        <v>35155</v>
      </c>
      <c r="M3534" s="2" t="s">
        <v>34464</v>
      </c>
      <c r="N3534" s="3" t="s">
        <v>139</v>
      </c>
      <c r="P3534" s="3" t="s">
        <v>140</v>
      </c>
      <c r="R3534" s="3" t="s">
        <v>71</v>
      </c>
      <c r="S3534" s="4">
        <v>1</v>
      </c>
      <c r="T3534" s="4">
        <v>1</v>
      </c>
      <c r="U3534" s="5" t="s">
        <v>34976</v>
      </c>
      <c r="V3534" s="5" t="s">
        <v>34976</v>
      </c>
      <c r="W3534" s="5" t="s">
        <v>72</v>
      </c>
      <c r="X3534" s="5" t="s">
        <v>72</v>
      </c>
      <c r="Y3534" s="4">
        <v>3</v>
      </c>
      <c r="Z3534" s="4">
        <v>1</v>
      </c>
      <c r="AA3534" s="4">
        <v>1</v>
      </c>
      <c r="AB3534" s="4">
        <v>1</v>
      </c>
      <c r="AC3534" s="4">
        <v>1</v>
      </c>
      <c r="AD3534" s="4">
        <v>1</v>
      </c>
      <c r="AE3534" s="4">
        <v>1</v>
      </c>
      <c r="AF3534" s="4">
        <v>0</v>
      </c>
      <c r="AG3534" s="4">
        <v>0</v>
      </c>
      <c r="AH3534" s="4">
        <v>1</v>
      </c>
      <c r="AI3534" s="4">
        <v>1</v>
      </c>
      <c r="AJ3534" s="4">
        <v>0</v>
      </c>
      <c r="AK3534" s="4">
        <v>0</v>
      </c>
      <c r="AL3534" s="4">
        <v>1</v>
      </c>
      <c r="AM3534" s="4">
        <v>1</v>
      </c>
      <c r="AN3534" s="4">
        <v>0</v>
      </c>
      <c r="AO3534" s="4">
        <v>0</v>
      </c>
      <c r="AP3534" s="4">
        <v>0</v>
      </c>
      <c r="AQ3534" s="4">
        <v>0</v>
      </c>
      <c r="AR3534" s="3" t="s">
        <v>65</v>
      </c>
      <c r="AS3534" s="3" t="s">
        <v>65</v>
      </c>
      <c r="AT3534" s="3" t="s">
        <v>65</v>
      </c>
      <c r="AV3534" s="6" t="str">
        <f>HYPERLINK("http://mcgill.on.worldcat.org/oclc/816040759","Catalog Record")</f>
        <v>Catalog Record</v>
      </c>
      <c r="AW3534" s="6" t="str">
        <f>HYPERLINK("http://www.worldcat.org/oclc/816040759","WorldCat Record")</f>
        <v>WorldCat Record</v>
      </c>
      <c r="AX3534" s="3" t="s">
        <v>35166</v>
      </c>
      <c r="AY3534" s="3" t="s">
        <v>35167</v>
      </c>
      <c r="AZ3534" s="3" t="s">
        <v>35168</v>
      </c>
      <c r="BA3534" s="3" t="s">
        <v>35168</v>
      </c>
      <c r="BB3534" s="3" t="s">
        <v>35169</v>
      </c>
      <c r="BC3534" s="3" t="s">
        <v>77</v>
      </c>
      <c r="BD3534" s="3" t="s">
        <v>78</v>
      </c>
      <c r="BE3534" s="3" t="s">
        <v>35170</v>
      </c>
      <c r="BF3534" s="3" t="s">
        <v>35169</v>
      </c>
      <c r="BG3534" s="3" t="s">
        <v>35171</v>
      </c>
    </row>
    <row r="3535" spans="1:59" ht="72.5" x14ac:dyDescent="0.35">
      <c r="A3535" s="2" t="s">
        <v>59</v>
      </c>
      <c r="B3535" s="2" t="s">
        <v>60</v>
      </c>
      <c r="C3535" s="2" t="s">
        <v>35172</v>
      </c>
      <c r="D3535" s="2" t="s">
        <v>35173</v>
      </c>
      <c r="E3535" s="2" t="s">
        <v>35174</v>
      </c>
      <c r="G3535" s="3" t="s">
        <v>65</v>
      </c>
      <c r="I3535" s="3" t="s">
        <v>65</v>
      </c>
      <c r="J3535" s="3" t="s">
        <v>65</v>
      </c>
      <c r="K3535" s="3" t="s">
        <v>66</v>
      </c>
      <c r="L3535" s="2" t="s">
        <v>35175</v>
      </c>
      <c r="M3535" s="2" t="s">
        <v>35176</v>
      </c>
      <c r="N3535" s="3" t="s">
        <v>86</v>
      </c>
      <c r="O3535" s="2" t="s">
        <v>235</v>
      </c>
      <c r="P3535" s="3" t="s">
        <v>140</v>
      </c>
      <c r="Q3535" s="2" t="s">
        <v>35177</v>
      </c>
      <c r="R3535" s="3" t="s">
        <v>71</v>
      </c>
      <c r="S3535" s="4">
        <v>0</v>
      </c>
      <c r="T3535" s="4">
        <v>0</v>
      </c>
      <c r="W3535" s="5" t="s">
        <v>4229</v>
      </c>
      <c r="X3535" s="5" t="s">
        <v>4229</v>
      </c>
      <c r="Y3535" s="4">
        <v>39</v>
      </c>
      <c r="Z3535" s="4">
        <v>1</v>
      </c>
      <c r="AA3535" s="4">
        <v>1</v>
      </c>
      <c r="AB3535" s="4">
        <v>1</v>
      </c>
      <c r="AC3535" s="4">
        <v>1</v>
      </c>
      <c r="AD3535" s="4">
        <v>24</v>
      </c>
      <c r="AE3535" s="4">
        <v>24</v>
      </c>
      <c r="AF3535" s="4">
        <v>0</v>
      </c>
      <c r="AG3535" s="4">
        <v>0</v>
      </c>
      <c r="AH3535" s="4">
        <v>23</v>
      </c>
      <c r="AI3535" s="4">
        <v>23</v>
      </c>
      <c r="AJ3535" s="4">
        <v>0</v>
      </c>
      <c r="AK3535" s="4">
        <v>0</v>
      </c>
      <c r="AL3535" s="4">
        <v>20</v>
      </c>
      <c r="AM3535" s="4">
        <v>20</v>
      </c>
      <c r="AN3535" s="4">
        <v>0</v>
      </c>
      <c r="AO3535" s="4">
        <v>0</v>
      </c>
      <c r="AP3535" s="4">
        <v>0</v>
      </c>
      <c r="AQ3535" s="4">
        <v>0</v>
      </c>
      <c r="AR3535" s="3" t="s">
        <v>65</v>
      </c>
      <c r="AS3535" s="3" t="s">
        <v>65</v>
      </c>
      <c r="AT3535" s="3" t="s">
        <v>65</v>
      </c>
      <c r="AV3535" s="6" t="str">
        <f>HYPERLINK("http://mcgill.on.worldcat.org/oclc/1022082767","Catalog Record")</f>
        <v>Catalog Record</v>
      </c>
      <c r="AW3535" s="6" t="str">
        <f>HYPERLINK("http://www.worldcat.org/oclc/1022082767","WorldCat Record")</f>
        <v>WorldCat Record</v>
      </c>
      <c r="AX3535" s="3" t="s">
        <v>35178</v>
      </c>
      <c r="AY3535" s="3" t="s">
        <v>35179</v>
      </c>
      <c r="AZ3535" s="3" t="s">
        <v>35180</v>
      </c>
      <c r="BA3535" s="3" t="s">
        <v>35180</v>
      </c>
      <c r="BB3535" s="3" t="s">
        <v>35181</v>
      </c>
      <c r="BC3535" s="3" t="s">
        <v>77</v>
      </c>
      <c r="BD3535" s="3" t="s">
        <v>78</v>
      </c>
      <c r="BE3535" s="3" t="s">
        <v>35182</v>
      </c>
      <c r="BF3535" s="3" t="s">
        <v>35181</v>
      </c>
      <c r="BG3535" s="3" t="s">
        <v>35183</v>
      </c>
    </row>
    <row r="3536" spans="1:59" ht="72.5" x14ac:dyDescent="0.35">
      <c r="A3536" s="2" t="s">
        <v>59</v>
      </c>
      <c r="B3536" s="2" t="s">
        <v>60</v>
      </c>
      <c r="C3536" s="2" t="s">
        <v>35184</v>
      </c>
      <c r="D3536" s="2" t="s">
        <v>35185</v>
      </c>
      <c r="E3536" s="2" t="s">
        <v>35186</v>
      </c>
      <c r="G3536" s="3" t="s">
        <v>65</v>
      </c>
      <c r="I3536" s="3" t="s">
        <v>65</v>
      </c>
      <c r="J3536" s="3" t="s">
        <v>65</v>
      </c>
      <c r="K3536" s="3" t="s">
        <v>66</v>
      </c>
      <c r="L3536" s="2" t="s">
        <v>35187</v>
      </c>
      <c r="M3536" s="2" t="s">
        <v>35188</v>
      </c>
      <c r="N3536" s="3" t="s">
        <v>68</v>
      </c>
      <c r="P3536" s="3" t="s">
        <v>140</v>
      </c>
      <c r="R3536" s="3" t="s">
        <v>71</v>
      </c>
      <c r="S3536" s="4">
        <v>0</v>
      </c>
      <c r="T3536" s="4">
        <v>0</v>
      </c>
      <c r="W3536" s="5" t="s">
        <v>72</v>
      </c>
      <c r="X3536" s="5" t="s">
        <v>72</v>
      </c>
      <c r="Y3536" s="4">
        <v>59</v>
      </c>
      <c r="Z3536" s="4">
        <v>5</v>
      </c>
      <c r="AA3536" s="4">
        <v>5</v>
      </c>
      <c r="AB3536" s="4">
        <v>1</v>
      </c>
      <c r="AC3536" s="4">
        <v>1</v>
      </c>
      <c r="AD3536" s="4">
        <v>38</v>
      </c>
      <c r="AE3536" s="4">
        <v>38</v>
      </c>
      <c r="AF3536" s="4">
        <v>0</v>
      </c>
      <c r="AG3536" s="4">
        <v>0</v>
      </c>
      <c r="AH3536" s="4">
        <v>37</v>
      </c>
      <c r="AI3536" s="4">
        <v>37</v>
      </c>
      <c r="AJ3536" s="4">
        <v>3</v>
      </c>
      <c r="AK3536" s="4">
        <v>3</v>
      </c>
      <c r="AL3536" s="4">
        <v>28</v>
      </c>
      <c r="AM3536" s="4">
        <v>28</v>
      </c>
      <c r="AN3536" s="4">
        <v>0</v>
      </c>
      <c r="AO3536" s="4">
        <v>0</v>
      </c>
      <c r="AP3536" s="4">
        <v>3</v>
      </c>
      <c r="AQ3536" s="4">
        <v>3</v>
      </c>
      <c r="AR3536" s="3" t="s">
        <v>65</v>
      </c>
      <c r="AS3536" s="3" t="s">
        <v>65</v>
      </c>
      <c r="AT3536" s="3" t="s">
        <v>65</v>
      </c>
      <c r="AV3536" s="6" t="str">
        <f>HYPERLINK("http://mcgill.on.worldcat.org/oclc/941802711","Catalog Record")</f>
        <v>Catalog Record</v>
      </c>
      <c r="AW3536" s="6" t="str">
        <f>HYPERLINK("http://www.worldcat.org/oclc/941802711","WorldCat Record")</f>
        <v>WorldCat Record</v>
      </c>
      <c r="AX3536" s="3" t="s">
        <v>35189</v>
      </c>
      <c r="AY3536" s="3" t="s">
        <v>35190</v>
      </c>
      <c r="AZ3536" s="3" t="s">
        <v>35191</v>
      </c>
      <c r="BA3536" s="3" t="s">
        <v>35191</v>
      </c>
      <c r="BB3536" s="3" t="s">
        <v>35192</v>
      </c>
      <c r="BC3536" s="3" t="s">
        <v>77</v>
      </c>
      <c r="BD3536" s="3" t="s">
        <v>78</v>
      </c>
      <c r="BE3536" s="3" t="s">
        <v>35193</v>
      </c>
      <c r="BF3536" s="3" t="s">
        <v>35192</v>
      </c>
      <c r="BG3536" s="3" t="s">
        <v>35194</v>
      </c>
    </row>
    <row r="3537" spans="1:59" ht="72.5" x14ac:dyDescent="0.35">
      <c r="A3537" s="2" t="s">
        <v>59</v>
      </c>
      <c r="B3537" s="2" t="s">
        <v>60</v>
      </c>
      <c r="C3537" s="2" t="s">
        <v>35195</v>
      </c>
      <c r="D3537" s="2" t="s">
        <v>35196</v>
      </c>
      <c r="E3537" s="2" t="s">
        <v>35197</v>
      </c>
      <c r="G3537" s="3" t="s">
        <v>65</v>
      </c>
      <c r="I3537" s="3" t="s">
        <v>65</v>
      </c>
      <c r="J3537" s="3" t="s">
        <v>65</v>
      </c>
      <c r="K3537" s="3" t="s">
        <v>66</v>
      </c>
      <c r="L3537" s="2" t="s">
        <v>35198</v>
      </c>
      <c r="M3537" s="2" t="s">
        <v>35199</v>
      </c>
      <c r="N3537" s="3" t="s">
        <v>113</v>
      </c>
      <c r="O3537" s="2" t="s">
        <v>654</v>
      </c>
      <c r="P3537" s="3" t="s">
        <v>140</v>
      </c>
      <c r="Q3537" s="2" t="s">
        <v>32206</v>
      </c>
      <c r="R3537" s="3" t="s">
        <v>71</v>
      </c>
      <c r="S3537" s="4">
        <v>0</v>
      </c>
      <c r="T3537" s="4">
        <v>0</v>
      </c>
      <c r="W3537" s="5" t="s">
        <v>72</v>
      </c>
      <c r="X3537" s="5" t="s">
        <v>72</v>
      </c>
      <c r="Y3537" s="4">
        <v>60</v>
      </c>
      <c r="Z3537" s="4">
        <v>7</v>
      </c>
      <c r="AA3537" s="4">
        <v>8</v>
      </c>
      <c r="AB3537" s="4">
        <v>1</v>
      </c>
      <c r="AC3537" s="4">
        <v>2</v>
      </c>
      <c r="AD3537" s="4">
        <v>42</v>
      </c>
      <c r="AE3537" s="4">
        <v>43</v>
      </c>
      <c r="AF3537" s="4">
        <v>0</v>
      </c>
      <c r="AG3537" s="4">
        <v>1</v>
      </c>
      <c r="AH3537" s="4">
        <v>41</v>
      </c>
      <c r="AI3537" s="4">
        <v>41</v>
      </c>
      <c r="AJ3537" s="4">
        <v>3</v>
      </c>
      <c r="AK3537" s="4">
        <v>4</v>
      </c>
      <c r="AL3537" s="4">
        <v>31</v>
      </c>
      <c r="AM3537" s="4">
        <v>31</v>
      </c>
      <c r="AN3537" s="4">
        <v>0</v>
      </c>
      <c r="AO3537" s="4">
        <v>0</v>
      </c>
      <c r="AP3537" s="4">
        <v>3</v>
      </c>
      <c r="AQ3537" s="4">
        <v>3</v>
      </c>
      <c r="AR3537" s="3" t="s">
        <v>65</v>
      </c>
      <c r="AS3537" s="3" t="s">
        <v>65</v>
      </c>
      <c r="AT3537" s="3" t="s">
        <v>65</v>
      </c>
      <c r="AV3537" s="6" t="str">
        <f>HYPERLINK("http://mcgill.on.worldcat.org/oclc/679933516","Catalog Record")</f>
        <v>Catalog Record</v>
      </c>
      <c r="AW3537" s="6" t="str">
        <f>HYPERLINK("http://www.worldcat.org/oclc/679933516","WorldCat Record")</f>
        <v>WorldCat Record</v>
      </c>
      <c r="AX3537" s="3" t="s">
        <v>35200</v>
      </c>
      <c r="AY3537" s="3" t="s">
        <v>35201</v>
      </c>
      <c r="AZ3537" s="3" t="s">
        <v>35202</v>
      </c>
      <c r="BA3537" s="3" t="s">
        <v>35202</v>
      </c>
      <c r="BB3537" s="3" t="s">
        <v>35203</v>
      </c>
      <c r="BC3537" s="3" t="s">
        <v>77</v>
      </c>
      <c r="BD3537" s="3" t="s">
        <v>78</v>
      </c>
      <c r="BE3537" s="3" t="s">
        <v>35204</v>
      </c>
      <c r="BF3537" s="3" t="s">
        <v>35203</v>
      </c>
      <c r="BG3537" s="3" t="s">
        <v>35205</v>
      </c>
    </row>
    <row r="3538" spans="1:59" ht="72.5" x14ac:dyDescent="0.35">
      <c r="A3538" s="2" t="s">
        <v>59</v>
      </c>
      <c r="B3538" s="2" t="s">
        <v>60</v>
      </c>
      <c r="C3538" s="2" t="s">
        <v>35206</v>
      </c>
      <c r="D3538" s="2" t="s">
        <v>35207</v>
      </c>
      <c r="E3538" s="2" t="s">
        <v>35208</v>
      </c>
      <c r="G3538" s="3" t="s">
        <v>65</v>
      </c>
      <c r="I3538" s="3" t="s">
        <v>65</v>
      </c>
      <c r="J3538" s="3" t="s">
        <v>65</v>
      </c>
      <c r="K3538" s="3" t="s">
        <v>66</v>
      </c>
      <c r="L3538" s="2" t="s">
        <v>35209</v>
      </c>
      <c r="M3538" s="2" t="s">
        <v>35210</v>
      </c>
      <c r="N3538" s="3" t="s">
        <v>139</v>
      </c>
      <c r="O3538" s="2" t="s">
        <v>365</v>
      </c>
      <c r="P3538" s="3" t="s">
        <v>140</v>
      </c>
      <c r="Q3538" s="2" t="s">
        <v>34940</v>
      </c>
      <c r="R3538" s="3" t="s">
        <v>71</v>
      </c>
      <c r="S3538" s="4">
        <v>0</v>
      </c>
      <c r="T3538" s="4">
        <v>0</v>
      </c>
      <c r="W3538" s="5" t="s">
        <v>72</v>
      </c>
      <c r="X3538" s="5" t="s">
        <v>72</v>
      </c>
      <c r="Y3538" s="4">
        <v>27</v>
      </c>
      <c r="Z3538" s="4">
        <v>3</v>
      </c>
      <c r="AA3538" s="4">
        <v>3</v>
      </c>
      <c r="AB3538" s="4">
        <v>1</v>
      </c>
      <c r="AC3538" s="4">
        <v>1</v>
      </c>
      <c r="AD3538" s="4">
        <v>19</v>
      </c>
      <c r="AE3538" s="4">
        <v>20</v>
      </c>
      <c r="AF3538" s="4">
        <v>0</v>
      </c>
      <c r="AG3538" s="4">
        <v>0</v>
      </c>
      <c r="AH3538" s="4">
        <v>19</v>
      </c>
      <c r="AI3538" s="4">
        <v>20</v>
      </c>
      <c r="AJ3538" s="4">
        <v>1</v>
      </c>
      <c r="AK3538" s="4">
        <v>1</v>
      </c>
      <c r="AL3538" s="4">
        <v>15</v>
      </c>
      <c r="AM3538" s="4">
        <v>15</v>
      </c>
      <c r="AN3538" s="4">
        <v>0</v>
      </c>
      <c r="AO3538" s="4">
        <v>0</v>
      </c>
      <c r="AP3538" s="4">
        <v>1</v>
      </c>
      <c r="AQ3538" s="4">
        <v>1</v>
      </c>
      <c r="AR3538" s="3" t="s">
        <v>65</v>
      </c>
      <c r="AS3538" s="3" t="s">
        <v>65</v>
      </c>
      <c r="AT3538" s="3" t="s">
        <v>65</v>
      </c>
      <c r="AV3538" s="6" t="str">
        <f>HYPERLINK("http://mcgill.on.worldcat.org/oclc/778420047","Catalog Record")</f>
        <v>Catalog Record</v>
      </c>
      <c r="AW3538" s="6" t="str">
        <f>HYPERLINK("http://www.worldcat.org/oclc/778420047","WorldCat Record")</f>
        <v>WorldCat Record</v>
      </c>
      <c r="AX3538" s="3" t="s">
        <v>35211</v>
      </c>
      <c r="AY3538" s="3" t="s">
        <v>35212</v>
      </c>
      <c r="AZ3538" s="3" t="s">
        <v>35213</v>
      </c>
      <c r="BA3538" s="3" t="s">
        <v>35213</v>
      </c>
      <c r="BB3538" s="3" t="s">
        <v>35214</v>
      </c>
      <c r="BC3538" s="3" t="s">
        <v>77</v>
      </c>
      <c r="BD3538" s="3" t="s">
        <v>78</v>
      </c>
      <c r="BE3538" s="3" t="s">
        <v>35215</v>
      </c>
      <c r="BF3538" s="3" t="s">
        <v>35214</v>
      </c>
      <c r="BG3538" s="3" t="s">
        <v>35216</v>
      </c>
    </row>
    <row r="3539" spans="1:59" ht="58" x14ac:dyDescent="0.35">
      <c r="A3539" s="2" t="s">
        <v>59</v>
      </c>
      <c r="B3539" s="2" t="s">
        <v>60</v>
      </c>
      <c r="C3539" s="2" t="s">
        <v>35217</v>
      </c>
      <c r="D3539" s="2" t="s">
        <v>35218</v>
      </c>
      <c r="E3539" s="2" t="s">
        <v>35219</v>
      </c>
      <c r="G3539" s="3" t="s">
        <v>65</v>
      </c>
      <c r="I3539" s="3" t="s">
        <v>65</v>
      </c>
      <c r="J3539" s="3" t="s">
        <v>65</v>
      </c>
      <c r="K3539" s="3" t="s">
        <v>66</v>
      </c>
      <c r="L3539" s="2" t="s">
        <v>35220</v>
      </c>
      <c r="M3539" s="2" t="s">
        <v>22831</v>
      </c>
      <c r="N3539" s="3" t="s">
        <v>2750</v>
      </c>
      <c r="O3539" s="2" t="s">
        <v>365</v>
      </c>
      <c r="P3539" s="3" t="s">
        <v>140</v>
      </c>
      <c r="Q3539" s="2" t="s">
        <v>32206</v>
      </c>
      <c r="R3539" s="3" t="s">
        <v>71</v>
      </c>
      <c r="S3539" s="4">
        <v>2</v>
      </c>
      <c r="T3539" s="4">
        <v>2</v>
      </c>
      <c r="U3539" s="5" t="s">
        <v>5831</v>
      </c>
      <c r="V3539" s="5" t="s">
        <v>5831</v>
      </c>
      <c r="W3539" s="5" t="s">
        <v>72</v>
      </c>
      <c r="X3539" s="5" t="s">
        <v>72</v>
      </c>
      <c r="Y3539" s="4">
        <v>130</v>
      </c>
      <c r="Z3539" s="4">
        <v>14</v>
      </c>
      <c r="AA3539" s="4">
        <v>17</v>
      </c>
      <c r="AB3539" s="4">
        <v>2</v>
      </c>
      <c r="AC3539" s="4">
        <v>3</v>
      </c>
      <c r="AD3539" s="4">
        <v>56</v>
      </c>
      <c r="AE3539" s="4">
        <v>70</v>
      </c>
      <c r="AF3539" s="4">
        <v>1</v>
      </c>
      <c r="AG3539" s="4">
        <v>2</v>
      </c>
      <c r="AH3539" s="4">
        <v>49</v>
      </c>
      <c r="AI3539" s="4">
        <v>61</v>
      </c>
      <c r="AJ3539" s="4">
        <v>10</v>
      </c>
      <c r="AK3539" s="4">
        <v>11</v>
      </c>
      <c r="AL3539" s="4">
        <v>36</v>
      </c>
      <c r="AM3539" s="4">
        <v>41</v>
      </c>
      <c r="AN3539" s="4">
        <v>0</v>
      </c>
      <c r="AO3539" s="4">
        <v>3</v>
      </c>
      <c r="AP3539" s="4">
        <v>10</v>
      </c>
      <c r="AQ3539" s="4">
        <v>11</v>
      </c>
      <c r="AR3539" s="3" t="s">
        <v>65</v>
      </c>
      <c r="AS3539" s="3" t="s">
        <v>65</v>
      </c>
      <c r="AT3539" s="3" t="s">
        <v>209</v>
      </c>
      <c r="AU3539" s="6" t="str">
        <f>HYPERLINK("http://catalog.hathitrust.org/Record/000507712","HathiTrust Record")</f>
        <v>HathiTrust Record</v>
      </c>
      <c r="AV3539" s="6" t="str">
        <f>HYPERLINK("http://mcgill.on.worldcat.org/oclc/2763643","Catalog Record")</f>
        <v>Catalog Record</v>
      </c>
      <c r="AW3539" s="6" t="str">
        <f>HYPERLINK("http://www.worldcat.org/oclc/2763643","WorldCat Record")</f>
        <v>WorldCat Record</v>
      </c>
      <c r="AX3539" s="3" t="s">
        <v>35221</v>
      </c>
      <c r="AY3539" s="3" t="s">
        <v>35222</v>
      </c>
      <c r="AZ3539" s="3" t="s">
        <v>35223</v>
      </c>
      <c r="BA3539" s="3" t="s">
        <v>35223</v>
      </c>
      <c r="BB3539" s="3" t="s">
        <v>35224</v>
      </c>
      <c r="BC3539" s="3" t="s">
        <v>77</v>
      </c>
      <c r="BD3539" s="3" t="s">
        <v>78</v>
      </c>
      <c r="BF3539" s="3" t="s">
        <v>35224</v>
      </c>
      <c r="BG3539" s="3" t="s">
        <v>35225</v>
      </c>
    </row>
    <row r="3540" spans="1:59" ht="58" x14ac:dyDescent="0.35">
      <c r="A3540" s="2" t="s">
        <v>59</v>
      </c>
      <c r="B3540" s="2" t="s">
        <v>60</v>
      </c>
      <c r="C3540" s="2" t="s">
        <v>35226</v>
      </c>
      <c r="D3540" s="2" t="s">
        <v>35227</v>
      </c>
      <c r="E3540" s="2" t="s">
        <v>35228</v>
      </c>
      <c r="G3540" s="3" t="s">
        <v>65</v>
      </c>
      <c r="I3540" s="3" t="s">
        <v>65</v>
      </c>
      <c r="J3540" s="3" t="s">
        <v>65</v>
      </c>
      <c r="K3540" s="3" t="s">
        <v>66</v>
      </c>
      <c r="L3540" s="2" t="s">
        <v>35229</v>
      </c>
      <c r="M3540" s="2" t="s">
        <v>35230</v>
      </c>
      <c r="N3540" s="3" t="s">
        <v>139</v>
      </c>
      <c r="O3540" s="2" t="s">
        <v>35231</v>
      </c>
      <c r="P3540" s="3" t="s">
        <v>140</v>
      </c>
      <c r="Q3540" s="2" t="s">
        <v>35232</v>
      </c>
      <c r="R3540" s="3" t="s">
        <v>71</v>
      </c>
      <c r="S3540" s="4">
        <v>0</v>
      </c>
      <c r="T3540" s="4">
        <v>0</v>
      </c>
      <c r="W3540" s="5" t="s">
        <v>72</v>
      </c>
      <c r="X3540" s="5" t="s">
        <v>72</v>
      </c>
      <c r="Y3540" s="4">
        <v>18</v>
      </c>
      <c r="Z3540" s="4">
        <v>3</v>
      </c>
      <c r="AA3540" s="4">
        <v>3</v>
      </c>
      <c r="AB3540" s="4">
        <v>1</v>
      </c>
      <c r="AC3540" s="4">
        <v>1</v>
      </c>
      <c r="AD3540" s="4">
        <v>10</v>
      </c>
      <c r="AE3540" s="4">
        <v>10</v>
      </c>
      <c r="AF3540" s="4">
        <v>0</v>
      </c>
      <c r="AG3540" s="4">
        <v>0</v>
      </c>
      <c r="AH3540" s="4">
        <v>9</v>
      </c>
      <c r="AI3540" s="4">
        <v>9</v>
      </c>
      <c r="AJ3540" s="4">
        <v>1</v>
      </c>
      <c r="AK3540" s="4">
        <v>1</v>
      </c>
      <c r="AL3540" s="4">
        <v>9</v>
      </c>
      <c r="AM3540" s="4">
        <v>9</v>
      </c>
      <c r="AN3540" s="4">
        <v>0</v>
      </c>
      <c r="AO3540" s="4">
        <v>0</v>
      </c>
      <c r="AP3540" s="4">
        <v>1</v>
      </c>
      <c r="AQ3540" s="4">
        <v>1</v>
      </c>
      <c r="AR3540" s="3" t="s">
        <v>65</v>
      </c>
      <c r="AS3540" s="3" t="s">
        <v>65</v>
      </c>
      <c r="AT3540" s="3" t="s">
        <v>65</v>
      </c>
      <c r="AV3540" s="6" t="str">
        <f>HYPERLINK("http://mcgill.on.worldcat.org/oclc/811589429","Catalog Record")</f>
        <v>Catalog Record</v>
      </c>
      <c r="AW3540" s="6" t="str">
        <f>HYPERLINK("http://www.worldcat.org/oclc/811589429","WorldCat Record")</f>
        <v>WorldCat Record</v>
      </c>
      <c r="AX3540" s="3" t="s">
        <v>35233</v>
      </c>
      <c r="AY3540" s="3" t="s">
        <v>35234</v>
      </c>
      <c r="AZ3540" s="3" t="s">
        <v>35235</v>
      </c>
      <c r="BA3540" s="3" t="s">
        <v>35235</v>
      </c>
      <c r="BB3540" s="3" t="s">
        <v>35236</v>
      </c>
      <c r="BC3540" s="3" t="s">
        <v>77</v>
      </c>
      <c r="BD3540" s="3" t="s">
        <v>78</v>
      </c>
      <c r="BE3540" s="3" t="s">
        <v>35237</v>
      </c>
      <c r="BF3540" s="3" t="s">
        <v>35236</v>
      </c>
      <c r="BG3540" s="3" t="s">
        <v>35238</v>
      </c>
    </row>
    <row r="3541" spans="1:59" ht="58" x14ac:dyDescent="0.35">
      <c r="A3541" s="2" t="s">
        <v>59</v>
      </c>
      <c r="B3541" s="2" t="s">
        <v>60</v>
      </c>
      <c r="C3541" s="2" t="s">
        <v>35239</v>
      </c>
      <c r="D3541" s="2" t="s">
        <v>35240</v>
      </c>
      <c r="E3541" s="2" t="s">
        <v>35241</v>
      </c>
      <c r="F3541" s="3" t="s">
        <v>2207</v>
      </c>
      <c r="G3541" s="3" t="s">
        <v>65</v>
      </c>
      <c r="I3541" s="3" t="s">
        <v>65</v>
      </c>
      <c r="J3541" s="3" t="s">
        <v>65</v>
      </c>
      <c r="K3541" s="3" t="s">
        <v>66</v>
      </c>
      <c r="L3541" s="2" t="s">
        <v>35242</v>
      </c>
      <c r="M3541" s="2" t="s">
        <v>35243</v>
      </c>
      <c r="N3541" s="3" t="s">
        <v>113</v>
      </c>
      <c r="O3541" s="2" t="s">
        <v>365</v>
      </c>
      <c r="P3541" s="3" t="s">
        <v>140</v>
      </c>
      <c r="Q3541" s="2" t="s">
        <v>35244</v>
      </c>
      <c r="R3541" s="3" t="s">
        <v>71</v>
      </c>
      <c r="S3541" s="4">
        <v>0</v>
      </c>
      <c r="T3541" s="4">
        <v>0</v>
      </c>
      <c r="W3541" s="5" t="s">
        <v>72</v>
      </c>
      <c r="X3541" s="5" t="s">
        <v>72</v>
      </c>
      <c r="Y3541" s="4">
        <v>20</v>
      </c>
      <c r="Z3541" s="4">
        <v>3</v>
      </c>
      <c r="AA3541" s="4">
        <v>3</v>
      </c>
      <c r="AB3541" s="4">
        <v>1</v>
      </c>
      <c r="AC3541" s="4">
        <v>1</v>
      </c>
      <c r="AD3541" s="4">
        <v>13</v>
      </c>
      <c r="AE3541" s="4">
        <v>13</v>
      </c>
      <c r="AF3541" s="4">
        <v>0</v>
      </c>
      <c r="AG3541" s="4">
        <v>0</v>
      </c>
      <c r="AH3541" s="4">
        <v>12</v>
      </c>
      <c r="AI3541" s="4">
        <v>12</v>
      </c>
      <c r="AJ3541" s="4">
        <v>1</v>
      </c>
      <c r="AK3541" s="4">
        <v>1</v>
      </c>
      <c r="AL3541" s="4">
        <v>9</v>
      </c>
      <c r="AM3541" s="4">
        <v>9</v>
      </c>
      <c r="AN3541" s="4">
        <v>0</v>
      </c>
      <c r="AO3541" s="4">
        <v>0</v>
      </c>
      <c r="AP3541" s="4">
        <v>1</v>
      </c>
      <c r="AQ3541" s="4">
        <v>1</v>
      </c>
      <c r="AR3541" s="3" t="s">
        <v>65</v>
      </c>
      <c r="AS3541" s="3" t="s">
        <v>65</v>
      </c>
      <c r="AT3541" s="3" t="s">
        <v>65</v>
      </c>
      <c r="AV3541" s="6" t="str">
        <f>HYPERLINK("http://mcgill.on.worldcat.org/oclc/719414127","Catalog Record")</f>
        <v>Catalog Record</v>
      </c>
      <c r="AW3541" s="6" t="str">
        <f>HYPERLINK("http://www.worldcat.org/oclc/719414127","WorldCat Record")</f>
        <v>WorldCat Record</v>
      </c>
      <c r="AX3541" s="3" t="s">
        <v>35245</v>
      </c>
      <c r="AY3541" s="3" t="s">
        <v>35246</v>
      </c>
      <c r="AZ3541" s="3" t="s">
        <v>35247</v>
      </c>
      <c r="BA3541" s="3" t="s">
        <v>35247</v>
      </c>
      <c r="BB3541" s="3" t="s">
        <v>35248</v>
      </c>
      <c r="BC3541" s="3" t="s">
        <v>77</v>
      </c>
      <c r="BD3541" s="3" t="s">
        <v>78</v>
      </c>
      <c r="BE3541" s="3" t="s">
        <v>35249</v>
      </c>
      <c r="BF3541" s="3" t="s">
        <v>35248</v>
      </c>
      <c r="BG3541" s="3" t="s">
        <v>35250</v>
      </c>
    </row>
    <row r="3542" spans="1:59" ht="58" x14ac:dyDescent="0.35">
      <c r="A3542" s="2" t="s">
        <v>59</v>
      </c>
      <c r="B3542" s="2" t="s">
        <v>60</v>
      </c>
      <c r="C3542" s="2" t="s">
        <v>35251</v>
      </c>
      <c r="D3542" s="2" t="s">
        <v>35252</v>
      </c>
      <c r="E3542" s="2" t="s">
        <v>35253</v>
      </c>
      <c r="G3542" s="3" t="s">
        <v>65</v>
      </c>
      <c r="I3542" s="3" t="s">
        <v>65</v>
      </c>
      <c r="J3542" s="3" t="s">
        <v>65</v>
      </c>
      <c r="K3542" s="3" t="s">
        <v>66</v>
      </c>
      <c r="L3542" s="2" t="s">
        <v>35254</v>
      </c>
      <c r="M3542" s="2" t="s">
        <v>18144</v>
      </c>
      <c r="N3542" s="3" t="s">
        <v>113</v>
      </c>
      <c r="O3542" s="2" t="s">
        <v>365</v>
      </c>
      <c r="P3542" s="3" t="s">
        <v>140</v>
      </c>
      <c r="Q3542" s="2" t="s">
        <v>18145</v>
      </c>
      <c r="R3542" s="3" t="s">
        <v>71</v>
      </c>
      <c r="S3542" s="4">
        <v>0</v>
      </c>
      <c r="T3542" s="4">
        <v>0</v>
      </c>
      <c r="W3542" s="5" t="s">
        <v>72</v>
      </c>
      <c r="X3542" s="5" t="s">
        <v>72</v>
      </c>
      <c r="Y3542" s="4">
        <v>37</v>
      </c>
      <c r="Z3542" s="4">
        <v>3</v>
      </c>
      <c r="AA3542" s="4">
        <v>3</v>
      </c>
      <c r="AB3542" s="4">
        <v>1</v>
      </c>
      <c r="AC3542" s="4">
        <v>1</v>
      </c>
      <c r="AD3542" s="4">
        <v>26</v>
      </c>
      <c r="AE3542" s="4">
        <v>26</v>
      </c>
      <c r="AF3542" s="4">
        <v>0</v>
      </c>
      <c r="AG3542" s="4">
        <v>0</v>
      </c>
      <c r="AH3542" s="4">
        <v>25</v>
      </c>
      <c r="AI3542" s="4">
        <v>25</v>
      </c>
      <c r="AJ3542" s="4">
        <v>1</v>
      </c>
      <c r="AK3542" s="4">
        <v>1</v>
      </c>
      <c r="AL3542" s="4">
        <v>20</v>
      </c>
      <c r="AM3542" s="4">
        <v>20</v>
      </c>
      <c r="AN3542" s="4">
        <v>0</v>
      </c>
      <c r="AO3542" s="4">
        <v>0</v>
      </c>
      <c r="AP3542" s="4">
        <v>1</v>
      </c>
      <c r="AQ3542" s="4">
        <v>1</v>
      </c>
      <c r="AR3542" s="3" t="s">
        <v>65</v>
      </c>
      <c r="AS3542" s="3" t="s">
        <v>65</v>
      </c>
      <c r="AT3542" s="3" t="s">
        <v>65</v>
      </c>
      <c r="AV3542" s="6" t="str">
        <f>HYPERLINK("http://mcgill.on.worldcat.org/oclc/692269583","Catalog Record")</f>
        <v>Catalog Record</v>
      </c>
      <c r="AW3542" s="6" t="str">
        <f>HYPERLINK("http://www.worldcat.org/oclc/692269583","WorldCat Record")</f>
        <v>WorldCat Record</v>
      </c>
      <c r="AX3542" s="3" t="s">
        <v>35255</v>
      </c>
      <c r="AY3542" s="3" t="s">
        <v>35256</v>
      </c>
      <c r="AZ3542" s="3" t="s">
        <v>35257</v>
      </c>
      <c r="BA3542" s="3" t="s">
        <v>35257</v>
      </c>
      <c r="BB3542" s="3" t="s">
        <v>35258</v>
      </c>
      <c r="BC3542" s="3" t="s">
        <v>77</v>
      </c>
      <c r="BD3542" s="3" t="s">
        <v>78</v>
      </c>
      <c r="BE3542" s="3" t="s">
        <v>35259</v>
      </c>
      <c r="BF3542" s="3" t="s">
        <v>35258</v>
      </c>
      <c r="BG3542" s="3" t="s">
        <v>35260</v>
      </c>
    </row>
    <row r="3543" spans="1:59" ht="58" x14ac:dyDescent="0.35">
      <c r="A3543" s="2" t="s">
        <v>59</v>
      </c>
      <c r="B3543" s="2" t="s">
        <v>60</v>
      </c>
      <c r="C3543" s="2" t="s">
        <v>35261</v>
      </c>
      <c r="D3543" s="2" t="s">
        <v>35262</v>
      </c>
      <c r="E3543" s="2" t="s">
        <v>35263</v>
      </c>
      <c r="G3543" s="3" t="s">
        <v>65</v>
      </c>
      <c r="I3543" s="3" t="s">
        <v>65</v>
      </c>
      <c r="J3543" s="3" t="s">
        <v>65</v>
      </c>
      <c r="K3543" s="3" t="s">
        <v>66</v>
      </c>
      <c r="L3543" s="2" t="s">
        <v>35264</v>
      </c>
      <c r="M3543" s="2" t="s">
        <v>35265</v>
      </c>
      <c r="N3543" s="3" t="s">
        <v>188</v>
      </c>
      <c r="O3543" s="2" t="s">
        <v>379</v>
      </c>
      <c r="P3543" s="3" t="s">
        <v>140</v>
      </c>
      <c r="Q3543" s="2" t="s">
        <v>35266</v>
      </c>
      <c r="R3543" s="3" t="s">
        <v>71</v>
      </c>
      <c r="S3543" s="4">
        <v>0</v>
      </c>
      <c r="T3543" s="4">
        <v>0</v>
      </c>
      <c r="W3543" s="5" t="s">
        <v>72</v>
      </c>
      <c r="X3543" s="5" t="s">
        <v>72</v>
      </c>
      <c r="Y3543" s="4">
        <v>28</v>
      </c>
      <c r="Z3543" s="4">
        <v>2</v>
      </c>
      <c r="AA3543" s="4">
        <v>2</v>
      </c>
      <c r="AB3543" s="4">
        <v>1</v>
      </c>
      <c r="AC3543" s="4">
        <v>1</v>
      </c>
      <c r="AD3543" s="4">
        <v>23</v>
      </c>
      <c r="AE3543" s="4">
        <v>23</v>
      </c>
      <c r="AF3543" s="4">
        <v>0</v>
      </c>
      <c r="AG3543" s="4">
        <v>0</v>
      </c>
      <c r="AH3543" s="4">
        <v>22</v>
      </c>
      <c r="AI3543" s="4">
        <v>22</v>
      </c>
      <c r="AJ3543" s="4">
        <v>1</v>
      </c>
      <c r="AK3543" s="4">
        <v>1</v>
      </c>
      <c r="AL3543" s="4">
        <v>19</v>
      </c>
      <c r="AM3543" s="4">
        <v>19</v>
      </c>
      <c r="AN3543" s="4">
        <v>0</v>
      </c>
      <c r="AO3543" s="4">
        <v>0</v>
      </c>
      <c r="AP3543" s="4">
        <v>1</v>
      </c>
      <c r="AQ3543" s="4">
        <v>1</v>
      </c>
      <c r="AR3543" s="3" t="s">
        <v>65</v>
      </c>
      <c r="AS3543" s="3" t="s">
        <v>65</v>
      </c>
      <c r="AT3543" s="3" t="s">
        <v>65</v>
      </c>
      <c r="AV3543" s="6" t="str">
        <f>HYPERLINK("http://mcgill.on.worldcat.org/oclc/994027803","Catalog Record")</f>
        <v>Catalog Record</v>
      </c>
      <c r="AW3543" s="6" t="str">
        <f>HYPERLINK("http://www.worldcat.org/oclc/994027803","WorldCat Record")</f>
        <v>WorldCat Record</v>
      </c>
      <c r="AX3543" s="3" t="s">
        <v>35267</v>
      </c>
      <c r="AY3543" s="3" t="s">
        <v>35268</v>
      </c>
      <c r="AZ3543" s="3" t="s">
        <v>35269</v>
      </c>
      <c r="BA3543" s="3" t="s">
        <v>35269</v>
      </c>
      <c r="BB3543" s="3" t="s">
        <v>35270</v>
      </c>
      <c r="BC3543" s="3" t="s">
        <v>77</v>
      </c>
      <c r="BD3543" s="3" t="s">
        <v>78</v>
      </c>
      <c r="BE3543" s="3" t="s">
        <v>35271</v>
      </c>
      <c r="BF3543" s="3" t="s">
        <v>35270</v>
      </c>
      <c r="BG3543" s="3" t="s">
        <v>35272</v>
      </c>
    </row>
    <row r="3544" spans="1:59" ht="72.5" x14ac:dyDescent="0.35">
      <c r="A3544" s="2" t="s">
        <v>59</v>
      </c>
      <c r="B3544" s="2" t="s">
        <v>60</v>
      </c>
      <c r="C3544" s="2" t="s">
        <v>35273</v>
      </c>
      <c r="D3544" s="2" t="s">
        <v>35274</v>
      </c>
      <c r="E3544" s="2" t="s">
        <v>35275</v>
      </c>
      <c r="G3544" s="3" t="s">
        <v>65</v>
      </c>
      <c r="I3544" s="3" t="s">
        <v>65</v>
      </c>
      <c r="J3544" s="3" t="s">
        <v>65</v>
      </c>
      <c r="K3544" s="3" t="s">
        <v>66</v>
      </c>
      <c r="L3544" s="2" t="s">
        <v>35276</v>
      </c>
      <c r="M3544" s="2" t="s">
        <v>13600</v>
      </c>
      <c r="N3544" s="3" t="s">
        <v>2210</v>
      </c>
      <c r="P3544" s="3" t="s">
        <v>140</v>
      </c>
      <c r="Q3544" s="2" t="s">
        <v>35277</v>
      </c>
      <c r="R3544" s="3" t="s">
        <v>71</v>
      </c>
      <c r="S3544" s="4">
        <v>3</v>
      </c>
      <c r="T3544" s="4">
        <v>3</v>
      </c>
      <c r="U3544" s="5" t="s">
        <v>23816</v>
      </c>
      <c r="V3544" s="5" t="s">
        <v>23816</v>
      </c>
      <c r="W3544" s="5" t="s">
        <v>72</v>
      </c>
      <c r="X3544" s="5" t="s">
        <v>72</v>
      </c>
      <c r="Y3544" s="4">
        <v>65</v>
      </c>
      <c r="Z3544" s="4">
        <v>6</v>
      </c>
      <c r="AA3544" s="4">
        <v>11</v>
      </c>
      <c r="AB3544" s="4">
        <v>1</v>
      </c>
      <c r="AC3544" s="4">
        <v>3</v>
      </c>
      <c r="AD3544" s="4">
        <v>35</v>
      </c>
      <c r="AE3544" s="4">
        <v>38</v>
      </c>
      <c r="AF3544" s="4">
        <v>0</v>
      </c>
      <c r="AG3544" s="4">
        <v>1</v>
      </c>
      <c r="AH3544" s="4">
        <v>34</v>
      </c>
      <c r="AI3544" s="4">
        <v>35</v>
      </c>
      <c r="AJ3544" s="4">
        <v>2</v>
      </c>
      <c r="AK3544" s="4">
        <v>5</v>
      </c>
      <c r="AL3544" s="4">
        <v>25</v>
      </c>
      <c r="AM3544" s="4">
        <v>25</v>
      </c>
      <c r="AN3544" s="4">
        <v>0</v>
      </c>
      <c r="AO3544" s="4">
        <v>0</v>
      </c>
      <c r="AP3544" s="4">
        <v>2</v>
      </c>
      <c r="AQ3544" s="4">
        <v>4</v>
      </c>
      <c r="AR3544" s="3" t="s">
        <v>65</v>
      </c>
      <c r="AS3544" s="3" t="s">
        <v>65</v>
      </c>
      <c r="AT3544" s="3" t="s">
        <v>65</v>
      </c>
      <c r="AV3544" s="6" t="str">
        <f>HYPERLINK("http://mcgill.on.worldcat.org/oclc/51029377","Catalog Record")</f>
        <v>Catalog Record</v>
      </c>
      <c r="AW3544" s="6" t="str">
        <f>HYPERLINK("http://www.worldcat.org/oclc/51029377","WorldCat Record")</f>
        <v>WorldCat Record</v>
      </c>
      <c r="AX3544" s="3" t="s">
        <v>35278</v>
      </c>
      <c r="AY3544" s="3" t="s">
        <v>35279</v>
      </c>
      <c r="AZ3544" s="3" t="s">
        <v>35280</v>
      </c>
      <c r="BA3544" s="3" t="s">
        <v>35280</v>
      </c>
      <c r="BB3544" s="3" t="s">
        <v>35281</v>
      </c>
      <c r="BC3544" s="3" t="s">
        <v>77</v>
      </c>
      <c r="BD3544" s="3" t="s">
        <v>78</v>
      </c>
      <c r="BE3544" s="3" t="s">
        <v>35282</v>
      </c>
      <c r="BF3544" s="3" t="s">
        <v>35281</v>
      </c>
      <c r="BG3544" s="3" t="s">
        <v>35283</v>
      </c>
    </row>
    <row r="3545" spans="1:59" ht="58" x14ac:dyDescent="0.35">
      <c r="A3545" s="2" t="s">
        <v>59</v>
      </c>
      <c r="B3545" s="2" t="s">
        <v>60</v>
      </c>
      <c r="C3545" s="2" t="s">
        <v>35284</v>
      </c>
      <c r="D3545" s="2" t="s">
        <v>35285</v>
      </c>
      <c r="E3545" s="2" t="s">
        <v>35286</v>
      </c>
      <c r="G3545" s="3" t="s">
        <v>65</v>
      </c>
      <c r="I3545" s="3" t="s">
        <v>65</v>
      </c>
      <c r="J3545" s="3" t="s">
        <v>65</v>
      </c>
      <c r="K3545" s="3" t="s">
        <v>66</v>
      </c>
      <c r="L3545" s="2" t="s">
        <v>35287</v>
      </c>
      <c r="M3545" s="2" t="s">
        <v>19714</v>
      </c>
      <c r="N3545" s="3" t="s">
        <v>113</v>
      </c>
      <c r="P3545" s="3" t="s">
        <v>140</v>
      </c>
      <c r="Q3545" s="2" t="s">
        <v>35288</v>
      </c>
      <c r="R3545" s="3" t="s">
        <v>71</v>
      </c>
      <c r="S3545" s="4">
        <v>0</v>
      </c>
      <c r="T3545" s="4">
        <v>0</v>
      </c>
      <c r="W3545" s="5" t="s">
        <v>72</v>
      </c>
      <c r="X3545" s="5" t="s">
        <v>72</v>
      </c>
      <c r="Y3545" s="4">
        <v>37</v>
      </c>
      <c r="Z3545" s="4">
        <v>4</v>
      </c>
      <c r="AA3545" s="4">
        <v>4</v>
      </c>
      <c r="AB3545" s="4">
        <v>1</v>
      </c>
      <c r="AC3545" s="4">
        <v>1</v>
      </c>
      <c r="AD3545" s="4">
        <v>28</v>
      </c>
      <c r="AE3545" s="4">
        <v>28</v>
      </c>
      <c r="AF3545" s="4">
        <v>0</v>
      </c>
      <c r="AG3545" s="4">
        <v>0</v>
      </c>
      <c r="AH3545" s="4">
        <v>27</v>
      </c>
      <c r="AI3545" s="4">
        <v>27</v>
      </c>
      <c r="AJ3545" s="4">
        <v>2</v>
      </c>
      <c r="AK3545" s="4">
        <v>2</v>
      </c>
      <c r="AL3545" s="4">
        <v>22</v>
      </c>
      <c r="AM3545" s="4">
        <v>22</v>
      </c>
      <c r="AN3545" s="4">
        <v>0</v>
      </c>
      <c r="AO3545" s="4">
        <v>0</v>
      </c>
      <c r="AP3545" s="4">
        <v>2</v>
      </c>
      <c r="AQ3545" s="4">
        <v>2</v>
      </c>
      <c r="AR3545" s="3" t="s">
        <v>65</v>
      </c>
      <c r="AS3545" s="3" t="s">
        <v>65</v>
      </c>
      <c r="AT3545" s="3" t="s">
        <v>65</v>
      </c>
      <c r="AV3545" s="6" t="str">
        <f>HYPERLINK("http://mcgill.on.worldcat.org/oclc/721866910","Catalog Record")</f>
        <v>Catalog Record</v>
      </c>
      <c r="AW3545" s="6" t="str">
        <f>HYPERLINK("http://www.worldcat.org/oclc/721866910","WorldCat Record")</f>
        <v>WorldCat Record</v>
      </c>
      <c r="AX3545" s="3" t="s">
        <v>35289</v>
      </c>
      <c r="AY3545" s="3" t="s">
        <v>35290</v>
      </c>
      <c r="AZ3545" s="3" t="s">
        <v>35291</v>
      </c>
      <c r="BA3545" s="3" t="s">
        <v>35291</v>
      </c>
      <c r="BB3545" s="3" t="s">
        <v>35292</v>
      </c>
      <c r="BC3545" s="3" t="s">
        <v>77</v>
      </c>
      <c r="BD3545" s="3" t="s">
        <v>78</v>
      </c>
      <c r="BE3545" s="3" t="s">
        <v>35293</v>
      </c>
      <c r="BF3545" s="3" t="s">
        <v>35292</v>
      </c>
      <c r="BG3545" s="3" t="s">
        <v>35294</v>
      </c>
    </row>
    <row r="3546" spans="1:59" ht="58" x14ac:dyDescent="0.35">
      <c r="A3546" s="2" t="s">
        <v>59</v>
      </c>
      <c r="B3546" s="2" t="s">
        <v>60</v>
      </c>
      <c r="C3546" s="2" t="s">
        <v>35295</v>
      </c>
      <c r="D3546" s="2" t="s">
        <v>35296</v>
      </c>
      <c r="E3546" s="2" t="s">
        <v>35297</v>
      </c>
      <c r="G3546" s="3" t="s">
        <v>65</v>
      </c>
      <c r="I3546" s="3" t="s">
        <v>65</v>
      </c>
      <c r="J3546" s="3" t="s">
        <v>65</v>
      </c>
      <c r="K3546" s="3" t="s">
        <v>66</v>
      </c>
      <c r="L3546" s="2" t="s">
        <v>35298</v>
      </c>
      <c r="M3546" s="2" t="s">
        <v>1270</v>
      </c>
      <c r="N3546" s="3" t="s">
        <v>139</v>
      </c>
      <c r="P3546" s="3" t="s">
        <v>140</v>
      </c>
      <c r="Q3546" s="2" t="s">
        <v>35299</v>
      </c>
      <c r="R3546" s="3" t="s">
        <v>71</v>
      </c>
      <c r="S3546" s="4">
        <v>0</v>
      </c>
      <c r="T3546" s="4">
        <v>0</v>
      </c>
      <c r="W3546" s="5" t="s">
        <v>72</v>
      </c>
      <c r="X3546" s="5" t="s">
        <v>72</v>
      </c>
      <c r="Y3546" s="4">
        <v>33</v>
      </c>
      <c r="Z3546" s="4">
        <v>3</v>
      </c>
      <c r="AA3546" s="4">
        <v>3</v>
      </c>
      <c r="AB3546" s="4">
        <v>1</v>
      </c>
      <c r="AC3546" s="4">
        <v>1</v>
      </c>
      <c r="AD3546" s="4">
        <v>22</v>
      </c>
      <c r="AE3546" s="4">
        <v>22</v>
      </c>
      <c r="AF3546" s="4">
        <v>0</v>
      </c>
      <c r="AG3546" s="4">
        <v>0</v>
      </c>
      <c r="AH3546" s="4">
        <v>21</v>
      </c>
      <c r="AI3546" s="4">
        <v>21</v>
      </c>
      <c r="AJ3546" s="4">
        <v>1</v>
      </c>
      <c r="AK3546" s="4">
        <v>1</v>
      </c>
      <c r="AL3546" s="4">
        <v>18</v>
      </c>
      <c r="AM3546" s="4">
        <v>18</v>
      </c>
      <c r="AN3546" s="4">
        <v>0</v>
      </c>
      <c r="AO3546" s="4">
        <v>0</v>
      </c>
      <c r="AP3546" s="4">
        <v>1</v>
      </c>
      <c r="AQ3546" s="4">
        <v>1</v>
      </c>
      <c r="AR3546" s="3" t="s">
        <v>65</v>
      </c>
      <c r="AS3546" s="3" t="s">
        <v>65</v>
      </c>
      <c r="AT3546" s="3" t="s">
        <v>65</v>
      </c>
      <c r="AV3546" s="6" t="str">
        <f>HYPERLINK("http://mcgill.on.worldcat.org/oclc/841181260","Catalog Record")</f>
        <v>Catalog Record</v>
      </c>
      <c r="AW3546" s="6" t="str">
        <f>HYPERLINK("http://www.worldcat.org/oclc/841181260","WorldCat Record")</f>
        <v>WorldCat Record</v>
      </c>
      <c r="AX3546" s="3" t="s">
        <v>35300</v>
      </c>
      <c r="AY3546" s="3" t="s">
        <v>35301</v>
      </c>
      <c r="AZ3546" s="3" t="s">
        <v>35302</v>
      </c>
      <c r="BA3546" s="3" t="s">
        <v>35302</v>
      </c>
      <c r="BB3546" s="3" t="s">
        <v>35303</v>
      </c>
      <c r="BC3546" s="3" t="s">
        <v>77</v>
      </c>
      <c r="BD3546" s="3" t="s">
        <v>78</v>
      </c>
      <c r="BE3546" s="3" t="s">
        <v>35304</v>
      </c>
      <c r="BF3546" s="3" t="s">
        <v>35303</v>
      </c>
      <c r="BG3546" s="3" t="s">
        <v>35305</v>
      </c>
    </row>
    <row r="3547" spans="1:59" ht="58" x14ac:dyDescent="0.35">
      <c r="A3547" s="2" t="s">
        <v>59</v>
      </c>
      <c r="B3547" s="2" t="s">
        <v>60</v>
      </c>
      <c r="C3547" s="2" t="s">
        <v>35306</v>
      </c>
      <c r="D3547" s="2" t="s">
        <v>35307</v>
      </c>
      <c r="E3547" s="2" t="s">
        <v>35308</v>
      </c>
      <c r="G3547" s="3" t="s">
        <v>65</v>
      </c>
      <c r="I3547" s="3" t="s">
        <v>65</v>
      </c>
      <c r="J3547" s="3" t="s">
        <v>65</v>
      </c>
      <c r="K3547" s="3" t="s">
        <v>66</v>
      </c>
      <c r="L3547" s="2" t="s">
        <v>35309</v>
      </c>
      <c r="M3547" s="2" t="s">
        <v>35310</v>
      </c>
      <c r="N3547" s="3" t="s">
        <v>139</v>
      </c>
      <c r="O3547" s="2" t="s">
        <v>235</v>
      </c>
      <c r="P3547" s="3" t="s">
        <v>140</v>
      </c>
      <c r="Q3547" s="2" t="s">
        <v>34916</v>
      </c>
      <c r="R3547" s="3" t="s">
        <v>71</v>
      </c>
      <c r="S3547" s="4">
        <v>0</v>
      </c>
      <c r="T3547" s="4">
        <v>0</v>
      </c>
      <c r="W3547" s="5" t="s">
        <v>72</v>
      </c>
      <c r="X3547" s="5" t="s">
        <v>72</v>
      </c>
      <c r="Y3547" s="4">
        <v>63</v>
      </c>
      <c r="Z3547" s="4">
        <v>5</v>
      </c>
      <c r="AA3547" s="4">
        <v>5</v>
      </c>
      <c r="AB3547" s="4">
        <v>1</v>
      </c>
      <c r="AC3547" s="4">
        <v>1</v>
      </c>
      <c r="AD3547" s="4">
        <v>39</v>
      </c>
      <c r="AE3547" s="4">
        <v>39</v>
      </c>
      <c r="AF3547" s="4">
        <v>0</v>
      </c>
      <c r="AG3547" s="4">
        <v>0</v>
      </c>
      <c r="AH3547" s="4">
        <v>38</v>
      </c>
      <c r="AI3547" s="4">
        <v>38</v>
      </c>
      <c r="AJ3547" s="4">
        <v>3</v>
      </c>
      <c r="AK3547" s="4">
        <v>3</v>
      </c>
      <c r="AL3547" s="4">
        <v>31</v>
      </c>
      <c r="AM3547" s="4">
        <v>31</v>
      </c>
      <c r="AN3547" s="4">
        <v>0</v>
      </c>
      <c r="AO3547" s="4">
        <v>0</v>
      </c>
      <c r="AP3547" s="4">
        <v>3</v>
      </c>
      <c r="AQ3547" s="4">
        <v>3</v>
      </c>
      <c r="AR3547" s="3" t="s">
        <v>65</v>
      </c>
      <c r="AS3547" s="3" t="s">
        <v>65</v>
      </c>
      <c r="AT3547" s="3" t="s">
        <v>65</v>
      </c>
      <c r="AV3547" s="6" t="str">
        <f>HYPERLINK("http://mcgill.on.worldcat.org/oclc/801440439","Catalog Record")</f>
        <v>Catalog Record</v>
      </c>
      <c r="AW3547" s="6" t="str">
        <f>HYPERLINK("http://www.worldcat.org/oclc/801440439","WorldCat Record")</f>
        <v>WorldCat Record</v>
      </c>
      <c r="AX3547" s="3" t="s">
        <v>35311</v>
      </c>
      <c r="AY3547" s="3" t="s">
        <v>35312</v>
      </c>
      <c r="AZ3547" s="3" t="s">
        <v>35313</v>
      </c>
      <c r="BA3547" s="3" t="s">
        <v>35313</v>
      </c>
      <c r="BB3547" s="3" t="s">
        <v>35314</v>
      </c>
      <c r="BC3547" s="3" t="s">
        <v>77</v>
      </c>
      <c r="BD3547" s="3" t="s">
        <v>78</v>
      </c>
      <c r="BE3547" s="3" t="s">
        <v>35315</v>
      </c>
      <c r="BF3547" s="3" t="s">
        <v>35314</v>
      </c>
      <c r="BG3547" s="3" t="s">
        <v>35316</v>
      </c>
    </row>
    <row r="3548" spans="1:59" ht="72.5" x14ac:dyDescent="0.35">
      <c r="A3548" s="2" t="s">
        <v>59</v>
      </c>
      <c r="B3548" s="2" t="s">
        <v>60</v>
      </c>
      <c r="C3548" s="2" t="s">
        <v>35317</v>
      </c>
      <c r="D3548" s="2" t="s">
        <v>35318</v>
      </c>
      <c r="E3548" s="2" t="s">
        <v>35319</v>
      </c>
      <c r="G3548" s="3" t="s">
        <v>65</v>
      </c>
      <c r="I3548" s="3" t="s">
        <v>65</v>
      </c>
      <c r="J3548" s="3" t="s">
        <v>65</v>
      </c>
      <c r="K3548" s="3" t="s">
        <v>66</v>
      </c>
      <c r="L3548" s="2" t="s">
        <v>35320</v>
      </c>
      <c r="M3548" s="2" t="s">
        <v>35321</v>
      </c>
      <c r="N3548" s="3" t="s">
        <v>2460</v>
      </c>
      <c r="O3548" s="2" t="s">
        <v>526</v>
      </c>
      <c r="P3548" s="3" t="s">
        <v>69</v>
      </c>
      <c r="R3548" s="3" t="s">
        <v>71</v>
      </c>
      <c r="S3548" s="4">
        <v>4</v>
      </c>
      <c r="T3548" s="4">
        <v>4</v>
      </c>
      <c r="U3548" s="5" t="s">
        <v>35322</v>
      </c>
      <c r="V3548" s="5" t="s">
        <v>35322</v>
      </c>
      <c r="W3548" s="5" t="s">
        <v>72</v>
      </c>
      <c r="X3548" s="5" t="s">
        <v>72</v>
      </c>
      <c r="Y3548" s="4">
        <v>162</v>
      </c>
      <c r="Z3548" s="4">
        <v>5</v>
      </c>
      <c r="AA3548" s="4">
        <v>10</v>
      </c>
      <c r="AB3548" s="4">
        <v>1</v>
      </c>
      <c r="AC3548" s="4">
        <v>1</v>
      </c>
      <c r="AD3548" s="4">
        <v>40</v>
      </c>
      <c r="AE3548" s="4">
        <v>60</v>
      </c>
      <c r="AF3548" s="4">
        <v>0</v>
      </c>
      <c r="AG3548" s="4">
        <v>0</v>
      </c>
      <c r="AH3548" s="4">
        <v>40</v>
      </c>
      <c r="AI3548" s="4">
        <v>56</v>
      </c>
      <c r="AJ3548" s="4">
        <v>3</v>
      </c>
      <c r="AK3548" s="4">
        <v>8</v>
      </c>
      <c r="AL3548" s="4">
        <v>25</v>
      </c>
      <c r="AM3548" s="4">
        <v>35</v>
      </c>
      <c r="AN3548" s="4">
        <v>0</v>
      </c>
      <c r="AO3548" s="4">
        <v>0</v>
      </c>
      <c r="AP3548" s="4">
        <v>3</v>
      </c>
      <c r="AQ3548" s="4">
        <v>8</v>
      </c>
      <c r="AR3548" s="3" t="s">
        <v>65</v>
      </c>
      <c r="AS3548" s="3" t="s">
        <v>65</v>
      </c>
      <c r="AT3548" s="3" t="s">
        <v>65</v>
      </c>
      <c r="AV3548" s="6" t="str">
        <f>HYPERLINK("http://mcgill.on.worldcat.org/oclc/17873692","Catalog Record")</f>
        <v>Catalog Record</v>
      </c>
      <c r="AW3548" s="6" t="str">
        <f>HYPERLINK("http://www.worldcat.org/oclc/17873692","WorldCat Record")</f>
        <v>WorldCat Record</v>
      </c>
      <c r="AX3548" s="3" t="s">
        <v>35323</v>
      </c>
      <c r="AY3548" s="3" t="s">
        <v>35324</v>
      </c>
      <c r="AZ3548" s="3" t="s">
        <v>35325</v>
      </c>
      <c r="BA3548" s="3" t="s">
        <v>35325</v>
      </c>
      <c r="BB3548" s="3" t="s">
        <v>35326</v>
      </c>
      <c r="BC3548" s="3" t="s">
        <v>77</v>
      </c>
      <c r="BD3548" s="3" t="s">
        <v>78</v>
      </c>
      <c r="BE3548" s="3" t="s">
        <v>35327</v>
      </c>
      <c r="BF3548" s="3" t="s">
        <v>35326</v>
      </c>
      <c r="BG3548" s="3" t="s">
        <v>35328</v>
      </c>
    </row>
    <row r="3549" spans="1:59" ht="72.5" x14ac:dyDescent="0.35">
      <c r="A3549" s="2" t="s">
        <v>59</v>
      </c>
      <c r="B3549" s="2" t="s">
        <v>60</v>
      </c>
      <c r="C3549" s="2" t="s">
        <v>35329</v>
      </c>
      <c r="D3549" s="2" t="s">
        <v>35330</v>
      </c>
      <c r="E3549" s="2" t="s">
        <v>35331</v>
      </c>
      <c r="G3549" s="3" t="s">
        <v>65</v>
      </c>
      <c r="I3549" s="3" t="s">
        <v>65</v>
      </c>
      <c r="J3549" s="3" t="s">
        <v>65</v>
      </c>
      <c r="K3549" s="3" t="s">
        <v>66</v>
      </c>
      <c r="L3549" s="2" t="s">
        <v>35332</v>
      </c>
      <c r="M3549" s="2" t="s">
        <v>35333</v>
      </c>
      <c r="N3549" s="3" t="s">
        <v>139</v>
      </c>
      <c r="O3549" s="2" t="s">
        <v>33858</v>
      </c>
      <c r="P3549" s="3" t="s">
        <v>69</v>
      </c>
      <c r="R3549" s="3" t="s">
        <v>71</v>
      </c>
      <c r="S3549" s="4">
        <v>0</v>
      </c>
      <c r="T3549" s="4">
        <v>0</v>
      </c>
      <c r="W3549" s="5" t="s">
        <v>72</v>
      </c>
      <c r="X3549" s="5" t="s">
        <v>72</v>
      </c>
      <c r="Y3549" s="4">
        <v>260</v>
      </c>
      <c r="Z3549" s="4">
        <v>13</v>
      </c>
      <c r="AA3549" s="4">
        <v>13</v>
      </c>
      <c r="AB3549" s="4">
        <v>2</v>
      </c>
      <c r="AC3549" s="4">
        <v>2</v>
      </c>
      <c r="AD3549" s="4">
        <v>45</v>
      </c>
      <c r="AE3549" s="4">
        <v>45</v>
      </c>
      <c r="AF3549" s="4">
        <v>0</v>
      </c>
      <c r="AG3549" s="4">
        <v>0</v>
      </c>
      <c r="AH3549" s="4">
        <v>42</v>
      </c>
      <c r="AI3549" s="4">
        <v>42</v>
      </c>
      <c r="AJ3549" s="4">
        <v>4</v>
      </c>
      <c r="AK3549" s="4">
        <v>4</v>
      </c>
      <c r="AL3549" s="4">
        <v>26</v>
      </c>
      <c r="AM3549" s="4">
        <v>26</v>
      </c>
      <c r="AN3549" s="4">
        <v>0</v>
      </c>
      <c r="AO3549" s="4">
        <v>0</v>
      </c>
      <c r="AP3549" s="4">
        <v>4</v>
      </c>
      <c r="AQ3549" s="4">
        <v>4</v>
      </c>
      <c r="AR3549" s="3" t="s">
        <v>65</v>
      </c>
      <c r="AS3549" s="3" t="s">
        <v>65</v>
      </c>
      <c r="AT3549" s="3" t="s">
        <v>65</v>
      </c>
      <c r="AV3549" s="6" t="str">
        <f>HYPERLINK("http://mcgill.on.worldcat.org/oclc/778421543","Catalog Record")</f>
        <v>Catalog Record</v>
      </c>
      <c r="AW3549" s="6" t="str">
        <f>HYPERLINK("http://www.worldcat.org/oclc/778421543","WorldCat Record")</f>
        <v>WorldCat Record</v>
      </c>
      <c r="AX3549" s="3" t="s">
        <v>35334</v>
      </c>
      <c r="AY3549" s="3" t="s">
        <v>35335</v>
      </c>
      <c r="AZ3549" s="3" t="s">
        <v>35336</v>
      </c>
      <c r="BA3549" s="3" t="s">
        <v>35336</v>
      </c>
      <c r="BB3549" s="3" t="s">
        <v>35337</v>
      </c>
      <c r="BC3549" s="3" t="s">
        <v>77</v>
      </c>
      <c r="BD3549" s="3" t="s">
        <v>78</v>
      </c>
      <c r="BE3549" s="3" t="s">
        <v>35338</v>
      </c>
      <c r="BF3549" s="3" t="s">
        <v>35337</v>
      </c>
      <c r="BG3549" s="3" t="s">
        <v>35339</v>
      </c>
    </row>
    <row r="3550" spans="1:59" ht="72.5" x14ac:dyDescent="0.35">
      <c r="A3550" s="2" t="s">
        <v>59</v>
      </c>
      <c r="B3550" s="2" t="s">
        <v>60</v>
      </c>
      <c r="C3550" s="2" t="s">
        <v>35340</v>
      </c>
      <c r="D3550" s="2" t="s">
        <v>35341</v>
      </c>
      <c r="E3550" s="2" t="s">
        <v>35342</v>
      </c>
      <c r="G3550" s="3" t="s">
        <v>65</v>
      </c>
      <c r="I3550" s="3" t="s">
        <v>65</v>
      </c>
      <c r="J3550" s="3" t="s">
        <v>65</v>
      </c>
      <c r="K3550" s="3" t="s">
        <v>66</v>
      </c>
      <c r="L3550" s="2" t="s">
        <v>35343</v>
      </c>
      <c r="M3550" s="2" t="s">
        <v>35344</v>
      </c>
      <c r="N3550" s="3" t="s">
        <v>2460</v>
      </c>
      <c r="O3550" s="2" t="s">
        <v>526</v>
      </c>
      <c r="P3550" s="3" t="s">
        <v>69</v>
      </c>
      <c r="R3550" s="3" t="s">
        <v>71</v>
      </c>
      <c r="S3550" s="4">
        <v>3</v>
      </c>
      <c r="T3550" s="4">
        <v>3</v>
      </c>
      <c r="U3550" s="5" t="s">
        <v>3464</v>
      </c>
      <c r="V3550" s="5" t="s">
        <v>3464</v>
      </c>
      <c r="W3550" s="5" t="s">
        <v>72</v>
      </c>
      <c r="X3550" s="5" t="s">
        <v>72</v>
      </c>
      <c r="Y3550" s="4">
        <v>235</v>
      </c>
      <c r="Z3550" s="4">
        <v>11</v>
      </c>
      <c r="AA3550" s="4">
        <v>11</v>
      </c>
      <c r="AB3550" s="4">
        <v>1</v>
      </c>
      <c r="AC3550" s="4">
        <v>1</v>
      </c>
      <c r="AD3550" s="4">
        <v>69</v>
      </c>
      <c r="AE3550" s="4">
        <v>71</v>
      </c>
      <c r="AF3550" s="4">
        <v>0</v>
      </c>
      <c r="AG3550" s="4">
        <v>0</v>
      </c>
      <c r="AH3550" s="4">
        <v>64</v>
      </c>
      <c r="AI3550" s="4">
        <v>66</v>
      </c>
      <c r="AJ3550" s="4">
        <v>7</v>
      </c>
      <c r="AK3550" s="4">
        <v>7</v>
      </c>
      <c r="AL3550" s="4">
        <v>41</v>
      </c>
      <c r="AM3550" s="4">
        <v>43</v>
      </c>
      <c r="AN3550" s="4">
        <v>0</v>
      </c>
      <c r="AO3550" s="4">
        <v>1</v>
      </c>
      <c r="AP3550" s="4">
        <v>7</v>
      </c>
      <c r="AQ3550" s="4">
        <v>7</v>
      </c>
      <c r="AR3550" s="3" t="s">
        <v>65</v>
      </c>
      <c r="AS3550" s="3" t="s">
        <v>65</v>
      </c>
      <c r="AT3550" s="3" t="s">
        <v>209</v>
      </c>
      <c r="AU3550" s="6" t="str">
        <f>HYPERLINK("http://catalog.hathitrust.org/Record/001077492","HathiTrust Record")</f>
        <v>HathiTrust Record</v>
      </c>
      <c r="AV3550" s="6" t="str">
        <f>HYPERLINK("http://mcgill.on.worldcat.org/oclc/17300980","Catalog Record")</f>
        <v>Catalog Record</v>
      </c>
      <c r="AW3550" s="6" t="str">
        <f>HYPERLINK("http://www.worldcat.org/oclc/17300980","WorldCat Record")</f>
        <v>WorldCat Record</v>
      </c>
      <c r="AX3550" s="3" t="s">
        <v>35345</v>
      </c>
      <c r="AY3550" s="3" t="s">
        <v>35346</v>
      </c>
      <c r="AZ3550" s="3" t="s">
        <v>35347</v>
      </c>
      <c r="BA3550" s="3" t="s">
        <v>35347</v>
      </c>
      <c r="BB3550" s="3" t="s">
        <v>35348</v>
      </c>
      <c r="BC3550" s="3" t="s">
        <v>77</v>
      </c>
      <c r="BD3550" s="3" t="s">
        <v>78</v>
      </c>
      <c r="BE3550" s="3" t="s">
        <v>35349</v>
      </c>
      <c r="BF3550" s="3" t="s">
        <v>35348</v>
      </c>
      <c r="BG3550" s="3" t="s">
        <v>35350</v>
      </c>
    </row>
    <row r="3551" spans="1:59" ht="58" x14ac:dyDescent="0.35">
      <c r="A3551" s="2" t="s">
        <v>59</v>
      </c>
      <c r="B3551" s="2" t="s">
        <v>60</v>
      </c>
      <c r="C3551" s="2" t="s">
        <v>35351</v>
      </c>
      <c r="D3551" s="2" t="s">
        <v>35352</v>
      </c>
      <c r="E3551" s="2" t="s">
        <v>35353</v>
      </c>
      <c r="G3551" s="3" t="s">
        <v>65</v>
      </c>
      <c r="I3551" s="3" t="s">
        <v>65</v>
      </c>
      <c r="J3551" s="3" t="s">
        <v>65</v>
      </c>
      <c r="K3551" s="3" t="s">
        <v>66</v>
      </c>
      <c r="L3551" s="2" t="s">
        <v>35343</v>
      </c>
      <c r="M3551" s="2" t="s">
        <v>35354</v>
      </c>
      <c r="N3551" s="3" t="s">
        <v>152</v>
      </c>
      <c r="P3551" s="3" t="s">
        <v>140</v>
      </c>
      <c r="Q3551" s="2" t="s">
        <v>35355</v>
      </c>
      <c r="R3551" s="3" t="s">
        <v>71</v>
      </c>
      <c r="S3551" s="4">
        <v>0</v>
      </c>
      <c r="T3551" s="4">
        <v>0</v>
      </c>
      <c r="W3551" s="5" t="s">
        <v>72</v>
      </c>
      <c r="X3551" s="5" t="s">
        <v>72</v>
      </c>
      <c r="Y3551" s="4">
        <v>29</v>
      </c>
      <c r="Z3551" s="4">
        <v>3</v>
      </c>
      <c r="AA3551" s="4">
        <v>3</v>
      </c>
      <c r="AB3551" s="4">
        <v>1</v>
      </c>
      <c r="AC3551" s="4">
        <v>1</v>
      </c>
      <c r="AD3551" s="4">
        <v>21</v>
      </c>
      <c r="AE3551" s="4">
        <v>21</v>
      </c>
      <c r="AF3551" s="4">
        <v>0</v>
      </c>
      <c r="AG3551" s="4">
        <v>0</v>
      </c>
      <c r="AH3551" s="4">
        <v>20</v>
      </c>
      <c r="AI3551" s="4">
        <v>20</v>
      </c>
      <c r="AJ3551" s="4">
        <v>1</v>
      </c>
      <c r="AK3551" s="4">
        <v>1</v>
      </c>
      <c r="AL3551" s="4">
        <v>18</v>
      </c>
      <c r="AM3551" s="4">
        <v>18</v>
      </c>
      <c r="AN3551" s="4">
        <v>0</v>
      </c>
      <c r="AO3551" s="4">
        <v>0</v>
      </c>
      <c r="AP3551" s="4">
        <v>1</v>
      </c>
      <c r="AQ3551" s="4">
        <v>1</v>
      </c>
      <c r="AR3551" s="3" t="s">
        <v>65</v>
      </c>
      <c r="AS3551" s="3" t="s">
        <v>65</v>
      </c>
      <c r="AT3551" s="3" t="s">
        <v>65</v>
      </c>
      <c r="AV3551" s="6" t="str">
        <f>HYPERLINK("http://mcgill.on.worldcat.org/oclc/830362715","Catalog Record")</f>
        <v>Catalog Record</v>
      </c>
      <c r="AW3551" s="6" t="str">
        <f>HYPERLINK("http://www.worldcat.org/oclc/830362715","WorldCat Record")</f>
        <v>WorldCat Record</v>
      </c>
      <c r="AX3551" s="3" t="s">
        <v>35356</v>
      </c>
      <c r="AY3551" s="3" t="s">
        <v>35357</v>
      </c>
      <c r="AZ3551" s="3" t="s">
        <v>35358</v>
      </c>
      <c r="BA3551" s="3" t="s">
        <v>35358</v>
      </c>
      <c r="BB3551" s="3" t="s">
        <v>35359</v>
      </c>
      <c r="BC3551" s="3" t="s">
        <v>77</v>
      </c>
      <c r="BD3551" s="3" t="s">
        <v>78</v>
      </c>
      <c r="BE3551" s="3" t="s">
        <v>35360</v>
      </c>
      <c r="BF3551" s="3" t="s">
        <v>35359</v>
      </c>
      <c r="BG3551" s="3" t="s">
        <v>35361</v>
      </c>
    </row>
    <row r="3552" spans="1:59" ht="72.5" x14ac:dyDescent="0.35">
      <c r="A3552" s="2" t="s">
        <v>59</v>
      </c>
      <c r="B3552" s="2" t="s">
        <v>60</v>
      </c>
      <c r="C3552" s="2" t="s">
        <v>35362</v>
      </c>
      <c r="D3552" s="2" t="s">
        <v>35363</v>
      </c>
      <c r="E3552" s="2" t="s">
        <v>35364</v>
      </c>
      <c r="G3552" s="3" t="s">
        <v>65</v>
      </c>
      <c r="I3552" s="3" t="s">
        <v>65</v>
      </c>
      <c r="J3552" s="3" t="s">
        <v>209</v>
      </c>
      <c r="K3552" s="3" t="s">
        <v>66</v>
      </c>
      <c r="L3552" s="2" t="s">
        <v>35365</v>
      </c>
      <c r="M3552" s="2" t="s">
        <v>35366</v>
      </c>
      <c r="N3552" s="3" t="s">
        <v>552</v>
      </c>
      <c r="O3552" s="2" t="s">
        <v>35367</v>
      </c>
      <c r="P3552" s="3" t="s">
        <v>140</v>
      </c>
      <c r="Q3552" s="2" t="s">
        <v>33715</v>
      </c>
      <c r="R3552" s="3" t="s">
        <v>71</v>
      </c>
      <c r="S3552" s="4">
        <v>3</v>
      </c>
      <c r="T3552" s="4">
        <v>3</v>
      </c>
      <c r="U3552" s="5" t="s">
        <v>35368</v>
      </c>
      <c r="V3552" s="5" t="s">
        <v>35368</v>
      </c>
      <c r="W3552" s="5" t="s">
        <v>72</v>
      </c>
      <c r="X3552" s="5" t="s">
        <v>72</v>
      </c>
      <c r="Y3552" s="4">
        <v>43</v>
      </c>
      <c r="Z3552" s="4">
        <v>3</v>
      </c>
      <c r="AA3552" s="4">
        <v>4</v>
      </c>
      <c r="AB3552" s="4">
        <v>2</v>
      </c>
      <c r="AC3552" s="4">
        <v>3</v>
      </c>
      <c r="AD3552" s="4">
        <v>23</v>
      </c>
      <c r="AE3552" s="4">
        <v>29</v>
      </c>
      <c r="AF3552" s="4">
        <v>0</v>
      </c>
      <c r="AG3552" s="4">
        <v>1</v>
      </c>
      <c r="AH3552" s="4">
        <v>22</v>
      </c>
      <c r="AI3552" s="4">
        <v>27</v>
      </c>
      <c r="AJ3552" s="4">
        <v>1</v>
      </c>
      <c r="AK3552" s="4">
        <v>2</v>
      </c>
      <c r="AL3552" s="4">
        <v>18</v>
      </c>
      <c r="AM3552" s="4">
        <v>20</v>
      </c>
      <c r="AN3552" s="4">
        <v>0</v>
      </c>
      <c r="AO3552" s="4">
        <v>0</v>
      </c>
      <c r="AP3552" s="4">
        <v>1</v>
      </c>
      <c r="AQ3552" s="4">
        <v>1</v>
      </c>
      <c r="AR3552" s="3" t="s">
        <v>65</v>
      </c>
      <c r="AS3552" s="3" t="s">
        <v>65</v>
      </c>
      <c r="AT3552" s="3" t="s">
        <v>209</v>
      </c>
      <c r="AU3552" s="6" t="str">
        <f>HYPERLINK("http://catalog.hathitrust.org/Record/003949149","HathiTrust Record")</f>
        <v>HathiTrust Record</v>
      </c>
      <c r="AV3552" s="6" t="str">
        <f>HYPERLINK("http://mcgill.on.worldcat.org/oclc/37269951","Catalog Record")</f>
        <v>Catalog Record</v>
      </c>
      <c r="AW3552" s="6" t="str">
        <f>HYPERLINK("http://www.worldcat.org/oclc/37269951","WorldCat Record")</f>
        <v>WorldCat Record</v>
      </c>
      <c r="AX3552" s="3" t="s">
        <v>35369</v>
      </c>
      <c r="AY3552" s="3" t="s">
        <v>35370</v>
      </c>
      <c r="AZ3552" s="3" t="s">
        <v>35371</v>
      </c>
      <c r="BA3552" s="3" t="s">
        <v>35371</v>
      </c>
      <c r="BB3552" s="3" t="s">
        <v>35372</v>
      </c>
      <c r="BC3552" s="3" t="s">
        <v>77</v>
      </c>
      <c r="BD3552" s="3" t="s">
        <v>78</v>
      </c>
      <c r="BE3552" s="3" t="s">
        <v>35373</v>
      </c>
      <c r="BF3552" s="3" t="s">
        <v>35372</v>
      </c>
      <c r="BG3552" s="3" t="s">
        <v>35374</v>
      </c>
    </row>
    <row r="3553" spans="1:59" ht="72.5" x14ac:dyDescent="0.35">
      <c r="A3553" s="2" t="s">
        <v>59</v>
      </c>
      <c r="B3553" s="2" t="s">
        <v>60</v>
      </c>
      <c r="C3553" s="2" t="s">
        <v>35375</v>
      </c>
      <c r="D3553" s="2" t="s">
        <v>35376</v>
      </c>
      <c r="E3553" s="2" t="s">
        <v>35377</v>
      </c>
      <c r="G3553" s="3" t="s">
        <v>65</v>
      </c>
      <c r="I3553" s="3" t="s">
        <v>65</v>
      </c>
      <c r="J3553" s="3" t="s">
        <v>65</v>
      </c>
      <c r="K3553" s="3" t="s">
        <v>66</v>
      </c>
      <c r="L3553" s="2" t="s">
        <v>35365</v>
      </c>
      <c r="M3553" s="2" t="s">
        <v>35378</v>
      </c>
      <c r="N3553" s="3" t="s">
        <v>139</v>
      </c>
      <c r="O3553" s="2" t="s">
        <v>35379</v>
      </c>
      <c r="P3553" s="3" t="s">
        <v>140</v>
      </c>
      <c r="Q3553" s="2" t="s">
        <v>33715</v>
      </c>
      <c r="R3553" s="3" t="s">
        <v>71</v>
      </c>
      <c r="S3553" s="4">
        <v>0</v>
      </c>
      <c r="T3553" s="4">
        <v>0</v>
      </c>
      <c r="W3553" s="5" t="s">
        <v>72</v>
      </c>
      <c r="X3553" s="5" t="s">
        <v>72</v>
      </c>
      <c r="Y3553" s="4">
        <v>42</v>
      </c>
      <c r="Z3553" s="4">
        <v>1</v>
      </c>
      <c r="AA3553" s="4">
        <v>3</v>
      </c>
      <c r="AB3553" s="4">
        <v>1</v>
      </c>
      <c r="AC3553" s="4">
        <v>3</v>
      </c>
      <c r="AD3553" s="4">
        <v>31</v>
      </c>
      <c r="AE3553" s="4">
        <v>32</v>
      </c>
      <c r="AF3553" s="4">
        <v>0</v>
      </c>
      <c r="AG3553" s="4">
        <v>1</v>
      </c>
      <c r="AH3553" s="4">
        <v>30</v>
      </c>
      <c r="AI3553" s="4">
        <v>30</v>
      </c>
      <c r="AJ3553" s="4">
        <v>0</v>
      </c>
      <c r="AK3553" s="4">
        <v>1</v>
      </c>
      <c r="AL3553" s="4">
        <v>24</v>
      </c>
      <c r="AM3553" s="4">
        <v>24</v>
      </c>
      <c r="AN3553" s="4">
        <v>0</v>
      </c>
      <c r="AO3553" s="4">
        <v>0</v>
      </c>
      <c r="AP3553" s="4">
        <v>0</v>
      </c>
      <c r="AQ3553" s="4">
        <v>0</v>
      </c>
      <c r="AR3553" s="3" t="s">
        <v>65</v>
      </c>
      <c r="AS3553" s="3" t="s">
        <v>65</v>
      </c>
      <c r="AT3553" s="3" t="s">
        <v>65</v>
      </c>
      <c r="AV3553" s="6" t="str">
        <f>HYPERLINK("http://mcgill.on.worldcat.org/oclc/802322802","Catalog Record")</f>
        <v>Catalog Record</v>
      </c>
      <c r="AW3553" s="6" t="str">
        <f>HYPERLINK("http://www.worldcat.org/oclc/802322802","WorldCat Record")</f>
        <v>WorldCat Record</v>
      </c>
      <c r="AX3553" s="3" t="s">
        <v>35380</v>
      </c>
      <c r="AY3553" s="3" t="s">
        <v>35381</v>
      </c>
      <c r="AZ3553" s="3" t="s">
        <v>35382</v>
      </c>
      <c r="BA3553" s="3" t="s">
        <v>35382</v>
      </c>
      <c r="BB3553" s="3" t="s">
        <v>35383</v>
      </c>
      <c r="BC3553" s="3" t="s">
        <v>77</v>
      </c>
      <c r="BD3553" s="3" t="s">
        <v>78</v>
      </c>
      <c r="BE3553" s="3" t="s">
        <v>35384</v>
      </c>
      <c r="BF3553" s="3" t="s">
        <v>35383</v>
      </c>
      <c r="BG3553" s="3" t="s">
        <v>35385</v>
      </c>
    </row>
    <row r="3554" spans="1:59" ht="72.5" x14ac:dyDescent="0.35">
      <c r="A3554" s="2" t="s">
        <v>59</v>
      </c>
      <c r="B3554" s="2" t="s">
        <v>60</v>
      </c>
      <c r="C3554" s="2" t="s">
        <v>35386</v>
      </c>
      <c r="D3554" s="2" t="s">
        <v>35387</v>
      </c>
      <c r="E3554" s="2" t="s">
        <v>35388</v>
      </c>
      <c r="G3554" s="3" t="s">
        <v>65</v>
      </c>
      <c r="I3554" s="3" t="s">
        <v>65</v>
      </c>
      <c r="J3554" s="3" t="s">
        <v>65</v>
      </c>
      <c r="K3554" s="3" t="s">
        <v>66</v>
      </c>
      <c r="L3554" s="2" t="s">
        <v>35365</v>
      </c>
      <c r="M3554" s="2" t="s">
        <v>33535</v>
      </c>
      <c r="N3554" s="3" t="s">
        <v>126</v>
      </c>
      <c r="O3554" s="2" t="s">
        <v>33052</v>
      </c>
      <c r="P3554" s="3" t="s">
        <v>140</v>
      </c>
      <c r="Q3554" s="2" t="s">
        <v>35389</v>
      </c>
      <c r="R3554" s="3" t="s">
        <v>71</v>
      </c>
      <c r="S3554" s="4">
        <v>1</v>
      </c>
      <c r="T3554" s="4">
        <v>1</v>
      </c>
      <c r="U3554" s="5" t="s">
        <v>20018</v>
      </c>
      <c r="V3554" s="5" t="s">
        <v>20018</v>
      </c>
      <c r="W3554" s="5" t="s">
        <v>72</v>
      </c>
      <c r="X3554" s="5" t="s">
        <v>72</v>
      </c>
      <c r="Y3554" s="4">
        <v>60</v>
      </c>
      <c r="Z3554" s="4">
        <v>6</v>
      </c>
      <c r="AA3554" s="4">
        <v>7</v>
      </c>
      <c r="AB3554" s="4">
        <v>2</v>
      </c>
      <c r="AC3554" s="4">
        <v>3</v>
      </c>
      <c r="AD3554" s="4">
        <v>35</v>
      </c>
      <c r="AE3554" s="4">
        <v>36</v>
      </c>
      <c r="AF3554" s="4">
        <v>0</v>
      </c>
      <c r="AG3554" s="4">
        <v>1</v>
      </c>
      <c r="AH3554" s="4">
        <v>33</v>
      </c>
      <c r="AI3554" s="4">
        <v>33</v>
      </c>
      <c r="AJ3554" s="4">
        <v>4</v>
      </c>
      <c r="AK3554" s="4">
        <v>5</v>
      </c>
      <c r="AL3554" s="4">
        <v>23</v>
      </c>
      <c r="AM3554" s="4">
        <v>23</v>
      </c>
      <c r="AN3554" s="4">
        <v>0</v>
      </c>
      <c r="AO3554" s="4">
        <v>0</v>
      </c>
      <c r="AP3554" s="4">
        <v>4</v>
      </c>
      <c r="AQ3554" s="4">
        <v>4</v>
      </c>
      <c r="AR3554" s="3" t="s">
        <v>65</v>
      </c>
      <c r="AS3554" s="3" t="s">
        <v>65</v>
      </c>
      <c r="AT3554" s="3" t="s">
        <v>65</v>
      </c>
      <c r="AV3554" s="6" t="str">
        <f>HYPERLINK("http://mcgill.on.worldcat.org/oclc/694057366","Catalog Record")</f>
        <v>Catalog Record</v>
      </c>
      <c r="AW3554" s="6" t="str">
        <f>HYPERLINK("http://www.worldcat.org/oclc/694057366","WorldCat Record")</f>
        <v>WorldCat Record</v>
      </c>
      <c r="AX3554" s="3" t="s">
        <v>35390</v>
      </c>
      <c r="AY3554" s="3" t="s">
        <v>35391</v>
      </c>
      <c r="AZ3554" s="3" t="s">
        <v>35392</v>
      </c>
      <c r="BA3554" s="3" t="s">
        <v>35392</v>
      </c>
      <c r="BB3554" s="3" t="s">
        <v>35393</v>
      </c>
      <c r="BC3554" s="3" t="s">
        <v>77</v>
      </c>
      <c r="BD3554" s="3" t="s">
        <v>78</v>
      </c>
      <c r="BE3554" s="3" t="s">
        <v>35394</v>
      </c>
      <c r="BF3554" s="3" t="s">
        <v>35393</v>
      </c>
      <c r="BG3554" s="3" t="s">
        <v>35395</v>
      </c>
    </row>
    <row r="3555" spans="1:59" ht="72.5" x14ac:dyDescent="0.35">
      <c r="A3555" s="2" t="s">
        <v>59</v>
      </c>
      <c r="B3555" s="2" t="s">
        <v>60</v>
      </c>
      <c r="C3555" s="2" t="s">
        <v>35396</v>
      </c>
      <c r="D3555" s="2" t="s">
        <v>35397</v>
      </c>
      <c r="E3555" s="2" t="s">
        <v>35398</v>
      </c>
      <c r="G3555" s="3" t="s">
        <v>65</v>
      </c>
      <c r="I3555" s="3" t="s">
        <v>65</v>
      </c>
      <c r="J3555" s="3" t="s">
        <v>65</v>
      </c>
      <c r="K3555" s="3" t="s">
        <v>66</v>
      </c>
      <c r="L3555" s="2" t="s">
        <v>35365</v>
      </c>
      <c r="M3555" s="2" t="s">
        <v>27431</v>
      </c>
      <c r="N3555" s="3" t="s">
        <v>126</v>
      </c>
      <c r="P3555" s="3" t="s">
        <v>69</v>
      </c>
      <c r="R3555" s="3" t="s">
        <v>71</v>
      </c>
      <c r="S3555" s="4">
        <v>2</v>
      </c>
      <c r="T3555" s="4">
        <v>2</v>
      </c>
      <c r="U3555" s="5" t="s">
        <v>34073</v>
      </c>
      <c r="V3555" s="5" t="s">
        <v>34073</v>
      </c>
      <c r="W3555" s="5" t="s">
        <v>72</v>
      </c>
      <c r="X3555" s="5" t="s">
        <v>72</v>
      </c>
      <c r="Y3555" s="4">
        <v>192</v>
      </c>
      <c r="Z3555" s="4">
        <v>16</v>
      </c>
      <c r="AA3555" s="4">
        <v>18</v>
      </c>
      <c r="AB3555" s="4">
        <v>1</v>
      </c>
      <c r="AC3555" s="4">
        <v>2</v>
      </c>
      <c r="AD3555" s="4">
        <v>43</v>
      </c>
      <c r="AE3555" s="4">
        <v>45</v>
      </c>
      <c r="AF3555" s="4">
        <v>0</v>
      </c>
      <c r="AG3555" s="4">
        <v>0</v>
      </c>
      <c r="AH3555" s="4">
        <v>41</v>
      </c>
      <c r="AI3555" s="4">
        <v>43</v>
      </c>
      <c r="AJ3555" s="4">
        <v>6</v>
      </c>
      <c r="AK3555" s="4">
        <v>6</v>
      </c>
      <c r="AL3555" s="4">
        <v>27</v>
      </c>
      <c r="AM3555" s="4">
        <v>28</v>
      </c>
      <c r="AN3555" s="4">
        <v>0</v>
      </c>
      <c r="AO3555" s="4">
        <v>0</v>
      </c>
      <c r="AP3555" s="4">
        <v>6</v>
      </c>
      <c r="AQ3555" s="4">
        <v>6</v>
      </c>
      <c r="AR3555" s="3" t="s">
        <v>65</v>
      </c>
      <c r="AS3555" s="3" t="s">
        <v>65</v>
      </c>
      <c r="AT3555" s="3" t="s">
        <v>65</v>
      </c>
      <c r="AV3555" s="6" t="str">
        <f>HYPERLINK("http://mcgill.on.worldcat.org/oclc/701810312","Catalog Record")</f>
        <v>Catalog Record</v>
      </c>
      <c r="AW3555" s="6" t="str">
        <f>HYPERLINK("http://www.worldcat.org/oclc/701810312","WorldCat Record")</f>
        <v>WorldCat Record</v>
      </c>
      <c r="AX3555" s="3" t="s">
        <v>35399</v>
      </c>
      <c r="AY3555" s="3" t="s">
        <v>35400</v>
      </c>
      <c r="AZ3555" s="3" t="s">
        <v>35401</v>
      </c>
      <c r="BA3555" s="3" t="s">
        <v>35401</v>
      </c>
      <c r="BB3555" s="3" t="s">
        <v>35402</v>
      </c>
      <c r="BC3555" s="3" t="s">
        <v>77</v>
      </c>
      <c r="BD3555" s="3" t="s">
        <v>78</v>
      </c>
      <c r="BE3555" s="3" t="s">
        <v>35403</v>
      </c>
      <c r="BF3555" s="3" t="s">
        <v>35402</v>
      </c>
      <c r="BG3555" s="3" t="s">
        <v>35404</v>
      </c>
    </row>
    <row r="3556" spans="1:59" ht="72.5" x14ac:dyDescent="0.35">
      <c r="A3556" s="2" t="s">
        <v>59</v>
      </c>
      <c r="B3556" s="2" t="s">
        <v>60</v>
      </c>
      <c r="C3556" s="2" t="s">
        <v>35405</v>
      </c>
      <c r="D3556" s="2" t="s">
        <v>35406</v>
      </c>
      <c r="E3556" s="2" t="s">
        <v>35407</v>
      </c>
      <c r="G3556" s="3" t="s">
        <v>65</v>
      </c>
      <c r="I3556" s="3" t="s">
        <v>65</v>
      </c>
      <c r="J3556" s="3" t="s">
        <v>65</v>
      </c>
      <c r="K3556" s="3" t="s">
        <v>66</v>
      </c>
      <c r="L3556" s="2" t="s">
        <v>35365</v>
      </c>
      <c r="M3556" s="2" t="s">
        <v>35408</v>
      </c>
      <c r="N3556" s="3" t="s">
        <v>1085</v>
      </c>
      <c r="O3556" s="2" t="s">
        <v>26972</v>
      </c>
      <c r="P3556" s="3" t="s">
        <v>140</v>
      </c>
      <c r="Q3556" s="2" t="s">
        <v>35409</v>
      </c>
      <c r="R3556" s="3" t="s">
        <v>71</v>
      </c>
      <c r="S3556" s="4">
        <v>9</v>
      </c>
      <c r="T3556" s="4">
        <v>9</v>
      </c>
      <c r="U3556" s="5" t="s">
        <v>14842</v>
      </c>
      <c r="V3556" s="5" t="s">
        <v>14842</v>
      </c>
      <c r="W3556" s="5" t="s">
        <v>72</v>
      </c>
      <c r="X3556" s="5" t="s">
        <v>72</v>
      </c>
      <c r="Y3556" s="4">
        <v>1</v>
      </c>
      <c r="Z3556" s="4">
        <v>1</v>
      </c>
      <c r="AA3556" s="4">
        <v>9</v>
      </c>
      <c r="AB3556" s="4">
        <v>1</v>
      </c>
      <c r="AC3556" s="4">
        <v>3</v>
      </c>
      <c r="AD3556" s="4">
        <v>0</v>
      </c>
      <c r="AE3556" s="4">
        <v>26</v>
      </c>
      <c r="AF3556" s="4">
        <v>0</v>
      </c>
      <c r="AG3556" s="4">
        <v>2</v>
      </c>
      <c r="AH3556" s="4">
        <v>0</v>
      </c>
      <c r="AI3556" s="4">
        <v>23</v>
      </c>
      <c r="AJ3556" s="4">
        <v>0</v>
      </c>
      <c r="AK3556" s="4">
        <v>4</v>
      </c>
      <c r="AL3556" s="4">
        <v>0</v>
      </c>
      <c r="AM3556" s="4">
        <v>15</v>
      </c>
      <c r="AN3556" s="4">
        <v>0</v>
      </c>
      <c r="AO3556" s="4">
        <v>3</v>
      </c>
      <c r="AP3556" s="4">
        <v>0</v>
      </c>
      <c r="AQ3556" s="4">
        <v>4</v>
      </c>
      <c r="AR3556" s="3" t="s">
        <v>65</v>
      </c>
      <c r="AS3556" s="3" t="s">
        <v>65</v>
      </c>
      <c r="AT3556" s="3" t="s">
        <v>209</v>
      </c>
      <c r="AU3556" s="6" t="str">
        <f>HYPERLINK("http://catalog.hathitrust.org/Record/101980875","HathiTrust Record")</f>
        <v>HathiTrust Record</v>
      </c>
      <c r="AV3556" s="6" t="str">
        <f>HYPERLINK("http://mcgill.on.worldcat.org/oclc/428073913","Catalog Record")</f>
        <v>Catalog Record</v>
      </c>
      <c r="AW3556" s="6" t="str">
        <f>HYPERLINK("http://www.worldcat.org/oclc/428073913","WorldCat Record")</f>
        <v>WorldCat Record</v>
      </c>
      <c r="AX3556" s="3" t="s">
        <v>35410</v>
      </c>
      <c r="AY3556" s="3" t="s">
        <v>35411</v>
      </c>
      <c r="AZ3556" s="3" t="s">
        <v>35412</v>
      </c>
      <c r="BA3556" s="3" t="s">
        <v>35412</v>
      </c>
      <c r="BB3556" s="3" t="s">
        <v>35413</v>
      </c>
      <c r="BC3556" s="3" t="s">
        <v>77</v>
      </c>
      <c r="BD3556" s="3" t="s">
        <v>78</v>
      </c>
      <c r="BE3556" s="3" t="s">
        <v>35414</v>
      </c>
      <c r="BF3556" s="3" t="s">
        <v>35413</v>
      </c>
      <c r="BG3556" s="3" t="s">
        <v>35415</v>
      </c>
    </row>
    <row r="3557" spans="1:59" ht="72.5" x14ac:dyDescent="0.35">
      <c r="A3557" s="2" t="s">
        <v>59</v>
      </c>
      <c r="B3557" s="2" t="s">
        <v>60</v>
      </c>
      <c r="C3557" s="2" t="s">
        <v>35416</v>
      </c>
      <c r="D3557" s="2" t="s">
        <v>35417</v>
      </c>
      <c r="E3557" s="2" t="s">
        <v>35418</v>
      </c>
      <c r="G3557" s="3" t="s">
        <v>65</v>
      </c>
      <c r="I3557" s="3" t="s">
        <v>65</v>
      </c>
      <c r="J3557" s="3" t="s">
        <v>65</v>
      </c>
      <c r="K3557" s="3" t="s">
        <v>66</v>
      </c>
      <c r="L3557" s="2" t="s">
        <v>35365</v>
      </c>
      <c r="M3557" s="2" t="s">
        <v>33535</v>
      </c>
      <c r="N3557" s="3" t="s">
        <v>126</v>
      </c>
      <c r="O3557" s="2" t="s">
        <v>35419</v>
      </c>
      <c r="P3557" s="3" t="s">
        <v>140</v>
      </c>
      <c r="Q3557" s="2" t="s">
        <v>33053</v>
      </c>
      <c r="R3557" s="3" t="s">
        <v>71</v>
      </c>
      <c r="S3557" s="4">
        <v>1</v>
      </c>
      <c r="T3557" s="4">
        <v>1</v>
      </c>
      <c r="U3557" s="5" t="s">
        <v>35420</v>
      </c>
      <c r="V3557" s="5" t="s">
        <v>35420</v>
      </c>
      <c r="W3557" s="5" t="s">
        <v>72</v>
      </c>
      <c r="X3557" s="5" t="s">
        <v>72</v>
      </c>
      <c r="Y3557" s="4">
        <v>67</v>
      </c>
      <c r="Z3557" s="4">
        <v>8</v>
      </c>
      <c r="AA3557" s="4">
        <v>10</v>
      </c>
      <c r="AB3557" s="4">
        <v>2</v>
      </c>
      <c r="AC3557" s="4">
        <v>3</v>
      </c>
      <c r="AD3557" s="4">
        <v>38</v>
      </c>
      <c r="AE3557" s="4">
        <v>39</v>
      </c>
      <c r="AF3557" s="4">
        <v>0</v>
      </c>
      <c r="AG3557" s="4">
        <v>1</v>
      </c>
      <c r="AH3557" s="4">
        <v>36</v>
      </c>
      <c r="AI3557" s="4">
        <v>36</v>
      </c>
      <c r="AJ3557" s="4">
        <v>4</v>
      </c>
      <c r="AK3557" s="4">
        <v>5</v>
      </c>
      <c r="AL3557" s="4">
        <v>25</v>
      </c>
      <c r="AM3557" s="4">
        <v>25</v>
      </c>
      <c r="AN3557" s="4">
        <v>0</v>
      </c>
      <c r="AO3557" s="4">
        <v>0</v>
      </c>
      <c r="AP3557" s="4">
        <v>4</v>
      </c>
      <c r="AQ3557" s="4">
        <v>4</v>
      </c>
      <c r="AR3557" s="3" t="s">
        <v>65</v>
      </c>
      <c r="AS3557" s="3" t="s">
        <v>65</v>
      </c>
      <c r="AT3557" s="3" t="s">
        <v>65</v>
      </c>
      <c r="AV3557" s="6" t="str">
        <f>HYPERLINK("http://mcgill.on.worldcat.org/oclc/757692590","Catalog Record")</f>
        <v>Catalog Record</v>
      </c>
      <c r="AW3557" s="6" t="str">
        <f>HYPERLINK("http://www.worldcat.org/oclc/757692590","WorldCat Record")</f>
        <v>WorldCat Record</v>
      </c>
      <c r="AX3557" s="3" t="s">
        <v>35421</v>
      </c>
      <c r="AY3557" s="3" t="s">
        <v>35422</v>
      </c>
      <c r="AZ3557" s="3" t="s">
        <v>35423</v>
      </c>
      <c r="BA3557" s="3" t="s">
        <v>35423</v>
      </c>
      <c r="BB3557" s="3" t="s">
        <v>35424</v>
      </c>
      <c r="BC3557" s="3" t="s">
        <v>77</v>
      </c>
      <c r="BD3557" s="3" t="s">
        <v>78</v>
      </c>
      <c r="BE3557" s="3" t="s">
        <v>35425</v>
      </c>
      <c r="BF3557" s="3" t="s">
        <v>35424</v>
      </c>
      <c r="BG3557" s="3" t="s">
        <v>35426</v>
      </c>
    </row>
    <row r="3558" spans="1:59" ht="72.5" x14ac:dyDescent="0.35">
      <c r="A3558" s="2" t="s">
        <v>59</v>
      </c>
      <c r="B3558" s="2" t="s">
        <v>60</v>
      </c>
      <c r="C3558" s="2" t="s">
        <v>35427</v>
      </c>
      <c r="D3558" s="2" t="s">
        <v>35428</v>
      </c>
      <c r="E3558" s="2" t="s">
        <v>35429</v>
      </c>
      <c r="G3558" s="3" t="s">
        <v>65</v>
      </c>
      <c r="I3558" s="3" t="s">
        <v>65</v>
      </c>
      <c r="J3558" s="3" t="s">
        <v>65</v>
      </c>
      <c r="K3558" s="3" t="s">
        <v>66</v>
      </c>
      <c r="L3558" s="2" t="s">
        <v>35365</v>
      </c>
      <c r="M3558" s="2" t="s">
        <v>35430</v>
      </c>
      <c r="N3558" s="3" t="s">
        <v>113</v>
      </c>
      <c r="O3558" s="2" t="s">
        <v>33690</v>
      </c>
      <c r="P3558" s="3" t="s">
        <v>140</v>
      </c>
      <c r="Q3558" s="2" t="s">
        <v>33053</v>
      </c>
      <c r="R3558" s="3" t="s">
        <v>71</v>
      </c>
      <c r="S3558" s="4">
        <v>1</v>
      </c>
      <c r="T3558" s="4">
        <v>1</v>
      </c>
      <c r="U3558" s="5" t="s">
        <v>35431</v>
      </c>
      <c r="V3558" s="5" t="s">
        <v>35431</v>
      </c>
      <c r="W3558" s="5" t="s">
        <v>72</v>
      </c>
      <c r="X3558" s="5" t="s">
        <v>72</v>
      </c>
      <c r="Y3558" s="4">
        <v>68</v>
      </c>
      <c r="Z3558" s="4">
        <v>6</v>
      </c>
      <c r="AA3558" s="4">
        <v>11</v>
      </c>
      <c r="AB3558" s="4">
        <v>1</v>
      </c>
      <c r="AC3558" s="4">
        <v>3</v>
      </c>
      <c r="AD3558" s="4">
        <v>39</v>
      </c>
      <c r="AE3558" s="4">
        <v>43</v>
      </c>
      <c r="AF3558" s="4">
        <v>0</v>
      </c>
      <c r="AG3558" s="4">
        <v>2</v>
      </c>
      <c r="AH3558" s="4">
        <v>37</v>
      </c>
      <c r="AI3558" s="4">
        <v>40</v>
      </c>
      <c r="AJ3558" s="4">
        <v>3</v>
      </c>
      <c r="AK3558" s="4">
        <v>7</v>
      </c>
      <c r="AL3558" s="4">
        <v>29</v>
      </c>
      <c r="AM3558" s="4">
        <v>30</v>
      </c>
      <c r="AN3558" s="4">
        <v>0</v>
      </c>
      <c r="AO3558" s="4">
        <v>0</v>
      </c>
      <c r="AP3558" s="4">
        <v>3</v>
      </c>
      <c r="AQ3558" s="4">
        <v>6</v>
      </c>
      <c r="AR3558" s="3" t="s">
        <v>65</v>
      </c>
      <c r="AS3558" s="3" t="s">
        <v>65</v>
      </c>
      <c r="AT3558" s="3" t="s">
        <v>65</v>
      </c>
      <c r="AV3558" s="6" t="str">
        <f>HYPERLINK("http://mcgill.on.worldcat.org/oclc/468976105","Catalog Record")</f>
        <v>Catalog Record</v>
      </c>
      <c r="AW3558" s="6" t="str">
        <f>HYPERLINK("http://www.worldcat.org/oclc/468976105","WorldCat Record")</f>
        <v>WorldCat Record</v>
      </c>
      <c r="AX3558" s="3" t="s">
        <v>35432</v>
      </c>
      <c r="AY3558" s="3" t="s">
        <v>35433</v>
      </c>
      <c r="AZ3558" s="3" t="s">
        <v>35434</v>
      </c>
      <c r="BA3558" s="3" t="s">
        <v>35434</v>
      </c>
      <c r="BB3558" s="3" t="s">
        <v>35435</v>
      </c>
      <c r="BC3558" s="3" t="s">
        <v>77</v>
      </c>
      <c r="BD3558" s="3" t="s">
        <v>78</v>
      </c>
      <c r="BE3558" s="3" t="s">
        <v>35436</v>
      </c>
      <c r="BF3558" s="3" t="s">
        <v>35435</v>
      </c>
      <c r="BG3558" s="3" t="s">
        <v>35437</v>
      </c>
    </row>
    <row r="3559" spans="1:59" ht="72.5" x14ac:dyDescent="0.35">
      <c r="A3559" s="2" t="s">
        <v>59</v>
      </c>
      <c r="B3559" s="2" t="s">
        <v>60</v>
      </c>
      <c r="C3559" s="2" t="s">
        <v>35438</v>
      </c>
      <c r="D3559" s="2" t="s">
        <v>35439</v>
      </c>
      <c r="E3559" s="2" t="s">
        <v>35440</v>
      </c>
      <c r="G3559" s="3" t="s">
        <v>65</v>
      </c>
      <c r="I3559" s="3" t="s">
        <v>65</v>
      </c>
      <c r="J3559" s="3" t="s">
        <v>65</v>
      </c>
      <c r="K3559" s="3" t="s">
        <v>66</v>
      </c>
      <c r="L3559" s="2" t="s">
        <v>35441</v>
      </c>
      <c r="M3559" s="2" t="s">
        <v>35442</v>
      </c>
      <c r="N3559" s="3" t="s">
        <v>176</v>
      </c>
      <c r="O3559" s="2" t="s">
        <v>33702</v>
      </c>
      <c r="P3559" s="3" t="s">
        <v>140</v>
      </c>
      <c r="Q3559" s="2" t="s">
        <v>35443</v>
      </c>
      <c r="R3559" s="3" t="s">
        <v>71</v>
      </c>
      <c r="S3559" s="4">
        <v>1</v>
      </c>
      <c r="T3559" s="4">
        <v>1</v>
      </c>
      <c r="U3559" s="5" t="s">
        <v>35444</v>
      </c>
      <c r="V3559" s="5" t="s">
        <v>35444</v>
      </c>
      <c r="W3559" s="5" t="s">
        <v>72</v>
      </c>
      <c r="X3559" s="5" t="s">
        <v>72</v>
      </c>
      <c r="Y3559" s="4">
        <v>57</v>
      </c>
      <c r="Z3559" s="4">
        <v>3</v>
      </c>
      <c r="AA3559" s="4">
        <v>3</v>
      </c>
      <c r="AB3559" s="4">
        <v>1</v>
      </c>
      <c r="AC3559" s="4">
        <v>1</v>
      </c>
      <c r="AD3559" s="4">
        <v>38</v>
      </c>
      <c r="AE3559" s="4">
        <v>39</v>
      </c>
      <c r="AF3559" s="4">
        <v>0</v>
      </c>
      <c r="AG3559" s="4">
        <v>0</v>
      </c>
      <c r="AH3559" s="4">
        <v>37</v>
      </c>
      <c r="AI3559" s="4">
        <v>38</v>
      </c>
      <c r="AJ3559" s="4">
        <v>1</v>
      </c>
      <c r="AK3559" s="4">
        <v>1</v>
      </c>
      <c r="AL3559" s="4">
        <v>30</v>
      </c>
      <c r="AM3559" s="4">
        <v>30</v>
      </c>
      <c r="AN3559" s="4">
        <v>0</v>
      </c>
      <c r="AO3559" s="4">
        <v>0</v>
      </c>
      <c r="AP3559" s="4">
        <v>1</v>
      </c>
      <c r="AQ3559" s="4">
        <v>1</v>
      </c>
      <c r="AR3559" s="3" t="s">
        <v>65</v>
      </c>
      <c r="AS3559" s="3" t="s">
        <v>65</v>
      </c>
      <c r="AT3559" s="3" t="s">
        <v>65</v>
      </c>
      <c r="AV3559" s="6" t="str">
        <f>HYPERLINK("http://mcgill.on.worldcat.org/oclc/929450423","Catalog Record")</f>
        <v>Catalog Record</v>
      </c>
      <c r="AW3559" s="6" t="str">
        <f>HYPERLINK("http://www.worldcat.org/oclc/929450423","WorldCat Record")</f>
        <v>WorldCat Record</v>
      </c>
      <c r="AX3559" s="3" t="s">
        <v>35445</v>
      </c>
      <c r="AY3559" s="3" t="s">
        <v>35446</v>
      </c>
      <c r="AZ3559" s="3" t="s">
        <v>35447</v>
      </c>
      <c r="BA3559" s="3" t="s">
        <v>35447</v>
      </c>
      <c r="BB3559" s="3" t="s">
        <v>35448</v>
      </c>
      <c r="BC3559" s="3" t="s">
        <v>77</v>
      </c>
      <c r="BD3559" s="3" t="s">
        <v>78</v>
      </c>
      <c r="BE3559" s="3" t="s">
        <v>35449</v>
      </c>
      <c r="BF3559" s="3" t="s">
        <v>35448</v>
      </c>
      <c r="BG3559" s="3" t="s">
        <v>35450</v>
      </c>
    </row>
    <row r="3560" spans="1:59" ht="72.5" x14ac:dyDescent="0.35">
      <c r="A3560" s="2" t="s">
        <v>59</v>
      </c>
      <c r="B3560" s="2" t="s">
        <v>60</v>
      </c>
      <c r="C3560" s="2" t="s">
        <v>35451</v>
      </c>
      <c r="D3560" s="2" t="s">
        <v>35452</v>
      </c>
      <c r="E3560" s="2" t="s">
        <v>35453</v>
      </c>
      <c r="G3560" s="3" t="s">
        <v>65</v>
      </c>
      <c r="I3560" s="3" t="s">
        <v>65</v>
      </c>
      <c r="J3560" s="3" t="s">
        <v>65</v>
      </c>
      <c r="K3560" s="3" t="s">
        <v>66</v>
      </c>
      <c r="L3560" s="2" t="s">
        <v>35365</v>
      </c>
      <c r="M3560" s="2" t="s">
        <v>33656</v>
      </c>
      <c r="N3560" s="3" t="s">
        <v>139</v>
      </c>
      <c r="O3560" s="2" t="s">
        <v>35454</v>
      </c>
      <c r="P3560" s="3" t="s">
        <v>140</v>
      </c>
      <c r="Q3560" s="2" t="s">
        <v>33053</v>
      </c>
      <c r="R3560" s="3" t="s">
        <v>71</v>
      </c>
      <c r="S3560" s="4">
        <v>0</v>
      </c>
      <c r="T3560" s="4">
        <v>0</v>
      </c>
      <c r="W3560" s="5" t="s">
        <v>72</v>
      </c>
      <c r="X3560" s="5" t="s">
        <v>72</v>
      </c>
      <c r="Y3560" s="4">
        <v>11</v>
      </c>
      <c r="Z3560" s="4">
        <v>2</v>
      </c>
      <c r="AA3560" s="4">
        <v>7</v>
      </c>
      <c r="AB3560" s="4">
        <v>1</v>
      </c>
      <c r="AC3560" s="4">
        <v>4</v>
      </c>
      <c r="AD3560" s="4">
        <v>2</v>
      </c>
      <c r="AE3560" s="4">
        <v>34</v>
      </c>
      <c r="AF3560" s="4">
        <v>0</v>
      </c>
      <c r="AG3560" s="4">
        <v>1</v>
      </c>
      <c r="AH3560" s="4">
        <v>2</v>
      </c>
      <c r="AI3560" s="4">
        <v>32</v>
      </c>
      <c r="AJ3560" s="4">
        <v>0</v>
      </c>
      <c r="AK3560" s="4">
        <v>3</v>
      </c>
      <c r="AL3560" s="4">
        <v>2</v>
      </c>
      <c r="AM3560" s="4">
        <v>24</v>
      </c>
      <c r="AN3560" s="4">
        <v>0</v>
      </c>
      <c r="AO3560" s="4">
        <v>0</v>
      </c>
      <c r="AP3560" s="4">
        <v>0</v>
      </c>
      <c r="AQ3560" s="4">
        <v>2</v>
      </c>
      <c r="AR3560" s="3" t="s">
        <v>65</v>
      </c>
      <c r="AS3560" s="3" t="s">
        <v>65</v>
      </c>
      <c r="AT3560" s="3" t="s">
        <v>65</v>
      </c>
      <c r="AV3560" s="6" t="str">
        <f>HYPERLINK("http://mcgill.on.worldcat.org/oclc/793341212","Catalog Record")</f>
        <v>Catalog Record</v>
      </c>
      <c r="AW3560" s="6" t="str">
        <f>HYPERLINK("http://www.worldcat.org/oclc/793341212","WorldCat Record")</f>
        <v>WorldCat Record</v>
      </c>
      <c r="AX3560" s="3" t="s">
        <v>35455</v>
      </c>
      <c r="AY3560" s="3" t="s">
        <v>35456</v>
      </c>
      <c r="AZ3560" s="3" t="s">
        <v>35457</v>
      </c>
      <c r="BA3560" s="3" t="s">
        <v>35457</v>
      </c>
      <c r="BB3560" s="3" t="s">
        <v>35458</v>
      </c>
      <c r="BC3560" s="3" t="s">
        <v>77</v>
      </c>
      <c r="BD3560" s="3" t="s">
        <v>78</v>
      </c>
      <c r="BE3560" s="3" t="s">
        <v>35459</v>
      </c>
      <c r="BF3560" s="3" t="s">
        <v>35458</v>
      </c>
      <c r="BG3560" s="3" t="s">
        <v>35460</v>
      </c>
    </row>
    <row r="3561" spans="1:59" ht="72.5" x14ac:dyDescent="0.35">
      <c r="A3561" s="2" t="s">
        <v>59</v>
      </c>
      <c r="B3561" s="2" t="s">
        <v>60</v>
      </c>
      <c r="C3561" s="2" t="s">
        <v>35461</v>
      </c>
      <c r="D3561" s="2" t="s">
        <v>35462</v>
      </c>
      <c r="E3561" s="2" t="s">
        <v>35463</v>
      </c>
      <c r="G3561" s="3" t="s">
        <v>65</v>
      </c>
      <c r="I3561" s="3" t="s">
        <v>65</v>
      </c>
      <c r="J3561" s="3" t="s">
        <v>209</v>
      </c>
      <c r="K3561" s="3" t="s">
        <v>66</v>
      </c>
      <c r="L3561" s="2" t="s">
        <v>35365</v>
      </c>
      <c r="M3561" s="2" t="s">
        <v>35464</v>
      </c>
      <c r="N3561" s="3" t="s">
        <v>126</v>
      </c>
      <c r="O3561" s="2" t="s">
        <v>35465</v>
      </c>
      <c r="P3561" s="3" t="s">
        <v>69</v>
      </c>
      <c r="R3561" s="3" t="s">
        <v>71</v>
      </c>
      <c r="S3561" s="4">
        <v>1</v>
      </c>
      <c r="T3561" s="4">
        <v>1</v>
      </c>
      <c r="U3561" s="5" t="s">
        <v>35466</v>
      </c>
      <c r="V3561" s="5" t="s">
        <v>35466</v>
      </c>
      <c r="W3561" s="5" t="s">
        <v>72</v>
      </c>
      <c r="X3561" s="5" t="s">
        <v>72</v>
      </c>
      <c r="Y3561" s="4">
        <v>116</v>
      </c>
      <c r="Z3561" s="4">
        <v>5</v>
      </c>
      <c r="AA3561" s="4">
        <v>15</v>
      </c>
      <c r="AB3561" s="4">
        <v>1</v>
      </c>
      <c r="AC3561" s="4">
        <v>2</v>
      </c>
      <c r="AD3561" s="4">
        <v>9</v>
      </c>
      <c r="AE3561" s="4">
        <v>78</v>
      </c>
      <c r="AF3561" s="4">
        <v>0</v>
      </c>
      <c r="AG3561" s="4">
        <v>0</v>
      </c>
      <c r="AH3561" s="4">
        <v>8</v>
      </c>
      <c r="AI3561" s="4">
        <v>73</v>
      </c>
      <c r="AJ3561" s="4">
        <v>2</v>
      </c>
      <c r="AK3561" s="4">
        <v>8</v>
      </c>
      <c r="AL3561" s="4">
        <v>3</v>
      </c>
      <c r="AM3561" s="4">
        <v>43</v>
      </c>
      <c r="AN3561" s="4">
        <v>0</v>
      </c>
      <c r="AO3561" s="4">
        <v>0</v>
      </c>
      <c r="AP3561" s="4">
        <v>2</v>
      </c>
      <c r="AQ3561" s="4">
        <v>8</v>
      </c>
      <c r="AR3561" s="3" t="s">
        <v>65</v>
      </c>
      <c r="AS3561" s="3" t="s">
        <v>65</v>
      </c>
      <c r="AT3561" s="3" t="s">
        <v>65</v>
      </c>
      <c r="AV3561" s="6" t="str">
        <f>HYPERLINK("http://mcgill.on.worldcat.org/oclc/701810316","Catalog Record")</f>
        <v>Catalog Record</v>
      </c>
      <c r="AW3561" s="6" t="str">
        <f>HYPERLINK("http://www.worldcat.org/oclc/701810316","WorldCat Record")</f>
        <v>WorldCat Record</v>
      </c>
      <c r="AX3561" s="3" t="s">
        <v>35467</v>
      </c>
      <c r="AY3561" s="3" t="s">
        <v>35468</v>
      </c>
      <c r="AZ3561" s="3" t="s">
        <v>35469</v>
      </c>
      <c r="BA3561" s="3" t="s">
        <v>35469</v>
      </c>
      <c r="BB3561" s="3" t="s">
        <v>35470</v>
      </c>
      <c r="BC3561" s="3" t="s">
        <v>77</v>
      </c>
      <c r="BD3561" s="3" t="s">
        <v>78</v>
      </c>
      <c r="BE3561" s="3" t="s">
        <v>35471</v>
      </c>
      <c r="BF3561" s="3" t="s">
        <v>35470</v>
      </c>
      <c r="BG3561" s="3" t="s">
        <v>35472</v>
      </c>
    </row>
    <row r="3562" spans="1:59" ht="72.5" x14ac:dyDescent="0.35">
      <c r="A3562" s="2" t="s">
        <v>59</v>
      </c>
      <c r="B3562" s="2" t="s">
        <v>60</v>
      </c>
      <c r="C3562" s="2" t="s">
        <v>35473</v>
      </c>
      <c r="D3562" s="2" t="s">
        <v>35474</v>
      </c>
      <c r="E3562" s="2" t="s">
        <v>35475</v>
      </c>
      <c r="G3562" s="3" t="s">
        <v>65</v>
      </c>
      <c r="I3562" s="3" t="s">
        <v>65</v>
      </c>
      <c r="J3562" s="3" t="s">
        <v>65</v>
      </c>
      <c r="K3562" s="3" t="s">
        <v>66</v>
      </c>
      <c r="L3562" s="2" t="s">
        <v>35365</v>
      </c>
      <c r="M3562" s="2" t="s">
        <v>35476</v>
      </c>
      <c r="N3562" s="3" t="s">
        <v>113</v>
      </c>
      <c r="P3562" s="3" t="s">
        <v>140</v>
      </c>
      <c r="Q3562" s="2" t="s">
        <v>35477</v>
      </c>
      <c r="R3562" s="3" t="s">
        <v>71</v>
      </c>
      <c r="S3562" s="4">
        <v>1</v>
      </c>
      <c r="T3562" s="4">
        <v>1</v>
      </c>
      <c r="U3562" s="5" t="s">
        <v>35431</v>
      </c>
      <c r="V3562" s="5" t="s">
        <v>35431</v>
      </c>
      <c r="W3562" s="5" t="s">
        <v>72</v>
      </c>
      <c r="X3562" s="5" t="s">
        <v>72</v>
      </c>
      <c r="Y3562" s="4">
        <v>17</v>
      </c>
      <c r="Z3562" s="4">
        <v>1</v>
      </c>
      <c r="AA3562" s="4">
        <v>1</v>
      </c>
      <c r="AB3562" s="4">
        <v>1</v>
      </c>
      <c r="AC3562" s="4">
        <v>1</v>
      </c>
      <c r="AD3562" s="4">
        <v>13</v>
      </c>
      <c r="AE3562" s="4">
        <v>13</v>
      </c>
      <c r="AF3562" s="4">
        <v>0</v>
      </c>
      <c r="AG3562" s="4">
        <v>0</v>
      </c>
      <c r="AH3562" s="4">
        <v>12</v>
      </c>
      <c r="AI3562" s="4">
        <v>12</v>
      </c>
      <c r="AJ3562" s="4">
        <v>0</v>
      </c>
      <c r="AK3562" s="4">
        <v>0</v>
      </c>
      <c r="AL3562" s="4">
        <v>10</v>
      </c>
      <c r="AM3562" s="4">
        <v>10</v>
      </c>
      <c r="AN3562" s="4">
        <v>0</v>
      </c>
      <c r="AO3562" s="4">
        <v>0</v>
      </c>
      <c r="AP3562" s="4">
        <v>0</v>
      </c>
      <c r="AQ3562" s="4">
        <v>0</v>
      </c>
      <c r="AR3562" s="3" t="s">
        <v>65</v>
      </c>
      <c r="AS3562" s="3" t="s">
        <v>65</v>
      </c>
      <c r="AT3562" s="3" t="s">
        <v>65</v>
      </c>
      <c r="AV3562" s="6" t="str">
        <f>HYPERLINK("http://mcgill.on.worldcat.org/oclc/690103391","Catalog Record")</f>
        <v>Catalog Record</v>
      </c>
      <c r="AW3562" s="6" t="str">
        <f>HYPERLINK("http://www.worldcat.org/oclc/690103391","WorldCat Record")</f>
        <v>WorldCat Record</v>
      </c>
      <c r="AX3562" s="3" t="s">
        <v>35478</v>
      </c>
      <c r="AY3562" s="3" t="s">
        <v>35479</v>
      </c>
      <c r="AZ3562" s="3" t="s">
        <v>35480</v>
      </c>
      <c r="BA3562" s="3" t="s">
        <v>35480</v>
      </c>
      <c r="BB3562" s="3" t="s">
        <v>35481</v>
      </c>
      <c r="BC3562" s="3" t="s">
        <v>77</v>
      </c>
      <c r="BD3562" s="3" t="s">
        <v>78</v>
      </c>
      <c r="BE3562" s="3" t="s">
        <v>35482</v>
      </c>
      <c r="BF3562" s="3" t="s">
        <v>35481</v>
      </c>
      <c r="BG3562" s="3" t="s">
        <v>35483</v>
      </c>
    </row>
    <row r="3563" spans="1:59" ht="72.5" x14ac:dyDescent="0.35">
      <c r="A3563" s="2" t="s">
        <v>59</v>
      </c>
      <c r="B3563" s="2" t="s">
        <v>60</v>
      </c>
      <c r="C3563" s="2" t="s">
        <v>35484</v>
      </c>
      <c r="D3563" s="2" t="s">
        <v>35485</v>
      </c>
      <c r="E3563" s="2" t="s">
        <v>35486</v>
      </c>
      <c r="G3563" s="3" t="s">
        <v>65</v>
      </c>
      <c r="I3563" s="3" t="s">
        <v>65</v>
      </c>
      <c r="J3563" s="3" t="s">
        <v>65</v>
      </c>
      <c r="K3563" s="3" t="s">
        <v>66</v>
      </c>
      <c r="L3563" s="2" t="s">
        <v>35365</v>
      </c>
      <c r="M3563" s="2" t="s">
        <v>35487</v>
      </c>
      <c r="N3563" s="3" t="s">
        <v>176</v>
      </c>
      <c r="O3563" s="2" t="s">
        <v>35488</v>
      </c>
      <c r="P3563" s="3" t="s">
        <v>140</v>
      </c>
      <c r="R3563" s="3" t="s">
        <v>71</v>
      </c>
      <c r="S3563" s="4">
        <v>0</v>
      </c>
      <c r="T3563" s="4">
        <v>0</v>
      </c>
      <c r="W3563" s="5" t="s">
        <v>72</v>
      </c>
      <c r="X3563" s="5" t="s">
        <v>72</v>
      </c>
      <c r="Y3563" s="4">
        <v>27</v>
      </c>
      <c r="Z3563" s="4">
        <v>1</v>
      </c>
      <c r="AA3563" s="4">
        <v>3</v>
      </c>
      <c r="AB3563" s="4">
        <v>1</v>
      </c>
      <c r="AC3563" s="4">
        <v>3</v>
      </c>
      <c r="AD3563" s="4">
        <v>18</v>
      </c>
      <c r="AE3563" s="4">
        <v>19</v>
      </c>
      <c r="AF3563" s="4">
        <v>0</v>
      </c>
      <c r="AG3563" s="4">
        <v>1</v>
      </c>
      <c r="AH3563" s="4">
        <v>17</v>
      </c>
      <c r="AI3563" s="4">
        <v>17</v>
      </c>
      <c r="AJ3563" s="4">
        <v>0</v>
      </c>
      <c r="AK3563" s="4">
        <v>1</v>
      </c>
      <c r="AL3563" s="4">
        <v>12</v>
      </c>
      <c r="AM3563" s="4">
        <v>12</v>
      </c>
      <c r="AN3563" s="4">
        <v>0</v>
      </c>
      <c r="AO3563" s="4">
        <v>0</v>
      </c>
      <c r="AP3563" s="4">
        <v>0</v>
      </c>
      <c r="AQ3563" s="4">
        <v>0</v>
      </c>
      <c r="AR3563" s="3" t="s">
        <v>65</v>
      </c>
      <c r="AS3563" s="3" t="s">
        <v>65</v>
      </c>
      <c r="AT3563" s="3" t="s">
        <v>65</v>
      </c>
      <c r="AV3563" s="6" t="str">
        <f>HYPERLINK("http://mcgill.on.worldcat.org/oclc/894227886","Catalog Record")</f>
        <v>Catalog Record</v>
      </c>
      <c r="AW3563" s="6" t="str">
        <f>HYPERLINK("http://www.worldcat.org/oclc/894227886","WorldCat Record")</f>
        <v>WorldCat Record</v>
      </c>
      <c r="AX3563" s="3" t="s">
        <v>35489</v>
      </c>
      <c r="AY3563" s="3" t="s">
        <v>35490</v>
      </c>
      <c r="AZ3563" s="3" t="s">
        <v>35491</v>
      </c>
      <c r="BA3563" s="3" t="s">
        <v>35491</v>
      </c>
      <c r="BB3563" s="3" t="s">
        <v>35492</v>
      </c>
      <c r="BC3563" s="3" t="s">
        <v>77</v>
      </c>
      <c r="BD3563" s="3" t="s">
        <v>78</v>
      </c>
      <c r="BE3563" s="3" t="s">
        <v>35493</v>
      </c>
      <c r="BF3563" s="3" t="s">
        <v>35492</v>
      </c>
      <c r="BG3563" s="3" t="s">
        <v>35494</v>
      </c>
    </row>
    <row r="3564" spans="1:59" ht="72.5" x14ac:dyDescent="0.35">
      <c r="A3564" s="2" t="s">
        <v>59</v>
      </c>
      <c r="B3564" s="2" t="s">
        <v>60</v>
      </c>
      <c r="C3564" s="2" t="s">
        <v>35495</v>
      </c>
      <c r="D3564" s="2" t="s">
        <v>35496</v>
      </c>
      <c r="E3564" s="2" t="s">
        <v>35497</v>
      </c>
      <c r="G3564" s="3" t="s">
        <v>65</v>
      </c>
      <c r="I3564" s="3" t="s">
        <v>65</v>
      </c>
      <c r="J3564" s="3" t="s">
        <v>65</v>
      </c>
      <c r="K3564" s="3" t="s">
        <v>66</v>
      </c>
      <c r="L3564" s="2" t="s">
        <v>35498</v>
      </c>
      <c r="M3564" s="2" t="s">
        <v>16818</v>
      </c>
      <c r="N3564" s="3" t="s">
        <v>68</v>
      </c>
      <c r="P3564" s="3" t="s">
        <v>616</v>
      </c>
      <c r="Q3564" s="2" t="s">
        <v>35499</v>
      </c>
      <c r="R3564" s="3" t="s">
        <v>71</v>
      </c>
      <c r="S3564" s="4">
        <v>0</v>
      </c>
      <c r="T3564" s="4">
        <v>0</v>
      </c>
      <c r="W3564" s="5" t="s">
        <v>72</v>
      </c>
      <c r="X3564" s="5" t="s">
        <v>72</v>
      </c>
      <c r="Y3564" s="4">
        <v>38</v>
      </c>
      <c r="Z3564" s="4">
        <v>1</v>
      </c>
      <c r="AA3564" s="4">
        <v>1</v>
      </c>
      <c r="AB3564" s="4">
        <v>1</v>
      </c>
      <c r="AC3564" s="4">
        <v>1</v>
      </c>
      <c r="AD3564" s="4">
        <v>24</v>
      </c>
      <c r="AE3564" s="4">
        <v>24</v>
      </c>
      <c r="AF3564" s="4">
        <v>0</v>
      </c>
      <c r="AG3564" s="4">
        <v>0</v>
      </c>
      <c r="AH3564" s="4">
        <v>23</v>
      </c>
      <c r="AI3564" s="4">
        <v>23</v>
      </c>
      <c r="AJ3564" s="4">
        <v>0</v>
      </c>
      <c r="AK3564" s="4">
        <v>0</v>
      </c>
      <c r="AL3564" s="4">
        <v>18</v>
      </c>
      <c r="AM3564" s="4">
        <v>18</v>
      </c>
      <c r="AN3564" s="4">
        <v>0</v>
      </c>
      <c r="AO3564" s="4">
        <v>0</v>
      </c>
      <c r="AP3564" s="4">
        <v>0</v>
      </c>
      <c r="AQ3564" s="4">
        <v>0</v>
      </c>
      <c r="AR3564" s="3" t="s">
        <v>65</v>
      </c>
      <c r="AS3564" s="3" t="s">
        <v>65</v>
      </c>
      <c r="AT3564" s="3" t="s">
        <v>65</v>
      </c>
      <c r="AV3564" s="6" t="str">
        <f>HYPERLINK("http://mcgill.on.worldcat.org/oclc/962269677","Catalog Record")</f>
        <v>Catalog Record</v>
      </c>
      <c r="AW3564" s="6" t="str">
        <f>HYPERLINK("http://www.worldcat.org/oclc/962269677","WorldCat Record")</f>
        <v>WorldCat Record</v>
      </c>
      <c r="AX3564" s="3" t="s">
        <v>35500</v>
      </c>
      <c r="AY3564" s="3" t="s">
        <v>35501</v>
      </c>
      <c r="AZ3564" s="3" t="s">
        <v>35502</v>
      </c>
      <c r="BA3564" s="3" t="s">
        <v>35502</v>
      </c>
      <c r="BB3564" s="3" t="s">
        <v>35503</v>
      </c>
      <c r="BC3564" s="3" t="s">
        <v>77</v>
      </c>
      <c r="BD3564" s="3" t="s">
        <v>78</v>
      </c>
      <c r="BE3564" s="3" t="s">
        <v>35504</v>
      </c>
      <c r="BF3564" s="3" t="s">
        <v>35503</v>
      </c>
      <c r="BG3564" s="3" t="s">
        <v>35505</v>
      </c>
    </row>
    <row r="3565" spans="1:59" ht="58" x14ac:dyDescent="0.35">
      <c r="A3565" s="2" t="s">
        <v>59</v>
      </c>
      <c r="B3565" s="2" t="s">
        <v>60</v>
      </c>
      <c r="C3565" s="2" t="s">
        <v>35506</v>
      </c>
      <c r="D3565" s="2" t="s">
        <v>35507</v>
      </c>
      <c r="E3565" s="2" t="s">
        <v>35508</v>
      </c>
      <c r="G3565" s="3" t="s">
        <v>65</v>
      </c>
      <c r="I3565" s="3" t="s">
        <v>65</v>
      </c>
      <c r="J3565" s="3" t="s">
        <v>65</v>
      </c>
      <c r="K3565" s="3" t="s">
        <v>66</v>
      </c>
      <c r="L3565" s="2" t="s">
        <v>35509</v>
      </c>
      <c r="M3565" s="2" t="s">
        <v>35510</v>
      </c>
      <c r="N3565" s="3" t="s">
        <v>7187</v>
      </c>
      <c r="P3565" s="3" t="s">
        <v>140</v>
      </c>
      <c r="Q3565" s="2" t="s">
        <v>35511</v>
      </c>
      <c r="R3565" s="3" t="s">
        <v>71</v>
      </c>
      <c r="S3565" s="4">
        <v>2</v>
      </c>
      <c r="T3565" s="4">
        <v>2</v>
      </c>
      <c r="U3565" s="5" t="s">
        <v>25755</v>
      </c>
      <c r="V3565" s="5" t="s">
        <v>25755</v>
      </c>
      <c r="W3565" s="5" t="s">
        <v>72</v>
      </c>
      <c r="X3565" s="5" t="s">
        <v>72</v>
      </c>
      <c r="Y3565" s="4">
        <v>15</v>
      </c>
      <c r="Z3565" s="4">
        <v>1</v>
      </c>
      <c r="AA3565" s="4">
        <v>1</v>
      </c>
      <c r="AB3565" s="4">
        <v>1</v>
      </c>
      <c r="AC3565" s="4">
        <v>1</v>
      </c>
      <c r="AD3565" s="4">
        <v>11</v>
      </c>
      <c r="AE3565" s="4">
        <v>11</v>
      </c>
      <c r="AF3565" s="4">
        <v>0</v>
      </c>
      <c r="AG3565" s="4">
        <v>0</v>
      </c>
      <c r="AH3565" s="4">
        <v>11</v>
      </c>
      <c r="AI3565" s="4">
        <v>11</v>
      </c>
      <c r="AJ3565" s="4">
        <v>0</v>
      </c>
      <c r="AK3565" s="4">
        <v>0</v>
      </c>
      <c r="AL3565" s="4">
        <v>8</v>
      </c>
      <c r="AM3565" s="4">
        <v>8</v>
      </c>
      <c r="AN3565" s="4">
        <v>0</v>
      </c>
      <c r="AO3565" s="4">
        <v>0</v>
      </c>
      <c r="AP3565" s="4">
        <v>0</v>
      </c>
      <c r="AQ3565" s="4">
        <v>0</v>
      </c>
      <c r="AR3565" s="3" t="s">
        <v>65</v>
      </c>
      <c r="AS3565" s="3" t="s">
        <v>65</v>
      </c>
      <c r="AT3565" s="3" t="s">
        <v>65</v>
      </c>
      <c r="AV3565" s="6" t="str">
        <f>HYPERLINK("http://mcgill.on.worldcat.org/oclc/5098415","Catalog Record")</f>
        <v>Catalog Record</v>
      </c>
      <c r="AW3565" s="6" t="str">
        <f>HYPERLINK("http://www.worldcat.org/oclc/5098415","WorldCat Record")</f>
        <v>WorldCat Record</v>
      </c>
      <c r="AX3565" s="3" t="s">
        <v>35512</v>
      </c>
      <c r="AY3565" s="3" t="s">
        <v>35513</v>
      </c>
      <c r="AZ3565" s="3" t="s">
        <v>35514</v>
      </c>
      <c r="BA3565" s="3" t="s">
        <v>35514</v>
      </c>
      <c r="BB3565" s="3" t="s">
        <v>35515</v>
      </c>
      <c r="BC3565" s="3" t="s">
        <v>77</v>
      </c>
      <c r="BD3565" s="3" t="s">
        <v>78</v>
      </c>
      <c r="BF3565" s="3" t="s">
        <v>35515</v>
      </c>
      <c r="BG3565" s="3" t="s">
        <v>35516</v>
      </c>
    </row>
    <row r="3566" spans="1:59" ht="72.5" x14ac:dyDescent="0.35">
      <c r="A3566" s="2" t="s">
        <v>59</v>
      </c>
      <c r="B3566" s="2" t="s">
        <v>60</v>
      </c>
      <c r="C3566" s="2" t="s">
        <v>35517</v>
      </c>
      <c r="D3566" s="2" t="s">
        <v>35518</v>
      </c>
      <c r="E3566" s="2" t="s">
        <v>35519</v>
      </c>
      <c r="G3566" s="3" t="s">
        <v>65</v>
      </c>
      <c r="I3566" s="3" t="s">
        <v>65</v>
      </c>
      <c r="J3566" s="3" t="s">
        <v>65</v>
      </c>
      <c r="K3566" s="3" t="s">
        <v>66</v>
      </c>
      <c r="L3566" s="2" t="s">
        <v>35520</v>
      </c>
      <c r="M3566" s="2" t="s">
        <v>35521</v>
      </c>
      <c r="N3566" s="3" t="s">
        <v>139</v>
      </c>
      <c r="P3566" s="3" t="s">
        <v>69</v>
      </c>
      <c r="R3566" s="3" t="s">
        <v>71</v>
      </c>
      <c r="S3566" s="4">
        <v>2</v>
      </c>
      <c r="T3566" s="4">
        <v>2</v>
      </c>
      <c r="U3566" s="5" t="s">
        <v>35522</v>
      </c>
      <c r="V3566" s="5" t="s">
        <v>35522</v>
      </c>
      <c r="W3566" s="5" t="s">
        <v>72</v>
      </c>
      <c r="X3566" s="5" t="s">
        <v>72</v>
      </c>
      <c r="Y3566" s="4">
        <v>191</v>
      </c>
      <c r="Z3566" s="4">
        <v>15</v>
      </c>
      <c r="AA3566" s="4">
        <v>17</v>
      </c>
      <c r="AB3566" s="4">
        <v>4</v>
      </c>
      <c r="AC3566" s="4">
        <v>6</v>
      </c>
      <c r="AD3566" s="4">
        <v>36</v>
      </c>
      <c r="AE3566" s="4">
        <v>36</v>
      </c>
      <c r="AF3566" s="4">
        <v>0</v>
      </c>
      <c r="AG3566" s="4">
        <v>0</v>
      </c>
      <c r="AH3566" s="4">
        <v>33</v>
      </c>
      <c r="AI3566" s="4">
        <v>33</v>
      </c>
      <c r="AJ3566" s="4">
        <v>7</v>
      </c>
      <c r="AK3566" s="4">
        <v>7</v>
      </c>
      <c r="AL3566" s="4">
        <v>19</v>
      </c>
      <c r="AM3566" s="4">
        <v>19</v>
      </c>
      <c r="AN3566" s="4">
        <v>0</v>
      </c>
      <c r="AO3566" s="4">
        <v>0</v>
      </c>
      <c r="AP3566" s="4">
        <v>7</v>
      </c>
      <c r="AQ3566" s="4">
        <v>7</v>
      </c>
      <c r="AR3566" s="3" t="s">
        <v>65</v>
      </c>
      <c r="AS3566" s="3" t="s">
        <v>65</v>
      </c>
      <c r="AT3566" s="3" t="s">
        <v>65</v>
      </c>
      <c r="AV3566" s="6" t="str">
        <f>HYPERLINK("http://mcgill.on.worldcat.org/oclc/744291822","Catalog Record")</f>
        <v>Catalog Record</v>
      </c>
      <c r="AW3566" s="6" t="str">
        <f>HYPERLINK("http://www.worldcat.org/oclc/744291822","WorldCat Record")</f>
        <v>WorldCat Record</v>
      </c>
      <c r="AX3566" s="3" t="s">
        <v>35523</v>
      </c>
      <c r="AY3566" s="3" t="s">
        <v>35524</v>
      </c>
      <c r="AZ3566" s="3" t="s">
        <v>35525</v>
      </c>
      <c r="BA3566" s="3" t="s">
        <v>35525</v>
      </c>
      <c r="BB3566" s="3" t="s">
        <v>35526</v>
      </c>
      <c r="BC3566" s="3" t="s">
        <v>77</v>
      </c>
      <c r="BD3566" s="3" t="s">
        <v>78</v>
      </c>
      <c r="BE3566" s="3" t="s">
        <v>35527</v>
      </c>
      <c r="BF3566" s="3" t="s">
        <v>35526</v>
      </c>
      <c r="BG3566" s="3" t="s">
        <v>35528</v>
      </c>
    </row>
    <row r="3567" spans="1:59" ht="58" x14ac:dyDescent="0.35">
      <c r="A3567" s="2" t="s">
        <v>59</v>
      </c>
      <c r="B3567" s="2" t="s">
        <v>60</v>
      </c>
      <c r="C3567" s="2" t="s">
        <v>35529</v>
      </c>
      <c r="D3567" s="2" t="s">
        <v>35530</v>
      </c>
      <c r="E3567" s="2" t="s">
        <v>35531</v>
      </c>
      <c r="G3567" s="3" t="s">
        <v>65</v>
      </c>
      <c r="I3567" s="3" t="s">
        <v>65</v>
      </c>
      <c r="J3567" s="3" t="s">
        <v>65</v>
      </c>
      <c r="K3567" s="3" t="s">
        <v>66</v>
      </c>
      <c r="L3567" s="2" t="s">
        <v>35532</v>
      </c>
      <c r="M3567" s="2" t="s">
        <v>35533</v>
      </c>
      <c r="N3567" s="3" t="s">
        <v>955</v>
      </c>
      <c r="P3567" s="3" t="s">
        <v>140</v>
      </c>
      <c r="R3567" s="3" t="s">
        <v>71</v>
      </c>
      <c r="S3567" s="4">
        <v>1</v>
      </c>
      <c r="T3567" s="4">
        <v>1</v>
      </c>
      <c r="U3567" s="5" t="s">
        <v>35534</v>
      </c>
      <c r="V3567" s="5" t="s">
        <v>35534</v>
      </c>
      <c r="W3567" s="5" t="s">
        <v>72</v>
      </c>
      <c r="X3567" s="5" t="s">
        <v>72</v>
      </c>
      <c r="Y3567" s="4">
        <v>11</v>
      </c>
      <c r="Z3567" s="4">
        <v>3</v>
      </c>
      <c r="AA3567" s="4">
        <v>3</v>
      </c>
      <c r="AB3567" s="4">
        <v>1</v>
      </c>
      <c r="AC3567" s="4">
        <v>1</v>
      </c>
      <c r="AD3567" s="4">
        <v>5</v>
      </c>
      <c r="AE3567" s="4">
        <v>5</v>
      </c>
      <c r="AF3567" s="4">
        <v>0</v>
      </c>
      <c r="AG3567" s="4">
        <v>0</v>
      </c>
      <c r="AH3567" s="4">
        <v>5</v>
      </c>
      <c r="AI3567" s="4">
        <v>5</v>
      </c>
      <c r="AJ3567" s="4">
        <v>1</v>
      </c>
      <c r="AK3567" s="4">
        <v>1</v>
      </c>
      <c r="AL3567" s="4">
        <v>3</v>
      </c>
      <c r="AM3567" s="4">
        <v>3</v>
      </c>
      <c r="AN3567" s="4">
        <v>0</v>
      </c>
      <c r="AO3567" s="4">
        <v>0</v>
      </c>
      <c r="AP3567" s="4">
        <v>1</v>
      </c>
      <c r="AQ3567" s="4">
        <v>1</v>
      </c>
      <c r="AR3567" s="3" t="s">
        <v>65</v>
      </c>
      <c r="AS3567" s="3" t="s">
        <v>65</v>
      </c>
      <c r="AT3567" s="3" t="s">
        <v>65</v>
      </c>
      <c r="AV3567" s="6" t="str">
        <f>HYPERLINK("http://mcgill.on.worldcat.org/oclc/7312582","Catalog Record")</f>
        <v>Catalog Record</v>
      </c>
      <c r="AW3567" s="6" t="str">
        <f>HYPERLINK("http://www.worldcat.org/oclc/7312582","WorldCat Record")</f>
        <v>WorldCat Record</v>
      </c>
      <c r="AX3567" s="3" t="s">
        <v>35535</v>
      </c>
      <c r="AY3567" s="3" t="s">
        <v>35536</v>
      </c>
      <c r="AZ3567" s="3" t="s">
        <v>35537</v>
      </c>
      <c r="BA3567" s="3" t="s">
        <v>35537</v>
      </c>
      <c r="BB3567" s="3" t="s">
        <v>35538</v>
      </c>
      <c r="BC3567" s="3" t="s">
        <v>77</v>
      </c>
      <c r="BD3567" s="3" t="s">
        <v>78</v>
      </c>
      <c r="BF3567" s="3" t="s">
        <v>35538</v>
      </c>
      <c r="BG3567" s="3" t="s">
        <v>35539</v>
      </c>
    </row>
    <row r="3568" spans="1:59" ht="58" x14ac:dyDescent="0.35">
      <c r="A3568" s="2" t="s">
        <v>59</v>
      </c>
      <c r="B3568" s="2" t="s">
        <v>60</v>
      </c>
      <c r="C3568" s="2" t="s">
        <v>35540</v>
      </c>
      <c r="D3568" s="2" t="s">
        <v>35541</v>
      </c>
      <c r="E3568" s="2" t="s">
        <v>35542</v>
      </c>
      <c r="G3568" s="3" t="s">
        <v>65</v>
      </c>
      <c r="I3568" s="3" t="s">
        <v>65</v>
      </c>
      <c r="J3568" s="3" t="s">
        <v>65</v>
      </c>
      <c r="K3568" s="3" t="s">
        <v>66</v>
      </c>
      <c r="L3568" s="2" t="s">
        <v>32507</v>
      </c>
      <c r="M3568" s="2" t="s">
        <v>35543</v>
      </c>
      <c r="N3568" s="3" t="s">
        <v>615</v>
      </c>
      <c r="P3568" s="3" t="s">
        <v>140</v>
      </c>
      <c r="Q3568" s="2" t="s">
        <v>35544</v>
      </c>
      <c r="R3568" s="3" t="s">
        <v>71</v>
      </c>
      <c r="S3568" s="4">
        <v>1</v>
      </c>
      <c r="T3568" s="4">
        <v>1</v>
      </c>
      <c r="U3568" s="5" t="s">
        <v>7003</v>
      </c>
      <c r="V3568" s="5" t="s">
        <v>7003</v>
      </c>
      <c r="W3568" s="5" t="s">
        <v>72</v>
      </c>
      <c r="X3568" s="5" t="s">
        <v>72</v>
      </c>
      <c r="Y3568" s="4">
        <v>37</v>
      </c>
      <c r="Z3568" s="4">
        <v>3</v>
      </c>
      <c r="AA3568" s="4">
        <v>5</v>
      </c>
      <c r="AB3568" s="4">
        <v>2</v>
      </c>
      <c r="AC3568" s="4">
        <v>2</v>
      </c>
      <c r="AD3568" s="4">
        <v>23</v>
      </c>
      <c r="AE3568" s="4">
        <v>34</v>
      </c>
      <c r="AF3568" s="4">
        <v>0</v>
      </c>
      <c r="AG3568" s="4">
        <v>0</v>
      </c>
      <c r="AH3568" s="4">
        <v>21</v>
      </c>
      <c r="AI3568" s="4">
        <v>32</v>
      </c>
      <c r="AJ3568" s="4">
        <v>1</v>
      </c>
      <c r="AK3568" s="4">
        <v>2</v>
      </c>
      <c r="AL3568" s="4">
        <v>20</v>
      </c>
      <c r="AM3568" s="4">
        <v>29</v>
      </c>
      <c r="AN3568" s="4">
        <v>0</v>
      </c>
      <c r="AO3568" s="4">
        <v>0</v>
      </c>
      <c r="AP3568" s="4">
        <v>1</v>
      </c>
      <c r="AQ3568" s="4">
        <v>2</v>
      </c>
      <c r="AR3568" s="3" t="s">
        <v>65</v>
      </c>
      <c r="AS3568" s="3" t="s">
        <v>65</v>
      </c>
      <c r="AT3568" s="3" t="s">
        <v>209</v>
      </c>
      <c r="AU3568" s="6" t="str">
        <f>HYPERLINK("http://catalog.hathitrust.org/Record/000812213","HathiTrust Record")</f>
        <v>HathiTrust Record</v>
      </c>
      <c r="AV3568" s="6" t="str">
        <f>HYPERLINK("http://mcgill.on.worldcat.org/oclc/15318049","Catalog Record")</f>
        <v>Catalog Record</v>
      </c>
      <c r="AW3568" s="6" t="str">
        <f>HYPERLINK("http://www.worldcat.org/oclc/15318049","WorldCat Record")</f>
        <v>WorldCat Record</v>
      </c>
      <c r="AX3568" s="3" t="s">
        <v>35545</v>
      </c>
      <c r="AY3568" s="3" t="s">
        <v>35546</v>
      </c>
      <c r="AZ3568" s="3" t="s">
        <v>35547</v>
      </c>
      <c r="BA3568" s="3" t="s">
        <v>35547</v>
      </c>
      <c r="BB3568" s="3" t="s">
        <v>35548</v>
      </c>
      <c r="BC3568" s="3" t="s">
        <v>77</v>
      </c>
      <c r="BD3568" s="3" t="s">
        <v>78</v>
      </c>
      <c r="BF3568" s="3" t="s">
        <v>35548</v>
      </c>
      <c r="BG3568" s="3" t="s">
        <v>35549</v>
      </c>
    </row>
    <row r="3569" spans="1:59" ht="58" x14ac:dyDescent="0.35">
      <c r="A3569" s="2" t="s">
        <v>59</v>
      </c>
      <c r="B3569" s="2" t="s">
        <v>60</v>
      </c>
      <c r="C3569" s="2" t="s">
        <v>35550</v>
      </c>
      <c r="D3569" s="2" t="s">
        <v>35551</v>
      </c>
      <c r="E3569" s="2" t="s">
        <v>35552</v>
      </c>
      <c r="G3569" s="3" t="s">
        <v>65</v>
      </c>
      <c r="I3569" s="3" t="s">
        <v>65</v>
      </c>
      <c r="J3569" s="3" t="s">
        <v>65</v>
      </c>
      <c r="K3569" s="3" t="s">
        <v>66</v>
      </c>
      <c r="L3569" s="2" t="s">
        <v>35553</v>
      </c>
      <c r="M3569" s="2" t="s">
        <v>35554</v>
      </c>
      <c r="N3569" s="3" t="s">
        <v>188</v>
      </c>
      <c r="O3569" s="2" t="s">
        <v>235</v>
      </c>
      <c r="P3569" s="3" t="s">
        <v>140</v>
      </c>
      <c r="Q3569" s="2" t="s">
        <v>35555</v>
      </c>
      <c r="R3569" s="3" t="s">
        <v>71</v>
      </c>
      <c r="S3569" s="4">
        <v>0</v>
      </c>
      <c r="T3569" s="4">
        <v>0</v>
      </c>
      <c r="W3569" s="5" t="s">
        <v>72</v>
      </c>
      <c r="X3569" s="5" t="s">
        <v>72</v>
      </c>
      <c r="Y3569" s="4">
        <v>44</v>
      </c>
      <c r="Z3569" s="4">
        <v>1</v>
      </c>
      <c r="AA3569" s="4">
        <v>1</v>
      </c>
      <c r="AB3569" s="4">
        <v>1</v>
      </c>
      <c r="AC3569" s="4">
        <v>1</v>
      </c>
      <c r="AD3569" s="4">
        <v>29</v>
      </c>
      <c r="AE3569" s="4">
        <v>29</v>
      </c>
      <c r="AF3569" s="4">
        <v>0</v>
      </c>
      <c r="AG3569" s="4">
        <v>0</v>
      </c>
      <c r="AH3569" s="4">
        <v>29</v>
      </c>
      <c r="AI3569" s="4">
        <v>29</v>
      </c>
      <c r="AJ3569" s="4">
        <v>0</v>
      </c>
      <c r="AK3569" s="4">
        <v>0</v>
      </c>
      <c r="AL3569" s="4">
        <v>22</v>
      </c>
      <c r="AM3569" s="4">
        <v>22</v>
      </c>
      <c r="AN3569" s="4">
        <v>0</v>
      </c>
      <c r="AO3569" s="4">
        <v>0</v>
      </c>
      <c r="AP3569" s="4">
        <v>0</v>
      </c>
      <c r="AQ3569" s="4">
        <v>0</v>
      </c>
      <c r="AR3569" s="3" t="s">
        <v>65</v>
      </c>
      <c r="AS3569" s="3" t="s">
        <v>65</v>
      </c>
      <c r="AT3569" s="3" t="s">
        <v>65</v>
      </c>
      <c r="AV3569" s="6" t="str">
        <f>HYPERLINK("http://mcgill.on.worldcat.org/oclc/1006424359","Catalog Record")</f>
        <v>Catalog Record</v>
      </c>
      <c r="AW3569" s="6" t="str">
        <f>HYPERLINK("http://www.worldcat.org/oclc/1006424359","WorldCat Record")</f>
        <v>WorldCat Record</v>
      </c>
      <c r="AX3569" s="3" t="s">
        <v>35556</v>
      </c>
      <c r="AY3569" s="3" t="s">
        <v>35557</v>
      </c>
      <c r="AZ3569" s="3" t="s">
        <v>35558</v>
      </c>
      <c r="BA3569" s="3" t="s">
        <v>35558</v>
      </c>
      <c r="BB3569" s="3" t="s">
        <v>35559</v>
      </c>
      <c r="BC3569" s="3" t="s">
        <v>77</v>
      </c>
      <c r="BD3569" s="3" t="s">
        <v>78</v>
      </c>
      <c r="BE3569" s="3" t="s">
        <v>35560</v>
      </c>
      <c r="BF3569" s="3" t="s">
        <v>35559</v>
      </c>
      <c r="BG3569" s="3" t="s">
        <v>35561</v>
      </c>
    </row>
    <row r="3570" spans="1:59" ht="58" x14ac:dyDescent="0.35">
      <c r="A3570" s="2" t="s">
        <v>59</v>
      </c>
      <c r="B3570" s="2" t="s">
        <v>60</v>
      </c>
      <c r="C3570" s="2" t="s">
        <v>35562</v>
      </c>
      <c r="D3570" s="2" t="s">
        <v>35563</v>
      </c>
      <c r="E3570" s="2" t="s">
        <v>35564</v>
      </c>
      <c r="G3570" s="3" t="s">
        <v>65</v>
      </c>
      <c r="I3570" s="3" t="s">
        <v>65</v>
      </c>
      <c r="J3570" s="3" t="s">
        <v>65</v>
      </c>
      <c r="K3570" s="3" t="s">
        <v>66</v>
      </c>
      <c r="L3570" s="2" t="s">
        <v>35553</v>
      </c>
      <c r="M3570" s="2" t="s">
        <v>27465</v>
      </c>
      <c r="N3570" s="3" t="s">
        <v>176</v>
      </c>
      <c r="O3570" s="2" t="s">
        <v>27466</v>
      </c>
      <c r="P3570" s="3" t="s">
        <v>140</v>
      </c>
      <c r="Q3570" s="2" t="s">
        <v>33472</v>
      </c>
      <c r="R3570" s="3" t="s">
        <v>71</v>
      </c>
      <c r="S3570" s="4">
        <v>0</v>
      </c>
      <c r="T3570" s="4">
        <v>0</v>
      </c>
      <c r="W3570" s="5" t="s">
        <v>72</v>
      </c>
      <c r="X3570" s="5" t="s">
        <v>72</v>
      </c>
      <c r="Y3570" s="4">
        <v>52</v>
      </c>
      <c r="Z3570" s="4">
        <v>3</v>
      </c>
      <c r="AA3570" s="4">
        <v>3</v>
      </c>
      <c r="AB3570" s="4">
        <v>1</v>
      </c>
      <c r="AC3570" s="4">
        <v>1</v>
      </c>
      <c r="AD3570" s="4">
        <v>36</v>
      </c>
      <c r="AE3570" s="4">
        <v>36</v>
      </c>
      <c r="AF3570" s="4">
        <v>0</v>
      </c>
      <c r="AG3570" s="4">
        <v>0</v>
      </c>
      <c r="AH3570" s="4">
        <v>35</v>
      </c>
      <c r="AI3570" s="4">
        <v>35</v>
      </c>
      <c r="AJ3570" s="4">
        <v>1</v>
      </c>
      <c r="AK3570" s="4">
        <v>1</v>
      </c>
      <c r="AL3570" s="4">
        <v>28</v>
      </c>
      <c r="AM3570" s="4">
        <v>28</v>
      </c>
      <c r="AN3570" s="4">
        <v>0</v>
      </c>
      <c r="AO3570" s="4">
        <v>0</v>
      </c>
      <c r="AP3570" s="4">
        <v>1</v>
      </c>
      <c r="AQ3570" s="4">
        <v>1</v>
      </c>
      <c r="AR3570" s="3" t="s">
        <v>65</v>
      </c>
      <c r="AS3570" s="3" t="s">
        <v>65</v>
      </c>
      <c r="AT3570" s="3" t="s">
        <v>65</v>
      </c>
      <c r="AV3570" s="6" t="str">
        <f>HYPERLINK("http://mcgill.on.worldcat.org/oclc/926733476","Catalog Record")</f>
        <v>Catalog Record</v>
      </c>
      <c r="AW3570" s="6" t="str">
        <f>HYPERLINK("http://www.worldcat.org/oclc/926733476","WorldCat Record")</f>
        <v>WorldCat Record</v>
      </c>
      <c r="AX3570" s="3" t="s">
        <v>35565</v>
      </c>
      <c r="AY3570" s="3" t="s">
        <v>35566</v>
      </c>
      <c r="AZ3570" s="3" t="s">
        <v>35567</v>
      </c>
      <c r="BA3570" s="3" t="s">
        <v>35567</v>
      </c>
      <c r="BB3570" s="3" t="s">
        <v>35568</v>
      </c>
      <c r="BC3570" s="3" t="s">
        <v>77</v>
      </c>
      <c r="BD3570" s="3" t="s">
        <v>78</v>
      </c>
      <c r="BE3570" s="3" t="s">
        <v>35569</v>
      </c>
      <c r="BF3570" s="3" t="s">
        <v>35568</v>
      </c>
      <c r="BG3570" s="3" t="s">
        <v>35570</v>
      </c>
    </row>
    <row r="3571" spans="1:59" ht="58" x14ac:dyDescent="0.35">
      <c r="A3571" s="2" t="s">
        <v>59</v>
      </c>
      <c r="B3571" s="2" t="s">
        <v>60</v>
      </c>
      <c r="C3571" s="2" t="s">
        <v>35571</v>
      </c>
      <c r="D3571" s="2" t="s">
        <v>35572</v>
      </c>
      <c r="E3571" s="2" t="s">
        <v>35573</v>
      </c>
      <c r="G3571" s="3" t="s">
        <v>65</v>
      </c>
      <c r="I3571" s="3" t="s">
        <v>65</v>
      </c>
      <c r="J3571" s="3" t="s">
        <v>65</v>
      </c>
      <c r="K3571" s="3" t="s">
        <v>66</v>
      </c>
      <c r="L3571" s="2" t="s">
        <v>35574</v>
      </c>
      <c r="M3571" s="2" t="s">
        <v>35575</v>
      </c>
      <c r="N3571" s="3" t="s">
        <v>113</v>
      </c>
      <c r="P3571" s="3" t="s">
        <v>69</v>
      </c>
      <c r="R3571" s="3" t="s">
        <v>71</v>
      </c>
      <c r="S3571" s="4">
        <v>0</v>
      </c>
      <c r="T3571" s="4">
        <v>0</v>
      </c>
      <c r="W3571" s="5" t="s">
        <v>72</v>
      </c>
      <c r="X3571" s="5" t="s">
        <v>72</v>
      </c>
      <c r="Y3571" s="4">
        <v>30</v>
      </c>
      <c r="Z3571" s="4">
        <v>3</v>
      </c>
      <c r="AA3571" s="4">
        <v>3</v>
      </c>
      <c r="AB3571" s="4">
        <v>1</v>
      </c>
      <c r="AC3571" s="4">
        <v>1</v>
      </c>
      <c r="AD3571" s="4">
        <v>22</v>
      </c>
      <c r="AE3571" s="4">
        <v>22</v>
      </c>
      <c r="AF3571" s="4">
        <v>0</v>
      </c>
      <c r="AG3571" s="4">
        <v>0</v>
      </c>
      <c r="AH3571" s="4">
        <v>21</v>
      </c>
      <c r="AI3571" s="4">
        <v>21</v>
      </c>
      <c r="AJ3571" s="4">
        <v>2</v>
      </c>
      <c r="AK3571" s="4">
        <v>2</v>
      </c>
      <c r="AL3571" s="4">
        <v>19</v>
      </c>
      <c r="AM3571" s="4">
        <v>19</v>
      </c>
      <c r="AN3571" s="4">
        <v>0</v>
      </c>
      <c r="AO3571" s="4">
        <v>0</v>
      </c>
      <c r="AP3571" s="4">
        <v>2</v>
      </c>
      <c r="AQ3571" s="4">
        <v>2</v>
      </c>
      <c r="AR3571" s="3" t="s">
        <v>65</v>
      </c>
      <c r="AS3571" s="3" t="s">
        <v>65</v>
      </c>
      <c r="AT3571" s="3" t="s">
        <v>65</v>
      </c>
      <c r="AV3571" s="6" t="str">
        <f>HYPERLINK("http://mcgill.on.worldcat.org/oclc/669265105","Catalog Record")</f>
        <v>Catalog Record</v>
      </c>
      <c r="AW3571" s="6" t="str">
        <f>HYPERLINK("http://www.worldcat.org/oclc/669265105","WorldCat Record")</f>
        <v>WorldCat Record</v>
      </c>
      <c r="AX3571" s="3" t="s">
        <v>35576</v>
      </c>
      <c r="AY3571" s="3" t="s">
        <v>35577</v>
      </c>
      <c r="AZ3571" s="3" t="s">
        <v>35578</v>
      </c>
      <c r="BA3571" s="3" t="s">
        <v>35578</v>
      </c>
      <c r="BB3571" s="3" t="s">
        <v>35579</v>
      </c>
      <c r="BC3571" s="3" t="s">
        <v>77</v>
      </c>
      <c r="BD3571" s="3" t="s">
        <v>78</v>
      </c>
      <c r="BE3571" s="3" t="s">
        <v>35580</v>
      </c>
      <c r="BF3571" s="3" t="s">
        <v>35579</v>
      </c>
      <c r="BG3571" s="3" t="s">
        <v>35581</v>
      </c>
    </row>
    <row r="3572" spans="1:59" ht="58" x14ac:dyDescent="0.35">
      <c r="A3572" s="2" t="s">
        <v>59</v>
      </c>
      <c r="B3572" s="2" t="s">
        <v>60</v>
      </c>
      <c r="C3572" s="2" t="s">
        <v>35582</v>
      </c>
      <c r="D3572" s="2" t="s">
        <v>35583</v>
      </c>
      <c r="E3572" s="2" t="s">
        <v>35584</v>
      </c>
      <c r="G3572" s="3" t="s">
        <v>65</v>
      </c>
      <c r="I3572" s="3" t="s">
        <v>65</v>
      </c>
      <c r="J3572" s="3" t="s">
        <v>65</v>
      </c>
      <c r="K3572" s="3" t="s">
        <v>66</v>
      </c>
      <c r="L3572" s="2" t="s">
        <v>35585</v>
      </c>
      <c r="M3572" s="2" t="s">
        <v>35586</v>
      </c>
      <c r="N3572" s="3" t="s">
        <v>176</v>
      </c>
      <c r="P3572" s="3" t="s">
        <v>140</v>
      </c>
      <c r="R3572" s="3" t="s">
        <v>71</v>
      </c>
      <c r="S3572" s="4">
        <v>0</v>
      </c>
      <c r="T3572" s="4">
        <v>0</v>
      </c>
      <c r="W3572" s="5" t="s">
        <v>72</v>
      </c>
      <c r="X3572" s="5" t="s">
        <v>72</v>
      </c>
      <c r="Y3572" s="4">
        <v>31</v>
      </c>
      <c r="Z3572" s="4">
        <v>4</v>
      </c>
      <c r="AA3572" s="4">
        <v>4</v>
      </c>
      <c r="AB3572" s="4">
        <v>1</v>
      </c>
      <c r="AC3572" s="4">
        <v>1</v>
      </c>
      <c r="AD3572" s="4">
        <v>22</v>
      </c>
      <c r="AE3572" s="4">
        <v>22</v>
      </c>
      <c r="AF3572" s="4">
        <v>0</v>
      </c>
      <c r="AG3572" s="4">
        <v>0</v>
      </c>
      <c r="AH3572" s="4">
        <v>21</v>
      </c>
      <c r="AI3572" s="4">
        <v>21</v>
      </c>
      <c r="AJ3572" s="4">
        <v>2</v>
      </c>
      <c r="AK3572" s="4">
        <v>2</v>
      </c>
      <c r="AL3572" s="4">
        <v>16</v>
      </c>
      <c r="AM3572" s="4">
        <v>16</v>
      </c>
      <c r="AN3572" s="4">
        <v>0</v>
      </c>
      <c r="AO3572" s="4">
        <v>0</v>
      </c>
      <c r="AP3572" s="4">
        <v>2</v>
      </c>
      <c r="AQ3572" s="4">
        <v>2</v>
      </c>
      <c r="AR3572" s="3" t="s">
        <v>65</v>
      </c>
      <c r="AS3572" s="3" t="s">
        <v>65</v>
      </c>
      <c r="AT3572" s="3" t="s">
        <v>65</v>
      </c>
      <c r="AV3572" s="6" t="str">
        <f>HYPERLINK("http://mcgill.on.worldcat.org/oclc/908688098","Catalog Record")</f>
        <v>Catalog Record</v>
      </c>
      <c r="AW3572" s="6" t="str">
        <f>HYPERLINK("http://www.worldcat.org/oclc/908688098","WorldCat Record")</f>
        <v>WorldCat Record</v>
      </c>
      <c r="AX3572" s="3" t="s">
        <v>35587</v>
      </c>
      <c r="AY3572" s="3" t="s">
        <v>35588</v>
      </c>
      <c r="AZ3572" s="3" t="s">
        <v>35589</v>
      </c>
      <c r="BA3572" s="3" t="s">
        <v>35589</v>
      </c>
      <c r="BB3572" s="3" t="s">
        <v>35590</v>
      </c>
      <c r="BC3572" s="3" t="s">
        <v>77</v>
      </c>
      <c r="BD3572" s="3" t="s">
        <v>78</v>
      </c>
      <c r="BE3572" s="3" t="s">
        <v>35591</v>
      </c>
      <c r="BF3572" s="3" t="s">
        <v>35590</v>
      </c>
      <c r="BG3572" s="3" t="s">
        <v>35592</v>
      </c>
    </row>
    <row r="3573" spans="1:59" ht="58" x14ac:dyDescent="0.35">
      <c r="A3573" s="2" t="s">
        <v>59</v>
      </c>
      <c r="B3573" s="2" t="s">
        <v>60</v>
      </c>
      <c r="C3573" s="2" t="s">
        <v>35593</v>
      </c>
      <c r="D3573" s="2" t="s">
        <v>35594</v>
      </c>
      <c r="E3573" s="2" t="s">
        <v>35595</v>
      </c>
      <c r="G3573" s="3" t="s">
        <v>65</v>
      </c>
      <c r="I3573" s="3" t="s">
        <v>65</v>
      </c>
      <c r="J3573" s="3" t="s">
        <v>65</v>
      </c>
      <c r="K3573" s="3" t="s">
        <v>66</v>
      </c>
      <c r="L3573" s="2" t="s">
        <v>35574</v>
      </c>
      <c r="M3573" s="2" t="s">
        <v>35596</v>
      </c>
      <c r="N3573" s="3" t="s">
        <v>126</v>
      </c>
      <c r="P3573" s="3" t="s">
        <v>140</v>
      </c>
      <c r="Q3573" s="2" t="s">
        <v>35597</v>
      </c>
      <c r="R3573" s="3" t="s">
        <v>71</v>
      </c>
      <c r="S3573" s="4">
        <v>0</v>
      </c>
      <c r="T3573" s="4">
        <v>0</v>
      </c>
      <c r="W3573" s="5" t="s">
        <v>72</v>
      </c>
      <c r="X3573" s="5" t="s">
        <v>72</v>
      </c>
      <c r="Y3573" s="4">
        <v>24</v>
      </c>
      <c r="Z3573" s="4">
        <v>1</v>
      </c>
      <c r="AA3573" s="4">
        <v>1</v>
      </c>
      <c r="AB3573" s="4">
        <v>1</v>
      </c>
      <c r="AC3573" s="4">
        <v>1</v>
      </c>
      <c r="AD3573" s="4">
        <v>19</v>
      </c>
      <c r="AE3573" s="4">
        <v>21</v>
      </c>
      <c r="AF3573" s="4">
        <v>0</v>
      </c>
      <c r="AG3573" s="4">
        <v>0</v>
      </c>
      <c r="AH3573" s="4">
        <v>18</v>
      </c>
      <c r="AI3573" s="4">
        <v>20</v>
      </c>
      <c r="AJ3573" s="4">
        <v>0</v>
      </c>
      <c r="AK3573" s="4">
        <v>0</v>
      </c>
      <c r="AL3573" s="4">
        <v>15</v>
      </c>
      <c r="AM3573" s="4">
        <v>16</v>
      </c>
      <c r="AN3573" s="4">
        <v>0</v>
      </c>
      <c r="AO3573" s="4">
        <v>0</v>
      </c>
      <c r="AP3573" s="4">
        <v>0</v>
      </c>
      <c r="AQ3573" s="4">
        <v>0</v>
      </c>
      <c r="AR3573" s="3" t="s">
        <v>65</v>
      </c>
      <c r="AS3573" s="3" t="s">
        <v>65</v>
      </c>
      <c r="AT3573" s="3" t="s">
        <v>65</v>
      </c>
      <c r="AV3573" s="6" t="str">
        <f>HYPERLINK("http://mcgill.on.worldcat.org/oclc/770231095","Catalog Record")</f>
        <v>Catalog Record</v>
      </c>
      <c r="AW3573" s="6" t="str">
        <f>HYPERLINK("http://www.worldcat.org/oclc/770231095","WorldCat Record")</f>
        <v>WorldCat Record</v>
      </c>
      <c r="AX3573" s="3" t="s">
        <v>35598</v>
      </c>
      <c r="AY3573" s="3" t="s">
        <v>35599</v>
      </c>
      <c r="AZ3573" s="3" t="s">
        <v>35600</v>
      </c>
      <c r="BA3573" s="3" t="s">
        <v>35600</v>
      </c>
      <c r="BB3573" s="3" t="s">
        <v>35601</v>
      </c>
      <c r="BC3573" s="3" t="s">
        <v>77</v>
      </c>
      <c r="BD3573" s="3" t="s">
        <v>78</v>
      </c>
      <c r="BE3573" s="3" t="s">
        <v>35602</v>
      </c>
      <c r="BF3573" s="3" t="s">
        <v>35601</v>
      </c>
      <c r="BG3573" s="3" t="s">
        <v>35603</v>
      </c>
    </row>
    <row r="3574" spans="1:59" ht="58" x14ac:dyDescent="0.35">
      <c r="A3574" s="2" t="s">
        <v>59</v>
      </c>
      <c r="B3574" s="2" t="s">
        <v>60</v>
      </c>
      <c r="C3574" s="2" t="s">
        <v>35604</v>
      </c>
      <c r="D3574" s="2" t="s">
        <v>35605</v>
      </c>
      <c r="E3574" s="2" t="s">
        <v>35606</v>
      </c>
      <c r="G3574" s="3" t="s">
        <v>65</v>
      </c>
      <c r="I3574" s="3" t="s">
        <v>65</v>
      </c>
      <c r="J3574" s="3" t="s">
        <v>65</v>
      </c>
      <c r="K3574" s="3" t="s">
        <v>66</v>
      </c>
      <c r="L3574" s="2" t="s">
        <v>35607</v>
      </c>
      <c r="M3574" s="2" t="s">
        <v>35608</v>
      </c>
      <c r="N3574" s="3" t="s">
        <v>5961</v>
      </c>
      <c r="P3574" s="3" t="s">
        <v>69</v>
      </c>
      <c r="R3574" s="3" t="s">
        <v>71</v>
      </c>
      <c r="S3574" s="4">
        <v>55</v>
      </c>
      <c r="T3574" s="4">
        <v>55</v>
      </c>
      <c r="U3574" s="5" t="s">
        <v>35609</v>
      </c>
      <c r="V3574" s="5" t="s">
        <v>35609</v>
      </c>
      <c r="W3574" s="5" t="s">
        <v>72</v>
      </c>
      <c r="X3574" s="5" t="s">
        <v>72</v>
      </c>
      <c r="Y3574" s="4">
        <v>211</v>
      </c>
      <c r="Z3574" s="4">
        <v>11</v>
      </c>
      <c r="AA3574" s="4">
        <v>11</v>
      </c>
      <c r="AB3574" s="4">
        <v>1</v>
      </c>
      <c r="AC3574" s="4">
        <v>1</v>
      </c>
      <c r="AD3574" s="4">
        <v>35</v>
      </c>
      <c r="AE3574" s="4">
        <v>35</v>
      </c>
      <c r="AF3574" s="4">
        <v>0</v>
      </c>
      <c r="AG3574" s="4">
        <v>0</v>
      </c>
      <c r="AH3574" s="4">
        <v>31</v>
      </c>
      <c r="AI3574" s="4">
        <v>31</v>
      </c>
      <c r="AJ3574" s="4">
        <v>5</v>
      </c>
      <c r="AK3574" s="4">
        <v>5</v>
      </c>
      <c r="AL3574" s="4">
        <v>22</v>
      </c>
      <c r="AM3574" s="4">
        <v>22</v>
      </c>
      <c r="AN3574" s="4">
        <v>0</v>
      </c>
      <c r="AO3574" s="4">
        <v>0</v>
      </c>
      <c r="AP3574" s="4">
        <v>7</v>
      </c>
      <c r="AQ3574" s="4">
        <v>7</v>
      </c>
      <c r="AR3574" s="3" t="s">
        <v>65</v>
      </c>
      <c r="AS3574" s="3" t="s">
        <v>65</v>
      </c>
      <c r="AT3574" s="3" t="s">
        <v>209</v>
      </c>
      <c r="AU3574" s="6" t="str">
        <f>HYPERLINK("http://catalog.hathitrust.org/Record/007134033","HathiTrust Record")</f>
        <v>HathiTrust Record</v>
      </c>
      <c r="AV3574" s="6" t="str">
        <f>HYPERLINK("http://mcgill.on.worldcat.org/oclc/14904964","Catalog Record")</f>
        <v>Catalog Record</v>
      </c>
      <c r="AW3574" s="6" t="str">
        <f>HYPERLINK("http://www.worldcat.org/oclc/14904964","WorldCat Record")</f>
        <v>WorldCat Record</v>
      </c>
      <c r="AX3574" s="3" t="s">
        <v>35610</v>
      </c>
      <c r="AY3574" s="3" t="s">
        <v>35611</v>
      </c>
      <c r="AZ3574" s="3" t="s">
        <v>35612</v>
      </c>
      <c r="BA3574" s="3" t="s">
        <v>35612</v>
      </c>
      <c r="BB3574" s="3" t="s">
        <v>35613</v>
      </c>
      <c r="BC3574" s="3" t="s">
        <v>77</v>
      </c>
      <c r="BD3574" s="3" t="s">
        <v>78</v>
      </c>
      <c r="BE3574" s="3" t="s">
        <v>35614</v>
      </c>
      <c r="BF3574" s="3" t="s">
        <v>35613</v>
      </c>
      <c r="BG3574" s="3" t="s">
        <v>35615</v>
      </c>
    </row>
    <row r="3575" spans="1:59" ht="58" x14ac:dyDescent="0.35">
      <c r="A3575" s="2" t="s">
        <v>59</v>
      </c>
      <c r="B3575" s="2" t="s">
        <v>60</v>
      </c>
      <c r="C3575" s="2" t="s">
        <v>35616</v>
      </c>
      <c r="D3575" s="2" t="s">
        <v>35617</v>
      </c>
      <c r="E3575" s="2" t="s">
        <v>35618</v>
      </c>
      <c r="G3575" s="3" t="s">
        <v>65</v>
      </c>
      <c r="I3575" s="3" t="s">
        <v>209</v>
      </c>
      <c r="J3575" s="3" t="s">
        <v>65</v>
      </c>
      <c r="K3575" s="3" t="s">
        <v>66</v>
      </c>
      <c r="L3575" s="2" t="s">
        <v>35607</v>
      </c>
      <c r="M3575" s="2" t="s">
        <v>35619</v>
      </c>
      <c r="N3575" s="3" t="s">
        <v>1032</v>
      </c>
      <c r="O3575" s="2" t="s">
        <v>35620</v>
      </c>
      <c r="P3575" s="3" t="s">
        <v>69</v>
      </c>
      <c r="Q3575" s="2" t="s">
        <v>35621</v>
      </c>
      <c r="R3575" s="3" t="s">
        <v>71</v>
      </c>
      <c r="S3575" s="4">
        <v>30</v>
      </c>
      <c r="T3575" s="4">
        <v>83</v>
      </c>
      <c r="U3575" s="5" t="s">
        <v>35622</v>
      </c>
      <c r="V3575" s="5" t="s">
        <v>35609</v>
      </c>
      <c r="W3575" s="5" t="s">
        <v>72</v>
      </c>
      <c r="X3575" s="5" t="s">
        <v>72</v>
      </c>
      <c r="Y3575" s="4">
        <v>128</v>
      </c>
      <c r="Z3575" s="4">
        <v>12</v>
      </c>
      <c r="AA3575" s="4">
        <v>49</v>
      </c>
      <c r="AB3575" s="4">
        <v>2</v>
      </c>
      <c r="AC3575" s="4">
        <v>8</v>
      </c>
      <c r="AD3575" s="4">
        <v>12</v>
      </c>
      <c r="AE3575" s="4">
        <v>110</v>
      </c>
      <c r="AF3575" s="4">
        <v>0</v>
      </c>
      <c r="AG3575" s="4">
        <v>2</v>
      </c>
      <c r="AH3575" s="4">
        <v>9</v>
      </c>
      <c r="AI3575" s="4">
        <v>95</v>
      </c>
      <c r="AJ3575" s="4">
        <v>3</v>
      </c>
      <c r="AK3575" s="4">
        <v>17</v>
      </c>
      <c r="AL3575" s="4">
        <v>6</v>
      </c>
      <c r="AM3575" s="4">
        <v>53</v>
      </c>
      <c r="AN3575" s="4">
        <v>0</v>
      </c>
      <c r="AO3575" s="4">
        <v>0</v>
      </c>
      <c r="AP3575" s="4">
        <v>4</v>
      </c>
      <c r="AQ3575" s="4">
        <v>20</v>
      </c>
      <c r="AR3575" s="3" t="s">
        <v>65</v>
      </c>
      <c r="AS3575" s="3" t="s">
        <v>65</v>
      </c>
      <c r="AT3575" s="3" t="s">
        <v>209</v>
      </c>
      <c r="AU3575" s="6" t="str">
        <f>HYPERLINK("http://catalog.hathitrust.org/Record/002952413","HathiTrust Record")</f>
        <v>HathiTrust Record</v>
      </c>
      <c r="AV3575" s="6" t="str">
        <f>HYPERLINK("http://mcgill.on.worldcat.org/oclc/32468650","Catalog Record")</f>
        <v>Catalog Record</v>
      </c>
      <c r="AW3575" s="6" t="str">
        <f>HYPERLINK("http://www.worldcat.org/oclc/32468650","WorldCat Record")</f>
        <v>WorldCat Record</v>
      </c>
      <c r="AX3575" s="3" t="s">
        <v>35623</v>
      </c>
      <c r="AY3575" s="3" t="s">
        <v>35624</v>
      </c>
      <c r="AZ3575" s="3" t="s">
        <v>35625</v>
      </c>
      <c r="BA3575" s="3" t="s">
        <v>35625</v>
      </c>
      <c r="BB3575" s="3" t="s">
        <v>35626</v>
      </c>
      <c r="BC3575" s="3" t="s">
        <v>77</v>
      </c>
      <c r="BD3575" s="3" t="s">
        <v>78</v>
      </c>
      <c r="BE3575" s="3" t="s">
        <v>35627</v>
      </c>
      <c r="BF3575" s="3" t="s">
        <v>35626</v>
      </c>
      <c r="BG3575" s="3" t="s">
        <v>35628</v>
      </c>
    </row>
    <row r="3576" spans="1:59" ht="58" x14ac:dyDescent="0.35">
      <c r="A3576" s="2" t="s">
        <v>59</v>
      </c>
      <c r="B3576" s="2" t="s">
        <v>60</v>
      </c>
      <c r="C3576" s="2" t="s">
        <v>35616</v>
      </c>
      <c r="D3576" s="2" t="s">
        <v>35617</v>
      </c>
      <c r="E3576" s="2" t="s">
        <v>35618</v>
      </c>
      <c r="G3576" s="3" t="s">
        <v>65</v>
      </c>
      <c r="I3576" s="3" t="s">
        <v>209</v>
      </c>
      <c r="J3576" s="3" t="s">
        <v>65</v>
      </c>
      <c r="K3576" s="3" t="s">
        <v>66</v>
      </c>
      <c r="L3576" s="2" t="s">
        <v>35607</v>
      </c>
      <c r="M3576" s="2" t="s">
        <v>35619</v>
      </c>
      <c r="N3576" s="3" t="s">
        <v>1032</v>
      </c>
      <c r="O3576" s="2" t="s">
        <v>35620</v>
      </c>
      <c r="P3576" s="3" t="s">
        <v>69</v>
      </c>
      <c r="Q3576" s="2" t="s">
        <v>35621</v>
      </c>
      <c r="R3576" s="3" t="s">
        <v>71</v>
      </c>
      <c r="S3576" s="4">
        <v>23</v>
      </c>
      <c r="T3576" s="4">
        <v>83</v>
      </c>
      <c r="U3576" s="5" t="s">
        <v>21010</v>
      </c>
      <c r="V3576" s="5" t="s">
        <v>35609</v>
      </c>
      <c r="W3576" s="5" t="s">
        <v>72</v>
      </c>
      <c r="X3576" s="5" t="s">
        <v>72</v>
      </c>
      <c r="Y3576" s="4">
        <v>128</v>
      </c>
      <c r="Z3576" s="4">
        <v>12</v>
      </c>
      <c r="AA3576" s="4">
        <v>49</v>
      </c>
      <c r="AB3576" s="4">
        <v>2</v>
      </c>
      <c r="AC3576" s="4">
        <v>8</v>
      </c>
      <c r="AD3576" s="4">
        <v>12</v>
      </c>
      <c r="AE3576" s="4">
        <v>110</v>
      </c>
      <c r="AF3576" s="4">
        <v>0</v>
      </c>
      <c r="AG3576" s="4">
        <v>2</v>
      </c>
      <c r="AH3576" s="4">
        <v>9</v>
      </c>
      <c r="AI3576" s="4">
        <v>95</v>
      </c>
      <c r="AJ3576" s="4">
        <v>3</v>
      </c>
      <c r="AK3576" s="4">
        <v>17</v>
      </c>
      <c r="AL3576" s="4">
        <v>6</v>
      </c>
      <c r="AM3576" s="4">
        <v>53</v>
      </c>
      <c r="AN3576" s="4">
        <v>0</v>
      </c>
      <c r="AO3576" s="4">
        <v>0</v>
      </c>
      <c r="AP3576" s="4">
        <v>4</v>
      </c>
      <c r="AQ3576" s="4">
        <v>20</v>
      </c>
      <c r="AR3576" s="3" t="s">
        <v>65</v>
      </c>
      <c r="AS3576" s="3" t="s">
        <v>65</v>
      </c>
      <c r="AT3576" s="3" t="s">
        <v>209</v>
      </c>
      <c r="AU3576" s="6" t="str">
        <f>HYPERLINK("http://catalog.hathitrust.org/Record/002952413","HathiTrust Record")</f>
        <v>HathiTrust Record</v>
      </c>
      <c r="AV3576" s="6" t="str">
        <f>HYPERLINK("http://mcgill.on.worldcat.org/oclc/32468650","Catalog Record")</f>
        <v>Catalog Record</v>
      </c>
      <c r="AW3576" s="6" t="str">
        <f>HYPERLINK("http://www.worldcat.org/oclc/32468650","WorldCat Record")</f>
        <v>WorldCat Record</v>
      </c>
      <c r="AX3576" s="3" t="s">
        <v>35623</v>
      </c>
      <c r="AY3576" s="3" t="s">
        <v>35624</v>
      </c>
      <c r="AZ3576" s="3" t="s">
        <v>35625</v>
      </c>
      <c r="BA3576" s="3" t="s">
        <v>35625</v>
      </c>
      <c r="BB3576" s="3" t="s">
        <v>35629</v>
      </c>
      <c r="BC3576" s="3" t="s">
        <v>77</v>
      </c>
      <c r="BD3576" s="3" t="s">
        <v>78</v>
      </c>
      <c r="BE3576" s="3" t="s">
        <v>35627</v>
      </c>
      <c r="BF3576" s="3" t="s">
        <v>35629</v>
      </c>
      <c r="BG3576" s="3" t="s">
        <v>35630</v>
      </c>
    </row>
    <row r="3577" spans="1:59" ht="58" x14ac:dyDescent="0.35">
      <c r="A3577" s="2" t="s">
        <v>59</v>
      </c>
      <c r="B3577" s="2" t="s">
        <v>60</v>
      </c>
      <c r="C3577" s="2" t="s">
        <v>35616</v>
      </c>
      <c r="D3577" s="2" t="s">
        <v>35617</v>
      </c>
      <c r="E3577" s="2" t="s">
        <v>35618</v>
      </c>
      <c r="G3577" s="3" t="s">
        <v>65</v>
      </c>
      <c r="I3577" s="3" t="s">
        <v>209</v>
      </c>
      <c r="J3577" s="3" t="s">
        <v>65</v>
      </c>
      <c r="K3577" s="3" t="s">
        <v>66</v>
      </c>
      <c r="L3577" s="2" t="s">
        <v>35607</v>
      </c>
      <c r="M3577" s="2" t="s">
        <v>35619</v>
      </c>
      <c r="N3577" s="3" t="s">
        <v>1032</v>
      </c>
      <c r="O3577" s="2" t="s">
        <v>35620</v>
      </c>
      <c r="P3577" s="3" t="s">
        <v>69</v>
      </c>
      <c r="Q3577" s="2" t="s">
        <v>35621</v>
      </c>
      <c r="R3577" s="3" t="s">
        <v>71</v>
      </c>
      <c r="S3577" s="4">
        <v>30</v>
      </c>
      <c r="T3577" s="4">
        <v>83</v>
      </c>
      <c r="U3577" s="5" t="s">
        <v>35609</v>
      </c>
      <c r="V3577" s="5" t="s">
        <v>35609</v>
      </c>
      <c r="W3577" s="5" t="s">
        <v>72</v>
      </c>
      <c r="X3577" s="5" t="s">
        <v>72</v>
      </c>
      <c r="Y3577" s="4">
        <v>128</v>
      </c>
      <c r="Z3577" s="4">
        <v>12</v>
      </c>
      <c r="AA3577" s="4">
        <v>49</v>
      </c>
      <c r="AB3577" s="4">
        <v>2</v>
      </c>
      <c r="AC3577" s="4">
        <v>8</v>
      </c>
      <c r="AD3577" s="4">
        <v>12</v>
      </c>
      <c r="AE3577" s="4">
        <v>110</v>
      </c>
      <c r="AF3577" s="4">
        <v>0</v>
      </c>
      <c r="AG3577" s="4">
        <v>2</v>
      </c>
      <c r="AH3577" s="4">
        <v>9</v>
      </c>
      <c r="AI3577" s="4">
        <v>95</v>
      </c>
      <c r="AJ3577" s="4">
        <v>3</v>
      </c>
      <c r="AK3577" s="4">
        <v>17</v>
      </c>
      <c r="AL3577" s="4">
        <v>6</v>
      </c>
      <c r="AM3577" s="4">
        <v>53</v>
      </c>
      <c r="AN3577" s="4">
        <v>0</v>
      </c>
      <c r="AO3577" s="4">
        <v>0</v>
      </c>
      <c r="AP3577" s="4">
        <v>4</v>
      </c>
      <c r="AQ3577" s="4">
        <v>20</v>
      </c>
      <c r="AR3577" s="3" t="s">
        <v>65</v>
      </c>
      <c r="AS3577" s="3" t="s">
        <v>65</v>
      </c>
      <c r="AT3577" s="3" t="s">
        <v>209</v>
      </c>
      <c r="AU3577" s="6" t="str">
        <f>HYPERLINK("http://catalog.hathitrust.org/Record/002952413","HathiTrust Record")</f>
        <v>HathiTrust Record</v>
      </c>
      <c r="AV3577" s="6" t="str">
        <f>HYPERLINK("http://mcgill.on.worldcat.org/oclc/32468650","Catalog Record")</f>
        <v>Catalog Record</v>
      </c>
      <c r="AW3577" s="6" t="str">
        <f>HYPERLINK("http://www.worldcat.org/oclc/32468650","WorldCat Record")</f>
        <v>WorldCat Record</v>
      </c>
      <c r="AX3577" s="3" t="s">
        <v>35623</v>
      </c>
      <c r="AY3577" s="3" t="s">
        <v>35624</v>
      </c>
      <c r="AZ3577" s="3" t="s">
        <v>35625</v>
      </c>
      <c r="BA3577" s="3" t="s">
        <v>35625</v>
      </c>
      <c r="BB3577" s="3" t="s">
        <v>35631</v>
      </c>
      <c r="BC3577" s="3" t="s">
        <v>77</v>
      </c>
      <c r="BD3577" s="3" t="s">
        <v>78</v>
      </c>
      <c r="BE3577" s="3" t="s">
        <v>35627</v>
      </c>
      <c r="BF3577" s="3" t="s">
        <v>35631</v>
      </c>
      <c r="BG3577" s="3" t="s">
        <v>35632</v>
      </c>
    </row>
    <row r="3578" spans="1:59" ht="58" x14ac:dyDescent="0.35">
      <c r="A3578" s="2" t="s">
        <v>59</v>
      </c>
      <c r="B3578" s="2" t="s">
        <v>60</v>
      </c>
      <c r="C3578" s="2" t="s">
        <v>35633</v>
      </c>
      <c r="D3578" s="2" t="s">
        <v>35634</v>
      </c>
      <c r="E3578" s="2" t="s">
        <v>35635</v>
      </c>
      <c r="G3578" s="3" t="s">
        <v>65</v>
      </c>
      <c r="I3578" s="3" t="s">
        <v>65</v>
      </c>
      <c r="J3578" s="3" t="s">
        <v>65</v>
      </c>
      <c r="K3578" s="3" t="s">
        <v>66</v>
      </c>
      <c r="L3578" s="2" t="s">
        <v>35636</v>
      </c>
      <c r="M3578" s="2" t="s">
        <v>35637</v>
      </c>
      <c r="N3578" s="3" t="s">
        <v>68</v>
      </c>
      <c r="O3578" s="2" t="s">
        <v>35638</v>
      </c>
      <c r="P3578" s="3" t="s">
        <v>140</v>
      </c>
      <c r="Q3578" s="2" t="s">
        <v>35639</v>
      </c>
      <c r="R3578" s="3" t="s">
        <v>71</v>
      </c>
      <c r="S3578" s="4">
        <v>0</v>
      </c>
      <c r="T3578" s="4">
        <v>0</v>
      </c>
      <c r="W3578" s="5" t="s">
        <v>72</v>
      </c>
      <c r="X3578" s="5" t="s">
        <v>72</v>
      </c>
      <c r="Y3578" s="4">
        <v>62</v>
      </c>
      <c r="Z3578" s="4">
        <v>4</v>
      </c>
      <c r="AA3578" s="4">
        <v>6</v>
      </c>
      <c r="AB3578" s="4">
        <v>1</v>
      </c>
      <c r="AC3578" s="4">
        <v>3</v>
      </c>
      <c r="AD3578" s="4">
        <v>45</v>
      </c>
      <c r="AE3578" s="4">
        <v>46</v>
      </c>
      <c r="AF3578" s="4">
        <v>0</v>
      </c>
      <c r="AG3578" s="4">
        <v>1</v>
      </c>
      <c r="AH3578" s="4">
        <v>44</v>
      </c>
      <c r="AI3578" s="4">
        <v>44</v>
      </c>
      <c r="AJ3578" s="4">
        <v>2</v>
      </c>
      <c r="AK3578" s="4">
        <v>3</v>
      </c>
      <c r="AL3578" s="4">
        <v>34</v>
      </c>
      <c r="AM3578" s="4">
        <v>34</v>
      </c>
      <c r="AN3578" s="4">
        <v>0</v>
      </c>
      <c r="AO3578" s="4">
        <v>0</v>
      </c>
      <c r="AP3578" s="4">
        <v>2</v>
      </c>
      <c r="AQ3578" s="4">
        <v>2</v>
      </c>
      <c r="AR3578" s="3" t="s">
        <v>65</v>
      </c>
      <c r="AS3578" s="3" t="s">
        <v>65</v>
      </c>
      <c r="AT3578" s="3" t="s">
        <v>65</v>
      </c>
      <c r="AV3578" s="6" t="str">
        <f>HYPERLINK("http://mcgill.on.worldcat.org/oclc/939396562","Catalog Record")</f>
        <v>Catalog Record</v>
      </c>
      <c r="AW3578" s="6" t="str">
        <f>HYPERLINK("http://www.worldcat.org/oclc/939396562","WorldCat Record")</f>
        <v>WorldCat Record</v>
      </c>
      <c r="AX3578" s="3" t="s">
        <v>35640</v>
      </c>
      <c r="AY3578" s="3" t="s">
        <v>35641</v>
      </c>
      <c r="AZ3578" s="3" t="s">
        <v>35642</v>
      </c>
      <c r="BA3578" s="3" t="s">
        <v>35642</v>
      </c>
      <c r="BB3578" s="3" t="s">
        <v>35643</v>
      </c>
      <c r="BC3578" s="3" t="s">
        <v>77</v>
      </c>
      <c r="BD3578" s="3" t="s">
        <v>78</v>
      </c>
      <c r="BE3578" s="3" t="s">
        <v>35644</v>
      </c>
      <c r="BF3578" s="3" t="s">
        <v>35643</v>
      </c>
      <c r="BG3578" s="3" t="s">
        <v>35645</v>
      </c>
    </row>
    <row r="3579" spans="1:59" ht="58" x14ac:dyDescent="0.35">
      <c r="A3579" s="2" t="s">
        <v>59</v>
      </c>
      <c r="B3579" s="2" t="s">
        <v>60</v>
      </c>
      <c r="C3579" s="2" t="s">
        <v>35646</v>
      </c>
      <c r="D3579" s="2" t="s">
        <v>35647</v>
      </c>
      <c r="E3579" s="2" t="s">
        <v>35648</v>
      </c>
      <c r="G3579" s="3" t="s">
        <v>65</v>
      </c>
      <c r="I3579" s="3" t="s">
        <v>65</v>
      </c>
      <c r="J3579" s="3" t="s">
        <v>65</v>
      </c>
      <c r="K3579" s="3" t="s">
        <v>66</v>
      </c>
      <c r="L3579" s="2" t="s">
        <v>35607</v>
      </c>
      <c r="M3579" s="2" t="s">
        <v>35649</v>
      </c>
      <c r="N3579" s="3" t="s">
        <v>99</v>
      </c>
      <c r="O3579" s="2" t="s">
        <v>365</v>
      </c>
      <c r="P3579" s="3" t="s">
        <v>140</v>
      </c>
      <c r="Q3579" s="2" t="s">
        <v>35650</v>
      </c>
      <c r="R3579" s="3" t="s">
        <v>71</v>
      </c>
      <c r="S3579" s="4">
        <v>2</v>
      </c>
      <c r="T3579" s="4">
        <v>2</v>
      </c>
      <c r="U3579" s="5" t="s">
        <v>1369</v>
      </c>
      <c r="V3579" s="5" t="s">
        <v>1369</v>
      </c>
      <c r="W3579" s="5" t="s">
        <v>72</v>
      </c>
      <c r="X3579" s="5" t="s">
        <v>72</v>
      </c>
      <c r="Y3579" s="4">
        <v>35</v>
      </c>
      <c r="Z3579" s="4">
        <v>5</v>
      </c>
      <c r="AA3579" s="4">
        <v>7</v>
      </c>
      <c r="AB3579" s="4">
        <v>1</v>
      </c>
      <c r="AC3579" s="4">
        <v>1</v>
      </c>
      <c r="AD3579" s="4">
        <v>22</v>
      </c>
      <c r="AE3579" s="4">
        <v>34</v>
      </c>
      <c r="AF3579" s="4">
        <v>0</v>
      </c>
      <c r="AG3579" s="4">
        <v>0</v>
      </c>
      <c r="AH3579" s="4">
        <v>22</v>
      </c>
      <c r="AI3579" s="4">
        <v>32</v>
      </c>
      <c r="AJ3579" s="4">
        <v>2</v>
      </c>
      <c r="AK3579" s="4">
        <v>3</v>
      </c>
      <c r="AL3579" s="4">
        <v>17</v>
      </c>
      <c r="AM3579" s="4">
        <v>23</v>
      </c>
      <c r="AN3579" s="4">
        <v>0</v>
      </c>
      <c r="AO3579" s="4">
        <v>0</v>
      </c>
      <c r="AP3579" s="4">
        <v>2</v>
      </c>
      <c r="AQ3579" s="4">
        <v>3</v>
      </c>
      <c r="AR3579" s="3" t="s">
        <v>65</v>
      </c>
      <c r="AS3579" s="3" t="s">
        <v>65</v>
      </c>
      <c r="AT3579" s="3" t="s">
        <v>65</v>
      </c>
      <c r="AV3579" s="6" t="str">
        <f>HYPERLINK("http://mcgill.on.worldcat.org/oclc/64365262","Catalog Record")</f>
        <v>Catalog Record</v>
      </c>
      <c r="AW3579" s="6" t="str">
        <f>HYPERLINK("http://www.worldcat.org/oclc/64365262","WorldCat Record")</f>
        <v>WorldCat Record</v>
      </c>
      <c r="AX3579" s="3" t="s">
        <v>35651</v>
      </c>
      <c r="AY3579" s="3" t="s">
        <v>35652</v>
      </c>
      <c r="AZ3579" s="3" t="s">
        <v>35653</v>
      </c>
      <c r="BA3579" s="3" t="s">
        <v>35653</v>
      </c>
      <c r="BB3579" s="3" t="s">
        <v>35654</v>
      </c>
      <c r="BC3579" s="3" t="s">
        <v>77</v>
      </c>
      <c r="BD3579" s="3" t="s">
        <v>78</v>
      </c>
      <c r="BE3579" s="3" t="s">
        <v>35655</v>
      </c>
      <c r="BF3579" s="3" t="s">
        <v>35654</v>
      </c>
      <c r="BG3579" s="3" t="s">
        <v>35656</v>
      </c>
    </row>
    <row r="3580" spans="1:59" ht="72.5" x14ac:dyDescent="0.35">
      <c r="A3580" s="2" t="s">
        <v>59</v>
      </c>
      <c r="B3580" s="2" t="s">
        <v>60</v>
      </c>
      <c r="C3580" s="2" t="s">
        <v>35657</v>
      </c>
      <c r="D3580" s="2" t="s">
        <v>35658</v>
      </c>
      <c r="E3580" s="2" t="s">
        <v>35659</v>
      </c>
      <c r="G3580" s="3" t="s">
        <v>65</v>
      </c>
      <c r="I3580" s="3" t="s">
        <v>65</v>
      </c>
      <c r="J3580" s="3" t="s">
        <v>65</v>
      </c>
      <c r="K3580" s="3" t="s">
        <v>66</v>
      </c>
      <c r="L3580" s="2" t="s">
        <v>35607</v>
      </c>
      <c r="M3580" s="2" t="s">
        <v>35660</v>
      </c>
      <c r="N3580" s="3" t="s">
        <v>221</v>
      </c>
      <c r="O3580" s="2" t="s">
        <v>526</v>
      </c>
      <c r="P3580" s="3" t="s">
        <v>69</v>
      </c>
      <c r="R3580" s="3" t="s">
        <v>71</v>
      </c>
      <c r="S3580" s="4">
        <v>6</v>
      </c>
      <c r="T3580" s="4">
        <v>6</v>
      </c>
      <c r="U3580" s="5" t="s">
        <v>10154</v>
      </c>
      <c r="V3580" s="5" t="s">
        <v>10154</v>
      </c>
      <c r="W3580" s="5" t="s">
        <v>72</v>
      </c>
      <c r="X3580" s="5" t="s">
        <v>72</v>
      </c>
      <c r="Y3580" s="4">
        <v>703</v>
      </c>
      <c r="Z3580" s="4">
        <v>50</v>
      </c>
      <c r="AA3580" s="4">
        <v>56</v>
      </c>
      <c r="AB3580" s="4">
        <v>4</v>
      </c>
      <c r="AC3580" s="4">
        <v>9</v>
      </c>
      <c r="AD3580" s="4">
        <v>85</v>
      </c>
      <c r="AE3580" s="4">
        <v>98</v>
      </c>
      <c r="AF3580" s="4">
        <v>1</v>
      </c>
      <c r="AG3580" s="4">
        <v>5</v>
      </c>
      <c r="AH3580" s="4">
        <v>74</v>
      </c>
      <c r="AI3580" s="4">
        <v>82</v>
      </c>
      <c r="AJ3580" s="4">
        <v>11</v>
      </c>
      <c r="AK3580" s="4">
        <v>15</v>
      </c>
      <c r="AL3580" s="4">
        <v>41</v>
      </c>
      <c r="AM3580" s="4">
        <v>49</v>
      </c>
      <c r="AN3580" s="4">
        <v>0</v>
      </c>
      <c r="AO3580" s="4">
        <v>0</v>
      </c>
      <c r="AP3580" s="4">
        <v>17</v>
      </c>
      <c r="AQ3580" s="4">
        <v>21</v>
      </c>
      <c r="AR3580" s="3" t="s">
        <v>65</v>
      </c>
      <c r="AS3580" s="3" t="s">
        <v>65</v>
      </c>
      <c r="AT3580" s="3" t="s">
        <v>65</v>
      </c>
      <c r="AV3580" s="6" t="str">
        <f>HYPERLINK("http://mcgill.on.worldcat.org/oclc/141483068","Catalog Record")</f>
        <v>Catalog Record</v>
      </c>
      <c r="AW3580" s="6" t="str">
        <f>HYPERLINK("http://www.worldcat.org/oclc/141483068","WorldCat Record")</f>
        <v>WorldCat Record</v>
      </c>
      <c r="AX3580" s="3" t="s">
        <v>35661</v>
      </c>
      <c r="AY3580" s="3" t="s">
        <v>35662</v>
      </c>
      <c r="AZ3580" s="3" t="s">
        <v>35663</v>
      </c>
      <c r="BA3580" s="3" t="s">
        <v>35663</v>
      </c>
      <c r="BB3580" s="3" t="s">
        <v>35664</v>
      </c>
      <c r="BC3580" s="3" t="s">
        <v>77</v>
      </c>
      <c r="BD3580" s="3" t="s">
        <v>78</v>
      </c>
      <c r="BE3580" s="3" t="s">
        <v>35665</v>
      </c>
      <c r="BF3580" s="3" t="s">
        <v>35664</v>
      </c>
      <c r="BG3580" s="3" t="s">
        <v>35666</v>
      </c>
    </row>
    <row r="3581" spans="1:59" ht="58" x14ac:dyDescent="0.35">
      <c r="A3581" s="2" t="s">
        <v>59</v>
      </c>
      <c r="B3581" s="2" t="s">
        <v>60</v>
      </c>
      <c r="C3581" s="2" t="s">
        <v>35667</v>
      </c>
      <c r="D3581" s="2" t="s">
        <v>35668</v>
      </c>
      <c r="E3581" s="2" t="s">
        <v>35669</v>
      </c>
      <c r="G3581" s="3" t="s">
        <v>65</v>
      </c>
      <c r="I3581" s="3" t="s">
        <v>209</v>
      </c>
      <c r="J3581" s="3" t="s">
        <v>65</v>
      </c>
      <c r="K3581" s="3" t="s">
        <v>66</v>
      </c>
      <c r="L3581" s="2" t="s">
        <v>35607</v>
      </c>
      <c r="M3581" s="2" t="s">
        <v>35670</v>
      </c>
      <c r="N3581" s="3" t="s">
        <v>2210</v>
      </c>
      <c r="O3581" s="2" t="s">
        <v>33858</v>
      </c>
      <c r="P3581" s="3" t="s">
        <v>69</v>
      </c>
      <c r="R3581" s="3" t="s">
        <v>71</v>
      </c>
      <c r="S3581" s="4">
        <v>19</v>
      </c>
      <c r="T3581" s="4">
        <v>36</v>
      </c>
      <c r="U3581" s="5" t="s">
        <v>35671</v>
      </c>
      <c r="V3581" s="5" t="s">
        <v>35671</v>
      </c>
      <c r="W3581" s="5" t="s">
        <v>72</v>
      </c>
      <c r="X3581" s="5" t="s">
        <v>72</v>
      </c>
      <c r="Y3581" s="4">
        <v>2047</v>
      </c>
      <c r="Z3581" s="4">
        <v>81</v>
      </c>
      <c r="AA3581" s="4">
        <v>103</v>
      </c>
      <c r="AB3581" s="4">
        <v>4</v>
      </c>
      <c r="AC3581" s="4">
        <v>9</v>
      </c>
      <c r="AD3581" s="4">
        <v>116</v>
      </c>
      <c r="AE3581" s="4">
        <v>127</v>
      </c>
      <c r="AF3581" s="4">
        <v>2</v>
      </c>
      <c r="AG3581" s="4">
        <v>2</v>
      </c>
      <c r="AH3581" s="4">
        <v>99</v>
      </c>
      <c r="AI3581" s="4">
        <v>103</v>
      </c>
      <c r="AJ3581" s="4">
        <v>17</v>
      </c>
      <c r="AK3581" s="4">
        <v>21</v>
      </c>
      <c r="AL3581" s="4">
        <v>53</v>
      </c>
      <c r="AM3581" s="4">
        <v>56</v>
      </c>
      <c r="AN3581" s="4">
        <v>0</v>
      </c>
      <c r="AO3581" s="4">
        <v>0</v>
      </c>
      <c r="AP3581" s="4">
        <v>25</v>
      </c>
      <c r="AQ3581" s="4">
        <v>32</v>
      </c>
      <c r="AR3581" s="3" t="s">
        <v>65</v>
      </c>
      <c r="AS3581" s="3" t="s">
        <v>65</v>
      </c>
      <c r="AT3581" s="3" t="s">
        <v>209</v>
      </c>
      <c r="AU3581" s="6" t="str">
        <f>HYPERLINK("http://catalog.hathitrust.org/Record/004300364","HathiTrust Record")</f>
        <v>HathiTrust Record</v>
      </c>
      <c r="AV3581" s="6" t="str">
        <f>HYPERLINK("http://mcgill.on.worldcat.org/oclc/49002024","Catalog Record")</f>
        <v>Catalog Record</v>
      </c>
      <c r="AW3581" s="6" t="str">
        <f>HYPERLINK("http://www.worldcat.org/oclc/49002024","WorldCat Record")</f>
        <v>WorldCat Record</v>
      </c>
      <c r="AX3581" s="3" t="s">
        <v>35672</v>
      </c>
      <c r="AY3581" s="3" t="s">
        <v>35673</v>
      </c>
      <c r="AZ3581" s="3" t="s">
        <v>35674</v>
      </c>
      <c r="BA3581" s="3" t="s">
        <v>35674</v>
      </c>
      <c r="BB3581" s="3" t="s">
        <v>35675</v>
      </c>
      <c r="BC3581" s="3" t="s">
        <v>77</v>
      </c>
      <c r="BD3581" s="3" t="s">
        <v>78</v>
      </c>
      <c r="BE3581" s="3" t="s">
        <v>35676</v>
      </c>
      <c r="BF3581" s="3" t="s">
        <v>35675</v>
      </c>
      <c r="BG3581" s="3" t="s">
        <v>35677</v>
      </c>
    </row>
    <row r="3582" spans="1:59" ht="58" x14ac:dyDescent="0.35">
      <c r="A3582" s="2" t="s">
        <v>59</v>
      </c>
      <c r="B3582" s="2" t="s">
        <v>60</v>
      </c>
      <c r="C3582" s="2" t="s">
        <v>35667</v>
      </c>
      <c r="D3582" s="2" t="s">
        <v>35668</v>
      </c>
      <c r="E3582" s="2" t="s">
        <v>35669</v>
      </c>
      <c r="G3582" s="3" t="s">
        <v>65</v>
      </c>
      <c r="I3582" s="3" t="s">
        <v>209</v>
      </c>
      <c r="J3582" s="3" t="s">
        <v>65</v>
      </c>
      <c r="K3582" s="3" t="s">
        <v>66</v>
      </c>
      <c r="L3582" s="2" t="s">
        <v>35607</v>
      </c>
      <c r="M3582" s="2" t="s">
        <v>35670</v>
      </c>
      <c r="N3582" s="3" t="s">
        <v>2210</v>
      </c>
      <c r="O3582" s="2" t="s">
        <v>33858</v>
      </c>
      <c r="P3582" s="3" t="s">
        <v>69</v>
      </c>
      <c r="R3582" s="3" t="s">
        <v>71</v>
      </c>
      <c r="S3582" s="4">
        <v>17</v>
      </c>
      <c r="T3582" s="4">
        <v>36</v>
      </c>
      <c r="U3582" s="5" t="s">
        <v>16249</v>
      </c>
      <c r="V3582" s="5" t="s">
        <v>35671</v>
      </c>
      <c r="W3582" s="5" t="s">
        <v>72</v>
      </c>
      <c r="X3582" s="5" t="s">
        <v>72</v>
      </c>
      <c r="Y3582" s="4">
        <v>2047</v>
      </c>
      <c r="Z3582" s="4">
        <v>81</v>
      </c>
      <c r="AA3582" s="4">
        <v>103</v>
      </c>
      <c r="AB3582" s="4">
        <v>4</v>
      </c>
      <c r="AC3582" s="4">
        <v>9</v>
      </c>
      <c r="AD3582" s="4">
        <v>116</v>
      </c>
      <c r="AE3582" s="4">
        <v>127</v>
      </c>
      <c r="AF3582" s="4">
        <v>2</v>
      </c>
      <c r="AG3582" s="4">
        <v>2</v>
      </c>
      <c r="AH3582" s="4">
        <v>99</v>
      </c>
      <c r="AI3582" s="4">
        <v>103</v>
      </c>
      <c r="AJ3582" s="4">
        <v>17</v>
      </c>
      <c r="AK3582" s="4">
        <v>21</v>
      </c>
      <c r="AL3582" s="4">
        <v>53</v>
      </c>
      <c r="AM3582" s="4">
        <v>56</v>
      </c>
      <c r="AN3582" s="4">
        <v>0</v>
      </c>
      <c r="AO3582" s="4">
        <v>0</v>
      </c>
      <c r="AP3582" s="4">
        <v>25</v>
      </c>
      <c r="AQ3582" s="4">
        <v>32</v>
      </c>
      <c r="AR3582" s="3" t="s">
        <v>65</v>
      </c>
      <c r="AS3582" s="3" t="s">
        <v>65</v>
      </c>
      <c r="AT3582" s="3" t="s">
        <v>209</v>
      </c>
      <c r="AU3582" s="6" t="str">
        <f>HYPERLINK("http://catalog.hathitrust.org/Record/004300364","HathiTrust Record")</f>
        <v>HathiTrust Record</v>
      </c>
      <c r="AV3582" s="6" t="str">
        <f>HYPERLINK("http://mcgill.on.worldcat.org/oclc/49002024","Catalog Record")</f>
        <v>Catalog Record</v>
      </c>
      <c r="AW3582" s="6" t="str">
        <f>HYPERLINK("http://www.worldcat.org/oclc/49002024","WorldCat Record")</f>
        <v>WorldCat Record</v>
      </c>
      <c r="AX3582" s="3" t="s">
        <v>35672</v>
      </c>
      <c r="AY3582" s="3" t="s">
        <v>35673</v>
      </c>
      <c r="AZ3582" s="3" t="s">
        <v>35674</v>
      </c>
      <c r="BA3582" s="3" t="s">
        <v>35674</v>
      </c>
      <c r="BB3582" s="3" t="s">
        <v>35678</v>
      </c>
      <c r="BC3582" s="3" t="s">
        <v>77</v>
      </c>
      <c r="BD3582" s="3" t="s">
        <v>78</v>
      </c>
      <c r="BE3582" s="3" t="s">
        <v>35676</v>
      </c>
      <c r="BF3582" s="3" t="s">
        <v>35678</v>
      </c>
      <c r="BG3582" s="3" t="s">
        <v>35679</v>
      </c>
    </row>
    <row r="3583" spans="1:59" ht="58" x14ac:dyDescent="0.35">
      <c r="A3583" s="2" t="s">
        <v>59</v>
      </c>
      <c r="B3583" s="2" t="s">
        <v>60</v>
      </c>
      <c r="C3583" s="2" t="s">
        <v>35680</v>
      </c>
      <c r="D3583" s="2" t="s">
        <v>35681</v>
      </c>
      <c r="E3583" s="2" t="s">
        <v>35682</v>
      </c>
      <c r="G3583" s="3" t="s">
        <v>65</v>
      </c>
      <c r="I3583" s="3" t="s">
        <v>65</v>
      </c>
      <c r="J3583" s="3" t="s">
        <v>65</v>
      </c>
      <c r="K3583" s="3" t="s">
        <v>66</v>
      </c>
      <c r="L3583" s="2" t="s">
        <v>35607</v>
      </c>
      <c r="M3583" s="2" t="s">
        <v>35683</v>
      </c>
      <c r="N3583" s="3" t="s">
        <v>1944</v>
      </c>
      <c r="O3583" s="2" t="s">
        <v>35684</v>
      </c>
      <c r="P3583" s="3" t="s">
        <v>140</v>
      </c>
      <c r="Q3583" s="2" t="s">
        <v>31783</v>
      </c>
      <c r="R3583" s="3" t="s">
        <v>71</v>
      </c>
      <c r="S3583" s="4">
        <v>3</v>
      </c>
      <c r="T3583" s="4">
        <v>3</v>
      </c>
      <c r="U3583" s="5" t="s">
        <v>1369</v>
      </c>
      <c r="V3583" s="5" t="s">
        <v>1369</v>
      </c>
      <c r="W3583" s="5" t="s">
        <v>72</v>
      </c>
      <c r="X3583" s="5" t="s">
        <v>72</v>
      </c>
      <c r="Y3583" s="4">
        <v>88</v>
      </c>
      <c r="Z3583" s="4">
        <v>7</v>
      </c>
      <c r="AA3583" s="4">
        <v>8</v>
      </c>
      <c r="AB3583" s="4">
        <v>1</v>
      </c>
      <c r="AC3583" s="4">
        <v>2</v>
      </c>
      <c r="AD3583" s="4">
        <v>44</v>
      </c>
      <c r="AE3583" s="4">
        <v>49</v>
      </c>
      <c r="AF3583" s="4">
        <v>0</v>
      </c>
      <c r="AG3583" s="4">
        <v>1</v>
      </c>
      <c r="AH3583" s="4">
        <v>42</v>
      </c>
      <c r="AI3583" s="4">
        <v>46</v>
      </c>
      <c r="AJ3583" s="4">
        <v>5</v>
      </c>
      <c r="AK3583" s="4">
        <v>6</v>
      </c>
      <c r="AL3583" s="4">
        <v>31</v>
      </c>
      <c r="AM3583" s="4">
        <v>32</v>
      </c>
      <c r="AN3583" s="4">
        <v>0</v>
      </c>
      <c r="AO3583" s="4">
        <v>0</v>
      </c>
      <c r="AP3583" s="4">
        <v>5</v>
      </c>
      <c r="AQ3583" s="4">
        <v>5</v>
      </c>
      <c r="AR3583" s="3" t="s">
        <v>65</v>
      </c>
      <c r="AS3583" s="3" t="s">
        <v>65</v>
      </c>
      <c r="AT3583" s="3" t="s">
        <v>65</v>
      </c>
      <c r="AV3583" s="6" t="str">
        <f>HYPERLINK("http://mcgill.on.worldcat.org/oclc/43662821","Catalog Record")</f>
        <v>Catalog Record</v>
      </c>
      <c r="AW3583" s="6" t="str">
        <f>HYPERLINK("http://www.worldcat.org/oclc/43662821","WorldCat Record")</f>
        <v>WorldCat Record</v>
      </c>
      <c r="AX3583" s="3" t="s">
        <v>35685</v>
      </c>
      <c r="AY3583" s="3" t="s">
        <v>35686</v>
      </c>
      <c r="AZ3583" s="3" t="s">
        <v>35687</v>
      </c>
      <c r="BA3583" s="3" t="s">
        <v>35687</v>
      </c>
      <c r="BB3583" s="3" t="s">
        <v>35688</v>
      </c>
      <c r="BC3583" s="3" t="s">
        <v>77</v>
      </c>
      <c r="BD3583" s="3" t="s">
        <v>78</v>
      </c>
      <c r="BE3583" s="3" t="s">
        <v>35689</v>
      </c>
      <c r="BF3583" s="3" t="s">
        <v>35688</v>
      </c>
      <c r="BG3583" s="3" t="s">
        <v>35690</v>
      </c>
    </row>
    <row r="3584" spans="1:59" ht="58" x14ac:dyDescent="0.35">
      <c r="A3584" s="2" t="s">
        <v>59</v>
      </c>
      <c r="B3584" s="2" t="s">
        <v>60</v>
      </c>
      <c r="C3584" s="2" t="s">
        <v>35691</v>
      </c>
      <c r="D3584" s="2" t="s">
        <v>35692</v>
      </c>
      <c r="E3584" s="2" t="s">
        <v>35693</v>
      </c>
      <c r="G3584" s="3" t="s">
        <v>65</v>
      </c>
      <c r="I3584" s="3" t="s">
        <v>65</v>
      </c>
      <c r="J3584" s="3" t="s">
        <v>65</v>
      </c>
      <c r="K3584" s="3" t="s">
        <v>66</v>
      </c>
      <c r="L3584" s="2" t="s">
        <v>35607</v>
      </c>
      <c r="M3584" s="2" t="s">
        <v>28530</v>
      </c>
      <c r="N3584" s="3" t="s">
        <v>113</v>
      </c>
      <c r="O3584" s="2" t="s">
        <v>27453</v>
      </c>
      <c r="P3584" s="3" t="s">
        <v>140</v>
      </c>
      <c r="Q3584" s="2" t="s">
        <v>33472</v>
      </c>
      <c r="R3584" s="3" t="s">
        <v>71</v>
      </c>
      <c r="S3584" s="4">
        <v>6</v>
      </c>
      <c r="T3584" s="4">
        <v>6</v>
      </c>
      <c r="U3584" s="5" t="s">
        <v>35694</v>
      </c>
      <c r="V3584" s="5" t="s">
        <v>35694</v>
      </c>
      <c r="W3584" s="5" t="s">
        <v>72</v>
      </c>
      <c r="X3584" s="5" t="s">
        <v>72</v>
      </c>
      <c r="Y3584" s="4">
        <v>142</v>
      </c>
      <c r="Z3584" s="4">
        <v>11</v>
      </c>
      <c r="AA3584" s="4">
        <v>15</v>
      </c>
      <c r="AB3584" s="4">
        <v>2</v>
      </c>
      <c r="AC3584" s="4">
        <v>5</v>
      </c>
      <c r="AD3584" s="4">
        <v>63</v>
      </c>
      <c r="AE3584" s="4">
        <v>67</v>
      </c>
      <c r="AF3584" s="4">
        <v>0</v>
      </c>
      <c r="AG3584" s="4">
        <v>3</v>
      </c>
      <c r="AH3584" s="4">
        <v>61</v>
      </c>
      <c r="AI3584" s="4">
        <v>63</v>
      </c>
      <c r="AJ3584" s="4">
        <v>5</v>
      </c>
      <c r="AK3584" s="4">
        <v>7</v>
      </c>
      <c r="AL3584" s="4">
        <v>42</v>
      </c>
      <c r="AM3584" s="4">
        <v>43</v>
      </c>
      <c r="AN3584" s="4">
        <v>0</v>
      </c>
      <c r="AO3584" s="4">
        <v>0</v>
      </c>
      <c r="AP3584" s="4">
        <v>5</v>
      </c>
      <c r="AQ3584" s="4">
        <v>7</v>
      </c>
      <c r="AR3584" s="3" t="s">
        <v>65</v>
      </c>
      <c r="AS3584" s="3" t="s">
        <v>65</v>
      </c>
      <c r="AT3584" s="3" t="s">
        <v>65</v>
      </c>
      <c r="AV3584" s="6" t="str">
        <f>HYPERLINK("http://mcgill.on.worldcat.org/oclc/681707233","Catalog Record")</f>
        <v>Catalog Record</v>
      </c>
      <c r="AW3584" s="6" t="str">
        <f>HYPERLINK("http://www.worldcat.org/oclc/681707233","WorldCat Record")</f>
        <v>WorldCat Record</v>
      </c>
      <c r="AX3584" s="3" t="s">
        <v>35695</v>
      </c>
      <c r="AY3584" s="3" t="s">
        <v>35696</v>
      </c>
      <c r="AZ3584" s="3" t="s">
        <v>35697</v>
      </c>
      <c r="BA3584" s="3" t="s">
        <v>35697</v>
      </c>
      <c r="BB3584" s="3" t="s">
        <v>35698</v>
      </c>
      <c r="BC3584" s="3" t="s">
        <v>77</v>
      </c>
      <c r="BD3584" s="3" t="s">
        <v>78</v>
      </c>
      <c r="BE3584" s="3" t="s">
        <v>35699</v>
      </c>
      <c r="BF3584" s="3" t="s">
        <v>35698</v>
      </c>
      <c r="BG3584" s="3" t="s">
        <v>35700</v>
      </c>
    </row>
    <row r="3585" spans="1:59" ht="58" x14ac:dyDescent="0.35">
      <c r="A3585" s="2" t="s">
        <v>59</v>
      </c>
      <c r="B3585" s="2" t="s">
        <v>60</v>
      </c>
      <c r="C3585" s="2" t="s">
        <v>35701</v>
      </c>
      <c r="D3585" s="2" t="s">
        <v>35702</v>
      </c>
      <c r="E3585" s="2" t="s">
        <v>35703</v>
      </c>
      <c r="G3585" s="3" t="s">
        <v>65</v>
      </c>
      <c r="I3585" s="3" t="s">
        <v>209</v>
      </c>
      <c r="J3585" s="3" t="s">
        <v>65</v>
      </c>
      <c r="K3585" s="3" t="s">
        <v>66</v>
      </c>
      <c r="L3585" s="2" t="s">
        <v>35607</v>
      </c>
      <c r="M3585" s="2" t="s">
        <v>35704</v>
      </c>
      <c r="N3585" s="3" t="s">
        <v>126</v>
      </c>
      <c r="P3585" s="3" t="s">
        <v>69</v>
      </c>
      <c r="R3585" s="3" t="s">
        <v>71</v>
      </c>
      <c r="S3585" s="4">
        <v>8</v>
      </c>
      <c r="T3585" s="4">
        <v>16</v>
      </c>
      <c r="U3585" s="5" t="s">
        <v>35694</v>
      </c>
      <c r="V3585" s="5" t="s">
        <v>13269</v>
      </c>
      <c r="W3585" s="5" t="s">
        <v>72</v>
      </c>
      <c r="X3585" s="5" t="s">
        <v>72</v>
      </c>
      <c r="Y3585" s="4">
        <v>224</v>
      </c>
      <c r="Z3585" s="4">
        <v>5</v>
      </c>
      <c r="AA3585" s="4">
        <v>88</v>
      </c>
      <c r="AB3585" s="4">
        <v>2</v>
      </c>
      <c r="AC3585" s="4">
        <v>8</v>
      </c>
      <c r="AD3585" s="4">
        <v>11</v>
      </c>
      <c r="AE3585" s="4">
        <v>113</v>
      </c>
      <c r="AF3585" s="4">
        <v>1</v>
      </c>
      <c r="AG3585" s="4">
        <v>1</v>
      </c>
      <c r="AH3585" s="4">
        <v>10</v>
      </c>
      <c r="AI3585" s="4">
        <v>98</v>
      </c>
      <c r="AJ3585" s="4">
        <v>3</v>
      </c>
      <c r="AK3585" s="4">
        <v>16</v>
      </c>
      <c r="AL3585" s="4">
        <v>6</v>
      </c>
      <c r="AM3585" s="4">
        <v>55</v>
      </c>
      <c r="AN3585" s="4">
        <v>0</v>
      </c>
      <c r="AO3585" s="4">
        <v>0</v>
      </c>
      <c r="AP3585" s="4">
        <v>3</v>
      </c>
      <c r="AQ3585" s="4">
        <v>21</v>
      </c>
      <c r="AR3585" s="3" t="s">
        <v>65</v>
      </c>
      <c r="AS3585" s="3" t="s">
        <v>65</v>
      </c>
      <c r="AT3585" s="3" t="s">
        <v>65</v>
      </c>
      <c r="AV3585" s="6" t="str">
        <f>HYPERLINK("http://mcgill.on.worldcat.org/oclc/751804368","Catalog Record")</f>
        <v>Catalog Record</v>
      </c>
      <c r="AW3585" s="6" t="str">
        <f>HYPERLINK("http://www.worldcat.org/oclc/751804368","WorldCat Record")</f>
        <v>WorldCat Record</v>
      </c>
      <c r="AX3585" s="3" t="s">
        <v>35705</v>
      </c>
      <c r="AY3585" s="3" t="s">
        <v>35706</v>
      </c>
      <c r="AZ3585" s="3" t="s">
        <v>35707</v>
      </c>
      <c r="BA3585" s="3" t="s">
        <v>35707</v>
      </c>
      <c r="BB3585" s="3" t="s">
        <v>35708</v>
      </c>
      <c r="BC3585" s="3" t="s">
        <v>77</v>
      </c>
      <c r="BD3585" s="3" t="s">
        <v>78</v>
      </c>
      <c r="BE3585" s="3" t="s">
        <v>35709</v>
      </c>
      <c r="BF3585" s="3" t="s">
        <v>35708</v>
      </c>
      <c r="BG3585" s="3" t="s">
        <v>35710</v>
      </c>
    </row>
    <row r="3586" spans="1:59" ht="58" x14ac:dyDescent="0.35">
      <c r="A3586" s="2" t="s">
        <v>59</v>
      </c>
      <c r="B3586" s="2" t="s">
        <v>60</v>
      </c>
      <c r="C3586" s="2" t="s">
        <v>35701</v>
      </c>
      <c r="D3586" s="2" t="s">
        <v>35702</v>
      </c>
      <c r="E3586" s="2" t="s">
        <v>35703</v>
      </c>
      <c r="G3586" s="3" t="s">
        <v>65</v>
      </c>
      <c r="I3586" s="3" t="s">
        <v>209</v>
      </c>
      <c r="J3586" s="3" t="s">
        <v>65</v>
      </c>
      <c r="K3586" s="3" t="s">
        <v>66</v>
      </c>
      <c r="L3586" s="2" t="s">
        <v>35607</v>
      </c>
      <c r="M3586" s="2" t="s">
        <v>35704</v>
      </c>
      <c r="N3586" s="3" t="s">
        <v>126</v>
      </c>
      <c r="P3586" s="3" t="s">
        <v>69</v>
      </c>
      <c r="R3586" s="3" t="s">
        <v>71</v>
      </c>
      <c r="S3586" s="4">
        <v>3</v>
      </c>
      <c r="T3586" s="4">
        <v>16</v>
      </c>
      <c r="U3586" s="5" t="s">
        <v>3853</v>
      </c>
      <c r="V3586" s="5" t="s">
        <v>13269</v>
      </c>
      <c r="W3586" s="5" t="s">
        <v>72</v>
      </c>
      <c r="X3586" s="5" t="s">
        <v>72</v>
      </c>
      <c r="Y3586" s="4">
        <v>224</v>
      </c>
      <c r="Z3586" s="4">
        <v>5</v>
      </c>
      <c r="AA3586" s="4">
        <v>88</v>
      </c>
      <c r="AB3586" s="4">
        <v>2</v>
      </c>
      <c r="AC3586" s="4">
        <v>8</v>
      </c>
      <c r="AD3586" s="4">
        <v>11</v>
      </c>
      <c r="AE3586" s="4">
        <v>113</v>
      </c>
      <c r="AF3586" s="4">
        <v>1</v>
      </c>
      <c r="AG3586" s="4">
        <v>1</v>
      </c>
      <c r="AH3586" s="4">
        <v>10</v>
      </c>
      <c r="AI3586" s="4">
        <v>98</v>
      </c>
      <c r="AJ3586" s="4">
        <v>3</v>
      </c>
      <c r="AK3586" s="4">
        <v>16</v>
      </c>
      <c r="AL3586" s="4">
        <v>6</v>
      </c>
      <c r="AM3586" s="4">
        <v>55</v>
      </c>
      <c r="AN3586" s="4">
        <v>0</v>
      </c>
      <c r="AO3586" s="4">
        <v>0</v>
      </c>
      <c r="AP3586" s="4">
        <v>3</v>
      </c>
      <c r="AQ3586" s="4">
        <v>21</v>
      </c>
      <c r="AR3586" s="3" t="s">
        <v>65</v>
      </c>
      <c r="AS3586" s="3" t="s">
        <v>65</v>
      </c>
      <c r="AT3586" s="3" t="s">
        <v>65</v>
      </c>
      <c r="AV3586" s="6" t="str">
        <f>HYPERLINK("http://mcgill.on.worldcat.org/oclc/751804368","Catalog Record")</f>
        <v>Catalog Record</v>
      </c>
      <c r="AW3586" s="6" t="str">
        <f>HYPERLINK("http://www.worldcat.org/oclc/751804368","WorldCat Record")</f>
        <v>WorldCat Record</v>
      </c>
      <c r="AX3586" s="3" t="s">
        <v>35705</v>
      </c>
      <c r="AY3586" s="3" t="s">
        <v>35706</v>
      </c>
      <c r="AZ3586" s="3" t="s">
        <v>35707</v>
      </c>
      <c r="BA3586" s="3" t="s">
        <v>35707</v>
      </c>
      <c r="BB3586" s="3" t="s">
        <v>35711</v>
      </c>
      <c r="BC3586" s="3" t="s">
        <v>77</v>
      </c>
      <c r="BD3586" s="3" t="s">
        <v>78</v>
      </c>
      <c r="BE3586" s="3" t="s">
        <v>35709</v>
      </c>
      <c r="BF3586" s="3" t="s">
        <v>35711</v>
      </c>
      <c r="BG3586" s="3" t="s">
        <v>35712</v>
      </c>
    </row>
    <row r="3587" spans="1:59" ht="58" x14ac:dyDescent="0.35">
      <c r="A3587" s="2" t="s">
        <v>59</v>
      </c>
      <c r="B3587" s="2" t="s">
        <v>60</v>
      </c>
      <c r="C3587" s="2" t="s">
        <v>35701</v>
      </c>
      <c r="D3587" s="2" t="s">
        <v>35702</v>
      </c>
      <c r="E3587" s="2" t="s">
        <v>35703</v>
      </c>
      <c r="G3587" s="3" t="s">
        <v>65</v>
      </c>
      <c r="I3587" s="3" t="s">
        <v>209</v>
      </c>
      <c r="J3587" s="3" t="s">
        <v>65</v>
      </c>
      <c r="K3587" s="3" t="s">
        <v>66</v>
      </c>
      <c r="L3587" s="2" t="s">
        <v>35607</v>
      </c>
      <c r="M3587" s="2" t="s">
        <v>35704</v>
      </c>
      <c r="N3587" s="3" t="s">
        <v>126</v>
      </c>
      <c r="P3587" s="3" t="s">
        <v>69</v>
      </c>
      <c r="R3587" s="3" t="s">
        <v>71</v>
      </c>
      <c r="S3587" s="4">
        <v>5</v>
      </c>
      <c r="T3587" s="4">
        <v>16</v>
      </c>
      <c r="U3587" s="5" t="s">
        <v>13269</v>
      </c>
      <c r="V3587" s="5" t="s">
        <v>13269</v>
      </c>
      <c r="W3587" s="5" t="s">
        <v>72</v>
      </c>
      <c r="X3587" s="5" t="s">
        <v>72</v>
      </c>
      <c r="Y3587" s="4">
        <v>224</v>
      </c>
      <c r="Z3587" s="4">
        <v>5</v>
      </c>
      <c r="AA3587" s="4">
        <v>88</v>
      </c>
      <c r="AB3587" s="4">
        <v>2</v>
      </c>
      <c r="AC3587" s="4">
        <v>8</v>
      </c>
      <c r="AD3587" s="4">
        <v>11</v>
      </c>
      <c r="AE3587" s="4">
        <v>113</v>
      </c>
      <c r="AF3587" s="4">
        <v>1</v>
      </c>
      <c r="AG3587" s="4">
        <v>1</v>
      </c>
      <c r="AH3587" s="4">
        <v>10</v>
      </c>
      <c r="AI3587" s="4">
        <v>98</v>
      </c>
      <c r="AJ3587" s="4">
        <v>3</v>
      </c>
      <c r="AK3587" s="4">
        <v>16</v>
      </c>
      <c r="AL3587" s="4">
        <v>6</v>
      </c>
      <c r="AM3587" s="4">
        <v>55</v>
      </c>
      <c r="AN3587" s="4">
        <v>0</v>
      </c>
      <c r="AO3587" s="4">
        <v>0</v>
      </c>
      <c r="AP3587" s="4">
        <v>3</v>
      </c>
      <c r="AQ3587" s="4">
        <v>21</v>
      </c>
      <c r="AR3587" s="3" t="s">
        <v>65</v>
      </c>
      <c r="AS3587" s="3" t="s">
        <v>65</v>
      </c>
      <c r="AT3587" s="3" t="s">
        <v>65</v>
      </c>
      <c r="AV3587" s="6" t="str">
        <f>HYPERLINK("http://mcgill.on.worldcat.org/oclc/751804368","Catalog Record")</f>
        <v>Catalog Record</v>
      </c>
      <c r="AW3587" s="6" t="str">
        <f>HYPERLINK("http://www.worldcat.org/oclc/751804368","WorldCat Record")</f>
        <v>WorldCat Record</v>
      </c>
      <c r="AX3587" s="3" t="s">
        <v>35705</v>
      </c>
      <c r="AY3587" s="3" t="s">
        <v>35706</v>
      </c>
      <c r="AZ3587" s="3" t="s">
        <v>35707</v>
      </c>
      <c r="BA3587" s="3" t="s">
        <v>35707</v>
      </c>
      <c r="BB3587" s="3" t="s">
        <v>35713</v>
      </c>
      <c r="BC3587" s="3" t="s">
        <v>77</v>
      </c>
      <c r="BD3587" s="3" t="s">
        <v>78</v>
      </c>
      <c r="BE3587" s="3" t="s">
        <v>35709</v>
      </c>
      <c r="BF3587" s="3" t="s">
        <v>35713</v>
      </c>
      <c r="BG3587" s="3" t="s">
        <v>35714</v>
      </c>
    </row>
    <row r="3588" spans="1:59" ht="58" x14ac:dyDescent="0.35">
      <c r="A3588" s="2" t="s">
        <v>59</v>
      </c>
      <c r="B3588" s="2" t="s">
        <v>60</v>
      </c>
      <c r="C3588" s="2" t="s">
        <v>35715</v>
      </c>
      <c r="D3588" s="2" t="s">
        <v>35716</v>
      </c>
      <c r="E3588" s="2" t="s">
        <v>35717</v>
      </c>
      <c r="G3588" s="3" t="s">
        <v>65</v>
      </c>
      <c r="I3588" s="3" t="s">
        <v>65</v>
      </c>
      <c r="J3588" s="3" t="s">
        <v>65</v>
      </c>
      <c r="K3588" s="3" t="s">
        <v>66</v>
      </c>
      <c r="L3588" s="2" t="s">
        <v>35607</v>
      </c>
      <c r="M3588" s="2" t="s">
        <v>35718</v>
      </c>
      <c r="N3588" s="3" t="s">
        <v>552</v>
      </c>
      <c r="O3588" s="2" t="s">
        <v>365</v>
      </c>
      <c r="P3588" s="3" t="s">
        <v>140</v>
      </c>
      <c r="Q3588" s="2" t="s">
        <v>35719</v>
      </c>
      <c r="R3588" s="3" t="s">
        <v>71</v>
      </c>
      <c r="S3588" s="4">
        <v>8</v>
      </c>
      <c r="T3588" s="4">
        <v>8</v>
      </c>
      <c r="U3588" s="5" t="s">
        <v>35720</v>
      </c>
      <c r="V3588" s="5" t="s">
        <v>35720</v>
      </c>
      <c r="W3588" s="5" t="s">
        <v>72</v>
      </c>
      <c r="X3588" s="5" t="s">
        <v>72</v>
      </c>
      <c r="Y3588" s="4">
        <v>75</v>
      </c>
      <c r="Z3588" s="4">
        <v>6</v>
      </c>
      <c r="AA3588" s="4">
        <v>9</v>
      </c>
      <c r="AB3588" s="4">
        <v>1</v>
      </c>
      <c r="AC3588" s="4">
        <v>3</v>
      </c>
      <c r="AD3588" s="4">
        <v>33</v>
      </c>
      <c r="AE3588" s="4">
        <v>37</v>
      </c>
      <c r="AF3588" s="4">
        <v>0</v>
      </c>
      <c r="AG3588" s="4">
        <v>2</v>
      </c>
      <c r="AH3588" s="4">
        <v>33</v>
      </c>
      <c r="AI3588" s="4">
        <v>35</v>
      </c>
      <c r="AJ3588" s="4">
        <v>4</v>
      </c>
      <c r="AK3588" s="4">
        <v>7</v>
      </c>
      <c r="AL3588" s="4">
        <v>22</v>
      </c>
      <c r="AM3588" s="4">
        <v>23</v>
      </c>
      <c r="AN3588" s="4">
        <v>0</v>
      </c>
      <c r="AO3588" s="4">
        <v>0</v>
      </c>
      <c r="AP3588" s="4">
        <v>4</v>
      </c>
      <c r="AQ3588" s="4">
        <v>6</v>
      </c>
      <c r="AR3588" s="3" t="s">
        <v>65</v>
      </c>
      <c r="AS3588" s="3" t="s">
        <v>65</v>
      </c>
      <c r="AT3588" s="3" t="s">
        <v>209</v>
      </c>
      <c r="AU3588" s="6" t="str">
        <f>HYPERLINK("http://catalog.hathitrust.org/Record/006212112","HathiTrust Record")</f>
        <v>HathiTrust Record</v>
      </c>
      <c r="AV3588" s="6" t="str">
        <f>HYPERLINK("http://mcgill.on.worldcat.org/oclc/37642836","Catalog Record")</f>
        <v>Catalog Record</v>
      </c>
      <c r="AW3588" s="6" t="str">
        <f>HYPERLINK("http://www.worldcat.org/oclc/37642836","WorldCat Record")</f>
        <v>WorldCat Record</v>
      </c>
      <c r="AX3588" s="3" t="s">
        <v>35721</v>
      </c>
      <c r="AY3588" s="3" t="s">
        <v>35722</v>
      </c>
      <c r="AZ3588" s="3" t="s">
        <v>35723</v>
      </c>
      <c r="BA3588" s="3" t="s">
        <v>35723</v>
      </c>
      <c r="BB3588" s="3" t="s">
        <v>35724</v>
      </c>
      <c r="BC3588" s="3" t="s">
        <v>77</v>
      </c>
      <c r="BD3588" s="3" t="s">
        <v>78</v>
      </c>
      <c r="BE3588" s="3" t="s">
        <v>35725</v>
      </c>
      <c r="BF3588" s="3" t="s">
        <v>35724</v>
      </c>
      <c r="BG3588" s="3" t="s">
        <v>35726</v>
      </c>
    </row>
    <row r="3589" spans="1:59" ht="58" x14ac:dyDescent="0.35">
      <c r="A3589" s="2" t="s">
        <v>59</v>
      </c>
      <c r="B3589" s="2" t="s">
        <v>60</v>
      </c>
      <c r="C3589" s="2" t="s">
        <v>35727</v>
      </c>
      <c r="D3589" s="2" t="s">
        <v>35728</v>
      </c>
      <c r="E3589" s="2" t="s">
        <v>35729</v>
      </c>
      <c r="G3589" s="3" t="s">
        <v>65</v>
      </c>
      <c r="I3589" s="3" t="s">
        <v>209</v>
      </c>
      <c r="J3589" s="3" t="s">
        <v>65</v>
      </c>
      <c r="K3589" s="3" t="s">
        <v>66</v>
      </c>
      <c r="L3589" s="2" t="s">
        <v>35607</v>
      </c>
      <c r="M3589" s="2" t="s">
        <v>35730</v>
      </c>
      <c r="N3589" s="3" t="s">
        <v>364</v>
      </c>
      <c r="O3589" s="2" t="s">
        <v>33858</v>
      </c>
      <c r="P3589" s="3" t="s">
        <v>69</v>
      </c>
      <c r="R3589" s="3" t="s">
        <v>71</v>
      </c>
      <c r="S3589" s="4">
        <v>5</v>
      </c>
      <c r="T3589" s="4">
        <v>18</v>
      </c>
      <c r="U3589" s="5" t="s">
        <v>35731</v>
      </c>
      <c r="V3589" s="5" t="s">
        <v>10154</v>
      </c>
      <c r="W3589" s="5" t="s">
        <v>72</v>
      </c>
      <c r="X3589" s="5" t="s">
        <v>72</v>
      </c>
      <c r="Y3589" s="4">
        <v>897</v>
      </c>
      <c r="Z3589" s="4">
        <v>31</v>
      </c>
      <c r="AA3589" s="4">
        <v>36</v>
      </c>
      <c r="AB3589" s="4">
        <v>3</v>
      </c>
      <c r="AC3589" s="4">
        <v>6</v>
      </c>
      <c r="AD3589" s="4">
        <v>99</v>
      </c>
      <c r="AE3589" s="4">
        <v>103</v>
      </c>
      <c r="AF3589" s="4">
        <v>0</v>
      </c>
      <c r="AG3589" s="4">
        <v>0</v>
      </c>
      <c r="AH3589" s="4">
        <v>91</v>
      </c>
      <c r="AI3589" s="4">
        <v>94</v>
      </c>
      <c r="AJ3589" s="4">
        <v>11</v>
      </c>
      <c r="AK3589" s="4">
        <v>11</v>
      </c>
      <c r="AL3589" s="4">
        <v>51</v>
      </c>
      <c r="AM3589" s="4">
        <v>52</v>
      </c>
      <c r="AN3589" s="4">
        <v>0</v>
      </c>
      <c r="AO3589" s="4">
        <v>0</v>
      </c>
      <c r="AP3589" s="4">
        <v>13</v>
      </c>
      <c r="AQ3589" s="4">
        <v>15</v>
      </c>
      <c r="AR3589" s="3" t="s">
        <v>65</v>
      </c>
      <c r="AS3589" s="3" t="s">
        <v>65</v>
      </c>
      <c r="AT3589" s="3" t="s">
        <v>209</v>
      </c>
      <c r="AU3589" s="6" t="str">
        <f>HYPERLINK("http://catalog.hathitrust.org/Record/004205352","HathiTrust Record")</f>
        <v>HathiTrust Record</v>
      </c>
      <c r="AV3589" s="6" t="str">
        <f>HYPERLINK("http://mcgill.on.worldcat.org/oclc/46565127","Catalog Record")</f>
        <v>Catalog Record</v>
      </c>
      <c r="AW3589" s="6" t="str">
        <f>HYPERLINK("http://www.worldcat.org/oclc/46565127","WorldCat Record")</f>
        <v>WorldCat Record</v>
      </c>
      <c r="AX3589" s="3" t="s">
        <v>35732</v>
      </c>
      <c r="AY3589" s="3" t="s">
        <v>35733</v>
      </c>
      <c r="AZ3589" s="3" t="s">
        <v>35734</v>
      </c>
      <c r="BA3589" s="3" t="s">
        <v>35734</v>
      </c>
      <c r="BB3589" s="3" t="s">
        <v>35735</v>
      </c>
      <c r="BC3589" s="3" t="s">
        <v>77</v>
      </c>
      <c r="BD3589" s="3" t="s">
        <v>78</v>
      </c>
      <c r="BE3589" s="3" t="s">
        <v>35736</v>
      </c>
      <c r="BF3589" s="3" t="s">
        <v>35735</v>
      </c>
      <c r="BG3589" s="3" t="s">
        <v>35737</v>
      </c>
    </row>
    <row r="3590" spans="1:59" ht="58" x14ac:dyDescent="0.35">
      <c r="A3590" s="2" t="s">
        <v>59</v>
      </c>
      <c r="B3590" s="2" t="s">
        <v>60</v>
      </c>
      <c r="C3590" s="2" t="s">
        <v>35727</v>
      </c>
      <c r="D3590" s="2" t="s">
        <v>35728</v>
      </c>
      <c r="E3590" s="2" t="s">
        <v>35729</v>
      </c>
      <c r="G3590" s="3" t="s">
        <v>65</v>
      </c>
      <c r="I3590" s="3" t="s">
        <v>209</v>
      </c>
      <c r="J3590" s="3" t="s">
        <v>65</v>
      </c>
      <c r="K3590" s="3" t="s">
        <v>66</v>
      </c>
      <c r="L3590" s="2" t="s">
        <v>35607</v>
      </c>
      <c r="M3590" s="2" t="s">
        <v>35730</v>
      </c>
      <c r="N3590" s="3" t="s">
        <v>364</v>
      </c>
      <c r="O3590" s="2" t="s">
        <v>33858</v>
      </c>
      <c r="P3590" s="3" t="s">
        <v>69</v>
      </c>
      <c r="R3590" s="3" t="s">
        <v>71</v>
      </c>
      <c r="S3590" s="4">
        <v>13</v>
      </c>
      <c r="T3590" s="4">
        <v>18</v>
      </c>
      <c r="U3590" s="5" t="s">
        <v>10154</v>
      </c>
      <c r="V3590" s="5" t="s">
        <v>10154</v>
      </c>
      <c r="W3590" s="5" t="s">
        <v>72</v>
      </c>
      <c r="X3590" s="5" t="s">
        <v>72</v>
      </c>
      <c r="Y3590" s="4">
        <v>897</v>
      </c>
      <c r="Z3590" s="4">
        <v>31</v>
      </c>
      <c r="AA3590" s="4">
        <v>36</v>
      </c>
      <c r="AB3590" s="4">
        <v>3</v>
      </c>
      <c r="AC3590" s="4">
        <v>6</v>
      </c>
      <c r="AD3590" s="4">
        <v>99</v>
      </c>
      <c r="AE3590" s="4">
        <v>103</v>
      </c>
      <c r="AF3590" s="4">
        <v>0</v>
      </c>
      <c r="AG3590" s="4">
        <v>0</v>
      </c>
      <c r="AH3590" s="4">
        <v>91</v>
      </c>
      <c r="AI3590" s="4">
        <v>94</v>
      </c>
      <c r="AJ3590" s="4">
        <v>11</v>
      </c>
      <c r="AK3590" s="4">
        <v>11</v>
      </c>
      <c r="AL3590" s="4">
        <v>51</v>
      </c>
      <c r="AM3590" s="4">
        <v>52</v>
      </c>
      <c r="AN3590" s="4">
        <v>0</v>
      </c>
      <c r="AO3590" s="4">
        <v>0</v>
      </c>
      <c r="AP3590" s="4">
        <v>13</v>
      </c>
      <c r="AQ3590" s="4">
        <v>15</v>
      </c>
      <c r="AR3590" s="3" t="s">
        <v>65</v>
      </c>
      <c r="AS3590" s="3" t="s">
        <v>65</v>
      </c>
      <c r="AT3590" s="3" t="s">
        <v>209</v>
      </c>
      <c r="AU3590" s="6" t="str">
        <f>HYPERLINK("http://catalog.hathitrust.org/Record/004205352","HathiTrust Record")</f>
        <v>HathiTrust Record</v>
      </c>
      <c r="AV3590" s="6" t="str">
        <f>HYPERLINK("http://mcgill.on.worldcat.org/oclc/46565127","Catalog Record")</f>
        <v>Catalog Record</v>
      </c>
      <c r="AW3590" s="6" t="str">
        <f>HYPERLINK("http://www.worldcat.org/oclc/46565127","WorldCat Record")</f>
        <v>WorldCat Record</v>
      </c>
      <c r="AX3590" s="3" t="s">
        <v>35732</v>
      </c>
      <c r="AY3590" s="3" t="s">
        <v>35733</v>
      </c>
      <c r="AZ3590" s="3" t="s">
        <v>35734</v>
      </c>
      <c r="BA3590" s="3" t="s">
        <v>35734</v>
      </c>
      <c r="BB3590" s="3" t="s">
        <v>35738</v>
      </c>
      <c r="BC3590" s="3" t="s">
        <v>77</v>
      </c>
      <c r="BD3590" s="3" t="s">
        <v>78</v>
      </c>
      <c r="BE3590" s="3" t="s">
        <v>35736</v>
      </c>
      <c r="BF3590" s="3" t="s">
        <v>35738</v>
      </c>
      <c r="BG3590" s="3" t="s">
        <v>35739</v>
      </c>
    </row>
    <row r="3591" spans="1:59" ht="58" x14ac:dyDescent="0.35">
      <c r="A3591" s="2" t="s">
        <v>59</v>
      </c>
      <c r="B3591" s="2" t="s">
        <v>60</v>
      </c>
      <c r="C3591" s="2" t="s">
        <v>35740</v>
      </c>
      <c r="D3591" s="2" t="s">
        <v>35741</v>
      </c>
      <c r="E3591" s="2" t="s">
        <v>35742</v>
      </c>
      <c r="G3591" s="3" t="s">
        <v>65</v>
      </c>
      <c r="I3591" s="3" t="s">
        <v>65</v>
      </c>
      <c r="J3591" s="3" t="s">
        <v>65</v>
      </c>
      <c r="K3591" s="3" t="s">
        <v>66</v>
      </c>
      <c r="L3591" s="2" t="s">
        <v>35607</v>
      </c>
      <c r="M3591" s="2" t="s">
        <v>35743</v>
      </c>
      <c r="N3591" s="3" t="s">
        <v>139</v>
      </c>
      <c r="O3591" s="2" t="s">
        <v>2086</v>
      </c>
      <c r="P3591" s="3" t="s">
        <v>69</v>
      </c>
      <c r="R3591" s="3" t="s">
        <v>71</v>
      </c>
      <c r="S3591" s="4">
        <v>1</v>
      </c>
      <c r="T3591" s="4">
        <v>1</v>
      </c>
      <c r="U3591" s="5" t="s">
        <v>35744</v>
      </c>
      <c r="V3591" s="5" t="s">
        <v>35744</v>
      </c>
      <c r="W3591" s="5" t="s">
        <v>72</v>
      </c>
      <c r="X3591" s="5" t="s">
        <v>72</v>
      </c>
      <c r="Y3591" s="4">
        <v>588</v>
      </c>
      <c r="Z3591" s="4">
        <v>35</v>
      </c>
      <c r="AA3591" s="4">
        <v>39</v>
      </c>
      <c r="AB3591" s="4">
        <v>4</v>
      </c>
      <c r="AC3591" s="4">
        <v>6</v>
      </c>
      <c r="AD3591" s="4">
        <v>78</v>
      </c>
      <c r="AE3591" s="4">
        <v>84</v>
      </c>
      <c r="AF3591" s="4">
        <v>0</v>
      </c>
      <c r="AG3591" s="4">
        <v>0</v>
      </c>
      <c r="AH3591" s="4">
        <v>72</v>
      </c>
      <c r="AI3591" s="4">
        <v>77</v>
      </c>
      <c r="AJ3591" s="4">
        <v>13</v>
      </c>
      <c r="AK3591" s="4">
        <v>13</v>
      </c>
      <c r="AL3591" s="4">
        <v>44</v>
      </c>
      <c r="AM3591" s="4">
        <v>46</v>
      </c>
      <c r="AN3591" s="4">
        <v>0</v>
      </c>
      <c r="AO3591" s="4">
        <v>0</v>
      </c>
      <c r="AP3591" s="4">
        <v>14</v>
      </c>
      <c r="AQ3591" s="4">
        <v>15</v>
      </c>
      <c r="AR3591" s="3" t="s">
        <v>65</v>
      </c>
      <c r="AS3591" s="3" t="s">
        <v>65</v>
      </c>
      <c r="AT3591" s="3" t="s">
        <v>65</v>
      </c>
      <c r="AV3591" s="6" t="str">
        <f>HYPERLINK("http://mcgill.on.worldcat.org/oclc/772100931","Catalog Record")</f>
        <v>Catalog Record</v>
      </c>
      <c r="AW3591" s="6" t="str">
        <f>HYPERLINK("http://www.worldcat.org/oclc/772100931","WorldCat Record")</f>
        <v>WorldCat Record</v>
      </c>
      <c r="AX3591" s="3" t="s">
        <v>35745</v>
      </c>
      <c r="AY3591" s="3" t="s">
        <v>35746</v>
      </c>
      <c r="AZ3591" s="3" t="s">
        <v>35747</v>
      </c>
      <c r="BA3591" s="3" t="s">
        <v>35747</v>
      </c>
      <c r="BB3591" s="3" t="s">
        <v>35748</v>
      </c>
      <c r="BC3591" s="3" t="s">
        <v>77</v>
      </c>
      <c r="BD3591" s="3" t="s">
        <v>78</v>
      </c>
      <c r="BE3591" s="3" t="s">
        <v>35749</v>
      </c>
      <c r="BF3591" s="3" t="s">
        <v>35748</v>
      </c>
      <c r="BG3591" s="3" t="s">
        <v>35750</v>
      </c>
    </row>
    <row r="3592" spans="1:59" ht="58" x14ac:dyDescent="0.35">
      <c r="A3592" s="2" t="s">
        <v>59</v>
      </c>
      <c r="B3592" s="2" t="s">
        <v>60</v>
      </c>
      <c r="C3592" s="2" t="s">
        <v>35751</v>
      </c>
      <c r="D3592" s="2" t="s">
        <v>35752</v>
      </c>
      <c r="E3592" s="2" t="s">
        <v>35753</v>
      </c>
      <c r="G3592" s="3" t="s">
        <v>65</v>
      </c>
      <c r="I3592" s="3" t="s">
        <v>209</v>
      </c>
      <c r="J3592" s="3" t="s">
        <v>65</v>
      </c>
      <c r="K3592" s="3" t="s">
        <v>66</v>
      </c>
      <c r="L3592" s="2" t="s">
        <v>35636</v>
      </c>
      <c r="M3592" s="2" t="s">
        <v>35754</v>
      </c>
      <c r="N3592" s="3" t="s">
        <v>1196</v>
      </c>
      <c r="O3592" s="2" t="s">
        <v>526</v>
      </c>
      <c r="P3592" s="3" t="s">
        <v>69</v>
      </c>
      <c r="R3592" s="3" t="s">
        <v>71</v>
      </c>
      <c r="S3592" s="4">
        <v>6</v>
      </c>
      <c r="T3592" s="4">
        <v>12</v>
      </c>
      <c r="U3592" s="5" t="s">
        <v>16079</v>
      </c>
      <c r="V3592" s="5" t="s">
        <v>16079</v>
      </c>
      <c r="W3592" s="5" t="s">
        <v>72</v>
      </c>
      <c r="X3592" s="5" t="s">
        <v>72</v>
      </c>
      <c r="Y3592" s="4">
        <v>1599</v>
      </c>
      <c r="Z3592" s="4">
        <v>67</v>
      </c>
      <c r="AA3592" s="4">
        <v>71</v>
      </c>
      <c r="AB3592" s="4">
        <v>3</v>
      </c>
      <c r="AC3592" s="4">
        <v>4</v>
      </c>
      <c r="AD3592" s="4">
        <v>112</v>
      </c>
      <c r="AE3592" s="4">
        <v>117</v>
      </c>
      <c r="AF3592" s="4">
        <v>0</v>
      </c>
      <c r="AG3592" s="4">
        <v>0</v>
      </c>
      <c r="AH3592" s="4">
        <v>97</v>
      </c>
      <c r="AI3592" s="4">
        <v>99</v>
      </c>
      <c r="AJ3592" s="4">
        <v>14</v>
      </c>
      <c r="AK3592" s="4">
        <v>15</v>
      </c>
      <c r="AL3592" s="4">
        <v>54</v>
      </c>
      <c r="AM3592" s="4">
        <v>55</v>
      </c>
      <c r="AN3592" s="4">
        <v>0</v>
      </c>
      <c r="AO3592" s="4">
        <v>0</v>
      </c>
      <c r="AP3592" s="4">
        <v>21</v>
      </c>
      <c r="AQ3592" s="4">
        <v>24</v>
      </c>
      <c r="AR3592" s="3" t="s">
        <v>65</v>
      </c>
      <c r="AS3592" s="3" t="s">
        <v>65</v>
      </c>
      <c r="AT3592" s="3" t="s">
        <v>65</v>
      </c>
      <c r="AV3592" s="6" t="str">
        <f>HYPERLINK("http://mcgill.on.worldcat.org/oclc/60315675","Catalog Record")</f>
        <v>Catalog Record</v>
      </c>
      <c r="AW3592" s="6" t="str">
        <f>HYPERLINK("http://www.worldcat.org/oclc/60315675","WorldCat Record")</f>
        <v>WorldCat Record</v>
      </c>
      <c r="AX3592" s="3" t="s">
        <v>35755</v>
      </c>
      <c r="AY3592" s="3" t="s">
        <v>35756</v>
      </c>
      <c r="AZ3592" s="3" t="s">
        <v>35757</v>
      </c>
      <c r="BA3592" s="3" t="s">
        <v>35757</v>
      </c>
      <c r="BB3592" s="3" t="s">
        <v>35758</v>
      </c>
      <c r="BC3592" s="3" t="s">
        <v>77</v>
      </c>
      <c r="BD3592" s="3" t="s">
        <v>78</v>
      </c>
      <c r="BE3592" s="3" t="s">
        <v>35759</v>
      </c>
      <c r="BF3592" s="3" t="s">
        <v>35758</v>
      </c>
      <c r="BG3592" s="3" t="s">
        <v>35760</v>
      </c>
    </row>
    <row r="3593" spans="1:59" ht="58" x14ac:dyDescent="0.35">
      <c r="A3593" s="2" t="s">
        <v>59</v>
      </c>
      <c r="B3593" s="2" t="s">
        <v>60</v>
      </c>
      <c r="C3593" s="2" t="s">
        <v>35751</v>
      </c>
      <c r="D3593" s="2" t="s">
        <v>35752</v>
      </c>
      <c r="E3593" s="2" t="s">
        <v>35753</v>
      </c>
      <c r="G3593" s="3" t="s">
        <v>65</v>
      </c>
      <c r="I3593" s="3" t="s">
        <v>209</v>
      </c>
      <c r="J3593" s="3" t="s">
        <v>65</v>
      </c>
      <c r="K3593" s="3" t="s">
        <v>66</v>
      </c>
      <c r="L3593" s="2" t="s">
        <v>35636</v>
      </c>
      <c r="M3593" s="2" t="s">
        <v>35754</v>
      </c>
      <c r="N3593" s="3" t="s">
        <v>1196</v>
      </c>
      <c r="O3593" s="2" t="s">
        <v>526</v>
      </c>
      <c r="P3593" s="3" t="s">
        <v>69</v>
      </c>
      <c r="R3593" s="3" t="s">
        <v>71</v>
      </c>
      <c r="S3593" s="4">
        <v>6</v>
      </c>
      <c r="T3593" s="4">
        <v>12</v>
      </c>
      <c r="U3593" s="5" t="s">
        <v>4391</v>
      </c>
      <c r="V3593" s="5" t="s">
        <v>16079</v>
      </c>
      <c r="W3593" s="5" t="s">
        <v>72</v>
      </c>
      <c r="X3593" s="5" t="s">
        <v>72</v>
      </c>
      <c r="Y3593" s="4">
        <v>1599</v>
      </c>
      <c r="Z3593" s="4">
        <v>67</v>
      </c>
      <c r="AA3593" s="4">
        <v>71</v>
      </c>
      <c r="AB3593" s="4">
        <v>3</v>
      </c>
      <c r="AC3593" s="4">
        <v>4</v>
      </c>
      <c r="AD3593" s="4">
        <v>112</v>
      </c>
      <c r="AE3593" s="4">
        <v>117</v>
      </c>
      <c r="AF3593" s="4">
        <v>0</v>
      </c>
      <c r="AG3593" s="4">
        <v>0</v>
      </c>
      <c r="AH3593" s="4">
        <v>97</v>
      </c>
      <c r="AI3593" s="4">
        <v>99</v>
      </c>
      <c r="AJ3593" s="4">
        <v>14</v>
      </c>
      <c r="AK3593" s="4">
        <v>15</v>
      </c>
      <c r="AL3593" s="4">
        <v>54</v>
      </c>
      <c r="AM3593" s="4">
        <v>55</v>
      </c>
      <c r="AN3593" s="4">
        <v>0</v>
      </c>
      <c r="AO3593" s="4">
        <v>0</v>
      </c>
      <c r="AP3593" s="4">
        <v>21</v>
      </c>
      <c r="AQ3593" s="4">
        <v>24</v>
      </c>
      <c r="AR3593" s="3" t="s">
        <v>65</v>
      </c>
      <c r="AS3593" s="3" t="s">
        <v>65</v>
      </c>
      <c r="AT3593" s="3" t="s">
        <v>65</v>
      </c>
      <c r="AV3593" s="6" t="str">
        <f>HYPERLINK("http://mcgill.on.worldcat.org/oclc/60315675","Catalog Record")</f>
        <v>Catalog Record</v>
      </c>
      <c r="AW3593" s="6" t="str">
        <f>HYPERLINK("http://www.worldcat.org/oclc/60315675","WorldCat Record")</f>
        <v>WorldCat Record</v>
      </c>
      <c r="AX3593" s="3" t="s">
        <v>35755</v>
      </c>
      <c r="AY3593" s="3" t="s">
        <v>35756</v>
      </c>
      <c r="AZ3593" s="3" t="s">
        <v>35757</v>
      </c>
      <c r="BA3593" s="3" t="s">
        <v>35757</v>
      </c>
      <c r="BB3593" s="3" t="s">
        <v>35761</v>
      </c>
      <c r="BC3593" s="3" t="s">
        <v>77</v>
      </c>
      <c r="BD3593" s="3" t="s">
        <v>78</v>
      </c>
      <c r="BE3593" s="3" t="s">
        <v>35759</v>
      </c>
      <c r="BF3593" s="3" t="s">
        <v>35761</v>
      </c>
      <c r="BG3593" s="3" t="s">
        <v>35762</v>
      </c>
    </row>
    <row r="3594" spans="1:59" ht="58" x14ac:dyDescent="0.35">
      <c r="A3594" s="2" t="s">
        <v>59</v>
      </c>
      <c r="B3594" s="2" t="s">
        <v>60</v>
      </c>
      <c r="C3594" s="2" t="s">
        <v>35763</v>
      </c>
      <c r="D3594" s="2" t="s">
        <v>35764</v>
      </c>
      <c r="E3594" s="2" t="s">
        <v>35765</v>
      </c>
      <c r="G3594" s="3" t="s">
        <v>65</v>
      </c>
      <c r="I3594" s="3" t="s">
        <v>209</v>
      </c>
      <c r="J3594" s="3" t="s">
        <v>209</v>
      </c>
      <c r="K3594" s="3" t="s">
        <v>66</v>
      </c>
      <c r="L3594" s="2" t="s">
        <v>35607</v>
      </c>
      <c r="M3594" s="2" t="s">
        <v>35766</v>
      </c>
      <c r="N3594" s="3" t="s">
        <v>214</v>
      </c>
      <c r="O3594" s="2" t="s">
        <v>526</v>
      </c>
      <c r="P3594" s="3" t="s">
        <v>69</v>
      </c>
      <c r="R3594" s="3" t="s">
        <v>71</v>
      </c>
      <c r="S3594" s="4">
        <v>21</v>
      </c>
      <c r="T3594" s="4">
        <v>206</v>
      </c>
      <c r="U3594" s="5" t="s">
        <v>5272</v>
      </c>
      <c r="V3594" s="5" t="s">
        <v>5272</v>
      </c>
      <c r="W3594" s="5" t="s">
        <v>72</v>
      </c>
      <c r="X3594" s="5" t="s">
        <v>72</v>
      </c>
      <c r="Y3594" s="4">
        <v>3111</v>
      </c>
      <c r="Z3594" s="4">
        <v>98</v>
      </c>
      <c r="AA3594" s="4">
        <v>135</v>
      </c>
      <c r="AB3594" s="4">
        <v>5</v>
      </c>
      <c r="AC3594" s="4">
        <v>13</v>
      </c>
      <c r="AD3594" s="4">
        <v>144</v>
      </c>
      <c r="AE3594" s="4">
        <v>157</v>
      </c>
      <c r="AF3594" s="4">
        <v>2</v>
      </c>
      <c r="AG3594" s="4">
        <v>5</v>
      </c>
      <c r="AH3594" s="4">
        <v>107</v>
      </c>
      <c r="AI3594" s="4">
        <v>113</v>
      </c>
      <c r="AJ3594" s="4">
        <v>21</v>
      </c>
      <c r="AK3594" s="4">
        <v>26</v>
      </c>
      <c r="AL3594" s="4">
        <v>60</v>
      </c>
      <c r="AM3594" s="4">
        <v>62</v>
      </c>
      <c r="AN3594" s="4">
        <v>0</v>
      </c>
      <c r="AO3594" s="4">
        <v>0</v>
      </c>
      <c r="AP3594" s="4">
        <v>42</v>
      </c>
      <c r="AQ3594" s="4">
        <v>49</v>
      </c>
      <c r="AR3594" s="3" t="s">
        <v>65</v>
      </c>
      <c r="AS3594" s="3" t="s">
        <v>65</v>
      </c>
      <c r="AT3594" s="3" t="s">
        <v>65</v>
      </c>
      <c r="AV3594" s="6" t="str">
        <f>HYPERLINK("http://mcgill.on.worldcat.org/oclc/8954772","Catalog Record")</f>
        <v>Catalog Record</v>
      </c>
      <c r="AW3594" s="6" t="str">
        <f>HYPERLINK("http://www.worldcat.org/oclc/8954772","WorldCat Record")</f>
        <v>WorldCat Record</v>
      </c>
      <c r="AX3594" s="3" t="s">
        <v>35767</v>
      </c>
      <c r="AY3594" s="3" t="s">
        <v>35768</v>
      </c>
      <c r="AZ3594" s="3" t="s">
        <v>35769</v>
      </c>
      <c r="BA3594" s="3" t="s">
        <v>35769</v>
      </c>
      <c r="BB3594" s="3" t="s">
        <v>35770</v>
      </c>
      <c r="BC3594" s="3" t="s">
        <v>77</v>
      </c>
      <c r="BD3594" s="3" t="s">
        <v>78</v>
      </c>
      <c r="BE3594" s="3" t="s">
        <v>35771</v>
      </c>
      <c r="BF3594" s="3" t="s">
        <v>35770</v>
      </c>
      <c r="BG3594" s="3" t="s">
        <v>35772</v>
      </c>
    </row>
    <row r="3595" spans="1:59" ht="58" x14ac:dyDescent="0.35">
      <c r="A3595" s="2" t="s">
        <v>59</v>
      </c>
      <c r="B3595" s="2" t="s">
        <v>60</v>
      </c>
      <c r="C3595" s="2" t="s">
        <v>35763</v>
      </c>
      <c r="D3595" s="2" t="s">
        <v>35764</v>
      </c>
      <c r="E3595" s="2" t="s">
        <v>35765</v>
      </c>
      <c r="G3595" s="3" t="s">
        <v>65</v>
      </c>
      <c r="I3595" s="3" t="s">
        <v>209</v>
      </c>
      <c r="J3595" s="3" t="s">
        <v>209</v>
      </c>
      <c r="K3595" s="3" t="s">
        <v>66</v>
      </c>
      <c r="L3595" s="2" t="s">
        <v>35607</v>
      </c>
      <c r="M3595" s="2" t="s">
        <v>35766</v>
      </c>
      <c r="N3595" s="3" t="s">
        <v>214</v>
      </c>
      <c r="O3595" s="2" t="s">
        <v>526</v>
      </c>
      <c r="P3595" s="3" t="s">
        <v>69</v>
      </c>
      <c r="R3595" s="3" t="s">
        <v>71</v>
      </c>
      <c r="S3595" s="4">
        <v>0</v>
      </c>
      <c r="T3595" s="4">
        <v>206</v>
      </c>
      <c r="V3595" s="5" t="s">
        <v>5272</v>
      </c>
      <c r="W3595" s="5" t="s">
        <v>72</v>
      </c>
      <c r="X3595" s="5" t="s">
        <v>72</v>
      </c>
      <c r="Y3595" s="4">
        <v>3111</v>
      </c>
      <c r="Z3595" s="4">
        <v>98</v>
      </c>
      <c r="AA3595" s="4">
        <v>135</v>
      </c>
      <c r="AB3595" s="4">
        <v>5</v>
      </c>
      <c r="AC3595" s="4">
        <v>13</v>
      </c>
      <c r="AD3595" s="4">
        <v>144</v>
      </c>
      <c r="AE3595" s="4">
        <v>157</v>
      </c>
      <c r="AF3595" s="4">
        <v>2</v>
      </c>
      <c r="AG3595" s="4">
        <v>5</v>
      </c>
      <c r="AH3595" s="4">
        <v>107</v>
      </c>
      <c r="AI3595" s="4">
        <v>113</v>
      </c>
      <c r="AJ3595" s="4">
        <v>21</v>
      </c>
      <c r="AK3595" s="4">
        <v>26</v>
      </c>
      <c r="AL3595" s="4">
        <v>60</v>
      </c>
      <c r="AM3595" s="4">
        <v>62</v>
      </c>
      <c r="AN3595" s="4">
        <v>0</v>
      </c>
      <c r="AO3595" s="4">
        <v>0</v>
      </c>
      <c r="AP3595" s="4">
        <v>42</v>
      </c>
      <c r="AQ3595" s="4">
        <v>49</v>
      </c>
      <c r="AR3595" s="3" t="s">
        <v>65</v>
      </c>
      <c r="AS3595" s="3" t="s">
        <v>65</v>
      </c>
      <c r="AT3595" s="3" t="s">
        <v>65</v>
      </c>
      <c r="AV3595" s="6" t="str">
        <f>HYPERLINK("http://mcgill.on.worldcat.org/oclc/8954772","Catalog Record")</f>
        <v>Catalog Record</v>
      </c>
      <c r="AW3595" s="6" t="str">
        <f>HYPERLINK("http://www.worldcat.org/oclc/8954772","WorldCat Record")</f>
        <v>WorldCat Record</v>
      </c>
      <c r="AX3595" s="3" t="s">
        <v>35767</v>
      </c>
      <c r="AY3595" s="3" t="s">
        <v>35768</v>
      </c>
      <c r="AZ3595" s="3" t="s">
        <v>35769</v>
      </c>
      <c r="BA3595" s="3" t="s">
        <v>35769</v>
      </c>
      <c r="BB3595" s="3" t="s">
        <v>35773</v>
      </c>
      <c r="BC3595" s="3" t="s">
        <v>77</v>
      </c>
      <c r="BD3595" s="3" t="s">
        <v>78</v>
      </c>
      <c r="BE3595" s="3" t="s">
        <v>35771</v>
      </c>
      <c r="BF3595" s="3" t="s">
        <v>35773</v>
      </c>
      <c r="BG3595" s="3" t="s">
        <v>35774</v>
      </c>
    </row>
    <row r="3596" spans="1:59" ht="58" x14ac:dyDescent="0.35">
      <c r="A3596" s="2" t="s">
        <v>59</v>
      </c>
      <c r="B3596" s="2" t="s">
        <v>60</v>
      </c>
      <c r="C3596" s="2" t="s">
        <v>35763</v>
      </c>
      <c r="D3596" s="2" t="s">
        <v>35764</v>
      </c>
      <c r="E3596" s="2" t="s">
        <v>35765</v>
      </c>
      <c r="G3596" s="3" t="s">
        <v>65</v>
      </c>
      <c r="I3596" s="3" t="s">
        <v>209</v>
      </c>
      <c r="J3596" s="3" t="s">
        <v>209</v>
      </c>
      <c r="K3596" s="3" t="s">
        <v>66</v>
      </c>
      <c r="L3596" s="2" t="s">
        <v>35607</v>
      </c>
      <c r="M3596" s="2" t="s">
        <v>35766</v>
      </c>
      <c r="N3596" s="3" t="s">
        <v>214</v>
      </c>
      <c r="O3596" s="2" t="s">
        <v>526</v>
      </c>
      <c r="P3596" s="3" t="s">
        <v>69</v>
      </c>
      <c r="R3596" s="3" t="s">
        <v>71</v>
      </c>
      <c r="S3596" s="4">
        <v>52</v>
      </c>
      <c r="T3596" s="4">
        <v>206</v>
      </c>
      <c r="U3596" s="5" t="s">
        <v>35775</v>
      </c>
      <c r="V3596" s="5" t="s">
        <v>5272</v>
      </c>
      <c r="W3596" s="5" t="s">
        <v>72</v>
      </c>
      <c r="X3596" s="5" t="s">
        <v>72</v>
      </c>
      <c r="Y3596" s="4">
        <v>3111</v>
      </c>
      <c r="Z3596" s="4">
        <v>98</v>
      </c>
      <c r="AA3596" s="4">
        <v>135</v>
      </c>
      <c r="AB3596" s="4">
        <v>5</v>
      </c>
      <c r="AC3596" s="4">
        <v>13</v>
      </c>
      <c r="AD3596" s="4">
        <v>144</v>
      </c>
      <c r="AE3596" s="4">
        <v>157</v>
      </c>
      <c r="AF3596" s="4">
        <v>2</v>
      </c>
      <c r="AG3596" s="4">
        <v>5</v>
      </c>
      <c r="AH3596" s="4">
        <v>107</v>
      </c>
      <c r="AI3596" s="4">
        <v>113</v>
      </c>
      <c r="AJ3596" s="4">
        <v>21</v>
      </c>
      <c r="AK3596" s="4">
        <v>26</v>
      </c>
      <c r="AL3596" s="4">
        <v>60</v>
      </c>
      <c r="AM3596" s="4">
        <v>62</v>
      </c>
      <c r="AN3596" s="4">
        <v>0</v>
      </c>
      <c r="AO3596" s="4">
        <v>0</v>
      </c>
      <c r="AP3596" s="4">
        <v>42</v>
      </c>
      <c r="AQ3596" s="4">
        <v>49</v>
      </c>
      <c r="AR3596" s="3" t="s">
        <v>65</v>
      </c>
      <c r="AS3596" s="3" t="s">
        <v>65</v>
      </c>
      <c r="AT3596" s="3" t="s">
        <v>65</v>
      </c>
      <c r="AV3596" s="6" t="str">
        <f>HYPERLINK("http://mcgill.on.worldcat.org/oclc/8954772","Catalog Record")</f>
        <v>Catalog Record</v>
      </c>
      <c r="AW3596" s="6" t="str">
        <f>HYPERLINK("http://www.worldcat.org/oclc/8954772","WorldCat Record")</f>
        <v>WorldCat Record</v>
      </c>
      <c r="AX3596" s="3" t="s">
        <v>35767</v>
      </c>
      <c r="AY3596" s="3" t="s">
        <v>35768</v>
      </c>
      <c r="AZ3596" s="3" t="s">
        <v>35769</v>
      </c>
      <c r="BA3596" s="3" t="s">
        <v>35769</v>
      </c>
      <c r="BB3596" s="3" t="s">
        <v>35776</v>
      </c>
      <c r="BC3596" s="3" t="s">
        <v>77</v>
      </c>
      <c r="BD3596" s="3" t="s">
        <v>78</v>
      </c>
      <c r="BE3596" s="3" t="s">
        <v>35771</v>
      </c>
      <c r="BF3596" s="3" t="s">
        <v>35776</v>
      </c>
      <c r="BG3596" s="3" t="s">
        <v>35777</v>
      </c>
    </row>
    <row r="3597" spans="1:59" ht="58" x14ac:dyDescent="0.35">
      <c r="A3597" s="2" t="s">
        <v>59</v>
      </c>
      <c r="B3597" s="2" t="s">
        <v>60</v>
      </c>
      <c r="C3597" s="2" t="s">
        <v>35763</v>
      </c>
      <c r="D3597" s="2" t="s">
        <v>35764</v>
      </c>
      <c r="E3597" s="2" t="s">
        <v>35765</v>
      </c>
      <c r="G3597" s="3" t="s">
        <v>65</v>
      </c>
      <c r="I3597" s="3" t="s">
        <v>209</v>
      </c>
      <c r="J3597" s="3" t="s">
        <v>209</v>
      </c>
      <c r="K3597" s="3" t="s">
        <v>66</v>
      </c>
      <c r="L3597" s="2" t="s">
        <v>35607</v>
      </c>
      <c r="M3597" s="2" t="s">
        <v>35766</v>
      </c>
      <c r="N3597" s="3" t="s">
        <v>214</v>
      </c>
      <c r="O3597" s="2" t="s">
        <v>526</v>
      </c>
      <c r="P3597" s="3" t="s">
        <v>69</v>
      </c>
      <c r="R3597" s="3" t="s">
        <v>71</v>
      </c>
      <c r="S3597" s="4">
        <v>68</v>
      </c>
      <c r="T3597" s="4">
        <v>206</v>
      </c>
      <c r="U3597" s="5" t="s">
        <v>5272</v>
      </c>
      <c r="V3597" s="5" t="s">
        <v>5272</v>
      </c>
      <c r="W3597" s="5" t="s">
        <v>72</v>
      </c>
      <c r="X3597" s="5" t="s">
        <v>72</v>
      </c>
      <c r="Y3597" s="4">
        <v>3111</v>
      </c>
      <c r="Z3597" s="4">
        <v>98</v>
      </c>
      <c r="AA3597" s="4">
        <v>135</v>
      </c>
      <c r="AB3597" s="4">
        <v>5</v>
      </c>
      <c r="AC3597" s="4">
        <v>13</v>
      </c>
      <c r="AD3597" s="4">
        <v>144</v>
      </c>
      <c r="AE3597" s="4">
        <v>157</v>
      </c>
      <c r="AF3597" s="4">
        <v>2</v>
      </c>
      <c r="AG3597" s="4">
        <v>5</v>
      </c>
      <c r="AH3597" s="4">
        <v>107</v>
      </c>
      <c r="AI3597" s="4">
        <v>113</v>
      </c>
      <c r="AJ3597" s="4">
        <v>21</v>
      </c>
      <c r="AK3597" s="4">
        <v>26</v>
      </c>
      <c r="AL3597" s="4">
        <v>60</v>
      </c>
      <c r="AM3597" s="4">
        <v>62</v>
      </c>
      <c r="AN3597" s="4">
        <v>0</v>
      </c>
      <c r="AO3597" s="4">
        <v>0</v>
      </c>
      <c r="AP3597" s="4">
        <v>42</v>
      </c>
      <c r="AQ3597" s="4">
        <v>49</v>
      </c>
      <c r="AR3597" s="3" t="s">
        <v>65</v>
      </c>
      <c r="AS3597" s="3" t="s">
        <v>65</v>
      </c>
      <c r="AT3597" s="3" t="s">
        <v>65</v>
      </c>
      <c r="AV3597" s="6" t="str">
        <f>HYPERLINK("http://mcgill.on.worldcat.org/oclc/8954772","Catalog Record")</f>
        <v>Catalog Record</v>
      </c>
      <c r="AW3597" s="6" t="str">
        <f>HYPERLINK("http://www.worldcat.org/oclc/8954772","WorldCat Record")</f>
        <v>WorldCat Record</v>
      </c>
      <c r="AX3597" s="3" t="s">
        <v>35767</v>
      </c>
      <c r="AY3597" s="3" t="s">
        <v>35768</v>
      </c>
      <c r="AZ3597" s="3" t="s">
        <v>35769</v>
      </c>
      <c r="BA3597" s="3" t="s">
        <v>35769</v>
      </c>
      <c r="BB3597" s="3" t="s">
        <v>35778</v>
      </c>
      <c r="BC3597" s="3" t="s">
        <v>77</v>
      </c>
      <c r="BD3597" s="3" t="s">
        <v>78</v>
      </c>
      <c r="BE3597" s="3" t="s">
        <v>35771</v>
      </c>
      <c r="BF3597" s="3" t="s">
        <v>35778</v>
      </c>
      <c r="BG3597" s="3" t="s">
        <v>35779</v>
      </c>
    </row>
    <row r="3598" spans="1:59" ht="58" x14ac:dyDescent="0.35">
      <c r="A3598" s="2" t="s">
        <v>59</v>
      </c>
      <c r="B3598" s="2" t="s">
        <v>60</v>
      </c>
      <c r="C3598" s="2" t="s">
        <v>35763</v>
      </c>
      <c r="D3598" s="2" t="s">
        <v>35764</v>
      </c>
      <c r="E3598" s="2" t="s">
        <v>35765</v>
      </c>
      <c r="G3598" s="3" t="s">
        <v>65</v>
      </c>
      <c r="I3598" s="3" t="s">
        <v>209</v>
      </c>
      <c r="J3598" s="3" t="s">
        <v>209</v>
      </c>
      <c r="K3598" s="3" t="s">
        <v>66</v>
      </c>
      <c r="L3598" s="2" t="s">
        <v>35607</v>
      </c>
      <c r="M3598" s="2" t="s">
        <v>35766</v>
      </c>
      <c r="N3598" s="3" t="s">
        <v>214</v>
      </c>
      <c r="O3598" s="2" t="s">
        <v>526</v>
      </c>
      <c r="P3598" s="3" t="s">
        <v>69</v>
      </c>
      <c r="R3598" s="3" t="s">
        <v>71</v>
      </c>
      <c r="S3598" s="4">
        <v>65</v>
      </c>
      <c r="T3598" s="4">
        <v>206</v>
      </c>
      <c r="U3598" s="5" t="s">
        <v>35780</v>
      </c>
      <c r="V3598" s="5" t="s">
        <v>5272</v>
      </c>
      <c r="W3598" s="5" t="s">
        <v>72</v>
      </c>
      <c r="X3598" s="5" t="s">
        <v>72</v>
      </c>
      <c r="Y3598" s="4">
        <v>3111</v>
      </c>
      <c r="Z3598" s="4">
        <v>98</v>
      </c>
      <c r="AA3598" s="4">
        <v>135</v>
      </c>
      <c r="AB3598" s="4">
        <v>5</v>
      </c>
      <c r="AC3598" s="4">
        <v>13</v>
      </c>
      <c r="AD3598" s="4">
        <v>144</v>
      </c>
      <c r="AE3598" s="4">
        <v>157</v>
      </c>
      <c r="AF3598" s="4">
        <v>2</v>
      </c>
      <c r="AG3598" s="4">
        <v>5</v>
      </c>
      <c r="AH3598" s="4">
        <v>107</v>
      </c>
      <c r="AI3598" s="4">
        <v>113</v>
      </c>
      <c r="AJ3598" s="4">
        <v>21</v>
      </c>
      <c r="AK3598" s="4">
        <v>26</v>
      </c>
      <c r="AL3598" s="4">
        <v>60</v>
      </c>
      <c r="AM3598" s="4">
        <v>62</v>
      </c>
      <c r="AN3598" s="4">
        <v>0</v>
      </c>
      <c r="AO3598" s="4">
        <v>0</v>
      </c>
      <c r="AP3598" s="4">
        <v>42</v>
      </c>
      <c r="AQ3598" s="4">
        <v>49</v>
      </c>
      <c r="AR3598" s="3" t="s">
        <v>65</v>
      </c>
      <c r="AS3598" s="3" t="s">
        <v>65</v>
      </c>
      <c r="AT3598" s="3" t="s">
        <v>65</v>
      </c>
      <c r="AV3598" s="6" t="str">
        <f>HYPERLINK("http://mcgill.on.worldcat.org/oclc/8954772","Catalog Record")</f>
        <v>Catalog Record</v>
      </c>
      <c r="AW3598" s="6" t="str">
        <f>HYPERLINK("http://www.worldcat.org/oclc/8954772","WorldCat Record")</f>
        <v>WorldCat Record</v>
      </c>
      <c r="AX3598" s="3" t="s">
        <v>35767</v>
      </c>
      <c r="AY3598" s="3" t="s">
        <v>35768</v>
      </c>
      <c r="AZ3598" s="3" t="s">
        <v>35769</v>
      </c>
      <c r="BA3598" s="3" t="s">
        <v>35769</v>
      </c>
      <c r="BB3598" s="3" t="s">
        <v>35781</v>
      </c>
      <c r="BC3598" s="3" t="s">
        <v>77</v>
      </c>
      <c r="BD3598" s="3" t="s">
        <v>78</v>
      </c>
      <c r="BE3598" s="3" t="s">
        <v>35771</v>
      </c>
      <c r="BF3598" s="3" t="s">
        <v>35781</v>
      </c>
      <c r="BG3598" s="3" t="s">
        <v>35782</v>
      </c>
    </row>
    <row r="3599" spans="1:59" ht="58" x14ac:dyDescent="0.35">
      <c r="A3599" s="2" t="s">
        <v>59</v>
      </c>
      <c r="B3599" s="2" t="s">
        <v>60</v>
      </c>
      <c r="C3599" s="2" t="s">
        <v>35783</v>
      </c>
      <c r="D3599" s="2" t="s">
        <v>35784</v>
      </c>
      <c r="E3599" s="2" t="s">
        <v>35765</v>
      </c>
      <c r="G3599" s="3" t="s">
        <v>65</v>
      </c>
      <c r="I3599" s="3" t="s">
        <v>209</v>
      </c>
      <c r="J3599" s="3" t="s">
        <v>209</v>
      </c>
      <c r="K3599" s="3" t="s">
        <v>66</v>
      </c>
      <c r="L3599" s="2" t="s">
        <v>35607</v>
      </c>
      <c r="M3599" s="2" t="s">
        <v>35785</v>
      </c>
      <c r="N3599" s="3" t="s">
        <v>1932</v>
      </c>
      <c r="O3599" s="2" t="s">
        <v>35620</v>
      </c>
      <c r="P3599" s="3" t="s">
        <v>69</v>
      </c>
      <c r="Q3599" s="2" t="s">
        <v>35786</v>
      </c>
      <c r="R3599" s="3" t="s">
        <v>71</v>
      </c>
      <c r="S3599" s="4">
        <v>100</v>
      </c>
      <c r="T3599" s="4">
        <v>157</v>
      </c>
      <c r="U3599" s="5" t="s">
        <v>8622</v>
      </c>
      <c r="V3599" s="5" t="s">
        <v>15949</v>
      </c>
      <c r="W3599" s="5" t="s">
        <v>72</v>
      </c>
      <c r="X3599" s="5" t="s">
        <v>72</v>
      </c>
      <c r="Y3599" s="4">
        <v>675</v>
      </c>
      <c r="Z3599" s="4">
        <v>28</v>
      </c>
      <c r="AA3599" s="4">
        <v>135</v>
      </c>
      <c r="AB3599" s="4">
        <v>2</v>
      </c>
      <c r="AC3599" s="4">
        <v>13</v>
      </c>
      <c r="AD3599" s="4">
        <v>53</v>
      </c>
      <c r="AE3599" s="4">
        <v>157</v>
      </c>
      <c r="AF3599" s="4">
        <v>0</v>
      </c>
      <c r="AG3599" s="4">
        <v>5</v>
      </c>
      <c r="AH3599" s="4">
        <v>45</v>
      </c>
      <c r="AI3599" s="4">
        <v>113</v>
      </c>
      <c r="AJ3599" s="4">
        <v>7</v>
      </c>
      <c r="AK3599" s="4">
        <v>26</v>
      </c>
      <c r="AL3599" s="4">
        <v>27</v>
      </c>
      <c r="AM3599" s="4">
        <v>62</v>
      </c>
      <c r="AN3599" s="4">
        <v>0</v>
      </c>
      <c r="AO3599" s="4">
        <v>0</v>
      </c>
      <c r="AP3599" s="4">
        <v>13</v>
      </c>
      <c r="AQ3599" s="4">
        <v>49</v>
      </c>
      <c r="AR3599" s="3" t="s">
        <v>65</v>
      </c>
      <c r="AS3599" s="3" t="s">
        <v>65</v>
      </c>
      <c r="AT3599" s="3" t="s">
        <v>65</v>
      </c>
      <c r="AV3599" s="6" t="str">
        <f>HYPERLINK("http://mcgill.on.worldcat.org/oclc/30399715","Catalog Record")</f>
        <v>Catalog Record</v>
      </c>
      <c r="AW3599" s="6" t="str">
        <f>HYPERLINK("http://www.worldcat.org/oclc/30399715","WorldCat Record")</f>
        <v>WorldCat Record</v>
      </c>
      <c r="AX3599" s="3" t="s">
        <v>35767</v>
      </c>
      <c r="AY3599" s="3" t="s">
        <v>35787</v>
      </c>
      <c r="AZ3599" s="3" t="s">
        <v>35788</v>
      </c>
      <c r="BA3599" s="3" t="s">
        <v>35788</v>
      </c>
      <c r="BB3599" s="3" t="s">
        <v>35789</v>
      </c>
      <c r="BC3599" s="3" t="s">
        <v>77</v>
      </c>
      <c r="BD3599" s="3" t="s">
        <v>78</v>
      </c>
      <c r="BE3599" s="3" t="s">
        <v>35790</v>
      </c>
      <c r="BF3599" s="3" t="s">
        <v>35789</v>
      </c>
      <c r="BG3599" s="3" t="s">
        <v>35791</v>
      </c>
    </row>
    <row r="3600" spans="1:59" ht="58" x14ac:dyDescent="0.35">
      <c r="A3600" s="2" t="s">
        <v>59</v>
      </c>
      <c r="B3600" s="2" t="s">
        <v>60</v>
      </c>
      <c r="C3600" s="2" t="s">
        <v>35783</v>
      </c>
      <c r="D3600" s="2" t="s">
        <v>35784</v>
      </c>
      <c r="E3600" s="2" t="s">
        <v>35765</v>
      </c>
      <c r="G3600" s="3" t="s">
        <v>65</v>
      </c>
      <c r="I3600" s="3" t="s">
        <v>209</v>
      </c>
      <c r="J3600" s="3" t="s">
        <v>209</v>
      </c>
      <c r="K3600" s="3" t="s">
        <v>66</v>
      </c>
      <c r="L3600" s="2" t="s">
        <v>35607</v>
      </c>
      <c r="M3600" s="2" t="s">
        <v>35785</v>
      </c>
      <c r="N3600" s="3" t="s">
        <v>1932</v>
      </c>
      <c r="O3600" s="2" t="s">
        <v>35620</v>
      </c>
      <c r="P3600" s="3" t="s">
        <v>69</v>
      </c>
      <c r="Q3600" s="2" t="s">
        <v>35786</v>
      </c>
      <c r="R3600" s="3" t="s">
        <v>71</v>
      </c>
      <c r="S3600" s="4">
        <v>22</v>
      </c>
      <c r="T3600" s="4">
        <v>157</v>
      </c>
      <c r="U3600" s="5" t="s">
        <v>15949</v>
      </c>
      <c r="V3600" s="5" t="s">
        <v>15949</v>
      </c>
      <c r="W3600" s="5" t="s">
        <v>72</v>
      </c>
      <c r="X3600" s="5" t="s">
        <v>72</v>
      </c>
      <c r="Y3600" s="4">
        <v>675</v>
      </c>
      <c r="Z3600" s="4">
        <v>28</v>
      </c>
      <c r="AA3600" s="4">
        <v>135</v>
      </c>
      <c r="AB3600" s="4">
        <v>2</v>
      </c>
      <c r="AC3600" s="4">
        <v>13</v>
      </c>
      <c r="AD3600" s="4">
        <v>53</v>
      </c>
      <c r="AE3600" s="4">
        <v>157</v>
      </c>
      <c r="AF3600" s="4">
        <v>0</v>
      </c>
      <c r="AG3600" s="4">
        <v>5</v>
      </c>
      <c r="AH3600" s="4">
        <v>45</v>
      </c>
      <c r="AI3600" s="4">
        <v>113</v>
      </c>
      <c r="AJ3600" s="4">
        <v>7</v>
      </c>
      <c r="AK3600" s="4">
        <v>26</v>
      </c>
      <c r="AL3600" s="4">
        <v>27</v>
      </c>
      <c r="AM3600" s="4">
        <v>62</v>
      </c>
      <c r="AN3600" s="4">
        <v>0</v>
      </c>
      <c r="AO3600" s="4">
        <v>0</v>
      </c>
      <c r="AP3600" s="4">
        <v>13</v>
      </c>
      <c r="AQ3600" s="4">
        <v>49</v>
      </c>
      <c r="AR3600" s="3" t="s">
        <v>65</v>
      </c>
      <c r="AS3600" s="3" t="s">
        <v>65</v>
      </c>
      <c r="AT3600" s="3" t="s">
        <v>65</v>
      </c>
      <c r="AV3600" s="6" t="str">
        <f>HYPERLINK("http://mcgill.on.worldcat.org/oclc/30399715","Catalog Record")</f>
        <v>Catalog Record</v>
      </c>
      <c r="AW3600" s="6" t="str">
        <f>HYPERLINK("http://www.worldcat.org/oclc/30399715","WorldCat Record")</f>
        <v>WorldCat Record</v>
      </c>
      <c r="AX3600" s="3" t="s">
        <v>35767</v>
      </c>
      <c r="AY3600" s="3" t="s">
        <v>35787</v>
      </c>
      <c r="AZ3600" s="3" t="s">
        <v>35788</v>
      </c>
      <c r="BA3600" s="3" t="s">
        <v>35788</v>
      </c>
      <c r="BB3600" s="3" t="s">
        <v>35792</v>
      </c>
      <c r="BC3600" s="3" t="s">
        <v>77</v>
      </c>
      <c r="BD3600" s="3" t="s">
        <v>106</v>
      </c>
      <c r="BE3600" s="3" t="s">
        <v>35790</v>
      </c>
      <c r="BF3600" s="3" t="s">
        <v>35792</v>
      </c>
      <c r="BG3600" s="3" t="s">
        <v>35793</v>
      </c>
    </row>
    <row r="3601" spans="1:59" ht="58" x14ac:dyDescent="0.35">
      <c r="A3601" s="2" t="s">
        <v>59</v>
      </c>
      <c r="B3601" s="2" t="s">
        <v>60</v>
      </c>
      <c r="C3601" s="2" t="s">
        <v>35783</v>
      </c>
      <c r="D3601" s="2" t="s">
        <v>35784</v>
      </c>
      <c r="E3601" s="2" t="s">
        <v>35765</v>
      </c>
      <c r="G3601" s="3" t="s">
        <v>65</v>
      </c>
      <c r="I3601" s="3" t="s">
        <v>209</v>
      </c>
      <c r="J3601" s="3" t="s">
        <v>209</v>
      </c>
      <c r="K3601" s="3" t="s">
        <v>66</v>
      </c>
      <c r="L3601" s="2" t="s">
        <v>35607</v>
      </c>
      <c r="M3601" s="2" t="s">
        <v>35785</v>
      </c>
      <c r="N3601" s="3" t="s">
        <v>1932</v>
      </c>
      <c r="O3601" s="2" t="s">
        <v>35620</v>
      </c>
      <c r="P3601" s="3" t="s">
        <v>69</v>
      </c>
      <c r="Q3601" s="2" t="s">
        <v>35786</v>
      </c>
      <c r="R3601" s="3" t="s">
        <v>71</v>
      </c>
      <c r="S3601" s="4">
        <v>35</v>
      </c>
      <c r="T3601" s="4">
        <v>157</v>
      </c>
      <c r="U3601" s="5" t="s">
        <v>8515</v>
      </c>
      <c r="V3601" s="5" t="s">
        <v>15949</v>
      </c>
      <c r="W3601" s="5" t="s">
        <v>72</v>
      </c>
      <c r="X3601" s="5" t="s">
        <v>72</v>
      </c>
      <c r="Y3601" s="4">
        <v>675</v>
      </c>
      <c r="Z3601" s="4">
        <v>28</v>
      </c>
      <c r="AA3601" s="4">
        <v>135</v>
      </c>
      <c r="AB3601" s="4">
        <v>2</v>
      </c>
      <c r="AC3601" s="4">
        <v>13</v>
      </c>
      <c r="AD3601" s="4">
        <v>53</v>
      </c>
      <c r="AE3601" s="4">
        <v>157</v>
      </c>
      <c r="AF3601" s="4">
        <v>0</v>
      </c>
      <c r="AG3601" s="4">
        <v>5</v>
      </c>
      <c r="AH3601" s="4">
        <v>45</v>
      </c>
      <c r="AI3601" s="4">
        <v>113</v>
      </c>
      <c r="AJ3601" s="4">
        <v>7</v>
      </c>
      <c r="AK3601" s="4">
        <v>26</v>
      </c>
      <c r="AL3601" s="4">
        <v>27</v>
      </c>
      <c r="AM3601" s="4">
        <v>62</v>
      </c>
      <c r="AN3601" s="4">
        <v>0</v>
      </c>
      <c r="AO3601" s="4">
        <v>0</v>
      </c>
      <c r="AP3601" s="4">
        <v>13</v>
      </c>
      <c r="AQ3601" s="4">
        <v>49</v>
      </c>
      <c r="AR3601" s="3" t="s">
        <v>65</v>
      </c>
      <c r="AS3601" s="3" t="s">
        <v>65</v>
      </c>
      <c r="AT3601" s="3" t="s">
        <v>65</v>
      </c>
      <c r="AV3601" s="6" t="str">
        <f>HYPERLINK("http://mcgill.on.worldcat.org/oclc/30399715","Catalog Record")</f>
        <v>Catalog Record</v>
      </c>
      <c r="AW3601" s="6" t="str">
        <f>HYPERLINK("http://www.worldcat.org/oclc/30399715","WorldCat Record")</f>
        <v>WorldCat Record</v>
      </c>
      <c r="AX3601" s="3" t="s">
        <v>35767</v>
      </c>
      <c r="AY3601" s="3" t="s">
        <v>35787</v>
      </c>
      <c r="AZ3601" s="3" t="s">
        <v>35788</v>
      </c>
      <c r="BA3601" s="3" t="s">
        <v>35788</v>
      </c>
      <c r="BB3601" s="3" t="s">
        <v>35794</v>
      </c>
      <c r="BC3601" s="3" t="s">
        <v>77</v>
      </c>
      <c r="BD3601" s="3" t="s">
        <v>78</v>
      </c>
      <c r="BE3601" s="3" t="s">
        <v>35790</v>
      </c>
      <c r="BF3601" s="3" t="s">
        <v>35794</v>
      </c>
      <c r="BG3601" s="3" t="s">
        <v>35795</v>
      </c>
    </row>
    <row r="3602" spans="1:59" ht="58" x14ac:dyDescent="0.35">
      <c r="A3602" s="2" t="s">
        <v>59</v>
      </c>
      <c r="B3602" s="2" t="s">
        <v>60</v>
      </c>
      <c r="C3602" s="2" t="s">
        <v>35796</v>
      </c>
      <c r="D3602" s="2" t="s">
        <v>35797</v>
      </c>
      <c r="E3602" s="2" t="s">
        <v>35798</v>
      </c>
      <c r="G3602" s="3" t="s">
        <v>65</v>
      </c>
      <c r="I3602" s="3" t="s">
        <v>65</v>
      </c>
      <c r="J3602" s="3" t="s">
        <v>65</v>
      </c>
      <c r="K3602" s="3" t="s">
        <v>66</v>
      </c>
      <c r="L3602" s="2" t="s">
        <v>35607</v>
      </c>
      <c r="M3602" s="2" t="s">
        <v>35799</v>
      </c>
      <c r="N3602" s="3" t="s">
        <v>831</v>
      </c>
      <c r="P3602" s="3" t="s">
        <v>616</v>
      </c>
      <c r="R3602" s="3" t="s">
        <v>71</v>
      </c>
      <c r="S3602" s="4">
        <v>38</v>
      </c>
      <c r="T3602" s="4">
        <v>38</v>
      </c>
      <c r="U3602" s="5" t="s">
        <v>35800</v>
      </c>
      <c r="V3602" s="5" t="s">
        <v>35800</v>
      </c>
      <c r="W3602" s="5" t="s">
        <v>72</v>
      </c>
      <c r="X3602" s="5" t="s">
        <v>72</v>
      </c>
      <c r="Y3602" s="4">
        <v>37</v>
      </c>
      <c r="Z3602" s="4">
        <v>6</v>
      </c>
      <c r="AA3602" s="4">
        <v>40</v>
      </c>
      <c r="AB3602" s="4">
        <v>1</v>
      </c>
      <c r="AC3602" s="4">
        <v>15</v>
      </c>
      <c r="AD3602" s="4">
        <v>6</v>
      </c>
      <c r="AE3602" s="4">
        <v>31</v>
      </c>
      <c r="AF3602" s="4">
        <v>0</v>
      </c>
      <c r="AG3602" s="4">
        <v>6</v>
      </c>
      <c r="AH3602" s="4">
        <v>6</v>
      </c>
      <c r="AI3602" s="4">
        <v>20</v>
      </c>
      <c r="AJ3602" s="4">
        <v>1</v>
      </c>
      <c r="AK3602" s="4">
        <v>13</v>
      </c>
      <c r="AL3602" s="4">
        <v>3</v>
      </c>
      <c r="AM3602" s="4">
        <v>11</v>
      </c>
      <c r="AN3602" s="4">
        <v>0</v>
      </c>
      <c r="AO3602" s="4">
        <v>0</v>
      </c>
      <c r="AP3602" s="4">
        <v>1</v>
      </c>
      <c r="AQ3602" s="4">
        <v>15</v>
      </c>
      <c r="AR3602" s="3" t="s">
        <v>65</v>
      </c>
      <c r="AS3602" s="3" t="s">
        <v>65</v>
      </c>
      <c r="AT3602" s="3" t="s">
        <v>65</v>
      </c>
      <c r="AV3602" s="6" t="str">
        <f>HYPERLINK("http://mcgill.on.worldcat.org/oclc/9630922","Catalog Record")</f>
        <v>Catalog Record</v>
      </c>
      <c r="AW3602" s="6" t="str">
        <f>HYPERLINK("http://www.worldcat.org/oclc/9630922","WorldCat Record")</f>
        <v>WorldCat Record</v>
      </c>
      <c r="AX3602" s="3" t="s">
        <v>35801</v>
      </c>
      <c r="AY3602" s="3" t="s">
        <v>35802</v>
      </c>
      <c r="AZ3602" s="3" t="s">
        <v>35803</v>
      </c>
      <c r="BA3602" s="3" t="s">
        <v>35803</v>
      </c>
      <c r="BB3602" s="3" t="s">
        <v>35804</v>
      </c>
      <c r="BC3602" s="3" t="s">
        <v>77</v>
      </c>
      <c r="BD3602" s="3" t="s">
        <v>78</v>
      </c>
      <c r="BE3602" s="3" t="s">
        <v>35805</v>
      </c>
      <c r="BF3602" s="3" t="s">
        <v>35804</v>
      </c>
      <c r="BG3602" s="3" t="s">
        <v>35806</v>
      </c>
    </row>
    <row r="3603" spans="1:59" ht="58" x14ac:dyDescent="0.35">
      <c r="A3603" s="2" t="s">
        <v>59</v>
      </c>
      <c r="B3603" s="2" t="s">
        <v>60</v>
      </c>
      <c r="C3603" s="2" t="s">
        <v>35807</v>
      </c>
      <c r="D3603" s="2" t="s">
        <v>35808</v>
      </c>
      <c r="E3603" s="2" t="s">
        <v>35809</v>
      </c>
      <c r="G3603" s="3" t="s">
        <v>65</v>
      </c>
      <c r="I3603" s="3" t="s">
        <v>65</v>
      </c>
      <c r="J3603" s="3" t="s">
        <v>65</v>
      </c>
      <c r="K3603" s="3" t="s">
        <v>66</v>
      </c>
      <c r="L3603" s="2" t="s">
        <v>35607</v>
      </c>
      <c r="M3603" s="2" t="s">
        <v>35810</v>
      </c>
      <c r="N3603" s="3" t="s">
        <v>5961</v>
      </c>
      <c r="O3603" s="2" t="s">
        <v>35811</v>
      </c>
      <c r="P3603" s="3" t="s">
        <v>140</v>
      </c>
      <c r="Q3603" s="2" t="s">
        <v>35812</v>
      </c>
      <c r="R3603" s="3" t="s">
        <v>71</v>
      </c>
      <c r="S3603" s="4">
        <v>8</v>
      </c>
      <c r="T3603" s="4">
        <v>8</v>
      </c>
      <c r="U3603" s="5" t="s">
        <v>5132</v>
      </c>
      <c r="V3603" s="5" t="s">
        <v>5132</v>
      </c>
      <c r="W3603" s="5" t="s">
        <v>72</v>
      </c>
      <c r="X3603" s="5" t="s">
        <v>72</v>
      </c>
      <c r="Y3603" s="4">
        <v>16</v>
      </c>
      <c r="Z3603" s="4">
        <v>3</v>
      </c>
      <c r="AA3603" s="4">
        <v>32</v>
      </c>
      <c r="AB3603" s="4">
        <v>2</v>
      </c>
      <c r="AC3603" s="4">
        <v>6</v>
      </c>
      <c r="AD3603" s="4">
        <v>6</v>
      </c>
      <c r="AE3603" s="4">
        <v>104</v>
      </c>
      <c r="AF3603" s="4">
        <v>0</v>
      </c>
      <c r="AG3603" s="4">
        <v>3</v>
      </c>
      <c r="AH3603" s="4">
        <v>6</v>
      </c>
      <c r="AI3603" s="4">
        <v>91</v>
      </c>
      <c r="AJ3603" s="4">
        <v>0</v>
      </c>
      <c r="AK3603" s="4">
        <v>18</v>
      </c>
      <c r="AL3603" s="4">
        <v>3</v>
      </c>
      <c r="AM3603" s="4">
        <v>56</v>
      </c>
      <c r="AN3603" s="4">
        <v>0</v>
      </c>
      <c r="AO3603" s="4">
        <v>1</v>
      </c>
      <c r="AP3603" s="4">
        <v>0</v>
      </c>
      <c r="AQ3603" s="4">
        <v>18</v>
      </c>
      <c r="AR3603" s="3" t="s">
        <v>65</v>
      </c>
      <c r="AS3603" s="3" t="s">
        <v>65</v>
      </c>
      <c r="AT3603" s="3" t="s">
        <v>65</v>
      </c>
      <c r="AV3603" s="6" t="str">
        <f>HYPERLINK("http://mcgill.on.worldcat.org/oclc/13712363","Catalog Record")</f>
        <v>Catalog Record</v>
      </c>
      <c r="AW3603" s="6" t="str">
        <f>HYPERLINK("http://www.worldcat.org/oclc/13712363","WorldCat Record")</f>
        <v>WorldCat Record</v>
      </c>
      <c r="AX3603" s="3" t="s">
        <v>35813</v>
      </c>
      <c r="AY3603" s="3" t="s">
        <v>35814</v>
      </c>
      <c r="AZ3603" s="3" t="s">
        <v>35815</v>
      </c>
      <c r="BA3603" s="3" t="s">
        <v>35815</v>
      </c>
      <c r="BB3603" s="3" t="s">
        <v>35816</v>
      </c>
      <c r="BC3603" s="3" t="s">
        <v>77</v>
      </c>
      <c r="BD3603" s="3" t="s">
        <v>78</v>
      </c>
      <c r="BF3603" s="3" t="s">
        <v>35816</v>
      </c>
      <c r="BG3603" s="3" t="s">
        <v>35817</v>
      </c>
    </row>
    <row r="3604" spans="1:59" ht="72.5" x14ac:dyDescent="0.35">
      <c r="A3604" s="2" t="s">
        <v>59</v>
      </c>
      <c r="B3604" s="2" t="s">
        <v>60</v>
      </c>
      <c r="C3604" s="2" t="s">
        <v>35818</v>
      </c>
      <c r="D3604" s="2" t="s">
        <v>35819</v>
      </c>
      <c r="E3604" s="2" t="s">
        <v>35820</v>
      </c>
      <c r="G3604" s="3" t="s">
        <v>65</v>
      </c>
      <c r="I3604" s="3" t="s">
        <v>65</v>
      </c>
      <c r="J3604" s="3" t="s">
        <v>65</v>
      </c>
      <c r="K3604" s="3" t="s">
        <v>66</v>
      </c>
      <c r="L3604" s="2" t="s">
        <v>35636</v>
      </c>
      <c r="M3604" s="2" t="s">
        <v>35821</v>
      </c>
      <c r="N3604" s="3" t="s">
        <v>176</v>
      </c>
      <c r="O3604" s="2" t="s">
        <v>35822</v>
      </c>
      <c r="P3604" s="3" t="s">
        <v>140</v>
      </c>
      <c r="Q3604" s="2" t="s">
        <v>34916</v>
      </c>
      <c r="R3604" s="3" t="s">
        <v>71</v>
      </c>
      <c r="S3604" s="4">
        <v>0</v>
      </c>
      <c r="T3604" s="4">
        <v>0</v>
      </c>
      <c r="W3604" s="5" t="s">
        <v>72</v>
      </c>
      <c r="X3604" s="5" t="s">
        <v>72</v>
      </c>
      <c r="Y3604" s="4">
        <v>83</v>
      </c>
      <c r="Z3604" s="4">
        <v>5</v>
      </c>
      <c r="AA3604" s="4">
        <v>13</v>
      </c>
      <c r="AB3604" s="4">
        <v>1</v>
      </c>
      <c r="AC3604" s="4">
        <v>4</v>
      </c>
      <c r="AD3604" s="4">
        <v>42</v>
      </c>
      <c r="AE3604" s="4">
        <v>53</v>
      </c>
      <c r="AF3604" s="4">
        <v>0</v>
      </c>
      <c r="AG3604" s="4">
        <v>1</v>
      </c>
      <c r="AH3604" s="4">
        <v>41</v>
      </c>
      <c r="AI3604" s="4">
        <v>51</v>
      </c>
      <c r="AJ3604" s="4">
        <v>2</v>
      </c>
      <c r="AK3604" s="4">
        <v>5</v>
      </c>
      <c r="AL3604" s="4">
        <v>34</v>
      </c>
      <c r="AM3604" s="4">
        <v>38</v>
      </c>
      <c r="AN3604" s="4">
        <v>0</v>
      </c>
      <c r="AO3604" s="4">
        <v>0</v>
      </c>
      <c r="AP3604" s="4">
        <v>2</v>
      </c>
      <c r="AQ3604" s="4">
        <v>4</v>
      </c>
      <c r="AR3604" s="3" t="s">
        <v>65</v>
      </c>
      <c r="AS3604" s="3" t="s">
        <v>65</v>
      </c>
      <c r="AT3604" s="3" t="s">
        <v>65</v>
      </c>
      <c r="AV3604" s="6" t="str">
        <f>HYPERLINK("http://mcgill.on.worldcat.org/oclc/902635297","Catalog Record")</f>
        <v>Catalog Record</v>
      </c>
      <c r="AW3604" s="6" t="str">
        <f>HYPERLINK("http://www.worldcat.org/oclc/902635297","WorldCat Record")</f>
        <v>WorldCat Record</v>
      </c>
      <c r="AX3604" s="3" t="s">
        <v>35823</v>
      </c>
      <c r="AY3604" s="3" t="s">
        <v>35824</v>
      </c>
      <c r="AZ3604" s="3" t="s">
        <v>35825</v>
      </c>
      <c r="BA3604" s="3" t="s">
        <v>35825</v>
      </c>
      <c r="BB3604" s="3" t="s">
        <v>35826</v>
      </c>
      <c r="BC3604" s="3" t="s">
        <v>77</v>
      </c>
      <c r="BD3604" s="3" t="s">
        <v>78</v>
      </c>
      <c r="BE3604" s="3" t="s">
        <v>35827</v>
      </c>
      <c r="BF3604" s="3" t="s">
        <v>35826</v>
      </c>
      <c r="BG3604" s="3" t="s">
        <v>35828</v>
      </c>
    </row>
    <row r="3605" spans="1:59" ht="58" x14ac:dyDescent="0.35">
      <c r="A3605" s="2" t="s">
        <v>59</v>
      </c>
      <c r="B3605" s="2" t="s">
        <v>60</v>
      </c>
      <c r="C3605" s="2" t="s">
        <v>35829</v>
      </c>
      <c r="D3605" s="2" t="s">
        <v>35830</v>
      </c>
      <c r="E3605" s="2" t="s">
        <v>35831</v>
      </c>
      <c r="G3605" s="3" t="s">
        <v>65</v>
      </c>
      <c r="I3605" s="3" t="s">
        <v>65</v>
      </c>
      <c r="J3605" s="3" t="s">
        <v>65</v>
      </c>
      <c r="K3605" s="3" t="s">
        <v>66</v>
      </c>
      <c r="L3605" s="2" t="s">
        <v>35607</v>
      </c>
      <c r="M3605" s="2" t="s">
        <v>35832</v>
      </c>
      <c r="N3605" s="3" t="s">
        <v>176</v>
      </c>
      <c r="O3605" s="2" t="s">
        <v>35833</v>
      </c>
      <c r="P3605" s="3" t="s">
        <v>69</v>
      </c>
      <c r="R3605" s="3" t="s">
        <v>71</v>
      </c>
      <c r="S3605" s="4">
        <v>2</v>
      </c>
      <c r="T3605" s="4">
        <v>2</v>
      </c>
      <c r="U3605" s="5" t="s">
        <v>35834</v>
      </c>
      <c r="V3605" s="5" t="s">
        <v>35834</v>
      </c>
      <c r="W3605" s="5" t="s">
        <v>72</v>
      </c>
      <c r="X3605" s="5" t="s">
        <v>72</v>
      </c>
      <c r="Y3605" s="4">
        <v>1203</v>
      </c>
      <c r="Z3605" s="4">
        <v>28</v>
      </c>
      <c r="AA3605" s="4">
        <v>41</v>
      </c>
      <c r="AB3605" s="4">
        <v>4</v>
      </c>
      <c r="AC3605" s="4">
        <v>6</v>
      </c>
      <c r="AD3605" s="4">
        <v>71</v>
      </c>
      <c r="AE3605" s="4">
        <v>79</v>
      </c>
      <c r="AF3605" s="4">
        <v>0</v>
      </c>
      <c r="AG3605" s="4">
        <v>0</v>
      </c>
      <c r="AH3605" s="4">
        <v>69</v>
      </c>
      <c r="AI3605" s="4">
        <v>74</v>
      </c>
      <c r="AJ3605" s="4">
        <v>6</v>
      </c>
      <c r="AK3605" s="4">
        <v>9</v>
      </c>
      <c r="AL3605" s="4">
        <v>41</v>
      </c>
      <c r="AM3605" s="4">
        <v>44</v>
      </c>
      <c r="AN3605" s="4">
        <v>0</v>
      </c>
      <c r="AO3605" s="4">
        <v>0</v>
      </c>
      <c r="AP3605" s="4">
        <v>6</v>
      </c>
      <c r="AQ3605" s="4">
        <v>10</v>
      </c>
      <c r="AR3605" s="3" t="s">
        <v>65</v>
      </c>
      <c r="AS3605" s="3" t="s">
        <v>65</v>
      </c>
      <c r="AT3605" s="3" t="s">
        <v>65</v>
      </c>
      <c r="AV3605" s="6" t="str">
        <f>HYPERLINK("http://mcgill.on.worldcat.org/oclc/903284650","Catalog Record")</f>
        <v>Catalog Record</v>
      </c>
      <c r="AW3605" s="6" t="str">
        <f>HYPERLINK("http://www.worldcat.org/oclc/903284650","WorldCat Record")</f>
        <v>WorldCat Record</v>
      </c>
      <c r="AX3605" s="3" t="s">
        <v>35835</v>
      </c>
      <c r="AY3605" s="3" t="s">
        <v>35836</v>
      </c>
      <c r="AZ3605" s="3" t="s">
        <v>35837</v>
      </c>
      <c r="BA3605" s="3" t="s">
        <v>35837</v>
      </c>
      <c r="BB3605" s="3" t="s">
        <v>35838</v>
      </c>
      <c r="BC3605" s="3" t="s">
        <v>77</v>
      </c>
      <c r="BD3605" s="3" t="s">
        <v>78</v>
      </c>
      <c r="BE3605" s="3" t="s">
        <v>35839</v>
      </c>
      <c r="BF3605" s="3" t="s">
        <v>35838</v>
      </c>
      <c r="BG3605" s="3" t="s">
        <v>35840</v>
      </c>
    </row>
    <row r="3606" spans="1:59" ht="58" x14ac:dyDescent="0.35">
      <c r="A3606" s="2" t="s">
        <v>59</v>
      </c>
      <c r="B3606" s="2" t="s">
        <v>60</v>
      </c>
      <c r="C3606" s="2" t="s">
        <v>35841</v>
      </c>
      <c r="D3606" s="2" t="s">
        <v>35842</v>
      </c>
      <c r="E3606" s="2" t="s">
        <v>35843</v>
      </c>
      <c r="G3606" s="3" t="s">
        <v>65</v>
      </c>
      <c r="I3606" s="3" t="s">
        <v>65</v>
      </c>
      <c r="J3606" s="3" t="s">
        <v>65</v>
      </c>
      <c r="K3606" s="3" t="s">
        <v>66</v>
      </c>
      <c r="L3606" s="2" t="s">
        <v>35636</v>
      </c>
      <c r="M3606" s="2" t="s">
        <v>35844</v>
      </c>
      <c r="N3606" s="3" t="s">
        <v>188</v>
      </c>
      <c r="P3606" s="3" t="s">
        <v>69</v>
      </c>
      <c r="R3606" s="3" t="s">
        <v>71</v>
      </c>
      <c r="S3606" s="4">
        <v>1</v>
      </c>
      <c r="T3606" s="4">
        <v>1</v>
      </c>
      <c r="U3606" s="5" t="s">
        <v>4044</v>
      </c>
      <c r="V3606" s="5" t="s">
        <v>4044</v>
      </c>
      <c r="W3606" s="5" t="s">
        <v>72</v>
      </c>
      <c r="X3606" s="5" t="s">
        <v>72</v>
      </c>
      <c r="Y3606" s="4">
        <v>452</v>
      </c>
      <c r="Z3606" s="4">
        <v>8</v>
      </c>
      <c r="AA3606" s="4">
        <v>14</v>
      </c>
      <c r="AB3606" s="4">
        <v>2</v>
      </c>
      <c r="AC3606" s="4">
        <v>5</v>
      </c>
      <c r="AD3606" s="4">
        <v>27</v>
      </c>
      <c r="AE3606" s="4">
        <v>37</v>
      </c>
      <c r="AF3606" s="4">
        <v>0</v>
      </c>
      <c r="AG3606" s="4">
        <v>0</v>
      </c>
      <c r="AH3606" s="4">
        <v>24</v>
      </c>
      <c r="AI3606" s="4">
        <v>32</v>
      </c>
      <c r="AJ3606" s="4">
        <v>3</v>
      </c>
      <c r="AK3606" s="4">
        <v>4</v>
      </c>
      <c r="AL3606" s="4">
        <v>16</v>
      </c>
      <c r="AM3606" s="4">
        <v>21</v>
      </c>
      <c r="AN3606" s="4">
        <v>0</v>
      </c>
      <c r="AO3606" s="4">
        <v>0</v>
      </c>
      <c r="AP3606" s="4">
        <v>3</v>
      </c>
      <c r="AQ3606" s="4">
        <v>5</v>
      </c>
      <c r="AR3606" s="3" t="s">
        <v>65</v>
      </c>
      <c r="AS3606" s="3" t="s">
        <v>65</v>
      </c>
      <c r="AT3606" s="3" t="s">
        <v>65</v>
      </c>
      <c r="AV3606" s="6" t="str">
        <f>HYPERLINK("http://mcgill.on.worldcat.org/oclc/1009086134","Catalog Record")</f>
        <v>Catalog Record</v>
      </c>
      <c r="AW3606" s="6" t="str">
        <f>HYPERLINK("http://www.worldcat.org/oclc/1009086134","WorldCat Record")</f>
        <v>WorldCat Record</v>
      </c>
      <c r="AX3606" s="3" t="s">
        <v>35845</v>
      </c>
      <c r="AY3606" s="3" t="s">
        <v>35846</v>
      </c>
      <c r="AZ3606" s="3" t="s">
        <v>35847</v>
      </c>
      <c r="BA3606" s="3" t="s">
        <v>35847</v>
      </c>
      <c r="BB3606" s="3" t="s">
        <v>35848</v>
      </c>
      <c r="BC3606" s="3" t="s">
        <v>77</v>
      </c>
      <c r="BD3606" s="3" t="s">
        <v>78</v>
      </c>
      <c r="BE3606" s="3" t="s">
        <v>35849</v>
      </c>
      <c r="BF3606" s="3" t="s">
        <v>35848</v>
      </c>
      <c r="BG3606" s="3" t="s">
        <v>35850</v>
      </c>
    </row>
    <row r="3607" spans="1:59" ht="58" x14ac:dyDescent="0.35">
      <c r="A3607" s="2" t="s">
        <v>59</v>
      </c>
      <c r="B3607" s="2" t="s">
        <v>60</v>
      </c>
      <c r="C3607" s="2" t="s">
        <v>35851</v>
      </c>
      <c r="D3607" s="2" t="s">
        <v>35852</v>
      </c>
      <c r="E3607" s="2" t="s">
        <v>35853</v>
      </c>
      <c r="G3607" s="3" t="s">
        <v>65</v>
      </c>
      <c r="I3607" s="3" t="s">
        <v>209</v>
      </c>
      <c r="J3607" s="3" t="s">
        <v>65</v>
      </c>
      <c r="K3607" s="3" t="s">
        <v>66</v>
      </c>
      <c r="L3607" s="2" t="s">
        <v>35607</v>
      </c>
      <c r="M3607" s="2" t="s">
        <v>33969</v>
      </c>
      <c r="N3607" s="3" t="s">
        <v>2460</v>
      </c>
      <c r="O3607" s="2" t="s">
        <v>654</v>
      </c>
      <c r="P3607" s="3" t="s">
        <v>140</v>
      </c>
      <c r="Q3607" s="2" t="s">
        <v>33472</v>
      </c>
      <c r="R3607" s="3" t="s">
        <v>71</v>
      </c>
      <c r="S3607" s="4">
        <v>9</v>
      </c>
      <c r="T3607" s="4">
        <v>24</v>
      </c>
      <c r="U3607" s="5" t="s">
        <v>4391</v>
      </c>
      <c r="V3607" s="5" t="s">
        <v>4391</v>
      </c>
      <c r="W3607" s="5" t="s">
        <v>72</v>
      </c>
      <c r="X3607" s="5" t="s">
        <v>72</v>
      </c>
      <c r="Y3607" s="4">
        <v>230</v>
      </c>
      <c r="Z3607" s="4">
        <v>13</v>
      </c>
      <c r="AA3607" s="4">
        <v>21</v>
      </c>
      <c r="AB3607" s="4">
        <v>1</v>
      </c>
      <c r="AC3607" s="4">
        <v>4</v>
      </c>
      <c r="AD3607" s="4">
        <v>75</v>
      </c>
      <c r="AE3607" s="4">
        <v>93</v>
      </c>
      <c r="AF3607" s="4">
        <v>0</v>
      </c>
      <c r="AG3607" s="4">
        <v>3</v>
      </c>
      <c r="AH3607" s="4">
        <v>71</v>
      </c>
      <c r="AI3607" s="4">
        <v>84</v>
      </c>
      <c r="AJ3607" s="4">
        <v>8</v>
      </c>
      <c r="AK3607" s="4">
        <v>14</v>
      </c>
      <c r="AL3607" s="4">
        <v>46</v>
      </c>
      <c r="AM3607" s="4">
        <v>54</v>
      </c>
      <c r="AN3607" s="4">
        <v>0</v>
      </c>
      <c r="AO3607" s="4">
        <v>0</v>
      </c>
      <c r="AP3607" s="4">
        <v>8</v>
      </c>
      <c r="AQ3607" s="4">
        <v>14</v>
      </c>
      <c r="AR3607" s="3" t="s">
        <v>65</v>
      </c>
      <c r="AS3607" s="3" t="s">
        <v>65</v>
      </c>
      <c r="AT3607" s="3" t="s">
        <v>209</v>
      </c>
      <c r="AU3607" s="6" t="str">
        <f>HYPERLINK("http://catalog.hathitrust.org/Record/000951480","HathiTrust Record")</f>
        <v>HathiTrust Record</v>
      </c>
      <c r="AV3607" s="6" t="str">
        <f>HYPERLINK("http://mcgill.on.worldcat.org/oclc/19047569","Catalog Record")</f>
        <v>Catalog Record</v>
      </c>
      <c r="AW3607" s="6" t="str">
        <f>HYPERLINK("http://www.worldcat.org/oclc/19047569","WorldCat Record")</f>
        <v>WorldCat Record</v>
      </c>
      <c r="AX3607" s="3" t="s">
        <v>35854</v>
      </c>
      <c r="AY3607" s="3" t="s">
        <v>35855</v>
      </c>
      <c r="AZ3607" s="3" t="s">
        <v>35856</v>
      </c>
      <c r="BA3607" s="3" t="s">
        <v>35856</v>
      </c>
      <c r="BB3607" s="3" t="s">
        <v>35857</v>
      </c>
      <c r="BC3607" s="3" t="s">
        <v>77</v>
      </c>
      <c r="BD3607" s="3" t="s">
        <v>78</v>
      </c>
      <c r="BE3607" s="3" t="s">
        <v>35858</v>
      </c>
      <c r="BF3607" s="3" t="s">
        <v>35857</v>
      </c>
      <c r="BG3607" s="3" t="s">
        <v>35859</v>
      </c>
    </row>
    <row r="3608" spans="1:59" ht="58" x14ac:dyDescent="0.35">
      <c r="A3608" s="2" t="s">
        <v>59</v>
      </c>
      <c r="B3608" s="2" t="s">
        <v>60</v>
      </c>
      <c r="C3608" s="2" t="s">
        <v>35851</v>
      </c>
      <c r="D3608" s="2" t="s">
        <v>35852</v>
      </c>
      <c r="E3608" s="2" t="s">
        <v>35853</v>
      </c>
      <c r="G3608" s="3" t="s">
        <v>65</v>
      </c>
      <c r="I3608" s="3" t="s">
        <v>209</v>
      </c>
      <c r="J3608" s="3" t="s">
        <v>65</v>
      </c>
      <c r="K3608" s="3" t="s">
        <v>66</v>
      </c>
      <c r="L3608" s="2" t="s">
        <v>35607</v>
      </c>
      <c r="M3608" s="2" t="s">
        <v>33969</v>
      </c>
      <c r="N3608" s="3" t="s">
        <v>2460</v>
      </c>
      <c r="O3608" s="2" t="s">
        <v>654</v>
      </c>
      <c r="P3608" s="3" t="s">
        <v>140</v>
      </c>
      <c r="Q3608" s="2" t="s">
        <v>33472</v>
      </c>
      <c r="R3608" s="3" t="s">
        <v>71</v>
      </c>
      <c r="S3608" s="4">
        <v>15</v>
      </c>
      <c r="T3608" s="4">
        <v>24</v>
      </c>
      <c r="U3608" s="5" t="s">
        <v>35860</v>
      </c>
      <c r="V3608" s="5" t="s">
        <v>4391</v>
      </c>
      <c r="W3608" s="5" t="s">
        <v>72</v>
      </c>
      <c r="X3608" s="5" t="s">
        <v>72</v>
      </c>
      <c r="Y3608" s="4">
        <v>230</v>
      </c>
      <c r="Z3608" s="4">
        <v>13</v>
      </c>
      <c r="AA3608" s="4">
        <v>21</v>
      </c>
      <c r="AB3608" s="4">
        <v>1</v>
      </c>
      <c r="AC3608" s="4">
        <v>4</v>
      </c>
      <c r="AD3608" s="4">
        <v>75</v>
      </c>
      <c r="AE3608" s="4">
        <v>93</v>
      </c>
      <c r="AF3608" s="4">
        <v>0</v>
      </c>
      <c r="AG3608" s="4">
        <v>3</v>
      </c>
      <c r="AH3608" s="4">
        <v>71</v>
      </c>
      <c r="AI3608" s="4">
        <v>84</v>
      </c>
      <c r="AJ3608" s="4">
        <v>8</v>
      </c>
      <c r="AK3608" s="4">
        <v>14</v>
      </c>
      <c r="AL3608" s="4">
        <v>46</v>
      </c>
      <c r="AM3608" s="4">
        <v>54</v>
      </c>
      <c r="AN3608" s="4">
        <v>0</v>
      </c>
      <c r="AO3608" s="4">
        <v>0</v>
      </c>
      <c r="AP3608" s="4">
        <v>8</v>
      </c>
      <c r="AQ3608" s="4">
        <v>14</v>
      </c>
      <c r="AR3608" s="3" t="s">
        <v>65</v>
      </c>
      <c r="AS3608" s="3" t="s">
        <v>65</v>
      </c>
      <c r="AT3608" s="3" t="s">
        <v>209</v>
      </c>
      <c r="AU3608" s="6" t="str">
        <f>HYPERLINK("http://catalog.hathitrust.org/Record/000951480","HathiTrust Record")</f>
        <v>HathiTrust Record</v>
      </c>
      <c r="AV3608" s="6" t="str">
        <f>HYPERLINK("http://mcgill.on.worldcat.org/oclc/19047569","Catalog Record")</f>
        <v>Catalog Record</v>
      </c>
      <c r="AW3608" s="6" t="str">
        <f>HYPERLINK("http://www.worldcat.org/oclc/19047569","WorldCat Record")</f>
        <v>WorldCat Record</v>
      </c>
      <c r="AX3608" s="3" t="s">
        <v>35854</v>
      </c>
      <c r="AY3608" s="3" t="s">
        <v>35855</v>
      </c>
      <c r="AZ3608" s="3" t="s">
        <v>35856</v>
      </c>
      <c r="BA3608" s="3" t="s">
        <v>35856</v>
      </c>
      <c r="BB3608" s="3" t="s">
        <v>35861</v>
      </c>
      <c r="BC3608" s="3" t="s">
        <v>77</v>
      </c>
      <c r="BD3608" s="3" t="s">
        <v>78</v>
      </c>
      <c r="BE3608" s="3" t="s">
        <v>35858</v>
      </c>
      <c r="BF3608" s="3" t="s">
        <v>35861</v>
      </c>
      <c r="BG3608" s="3" t="s">
        <v>35862</v>
      </c>
    </row>
    <row r="3609" spans="1:59" ht="58" x14ac:dyDescent="0.35">
      <c r="A3609" s="2" t="s">
        <v>59</v>
      </c>
      <c r="B3609" s="2" t="s">
        <v>60</v>
      </c>
      <c r="C3609" s="2" t="s">
        <v>35863</v>
      </c>
      <c r="D3609" s="2" t="s">
        <v>35864</v>
      </c>
      <c r="E3609" s="2" t="s">
        <v>35865</v>
      </c>
      <c r="G3609" s="3" t="s">
        <v>65</v>
      </c>
      <c r="I3609" s="3" t="s">
        <v>65</v>
      </c>
      <c r="J3609" s="3" t="s">
        <v>65</v>
      </c>
      <c r="K3609" s="3" t="s">
        <v>66</v>
      </c>
      <c r="L3609" s="2" t="s">
        <v>35607</v>
      </c>
      <c r="M3609" s="2" t="s">
        <v>35866</v>
      </c>
      <c r="N3609" s="3" t="s">
        <v>392</v>
      </c>
      <c r="O3609" s="2" t="s">
        <v>35867</v>
      </c>
      <c r="P3609" s="3" t="s">
        <v>69</v>
      </c>
      <c r="R3609" s="3" t="s">
        <v>71</v>
      </c>
      <c r="S3609" s="4">
        <v>105</v>
      </c>
      <c r="T3609" s="4">
        <v>105</v>
      </c>
      <c r="U3609" s="5" t="s">
        <v>35868</v>
      </c>
      <c r="V3609" s="5" t="s">
        <v>35868</v>
      </c>
      <c r="W3609" s="5" t="s">
        <v>72</v>
      </c>
      <c r="X3609" s="5" t="s">
        <v>72</v>
      </c>
      <c r="Y3609" s="4">
        <v>2720</v>
      </c>
      <c r="Z3609" s="4">
        <v>74</v>
      </c>
      <c r="AA3609" s="4">
        <v>105</v>
      </c>
      <c r="AB3609" s="4">
        <v>6</v>
      </c>
      <c r="AC3609" s="4">
        <v>12</v>
      </c>
      <c r="AD3609" s="4">
        <v>131</v>
      </c>
      <c r="AE3609" s="4">
        <v>144</v>
      </c>
      <c r="AF3609" s="4">
        <v>2</v>
      </c>
      <c r="AG3609" s="4">
        <v>4</v>
      </c>
      <c r="AH3609" s="4">
        <v>109</v>
      </c>
      <c r="AI3609" s="4">
        <v>111</v>
      </c>
      <c r="AJ3609" s="4">
        <v>18</v>
      </c>
      <c r="AK3609" s="4">
        <v>23</v>
      </c>
      <c r="AL3609" s="4">
        <v>57</v>
      </c>
      <c r="AM3609" s="4">
        <v>58</v>
      </c>
      <c r="AN3609" s="4">
        <v>0</v>
      </c>
      <c r="AO3609" s="4">
        <v>0</v>
      </c>
      <c r="AP3609" s="4">
        <v>28</v>
      </c>
      <c r="AQ3609" s="4">
        <v>39</v>
      </c>
      <c r="AR3609" s="3" t="s">
        <v>65</v>
      </c>
      <c r="AS3609" s="3" t="s">
        <v>65</v>
      </c>
      <c r="AT3609" s="3" t="s">
        <v>209</v>
      </c>
      <c r="AU3609" s="6" t="str">
        <f>HYPERLINK("http://catalog.hathitrust.org/Record/002053296","HathiTrust Record")</f>
        <v>HathiTrust Record</v>
      </c>
      <c r="AV3609" s="6" t="str">
        <f>HYPERLINK("http://mcgill.on.worldcat.org/oclc/19554076","Catalog Record")</f>
        <v>Catalog Record</v>
      </c>
      <c r="AW3609" s="6" t="str">
        <f>HYPERLINK("http://www.worldcat.org/oclc/19554076","WorldCat Record")</f>
        <v>WorldCat Record</v>
      </c>
      <c r="AX3609" s="3" t="s">
        <v>35869</v>
      </c>
      <c r="AY3609" s="3" t="s">
        <v>35870</v>
      </c>
      <c r="AZ3609" s="3" t="s">
        <v>35871</v>
      </c>
      <c r="BA3609" s="3" t="s">
        <v>35871</v>
      </c>
      <c r="BB3609" s="3" t="s">
        <v>35872</v>
      </c>
      <c r="BC3609" s="3" t="s">
        <v>77</v>
      </c>
      <c r="BD3609" s="3" t="s">
        <v>106</v>
      </c>
      <c r="BE3609" s="3" t="s">
        <v>35873</v>
      </c>
      <c r="BF3609" s="3" t="s">
        <v>35872</v>
      </c>
      <c r="BG3609" s="3" t="s">
        <v>35874</v>
      </c>
    </row>
    <row r="3610" spans="1:59" ht="58" x14ac:dyDescent="0.35">
      <c r="A3610" s="2" t="s">
        <v>59</v>
      </c>
      <c r="B3610" s="2" t="s">
        <v>60</v>
      </c>
      <c r="C3610" s="2" t="s">
        <v>35875</v>
      </c>
      <c r="D3610" s="2" t="s">
        <v>35876</v>
      </c>
      <c r="E3610" s="2" t="s">
        <v>35877</v>
      </c>
      <c r="G3610" s="3" t="s">
        <v>65</v>
      </c>
      <c r="I3610" s="3" t="s">
        <v>65</v>
      </c>
      <c r="J3610" s="3" t="s">
        <v>65</v>
      </c>
      <c r="K3610" s="3" t="s">
        <v>66</v>
      </c>
      <c r="L3610" s="2" t="s">
        <v>35878</v>
      </c>
      <c r="M3610" s="2" t="s">
        <v>35879</v>
      </c>
      <c r="N3610" s="3" t="s">
        <v>68</v>
      </c>
      <c r="P3610" s="3" t="s">
        <v>140</v>
      </c>
      <c r="R3610" s="3" t="s">
        <v>71</v>
      </c>
      <c r="S3610" s="4">
        <v>0</v>
      </c>
      <c r="T3610" s="4">
        <v>0</v>
      </c>
      <c r="W3610" s="5" t="s">
        <v>72</v>
      </c>
      <c r="X3610" s="5" t="s">
        <v>72</v>
      </c>
      <c r="Y3610" s="4">
        <v>28</v>
      </c>
      <c r="Z3610" s="4">
        <v>1</v>
      </c>
      <c r="AA3610" s="4">
        <v>1</v>
      </c>
      <c r="AB3610" s="4">
        <v>1</v>
      </c>
      <c r="AC3610" s="4">
        <v>1</v>
      </c>
      <c r="AD3610" s="4">
        <v>20</v>
      </c>
      <c r="AE3610" s="4">
        <v>20</v>
      </c>
      <c r="AF3610" s="4">
        <v>0</v>
      </c>
      <c r="AG3610" s="4">
        <v>0</v>
      </c>
      <c r="AH3610" s="4">
        <v>19</v>
      </c>
      <c r="AI3610" s="4">
        <v>19</v>
      </c>
      <c r="AJ3610" s="4">
        <v>0</v>
      </c>
      <c r="AK3610" s="4">
        <v>0</v>
      </c>
      <c r="AL3610" s="4">
        <v>17</v>
      </c>
      <c r="AM3610" s="4">
        <v>17</v>
      </c>
      <c r="AN3610" s="4">
        <v>0</v>
      </c>
      <c r="AO3610" s="4">
        <v>0</v>
      </c>
      <c r="AP3610" s="4">
        <v>0</v>
      </c>
      <c r="AQ3610" s="4">
        <v>0</v>
      </c>
      <c r="AR3610" s="3" t="s">
        <v>65</v>
      </c>
      <c r="AS3610" s="3" t="s">
        <v>65</v>
      </c>
      <c r="AT3610" s="3" t="s">
        <v>65</v>
      </c>
      <c r="AV3610" s="6" t="str">
        <f>HYPERLINK("http://mcgill.on.worldcat.org/oclc/973886277","Catalog Record")</f>
        <v>Catalog Record</v>
      </c>
      <c r="AW3610" s="6" t="str">
        <f>HYPERLINK("http://www.worldcat.org/oclc/973886277","WorldCat Record")</f>
        <v>WorldCat Record</v>
      </c>
      <c r="AX3610" s="3" t="s">
        <v>35880</v>
      </c>
      <c r="AY3610" s="3" t="s">
        <v>35881</v>
      </c>
      <c r="AZ3610" s="3" t="s">
        <v>35882</v>
      </c>
      <c r="BA3610" s="3" t="s">
        <v>35882</v>
      </c>
      <c r="BB3610" s="3" t="s">
        <v>35883</v>
      </c>
      <c r="BC3610" s="3" t="s">
        <v>77</v>
      </c>
      <c r="BD3610" s="3" t="s">
        <v>78</v>
      </c>
      <c r="BE3610" s="3" t="s">
        <v>35884</v>
      </c>
      <c r="BF3610" s="3" t="s">
        <v>35883</v>
      </c>
      <c r="BG3610" s="3" t="s">
        <v>35885</v>
      </c>
    </row>
    <row r="3611" spans="1:59" ht="58" x14ac:dyDescent="0.35">
      <c r="A3611" s="2" t="s">
        <v>59</v>
      </c>
      <c r="B3611" s="2" t="s">
        <v>60</v>
      </c>
      <c r="C3611" s="2" t="s">
        <v>35886</v>
      </c>
      <c r="D3611" s="2" t="s">
        <v>35887</v>
      </c>
      <c r="E3611" s="2" t="s">
        <v>35888</v>
      </c>
      <c r="G3611" s="3" t="s">
        <v>65</v>
      </c>
      <c r="I3611" s="3" t="s">
        <v>65</v>
      </c>
      <c r="J3611" s="3" t="s">
        <v>65</v>
      </c>
      <c r="K3611" s="3" t="s">
        <v>66</v>
      </c>
      <c r="L3611" s="2" t="s">
        <v>35636</v>
      </c>
      <c r="M3611" s="2" t="s">
        <v>33756</v>
      </c>
      <c r="N3611" s="3" t="s">
        <v>164</v>
      </c>
      <c r="P3611" s="3" t="s">
        <v>69</v>
      </c>
      <c r="Q3611" s="2" t="s">
        <v>33645</v>
      </c>
      <c r="R3611" s="3" t="s">
        <v>71</v>
      </c>
      <c r="S3611" s="4">
        <v>0</v>
      </c>
      <c r="T3611" s="4">
        <v>0</v>
      </c>
      <c r="W3611" s="5" t="s">
        <v>72</v>
      </c>
      <c r="X3611" s="5" t="s">
        <v>72</v>
      </c>
      <c r="Y3611" s="4">
        <v>23</v>
      </c>
      <c r="Z3611" s="4">
        <v>1</v>
      </c>
      <c r="AA3611" s="4">
        <v>1</v>
      </c>
      <c r="AB3611" s="4">
        <v>1</v>
      </c>
      <c r="AC3611" s="4">
        <v>1</v>
      </c>
      <c r="AD3611" s="4">
        <v>1</v>
      </c>
      <c r="AE3611" s="4">
        <v>1</v>
      </c>
      <c r="AF3611" s="4">
        <v>0</v>
      </c>
      <c r="AG3611" s="4">
        <v>0</v>
      </c>
      <c r="AH3611" s="4">
        <v>1</v>
      </c>
      <c r="AI3611" s="4">
        <v>1</v>
      </c>
      <c r="AJ3611" s="4">
        <v>0</v>
      </c>
      <c r="AK3611" s="4">
        <v>0</v>
      </c>
      <c r="AL3611" s="4">
        <v>0</v>
      </c>
      <c r="AM3611" s="4">
        <v>0</v>
      </c>
      <c r="AN3611" s="4">
        <v>0</v>
      </c>
      <c r="AO3611" s="4">
        <v>0</v>
      </c>
      <c r="AP3611" s="4">
        <v>0</v>
      </c>
      <c r="AQ3611" s="4">
        <v>0</v>
      </c>
      <c r="AR3611" s="3" t="s">
        <v>65</v>
      </c>
      <c r="AS3611" s="3" t="s">
        <v>65</v>
      </c>
      <c r="AT3611" s="3" t="s">
        <v>65</v>
      </c>
      <c r="AV3611" s="6" t="str">
        <f>HYPERLINK("http://mcgill.on.worldcat.org/oclc/875644201","Catalog Record")</f>
        <v>Catalog Record</v>
      </c>
      <c r="AW3611" s="6" t="str">
        <f>HYPERLINK("http://www.worldcat.org/oclc/875644201","WorldCat Record")</f>
        <v>WorldCat Record</v>
      </c>
      <c r="AX3611" s="3" t="s">
        <v>35889</v>
      </c>
      <c r="AY3611" s="3" t="s">
        <v>35890</v>
      </c>
      <c r="AZ3611" s="3" t="s">
        <v>35891</v>
      </c>
      <c r="BA3611" s="3" t="s">
        <v>35891</v>
      </c>
      <c r="BB3611" s="3" t="s">
        <v>35892</v>
      </c>
      <c r="BC3611" s="3" t="s">
        <v>77</v>
      </c>
      <c r="BD3611" s="3" t="s">
        <v>78</v>
      </c>
      <c r="BE3611" s="3" t="s">
        <v>35893</v>
      </c>
      <c r="BF3611" s="3" t="s">
        <v>35892</v>
      </c>
      <c r="BG3611" s="3" t="s">
        <v>35894</v>
      </c>
    </row>
    <row r="3612" spans="1:59" ht="58" x14ac:dyDescent="0.35">
      <c r="A3612" s="2" t="s">
        <v>59</v>
      </c>
      <c r="B3612" s="2" t="s">
        <v>60</v>
      </c>
      <c r="C3612" s="2" t="s">
        <v>35895</v>
      </c>
      <c r="D3612" s="2" t="s">
        <v>35896</v>
      </c>
      <c r="E3612" s="2" t="s">
        <v>35897</v>
      </c>
      <c r="G3612" s="3" t="s">
        <v>65</v>
      </c>
      <c r="I3612" s="3" t="s">
        <v>209</v>
      </c>
      <c r="J3612" s="3" t="s">
        <v>65</v>
      </c>
      <c r="K3612" s="3" t="s">
        <v>66</v>
      </c>
      <c r="L3612" s="2" t="s">
        <v>35607</v>
      </c>
      <c r="M3612" s="2" t="s">
        <v>35898</v>
      </c>
      <c r="N3612" s="3" t="s">
        <v>5961</v>
      </c>
      <c r="O3612" s="2" t="s">
        <v>2438</v>
      </c>
      <c r="P3612" s="3" t="s">
        <v>69</v>
      </c>
      <c r="Q3612" s="2" t="s">
        <v>23363</v>
      </c>
      <c r="R3612" s="3" t="s">
        <v>71</v>
      </c>
      <c r="S3612" s="4">
        <v>41</v>
      </c>
      <c r="T3612" s="4">
        <v>129</v>
      </c>
      <c r="U3612" s="5" t="s">
        <v>35899</v>
      </c>
      <c r="V3612" s="5" t="s">
        <v>35900</v>
      </c>
      <c r="W3612" s="5" t="s">
        <v>72</v>
      </c>
      <c r="X3612" s="5" t="s">
        <v>72</v>
      </c>
      <c r="Y3612" s="4">
        <v>1074</v>
      </c>
      <c r="Z3612" s="4">
        <v>57</v>
      </c>
      <c r="AA3612" s="4">
        <v>79</v>
      </c>
      <c r="AB3612" s="4">
        <v>5</v>
      </c>
      <c r="AC3612" s="4">
        <v>12</v>
      </c>
      <c r="AD3612" s="4">
        <v>127</v>
      </c>
      <c r="AE3612" s="4">
        <v>141</v>
      </c>
      <c r="AF3612" s="4">
        <v>2</v>
      </c>
      <c r="AG3612" s="4">
        <v>6</v>
      </c>
      <c r="AH3612" s="4">
        <v>103</v>
      </c>
      <c r="AI3612" s="4">
        <v>108</v>
      </c>
      <c r="AJ3612" s="4">
        <v>19</v>
      </c>
      <c r="AK3612" s="4">
        <v>24</v>
      </c>
      <c r="AL3612" s="4">
        <v>56</v>
      </c>
      <c r="AM3612" s="4">
        <v>59</v>
      </c>
      <c r="AN3612" s="4">
        <v>0</v>
      </c>
      <c r="AO3612" s="4">
        <v>0</v>
      </c>
      <c r="AP3612" s="4">
        <v>32</v>
      </c>
      <c r="AQ3612" s="4">
        <v>41</v>
      </c>
      <c r="AR3612" s="3" t="s">
        <v>65</v>
      </c>
      <c r="AS3612" s="3" t="s">
        <v>65</v>
      </c>
      <c r="AT3612" s="3" t="s">
        <v>209</v>
      </c>
      <c r="AU3612" s="6" t="str">
        <f>HYPERLINK("http://catalog.hathitrust.org/Record/000632809","HathiTrust Record")</f>
        <v>HathiTrust Record</v>
      </c>
      <c r="AV3612" s="6" t="str">
        <f>HYPERLINK("http://mcgill.on.worldcat.org/oclc/12665519","Catalog Record")</f>
        <v>Catalog Record</v>
      </c>
      <c r="AW3612" s="6" t="str">
        <f>HYPERLINK("http://www.worldcat.org/oclc/12665519","WorldCat Record")</f>
        <v>WorldCat Record</v>
      </c>
      <c r="AX3612" s="3" t="s">
        <v>35901</v>
      </c>
      <c r="AY3612" s="3" t="s">
        <v>35902</v>
      </c>
      <c r="AZ3612" s="3" t="s">
        <v>35903</v>
      </c>
      <c r="BA3612" s="3" t="s">
        <v>35903</v>
      </c>
      <c r="BB3612" s="3" t="s">
        <v>35904</v>
      </c>
      <c r="BC3612" s="3" t="s">
        <v>77</v>
      </c>
      <c r="BD3612" s="3" t="s">
        <v>78</v>
      </c>
      <c r="BE3612" s="3" t="s">
        <v>35905</v>
      </c>
      <c r="BF3612" s="3" t="s">
        <v>35904</v>
      </c>
      <c r="BG3612" s="3" t="s">
        <v>35906</v>
      </c>
    </row>
    <row r="3613" spans="1:59" ht="58" x14ac:dyDescent="0.35">
      <c r="A3613" s="2" t="s">
        <v>59</v>
      </c>
      <c r="B3613" s="2" t="s">
        <v>60</v>
      </c>
      <c r="C3613" s="2" t="s">
        <v>35895</v>
      </c>
      <c r="D3613" s="2" t="s">
        <v>35896</v>
      </c>
      <c r="E3613" s="2" t="s">
        <v>35897</v>
      </c>
      <c r="G3613" s="3" t="s">
        <v>65</v>
      </c>
      <c r="I3613" s="3" t="s">
        <v>209</v>
      </c>
      <c r="J3613" s="3" t="s">
        <v>65</v>
      </c>
      <c r="K3613" s="3" t="s">
        <v>66</v>
      </c>
      <c r="L3613" s="2" t="s">
        <v>35607</v>
      </c>
      <c r="M3613" s="2" t="s">
        <v>35898</v>
      </c>
      <c r="N3613" s="3" t="s">
        <v>5961</v>
      </c>
      <c r="O3613" s="2" t="s">
        <v>2438</v>
      </c>
      <c r="P3613" s="3" t="s">
        <v>69</v>
      </c>
      <c r="Q3613" s="2" t="s">
        <v>23363</v>
      </c>
      <c r="R3613" s="3" t="s">
        <v>71</v>
      </c>
      <c r="S3613" s="4">
        <v>88</v>
      </c>
      <c r="T3613" s="4">
        <v>129</v>
      </c>
      <c r="U3613" s="5" t="s">
        <v>35900</v>
      </c>
      <c r="V3613" s="5" t="s">
        <v>35900</v>
      </c>
      <c r="W3613" s="5" t="s">
        <v>72</v>
      </c>
      <c r="X3613" s="5" t="s">
        <v>72</v>
      </c>
      <c r="Y3613" s="4">
        <v>1074</v>
      </c>
      <c r="Z3613" s="4">
        <v>57</v>
      </c>
      <c r="AA3613" s="4">
        <v>79</v>
      </c>
      <c r="AB3613" s="4">
        <v>5</v>
      </c>
      <c r="AC3613" s="4">
        <v>12</v>
      </c>
      <c r="AD3613" s="4">
        <v>127</v>
      </c>
      <c r="AE3613" s="4">
        <v>141</v>
      </c>
      <c r="AF3613" s="4">
        <v>2</v>
      </c>
      <c r="AG3613" s="4">
        <v>6</v>
      </c>
      <c r="AH3613" s="4">
        <v>103</v>
      </c>
      <c r="AI3613" s="4">
        <v>108</v>
      </c>
      <c r="AJ3613" s="4">
        <v>19</v>
      </c>
      <c r="AK3613" s="4">
        <v>24</v>
      </c>
      <c r="AL3613" s="4">
        <v>56</v>
      </c>
      <c r="AM3613" s="4">
        <v>59</v>
      </c>
      <c r="AN3613" s="4">
        <v>0</v>
      </c>
      <c r="AO3613" s="4">
        <v>0</v>
      </c>
      <c r="AP3613" s="4">
        <v>32</v>
      </c>
      <c r="AQ3613" s="4">
        <v>41</v>
      </c>
      <c r="AR3613" s="3" t="s">
        <v>65</v>
      </c>
      <c r="AS3613" s="3" t="s">
        <v>65</v>
      </c>
      <c r="AT3613" s="3" t="s">
        <v>209</v>
      </c>
      <c r="AU3613" s="6" t="str">
        <f>HYPERLINK("http://catalog.hathitrust.org/Record/000632809","HathiTrust Record")</f>
        <v>HathiTrust Record</v>
      </c>
      <c r="AV3613" s="6" t="str">
        <f>HYPERLINK("http://mcgill.on.worldcat.org/oclc/12665519","Catalog Record")</f>
        <v>Catalog Record</v>
      </c>
      <c r="AW3613" s="6" t="str">
        <f>HYPERLINK("http://www.worldcat.org/oclc/12665519","WorldCat Record")</f>
        <v>WorldCat Record</v>
      </c>
      <c r="AX3613" s="3" t="s">
        <v>35901</v>
      </c>
      <c r="AY3613" s="3" t="s">
        <v>35902</v>
      </c>
      <c r="AZ3613" s="3" t="s">
        <v>35903</v>
      </c>
      <c r="BA3613" s="3" t="s">
        <v>35903</v>
      </c>
      <c r="BB3613" s="3" t="s">
        <v>35907</v>
      </c>
      <c r="BC3613" s="3" t="s">
        <v>77</v>
      </c>
      <c r="BD3613" s="3" t="s">
        <v>78</v>
      </c>
      <c r="BE3613" s="3" t="s">
        <v>35905</v>
      </c>
      <c r="BF3613" s="3" t="s">
        <v>35907</v>
      </c>
      <c r="BG3613" s="3" t="s">
        <v>35908</v>
      </c>
    </row>
    <row r="3614" spans="1:59" ht="58" x14ac:dyDescent="0.35">
      <c r="A3614" s="2" t="s">
        <v>59</v>
      </c>
      <c r="B3614" s="2" t="s">
        <v>60</v>
      </c>
      <c r="C3614" s="2" t="s">
        <v>35909</v>
      </c>
      <c r="D3614" s="2" t="s">
        <v>35910</v>
      </c>
      <c r="E3614" s="2" t="s">
        <v>35911</v>
      </c>
      <c r="G3614" s="3" t="s">
        <v>65</v>
      </c>
      <c r="I3614" s="3" t="s">
        <v>65</v>
      </c>
      <c r="J3614" s="3" t="s">
        <v>65</v>
      </c>
      <c r="K3614" s="3" t="s">
        <v>66</v>
      </c>
      <c r="L3614" s="2" t="s">
        <v>35607</v>
      </c>
      <c r="M3614" s="2" t="s">
        <v>35912</v>
      </c>
      <c r="N3614" s="3" t="s">
        <v>126</v>
      </c>
      <c r="P3614" s="3" t="s">
        <v>69</v>
      </c>
      <c r="Q3614" s="2" t="s">
        <v>35913</v>
      </c>
      <c r="R3614" s="3" t="s">
        <v>71</v>
      </c>
      <c r="S3614" s="4">
        <v>2</v>
      </c>
      <c r="T3614" s="4">
        <v>2</v>
      </c>
      <c r="U3614" s="5" t="s">
        <v>35914</v>
      </c>
      <c r="V3614" s="5" t="s">
        <v>35914</v>
      </c>
      <c r="W3614" s="5" t="s">
        <v>72</v>
      </c>
      <c r="X3614" s="5" t="s">
        <v>72</v>
      </c>
      <c r="Y3614" s="4">
        <v>721</v>
      </c>
      <c r="Z3614" s="4">
        <v>39</v>
      </c>
      <c r="AA3614" s="4">
        <v>126</v>
      </c>
      <c r="AB3614" s="4">
        <v>3</v>
      </c>
      <c r="AC3614" s="4">
        <v>19</v>
      </c>
      <c r="AD3614" s="4">
        <v>100</v>
      </c>
      <c r="AE3614" s="4">
        <v>150</v>
      </c>
      <c r="AF3614" s="4">
        <v>1</v>
      </c>
      <c r="AG3614" s="4">
        <v>8</v>
      </c>
      <c r="AH3614" s="4">
        <v>89</v>
      </c>
      <c r="AI3614" s="4">
        <v>110</v>
      </c>
      <c r="AJ3614" s="4">
        <v>16</v>
      </c>
      <c r="AK3614" s="4">
        <v>25</v>
      </c>
      <c r="AL3614" s="4">
        <v>51</v>
      </c>
      <c r="AM3614" s="4">
        <v>59</v>
      </c>
      <c r="AN3614" s="4">
        <v>0</v>
      </c>
      <c r="AO3614" s="4">
        <v>0</v>
      </c>
      <c r="AP3614" s="4">
        <v>19</v>
      </c>
      <c r="AQ3614" s="4">
        <v>48</v>
      </c>
      <c r="AR3614" s="3" t="s">
        <v>65</v>
      </c>
      <c r="AS3614" s="3" t="s">
        <v>65</v>
      </c>
      <c r="AT3614" s="3" t="s">
        <v>65</v>
      </c>
      <c r="AV3614" s="6" t="str">
        <f>HYPERLINK("http://mcgill.on.worldcat.org/oclc/655303650","Catalog Record")</f>
        <v>Catalog Record</v>
      </c>
      <c r="AW3614" s="6" t="str">
        <f>HYPERLINK("http://www.worldcat.org/oclc/655303650","WorldCat Record")</f>
        <v>WorldCat Record</v>
      </c>
      <c r="AX3614" s="3" t="s">
        <v>35915</v>
      </c>
      <c r="AY3614" s="3" t="s">
        <v>35916</v>
      </c>
      <c r="AZ3614" s="3" t="s">
        <v>35917</v>
      </c>
      <c r="BA3614" s="3" t="s">
        <v>35917</v>
      </c>
      <c r="BB3614" s="3" t="s">
        <v>35918</v>
      </c>
      <c r="BC3614" s="3" t="s">
        <v>77</v>
      </c>
      <c r="BD3614" s="3" t="s">
        <v>78</v>
      </c>
      <c r="BE3614" s="3" t="s">
        <v>35919</v>
      </c>
      <c r="BF3614" s="3" t="s">
        <v>35918</v>
      </c>
      <c r="BG3614" s="3" t="s">
        <v>35920</v>
      </c>
    </row>
    <row r="3615" spans="1:59" ht="58" x14ac:dyDescent="0.35">
      <c r="A3615" s="2" t="s">
        <v>59</v>
      </c>
      <c r="B3615" s="2" t="s">
        <v>60</v>
      </c>
      <c r="C3615" s="2" t="s">
        <v>35921</v>
      </c>
      <c r="D3615" s="2" t="s">
        <v>35922</v>
      </c>
      <c r="E3615" s="2" t="s">
        <v>35923</v>
      </c>
      <c r="G3615" s="3" t="s">
        <v>65</v>
      </c>
      <c r="I3615" s="3" t="s">
        <v>65</v>
      </c>
      <c r="J3615" s="3" t="s">
        <v>65</v>
      </c>
      <c r="K3615" s="3" t="s">
        <v>66</v>
      </c>
      <c r="M3615" s="2" t="s">
        <v>2497</v>
      </c>
      <c r="N3615" s="3" t="s">
        <v>1122</v>
      </c>
      <c r="P3615" s="3" t="s">
        <v>69</v>
      </c>
      <c r="R3615" s="3" t="s">
        <v>71</v>
      </c>
      <c r="S3615" s="4">
        <v>10</v>
      </c>
      <c r="T3615" s="4">
        <v>10</v>
      </c>
      <c r="U3615" s="5" t="s">
        <v>8482</v>
      </c>
      <c r="V3615" s="5" t="s">
        <v>8482</v>
      </c>
      <c r="W3615" s="5" t="s">
        <v>72</v>
      </c>
      <c r="X3615" s="5" t="s">
        <v>72</v>
      </c>
      <c r="Y3615" s="4">
        <v>215</v>
      </c>
      <c r="Z3615" s="4">
        <v>19</v>
      </c>
      <c r="AA3615" s="4">
        <v>80</v>
      </c>
      <c r="AB3615" s="4">
        <v>2</v>
      </c>
      <c r="AC3615" s="4">
        <v>15</v>
      </c>
      <c r="AD3615" s="4">
        <v>92</v>
      </c>
      <c r="AE3615" s="4">
        <v>133</v>
      </c>
      <c r="AF3615" s="4">
        <v>0</v>
      </c>
      <c r="AG3615" s="4">
        <v>8</v>
      </c>
      <c r="AH3615" s="4">
        <v>83</v>
      </c>
      <c r="AI3615" s="4">
        <v>98</v>
      </c>
      <c r="AJ3615" s="4">
        <v>14</v>
      </c>
      <c r="AK3615" s="4">
        <v>22</v>
      </c>
      <c r="AL3615" s="4">
        <v>54</v>
      </c>
      <c r="AM3615" s="4">
        <v>58</v>
      </c>
      <c r="AN3615" s="4">
        <v>0</v>
      </c>
      <c r="AO3615" s="4">
        <v>0</v>
      </c>
      <c r="AP3615" s="4">
        <v>15</v>
      </c>
      <c r="AQ3615" s="4">
        <v>42</v>
      </c>
      <c r="AR3615" s="3" t="s">
        <v>65</v>
      </c>
      <c r="AS3615" s="3" t="s">
        <v>65</v>
      </c>
      <c r="AT3615" s="3" t="s">
        <v>65</v>
      </c>
      <c r="AV3615" s="6" t="str">
        <f>HYPERLINK("http://mcgill.on.worldcat.org/oclc/286434743","Catalog Record")</f>
        <v>Catalog Record</v>
      </c>
      <c r="AW3615" s="6" t="str">
        <f>HYPERLINK("http://www.worldcat.org/oclc/286434743","WorldCat Record")</f>
        <v>WorldCat Record</v>
      </c>
      <c r="AX3615" s="3" t="s">
        <v>35924</v>
      </c>
      <c r="AY3615" s="3" t="s">
        <v>35925</v>
      </c>
      <c r="AZ3615" s="3" t="s">
        <v>35926</v>
      </c>
      <c r="BA3615" s="3" t="s">
        <v>35926</v>
      </c>
      <c r="BB3615" s="3" t="s">
        <v>35927</v>
      </c>
      <c r="BC3615" s="3" t="s">
        <v>77</v>
      </c>
      <c r="BD3615" s="3" t="s">
        <v>78</v>
      </c>
      <c r="BE3615" s="3" t="s">
        <v>35928</v>
      </c>
      <c r="BF3615" s="3" t="s">
        <v>35927</v>
      </c>
      <c r="BG3615" s="3" t="s">
        <v>35929</v>
      </c>
    </row>
    <row r="3616" spans="1:59" ht="58" x14ac:dyDescent="0.35">
      <c r="A3616" s="2" t="s">
        <v>59</v>
      </c>
      <c r="B3616" s="2" t="s">
        <v>60</v>
      </c>
      <c r="C3616" s="2" t="s">
        <v>35930</v>
      </c>
      <c r="D3616" s="2" t="s">
        <v>35931</v>
      </c>
      <c r="E3616" s="2" t="s">
        <v>35932</v>
      </c>
      <c r="G3616" s="3" t="s">
        <v>65</v>
      </c>
      <c r="I3616" s="3" t="s">
        <v>65</v>
      </c>
      <c r="J3616" s="3" t="s">
        <v>65</v>
      </c>
      <c r="K3616" s="3" t="s">
        <v>66</v>
      </c>
      <c r="L3616" s="2" t="s">
        <v>35933</v>
      </c>
      <c r="M3616" s="2" t="s">
        <v>35934</v>
      </c>
      <c r="N3616" s="3" t="s">
        <v>1032</v>
      </c>
      <c r="O3616" s="2" t="s">
        <v>365</v>
      </c>
      <c r="P3616" s="3" t="s">
        <v>140</v>
      </c>
      <c r="Q3616" s="2" t="s">
        <v>35935</v>
      </c>
      <c r="R3616" s="3" t="s">
        <v>71</v>
      </c>
      <c r="S3616" s="4">
        <v>5</v>
      </c>
      <c r="T3616" s="4">
        <v>5</v>
      </c>
      <c r="U3616" s="5" t="s">
        <v>35936</v>
      </c>
      <c r="V3616" s="5" t="s">
        <v>35936</v>
      </c>
      <c r="W3616" s="5" t="s">
        <v>72</v>
      </c>
      <c r="X3616" s="5" t="s">
        <v>72</v>
      </c>
      <c r="Y3616" s="4">
        <v>58</v>
      </c>
      <c r="Z3616" s="4">
        <v>8</v>
      </c>
      <c r="AA3616" s="4">
        <v>8</v>
      </c>
      <c r="AB3616" s="4">
        <v>2</v>
      </c>
      <c r="AC3616" s="4">
        <v>2</v>
      </c>
      <c r="AD3616" s="4">
        <v>37</v>
      </c>
      <c r="AE3616" s="4">
        <v>37</v>
      </c>
      <c r="AF3616" s="4">
        <v>1</v>
      </c>
      <c r="AG3616" s="4">
        <v>1</v>
      </c>
      <c r="AH3616" s="4">
        <v>34</v>
      </c>
      <c r="AI3616" s="4">
        <v>34</v>
      </c>
      <c r="AJ3616" s="4">
        <v>6</v>
      </c>
      <c r="AK3616" s="4">
        <v>6</v>
      </c>
      <c r="AL3616" s="4">
        <v>25</v>
      </c>
      <c r="AM3616" s="4">
        <v>25</v>
      </c>
      <c r="AN3616" s="4">
        <v>0</v>
      </c>
      <c r="AO3616" s="4">
        <v>0</v>
      </c>
      <c r="AP3616" s="4">
        <v>6</v>
      </c>
      <c r="AQ3616" s="4">
        <v>6</v>
      </c>
      <c r="AR3616" s="3" t="s">
        <v>65</v>
      </c>
      <c r="AS3616" s="3" t="s">
        <v>65</v>
      </c>
      <c r="AT3616" s="3" t="s">
        <v>209</v>
      </c>
      <c r="AU3616" s="6" t="str">
        <f>HYPERLINK("http://catalog.hathitrust.org/Record/003018457","HathiTrust Record")</f>
        <v>HathiTrust Record</v>
      </c>
      <c r="AV3616" s="6" t="str">
        <f>HYPERLINK("http://mcgill.on.worldcat.org/oclc/33418455","Catalog Record")</f>
        <v>Catalog Record</v>
      </c>
      <c r="AW3616" s="6" t="str">
        <f>HYPERLINK("http://www.worldcat.org/oclc/33418455","WorldCat Record")</f>
        <v>WorldCat Record</v>
      </c>
      <c r="AX3616" s="3" t="s">
        <v>35937</v>
      </c>
      <c r="AY3616" s="3" t="s">
        <v>35938</v>
      </c>
      <c r="AZ3616" s="3" t="s">
        <v>35939</v>
      </c>
      <c r="BA3616" s="3" t="s">
        <v>35939</v>
      </c>
      <c r="BB3616" s="3" t="s">
        <v>35940</v>
      </c>
      <c r="BC3616" s="3" t="s">
        <v>77</v>
      </c>
      <c r="BD3616" s="3" t="s">
        <v>78</v>
      </c>
      <c r="BE3616" s="3" t="s">
        <v>35941</v>
      </c>
      <c r="BF3616" s="3" t="s">
        <v>35940</v>
      </c>
      <c r="BG3616" s="3" t="s">
        <v>35942</v>
      </c>
    </row>
    <row r="3617" spans="1:59" ht="58" x14ac:dyDescent="0.35">
      <c r="A3617" s="2" t="s">
        <v>59</v>
      </c>
      <c r="B3617" s="2" t="s">
        <v>60</v>
      </c>
      <c r="C3617" s="2" t="s">
        <v>35943</v>
      </c>
      <c r="D3617" s="2" t="s">
        <v>35944</v>
      </c>
      <c r="E3617" s="2" t="s">
        <v>35945</v>
      </c>
      <c r="G3617" s="3" t="s">
        <v>65</v>
      </c>
      <c r="I3617" s="3" t="s">
        <v>65</v>
      </c>
      <c r="J3617" s="3" t="s">
        <v>65</v>
      </c>
      <c r="K3617" s="3" t="s">
        <v>66</v>
      </c>
      <c r="L3617" s="2" t="s">
        <v>35946</v>
      </c>
      <c r="M3617" s="2" t="s">
        <v>35947</v>
      </c>
      <c r="N3617" s="3" t="s">
        <v>552</v>
      </c>
      <c r="P3617" s="3" t="s">
        <v>69</v>
      </c>
      <c r="R3617" s="3" t="s">
        <v>71</v>
      </c>
      <c r="S3617" s="4">
        <v>36</v>
      </c>
      <c r="T3617" s="4">
        <v>36</v>
      </c>
      <c r="U3617" s="5" t="s">
        <v>8482</v>
      </c>
      <c r="V3617" s="5" t="s">
        <v>8482</v>
      </c>
      <c r="W3617" s="5" t="s">
        <v>72</v>
      </c>
      <c r="X3617" s="5" t="s">
        <v>72</v>
      </c>
      <c r="Y3617" s="4">
        <v>452</v>
      </c>
      <c r="Z3617" s="4">
        <v>33</v>
      </c>
      <c r="AA3617" s="4">
        <v>109</v>
      </c>
      <c r="AB3617" s="4">
        <v>2</v>
      </c>
      <c r="AC3617" s="4">
        <v>17</v>
      </c>
      <c r="AD3617" s="4">
        <v>120</v>
      </c>
      <c r="AE3617" s="4">
        <v>151</v>
      </c>
      <c r="AF3617" s="4">
        <v>1</v>
      </c>
      <c r="AG3617" s="4">
        <v>8</v>
      </c>
      <c r="AH3617" s="4">
        <v>102</v>
      </c>
      <c r="AI3617" s="4">
        <v>111</v>
      </c>
      <c r="AJ3617" s="4">
        <v>19</v>
      </c>
      <c r="AK3617" s="4">
        <v>26</v>
      </c>
      <c r="AL3617" s="4">
        <v>58</v>
      </c>
      <c r="AM3617" s="4">
        <v>60</v>
      </c>
      <c r="AN3617" s="4">
        <v>0</v>
      </c>
      <c r="AO3617" s="4">
        <v>0</v>
      </c>
      <c r="AP3617" s="4">
        <v>25</v>
      </c>
      <c r="AQ3617" s="4">
        <v>49</v>
      </c>
      <c r="AR3617" s="3" t="s">
        <v>65</v>
      </c>
      <c r="AS3617" s="3" t="s">
        <v>65</v>
      </c>
      <c r="AT3617" s="3" t="s">
        <v>65</v>
      </c>
      <c r="AV3617" s="6" t="str">
        <f>HYPERLINK("http://mcgill.on.worldcat.org/oclc/34745879","Catalog Record")</f>
        <v>Catalog Record</v>
      </c>
      <c r="AW3617" s="6" t="str">
        <f>HYPERLINK("http://www.worldcat.org/oclc/34745879","WorldCat Record")</f>
        <v>WorldCat Record</v>
      </c>
      <c r="AX3617" s="3" t="s">
        <v>35948</v>
      </c>
      <c r="AY3617" s="3" t="s">
        <v>35949</v>
      </c>
      <c r="AZ3617" s="3" t="s">
        <v>35950</v>
      </c>
      <c r="BA3617" s="3" t="s">
        <v>35950</v>
      </c>
      <c r="BB3617" s="3" t="s">
        <v>35951</v>
      </c>
      <c r="BC3617" s="3" t="s">
        <v>77</v>
      </c>
      <c r="BD3617" s="3" t="s">
        <v>78</v>
      </c>
      <c r="BE3617" s="3" t="s">
        <v>35952</v>
      </c>
      <c r="BF3617" s="3" t="s">
        <v>35951</v>
      </c>
      <c r="BG3617" s="3" t="s">
        <v>35953</v>
      </c>
    </row>
    <row r="3618" spans="1:59" ht="58" x14ac:dyDescent="0.35">
      <c r="A3618" s="2" t="s">
        <v>59</v>
      </c>
      <c r="B3618" s="2" t="s">
        <v>60</v>
      </c>
      <c r="C3618" s="2" t="s">
        <v>35954</v>
      </c>
      <c r="D3618" s="2" t="s">
        <v>35955</v>
      </c>
      <c r="E3618" s="2" t="s">
        <v>35956</v>
      </c>
      <c r="G3618" s="3" t="s">
        <v>65</v>
      </c>
      <c r="I3618" s="3" t="s">
        <v>209</v>
      </c>
      <c r="J3618" s="3" t="s">
        <v>65</v>
      </c>
      <c r="K3618" s="3" t="s">
        <v>66</v>
      </c>
      <c r="L3618" s="2" t="s">
        <v>35607</v>
      </c>
      <c r="M3618" s="2" t="s">
        <v>35957</v>
      </c>
      <c r="N3618" s="3" t="s">
        <v>4688</v>
      </c>
      <c r="P3618" s="3" t="s">
        <v>69</v>
      </c>
      <c r="R3618" s="3" t="s">
        <v>71</v>
      </c>
      <c r="S3618" s="4">
        <v>42</v>
      </c>
      <c r="T3618" s="4">
        <v>46</v>
      </c>
      <c r="U3618" s="5" t="s">
        <v>13269</v>
      </c>
      <c r="V3618" s="5" t="s">
        <v>13269</v>
      </c>
      <c r="W3618" s="5" t="s">
        <v>72</v>
      </c>
      <c r="X3618" s="5" t="s">
        <v>72</v>
      </c>
      <c r="Y3618" s="4">
        <v>175</v>
      </c>
      <c r="Z3618" s="4">
        <v>10</v>
      </c>
      <c r="AA3618" s="4">
        <v>59</v>
      </c>
      <c r="AB3618" s="4">
        <v>1</v>
      </c>
      <c r="AC3618" s="4">
        <v>5</v>
      </c>
      <c r="AD3618" s="4">
        <v>25</v>
      </c>
      <c r="AE3618" s="4">
        <v>130</v>
      </c>
      <c r="AF3618" s="4">
        <v>0</v>
      </c>
      <c r="AG3618" s="4">
        <v>3</v>
      </c>
      <c r="AH3618" s="4">
        <v>22</v>
      </c>
      <c r="AI3618" s="4">
        <v>107</v>
      </c>
      <c r="AJ3618" s="4">
        <v>5</v>
      </c>
      <c r="AK3618" s="4">
        <v>20</v>
      </c>
      <c r="AL3618" s="4">
        <v>13</v>
      </c>
      <c r="AM3618" s="4">
        <v>56</v>
      </c>
      <c r="AN3618" s="4">
        <v>0</v>
      </c>
      <c r="AO3618" s="4">
        <v>2</v>
      </c>
      <c r="AP3618" s="4">
        <v>7</v>
      </c>
      <c r="AQ3618" s="4">
        <v>29</v>
      </c>
      <c r="AR3618" s="3" t="s">
        <v>65</v>
      </c>
      <c r="AS3618" s="3" t="s">
        <v>65</v>
      </c>
      <c r="AT3618" s="3" t="s">
        <v>209</v>
      </c>
      <c r="AU3618" s="6" t="str">
        <f>HYPERLINK("http://catalog.hathitrust.org/Record/007103501","HathiTrust Record")</f>
        <v>HathiTrust Record</v>
      </c>
      <c r="AV3618" s="6" t="str">
        <f>HYPERLINK("http://mcgill.on.worldcat.org/oclc/11920042","Catalog Record")</f>
        <v>Catalog Record</v>
      </c>
      <c r="AW3618" s="6" t="str">
        <f>HYPERLINK("http://www.worldcat.org/oclc/11920042","WorldCat Record")</f>
        <v>WorldCat Record</v>
      </c>
      <c r="AX3618" s="3" t="s">
        <v>35958</v>
      </c>
      <c r="AY3618" s="3" t="s">
        <v>35959</v>
      </c>
      <c r="AZ3618" s="3" t="s">
        <v>35960</v>
      </c>
      <c r="BA3618" s="3" t="s">
        <v>35960</v>
      </c>
      <c r="BB3618" s="3" t="s">
        <v>35961</v>
      </c>
      <c r="BC3618" s="3" t="s">
        <v>77</v>
      </c>
      <c r="BD3618" s="3" t="s">
        <v>78</v>
      </c>
      <c r="BE3618" s="3" t="s">
        <v>35962</v>
      </c>
      <c r="BF3618" s="3" t="s">
        <v>35961</v>
      </c>
      <c r="BG3618" s="3" t="s">
        <v>35963</v>
      </c>
    </row>
    <row r="3619" spans="1:59" ht="58" x14ac:dyDescent="0.35">
      <c r="A3619" s="2" t="s">
        <v>59</v>
      </c>
      <c r="B3619" s="2" t="s">
        <v>60</v>
      </c>
      <c r="C3619" s="2" t="s">
        <v>35954</v>
      </c>
      <c r="D3619" s="2" t="s">
        <v>35955</v>
      </c>
      <c r="E3619" s="2" t="s">
        <v>35956</v>
      </c>
      <c r="G3619" s="3" t="s">
        <v>65</v>
      </c>
      <c r="I3619" s="3" t="s">
        <v>209</v>
      </c>
      <c r="J3619" s="3" t="s">
        <v>65</v>
      </c>
      <c r="K3619" s="3" t="s">
        <v>66</v>
      </c>
      <c r="L3619" s="2" t="s">
        <v>35607</v>
      </c>
      <c r="M3619" s="2" t="s">
        <v>35957</v>
      </c>
      <c r="N3619" s="3" t="s">
        <v>4688</v>
      </c>
      <c r="P3619" s="3" t="s">
        <v>69</v>
      </c>
      <c r="R3619" s="3" t="s">
        <v>71</v>
      </c>
      <c r="S3619" s="4">
        <v>4</v>
      </c>
      <c r="T3619" s="4">
        <v>46</v>
      </c>
      <c r="U3619" s="5" t="s">
        <v>35964</v>
      </c>
      <c r="V3619" s="5" t="s">
        <v>13269</v>
      </c>
      <c r="W3619" s="5" t="s">
        <v>72</v>
      </c>
      <c r="X3619" s="5" t="s">
        <v>72</v>
      </c>
      <c r="Y3619" s="4">
        <v>175</v>
      </c>
      <c r="Z3619" s="4">
        <v>10</v>
      </c>
      <c r="AA3619" s="4">
        <v>59</v>
      </c>
      <c r="AB3619" s="4">
        <v>1</v>
      </c>
      <c r="AC3619" s="4">
        <v>5</v>
      </c>
      <c r="AD3619" s="4">
        <v>25</v>
      </c>
      <c r="AE3619" s="4">
        <v>130</v>
      </c>
      <c r="AF3619" s="4">
        <v>0</v>
      </c>
      <c r="AG3619" s="4">
        <v>3</v>
      </c>
      <c r="AH3619" s="4">
        <v>22</v>
      </c>
      <c r="AI3619" s="4">
        <v>107</v>
      </c>
      <c r="AJ3619" s="4">
        <v>5</v>
      </c>
      <c r="AK3619" s="4">
        <v>20</v>
      </c>
      <c r="AL3619" s="4">
        <v>13</v>
      </c>
      <c r="AM3619" s="4">
        <v>56</v>
      </c>
      <c r="AN3619" s="4">
        <v>0</v>
      </c>
      <c r="AO3619" s="4">
        <v>2</v>
      </c>
      <c r="AP3619" s="4">
        <v>7</v>
      </c>
      <c r="AQ3619" s="4">
        <v>29</v>
      </c>
      <c r="AR3619" s="3" t="s">
        <v>65</v>
      </c>
      <c r="AS3619" s="3" t="s">
        <v>65</v>
      </c>
      <c r="AT3619" s="3" t="s">
        <v>209</v>
      </c>
      <c r="AU3619" s="6" t="str">
        <f>HYPERLINK("http://catalog.hathitrust.org/Record/007103501","HathiTrust Record")</f>
        <v>HathiTrust Record</v>
      </c>
      <c r="AV3619" s="6" t="str">
        <f>HYPERLINK("http://mcgill.on.worldcat.org/oclc/11920042","Catalog Record")</f>
        <v>Catalog Record</v>
      </c>
      <c r="AW3619" s="6" t="str">
        <f>HYPERLINK("http://www.worldcat.org/oclc/11920042","WorldCat Record")</f>
        <v>WorldCat Record</v>
      </c>
      <c r="AX3619" s="3" t="s">
        <v>35958</v>
      </c>
      <c r="AY3619" s="3" t="s">
        <v>35959</v>
      </c>
      <c r="AZ3619" s="3" t="s">
        <v>35960</v>
      </c>
      <c r="BA3619" s="3" t="s">
        <v>35960</v>
      </c>
      <c r="BB3619" s="3" t="s">
        <v>35965</v>
      </c>
      <c r="BC3619" s="3" t="s">
        <v>77</v>
      </c>
      <c r="BD3619" s="3" t="s">
        <v>78</v>
      </c>
      <c r="BE3619" s="3" t="s">
        <v>35962</v>
      </c>
      <c r="BF3619" s="3" t="s">
        <v>35965</v>
      </c>
      <c r="BG3619" s="3" t="s">
        <v>35966</v>
      </c>
    </row>
    <row r="3620" spans="1:59" ht="58" x14ac:dyDescent="0.35">
      <c r="A3620" s="2" t="s">
        <v>59</v>
      </c>
      <c r="B3620" s="2" t="s">
        <v>60</v>
      </c>
      <c r="C3620" s="2" t="s">
        <v>35967</v>
      </c>
      <c r="D3620" s="2" t="s">
        <v>35968</v>
      </c>
      <c r="E3620" s="2" t="s">
        <v>35969</v>
      </c>
      <c r="G3620" s="3" t="s">
        <v>65</v>
      </c>
      <c r="I3620" s="3" t="s">
        <v>65</v>
      </c>
      <c r="J3620" s="3" t="s">
        <v>65</v>
      </c>
      <c r="K3620" s="3" t="s">
        <v>66</v>
      </c>
      <c r="M3620" s="2" t="s">
        <v>35970</v>
      </c>
      <c r="N3620" s="3" t="s">
        <v>188</v>
      </c>
      <c r="P3620" s="3" t="s">
        <v>69</v>
      </c>
      <c r="Q3620" s="2" t="s">
        <v>35971</v>
      </c>
      <c r="R3620" s="3" t="s">
        <v>71</v>
      </c>
      <c r="S3620" s="4">
        <v>0</v>
      </c>
      <c r="T3620" s="4">
        <v>0</v>
      </c>
      <c r="W3620" s="5" t="s">
        <v>72</v>
      </c>
      <c r="X3620" s="5" t="s">
        <v>72</v>
      </c>
      <c r="Y3620" s="4">
        <v>104</v>
      </c>
      <c r="Z3620" s="4">
        <v>10</v>
      </c>
      <c r="AA3620" s="4">
        <v>10</v>
      </c>
      <c r="AB3620" s="4">
        <v>3</v>
      </c>
      <c r="AC3620" s="4">
        <v>3</v>
      </c>
      <c r="AD3620" s="4">
        <v>47</v>
      </c>
      <c r="AE3620" s="4">
        <v>47</v>
      </c>
      <c r="AF3620" s="4">
        <v>1</v>
      </c>
      <c r="AG3620" s="4">
        <v>1</v>
      </c>
      <c r="AH3620" s="4">
        <v>43</v>
      </c>
      <c r="AI3620" s="4">
        <v>43</v>
      </c>
      <c r="AJ3620" s="4">
        <v>7</v>
      </c>
      <c r="AK3620" s="4">
        <v>7</v>
      </c>
      <c r="AL3620" s="4">
        <v>27</v>
      </c>
      <c r="AM3620" s="4">
        <v>27</v>
      </c>
      <c r="AN3620" s="4">
        <v>0</v>
      </c>
      <c r="AO3620" s="4">
        <v>0</v>
      </c>
      <c r="AP3620" s="4">
        <v>8</v>
      </c>
      <c r="AQ3620" s="4">
        <v>8</v>
      </c>
      <c r="AR3620" s="3" t="s">
        <v>65</v>
      </c>
      <c r="AS3620" s="3" t="s">
        <v>65</v>
      </c>
      <c r="AT3620" s="3" t="s">
        <v>65</v>
      </c>
      <c r="AV3620" s="6" t="str">
        <f>HYPERLINK("http://mcgill.on.worldcat.org/oclc/959535622","Catalog Record")</f>
        <v>Catalog Record</v>
      </c>
      <c r="AW3620" s="6" t="str">
        <f>HYPERLINK("http://www.worldcat.org/oclc/959535622","WorldCat Record")</f>
        <v>WorldCat Record</v>
      </c>
      <c r="AX3620" s="3" t="s">
        <v>35972</v>
      </c>
      <c r="AY3620" s="3" t="s">
        <v>35973</v>
      </c>
      <c r="AZ3620" s="3" t="s">
        <v>35974</v>
      </c>
      <c r="BA3620" s="3" t="s">
        <v>35974</v>
      </c>
      <c r="BB3620" s="3" t="s">
        <v>35975</v>
      </c>
      <c r="BC3620" s="3" t="s">
        <v>77</v>
      </c>
      <c r="BD3620" s="3" t="s">
        <v>78</v>
      </c>
      <c r="BE3620" s="3" t="s">
        <v>35976</v>
      </c>
      <c r="BF3620" s="3" t="s">
        <v>35975</v>
      </c>
      <c r="BG3620" s="3" t="s">
        <v>35977</v>
      </c>
    </row>
    <row r="3621" spans="1:59" ht="58" x14ac:dyDescent="0.35">
      <c r="A3621" s="2" t="s">
        <v>59</v>
      </c>
      <c r="B3621" s="2" t="s">
        <v>60</v>
      </c>
      <c r="C3621" s="2" t="s">
        <v>35978</v>
      </c>
      <c r="D3621" s="2" t="s">
        <v>35979</v>
      </c>
      <c r="E3621" s="2" t="s">
        <v>35980</v>
      </c>
      <c r="G3621" s="3" t="s">
        <v>65</v>
      </c>
      <c r="I3621" s="3" t="s">
        <v>65</v>
      </c>
      <c r="J3621" s="3" t="s">
        <v>65</v>
      </c>
      <c r="K3621" s="3" t="s">
        <v>66</v>
      </c>
      <c r="L3621" s="2" t="s">
        <v>35981</v>
      </c>
      <c r="M3621" s="2" t="s">
        <v>35982</v>
      </c>
      <c r="N3621" s="3" t="s">
        <v>126</v>
      </c>
      <c r="P3621" s="3" t="s">
        <v>140</v>
      </c>
      <c r="Q3621" s="2" t="s">
        <v>35983</v>
      </c>
      <c r="R3621" s="3" t="s">
        <v>71</v>
      </c>
      <c r="S3621" s="4">
        <v>1</v>
      </c>
      <c r="T3621" s="4">
        <v>1</v>
      </c>
      <c r="U3621" s="5" t="s">
        <v>35984</v>
      </c>
      <c r="V3621" s="5" t="s">
        <v>35984</v>
      </c>
      <c r="W3621" s="5" t="s">
        <v>72</v>
      </c>
      <c r="X3621" s="5" t="s">
        <v>72</v>
      </c>
      <c r="Y3621" s="4">
        <v>40</v>
      </c>
      <c r="Z3621" s="4">
        <v>5</v>
      </c>
      <c r="AA3621" s="4">
        <v>5</v>
      </c>
      <c r="AB3621" s="4">
        <v>1</v>
      </c>
      <c r="AC3621" s="4">
        <v>1</v>
      </c>
      <c r="AD3621" s="4">
        <v>29</v>
      </c>
      <c r="AE3621" s="4">
        <v>29</v>
      </c>
      <c r="AF3621" s="4">
        <v>0</v>
      </c>
      <c r="AG3621" s="4">
        <v>0</v>
      </c>
      <c r="AH3621" s="4">
        <v>28</v>
      </c>
      <c r="AI3621" s="4">
        <v>28</v>
      </c>
      <c r="AJ3621" s="4">
        <v>2</v>
      </c>
      <c r="AK3621" s="4">
        <v>2</v>
      </c>
      <c r="AL3621" s="4">
        <v>21</v>
      </c>
      <c r="AM3621" s="4">
        <v>21</v>
      </c>
      <c r="AN3621" s="4">
        <v>0</v>
      </c>
      <c r="AO3621" s="4">
        <v>0</v>
      </c>
      <c r="AP3621" s="4">
        <v>2</v>
      </c>
      <c r="AQ3621" s="4">
        <v>2</v>
      </c>
      <c r="AR3621" s="3" t="s">
        <v>65</v>
      </c>
      <c r="AS3621" s="3" t="s">
        <v>65</v>
      </c>
      <c r="AT3621" s="3" t="s">
        <v>65</v>
      </c>
      <c r="AV3621" s="6" t="str">
        <f>HYPERLINK("http://mcgill.on.worldcat.org/oclc/749782021","Catalog Record")</f>
        <v>Catalog Record</v>
      </c>
      <c r="AW3621" s="6" t="str">
        <f>HYPERLINK("http://www.worldcat.org/oclc/749782021","WorldCat Record")</f>
        <v>WorldCat Record</v>
      </c>
      <c r="AX3621" s="3" t="s">
        <v>35985</v>
      </c>
      <c r="AY3621" s="3" t="s">
        <v>35986</v>
      </c>
      <c r="AZ3621" s="3" t="s">
        <v>35987</v>
      </c>
      <c r="BA3621" s="3" t="s">
        <v>35987</v>
      </c>
      <c r="BB3621" s="3" t="s">
        <v>35988</v>
      </c>
      <c r="BC3621" s="3" t="s">
        <v>77</v>
      </c>
      <c r="BD3621" s="3" t="s">
        <v>78</v>
      </c>
      <c r="BE3621" s="3" t="s">
        <v>35989</v>
      </c>
      <c r="BF3621" s="3" t="s">
        <v>35988</v>
      </c>
      <c r="BG3621" s="3" t="s">
        <v>35990</v>
      </c>
    </row>
    <row r="3622" spans="1:59" ht="58" x14ac:dyDescent="0.35">
      <c r="A3622" s="2" t="s">
        <v>59</v>
      </c>
      <c r="B3622" s="2" t="s">
        <v>60</v>
      </c>
      <c r="C3622" s="2" t="s">
        <v>35991</v>
      </c>
      <c r="D3622" s="2" t="s">
        <v>35992</v>
      </c>
      <c r="E3622" s="2" t="s">
        <v>35993</v>
      </c>
      <c r="G3622" s="3" t="s">
        <v>65</v>
      </c>
      <c r="I3622" s="3" t="s">
        <v>65</v>
      </c>
      <c r="J3622" s="3" t="s">
        <v>65</v>
      </c>
      <c r="K3622" s="3" t="s">
        <v>66</v>
      </c>
      <c r="M3622" s="2" t="s">
        <v>35994</v>
      </c>
      <c r="N3622" s="3" t="s">
        <v>1122</v>
      </c>
      <c r="P3622" s="3" t="s">
        <v>140</v>
      </c>
      <c r="R3622" s="3" t="s">
        <v>71</v>
      </c>
      <c r="S3622" s="4">
        <v>1</v>
      </c>
      <c r="T3622" s="4">
        <v>1</v>
      </c>
      <c r="U3622" s="5" t="s">
        <v>35984</v>
      </c>
      <c r="V3622" s="5" t="s">
        <v>35984</v>
      </c>
      <c r="W3622" s="5" t="s">
        <v>72</v>
      </c>
      <c r="X3622" s="5" t="s">
        <v>72</v>
      </c>
      <c r="Y3622" s="4">
        <v>42</v>
      </c>
      <c r="Z3622" s="4">
        <v>5</v>
      </c>
      <c r="AA3622" s="4">
        <v>5</v>
      </c>
      <c r="AB3622" s="4">
        <v>2</v>
      </c>
      <c r="AC3622" s="4">
        <v>2</v>
      </c>
      <c r="AD3622" s="4">
        <v>29</v>
      </c>
      <c r="AE3622" s="4">
        <v>29</v>
      </c>
      <c r="AF3622" s="4">
        <v>0</v>
      </c>
      <c r="AG3622" s="4">
        <v>0</v>
      </c>
      <c r="AH3622" s="4">
        <v>28</v>
      </c>
      <c r="AI3622" s="4">
        <v>28</v>
      </c>
      <c r="AJ3622" s="4">
        <v>2</v>
      </c>
      <c r="AK3622" s="4">
        <v>2</v>
      </c>
      <c r="AL3622" s="4">
        <v>22</v>
      </c>
      <c r="AM3622" s="4">
        <v>22</v>
      </c>
      <c r="AN3622" s="4">
        <v>0</v>
      </c>
      <c r="AO3622" s="4">
        <v>0</v>
      </c>
      <c r="AP3622" s="4">
        <v>2</v>
      </c>
      <c r="AQ3622" s="4">
        <v>2</v>
      </c>
      <c r="AR3622" s="3" t="s">
        <v>65</v>
      </c>
      <c r="AS3622" s="3" t="s">
        <v>65</v>
      </c>
      <c r="AT3622" s="3" t="s">
        <v>209</v>
      </c>
      <c r="AU3622" s="6" t="str">
        <f>HYPERLINK("http://catalog.hathitrust.org/Record/006778396","HathiTrust Record")</f>
        <v>HathiTrust Record</v>
      </c>
      <c r="AV3622" s="6" t="str">
        <f>HYPERLINK("http://mcgill.on.worldcat.org/oclc/317454512","Catalog Record")</f>
        <v>Catalog Record</v>
      </c>
      <c r="AW3622" s="6" t="str">
        <f>HYPERLINK("http://www.worldcat.org/oclc/317454512","WorldCat Record")</f>
        <v>WorldCat Record</v>
      </c>
      <c r="AX3622" s="3" t="s">
        <v>35995</v>
      </c>
      <c r="AY3622" s="3" t="s">
        <v>35996</v>
      </c>
      <c r="AZ3622" s="3" t="s">
        <v>35997</v>
      </c>
      <c r="BA3622" s="3" t="s">
        <v>35997</v>
      </c>
      <c r="BB3622" s="3" t="s">
        <v>35998</v>
      </c>
      <c r="BC3622" s="3" t="s">
        <v>77</v>
      </c>
      <c r="BD3622" s="3" t="s">
        <v>78</v>
      </c>
      <c r="BE3622" s="3" t="s">
        <v>35999</v>
      </c>
      <c r="BF3622" s="3" t="s">
        <v>35998</v>
      </c>
      <c r="BG3622" s="3" t="s">
        <v>36000</v>
      </c>
    </row>
    <row r="3623" spans="1:59" ht="72.5" x14ac:dyDescent="0.35">
      <c r="A3623" s="2" t="s">
        <v>59</v>
      </c>
      <c r="B3623" s="2" t="s">
        <v>60</v>
      </c>
      <c r="C3623" s="2" t="s">
        <v>36001</v>
      </c>
      <c r="D3623" s="2" t="s">
        <v>36002</v>
      </c>
      <c r="E3623" s="2" t="s">
        <v>36003</v>
      </c>
      <c r="G3623" s="3" t="s">
        <v>65</v>
      </c>
      <c r="I3623" s="3" t="s">
        <v>65</v>
      </c>
      <c r="J3623" s="3" t="s">
        <v>65</v>
      </c>
      <c r="K3623" s="3" t="s">
        <v>66</v>
      </c>
      <c r="L3623" s="2" t="s">
        <v>36004</v>
      </c>
      <c r="M3623" s="2" t="s">
        <v>31782</v>
      </c>
      <c r="N3623" s="3" t="s">
        <v>126</v>
      </c>
      <c r="O3623" s="2" t="s">
        <v>365</v>
      </c>
      <c r="P3623" s="3" t="s">
        <v>140</v>
      </c>
      <c r="Q3623" s="2" t="s">
        <v>34916</v>
      </c>
      <c r="R3623" s="3" t="s">
        <v>71</v>
      </c>
      <c r="S3623" s="4">
        <v>0</v>
      </c>
      <c r="T3623" s="4">
        <v>0</v>
      </c>
      <c r="W3623" s="5" t="s">
        <v>72</v>
      </c>
      <c r="X3623" s="5" t="s">
        <v>72</v>
      </c>
      <c r="Y3623" s="4">
        <v>50</v>
      </c>
      <c r="Z3623" s="4">
        <v>4</v>
      </c>
      <c r="AA3623" s="4">
        <v>5</v>
      </c>
      <c r="AB3623" s="4">
        <v>1</v>
      </c>
      <c r="AC3623" s="4">
        <v>1</v>
      </c>
      <c r="AD3623" s="4">
        <v>35</v>
      </c>
      <c r="AE3623" s="4">
        <v>36</v>
      </c>
      <c r="AF3623" s="4">
        <v>0</v>
      </c>
      <c r="AG3623" s="4">
        <v>0</v>
      </c>
      <c r="AH3623" s="4">
        <v>34</v>
      </c>
      <c r="AI3623" s="4">
        <v>35</v>
      </c>
      <c r="AJ3623" s="4">
        <v>2</v>
      </c>
      <c r="AK3623" s="4">
        <v>3</v>
      </c>
      <c r="AL3623" s="4">
        <v>29</v>
      </c>
      <c r="AM3623" s="4">
        <v>29</v>
      </c>
      <c r="AN3623" s="4">
        <v>0</v>
      </c>
      <c r="AO3623" s="4">
        <v>0</v>
      </c>
      <c r="AP3623" s="4">
        <v>2</v>
      </c>
      <c r="AQ3623" s="4">
        <v>3</v>
      </c>
      <c r="AR3623" s="3" t="s">
        <v>65</v>
      </c>
      <c r="AS3623" s="3" t="s">
        <v>65</v>
      </c>
      <c r="AT3623" s="3" t="s">
        <v>65</v>
      </c>
      <c r="AV3623" s="6" t="str">
        <f>HYPERLINK("http://mcgill.on.worldcat.org/oclc/732359890","Catalog Record")</f>
        <v>Catalog Record</v>
      </c>
      <c r="AW3623" s="6" t="str">
        <f>HYPERLINK("http://www.worldcat.org/oclc/732359890","WorldCat Record")</f>
        <v>WorldCat Record</v>
      </c>
      <c r="AX3623" s="3" t="s">
        <v>36005</v>
      </c>
      <c r="AY3623" s="3" t="s">
        <v>36006</v>
      </c>
      <c r="AZ3623" s="3" t="s">
        <v>36007</v>
      </c>
      <c r="BA3623" s="3" t="s">
        <v>36007</v>
      </c>
      <c r="BB3623" s="3" t="s">
        <v>36008</v>
      </c>
      <c r="BC3623" s="3" t="s">
        <v>77</v>
      </c>
      <c r="BD3623" s="3" t="s">
        <v>78</v>
      </c>
      <c r="BE3623" s="3" t="s">
        <v>36009</v>
      </c>
      <c r="BF3623" s="3" t="s">
        <v>36008</v>
      </c>
      <c r="BG3623" s="3" t="s">
        <v>36010</v>
      </c>
    </row>
    <row r="3624" spans="1:59" ht="58" x14ac:dyDescent="0.35">
      <c r="A3624" s="2" t="s">
        <v>59</v>
      </c>
      <c r="B3624" s="2" t="s">
        <v>60</v>
      </c>
      <c r="C3624" s="2" t="s">
        <v>36011</v>
      </c>
      <c r="D3624" s="2" t="s">
        <v>36012</v>
      </c>
      <c r="E3624" s="2" t="s">
        <v>36013</v>
      </c>
      <c r="G3624" s="3" t="s">
        <v>65</v>
      </c>
      <c r="I3624" s="3" t="s">
        <v>65</v>
      </c>
      <c r="J3624" s="3" t="s">
        <v>65</v>
      </c>
      <c r="K3624" s="3" t="s">
        <v>66</v>
      </c>
      <c r="L3624" s="2" t="s">
        <v>36014</v>
      </c>
      <c r="M3624" s="2" t="s">
        <v>35310</v>
      </c>
      <c r="N3624" s="3" t="s">
        <v>139</v>
      </c>
      <c r="O3624" s="2" t="s">
        <v>235</v>
      </c>
      <c r="P3624" s="3" t="s">
        <v>140</v>
      </c>
      <c r="Q3624" s="2" t="s">
        <v>34916</v>
      </c>
      <c r="R3624" s="3" t="s">
        <v>71</v>
      </c>
      <c r="S3624" s="4">
        <v>0</v>
      </c>
      <c r="T3624" s="4">
        <v>0</v>
      </c>
      <c r="W3624" s="5" t="s">
        <v>72</v>
      </c>
      <c r="X3624" s="5" t="s">
        <v>72</v>
      </c>
      <c r="Y3624" s="4">
        <v>53</v>
      </c>
      <c r="Z3624" s="4">
        <v>4</v>
      </c>
      <c r="AA3624" s="4">
        <v>4</v>
      </c>
      <c r="AB3624" s="4">
        <v>1</v>
      </c>
      <c r="AC3624" s="4">
        <v>1</v>
      </c>
      <c r="AD3624" s="4">
        <v>38</v>
      </c>
      <c r="AE3624" s="4">
        <v>38</v>
      </c>
      <c r="AF3624" s="4">
        <v>0</v>
      </c>
      <c r="AG3624" s="4">
        <v>0</v>
      </c>
      <c r="AH3624" s="4">
        <v>37</v>
      </c>
      <c r="AI3624" s="4">
        <v>37</v>
      </c>
      <c r="AJ3624" s="4">
        <v>2</v>
      </c>
      <c r="AK3624" s="4">
        <v>2</v>
      </c>
      <c r="AL3624" s="4">
        <v>32</v>
      </c>
      <c r="AM3624" s="4">
        <v>32</v>
      </c>
      <c r="AN3624" s="4">
        <v>0</v>
      </c>
      <c r="AO3624" s="4">
        <v>0</v>
      </c>
      <c r="AP3624" s="4">
        <v>2</v>
      </c>
      <c r="AQ3624" s="4">
        <v>2</v>
      </c>
      <c r="AR3624" s="3" t="s">
        <v>65</v>
      </c>
      <c r="AS3624" s="3" t="s">
        <v>65</v>
      </c>
      <c r="AT3624" s="3" t="s">
        <v>65</v>
      </c>
      <c r="AV3624" s="6" t="str">
        <f>HYPERLINK("http://mcgill.on.worldcat.org/oclc/798609618","Catalog Record")</f>
        <v>Catalog Record</v>
      </c>
      <c r="AW3624" s="6" t="str">
        <f>HYPERLINK("http://www.worldcat.org/oclc/798609618","WorldCat Record")</f>
        <v>WorldCat Record</v>
      </c>
      <c r="AX3624" s="3" t="s">
        <v>36015</v>
      </c>
      <c r="AY3624" s="3" t="s">
        <v>36016</v>
      </c>
      <c r="AZ3624" s="3" t="s">
        <v>36017</v>
      </c>
      <c r="BA3624" s="3" t="s">
        <v>36017</v>
      </c>
      <c r="BB3624" s="3" t="s">
        <v>36018</v>
      </c>
      <c r="BC3624" s="3" t="s">
        <v>77</v>
      </c>
      <c r="BD3624" s="3" t="s">
        <v>78</v>
      </c>
      <c r="BE3624" s="3" t="s">
        <v>36019</v>
      </c>
      <c r="BF3624" s="3" t="s">
        <v>36018</v>
      </c>
      <c r="BG3624" s="3" t="s">
        <v>36020</v>
      </c>
    </row>
    <row r="3625" spans="1:59" ht="58" x14ac:dyDescent="0.35">
      <c r="A3625" s="2" t="s">
        <v>59</v>
      </c>
      <c r="B3625" s="2" t="s">
        <v>60</v>
      </c>
      <c r="C3625" s="2" t="s">
        <v>36021</v>
      </c>
      <c r="D3625" s="2" t="s">
        <v>36022</v>
      </c>
      <c r="E3625" s="2" t="s">
        <v>36023</v>
      </c>
      <c r="G3625" s="3" t="s">
        <v>65</v>
      </c>
      <c r="I3625" s="3" t="s">
        <v>65</v>
      </c>
      <c r="J3625" s="3" t="s">
        <v>65</v>
      </c>
      <c r="K3625" s="3" t="s">
        <v>66</v>
      </c>
      <c r="L3625" s="2" t="s">
        <v>36004</v>
      </c>
      <c r="M3625" s="2" t="s">
        <v>28530</v>
      </c>
      <c r="N3625" s="3" t="s">
        <v>113</v>
      </c>
      <c r="O3625" s="2" t="s">
        <v>365</v>
      </c>
      <c r="P3625" s="3" t="s">
        <v>140</v>
      </c>
      <c r="R3625" s="3" t="s">
        <v>71</v>
      </c>
      <c r="S3625" s="4">
        <v>0</v>
      </c>
      <c r="T3625" s="4">
        <v>0</v>
      </c>
      <c r="W3625" s="5" t="s">
        <v>72</v>
      </c>
      <c r="X3625" s="5" t="s">
        <v>72</v>
      </c>
      <c r="Y3625" s="4">
        <v>54</v>
      </c>
      <c r="Z3625" s="4">
        <v>4</v>
      </c>
      <c r="AA3625" s="4">
        <v>4</v>
      </c>
      <c r="AB3625" s="4">
        <v>1</v>
      </c>
      <c r="AC3625" s="4">
        <v>1</v>
      </c>
      <c r="AD3625" s="4">
        <v>38</v>
      </c>
      <c r="AE3625" s="4">
        <v>38</v>
      </c>
      <c r="AF3625" s="4">
        <v>0</v>
      </c>
      <c r="AG3625" s="4">
        <v>0</v>
      </c>
      <c r="AH3625" s="4">
        <v>37</v>
      </c>
      <c r="AI3625" s="4">
        <v>37</v>
      </c>
      <c r="AJ3625" s="4">
        <v>2</v>
      </c>
      <c r="AK3625" s="4">
        <v>2</v>
      </c>
      <c r="AL3625" s="4">
        <v>31</v>
      </c>
      <c r="AM3625" s="4">
        <v>31</v>
      </c>
      <c r="AN3625" s="4">
        <v>0</v>
      </c>
      <c r="AO3625" s="4">
        <v>0</v>
      </c>
      <c r="AP3625" s="4">
        <v>2</v>
      </c>
      <c r="AQ3625" s="4">
        <v>2</v>
      </c>
      <c r="AR3625" s="3" t="s">
        <v>65</v>
      </c>
      <c r="AS3625" s="3" t="s">
        <v>65</v>
      </c>
      <c r="AT3625" s="3" t="s">
        <v>65</v>
      </c>
      <c r="AV3625" s="6" t="str">
        <f>HYPERLINK("http://mcgill.on.worldcat.org/oclc/505429091","Catalog Record")</f>
        <v>Catalog Record</v>
      </c>
      <c r="AW3625" s="6" t="str">
        <f>HYPERLINK("http://www.worldcat.org/oclc/505429091","WorldCat Record")</f>
        <v>WorldCat Record</v>
      </c>
      <c r="AX3625" s="3" t="s">
        <v>36024</v>
      </c>
      <c r="AY3625" s="3" t="s">
        <v>36025</v>
      </c>
      <c r="AZ3625" s="3" t="s">
        <v>36026</v>
      </c>
      <c r="BA3625" s="3" t="s">
        <v>36026</v>
      </c>
      <c r="BB3625" s="3" t="s">
        <v>36027</v>
      </c>
      <c r="BC3625" s="3" t="s">
        <v>77</v>
      </c>
      <c r="BD3625" s="3" t="s">
        <v>78</v>
      </c>
      <c r="BE3625" s="3" t="s">
        <v>36028</v>
      </c>
      <c r="BF3625" s="3" t="s">
        <v>36027</v>
      </c>
      <c r="BG3625" s="3" t="s">
        <v>36029</v>
      </c>
    </row>
    <row r="3626" spans="1:59" ht="58" x14ac:dyDescent="0.35">
      <c r="A3626" s="2" t="s">
        <v>59</v>
      </c>
      <c r="B3626" s="2" t="s">
        <v>60</v>
      </c>
      <c r="C3626" s="2" t="s">
        <v>36030</v>
      </c>
      <c r="D3626" s="2" t="s">
        <v>36031</v>
      </c>
      <c r="E3626" s="2" t="s">
        <v>36032</v>
      </c>
      <c r="G3626" s="3" t="s">
        <v>65</v>
      </c>
      <c r="I3626" s="3" t="s">
        <v>65</v>
      </c>
      <c r="J3626" s="3" t="s">
        <v>65</v>
      </c>
      <c r="K3626" s="3" t="s">
        <v>66</v>
      </c>
      <c r="L3626" s="2" t="s">
        <v>36033</v>
      </c>
      <c r="M3626" s="2" t="s">
        <v>13771</v>
      </c>
      <c r="N3626" s="3" t="s">
        <v>525</v>
      </c>
      <c r="O3626" s="2" t="s">
        <v>36034</v>
      </c>
      <c r="P3626" s="3" t="s">
        <v>140</v>
      </c>
      <c r="Q3626" s="2" t="s">
        <v>36035</v>
      </c>
      <c r="R3626" s="3" t="s">
        <v>71</v>
      </c>
      <c r="S3626" s="4">
        <v>2</v>
      </c>
      <c r="T3626" s="4">
        <v>2</v>
      </c>
      <c r="U3626" s="5" t="s">
        <v>36036</v>
      </c>
      <c r="V3626" s="5" t="s">
        <v>36036</v>
      </c>
      <c r="W3626" s="5" t="s">
        <v>72</v>
      </c>
      <c r="X3626" s="5" t="s">
        <v>72</v>
      </c>
      <c r="Y3626" s="4">
        <v>5</v>
      </c>
      <c r="Z3626" s="4">
        <v>1</v>
      </c>
      <c r="AA3626" s="4">
        <v>2</v>
      </c>
      <c r="AB3626" s="4">
        <v>1</v>
      </c>
      <c r="AC3626" s="4">
        <v>2</v>
      </c>
      <c r="AD3626" s="4">
        <v>0</v>
      </c>
      <c r="AE3626" s="4">
        <v>2</v>
      </c>
      <c r="AF3626" s="4">
        <v>0</v>
      </c>
      <c r="AG3626" s="4">
        <v>0</v>
      </c>
      <c r="AH3626" s="4">
        <v>0</v>
      </c>
      <c r="AI3626" s="4">
        <v>2</v>
      </c>
      <c r="AJ3626" s="4">
        <v>0</v>
      </c>
      <c r="AK3626" s="4">
        <v>0</v>
      </c>
      <c r="AL3626" s="4">
        <v>0</v>
      </c>
      <c r="AM3626" s="4">
        <v>2</v>
      </c>
      <c r="AN3626" s="4">
        <v>0</v>
      </c>
      <c r="AO3626" s="4">
        <v>0</v>
      </c>
      <c r="AP3626" s="4">
        <v>0</v>
      </c>
      <c r="AQ3626" s="4">
        <v>0</v>
      </c>
      <c r="AR3626" s="3" t="s">
        <v>65</v>
      </c>
      <c r="AS3626" s="3" t="s">
        <v>65</v>
      </c>
      <c r="AT3626" s="3" t="s">
        <v>65</v>
      </c>
      <c r="AV3626" s="6" t="str">
        <f>HYPERLINK("http://mcgill.on.worldcat.org/oclc/77279718","Catalog Record")</f>
        <v>Catalog Record</v>
      </c>
      <c r="AW3626" s="6" t="str">
        <f>HYPERLINK("http://www.worldcat.org/oclc/77279718","WorldCat Record")</f>
        <v>WorldCat Record</v>
      </c>
      <c r="AX3626" s="3" t="s">
        <v>36037</v>
      </c>
      <c r="AY3626" s="3" t="s">
        <v>36038</v>
      </c>
      <c r="AZ3626" s="3" t="s">
        <v>36039</v>
      </c>
      <c r="BA3626" s="3" t="s">
        <v>36039</v>
      </c>
      <c r="BB3626" s="3" t="s">
        <v>36040</v>
      </c>
      <c r="BC3626" s="3" t="s">
        <v>77</v>
      </c>
      <c r="BD3626" s="3" t="s">
        <v>78</v>
      </c>
      <c r="BE3626" s="3" t="s">
        <v>36041</v>
      </c>
      <c r="BF3626" s="3" t="s">
        <v>36040</v>
      </c>
      <c r="BG3626" s="3" t="s">
        <v>36042</v>
      </c>
    </row>
    <row r="3627" spans="1:59" ht="58" x14ac:dyDescent="0.35">
      <c r="A3627" s="2" t="s">
        <v>59</v>
      </c>
      <c r="B3627" s="2" t="s">
        <v>60</v>
      </c>
      <c r="C3627" s="2" t="s">
        <v>36043</v>
      </c>
      <c r="D3627" s="2" t="s">
        <v>36044</v>
      </c>
      <c r="E3627" s="2" t="s">
        <v>36045</v>
      </c>
      <c r="G3627" s="3" t="s">
        <v>65</v>
      </c>
      <c r="I3627" s="3" t="s">
        <v>65</v>
      </c>
      <c r="J3627" s="3" t="s">
        <v>65</v>
      </c>
      <c r="K3627" s="3" t="s">
        <v>66</v>
      </c>
      <c r="L3627" s="2" t="s">
        <v>36033</v>
      </c>
      <c r="M3627" s="2" t="s">
        <v>36046</v>
      </c>
      <c r="N3627" s="3" t="s">
        <v>525</v>
      </c>
      <c r="O3627" s="2" t="s">
        <v>365</v>
      </c>
      <c r="P3627" s="3" t="s">
        <v>140</v>
      </c>
      <c r="Q3627" s="2" t="s">
        <v>36047</v>
      </c>
      <c r="R3627" s="3" t="s">
        <v>71</v>
      </c>
      <c r="S3627" s="4">
        <v>4</v>
      </c>
      <c r="T3627" s="4">
        <v>4</v>
      </c>
      <c r="U3627" s="5" t="s">
        <v>7286</v>
      </c>
      <c r="V3627" s="5" t="s">
        <v>7286</v>
      </c>
      <c r="W3627" s="5" t="s">
        <v>72</v>
      </c>
      <c r="X3627" s="5" t="s">
        <v>72</v>
      </c>
      <c r="Y3627" s="4">
        <v>11</v>
      </c>
      <c r="Z3627" s="4">
        <v>1</v>
      </c>
      <c r="AA3627" s="4">
        <v>1</v>
      </c>
      <c r="AB3627" s="4">
        <v>1</v>
      </c>
      <c r="AC3627" s="4">
        <v>1</v>
      </c>
      <c r="AD3627" s="4">
        <v>6</v>
      </c>
      <c r="AE3627" s="4">
        <v>6</v>
      </c>
      <c r="AF3627" s="4">
        <v>0</v>
      </c>
      <c r="AG3627" s="4">
        <v>0</v>
      </c>
      <c r="AH3627" s="4">
        <v>5</v>
      </c>
      <c r="AI3627" s="4">
        <v>5</v>
      </c>
      <c r="AJ3627" s="4">
        <v>0</v>
      </c>
      <c r="AK3627" s="4">
        <v>0</v>
      </c>
      <c r="AL3627" s="4">
        <v>4</v>
      </c>
      <c r="AM3627" s="4">
        <v>4</v>
      </c>
      <c r="AN3627" s="4">
        <v>0</v>
      </c>
      <c r="AO3627" s="4">
        <v>0</v>
      </c>
      <c r="AP3627" s="4">
        <v>0</v>
      </c>
      <c r="AQ3627" s="4">
        <v>0</v>
      </c>
      <c r="AR3627" s="3" t="s">
        <v>65</v>
      </c>
      <c r="AS3627" s="3" t="s">
        <v>65</v>
      </c>
      <c r="AT3627" s="3" t="s">
        <v>65</v>
      </c>
      <c r="AV3627" s="6" t="str">
        <f>HYPERLINK("http://mcgill.on.worldcat.org/oclc/54987465","Catalog Record")</f>
        <v>Catalog Record</v>
      </c>
      <c r="AW3627" s="6" t="str">
        <f>HYPERLINK("http://www.worldcat.org/oclc/54987465","WorldCat Record")</f>
        <v>WorldCat Record</v>
      </c>
      <c r="AX3627" s="3" t="s">
        <v>36048</v>
      </c>
      <c r="AY3627" s="3" t="s">
        <v>36049</v>
      </c>
      <c r="AZ3627" s="3" t="s">
        <v>36050</v>
      </c>
      <c r="BA3627" s="3" t="s">
        <v>36050</v>
      </c>
      <c r="BB3627" s="3" t="s">
        <v>36051</v>
      </c>
      <c r="BC3627" s="3" t="s">
        <v>77</v>
      </c>
      <c r="BD3627" s="3" t="s">
        <v>78</v>
      </c>
      <c r="BE3627" s="3" t="s">
        <v>36052</v>
      </c>
      <c r="BF3627" s="3" t="s">
        <v>36051</v>
      </c>
      <c r="BG3627" s="3" t="s">
        <v>36053</v>
      </c>
    </row>
    <row r="3628" spans="1:59" ht="58" x14ac:dyDescent="0.35">
      <c r="A3628" s="2" t="s">
        <v>59</v>
      </c>
      <c r="B3628" s="2" t="s">
        <v>60</v>
      </c>
      <c r="C3628" s="2" t="s">
        <v>36054</v>
      </c>
      <c r="D3628" s="2" t="s">
        <v>36055</v>
      </c>
      <c r="E3628" s="2" t="s">
        <v>36056</v>
      </c>
      <c r="G3628" s="3" t="s">
        <v>65</v>
      </c>
      <c r="I3628" s="3" t="s">
        <v>65</v>
      </c>
      <c r="J3628" s="3" t="s">
        <v>65</v>
      </c>
      <c r="K3628" s="3" t="s">
        <v>66</v>
      </c>
      <c r="L3628" s="2" t="s">
        <v>36057</v>
      </c>
      <c r="M3628" s="2" t="s">
        <v>36058</v>
      </c>
      <c r="N3628" s="3" t="s">
        <v>139</v>
      </c>
      <c r="P3628" s="3" t="s">
        <v>140</v>
      </c>
      <c r="Q3628" s="2" t="s">
        <v>36059</v>
      </c>
      <c r="R3628" s="3" t="s">
        <v>71</v>
      </c>
      <c r="S3628" s="4">
        <v>0</v>
      </c>
      <c r="T3628" s="4">
        <v>0</v>
      </c>
      <c r="W3628" s="5" t="s">
        <v>72</v>
      </c>
      <c r="X3628" s="5" t="s">
        <v>72</v>
      </c>
      <c r="Y3628" s="4">
        <v>9</v>
      </c>
      <c r="Z3628" s="4">
        <v>2</v>
      </c>
      <c r="AA3628" s="4">
        <v>6</v>
      </c>
      <c r="AB3628" s="4">
        <v>1</v>
      </c>
      <c r="AC3628" s="4">
        <v>2</v>
      </c>
      <c r="AD3628" s="4">
        <v>6</v>
      </c>
      <c r="AE3628" s="4">
        <v>31</v>
      </c>
      <c r="AF3628" s="4">
        <v>0</v>
      </c>
      <c r="AG3628" s="4">
        <v>0</v>
      </c>
      <c r="AH3628" s="4">
        <v>5</v>
      </c>
      <c r="AI3628" s="4">
        <v>30</v>
      </c>
      <c r="AJ3628" s="4">
        <v>1</v>
      </c>
      <c r="AK3628" s="4">
        <v>2</v>
      </c>
      <c r="AL3628" s="4">
        <v>5</v>
      </c>
      <c r="AM3628" s="4">
        <v>23</v>
      </c>
      <c r="AN3628" s="4">
        <v>0</v>
      </c>
      <c r="AO3628" s="4">
        <v>0</v>
      </c>
      <c r="AP3628" s="4">
        <v>1</v>
      </c>
      <c r="AQ3628" s="4">
        <v>2</v>
      </c>
      <c r="AR3628" s="3" t="s">
        <v>65</v>
      </c>
      <c r="AS3628" s="3" t="s">
        <v>65</v>
      </c>
      <c r="AT3628" s="3" t="s">
        <v>65</v>
      </c>
      <c r="AV3628" s="6" t="str">
        <f>HYPERLINK("http://mcgill.on.worldcat.org/oclc/799999902","Catalog Record")</f>
        <v>Catalog Record</v>
      </c>
      <c r="AW3628" s="6" t="str">
        <f>HYPERLINK("http://www.worldcat.org/oclc/799999902","WorldCat Record")</f>
        <v>WorldCat Record</v>
      </c>
      <c r="AX3628" s="3" t="s">
        <v>36060</v>
      </c>
      <c r="AY3628" s="3" t="s">
        <v>36061</v>
      </c>
      <c r="AZ3628" s="3" t="s">
        <v>36062</v>
      </c>
      <c r="BA3628" s="3" t="s">
        <v>36062</v>
      </c>
      <c r="BB3628" s="3" t="s">
        <v>36063</v>
      </c>
      <c r="BC3628" s="3" t="s">
        <v>77</v>
      </c>
      <c r="BD3628" s="3" t="s">
        <v>78</v>
      </c>
      <c r="BE3628" s="3" t="s">
        <v>36064</v>
      </c>
      <c r="BF3628" s="3" t="s">
        <v>36063</v>
      </c>
      <c r="BG3628" s="3" t="s">
        <v>36065</v>
      </c>
    </row>
    <row r="3629" spans="1:59" ht="58" x14ac:dyDescent="0.35">
      <c r="A3629" s="2" t="s">
        <v>59</v>
      </c>
      <c r="B3629" s="2" t="s">
        <v>60</v>
      </c>
      <c r="C3629" s="2" t="s">
        <v>36066</v>
      </c>
      <c r="D3629" s="2" t="s">
        <v>36067</v>
      </c>
      <c r="E3629" s="2" t="s">
        <v>36068</v>
      </c>
      <c r="G3629" s="3" t="s">
        <v>65</v>
      </c>
      <c r="I3629" s="3" t="s">
        <v>65</v>
      </c>
      <c r="J3629" s="3" t="s">
        <v>65</v>
      </c>
      <c r="K3629" s="3" t="s">
        <v>66</v>
      </c>
      <c r="L3629" s="2" t="s">
        <v>36069</v>
      </c>
      <c r="M3629" s="2" t="s">
        <v>28776</v>
      </c>
      <c r="N3629" s="3" t="s">
        <v>126</v>
      </c>
      <c r="P3629" s="3" t="s">
        <v>140</v>
      </c>
      <c r="Q3629" s="2" t="s">
        <v>36070</v>
      </c>
      <c r="R3629" s="3" t="s">
        <v>71</v>
      </c>
      <c r="S3629" s="4">
        <v>2</v>
      </c>
      <c r="T3629" s="4">
        <v>2</v>
      </c>
      <c r="U3629" s="5" t="s">
        <v>36071</v>
      </c>
      <c r="V3629" s="5" t="s">
        <v>36071</v>
      </c>
      <c r="W3629" s="5" t="s">
        <v>72</v>
      </c>
      <c r="X3629" s="5" t="s">
        <v>72</v>
      </c>
      <c r="Y3629" s="4">
        <v>43</v>
      </c>
      <c r="Z3629" s="4">
        <v>5</v>
      </c>
      <c r="AA3629" s="4">
        <v>5</v>
      </c>
      <c r="AB3629" s="4">
        <v>1</v>
      </c>
      <c r="AC3629" s="4">
        <v>1</v>
      </c>
      <c r="AD3629" s="4">
        <v>32</v>
      </c>
      <c r="AE3629" s="4">
        <v>32</v>
      </c>
      <c r="AF3629" s="4">
        <v>0</v>
      </c>
      <c r="AG3629" s="4">
        <v>0</v>
      </c>
      <c r="AH3629" s="4">
        <v>31</v>
      </c>
      <c r="AI3629" s="4">
        <v>31</v>
      </c>
      <c r="AJ3629" s="4">
        <v>3</v>
      </c>
      <c r="AK3629" s="4">
        <v>3</v>
      </c>
      <c r="AL3629" s="4">
        <v>25</v>
      </c>
      <c r="AM3629" s="4">
        <v>25</v>
      </c>
      <c r="AN3629" s="4">
        <v>0</v>
      </c>
      <c r="AO3629" s="4">
        <v>0</v>
      </c>
      <c r="AP3629" s="4">
        <v>3</v>
      </c>
      <c r="AQ3629" s="4">
        <v>3</v>
      </c>
      <c r="AR3629" s="3" t="s">
        <v>65</v>
      </c>
      <c r="AS3629" s="3" t="s">
        <v>65</v>
      </c>
      <c r="AT3629" s="3" t="s">
        <v>65</v>
      </c>
      <c r="AV3629" s="6" t="str">
        <f>HYPERLINK("http://mcgill.on.worldcat.org/oclc/764331629","Catalog Record")</f>
        <v>Catalog Record</v>
      </c>
      <c r="AW3629" s="6" t="str">
        <f>HYPERLINK("http://www.worldcat.org/oclc/764331629","WorldCat Record")</f>
        <v>WorldCat Record</v>
      </c>
      <c r="AX3629" s="3" t="s">
        <v>36072</v>
      </c>
      <c r="AY3629" s="3" t="s">
        <v>36073</v>
      </c>
      <c r="AZ3629" s="3" t="s">
        <v>36074</v>
      </c>
      <c r="BA3629" s="3" t="s">
        <v>36074</v>
      </c>
      <c r="BB3629" s="3" t="s">
        <v>36075</v>
      </c>
      <c r="BC3629" s="3" t="s">
        <v>77</v>
      </c>
      <c r="BD3629" s="3" t="s">
        <v>78</v>
      </c>
      <c r="BE3629" s="3" t="s">
        <v>36076</v>
      </c>
      <c r="BF3629" s="3" t="s">
        <v>36075</v>
      </c>
      <c r="BG3629" s="3" t="s">
        <v>36077</v>
      </c>
    </row>
    <row r="3630" spans="1:59" ht="58" x14ac:dyDescent="0.35">
      <c r="A3630" s="2" t="s">
        <v>59</v>
      </c>
      <c r="B3630" s="2" t="s">
        <v>60</v>
      </c>
      <c r="C3630" s="2" t="s">
        <v>36078</v>
      </c>
      <c r="D3630" s="2" t="s">
        <v>36079</v>
      </c>
      <c r="E3630" s="2" t="s">
        <v>36080</v>
      </c>
      <c r="G3630" s="3" t="s">
        <v>65</v>
      </c>
      <c r="I3630" s="3" t="s">
        <v>65</v>
      </c>
      <c r="J3630" s="3" t="s">
        <v>65</v>
      </c>
      <c r="K3630" s="3" t="s">
        <v>66</v>
      </c>
      <c r="L3630" s="2" t="s">
        <v>21992</v>
      </c>
      <c r="M3630" s="2" t="s">
        <v>36081</v>
      </c>
      <c r="N3630" s="3" t="s">
        <v>152</v>
      </c>
      <c r="O3630" s="2" t="s">
        <v>365</v>
      </c>
      <c r="P3630" s="3" t="s">
        <v>140</v>
      </c>
      <c r="R3630" s="3" t="s">
        <v>71</v>
      </c>
      <c r="S3630" s="4">
        <v>1</v>
      </c>
      <c r="T3630" s="4">
        <v>1</v>
      </c>
      <c r="U3630" s="5" t="s">
        <v>36082</v>
      </c>
      <c r="V3630" s="5" t="s">
        <v>36082</v>
      </c>
      <c r="W3630" s="5" t="s">
        <v>72</v>
      </c>
      <c r="X3630" s="5" t="s">
        <v>72</v>
      </c>
      <c r="Y3630" s="4">
        <v>43</v>
      </c>
      <c r="Z3630" s="4">
        <v>4</v>
      </c>
      <c r="AA3630" s="4">
        <v>4</v>
      </c>
      <c r="AB3630" s="4">
        <v>1</v>
      </c>
      <c r="AC3630" s="4">
        <v>1</v>
      </c>
      <c r="AD3630" s="4">
        <v>29</v>
      </c>
      <c r="AE3630" s="4">
        <v>29</v>
      </c>
      <c r="AF3630" s="4">
        <v>0</v>
      </c>
      <c r="AG3630" s="4">
        <v>0</v>
      </c>
      <c r="AH3630" s="4">
        <v>28</v>
      </c>
      <c r="AI3630" s="4">
        <v>28</v>
      </c>
      <c r="AJ3630" s="4">
        <v>2</v>
      </c>
      <c r="AK3630" s="4">
        <v>2</v>
      </c>
      <c r="AL3630" s="4">
        <v>23</v>
      </c>
      <c r="AM3630" s="4">
        <v>23</v>
      </c>
      <c r="AN3630" s="4">
        <v>0</v>
      </c>
      <c r="AO3630" s="4">
        <v>0</v>
      </c>
      <c r="AP3630" s="4">
        <v>2</v>
      </c>
      <c r="AQ3630" s="4">
        <v>2</v>
      </c>
      <c r="AR3630" s="3" t="s">
        <v>65</v>
      </c>
      <c r="AS3630" s="3" t="s">
        <v>65</v>
      </c>
      <c r="AT3630" s="3" t="s">
        <v>65</v>
      </c>
      <c r="AV3630" s="6" t="str">
        <f>HYPERLINK("http://mcgill.on.worldcat.org/oclc/842837497","Catalog Record")</f>
        <v>Catalog Record</v>
      </c>
      <c r="AW3630" s="6" t="str">
        <f>HYPERLINK("http://www.worldcat.org/oclc/842837497","WorldCat Record")</f>
        <v>WorldCat Record</v>
      </c>
      <c r="AX3630" s="3" t="s">
        <v>36083</v>
      </c>
      <c r="AY3630" s="3" t="s">
        <v>36084</v>
      </c>
      <c r="AZ3630" s="3" t="s">
        <v>36085</v>
      </c>
      <c r="BA3630" s="3" t="s">
        <v>36085</v>
      </c>
      <c r="BB3630" s="3" t="s">
        <v>36086</v>
      </c>
      <c r="BC3630" s="3" t="s">
        <v>77</v>
      </c>
      <c r="BD3630" s="3" t="s">
        <v>78</v>
      </c>
      <c r="BE3630" s="3" t="s">
        <v>36087</v>
      </c>
      <c r="BF3630" s="3" t="s">
        <v>36086</v>
      </c>
      <c r="BG3630" s="3" t="s">
        <v>36088</v>
      </c>
    </row>
    <row r="3631" spans="1:59" ht="58" x14ac:dyDescent="0.35">
      <c r="A3631" s="2" t="s">
        <v>59</v>
      </c>
      <c r="B3631" s="2" t="s">
        <v>60</v>
      </c>
      <c r="C3631" s="2" t="s">
        <v>36089</v>
      </c>
      <c r="D3631" s="2" t="s">
        <v>36090</v>
      </c>
      <c r="E3631" s="2" t="s">
        <v>36091</v>
      </c>
      <c r="G3631" s="3" t="s">
        <v>65</v>
      </c>
      <c r="I3631" s="3" t="s">
        <v>209</v>
      </c>
      <c r="J3631" s="3" t="s">
        <v>65</v>
      </c>
      <c r="K3631" s="3" t="s">
        <v>66</v>
      </c>
      <c r="L3631" s="2" t="s">
        <v>36092</v>
      </c>
      <c r="M3631" s="2" t="s">
        <v>36093</v>
      </c>
      <c r="N3631" s="3" t="s">
        <v>152</v>
      </c>
      <c r="P3631" s="3" t="s">
        <v>140</v>
      </c>
      <c r="Q3631" s="2" t="s">
        <v>36094</v>
      </c>
      <c r="R3631" s="3" t="s">
        <v>71</v>
      </c>
      <c r="S3631" s="4">
        <v>0</v>
      </c>
      <c r="T3631" s="4">
        <v>0</v>
      </c>
      <c r="W3631" s="5" t="s">
        <v>72</v>
      </c>
      <c r="X3631" s="5" t="s">
        <v>72</v>
      </c>
      <c r="Y3631" s="4">
        <v>12</v>
      </c>
      <c r="Z3631" s="4">
        <v>3</v>
      </c>
      <c r="AA3631" s="4">
        <v>3</v>
      </c>
      <c r="AB3631" s="4">
        <v>1</v>
      </c>
      <c r="AC3631" s="4">
        <v>1</v>
      </c>
      <c r="AD3631" s="4">
        <v>9</v>
      </c>
      <c r="AE3631" s="4">
        <v>13</v>
      </c>
      <c r="AF3631" s="4">
        <v>0</v>
      </c>
      <c r="AG3631" s="4">
        <v>0</v>
      </c>
      <c r="AH3631" s="4">
        <v>9</v>
      </c>
      <c r="AI3631" s="4">
        <v>12</v>
      </c>
      <c r="AJ3631" s="4">
        <v>1</v>
      </c>
      <c r="AK3631" s="4">
        <v>1</v>
      </c>
      <c r="AL3631" s="4">
        <v>8</v>
      </c>
      <c r="AM3631" s="4">
        <v>12</v>
      </c>
      <c r="AN3631" s="4">
        <v>0</v>
      </c>
      <c r="AO3631" s="4">
        <v>0</v>
      </c>
      <c r="AP3631" s="4">
        <v>1</v>
      </c>
      <c r="AQ3631" s="4">
        <v>1</v>
      </c>
      <c r="AR3631" s="3" t="s">
        <v>65</v>
      </c>
      <c r="AS3631" s="3" t="s">
        <v>65</v>
      </c>
      <c r="AT3631" s="3" t="s">
        <v>65</v>
      </c>
      <c r="AV3631" s="6" t="str">
        <f>HYPERLINK("http://mcgill.on.worldcat.org/oclc/839273812","Catalog Record")</f>
        <v>Catalog Record</v>
      </c>
      <c r="AW3631" s="6" t="str">
        <f>HYPERLINK("http://www.worldcat.org/oclc/839273812","WorldCat Record")</f>
        <v>WorldCat Record</v>
      </c>
      <c r="AX3631" s="3" t="s">
        <v>36095</v>
      </c>
      <c r="AY3631" s="3" t="s">
        <v>36096</v>
      </c>
      <c r="AZ3631" s="3" t="s">
        <v>36097</v>
      </c>
      <c r="BA3631" s="3" t="s">
        <v>36097</v>
      </c>
      <c r="BB3631" s="3" t="s">
        <v>36098</v>
      </c>
      <c r="BC3631" s="3" t="s">
        <v>77</v>
      </c>
      <c r="BD3631" s="3" t="s">
        <v>78</v>
      </c>
      <c r="BE3631" s="3" t="s">
        <v>36099</v>
      </c>
      <c r="BF3631" s="3" t="s">
        <v>36098</v>
      </c>
      <c r="BG3631" s="3" t="s">
        <v>36100</v>
      </c>
    </row>
    <row r="3632" spans="1:59" ht="58" x14ac:dyDescent="0.35">
      <c r="A3632" s="2" t="s">
        <v>59</v>
      </c>
      <c r="B3632" s="2" t="s">
        <v>60</v>
      </c>
      <c r="C3632" s="2" t="s">
        <v>36101</v>
      </c>
      <c r="D3632" s="2" t="s">
        <v>36090</v>
      </c>
      <c r="E3632" s="2" t="s">
        <v>36091</v>
      </c>
      <c r="G3632" s="3" t="s">
        <v>65</v>
      </c>
      <c r="I3632" s="3" t="s">
        <v>209</v>
      </c>
      <c r="J3632" s="3" t="s">
        <v>65</v>
      </c>
      <c r="K3632" s="3" t="s">
        <v>66</v>
      </c>
      <c r="L3632" s="2" t="s">
        <v>36092</v>
      </c>
      <c r="M3632" s="2" t="s">
        <v>36093</v>
      </c>
      <c r="N3632" s="3" t="s">
        <v>152</v>
      </c>
      <c r="P3632" s="3" t="s">
        <v>140</v>
      </c>
      <c r="Q3632" s="2" t="s">
        <v>36094</v>
      </c>
      <c r="R3632" s="3" t="s">
        <v>71</v>
      </c>
      <c r="S3632" s="4">
        <v>0</v>
      </c>
      <c r="T3632" s="4">
        <v>0</v>
      </c>
      <c r="W3632" s="5" t="s">
        <v>72</v>
      </c>
      <c r="X3632" s="5" t="s">
        <v>72</v>
      </c>
      <c r="Y3632" s="4">
        <v>12</v>
      </c>
      <c r="Z3632" s="4">
        <v>3</v>
      </c>
      <c r="AA3632" s="4">
        <v>3</v>
      </c>
      <c r="AB3632" s="4">
        <v>1</v>
      </c>
      <c r="AC3632" s="4">
        <v>1</v>
      </c>
      <c r="AD3632" s="4">
        <v>9</v>
      </c>
      <c r="AE3632" s="4">
        <v>13</v>
      </c>
      <c r="AF3632" s="4">
        <v>0</v>
      </c>
      <c r="AG3632" s="4">
        <v>0</v>
      </c>
      <c r="AH3632" s="4">
        <v>9</v>
      </c>
      <c r="AI3632" s="4">
        <v>12</v>
      </c>
      <c r="AJ3632" s="4">
        <v>1</v>
      </c>
      <c r="AK3632" s="4">
        <v>1</v>
      </c>
      <c r="AL3632" s="4">
        <v>8</v>
      </c>
      <c r="AM3632" s="4">
        <v>12</v>
      </c>
      <c r="AN3632" s="4">
        <v>0</v>
      </c>
      <c r="AO3632" s="4">
        <v>0</v>
      </c>
      <c r="AP3632" s="4">
        <v>1</v>
      </c>
      <c r="AQ3632" s="4">
        <v>1</v>
      </c>
      <c r="AR3632" s="3" t="s">
        <v>65</v>
      </c>
      <c r="AS3632" s="3" t="s">
        <v>65</v>
      </c>
      <c r="AT3632" s="3" t="s">
        <v>65</v>
      </c>
      <c r="AV3632" s="6" t="str">
        <f>HYPERLINK("http://mcgill.on.worldcat.org/oclc/839273812","Catalog Record")</f>
        <v>Catalog Record</v>
      </c>
      <c r="AW3632" s="6" t="str">
        <f>HYPERLINK("http://www.worldcat.org/oclc/839273812","WorldCat Record")</f>
        <v>WorldCat Record</v>
      </c>
      <c r="AX3632" s="3" t="s">
        <v>36095</v>
      </c>
      <c r="AY3632" s="3" t="s">
        <v>36096</v>
      </c>
      <c r="AZ3632" s="3" t="s">
        <v>36097</v>
      </c>
      <c r="BA3632" s="3" t="s">
        <v>36097</v>
      </c>
      <c r="BB3632" s="3" t="s">
        <v>36102</v>
      </c>
      <c r="BC3632" s="3" t="s">
        <v>77</v>
      </c>
      <c r="BD3632" s="3" t="s">
        <v>78</v>
      </c>
      <c r="BE3632" s="3" t="s">
        <v>36099</v>
      </c>
      <c r="BF3632" s="3" t="s">
        <v>36102</v>
      </c>
      <c r="BG3632" s="3" t="s">
        <v>36103</v>
      </c>
    </row>
    <row r="3633" spans="1:59" ht="58" x14ac:dyDescent="0.35">
      <c r="A3633" s="2" t="s">
        <v>59</v>
      </c>
      <c r="B3633" s="2" t="s">
        <v>60</v>
      </c>
      <c r="C3633" s="2" t="s">
        <v>36104</v>
      </c>
      <c r="D3633" s="2" t="s">
        <v>36105</v>
      </c>
      <c r="E3633" s="2" t="s">
        <v>36106</v>
      </c>
      <c r="G3633" s="3" t="s">
        <v>65</v>
      </c>
      <c r="I3633" s="3" t="s">
        <v>65</v>
      </c>
      <c r="J3633" s="3" t="s">
        <v>65</v>
      </c>
      <c r="K3633" s="3" t="s">
        <v>66</v>
      </c>
      <c r="L3633" s="2" t="s">
        <v>36092</v>
      </c>
      <c r="M3633" s="2" t="s">
        <v>33535</v>
      </c>
      <c r="N3633" s="3" t="s">
        <v>126</v>
      </c>
      <c r="O3633" s="2" t="s">
        <v>33052</v>
      </c>
      <c r="P3633" s="3" t="s">
        <v>140</v>
      </c>
      <c r="Q3633" s="2" t="s">
        <v>33053</v>
      </c>
      <c r="R3633" s="3" t="s">
        <v>71</v>
      </c>
      <c r="S3633" s="4">
        <v>0</v>
      </c>
      <c r="T3633" s="4">
        <v>0</v>
      </c>
      <c r="W3633" s="5" t="s">
        <v>72</v>
      </c>
      <c r="X3633" s="5" t="s">
        <v>72</v>
      </c>
      <c r="Y3633" s="4">
        <v>18</v>
      </c>
      <c r="Z3633" s="4">
        <v>3</v>
      </c>
      <c r="AA3633" s="4">
        <v>3</v>
      </c>
      <c r="AB3633" s="4">
        <v>1</v>
      </c>
      <c r="AC3633" s="4">
        <v>1</v>
      </c>
      <c r="AD3633" s="4">
        <v>12</v>
      </c>
      <c r="AE3633" s="4">
        <v>12</v>
      </c>
      <c r="AF3633" s="4">
        <v>0</v>
      </c>
      <c r="AG3633" s="4">
        <v>0</v>
      </c>
      <c r="AH3633" s="4">
        <v>11</v>
      </c>
      <c r="AI3633" s="4">
        <v>11</v>
      </c>
      <c r="AJ3633" s="4">
        <v>1</v>
      </c>
      <c r="AK3633" s="4">
        <v>1</v>
      </c>
      <c r="AL3633" s="4">
        <v>11</v>
      </c>
      <c r="AM3633" s="4">
        <v>11</v>
      </c>
      <c r="AN3633" s="4">
        <v>0</v>
      </c>
      <c r="AO3633" s="4">
        <v>0</v>
      </c>
      <c r="AP3633" s="4">
        <v>1</v>
      </c>
      <c r="AQ3633" s="4">
        <v>1</v>
      </c>
      <c r="AR3633" s="3" t="s">
        <v>65</v>
      </c>
      <c r="AS3633" s="3" t="s">
        <v>65</v>
      </c>
      <c r="AT3633" s="3" t="s">
        <v>65</v>
      </c>
      <c r="AV3633" s="6" t="str">
        <f>HYPERLINK("http://mcgill.on.worldcat.org/oclc/721863352","Catalog Record")</f>
        <v>Catalog Record</v>
      </c>
      <c r="AW3633" s="6" t="str">
        <f>HYPERLINK("http://www.worldcat.org/oclc/721863352","WorldCat Record")</f>
        <v>WorldCat Record</v>
      </c>
      <c r="AX3633" s="3" t="s">
        <v>36107</v>
      </c>
      <c r="AY3633" s="3" t="s">
        <v>36108</v>
      </c>
      <c r="AZ3633" s="3" t="s">
        <v>36109</v>
      </c>
      <c r="BA3633" s="3" t="s">
        <v>36109</v>
      </c>
      <c r="BB3633" s="3" t="s">
        <v>36110</v>
      </c>
      <c r="BC3633" s="3" t="s">
        <v>77</v>
      </c>
      <c r="BD3633" s="3" t="s">
        <v>78</v>
      </c>
      <c r="BE3633" s="3" t="s">
        <v>36111</v>
      </c>
      <c r="BF3633" s="3" t="s">
        <v>36110</v>
      </c>
      <c r="BG3633" s="3" t="s">
        <v>36112</v>
      </c>
    </row>
    <row r="3634" spans="1:59" ht="72.5" x14ac:dyDescent="0.35">
      <c r="A3634" s="2" t="s">
        <v>59</v>
      </c>
      <c r="B3634" s="2" t="s">
        <v>60</v>
      </c>
      <c r="C3634" s="2" t="s">
        <v>36113</v>
      </c>
      <c r="D3634" s="2" t="s">
        <v>36114</v>
      </c>
      <c r="E3634" s="2" t="s">
        <v>36115</v>
      </c>
      <c r="G3634" s="3" t="s">
        <v>65</v>
      </c>
      <c r="I3634" s="3" t="s">
        <v>65</v>
      </c>
      <c r="J3634" s="3" t="s">
        <v>65</v>
      </c>
      <c r="K3634" s="3" t="s">
        <v>66</v>
      </c>
      <c r="L3634" s="2" t="s">
        <v>36116</v>
      </c>
      <c r="M3634" s="2" t="s">
        <v>36117</v>
      </c>
      <c r="N3634" s="3" t="s">
        <v>139</v>
      </c>
      <c r="P3634" s="3" t="s">
        <v>140</v>
      </c>
      <c r="Q3634" s="2" t="s">
        <v>36118</v>
      </c>
      <c r="R3634" s="3" t="s">
        <v>71</v>
      </c>
      <c r="S3634" s="4">
        <v>6</v>
      </c>
      <c r="T3634" s="4">
        <v>6</v>
      </c>
      <c r="U3634" s="5" t="s">
        <v>33351</v>
      </c>
      <c r="V3634" s="5" t="s">
        <v>33351</v>
      </c>
      <c r="W3634" s="5" t="s">
        <v>72</v>
      </c>
      <c r="X3634" s="5" t="s">
        <v>72</v>
      </c>
      <c r="Y3634" s="4">
        <v>41</v>
      </c>
      <c r="Z3634" s="4">
        <v>8</v>
      </c>
      <c r="AA3634" s="4">
        <v>8</v>
      </c>
      <c r="AB3634" s="4">
        <v>1</v>
      </c>
      <c r="AC3634" s="4">
        <v>1</v>
      </c>
      <c r="AD3634" s="4">
        <v>24</v>
      </c>
      <c r="AE3634" s="4">
        <v>24</v>
      </c>
      <c r="AF3634" s="4">
        <v>0</v>
      </c>
      <c r="AG3634" s="4">
        <v>0</v>
      </c>
      <c r="AH3634" s="4">
        <v>24</v>
      </c>
      <c r="AI3634" s="4">
        <v>24</v>
      </c>
      <c r="AJ3634" s="4">
        <v>5</v>
      </c>
      <c r="AK3634" s="4">
        <v>5</v>
      </c>
      <c r="AL3634" s="4">
        <v>17</v>
      </c>
      <c r="AM3634" s="4">
        <v>17</v>
      </c>
      <c r="AN3634" s="4">
        <v>0</v>
      </c>
      <c r="AO3634" s="4">
        <v>0</v>
      </c>
      <c r="AP3634" s="4">
        <v>5</v>
      </c>
      <c r="AQ3634" s="4">
        <v>5</v>
      </c>
      <c r="AR3634" s="3" t="s">
        <v>65</v>
      </c>
      <c r="AS3634" s="3" t="s">
        <v>65</v>
      </c>
      <c r="AT3634" s="3" t="s">
        <v>65</v>
      </c>
      <c r="AV3634" s="6" t="str">
        <f>HYPERLINK("http://mcgill.on.worldcat.org/oclc/823580510","Catalog Record")</f>
        <v>Catalog Record</v>
      </c>
      <c r="AW3634" s="6" t="str">
        <f>HYPERLINK("http://www.worldcat.org/oclc/823580510","WorldCat Record")</f>
        <v>WorldCat Record</v>
      </c>
      <c r="AX3634" s="3" t="s">
        <v>36119</v>
      </c>
      <c r="AY3634" s="3" t="s">
        <v>36120</v>
      </c>
      <c r="AZ3634" s="3" t="s">
        <v>36121</v>
      </c>
      <c r="BA3634" s="3" t="s">
        <v>36121</v>
      </c>
      <c r="BB3634" s="3" t="s">
        <v>36122</v>
      </c>
      <c r="BC3634" s="3" t="s">
        <v>77</v>
      </c>
      <c r="BD3634" s="3" t="s">
        <v>78</v>
      </c>
      <c r="BE3634" s="3" t="s">
        <v>36123</v>
      </c>
      <c r="BF3634" s="3" t="s">
        <v>36122</v>
      </c>
      <c r="BG3634" s="3" t="s">
        <v>36124</v>
      </c>
    </row>
    <row r="3635" spans="1:59" ht="72.5" x14ac:dyDescent="0.35">
      <c r="A3635" s="2" t="s">
        <v>59</v>
      </c>
      <c r="B3635" s="2" t="s">
        <v>60</v>
      </c>
      <c r="C3635" s="2" t="s">
        <v>36125</v>
      </c>
      <c r="D3635" s="2" t="s">
        <v>36126</v>
      </c>
      <c r="E3635" s="2" t="s">
        <v>36127</v>
      </c>
      <c r="F3635" s="3" t="s">
        <v>245</v>
      </c>
      <c r="G3635" s="3" t="s">
        <v>209</v>
      </c>
      <c r="I3635" s="3" t="s">
        <v>65</v>
      </c>
      <c r="J3635" s="3" t="s">
        <v>65</v>
      </c>
      <c r="K3635" s="3" t="s">
        <v>66</v>
      </c>
      <c r="L3635" s="2" t="s">
        <v>36128</v>
      </c>
      <c r="M3635" s="2" t="s">
        <v>36129</v>
      </c>
      <c r="N3635" s="3" t="s">
        <v>126</v>
      </c>
      <c r="P3635" s="3" t="s">
        <v>140</v>
      </c>
      <c r="Q3635" s="2" t="s">
        <v>36118</v>
      </c>
      <c r="R3635" s="3" t="s">
        <v>71</v>
      </c>
      <c r="S3635" s="4">
        <v>16</v>
      </c>
      <c r="T3635" s="4">
        <v>56</v>
      </c>
      <c r="U3635" s="5" t="s">
        <v>36130</v>
      </c>
      <c r="V3635" s="5" t="s">
        <v>36130</v>
      </c>
      <c r="W3635" s="5" t="s">
        <v>72</v>
      </c>
      <c r="X3635" s="5" t="s">
        <v>72</v>
      </c>
      <c r="Y3635" s="4">
        <v>38</v>
      </c>
      <c r="Z3635" s="4">
        <v>4</v>
      </c>
      <c r="AA3635" s="4">
        <v>8</v>
      </c>
      <c r="AB3635" s="4">
        <v>1</v>
      </c>
      <c r="AC3635" s="4">
        <v>1</v>
      </c>
      <c r="AD3635" s="4">
        <v>20</v>
      </c>
      <c r="AE3635" s="4">
        <v>24</v>
      </c>
      <c r="AF3635" s="4">
        <v>0</v>
      </c>
      <c r="AG3635" s="4">
        <v>0</v>
      </c>
      <c r="AH3635" s="4">
        <v>19</v>
      </c>
      <c r="AI3635" s="4">
        <v>23</v>
      </c>
      <c r="AJ3635" s="4">
        <v>2</v>
      </c>
      <c r="AK3635" s="4">
        <v>3</v>
      </c>
      <c r="AL3635" s="4">
        <v>14</v>
      </c>
      <c r="AM3635" s="4">
        <v>18</v>
      </c>
      <c r="AN3635" s="4">
        <v>0</v>
      </c>
      <c r="AO3635" s="4">
        <v>0</v>
      </c>
      <c r="AP3635" s="4">
        <v>2</v>
      </c>
      <c r="AQ3635" s="4">
        <v>3</v>
      </c>
      <c r="AR3635" s="3" t="s">
        <v>65</v>
      </c>
      <c r="AS3635" s="3" t="s">
        <v>65</v>
      </c>
      <c r="AT3635" s="3" t="s">
        <v>65</v>
      </c>
      <c r="AV3635" s="6" t="str">
        <f>HYPERLINK("http://mcgill.on.worldcat.org/oclc/798053881","Catalog Record")</f>
        <v>Catalog Record</v>
      </c>
      <c r="AW3635" s="6" t="str">
        <f>HYPERLINK("http://www.worldcat.org/oclc/798053881","WorldCat Record")</f>
        <v>WorldCat Record</v>
      </c>
      <c r="AX3635" s="3" t="s">
        <v>36131</v>
      </c>
      <c r="AY3635" s="3" t="s">
        <v>36132</v>
      </c>
      <c r="AZ3635" s="3" t="s">
        <v>36133</v>
      </c>
      <c r="BA3635" s="3" t="s">
        <v>36133</v>
      </c>
      <c r="BB3635" s="3" t="s">
        <v>36134</v>
      </c>
      <c r="BC3635" s="3" t="s">
        <v>77</v>
      </c>
      <c r="BD3635" s="3" t="s">
        <v>106</v>
      </c>
      <c r="BE3635" s="3" t="s">
        <v>36135</v>
      </c>
      <c r="BF3635" s="3" t="s">
        <v>36134</v>
      </c>
      <c r="BG3635" s="3" t="s">
        <v>36136</v>
      </c>
    </row>
    <row r="3636" spans="1:59" ht="72.5" x14ac:dyDescent="0.35">
      <c r="A3636" s="2" t="s">
        <v>59</v>
      </c>
      <c r="B3636" s="2" t="s">
        <v>60</v>
      </c>
      <c r="C3636" s="2" t="s">
        <v>36125</v>
      </c>
      <c r="D3636" s="2" t="s">
        <v>36126</v>
      </c>
      <c r="E3636" s="2" t="s">
        <v>36127</v>
      </c>
      <c r="F3636" s="3" t="s">
        <v>792</v>
      </c>
      <c r="G3636" s="3" t="s">
        <v>209</v>
      </c>
      <c r="I3636" s="3" t="s">
        <v>65</v>
      </c>
      <c r="J3636" s="3" t="s">
        <v>65</v>
      </c>
      <c r="K3636" s="3" t="s">
        <v>66</v>
      </c>
      <c r="L3636" s="2" t="s">
        <v>36128</v>
      </c>
      <c r="M3636" s="2" t="s">
        <v>36129</v>
      </c>
      <c r="N3636" s="3" t="s">
        <v>126</v>
      </c>
      <c r="P3636" s="3" t="s">
        <v>140</v>
      </c>
      <c r="Q3636" s="2" t="s">
        <v>36118</v>
      </c>
      <c r="R3636" s="3" t="s">
        <v>71</v>
      </c>
      <c r="S3636" s="4">
        <v>18</v>
      </c>
      <c r="T3636" s="4">
        <v>56</v>
      </c>
      <c r="U3636" s="5" t="s">
        <v>36137</v>
      </c>
      <c r="V3636" s="5" t="s">
        <v>36130</v>
      </c>
      <c r="W3636" s="5" t="s">
        <v>72</v>
      </c>
      <c r="X3636" s="5" t="s">
        <v>72</v>
      </c>
      <c r="Y3636" s="4">
        <v>38</v>
      </c>
      <c r="Z3636" s="4">
        <v>4</v>
      </c>
      <c r="AA3636" s="4">
        <v>8</v>
      </c>
      <c r="AB3636" s="4">
        <v>1</v>
      </c>
      <c r="AC3636" s="4">
        <v>1</v>
      </c>
      <c r="AD3636" s="4">
        <v>20</v>
      </c>
      <c r="AE3636" s="4">
        <v>24</v>
      </c>
      <c r="AF3636" s="4">
        <v>0</v>
      </c>
      <c r="AG3636" s="4">
        <v>0</v>
      </c>
      <c r="AH3636" s="4">
        <v>19</v>
      </c>
      <c r="AI3636" s="4">
        <v>23</v>
      </c>
      <c r="AJ3636" s="4">
        <v>2</v>
      </c>
      <c r="AK3636" s="4">
        <v>3</v>
      </c>
      <c r="AL3636" s="4">
        <v>14</v>
      </c>
      <c r="AM3636" s="4">
        <v>18</v>
      </c>
      <c r="AN3636" s="4">
        <v>0</v>
      </c>
      <c r="AO3636" s="4">
        <v>0</v>
      </c>
      <c r="AP3636" s="4">
        <v>2</v>
      </c>
      <c r="AQ3636" s="4">
        <v>3</v>
      </c>
      <c r="AR3636" s="3" t="s">
        <v>65</v>
      </c>
      <c r="AS3636" s="3" t="s">
        <v>65</v>
      </c>
      <c r="AT3636" s="3" t="s">
        <v>65</v>
      </c>
      <c r="AV3636" s="6" t="str">
        <f>HYPERLINK("http://mcgill.on.worldcat.org/oclc/798053881","Catalog Record")</f>
        <v>Catalog Record</v>
      </c>
      <c r="AW3636" s="6" t="str">
        <f>HYPERLINK("http://www.worldcat.org/oclc/798053881","WorldCat Record")</f>
        <v>WorldCat Record</v>
      </c>
      <c r="AX3636" s="3" t="s">
        <v>36131</v>
      </c>
      <c r="AY3636" s="3" t="s">
        <v>36132</v>
      </c>
      <c r="AZ3636" s="3" t="s">
        <v>36133</v>
      </c>
      <c r="BA3636" s="3" t="s">
        <v>36133</v>
      </c>
      <c r="BB3636" s="3" t="s">
        <v>36138</v>
      </c>
      <c r="BC3636" s="3" t="s">
        <v>77</v>
      </c>
      <c r="BD3636" s="3" t="s">
        <v>78</v>
      </c>
      <c r="BE3636" s="3" t="s">
        <v>36135</v>
      </c>
      <c r="BF3636" s="3" t="s">
        <v>36138</v>
      </c>
      <c r="BG3636" s="3" t="s">
        <v>36139</v>
      </c>
    </row>
    <row r="3637" spans="1:59" ht="72.5" x14ac:dyDescent="0.35">
      <c r="A3637" s="2" t="s">
        <v>59</v>
      </c>
      <c r="B3637" s="2" t="s">
        <v>60</v>
      </c>
      <c r="C3637" s="2" t="s">
        <v>36125</v>
      </c>
      <c r="D3637" s="2" t="s">
        <v>36126</v>
      </c>
      <c r="E3637" s="2" t="s">
        <v>36127</v>
      </c>
      <c r="F3637" s="3" t="s">
        <v>258</v>
      </c>
      <c r="G3637" s="3" t="s">
        <v>209</v>
      </c>
      <c r="I3637" s="3" t="s">
        <v>65</v>
      </c>
      <c r="J3637" s="3" t="s">
        <v>65</v>
      </c>
      <c r="K3637" s="3" t="s">
        <v>66</v>
      </c>
      <c r="L3637" s="2" t="s">
        <v>36128</v>
      </c>
      <c r="M3637" s="2" t="s">
        <v>36129</v>
      </c>
      <c r="N3637" s="3" t="s">
        <v>126</v>
      </c>
      <c r="P3637" s="3" t="s">
        <v>140</v>
      </c>
      <c r="Q3637" s="2" t="s">
        <v>36118</v>
      </c>
      <c r="R3637" s="3" t="s">
        <v>71</v>
      </c>
      <c r="S3637" s="4">
        <v>15</v>
      </c>
      <c r="T3637" s="4">
        <v>56</v>
      </c>
      <c r="U3637" s="5" t="s">
        <v>36140</v>
      </c>
      <c r="V3637" s="5" t="s">
        <v>36130</v>
      </c>
      <c r="W3637" s="5" t="s">
        <v>72</v>
      </c>
      <c r="X3637" s="5" t="s">
        <v>72</v>
      </c>
      <c r="Y3637" s="4">
        <v>38</v>
      </c>
      <c r="Z3637" s="4">
        <v>4</v>
      </c>
      <c r="AA3637" s="4">
        <v>8</v>
      </c>
      <c r="AB3637" s="4">
        <v>1</v>
      </c>
      <c r="AC3637" s="4">
        <v>1</v>
      </c>
      <c r="AD3637" s="4">
        <v>20</v>
      </c>
      <c r="AE3637" s="4">
        <v>24</v>
      </c>
      <c r="AF3637" s="4">
        <v>0</v>
      </c>
      <c r="AG3637" s="4">
        <v>0</v>
      </c>
      <c r="AH3637" s="4">
        <v>19</v>
      </c>
      <c r="AI3637" s="4">
        <v>23</v>
      </c>
      <c r="AJ3637" s="4">
        <v>2</v>
      </c>
      <c r="AK3637" s="4">
        <v>3</v>
      </c>
      <c r="AL3637" s="4">
        <v>14</v>
      </c>
      <c r="AM3637" s="4">
        <v>18</v>
      </c>
      <c r="AN3637" s="4">
        <v>0</v>
      </c>
      <c r="AO3637" s="4">
        <v>0</v>
      </c>
      <c r="AP3637" s="4">
        <v>2</v>
      </c>
      <c r="AQ3637" s="4">
        <v>3</v>
      </c>
      <c r="AR3637" s="3" t="s">
        <v>65</v>
      </c>
      <c r="AS3637" s="3" t="s">
        <v>65</v>
      </c>
      <c r="AT3637" s="3" t="s">
        <v>65</v>
      </c>
      <c r="AV3637" s="6" t="str">
        <f>HYPERLINK("http://mcgill.on.worldcat.org/oclc/798053881","Catalog Record")</f>
        <v>Catalog Record</v>
      </c>
      <c r="AW3637" s="6" t="str">
        <f>HYPERLINK("http://www.worldcat.org/oclc/798053881","WorldCat Record")</f>
        <v>WorldCat Record</v>
      </c>
      <c r="AX3637" s="3" t="s">
        <v>36131</v>
      </c>
      <c r="AY3637" s="3" t="s">
        <v>36132</v>
      </c>
      <c r="AZ3637" s="3" t="s">
        <v>36133</v>
      </c>
      <c r="BA3637" s="3" t="s">
        <v>36133</v>
      </c>
      <c r="BB3637" s="3" t="s">
        <v>36141</v>
      </c>
      <c r="BC3637" s="3" t="s">
        <v>77</v>
      </c>
      <c r="BD3637" s="3" t="s">
        <v>78</v>
      </c>
      <c r="BE3637" s="3" t="s">
        <v>36135</v>
      </c>
      <c r="BF3637" s="3" t="s">
        <v>36141</v>
      </c>
      <c r="BG3637" s="3" t="s">
        <v>36142</v>
      </c>
    </row>
    <row r="3638" spans="1:59" ht="72.5" x14ac:dyDescent="0.35">
      <c r="A3638" s="2" t="s">
        <v>59</v>
      </c>
      <c r="B3638" s="2" t="s">
        <v>60</v>
      </c>
      <c r="C3638" s="2" t="s">
        <v>36125</v>
      </c>
      <c r="D3638" s="2" t="s">
        <v>36126</v>
      </c>
      <c r="E3638" s="2" t="s">
        <v>36127</v>
      </c>
      <c r="F3638" s="3" t="s">
        <v>255</v>
      </c>
      <c r="G3638" s="3" t="s">
        <v>209</v>
      </c>
      <c r="I3638" s="3" t="s">
        <v>65</v>
      </c>
      <c r="J3638" s="3" t="s">
        <v>65</v>
      </c>
      <c r="K3638" s="3" t="s">
        <v>66</v>
      </c>
      <c r="L3638" s="2" t="s">
        <v>36128</v>
      </c>
      <c r="M3638" s="2" t="s">
        <v>36129</v>
      </c>
      <c r="N3638" s="3" t="s">
        <v>126</v>
      </c>
      <c r="P3638" s="3" t="s">
        <v>140</v>
      </c>
      <c r="Q3638" s="2" t="s">
        <v>36118</v>
      </c>
      <c r="R3638" s="3" t="s">
        <v>71</v>
      </c>
      <c r="S3638" s="4">
        <v>7</v>
      </c>
      <c r="T3638" s="4">
        <v>56</v>
      </c>
      <c r="U3638" s="5" t="s">
        <v>36143</v>
      </c>
      <c r="V3638" s="5" t="s">
        <v>36130</v>
      </c>
      <c r="W3638" s="5" t="s">
        <v>72</v>
      </c>
      <c r="X3638" s="5" t="s">
        <v>72</v>
      </c>
      <c r="Y3638" s="4">
        <v>38</v>
      </c>
      <c r="Z3638" s="4">
        <v>4</v>
      </c>
      <c r="AA3638" s="4">
        <v>8</v>
      </c>
      <c r="AB3638" s="4">
        <v>1</v>
      </c>
      <c r="AC3638" s="4">
        <v>1</v>
      </c>
      <c r="AD3638" s="4">
        <v>20</v>
      </c>
      <c r="AE3638" s="4">
        <v>24</v>
      </c>
      <c r="AF3638" s="4">
        <v>0</v>
      </c>
      <c r="AG3638" s="4">
        <v>0</v>
      </c>
      <c r="AH3638" s="4">
        <v>19</v>
      </c>
      <c r="AI3638" s="4">
        <v>23</v>
      </c>
      <c r="AJ3638" s="4">
        <v>2</v>
      </c>
      <c r="AK3638" s="4">
        <v>3</v>
      </c>
      <c r="AL3638" s="4">
        <v>14</v>
      </c>
      <c r="AM3638" s="4">
        <v>18</v>
      </c>
      <c r="AN3638" s="4">
        <v>0</v>
      </c>
      <c r="AO3638" s="4">
        <v>0</v>
      </c>
      <c r="AP3638" s="4">
        <v>2</v>
      </c>
      <c r="AQ3638" s="4">
        <v>3</v>
      </c>
      <c r="AR3638" s="3" t="s">
        <v>65</v>
      </c>
      <c r="AS3638" s="3" t="s">
        <v>65</v>
      </c>
      <c r="AT3638" s="3" t="s">
        <v>65</v>
      </c>
      <c r="AV3638" s="6" t="str">
        <f>HYPERLINK("http://mcgill.on.worldcat.org/oclc/798053881","Catalog Record")</f>
        <v>Catalog Record</v>
      </c>
      <c r="AW3638" s="6" t="str">
        <f>HYPERLINK("http://www.worldcat.org/oclc/798053881","WorldCat Record")</f>
        <v>WorldCat Record</v>
      </c>
      <c r="AX3638" s="3" t="s">
        <v>36131</v>
      </c>
      <c r="AY3638" s="3" t="s">
        <v>36132</v>
      </c>
      <c r="AZ3638" s="3" t="s">
        <v>36133</v>
      </c>
      <c r="BA3638" s="3" t="s">
        <v>36133</v>
      </c>
      <c r="BB3638" s="3" t="s">
        <v>36144</v>
      </c>
      <c r="BC3638" s="3" t="s">
        <v>77</v>
      </c>
      <c r="BD3638" s="3" t="s">
        <v>78</v>
      </c>
      <c r="BE3638" s="3" t="s">
        <v>36135</v>
      </c>
      <c r="BF3638" s="3" t="s">
        <v>36144</v>
      </c>
      <c r="BG3638" s="3" t="s">
        <v>36145</v>
      </c>
    </row>
    <row r="3639" spans="1:59" ht="72.5" x14ac:dyDescent="0.35">
      <c r="A3639" s="2" t="s">
        <v>59</v>
      </c>
      <c r="B3639" s="2" t="s">
        <v>60</v>
      </c>
      <c r="C3639" s="2" t="s">
        <v>36146</v>
      </c>
      <c r="D3639" s="2" t="s">
        <v>36147</v>
      </c>
      <c r="E3639" s="2" t="s">
        <v>36148</v>
      </c>
      <c r="G3639" s="3" t="s">
        <v>65</v>
      </c>
      <c r="I3639" s="3" t="s">
        <v>65</v>
      </c>
      <c r="J3639" s="3" t="s">
        <v>65</v>
      </c>
      <c r="K3639" s="3" t="s">
        <v>66</v>
      </c>
      <c r="L3639" s="2" t="s">
        <v>36116</v>
      </c>
      <c r="M3639" s="2" t="s">
        <v>36149</v>
      </c>
      <c r="N3639" s="3" t="s">
        <v>99</v>
      </c>
      <c r="O3639" s="2" t="s">
        <v>36150</v>
      </c>
      <c r="P3639" s="3" t="s">
        <v>140</v>
      </c>
      <c r="Q3639" s="2" t="s">
        <v>36151</v>
      </c>
      <c r="R3639" s="3" t="s">
        <v>71</v>
      </c>
      <c r="S3639" s="4">
        <v>10</v>
      </c>
      <c r="T3639" s="4">
        <v>10</v>
      </c>
      <c r="U3639" s="5" t="s">
        <v>36152</v>
      </c>
      <c r="V3639" s="5" t="s">
        <v>36152</v>
      </c>
      <c r="W3639" s="5" t="s">
        <v>72</v>
      </c>
      <c r="X3639" s="5" t="s">
        <v>72</v>
      </c>
      <c r="Y3639" s="4">
        <v>37</v>
      </c>
      <c r="Z3639" s="4">
        <v>2</v>
      </c>
      <c r="AA3639" s="4">
        <v>11</v>
      </c>
      <c r="AB3639" s="4">
        <v>1</v>
      </c>
      <c r="AC3639" s="4">
        <v>4</v>
      </c>
      <c r="AD3639" s="4">
        <v>15</v>
      </c>
      <c r="AE3639" s="4">
        <v>46</v>
      </c>
      <c r="AF3639" s="4">
        <v>0</v>
      </c>
      <c r="AG3639" s="4">
        <v>1</v>
      </c>
      <c r="AH3639" s="4">
        <v>14</v>
      </c>
      <c r="AI3639" s="4">
        <v>42</v>
      </c>
      <c r="AJ3639" s="4">
        <v>0</v>
      </c>
      <c r="AK3639" s="4">
        <v>5</v>
      </c>
      <c r="AL3639" s="4">
        <v>11</v>
      </c>
      <c r="AM3639" s="4">
        <v>32</v>
      </c>
      <c r="AN3639" s="4">
        <v>0</v>
      </c>
      <c r="AO3639" s="4">
        <v>0</v>
      </c>
      <c r="AP3639" s="4">
        <v>0</v>
      </c>
      <c r="AQ3639" s="4">
        <v>4</v>
      </c>
      <c r="AR3639" s="3" t="s">
        <v>65</v>
      </c>
      <c r="AS3639" s="3" t="s">
        <v>65</v>
      </c>
      <c r="AT3639" s="3" t="s">
        <v>65</v>
      </c>
      <c r="AV3639" s="6" t="str">
        <f>HYPERLINK("http://mcgill.on.worldcat.org/oclc/66373142","Catalog Record")</f>
        <v>Catalog Record</v>
      </c>
      <c r="AW3639" s="6" t="str">
        <f>HYPERLINK("http://www.worldcat.org/oclc/66373142","WorldCat Record")</f>
        <v>WorldCat Record</v>
      </c>
      <c r="AX3639" s="3" t="s">
        <v>36153</v>
      </c>
      <c r="AY3639" s="3" t="s">
        <v>36154</v>
      </c>
      <c r="AZ3639" s="3" t="s">
        <v>36155</v>
      </c>
      <c r="BA3639" s="3" t="s">
        <v>36155</v>
      </c>
      <c r="BB3639" s="3" t="s">
        <v>36156</v>
      </c>
      <c r="BC3639" s="3" t="s">
        <v>77</v>
      </c>
      <c r="BD3639" s="3" t="s">
        <v>106</v>
      </c>
      <c r="BE3639" s="3" t="s">
        <v>36157</v>
      </c>
      <c r="BF3639" s="3" t="s">
        <v>36156</v>
      </c>
      <c r="BG3639" s="3" t="s">
        <v>36158</v>
      </c>
    </row>
    <row r="3640" spans="1:59" ht="72.5" x14ac:dyDescent="0.35">
      <c r="A3640" s="2" t="s">
        <v>59</v>
      </c>
      <c r="B3640" s="2" t="s">
        <v>60</v>
      </c>
      <c r="C3640" s="2" t="s">
        <v>36159</v>
      </c>
      <c r="D3640" s="2" t="s">
        <v>36160</v>
      </c>
      <c r="E3640" s="2" t="s">
        <v>36161</v>
      </c>
      <c r="G3640" s="3" t="s">
        <v>65</v>
      </c>
      <c r="I3640" s="3" t="s">
        <v>65</v>
      </c>
      <c r="J3640" s="3" t="s">
        <v>65</v>
      </c>
      <c r="K3640" s="3" t="s">
        <v>66</v>
      </c>
      <c r="L3640" s="2" t="s">
        <v>36116</v>
      </c>
      <c r="M3640" s="2" t="s">
        <v>36162</v>
      </c>
      <c r="N3640" s="3" t="s">
        <v>99</v>
      </c>
      <c r="P3640" s="3" t="s">
        <v>140</v>
      </c>
      <c r="Q3640" s="2" t="s">
        <v>36118</v>
      </c>
      <c r="R3640" s="3" t="s">
        <v>71</v>
      </c>
      <c r="S3640" s="4">
        <v>11</v>
      </c>
      <c r="T3640" s="4">
        <v>11</v>
      </c>
      <c r="U3640" s="5" t="s">
        <v>33581</v>
      </c>
      <c r="V3640" s="5" t="s">
        <v>33581</v>
      </c>
      <c r="W3640" s="5" t="s">
        <v>72</v>
      </c>
      <c r="X3640" s="5" t="s">
        <v>72</v>
      </c>
      <c r="Y3640" s="4">
        <v>63</v>
      </c>
      <c r="Z3640" s="4">
        <v>7</v>
      </c>
      <c r="AA3640" s="4">
        <v>7</v>
      </c>
      <c r="AB3640" s="4">
        <v>1</v>
      </c>
      <c r="AC3640" s="4">
        <v>1</v>
      </c>
      <c r="AD3640" s="4">
        <v>33</v>
      </c>
      <c r="AE3640" s="4">
        <v>33</v>
      </c>
      <c r="AF3640" s="4">
        <v>0</v>
      </c>
      <c r="AG3640" s="4">
        <v>0</v>
      </c>
      <c r="AH3640" s="4">
        <v>31</v>
      </c>
      <c r="AI3640" s="4">
        <v>31</v>
      </c>
      <c r="AJ3640" s="4">
        <v>3</v>
      </c>
      <c r="AK3640" s="4">
        <v>3</v>
      </c>
      <c r="AL3640" s="4">
        <v>25</v>
      </c>
      <c r="AM3640" s="4">
        <v>25</v>
      </c>
      <c r="AN3640" s="4">
        <v>0</v>
      </c>
      <c r="AO3640" s="4">
        <v>0</v>
      </c>
      <c r="AP3640" s="4">
        <v>3</v>
      </c>
      <c r="AQ3640" s="4">
        <v>3</v>
      </c>
      <c r="AR3640" s="3" t="s">
        <v>65</v>
      </c>
      <c r="AS3640" s="3" t="s">
        <v>65</v>
      </c>
      <c r="AT3640" s="3" t="s">
        <v>65</v>
      </c>
      <c r="AV3640" s="6" t="str">
        <f>HYPERLINK("http://mcgill.on.worldcat.org/oclc/76784788","Catalog Record")</f>
        <v>Catalog Record</v>
      </c>
      <c r="AW3640" s="6" t="str">
        <f>HYPERLINK("http://www.worldcat.org/oclc/76784788","WorldCat Record")</f>
        <v>WorldCat Record</v>
      </c>
      <c r="AX3640" s="3" t="s">
        <v>36163</v>
      </c>
      <c r="AY3640" s="3" t="s">
        <v>36164</v>
      </c>
      <c r="AZ3640" s="3" t="s">
        <v>36165</v>
      </c>
      <c r="BA3640" s="3" t="s">
        <v>36165</v>
      </c>
      <c r="BB3640" s="3" t="s">
        <v>36166</v>
      </c>
      <c r="BC3640" s="3" t="s">
        <v>77</v>
      </c>
      <c r="BD3640" s="3" t="s">
        <v>78</v>
      </c>
      <c r="BE3640" s="3" t="s">
        <v>36167</v>
      </c>
      <c r="BF3640" s="3" t="s">
        <v>36166</v>
      </c>
      <c r="BG3640" s="3" t="s">
        <v>36168</v>
      </c>
    </row>
    <row r="3641" spans="1:59" ht="72.5" x14ac:dyDescent="0.35">
      <c r="A3641" s="2" t="s">
        <v>59</v>
      </c>
      <c r="B3641" s="2" t="s">
        <v>60</v>
      </c>
      <c r="C3641" s="2" t="s">
        <v>36169</v>
      </c>
      <c r="D3641" s="2" t="s">
        <v>36170</v>
      </c>
      <c r="E3641" s="2" t="s">
        <v>36171</v>
      </c>
      <c r="G3641" s="3" t="s">
        <v>65</v>
      </c>
      <c r="I3641" s="3" t="s">
        <v>65</v>
      </c>
      <c r="J3641" s="3" t="s">
        <v>65</v>
      </c>
      <c r="K3641" s="3" t="s">
        <v>66</v>
      </c>
      <c r="L3641" s="2" t="s">
        <v>36116</v>
      </c>
      <c r="M3641" s="2" t="s">
        <v>36172</v>
      </c>
      <c r="N3641" s="3" t="s">
        <v>2210</v>
      </c>
      <c r="P3641" s="3" t="s">
        <v>140</v>
      </c>
      <c r="Q3641" s="2" t="s">
        <v>36118</v>
      </c>
      <c r="R3641" s="3" t="s">
        <v>71</v>
      </c>
      <c r="S3641" s="4">
        <v>16</v>
      </c>
      <c r="T3641" s="4">
        <v>16</v>
      </c>
      <c r="U3641" s="5" t="s">
        <v>36173</v>
      </c>
      <c r="V3641" s="5" t="s">
        <v>36173</v>
      </c>
      <c r="W3641" s="5" t="s">
        <v>72</v>
      </c>
      <c r="X3641" s="5" t="s">
        <v>72</v>
      </c>
      <c r="Y3641" s="4">
        <v>77</v>
      </c>
      <c r="Z3641" s="4">
        <v>8</v>
      </c>
      <c r="AA3641" s="4">
        <v>12</v>
      </c>
      <c r="AB3641" s="4">
        <v>1</v>
      </c>
      <c r="AC3641" s="4">
        <v>3</v>
      </c>
      <c r="AD3641" s="4">
        <v>35</v>
      </c>
      <c r="AE3641" s="4">
        <v>45</v>
      </c>
      <c r="AF3641" s="4">
        <v>0</v>
      </c>
      <c r="AG3641" s="4">
        <v>1</v>
      </c>
      <c r="AH3641" s="4">
        <v>34</v>
      </c>
      <c r="AI3641" s="4">
        <v>42</v>
      </c>
      <c r="AJ3641" s="4">
        <v>4</v>
      </c>
      <c r="AK3641" s="4">
        <v>7</v>
      </c>
      <c r="AL3641" s="4">
        <v>26</v>
      </c>
      <c r="AM3641" s="4">
        <v>29</v>
      </c>
      <c r="AN3641" s="4">
        <v>0</v>
      </c>
      <c r="AO3641" s="4">
        <v>0</v>
      </c>
      <c r="AP3641" s="4">
        <v>4</v>
      </c>
      <c r="AQ3641" s="4">
        <v>6</v>
      </c>
      <c r="AR3641" s="3" t="s">
        <v>65</v>
      </c>
      <c r="AS3641" s="3" t="s">
        <v>65</v>
      </c>
      <c r="AT3641" s="3" t="s">
        <v>65</v>
      </c>
      <c r="AV3641" s="6" t="str">
        <f>HYPERLINK("http://mcgill.on.worldcat.org/oclc/49942462","Catalog Record")</f>
        <v>Catalog Record</v>
      </c>
      <c r="AW3641" s="6" t="str">
        <f>HYPERLINK("http://www.worldcat.org/oclc/49942462","WorldCat Record")</f>
        <v>WorldCat Record</v>
      </c>
      <c r="AX3641" s="3" t="s">
        <v>36174</v>
      </c>
      <c r="AY3641" s="3" t="s">
        <v>36175</v>
      </c>
      <c r="AZ3641" s="3" t="s">
        <v>36176</v>
      </c>
      <c r="BA3641" s="3" t="s">
        <v>36176</v>
      </c>
      <c r="BB3641" s="3" t="s">
        <v>36177</v>
      </c>
      <c r="BC3641" s="3" t="s">
        <v>77</v>
      </c>
      <c r="BD3641" s="3" t="s">
        <v>78</v>
      </c>
      <c r="BE3641" s="3" t="s">
        <v>36178</v>
      </c>
      <c r="BF3641" s="3" t="s">
        <v>36177</v>
      </c>
      <c r="BG3641" s="3" t="s">
        <v>36179</v>
      </c>
    </row>
    <row r="3642" spans="1:59" ht="72.5" x14ac:dyDescent="0.35">
      <c r="A3642" s="2" t="s">
        <v>59</v>
      </c>
      <c r="B3642" s="2" t="s">
        <v>60</v>
      </c>
      <c r="C3642" s="2" t="s">
        <v>36180</v>
      </c>
      <c r="D3642" s="2" t="s">
        <v>36181</v>
      </c>
      <c r="E3642" s="2" t="s">
        <v>36182</v>
      </c>
      <c r="G3642" s="3" t="s">
        <v>65</v>
      </c>
      <c r="I3642" s="3" t="s">
        <v>65</v>
      </c>
      <c r="J3642" s="3" t="s">
        <v>65</v>
      </c>
      <c r="K3642" s="3" t="s">
        <v>66</v>
      </c>
      <c r="L3642" s="2" t="s">
        <v>36128</v>
      </c>
      <c r="M3642" s="2" t="s">
        <v>36183</v>
      </c>
      <c r="N3642" s="3" t="s">
        <v>1196</v>
      </c>
      <c r="P3642" s="3" t="s">
        <v>69</v>
      </c>
      <c r="Q3642" s="2" t="s">
        <v>36118</v>
      </c>
      <c r="R3642" s="3" t="s">
        <v>71</v>
      </c>
      <c r="S3642" s="4">
        <v>42</v>
      </c>
      <c r="T3642" s="4">
        <v>42</v>
      </c>
      <c r="U3642" s="5" t="s">
        <v>36140</v>
      </c>
      <c r="V3642" s="5" t="s">
        <v>36140</v>
      </c>
      <c r="W3642" s="5" t="s">
        <v>72</v>
      </c>
      <c r="X3642" s="5" t="s">
        <v>72</v>
      </c>
      <c r="Y3642" s="4">
        <v>653</v>
      </c>
      <c r="Z3642" s="4">
        <v>31</v>
      </c>
      <c r="AA3642" s="4">
        <v>40</v>
      </c>
      <c r="AB3642" s="4">
        <v>6</v>
      </c>
      <c r="AC3642" s="4">
        <v>9</v>
      </c>
      <c r="AD3642" s="4">
        <v>80</v>
      </c>
      <c r="AE3642" s="4">
        <v>84</v>
      </c>
      <c r="AF3642" s="4">
        <v>1</v>
      </c>
      <c r="AG3642" s="4">
        <v>1</v>
      </c>
      <c r="AH3642" s="4">
        <v>72</v>
      </c>
      <c r="AI3642" s="4">
        <v>76</v>
      </c>
      <c r="AJ3642" s="4">
        <v>11</v>
      </c>
      <c r="AK3642" s="4">
        <v>13</v>
      </c>
      <c r="AL3642" s="4">
        <v>44</v>
      </c>
      <c r="AM3642" s="4">
        <v>45</v>
      </c>
      <c r="AN3642" s="4">
        <v>0</v>
      </c>
      <c r="AO3642" s="4">
        <v>0</v>
      </c>
      <c r="AP3642" s="4">
        <v>12</v>
      </c>
      <c r="AQ3642" s="4">
        <v>14</v>
      </c>
      <c r="AR3642" s="3" t="s">
        <v>65</v>
      </c>
      <c r="AS3642" s="3" t="s">
        <v>65</v>
      </c>
      <c r="AT3642" s="3" t="s">
        <v>209</v>
      </c>
      <c r="AU3642" s="6" t="str">
        <f>HYPERLINK("http://catalog.hathitrust.org/Record/005074213","HathiTrust Record")</f>
        <v>HathiTrust Record</v>
      </c>
      <c r="AV3642" s="6" t="str">
        <f>HYPERLINK("http://mcgill.on.worldcat.org/oclc/61265658","Catalog Record")</f>
        <v>Catalog Record</v>
      </c>
      <c r="AW3642" s="6" t="str">
        <f>HYPERLINK("http://www.worldcat.org/oclc/61265658","WorldCat Record")</f>
        <v>WorldCat Record</v>
      </c>
      <c r="AX3642" s="3" t="s">
        <v>36184</v>
      </c>
      <c r="AY3642" s="3" t="s">
        <v>36185</v>
      </c>
      <c r="AZ3642" s="3" t="s">
        <v>36186</v>
      </c>
      <c r="BA3642" s="3" t="s">
        <v>36186</v>
      </c>
      <c r="BB3642" s="3" t="s">
        <v>36187</v>
      </c>
      <c r="BC3642" s="3" t="s">
        <v>77</v>
      </c>
      <c r="BD3642" s="3" t="s">
        <v>106</v>
      </c>
      <c r="BE3642" s="3" t="s">
        <v>36188</v>
      </c>
      <c r="BF3642" s="3" t="s">
        <v>36187</v>
      </c>
      <c r="BG3642" s="3" t="s">
        <v>36189</v>
      </c>
    </row>
    <row r="3643" spans="1:59" ht="72.5" x14ac:dyDescent="0.35">
      <c r="A3643" s="2" t="s">
        <v>59</v>
      </c>
      <c r="B3643" s="2" t="s">
        <v>60</v>
      </c>
      <c r="C3643" s="2" t="s">
        <v>36190</v>
      </c>
      <c r="D3643" s="2" t="s">
        <v>36191</v>
      </c>
      <c r="E3643" s="2" t="s">
        <v>36192</v>
      </c>
      <c r="G3643" s="3" t="s">
        <v>65</v>
      </c>
      <c r="I3643" s="3" t="s">
        <v>209</v>
      </c>
      <c r="J3643" s="3" t="s">
        <v>65</v>
      </c>
      <c r="K3643" s="3" t="s">
        <v>66</v>
      </c>
      <c r="L3643" s="2" t="s">
        <v>36128</v>
      </c>
      <c r="M3643" s="2" t="s">
        <v>36193</v>
      </c>
      <c r="N3643" s="3" t="s">
        <v>139</v>
      </c>
      <c r="P3643" s="3" t="s">
        <v>69</v>
      </c>
      <c r="Q3643" s="2" t="s">
        <v>36194</v>
      </c>
      <c r="R3643" s="3" t="s">
        <v>71</v>
      </c>
      <c r="S3643" s="4">
        <v>6</v>
      </c>
      <c r="T3643" s="4">
        <v>100</v>
      </c>
      <c r="U3643" s="5" t="s">
        <v>36195</v>
      </c>
      <c r="V3643" s="5" t="s">
        <v>7117</v>
      </c>
      <c r="W3643" s="5" t="s">
        <v>72</v>
      </c>
      <c r="X3643" s="5" t="s">
        <v>72</v>
      </c>
      <c r="Y3643" s="4">
        <v>40</v>
      </c>
      <c r="Z3643" s="4">
        <v>7</v>
      </c>
      <c r="AA3643" s="4">
        <v>34</v>
      </c>
      <c r="AB3643" s="4">
        <v>1</v>
      </c>
      <c r="AC3643" s="4">
        <v>7</v>
      </c>
      <c r="AD3643" s="4">
        <v>7</v>
      </c>
      <c r="AE3643" s="4">
        <v>18</v>
      </c>
      <c r="AF3643" s="4">
        <v>0</v>
      </c>
      <c r="AG3643" s="4">
        <v>1</v>
      </c>
      <c r="AH3643" s="4">
        <v>5</v>
      </c>
      <c r="AI3643" s="4">
        <v>13</v>
      </c>
      <c r="AJ3643" s="4">
        <v>2</v>
      </c>
      <c r="AK3643" s="4">
        <v>3</v>
      </c>
      <c r="AL3643" s="4">
        <v>3</v>
      </c>
      <c r="AM3643" s="4">
        <v>6</v>
      </c>
      <c r="AN3643" s="4">
        <v>0</v>
      </c>
      <c r="AO3643" s="4">
        <v>0</v>
      </c>
      <c r="AP3643" s="4">
        <v>3</v>
      </c>
      <c r="AQ3643" s="4">
        <v>6</v>
      </c>
      <c r="AR3643" s="3" t="s">
        <v>65</v>
      </c>
      <c r="AS3643" s="3" t="s">
        <v>65</v>
      </c>
      <c r="AT3643" s="3" t="s">
        <v>65</v>
      </c>
      <c r="AV3643" s="6" t="str">
        <f>HYPERLINK("http://mcgill.on.worldcat.org/oclc/927006641","Catalog Record")</f>
        <v>Catalog Record</v>
      </c>
      <c r="AW3643" s="6" t="str">
        <f>HYPERLINK("http://www.worldcat.org/oclc/927006641","WorldCat Record")</f>
        <v>WorldCat Record</v>
      </c>
      <c r="AX3643" s="3" t="s">
        <v>36196</v>
      </c>
      <c r="AY3643" s="3" t="s">
        <v>36197</v>
      </c>
      <c r="AZ3643" s="3" t="s">
        <v>36198</v>
      </c>
      <c r="BA3643" s="3" t="s">
        <v>36198</v>
      </c>
      <c r="BB3643" s="3" t="s">
        <v>36199</v>
      </c>
      <c r="BC3643" s="3" t="s">
        <v>77</v>
      </c>
      <c r="BD3643" s="3" t="s">
        <v>106</v>
      </c>
      <c r="BE3643" s="3" t="s">
        <v>36200</v>
      </c>
      <c r="BF3643" s="3" t="s">
        <v>36199</v>
      </c>
      <c r="BG3643" s="3" t="s">
        <v>36201</v>
      </c>
    </row>
    <row r="3644" spans="1:59" ht="72.5" x14ac:dyDescent="0.35">
      <c r="A3644" s="2" t="s">
        <v>59</v>
      </c>
      <c r="B3644" s="2" t="s">
        <v>60</v>
      </c>
      <c r="C3644" s="2" t="s">
        <v>36190</v>
      </c>
      <c r="D3644" s="2" t="s">
        <v>36191</v>
      </c>
      <c r="E3644" s="2" t="s">
        <v>36192</v>
      </c>
      <c r="G3644" s="3" t="s">
        <v>65</v>
      </c>
      <c r="I3644" s="3" t="s">
        <v>209</v>
      </c>
      <c r="J3644" s="3" t="s">
        <v>65</v>
      </c>
      <c r="K3644" s="3" t="s">
        <v>66</v>
      </c>
      <c r="L3644" s="2" t="s">
        <v>36128</v>
      </c>
      <c r="M3644" s="2" t="s">
        <v>36193</v>
      </c>
      <c r="N3644" s="3" t="s">
        <v>139</v>
      </c>
      <c r="P3644" s="3" t="s">
        <v>69</v>
      </c>
      <c r="Q3644" s="2" t="s">
        <v>36194</v>
      </c>
      <c r="R3644" s="3" t="s">
        <v>71</v>
      </c>
      <c r="S3644" s="4">
        <v>11</v>
      </c>
      <c r="T3644" s="4">
        <v>100</v>
      </c>
      <c r="U3644" s="5" t="s">
        <v>7117</v>
      </c>
      <c r="V3644" s="5" t="s">
        <v>7117</v>
      </c>
      <c r="W3644" s="5" t="s">
        <v>72</v>
      </c>
      <c r="X3644" s="5" t="s">
        <v>72</v>
      </c>
      <c r="Y3644" s="4">
        <v>40</v>
      </c>
      <c r="Z3644" s="4">
        <v>7</v>
      </c>
      <c r="AA3644" s="4">
        <v>34</v>
      </c>
      <c r="AB3644" s="4">
        <v>1</v>
      </c>
      <c r="AC3644" s="4">
        <v>7</v>
      </c>
      <c r="AD3644" s="4">
        <v>7</v>
      </c>
      <c r="AE3644" s="4">
        <v>18</v>
      </c>
      <c r="AF3644" s="4">
        <v>0</v>
      </c>
      <c r="AG3644" s="4">
        <v>1</v>
      </c>
      <c r="AH3644" s="4">
        <v>5</v>
      </c>
      <c r="AI3644" s="4">
        <v>13</v>
      </c>
      <c r="AJ3644" s="4">
        <v>2</v>
      </c>
      <c r="AK3644" s="4">
        <v>3</v>
      </c>
      <c r="AL3644" s="4">
        <v>3</v>
      </c>
      <c r="AM3644" s="4">
        <v>6</v>
      </c>
      <c r="AN3644" s="4">
        <v>0</v>
      </c>
      <c r="AO3644" s="4">
        <v>0</v>
      </c>
      <c r="AP3644" s="4">
        <v>3</v>
      </c>
      <c r="AQ3644" s="4">
        <v>6</v>
      </c>
      <c r="AR3644" s="3" t="s">
        <v>65</v>
      </c>
      <c r="AS3644" s="3" t="s">
        <v>65</v>
      </c>
      <c r="AT3644" s="3" t="s">
        <v>65</v>
      </c>
      <c r="AV3644" s="6" t="str">
        <f>HYPERLINK("http://mcgill.on.worldcat.org/oclc/927006641","Catalog Record")</f>
        <v>Catalog Record</v>
      </c>
      <c r="AW3644" s="6" t="str">
        <f>HYPERLINK("http://www.worldcat.org/oclc/927006641","WorldCat Record")</f>
        <v>WorldCat Record</v>
      </c>
      <c r="AX3644" s="3" t="s">
        <v>36196</v>
      </c>
      <c r="AY3644" s="3" t="s">
        <v>36197</v>
      </c>
      <c r="AZ3644" s="3" t="s">
        <v>36198</v>
      </c>
      <c r="BA3644" s="3" t="s">
        <v>36198</v>
      </c>
      <c r="BB3644" s="3" t="s">
        <v>36202</v>
      </c>
      <c r="BC3644" s="3" t="s">
        <v>77</v>
      </c>
      <c r="BD3644" s="3" t="s">
        <v>78</v>
      </c>
      <c r="BE3644" s="3" t="s">
        <v>36200</v>
      </c>
      <c r="BF3644" s="3" t="s">
        <v>36202</v>
      </c>
      <c r="BG3644" s="3" t="s">
        <v>36203</v>
      </c>
    </row>
    <row r="3645" spans="1:59" ht="72.5" x14ac:dyDescent="0.35">
      <c r="A3645" s="2" t="s">
        <v>59</v>
      </c>
      <c r="B3645" s="2" t="s">
        <v>60</v>
      </c>
      <c r="C3645" s="2" t="s">
        <v>36190</v>
      </c>
      <c r="D3645" s="2" t="s">
        <v>36191</v>
      </c>
      <c r="E3645" s="2" t="s">
        <v>36192</v>
      </c>
      <c r="G3645" s="3" t="s">
        <v>65</v>
      </c>
      <c r="I3645" s="3" t="s">
        <v>209</v>
      </c>
      <c r="J3645" s="3" t="s">
        <v>65</v>
      </c>
      <c r="K3645" s="3" t="s">
        <v>66</v>
      </c>
      <c r="L3645" s="2" t="s">
        <v>36128</v>
      </c>
      <c r="M3645" s="2" t="s">
        <v>36193</v>
      </c>
      <c r="N3645" s="3" t="s">
        <v>139</v>
      </c>
      <c r="P3645" s="3" t="s">
        <v>69</v>
      </c>
      <c r="Q3645" s="2" t="s">
        <v>36194</v>
      </c>
      <c r="R3645" s="3" t="s">
        <v>71</v>
      </c>
      <c r="S3645" s="4">
        <v>15</v>
      </c>
      <c r="T3645" s="4">
        <v>100</v>
      </c>
      <c r="U3645" s="5" t="s">
        <v>26577</v>
      </c>
      <c r="V3645" s="5" t="s">
        <v>7117</v>
      </c>
      <c r="W3645" s="5" t="s">
        <v>72</v>
      </c>
      <c r="X3645" s="5" t="s">
        <v>72</v>
      </c>
      <c r="Y3645" s="4">
        <v>40</v>
      </c>
      <c r="Z3645" s="4">
        <v>7</v>
      </c>
      <c r="AA3645" s="4">
        <v>34</v>
      </c>
      <c r="AB3645" s="4">
        <v>1</v>
      </c>
      <c r="AC3645" s="4">
        <v>7</v>
      </c>
      <c r="AD3645" s="4">
        <v>7</v>
      </c>
      <c r="AE3645" s="4">
        <v>18</v>
      </c>
      <c r="AF3645" s="4">
        <v>0</v>
      </c>
      <c r="AG3645" s="4">
        <v>1</v>
      </c>
      <c r="AH3645" s="4">
        <v>5</v>
      </c>
      <c r="AI3645" s="4">
        <v>13</v>
      </c>
      <c r="AJ3645" s="4">
        <v>2</v>
      </c>
      <c r="AK3645" s="4">
        <v>3</v>
      </c>
      <c r="AL3645" s="4">
        <v>3</v>
      </c>
      <c r="AM3645" s="4">
        <v>6</v>
      </c>
      <c r="AN3645" s="4">
        <v>0</v>
      </c>
      <c r="AO3645" s="4">
        <v>0</v>
      </c>
      <c r="AP3645" s="4">
        <v>3</v>
      </c>
      <c r="AQ3645" s="4">
        <v>6</v>
      </c>
      <c r="AR3645" s="3" t="s">
        <v>65</v>
      </c>
      <c r="AS3645" s="3" t="s">
        <v>65</v>
      </c>
      <c r="AT3645" s="3" t="s">
        <v>65</v>
      </c>
      <c r="AV3645" s="6" t="str">
        <f>HYPERLINK("http://mcgill.on.worldcat.org/oclc/927006641","Catalog Record")</f>
        <v>Catalog Record</v>
      </c>
      <c r="AW3645" s="6" t="str">
        <f>HYPERLINK("http://www.worldcat.org/oclc/927006641","WorldCat Record")</f>
        <v>WorldCat Record</v>
      </c>
      <c r="AX3645" s="3" t="s">
        <v>36196</v>
      </c>
      <c r="AY3645" s="3" t="s">
        <v>36197</v>
      </c>
      <c r="AZ3645" s="3" t="s">
        <v>36198</v>
      </c>
      <c r="BA3645" s="3" t="s">
        <v>36198</v>
      </c>
      <c r="BB3645" s="3" t="s">
        <v>36204</v>
      </c>
      <c r="BC3645" s="3" t="s">
        <v>77</v>
      </c>
      <c r="BD3645" s="3" t="s">
        <v>106</v>
      </c>
      <c r="BE3645" s="3" t="s">
        <v>36200</v>
      </c>
      <c r="BF3645" s="3" t="s">
        <v>36204</v>
      </c>
      <c r="BG3645" s="3" t="s">
        <v>36205</v>
      </c>
    </row>
    <row r="3646" spans="1:59" ht="72.5" x14ac:dyDescent="0.35">
      <c r="A3646" s="2" t="s">
        <v>59</v>
      </c>
      <c r="B3646" s="2" t="s">
        <v>60</v>
      </c>
      <c r="C3646" s="2" t="s">
        <v>36190</v>
      </c>
      <c r="D3646" s="2" t="s">
        <v>36191</v>
      </c>
      <c r="E3646" s="2" t="s">
        <v>36192</v>
      </c>
      <c r="G3646" s="3" t="s">
        <v>65</v>
      </c>
      <c r="I3646" s="3" t="s">
        <v>209</v>
      </c>
      <c r="J3646" s="3" t="s">
        <v>65</v>
      </c>
      <c r="K3646" s="3" t="s">
        <v>66</v>
      </c>
      <c r="L3646" s="2" t="s">
        <v>36128</v>
      </c>
      <c r="M3646" s="2" t="s">
        <v>36193</v>
      </c>
      <c r="N3646" s="3" t="s">
        <v>139</v>
      </c>
      <c r="P3646" s="3" t="s">
        <v>69</v>
      </c>
      <c r="Q3646" s="2" t="s">
        <v>36194</v>
      </c>
      <c r="R3646" s="3" t="s">
        <v>71</v>
      </c>
      <c r="S3646" s="4">
        <v>68</v>
      </c>
      <c r="T3646" s="4">
        <v>100</v>
      </c>
      <c r="U3646" s="5" t="s">
        <v>17342</v>
      </c>
      <c r="V3646" s="5" t="s">
        <v>7117</v>
      </c>
      <c r="W3646" s="5" t="s">
        <v>72</v>
      </c>
      <c r="X3646" s="5" t="s">
        <v>72</v>
      </c>
      <c r="Y3646" s="4">
        <v>40</v>
      </c>
      <c r="Z3646" s="4">
        <v>7</v>
      </c>
      <c r="AA3646" s="4">
        <v>34</v>
      </c>
      <c r="AB3646" s="4">
        <v>1</v>
      </c>
      <c r="AC3646" s="4">
        <v>7</v>
      </c>
      <c r="AD3646" s="4">
        <v>7</v>
      </c>
      <c r="AE3646" s="4">
        <v>18</v>
      </c>
      <c r="AF3646" s="4">
        <v>0</v>
      </c>
      <c r="AG3646" s="4">
        <v>1</v>
      </c>
      <c r="AH3646" s="4">
        <v>5</v>
      </c>
      <c r="AI3646" s="4">
        <v>13</v>
      </c>
      <c r="AJ3646" s="4">
        <v>2</v>
      </c>
      <c r="AK3646" s="4">
        <v>3</v>
      </c>
      <c r="AL3646" s="4">
        <v>3</v>
      </c>
      <c r="AM3646" s="4">
        <v>6</v>
      </c>
      <c r="AN3646" s="4">
        <v>0</v>
      </c>
      <c r="AO3646" s="4">
        <v>0</v>
      </c>
      <c r="AP3646" s="4">
        <v>3</v>
      </c>
      <c r="AQ3646" s="4">
        <v>6</v>
      </c>
      <c r="AR3646" s="3" t="s">
        <v>65</v>
      </c>
      <c r="AS3646" s="3" t="s">
        <v>65</v>
      </c>
      <c r="AT3646" s="3" t="s">
        <v>65</v>
      </c>
      <c r="AV3646" s="6" t="str">
        <f>HYPERLINK("http://mcgill.on.worldcat.org/oclc/927006641","Catalog Record")</f>
        <v>Catalog Record</v>
      </c>
      <c r="AW3646" s="6" t="str">
        <f>HYPERLINK("http://www.worldcat.org/oclc/927006641","WorldCat Record")</f>
        <v>WorldCat Record</v>
      </c>
      <c r="AX3646" s="3" t="s">
        <v>36196</v>
      </c>
      <c r="AY3646" s="3" t="s">
        <v>36197</v>
      </c>
      <c r="AZ3646" s="3" t="s">
        <v>36198</v>
      </c>
      <c r="BA3646" s="3" t="s">
        <v>36198</v>
      </c>
      <c r="BB3646" s="3" t="s">
        <v>36206</v>
      </c>
      <c r="BC3646" s="3" t="s">
        <v>77</v>
      </c>
      <c r="BD3646" s="3" t="s">
        <v>106</v>
      </c>
      <c r="BE3646" s="3" t="s">
        <v>36200</v>
      </c>
      <c r="BF3646" s="3" t="s">
        <v>36206</v>
      </c>
      <c r="BG3646" s="3" t="s">
        <v>36207</v>
      </c>
    </row>
    <row r="3647" spans="1:59" ht="72.5" x14ac:dyDescent="0.35">
      <c r="A3647" s="2" t="s">
        <v>59</v>
      </c>
      <c r="B3647" s="2" t="s">
        <v>60</v>
      </c>
      <c r="C3647" s="2" t="s">
        <v>36208</v>
      </c>
      <c r="D3647" s="2" t="s">
        <v>36209</v>
      </c>
      <c r="E3647" s="2" t="s">
        <v>36210</v>
      </c>
      <c r="G3647" s="3" t="s">
        <v>65</v>
      </c>
      <c r="I3647" s="3" t="s">
        <v>209</v>
      </c>
      <c r="J3647" s="3" t="s">
        <v>65</v>
      </c>
      <c r="K3647" s="3" t="s">
        <v>66</v>
      </c>
      <c r="L3647" s="2" t="s">
        <v>36128</v>
      </c>
      <c r="M3647" s="2" t="s">
        <v>36211</v>
      </c>
      <c r="N3647" s="3" t="s">
        <v>164</v>
      </c>
      <c r="P3647" s="3" t="s">
        <v>69</v>
      </c>
      <c r="Q3647" s="2" t="s">
        <v>36212</v>
      </c>
      <c r="R3647" s="3" t="s">
        <v>71</v>
      </c>
      <c r="S3647" s="4">
        <v>38</v>
      </c>
      <c r="T3647" s="4">
        <v>59</v>
      </c>
      <c r="U3647" s="5" t="s">
        <v>2592</v>
      </c>
      <c r="V3647" s="5" t="s">
        <v>18760</v>
      </c>
      <c r="W3647" s="5" t="s">
        <v>72</v>
      </c>
      <c r="X3647" s="5" t="s">
        <v>72</v>
      </c>
      <c r="Y3647" s="4">
        <v>1549</v>
      </c>
      <c r="Z3647" s="4">
        <v>47</v>
      </c>
      <c r="AA3647" s="4">
        <v>70</v>
      </c>
      <c r="AB3647" s="4">
        <v>5</v>
      </c>
      <c r="AC3647" s="4">
        <v>10</v>
      </c>
      <c r="AD3647" s="4">
        <v>95</v>
      </c>
      <c r="AE3647" s="4">
        <v>98</v>
      </c>
      <c r="AF3647" s="4">
        <v>1</v>
      </c>
      <c r="AG3647" s="4">
        <v>1</v>
      </c>
      <c r="AH3647" s="4">
        <v>83</v>
      </c>
      <c r="AI3647" s="4">
        <v>84</v>
      </c>
      <c r="AJ3647" s="4">
        <v>15</v>
      </c>
      <c r="AK3647" s="4">
        <v>15</v>
      </c>
      <c r="AL3647" s="4">
        <v>49</v>
      </c>
      <c r="AM3647" s="4">
        <v>49</v>
      </c>
      <c r="AN3647" s="4">
        <v>0</v>
      </c>
      <c r="AO3647" s="4">
        <v>0</v>
      </c>
      <c r="AP3647" s="4">
        <v>18</v>
      </c>
      <c r="AQ3647" s="4">
        <v>20</v>
      </c>
      <c r="AR3647" s="3" t="s">
        <v>65</v>
      </c>
      <c r="AS3647" s="3" t="s">
        <v>65</v>
      </c>
      <c r="AT3647" s="3" t="s">
        <v>65</v>
      </c>
      <c r="AV3647" s="6" t="str">
        <f>HYPERLINK("http://mcgill.on.worldcat.org/oclc/870919836","Catalog Record")</f>
        <v>Catalog Record</v>
      </c>
      <c r="AW3647" s="6" t="str">
        <f>HYPERLINK("http://www.worldcat.org/oclc/870919836","WorldCat Record")</f>
        <v>WorldCat Record</v>
      </c>
      <c r="AX3647" s="3" t="s">
        <v>36213</v>
      </c>
      <c r="AY3647" s="3" t="s">
        <v>36214</v>
      </c>
      <c r="AZ3647" s="3" t="s">
        <v>36215</v>
      </c>
      <c r="BA3647" s="3" t="s">
        <v>36215</v>
      </c>
      <c r="BB3647" s="3" t="s">
        <v>36216</v>
      </c>
      <c r="BC3647" s="3" t="s">
        <v>77</v>
      </c>
      <c r="BD3647" s="3" t="s">
        <v>106</v>
      </c>
      <c r="BE3647" s="3" t="s">
        <v>36217</v>
      </c>
      <c r="BF3647" s="3" t="s">
        <v>36216</v>
      </c>
      <c r="BG3647" s="3" t="s">
        <v>36218</v>
      </c>
    </row>
    <row r="3648" spans="1:59" ht="72.5" x14ac:dyDescent="0.35">
      <c r="A3648" s="2" t="s">
        <v>59</v>
      </c>
      <c r="B3648" s="2" t="s">
        <v>60</v>
      </c>
      <c r="C3648" s="2" t="s">
        <v>36208</v>
      </c>
      <c r="D3648" s="2" t="s">
        <v>36209</v>
      </c>
      <c r="E3648" s="2" t="s">
        <v>36210</v>
      </c>
      <c r="G3648" s="3" t="s">
        <v>65</v>
      </c>
      <c r="I3648" s="3" t="s">
        <v>209</v>
      </c>
      <c r="J3648" s="3" t="s">
        <v>65</v>
      </c>
      <c r="K3648" s="3" t="s">
        <v>66</v>
      </c>
      <c r="L3648" s="2" t="s">
        <v>36128</v>
      </c>
      <c r="M3648" s="2" t="s">
        <v>36211</v>
      </c>
      <c r="N3648" s="3" t="s">
        <v>164</v>
      </c>
      <c r="P3648" s="3" t="s">
        <v>69</v>
      </c>
      <c r="Q3648" s="2" t="s">
        <v>36212</v>
      </c>
      <c r="R3648" s="3" t="s">
        <v>71</v>
      </c>
      <c r="S3648" s="4">
        <v>21</v>
      </c>
      <c r="T3648" s="4">
        <v>59</v>
      </c>
      <c r="U3648" s="5" t="s">
        <v>18760</v>
      </c>
      <c r="V3648" s="5" t="s">
        <v>18760</v>
      </c>
      <c r="W3648" s="5" t="s">
        <v>72</v>
      </c>
      <c r="X3648" s="5" t="s">
        <v>72</v>
      </c>
      <c r="Y3648" s="4">
        <v>1549</v>
      </c>
      <c r="Z3648" s="4">
        <v>47</v>
      </c>
      <c r="AA3648" s="4">
        <v>70</v>
      </c>
      <c r="AB3648" s="4">
        <v>5</v>
      </c>
      <c r="AC3648" s="4">
        <v>10</v>
      </c>
      <c r="AD3648" s="4">
        <v>95</v>
      </c>
      <c r="AE3648" s="4">
        <v>98</v>
      </c>
      <c r="AF3648" s="4">
        <v>1</v>
      </c>
      <c r="AG3648" s="4">
        <v>1</v>
      </c>
      <c r="AH3648" s="4">
        <v>83</v>
      </c>
      <c r="AI3648" s="4">
        <v>84</v>
      </c>
      <c r="AJ3648" s="4">
        <v>15</v>
      </c>
      <c r="AK3648" s="4">
        <v>15</v>
      </c>
      <c r="AL3648" s="4">
        <v>49</v>
      </c>
      <c r="AM3648" s="4">
        <v>49</v>
      </c>
      <c r="AN3648" s="4">
        <v>0</v>
      </c>
      <c r="AO3648" s="4">
        <v>0</v>
      </c>
      <c r="AP3648" s="4">
        <v>18</v>
      </c>
      <c r="AQ3648" s="4">
        <v>20</v>
      </c>
      <c r="AR3648" s="3" t="s">
        <v>65</v>
      </c>
      <c r="AS3648" s="3" t="s">
        <v>65</v>
      </c>
      <c r="AT3648" s="3" t="s">
        <v>65</v>
      </c>
      <c r="AV3648" s="6" t="str">
        <f>HYPERLINK("http://mcgill.on.worldcat.org/oclc/870919836","Catalog Record")</f>
        <v>Catalog Record</v>
      </c>
      <c r="AW3648" s="6" t="str">
        <f>HYPERLINK("http://www.worldcat.org/oclc/870919836","WorldCat Record")</f>
        <v>WorldCat Record</v>
      </c>
      <c r="AX3648" s="3" t="s">
        <v>36213</v>
      </c>
      <c r="AY3648" s="3" t="s">
        <v>36214</v>
      </c>
      <c r="AZ3648" s="3" t="s">
        <v>36215</v>
      </c>
      <c r="BA3648" s="3" t="s">
        <v>36215</v>
      </c>
      <c r="BB3648" s="3" t="s">
        <v>36219</v>
      </c>
      <c r="BC3648" s="3" t="s">
        <v>77</v>
      </c>
      <c r="BD3648" s="3" t="s">
        <v>106</v>
      </c>
      <c r="BE3648" s="3" t="s">
        <v>36217</v>
      </c>
      <c r="BF3648" s="3" t="s">
        <v>36219</v>
      </c>
      <c r="BG3648" s="3" t="s">
        <v>36220</v>
      </c>
    </row>
    <row r="3649" spans="1:59" ht="72.5" x14ac:dyDescent="0.35">
      <c r="A3649" s="2" t="s">
        <v>59</v>
      </c>
      <c r="B3649" s="2" t="s">
        <v>60</v>
      </c>
      <c r="C3649" s="2" t="s">
        <v>36221</v>
      </c>
      <c r="D3649" s="2" t="s">
        <v>36222</v>
      </c>
      <c r="E3649" s="2" t="s">
        <v>36223</v>
      </c>
      <c r="G3649" s="3" t="s">
        <v>65</v>
      </c>
      <c r="I3649" s="3" t="s">
        <v>209</v>
      </c>
      <c r="J3649" s="3" t="s">
        <v>65</v>
      </c>
      <c r="K3649" s="3" t="s">
        <v>66</v>
      </c>
      <c r="L3649" s="2" t="s">
        <v>36128</v>
      </c>
      <c r="M3649" s="2" t="s">
        <v>36224</v>
      </c>
      <c r="N3649" s="3" t="s">
        <v>152</v>
      </c>
      <c r="P3649" s="3" t="s">
        <v>69</v>
      </c>
      <c r="Q3649" s="2" t="s">
        <v>36225</v>
      </c>
      <c r="R3649" s="3" t="s">
        <v>71</v>
      </c>
      <c r="S3649" s="4">
        <v>8</v>
      </c>
      <c r="T3649" s="4">
        <v>48</v>
      </c>
      <c r="U3649" s="5" t="s">
        <v>36195</v>
      </c>
      <c r="V3649" s="5" t="s">
        <v>36195</v>
      </c>
      <c r="W3649" s="5" t="s">
        <v>72</v>
      </c>
      <c r="X3649" s="5" t="s">
        <v>72</v>
      </c>
      <c r="Y3649" s="4">
        <v>1301</v>
      </c>
      <c r="Z3649" s="4">
        <v>41</v>
      </c>
      <c r="AA3649" s="4">
        <v>59</v>
      </c>
      <c r="AB3649" s="4">
        <v>3</v>
      </c>
      <c r="AC3649" s="4">
        <v>8</v>
      </c>
      <c r="AD3649" s="4">
        <v>84</v>
      </c>
      <c r="AE3649" s="4">
        <v>91</v>
      </c>
      <c r="AF3649" s="4">
        <v>1</v>
      </c>
      <c r="AG3649" s="4">
        <v>1</v>
      </c>
      <c r="AH3649" s="4">
        <v>74</v>
      </c>
      <c r="AI3649" s="4">
        <v>77</v>
      </c>
      <c r="AJ3649" s="4">
        <v>11</v>
      </c>
      <c r="AK3649" s="4">
        <v>13</v>
      </c>
      <c r="AL3649" s="4">
        <v>46</v>
      </c>
      <c r="AM3649" s="4">
        <v>47</v>
      </c>
      <c r="AN3649" s="4">
        <v>0</v>
      </c>
      <c r="AO3649" s="4">
        <v>0</v>
      </c>
      <c r="AP3649" s="4">
        <v>15</v>
      </c>
      <c r="AQ3649" s="4">
        <v>19</v>
      </c>
      <c r="AR3649" s="3" t="s">
        <v>65</v>
      </c>
      <c r="AS3649" s="3" t="s">
        <v>65</v>
      </c>
      <c r="AT3649" s="3" t="s">
        <v>65</v>
      </c>
      <c r="AV3649" s="6" t="str">
        <f>HYPERLINK("http://mcgill.on.worldcat.org/oclc/829451619","Catalog Record")</f>
        <v>Catalog Record</v>
      </c>
      <c r="AW3649" s="6" t="str">
        <f>HYPERLINK("http://www.worldcat.org/oclc/829451619","WorldCat Record")</f>
        <v>WorldCat Record</v>
      </c>
      <c r="AX3649" s="3" t="s">
        <v>36226</v>
      </c>
      <c r="AY3649" s="3" t="s">
        <v>36227</v>
      </c>
      <c r="AZ3649" s="3" t="s">
        <v>36228</v>
      </c>
      <c r="BA3649" s="3" t="s">
        <v>36228</v>
      </c>
      <c r="BB3649" s="3" t="s">
        <v>36229</v>
      </c>
      <c r="BC3649" s="3" t="s">
        <v>77</v>
      </c>
      <c r="BD3649" s="3" t="s">
        <v>78</v>
      </c>
      <c r="BE3649" s="3" t="s">
        <v>36230</v>
      </c>
      <c r="BF3649" s="3" t="s">
        <v>36229</v>
      </c>
      <c r="BG3649" s="3" t="s">
        <v>36231</v>
      </c>
    </row>
    <row r="3650" spans="1:59" ht="72.5" x14ac:dyDescent="0.35">
      <c r="A3650" s="2" t="s">
        <v>59</v>
      </c>
      <c r="B3650" s="2" t="s">
        <v>60</v>
      </c>
      <c r="C3650" s="2" t="s">
        <v>36221</v>
      </c>
      <c r="D3650" s="2" t="s">
        <v>36222</v>
      </c>
      <c r="E3650" s="2" t="s">
        <v>36223</v>
      </c>
      <c r="G3650" s="3" t="s">
        <v>65</v>
      </c>
      <c r="I3650" s="3" t="s">
        <v>209</v>
      </c>
      <c r="J3650" s="3" t="s">
        <v>65</v>
      </c>
      <c r="K3650" s="3" t="s">
        <v>66</v>
      </c>
      <c r="L3650" s="2" t="s">
        <v>36128</v>
      </c>
      <c r="M3650" s="2" t="s">
        <v>36224</v>
      </c>
      <c r="N3650" s="3" t="s">
        <v>152</v>
      </c>
      <c r="P3650" s="3" t="s">
        <v>69</v>
      </c>
      <c r="Q3650" s="2" t="s">
        <v>36225</v>
      </c>
      <c r="R3650" s="3" t="s">
        <v>71</v>
      </c>
      <c r="S3650" s="4">
        <v>28</v>
      </c>
      <c r="T3650" s="4">
        <v>48</v>
      </c>
      <c r="U3650" s="5" t="s">
        <v>18760</v>
      </c>
      <c r="V3650" s="5" t="s">
        <v>36195</v>
      </c>
      <c r="W3650" s="5" t="s">
        <v>72</v>
      </c>
      <c r="X3650" s="5" t="s">
        <v>72</v>
      </c>
      <c r="Y3650" s="4">
        <v>1301</v>
      </c>
      <c r="Z3650" s="4">
        <v>41</v>
      </c>
      <c r="AA3650" s="4">
        <v>59</v>
      </c>
      <c r="AB3650" s="4">
        <v>3</v>
      </c>
      <c r="AC3650" s="4">
        <v>8</v>
      </c>
      <c r="AD3650" s="4">
        <v>84</v>
      </c>
      <c r="AE3650" s="4">
        <v>91</v>
      </c>
      <c r="AF3650" s="4">
        <v>1</v>
      </c>
      <c r="AG3650" s="4">
        <v>1</v>
      </c>
      <c r="AH3650" s="4">
        <v>74</v>
      </c>
      <c r="AI3650" s="4">
        <v>77</v>
      </c>
      <c r="AJ3650" s="4">
        <v>11</v>
      </c>
      <c r="AK3650" s="4">
        <v>13</v>
      </c>
      <c r="AL3650" s="4">
        <v>46</v>
      </c>
      <c r="AM3650" s="4">
        <v>47</v>
      </c>
      <c r="AN3650" s="4">
        <v>0</v>
      </c>
      <c r="AO3650" s="4">
        <v>0</v>
      </c>
      <c r="AP3650" s="4">
        <v>15</v>
      </c>
      <c r="AQ3650" s="4">
        <v>19</v>
      </c>
      <c r="AR3650" s="3" t="s">
        <v>65</v>
      </c>
      <c r="AS3650" s="3" t="s">
        <v>65</v>
      </c>
      <c r="AT3650" s="3" t="s">
        <v>65</v>
      </c>
      <c r="AV3650" s="6" t="str">
        <f>HYPERLINK("http://mcgill.on.worldcat.org/oclc/829451619","Catalog Record")</f>
        <v>Catalog Record</v>
      </c>
      <c r="AW3650" s="6" t="str">
        <f>HYPERLINK("http://www.worldcat.org/oclc/829451619","WorldCat Record")</f>
        <v>WorldCat Record</v>
      </c>
      <c r="AX3650" s="3" t="s">
        <v>36226</v>
      </c>
      <c r="AY3650" s="3" t="s">
        <v>36227</v>
      </c>
      <c r="AZ3650" s="3" t="s">
        <v>36228</v>
      </c>
      <c r="BA3650" s="3" t="s">
        <v>36228</v>
      </c>
      <c r="BB3650" s="3" t="s">
        <v>36232</v>
      </c>
      <c r="BC3650" s="3" t="s">
        <v>77</v>
      </c>
      <c r="BD3650" s="3" t="s">
        <v>106</v>
      </c>
      <c r="BE3650" s="3" t="s">
        <v>36230</v>
      </c>
      <c r="BF3650" s="3" t="s">
        <v>36232</v>
      </c>
      <c r="BG3650" s="3" t="s">
        <v>36233</v>
      </c>
    </row>
    <row r="3651" spans="1:59" ht="72.5" x14ac:dyDescent="0.35">
      <c r="A3651" s="2" t="s">
        <v>59</v>
      </c>
      <c r="B3651" s="2" t="s">
        <v>60</v>
      </c>
      <c r="C3651" s="2" t="s">
        <v>36221</v>
      </c>
      <c r="D3651" s="2" t="s">
        <v>36222</v>
      </c>
      <c r="E3651" s="2" t="s">
        <v>36223</v>
      </c>
      <c r="G3651" s="3" t="s">
        <v>65</v>
      </c>
      <c r="I3651" s="3" t="s">
        <v>209</v>
      </c>
      <c r="J3651" s="3" t="s">
        <v>65</v>
      </c>
      <c r="K3651" s="3" t="s">
        <v>66</v>
      </c>
      <c r="L3651" s="2" t="s">
        <v>36128</v>
      </c>
      <c r="M3651" s="2" t="s">
        <v>36224</v>
      </c>
      <c r="N3651" s="3" t="s">
        <v>152</v>
      </c>
      <c r="P3651" s="3" t="s">
        <v>69</v>
      </c>
      <c r="Q3651" s="2" t="s">
        <v>36225</v>
      </c>
      <c r="R3651" s="3" t="s">
        <v>71</v>
      </c>
      <c r="S3651" s="4">
        <v>12</v>
      </c>
      <c r="T3651" s="4">
        <v>48</v>
      </c>
      <c r="U3651" s="5" t="s">
        <v>34051</v>
      </c>
      <c r="V3651" s="5" t="s">
        <v>36195</v>
      </c>
      <c r="W3651" s="5" t="s">
        <v>72</v>
      </c>
      <c r="X3651" s="5" t="s">
        <v>72</v>
      </c>
      <c r="Y3651" s="4">
        <v>1301</v>
      </c>
      <c r="Z3651" s="4">
        <v>41</v>
      </c>
      <c r="AA3651" s="4">
        <v>59</v>
      </c>
      <c r="AB3651" s="4">
        <v>3</v>
      </c>
      <c r="AC3651" s="4">
        <v>8</v>
      </c>
      <c r="AD3651" s="4">
        <v>84</v>
      </c>
      <c r="AE3651" s="4">
        <v>91</v>
      </c>
      <c r="AF3651" s="4">
        <v>1</v>
      </c>
      <c r="AG3651" s="4">
        <v>1</v>
      </c>
      <c r="AH3651" s="4">
        <v>74</v>
      </c>
      <c r="AI3651" s="4">
        <v>77</v>
      </c>
      <c r="AJ3651" s="4">
        <v>11</v>
      </c>
      <c r="AK3651" s="4">
        <v>13</v>
      </c>
      <c r="AL3651" s="4">
        <v>46</v>
      </c>
      <c r="AM3651" s="4">
        <v>47</v>
      </c>
      <c r="AN3651" s="4">
        <v>0</v>
      </c>
      <c r="AO3651" s="4">
        <v>0</v>
      </c>
      <c r="AP3651" s="4">
        <v>15</v>
      </c>
      <c r="AQ3651" s="4">
        <v>19</v>
      </c>
      <c r="AR3651" s="3" t="s">
        <v>65</v>
      </c>
      <c r="AS3651" s="3" t="s">
        <v>65</v>
      </c>
      <c r="AT3651" s="3" t="s">
        <v>65</v>
      </c>
      <c r="AV3651" s="6" t="str">
        <f>HYPERLINK("http://mcgill.on.worldcat.org/oclc/829451619","Catalog Record")</f>
        <v>Catalog Record</v>
      </c>
      <c r="AW3651" s="6" t="str">
        <f>HYPERLINK("http://www.worldcat.org/oclc/829451619","WorldCat Record")</f>
        <v>WorldCat Record</v>
      </c>
      <c r="AX3651" s="3" t="s">
        <v>36226</v>
      </c>
      <c r="AY3651" s="3" t="s">
        <v>36227</v>
      </c>
      <c r="AZ3651" s="3" t="s">
        <v>36228</v>
      </c>
      <c r="BA3651" s="3" t="s">
        <v>36228</v>
      </c>
      <c r="BB3651" s="3" t="s">
        <v>36234</v>
      </c>
      <c r="BC3651" s="3" t="s">
        <v>77</v>
      </c>
      <c r="BD3651" s="3" t="s">
        <v>106</v>
      </c>
      <c r="BE3651" s="3" t="s">
        <v>36230</v>
      </c>
      <c r="BF3651" s="3" t="s">
        <v>36234</v>
      </c>
      <c r="BG3651" s="3" t="s">
        <v>36235</v>
      </c>
    </row>
    <row r="3652" spans="1:59" ht="72.5" x14ac:dyDescent="0.35">
      <c r="A3652" s="2" t="s">
        <v>59</v>
      </c>
      <c r="B3652" s="2" t="s">
        <v>60</v>
      </c>
      <c r="C3652" s="2" t="s">
        <v>36236</v>
      </c>
      <c r="D3652" s="2" t="s">
        <v>36237</v>
      </c>
      <c r="E3652" s="2" t="s">
        <v>36238</v>
      </c>
      <c r="G3652" s="3" t="s">
        <v>65</v>
      </c>
      <c r="I3652" s="3" t="s">
        <v>209</v>
      </c>
      <c r="J3652" s="3" t="s">
        <v>65</v>
      </c>
      <c r="K3652" s="3" t="s">
        <v>66</v>
      </c>
      <c r="L3652" s="2" t="s">
        <v>36128</v>
      </c>
      <c r="M3652" s="2" t="s">
        <v>36239</v>
      </c>
      <c r="N3652" s="3" t="s">
        <v>176</v>
      </c>
      <c r="P3652" s="3" t="s">
        <v>69</v>
      </c>
      <c r="Q3652" s="2" t="s">
        <v>36240</v>
      </c>
      <c r="R3652" s="3" t="s">
        <v>71</v>
      </c>
      <c r="S3652" s="4">
        <v>18</v>
      </c>
      <c r="T3652" s="4">
        <v>67</v>
      </c>
      <c r="U3652" s="5" t="s">
        <v>7042</v>
      </c>
      <c r="V3652" s="5" t="s">
        <v>18760</v>
      </c>
      <c r="W3652" s="5" t="s">
        <v>72</v>
      </c>
      <c r="X3652" s="5" t="s">
        <v>72</v>
      </c>
      <c r="Y3652" s="4">
        <v>1622</v>
      </c>
      <c r="Z3652" s="4">
        <v>53</v>
      </c>
      <c r="AA3652" s="4">
        <v>65</v>
      </c>
      <c r="AB3652" s="4">
        <v>5</v>
      </c>
      <c r="AC3652" s="4">
        <v>9</v>
      </c>
      <c r="AD3652" s="4">
        <v>97</v>
      </c>
      <c r="AE3652" s="4">
        <v>97</v>
      </c>
      <c r="AF3652" s="4">
        <v>1</v>
      </c>
      <c r="AG3652" s="4">
        <v>1</v>
      </c>
      <c r="AH3652" s="4">
        <v>82</v>
      </c>
      <c r="AI3652" s="4">
        <v>82</v>
      </c>
      <c r="AJ3652" s="4">
        <v>14</v>
      </c>
      <c r="AK3652" s="4">
        <v>14</v>
      </c>
      <c r="AL3652" s="4">
        <v>51</v>
      </c>
      <c r="AM3652" s="4">
        <v>51</v>
      </c>
      <c r="AN3652" s="4">
        <v>0</v>
      </c>
      <c r="AO3652" s="4">
        <v>0</v>
      </c>
      <c r="AP3652" s="4">
        <v>20</v>
      </c>
      <c r="AQ3652" s="4">
        <v>20</v>
      </c>
      <c r="AR3652" s="3" t="s">
        <v>65</v>
      </c>
      <c r="AS3652" s="3" t="s">
        <v>65</v>
      </c>
      <c r="AT3652" s="3" t="s">
        <v>65</v>
      </c>
      <c r="AV3652" s="6" t="str">
        <f>HYPERLINK("http://mcgill.on.worldcat.org/oclc/906010450","Catalog Record")</f>
        <v>Catalog Record</v>
      </c>
      <c r="AW3652" s="6" t="str">
        <f>HYPERLINK("http://www.worldcat.org/oclc/906010450","WorldCat Record")</f>
        <v>WorldCat Record</v>
      </c>
      <c r="AX3652" s="3" t="s">
        <v>36241</v>
      </c>
      <c r="AY3652" s="3" t="s">
        <v>36242</v>
      </c>
      <c r="AZ3652" s="3" t="s">
        <v>36243</v>
      </c>
      <c r="BA3652" s="3" t="s">
        <v>36243</v>
      </c>
      <c r="BB3652" s="3" t="s">
        <v>36244</v>
      </c>
      <c r="BC3652" s="3" t="s">
        <v>77</v>
      </c>
      <c r="BD3652" s="3" t="s">
        <v>106</v>
      </c>
      <c r="BE3652" s="3" t="s">
        <v>36245</v>
      </c>
      <c r="BF3652" s="3" t="s">
        <v>36244</v>
      </c>
      <c r="BG3652" s="3" t="s">
        <v>36246</v>
      </c>
    </row>
    <row r="3653" spans="1:59" ht="72.5" x14ac:dyDescent="0.35">
      <c r="A3653" s="2" t="s">
        <v>59</v>
      </c>
      <c r="B3653" s="2" t="s">
        <v>60</v>
      </c>
      <c r="C3653" s="2" t="s">
        <v>36236</v>
      </c>
      <c r="D3653" s="2" t="s">
        <v>36237</v>
      </c>
      <c r="E3653" s="2" t="s">
        <v>36238</v>
      </c>
      <c r="G3653" s="3" t="s">
        <v>65</v>
      </c>
      <c r="I3653" s="3" t="s">
        <v>209</v>
      </c>
      <c r="J3653" s="3" t="s">
        <v>65</v>
      </c>
      <c r="K3653" s="3" t="s">
        <v>66</v>
      </c>
      <c r="L3653" s="2" t="s">
        <v>36128</v>
      </c>
      <c r="M3653" s="2" t="s">
        <v>36239</v>
      </c>
      <c r="N3653" s="3" t="s">
        <v>176</v>
      </c>
      <c r="P3653" s="3" t="s">
        <v>69</v>
      </c>
      <c r="Q3653" s="2" t="s">
        <v>36240</v>
      </c>
      <c r="R3653" s="3" t="s">
        <v>71</v>
      </c>
      <c r="S3653" s="4">
        <v>18</v>
      </c>
      <c r="T3653" s="4">
        <v>67</v>
      </c>
      <c r="U3653" s="5" t="s">
        <v>18760</v>
      </c>
      <c r="V3653" s="5" t="s">
        <v>18760</v>
      </c>
      <c r="W3653" s="5" t="s">
        <v>72</v>
      </c>
      <c r="X3653" s="5" t="s">
        <v>72</v>
      </c>
      <c r="Y3653" s="4">
        <v>1622</v>
      </c>
      <c r="Z3653" s="4">
        <v>53</v>
      </c>
      <c r="AA3653" s="4">
        <v>65</v>
      </c>
      <c r="AB3653" s="4">
        <v>5</v>
      </c>
      <c r="AC3653" s="4">
        <v>9</v>
      </c>
      <c r="AD3653" s="4">
        <v>97</v>
      </c>
      <c r="AE3653" s="4">
        <v>97</v>
      </c>
      <c r="AF3653" s="4">
        <v>1</v>
      </c>
      <c r="AG3653" s="4">
        <v>1</v>
      </c>
      <c r="AH3653" s="4">
        <v>82</v>
      </c>
      <c r="AI3653" s="4">
        <v>82</v>
      </c>
      <c r="AJ3653" s="4">
        <v>14</v>
      </c>
      <c r="AK3653" s="4">
        <v>14</v>
      </c>
      <c r="AL3653" s="4">
        <v>51</v>
      </c>
      <c r="AM3653" s="4">
        <v>51</v>
      </c>
      <c r="AN3653" s="4">
        <v>0</v>
      </c>
      <c r="AO3653" s="4">
        <v>0</v>
      </c>
      <c r="AP3653" s="4">
        <v>20</v>
      </c>
      <c r="AQ3653" s="4">
        <v>20</v>
      </c>
      <c r="AR3653" s="3" t="s">
        <v>65</v>
      </c>
      <c r="AS3653" s="3" t="s">
        <v>65</v>
      </c>
      <c r="AT3653" s="3" t="s">
        <v>65</v>
      </c>
      <c r="AV3653" s="6" t="str">
        <f>HYPERLINK("http://mcgill.on.worldcat.org/oclc/906010450","Catalog Record")</f>
        <v>Catalog Record</v>
      </c>
      <c r="AW3653" s="6" t="str">
        <f>HYPERLINK("http://www.worldcat.org/oclc/906010450","WorldCat Record")</f>
        <v>WorldCat Record</v>
      </c>
      <c r="AX3653" s="3" t="s">
        <v>36241</v>
      </c>
      <c r="AY3653" s="3" t="s">
        <v>36242</v>
      </c>
      <c r="AZ3653" s="3" t="s">
        <v>36243</v>
      </c>
      <c r="BA3653" s="3" t="s">
        <v>36243</v>
      </c>
      <c r="BB3653" s="3" t="s">
        <v>36247</v>
      </c>
      <c r="BC3653" s="3" t="s">
        <v>77</v>
      </c>
      <c r="BD3653" s="3" t="s">
        <v>106</v>
      </c>
      <c r="BE3653" s="3" t="s">
        <v>36245</v>
      </c>
      <c r="BF3653" s="3" t="s">
        <v>36247</v>
      </c>
      <c r="BG3653" s="3" t="s">
        <v>36248</v>
      </c>
    </row>
    <row r="3654" spans="1:59" ht="72.5" x14ac:dyDescent="0.35">
      <c r="A3654" s="2" t="s">
        <v>59</v>
      </c>
      <c r="B3654" s="2" t="s">
        <v>60</v>
      </c>
      <c r="C3654" s="2" t="s">
        <v>36236</v>
      </c>
      <c r="D3654" s="2" t="s">
        <v>36237</v>
      </c>
      <c r="E3654" s="2" t="s">
        <v>36238</v>
      </c>
      <c r="G3654" s="3" t="s">
        <v>65</v>
      </c>
      <c r="I3654" s="3" t="s">
        <v>209</v>
      </c>
      <c r="J3654" s="3" t="s">
        <v>65</v>
      </c>
      <c r="K3654" s="3" t="s">
        <v>66</v>
      </c>
      <c r="L3654" s="2" t="s">
        <v>36128</v>
      </c>
      <c r="M3654" s="2" t="s">
        <v>36239</v>
      </c>
      <c r="N3654" s="3" t="s">
        <v>176</v>
      </c>
      <c r="P3654" s="3" t="s">
        <v>69</v>
      </c>
      <c r="Q3654" s="2" t="s">
        <v>36240</v>
      </c>
      <c r="R3654" s="3" t="s">
        <v>71</v>
      </c>
      <c r="S3654" s="4">
        <v>31</v>
      </c>
      <c r="T3654" s="4">
        <v>67</v>
      </c>
      <c r="U3654" s="5" t="s">
        <v>36249</v>
      </c>
      <c r="V3654" s="5" t="s">
        <v>18760</v>
      </c>
      <c r="W3654" s="5" t="s">
        <v>72</v>
      </c>
      <c r="X3654" s="5" t="s">
        <v>72</v>
      </c>
      <c r="Y3654" s="4">
        <v>1622</v>
      </c>
      <c r="Z3654" s="4">
        <v>53</v>
      </c>
      <c r="AA3654" s="4">
        <v>65</v>
      </c>
      <c r="AB3654" s="4">
        <v>5</v>
      </c>
      <c r="AC3654" s="4">
        <v>9</v>
      </c>
      <c r="AD3654" s="4">
        <v>97</v>
      </c>
      <c r="AE3654" s="4">
        <v>97</v>
      </c>
      <c r="AF3654" s="4">
        <v>1</v>
      </c>
      <c r="AG3654" s="4">
        <v>1</v>
      </c>
      <c r="AH3654" s="4">
        <v>82</v>
      </c>
      <c r="AI3654" s="4">
        <v>82</v>
      </c>
      <c r="AJ3654" s="4">
        <v>14</v>
      </c>
      <c r="AK3654" s="4">
        <v>14</v>
      </c>
      <c r="AL3654" s="4">
        <v>51</v>
      </c>
      <c r="AM3654" s="4">
        <v>51</v>
      </c>
      <c r="AN3654" s="4">
        <v>0</v>
      </c>
      <c r="AO3654" s="4">
        <v>0</v>
      </c>
      <c r="AP3654" s="4">
        <v>20</v>
      </c>
      <c r="AQ3654" s="4">
        <v>20</v>
      </c>
      <c r="AR3654" s="3" t="s">
        <v>65</v>
      </c>
      <c r="AS3654" s="3" t="s">
        <v>65</v>
      </c>
      <c r="AT3654" s="3" t="s">
        <v>65</v>
      </c>
      <c r="AV3654" s="6" t="str">
        <f>HYPERLINK("http://mcgill.on.worldcat.org/oclc/906010450","Catalog Record")</f>
        <v>Catalog Record</v>
      </c>
      <c r="AW3654" s="6" t="str">
        <f>HYPERLINK("http://www.worldcat.org/oclc/906010450","WorldCat Record")</f>
        <v>WorldCat Record</v>
      </c>
      <c r="AX3654" s="3" t="s">
        <v>36241</v>
      </c>
      <c r="AY3654" s="3" t="s">
        <v>36242</v>
      </c>
      <c r="AZ3654" s="3" t="s">
        <v>36243</v>
      </c>
      <c r="BA3654" s="3" t="s">
        <v>36243</v>
      </c>
      <c r="BB3654" s="3" t="s">
        <v>36250</v>
      </c>
      <c r="BC3654" s="3" t="s">
        <v>77</v>
      </c>
      <c r="BD3654" s="3" t="s">
        <v>78</v>
      </c>
      <c r="BE3654" s="3" t="s">
        <v>36245</v>
      </c>
      <c r="BF3654" s="3" t="s">
        <v>36250</v>
      </c>
      <c r="BG3654" s="3" t="s">
        <v>36251</v>
      </c>
    </row>
    <row r="3655" spans="1:59" ht="72.5" x14ac:dyDescent="0.35">
      <c r="A3655" s="2" t="s">
        <v>59</v>
      </c>
      <c r="B3655" s="2" t="s">
        <v>60</v>
      </c>
      <c r="C3655" s="2" t="s">
        <v>36252</v>
      </c>
      <c r="D3655" s="2" t="s">
        <v>36253</v>
      </c>
      <c r="E3655" s="2" t="s">
        <v>36254</v>
      </c>
      <c r="G3655" s="3" t="s">
        <v>65</v>
      </c>
      <c r="I3655" s="3" t="s">
        <v>65</v>
      </c>
      <c r="J3655" s="3" t="s">
        <v>65</v>
      </c>
      <c r="K3655" s="3" t="s">
        <v>66</v>
      </c>
      <c r="L3655" s="2" t="s">
        <v>36116</v>
      </c>
      <c r="M3655" s="2" t="s">
        <v>36255</v>
      </c>
      <c r="N3655" s="3" t="s">
        <v>1967</v>
      </c>
      <c r="P3655" s="3" t="s">
        <v>140</v>
      </c>
      <c r="Q3655" s="2" t="s">
        <v>36118</v>
      </c>
      <c r="R3655" s="3" t="s">
        <v>71</v>
      </c>
      <c r="S3655" s="4">
        <v>13</v>
      </c>
      <c r="T3655" s="4">
        <v>13</v>
      </c>
      <c r="U3655" s="5" t="s">
        <v>36256</v>
      </c>
      <c r="V3655" s="5" t="s">
        <v>36256</v>
      </c>
      <c r="W3655" s="5" t="s">
        <v>72</v>
      </c>
      <c r="X3655" s="5" t="s">
        <v>72</v>
      </c>
      <c r="Y3655" s="4">
        <v>34</v>
      </c>
      <c r="Z3655" s="4">
        <v>5</v>
      </c>
      <c r="AA3655" s="4">
        <v>9</v>
      </c>
      <c r="AB3655" s="4">
        <v>1</v>
      </c>
      <c r="AC3655" s="4">
        <v>3</v>
      </c>
      <c r="AD3655" s="4">
        <v>22</v>
      </c>
      <c r="AE3655" s="4">
        <v>35</v>
      </c>
      <c r="AF3655" s="4">
        <v>0</v>
      </c>
      <c r="AG3655" s="4">
        <v>1</v>
      </c>
      <c r="AH3655" s="4">
        <v>20</v>
      </c>
      <c r="AI3655" s="4">
        <v>31</v>
      </c>
      <c r="AJ3655" s="4">
        <v>2</v>
      </c>
      <c r="AK3655" s="4">
        <v>5</v>
      </c>
      <c r="AL3655" s="4">
        <v>18</v>
      </c>
      <c r="AM3655" s="4">
        <v>27</v>
      </c>
      <c r="AN3655" s="4">
        <v>0</v>
      </c>
      <c r="AO3655" s="4">
        <v>0</v>
      </c>
      <c r="AP3655" s="4">
        <v>2</v>
      </c>
      <c r="AQ3655" s="4">
        <v>4</v>
      </c>
      <c r="AR3655" s="3" t="s">
        <v>65</v>
      </c>
      <c r="AS3655" s="3" t="s">
        <v>65</v>
      </c>
      <c r="AT3655" s="3" t="s">
        <v>65</v>
      </c>
      <c r="AV3655" s="6" t="str">
        <f>HYPERLINK("http://mcgill.on.worldcat.org/oclc/53878959","Catalog Record")</f>
        <v>Catalog Record</v>
      </c>
      <c r="AW3655" s="6" t="str">
        <f>HYPERLINK("http://www.worldcat.org/oclc/53878959","WorldCat Record")</f>
        <v>WorldCat Record</v>
      </c>
      <c r="AX3655" s="3" t="s">
        <v>36257</v>
      </c>
      <c r="AY3655" s="3" t="s">
        <v>36258</v>
      </c>
      <c r="AZ3655" s="3" t="s">
        <v>36259</v>
      </c>
      <c r="BA3655" s="3" t="s">
        <v>36259</v>
      </c>
      <c r="BB3655" s="3" t="s">
        <v>36260</v>
      </c>
      <c r="BC3655" s="3" t="s">
        <v>77</v>
      </c>
      <c r="BD3655" s="3" t="s">
        <v>78</v>
      </c>
      <c r="BE3655" s="3" t="s">
        <v>36261</v>
      </c>
      <c r="BF3655" s="3" t="s">
        <v>36260</v>
      </c>
      <c r="BG3655" s="3" t="s">
        <v>36262</v>
      </c>
    </row>
    <row r="3656" spans="1:59" ht="72.5" x14ac:dyDescent="0.35">
      <c r="A3656" s="2" t="s">
        <v>59</v>
      </c>
      <c r="B3656" s="2" t="s">
        <v>60</v>
      </c>
      <c r="C3656" s="2" t="s">
        <v>36263</v>
      </c>
      <c r="D3656" s="2" t="s">
        <v>36264</v>
      </c>
      <c r="E3656" s="2" t="s">
        <v>36265</v>
      </c>
      <c r="G3656" s="3" t="s">
        <v>65</v>
      </c>
      <c r="I3656" s="3" t="s">
        <v>65</v>
      </c>
      <c r="J3656" s="3" t="s">
        <v>65</v>
      </c>
      <c r="K3656" s="3" t="s">
        <v>66</v>
      </c>
      <c r="L3656" s="2" t="s">
        <v>36128</v>
      </c>
      <c r="M3656" s="2" t="s">
        <v>36266</v>
      </c>
      <c r="N3656" s="3" t="s">
        <v>68</v>
      </c>
      <c r="O3656" s="2" t="s">
        <v>36267</v>
      </c>
      <c r="P3656" s="3" t="s">
        <v>69</v>
      </c>
      <c r="R3656" s="3" t="s">
        <v>71</v>
      </c>
      <c r="S3656" s="4">
        <v>7</v>
      </c>
      <c r="T3656" s="4">
        <v>7</v>
      </c>
      <c r="U3656" s="5" t="s">
        <v>36268</v>
      </c>
      <c r="V3656" s="5" t="s">
        <v>36268</v>
      </c>
      <c r="W3656" s="5" t="s">
        <v>72</v>
      </c>
      <c r="X3656" s="5" t="s">
        <v>72</v>
      </c>
      <c r="Y3656" s="4">
        <v>444</v>
      </c>
      <c r="Z3656" s="4">
        <v>14</v>
      </c>
      <c r="AA3656" s="4">
        <v>32</v>
      </c>
      <c r="AB3656" s="4">
        <v>3</v>
      </c>
      <c r="AC3656" s="4">
        <v>7</v>
      </c>
      <c r="AD3656" s="4">
        <v>42</v>
      </c>
      <c r="AE3656" s="4">
        <v>62</v>
      </c>
      <c r="AF3656" s="4">
        <v>0</v>
      </c>
      <c r="AG3656" s="4">
        <v>0</v>
      </c>
      <c r="AH3656" s="4">
        <v>40</v>
      </c>
      <c r="AI3656" s="4">
        <v>54</v>
      </c>
      <c r="AJ3656" s="4">
        <v>5</v>
      </c>
      <c r="AK3656" s="4">
        <v>11</v>
      </c>
      <c r="AL3656" s="4">
        <v>25</v>
      </c>
      <c r="AM3656" s="4">
        <v>34</v>
      </c>
      <c r="AN3656" s="4">
        <v>0</v>
      </c>
      <c r="AO3656" s="4">
        <v>0</v>
      </c>
      <c r="AP3656" s="4">
        <v>6</v>
      </c>
      <c r="AQ3656" s="4">
        <v>13</v>
      </c>
      <c r="AR3656" s="3" t="s">
        <v>65</v>
      </c>
      <c r="AS3656" s="3" t="s">
        <v>65</v>
      </c>
      <c r="AT3656" s="3" t="s">
        <v>65</v>
      </c>
      <c r="AV3656" s="6" t="str">
        <f>HYPERLINK("http://mcgill.on.worldcat.org/oclc/907448005","Catalog Record")</f>
        <v>Catalog Record</v>
      </c>
      <c r="AW3656" s="6" t="str">
        <f>HYPERLINK("http://www.worldcat.org/oclc/907448005","WorldCat Record")</f>
        <v>WorldCat Record</v>
      </c>
      <c r="AX3656" s="3" t="s">
        <v>36269</v>
      </c>
      <c r="AY3656" s="3" t="s">
        <v>36270</v>
      </c>
      <c r="AZ3656" s="3" t="s">
        <v>36271</v>
      </c>
      <c r="BA3656" s="3" t="s">
        <v>36271</v>
      </c>
      <c r="BB3656" s="3" t="s">
        <v>36272</v>
      </c>
      <c r="BC3656" s="3" t="s">
        <v>77</v>
      </c>
      <c r="BD3656" s="3" t="s">
        <v>106</v>
      </c>
      <c r="BE3656" s="3" t="s">
        <v>36273</v>
      </c>
      <c r="BF3656" s="3" t="s">
        <v>36272</v>
      </c>
      <c r="BG3656" s="3" t="s">
        <v>36274</v>
      </c>
    </row>
    <row r="3657" spans="1:59" ht="58" x14ac:dyDescent="0.35">
      <c r="A3657" s="2" t="s">
        <v>59</v>
      </c>
      <c r="B3657" s="2" t="s">
        <v>60</v>
      </c>
      <c r="C3657" s="2" t="s">
        <v>36275</v>
      </c>
      <c r="D3657" s="2" t="s">
        <v>36276</v>
      </c>
      <c r="E3657" s="2" t="s">
        <v>36277</v>
      </c>
      <c r="G3657" s="3" t="s">
        <v>65</v>
      </c>
      <c r="I3657" s="3" t="s">
        <v>65</v>
      </c>
      <c r="J3657" s="3" t="s">
        <v>65</v>
      </c>
      <c r="K3657" s="3" t="s">
        <v>66</v>
      </c>
      <c r="L3657" s="2" t="s">
        <v>7669</v>
      </c>
      <c r="M3657" s="2" t="s">
        <v>36278</v>
      </c>
      <c r="N3657" s="3" t="s">
        <v>8188</v>
      </c>
      <c r="P3657" s="3" t="s">
        <v>69</v>
      </c>
      <c r="Q3657" s="2" t="s">
        <v>36279</v>
      </c>
      <c r="R3657" s="3" t="s">
        <v>71</v>
      </c>
      <c r="S3657" s="4">
        <v>10</v>
      </c>
      <c r="T3657" s="4">
        <v>10</v>
      </c>
      <c r="U3657" s="5" t="s">
        <v>11520</v>
      </c>
      <c r="V3657" s="5" t="s">
        <v>11520</v>
      </c>
      <c r="W3657" s="5" t="s">
        <v>72</v>
      </c>
      <c r="X3657" s="5" t="s">
        <v>72</v>
      </c>
      <c r="Y3657" s="4">
        <v>190</v>
      </c>
      <c r="Z3657" s="4">
        <v>20</v>
      </c>
      <c r="AA3657" s="4">
        <v>22</v>
      </c>
      <c r="AB3657" s="4">
        <v>3</v>
      </c>
      <c r="AC3657" s="4">
        <v>3</v>
      </c>
      <c r="AD3657" s="4">
        <v>69</v>
      </c>
      <c r="AE3657" s="4">
        <v>80</v>
      </c>
      <c r="AF3657" s="4">
        <v>1</v>
      </c>
      <c r="AG3657" s="4">
        <v>1</v>
      </c>
      <c r="AH3657" s="4">
        <v>59</v>
      </c>
      <c r="AI3657" s="4">
        <v>68</v>
      </c>
      <c r="AJ3657" s="4">
        <v>14</v>
      </c>
      <c r="AK3657" s="4">
        <v>16</v>
      </c>
      <c r="AL3657" s="4">
        <v>35</v>
      </c>
      <c r="AM3657" s="4">
        <v>42</v>
      </c>
      <c r="AN3657" s="4">
        <v>0</v>
      </c>
      <c r="AO3657" s="4">
        <v>0</v>
      </c>
      <c r="AP3657" s="4">
        <v>14</v>
      </c>
      <c r="AQ3657" s="4">
        <v>16</v>
      </c>
      <c r="AR3657" s="3" t="s">
        <v>65</v>
      </c>
      <c r="AS3657" s="3" t="s">
        <v>65</v>
      </c>
      <c r="AT3657" s="3" t="s">
        <v>209</v>
      </c>
      <c r="AU3657" s="6" t="str">
        <f>HYPERLINK("http://catalog.hathitrust.org/Record/000857585","HathiTrust Record")</f>
        <v>HathiTrust Record</v>
      </c>
      <c r="AV3657" s="6" t="str">
        <f>HYPERLINK("http://mcgill.on.worldcat.org/oclc/15549179","Catalog Record")</f>
        <v>Catalog Record</v>
      </c>
      <c r="AW3657" s="6" t="str">
        <f>HYPERLINK("http://www.worldcat.org/oclc/15549179","WorldCat Record")</f>
        <v>WorldCat Record</v>
      </c>
      <c r="AX3657" s="3" t="s">
        <v>36280</v>
      </c>
      <c r="AY3657" s="3" t="s">
        <v>36281</v>
      </c>
      <c r="AZ3657" s="3" t="s">
        <v>36282</v>
      </c>
      <c r="BA3657" s="3" t="s">
        <v>36282</v>
      </c>
      <c r="BB3657" s="3" t="s">
        <v>36283</v>
      </c>
      <c r="BC3657" s="3" t="s">
        <v>77</v>
      </c>
      <c r="BD3657" s="3" t="s">
        <v>78</v>
      </c>
      <c r="BE3657" s="3" t="s">
        <v>36284</v>
      </c>
      <c r="BF3657" s="3" t="s">
        <v>36283</v>
      </c>
      <c r="BG3657" s="3" t="s">
        <v>36285</v>
      </c>
    </row>
    <row r="3658" spans="1:59" ht="58" x14ac:dyDescent="0.35">
      <c r="A3658" s="2" t="s">
        <v>59</v>
      </c>
      <c r="B3658" s="2" t="s">
        <v>60</v>
      </c>
      <c r="C3658" s="2" t="s">
        <v>36286</v>
      </c>
      <c r="D3658" s="2" t="s">
        <v>36287</v>
      </c>
      <c r="E3658" s="2" t="s">
        <v>36288</v>
      </c>
      <c r="G3658" s="3" t="s">
        <v>65</v>
      </c>
      <c r="I3658" s="3" t="s">
        <v>65</v>
      </c>
      <c r="J3658" s="3" t="s">
        <v>65</v>
      </c>
      <c r="K3658" s="3" t="s">
        <v>66</v>
      </c>
      <c r="L3658" s="2" t="s">
        <v>36289</v>
      </c>
      <c r="M3658" s="2" t="s">
        <v>36290</v>
      </c>
      <c r="N3658" s="3" t="s">
        <v>188</v>
      </c>
      <c r="P3658" s="3" t="s">
        <v>140</v>
      </c>
      <c r="Q3658" s="2" t="s">
        <v>35021</v>
      </c>
      <c r="R3658" s="3" t="s">
        <v>71</v>
      </c>
      <c r="S3658" s="4">
        <v>0</v>
      </c>
      <c r="T3658" s="4">
        <v>0</v>
      </c>
      <c r="W3658" s="5" t="s">
        <v>72</v>
      </c>
      <c r="X3658" s="5" t="s">
        <v>72</v>
      </c>
      <c r="Y3658" s="4">
        <v>55</v>
      </c>
      <c r="Z3658" s="4">
        <v>2</v>
      </c>
      <c r="AA3658" s="4">
        <v>2</v>
      </c>
      <c r="AB3658" s="4">
        <v>1</v>
      </c>
      <c r="AC3658" s="4">
        <v>1</v>
      </c>
      <c r="AD3658" s="4">
        <v>40</v>
      </c>
      <c r="AE3658" s="4">
        <v>40</v>
      </c>
      <c r="AF3658" s="4">
        <v>0</v>
      </c>
      <c r="AG3658" s="4">
        <v>0</v>
      </c>
      <c r="AH3658" s="4">
        <v>39</v>
      </c>
      <c r="AI3658" s="4">
        <v>39</v>
      </c>
      <c r="AJ3658" s="4">
        <v>1</v>
      </c>
      <c r="AK3658" s="4">
        <v>1</v>
      </c>
      <c r="AL3658" s="4">
        <v>32</v>
      </c>
      <c r="AM3658" s="4">
        <v>32</v>
      </c>
      <c r="AN3658" s="4">
        <v>0</v>
      </c>
      <c r="AO3658" s="4">
        <v>0</v>
      </c>
      <c r="AP3658" s="4">
        <v>1</v>
      </c>
      <c r="AQ3658" s="4">
        <v>1</v>
      </c>
      <c r="AR3658" s="3" t="s">
        <v>65</v>
      </c>
      <c r="AS3658" s="3" t="s">
        <v>65</v>
      </c>
      <c r="AT3658" s="3" t="s">
        <v>65</v>
      </c>
      <c r="AV3658" s="6" t="str">
        <f>HYPERLINK("http://mcgill.on.worldcat.org/oclc/1013405213","Catalog Record")</f>
        <v>Catalog Record</v>
      </c>
      <c r="AW3658" s="6" t="str">
        <f>HYPERLINK("http://www.worldcat.org/oclc/1013405213","WorldCat Record")</f>
        <v>WorldCat Record</v>
      </c>
      <c r="AX3658" s="3" t="s">
        <v>36291</v>
      </c>
      <c r="AY3658" s="3" t="s">
        <v>36292</v>
      </c>
      <c r="AZ3658" s="3" t="s">
        <v>36293</v>
      </c>
      <c r="BA3658" s="3" t="s">
        <v>36293</v>
      </c>
      <c r="BB3658" s="3" t="s">
        <v>36294</v>
      </c>
      <c r="BC3658" s="3" t="s">
        <v>77</v>
      </c>
      <c r="BD3658" s="3" t="s">
        <v>78</v>
      </c>
      <c r="BE3658" s="3" t="s">
        <v>36295</v>
      </c>
      <c r="BF3658" s="3" t="s">
        <v>36294</v>
      </c>
      <c r="BG3658" s="3" t="s">
        <v>36296</v>
      </c>
    </row>
    <row r="3659" spans="1:59" ht="58" x14ac:dyDescent="0.35">
      <c r="A3659" s="2" t="s">
        <v>59</v>
      </c>
      <c r="B3659" s="2" t="s">
        <v>60</v>
      </c>
      <c r="C3659" s="2" t="s">
        <v>36297</v>
      </c>
      <c r="D3659" s="2" t="s">
        <v>36298</v>
      </c>
      <c r="E3659" s="2" t="s">
        <v>36299</v>
      </c>
      <c r="G3659" s="3" t="s">
        <v>65</v>
      </c>
      <c r="I3659" s="3" t="s">
        <v>65</v>
      </c>
      <c r="J3659" s="3" t="s">
        <v>65</v>
      </c>
      <c r="K3659" s="3" t="s">
        <v>66</v>
      </c>
      <c r="L3659" s="2" t="s">
        <v>7669</v>
      </c>
      <c r="M3659" s="2" t="s">
        <v>36300</v>
      </c>
      <c r="N3659" s="3" t="s">
        <v>113</v>
      </c>
      <c r="P3659" s="3" t="s">
        <v>140</v>
      </c>
      <c r="Q3659" s="2" t="s">
        <v>35010</v>
      </c>
      <c r="R3659" s="3" t="s">
        <v>71</v>
      </c>
      <c r="S3659" s="4">
        <v>0</v>
      </c>
      <c r="T3659" s="4">
        <v>0</v>
      </c>
      <c r="W3659" s="5" t="s">
        <v>72</v>
      </c>
      <c r="X3659" s="5" t="s">
        <v>72</v>
      </c>
      <c r="Y3659" s="4">
        <v>52</v>
      </c>
      <c r="Z3659" s="4">
        <v>5</v>
      </c>
      <c r="AA3659" s="4">
        <v>6</v>
      </c>
      <c r="AB3659" s="4">
        <v>1</v>
      </c>
      <c r="AC3659" s="4">
        <v>2</v>
      </c>
      <c r="AD3659" s="4">
        <v>33</v>
      </c>
      <c r="AE3659" s="4">
        <v>34</v>
      </c>
      <c r="AF3659" s="4">
        <v>0</v>
      </c>
      <c r="AG3659" s="4">
        <v>1</v>
      </c>
      <c r="AH3659" s="4">
        <v>32</v>
      </c>
      <c r="AI3659" s="4">
        <v>32</v>
      </c>
      <c r="AJ3659" s="4">
        <v>2</v>
      </c>
      <c r="AK3659" s="4">
        <v>3</v>
      </c>
      <c r="AL3659" s="4">
        <v>25</v>
      </c>
      <c r="AM3659" s="4">
        <v>25</v>
      </c>
      <c r="AN3659" s="4">
        <v>0</v>
      </c>
      <c r="AO3659" s="4">
        <v>0</v>
      </c>
      <c r="AP3659" s="4">
        <v>2</v>
      </c>
      <c r="AQ3659" s="4">
        <v>2</v>
      </c>
      <c r="AR3659" s="3" t="s">
        <v>65</v>
      </c>
      <c r="AS3659" s="3" t="s">
        <v>65</v>
      </c>
      <c r="AT3659" s="3" t="s">
        <v>65</v>
      </c>
      <c r="AV3659" s="6" t="str">
        <f>HYPERLINK("http://mcgill.on.worldcat.org/oclc/613309507","Catalog Record")</f>
        <v>Catalog Record</v>
      </c>
      <c r="AW3659" s="6" t="str">
        <f>HYPERLINK("http://www.worldcat.org/oclc/613309507","WorldCat Record")</f>
        <v>WorldCat Record</v>
      </c>
      <c r="AX3659" s="3" t="s">
        <v>36301</v>
      </c>
      <c r="AY3659" s="3" t="s">
        <v>36302</v>
      </c>
      <c r="AZ3659" s="3" t="s">
        <v>36303</v>
      </c>
      <c r="BA3659" s="3" t="s">
        <v>36303</v>
      </c>
      <c r="BB3659" s="3" t="s">
        <v>36304</v>
      </c>
      <c r="BC3659" s="3" t="s">
        <v>77</v>
      </c>
      <c r="BD3659" s="3" t="s">
        <v>78</v>
      </c>
      <c r="BE3659" s="3" t="s">
        <v>36305</v>
      </c>
      <c r="BF3659" s="3" t="s">
        <v>36304</v>
      </c>
      <c r="BG3659" s="3" t="s">
        <v>36306</v>
      </c>
    </row>
    <row r="3660" spans="1:59" ht="58" x14ac:dyDescent="0.35">
      <c r="A3660" s="2" t="s">
        <v>59</v>
      </c>
      <c r="B3660" s="2" t="s">
        <v>60</v>
      </c>
      <c r="C3660" s="2" t="s">
        <v>36307</v>
      </c>
      <c r="D3660" s="2" t="s">
        <v>36308</v>
      </c>
      <c r="E3660" s="2" t="s">
        <v>36309</v>
      </c>
      <c r="G3660" s="3" t="s">
        <v>65</v>
      </c>
      <c r="I3660" s="3" t="s">
        <v>65</v>
      </c>
      <c r="J3660" s="3" t="s">
        <v>65</v>
      </c>
      <c r="K3660" s="3" t="s">
        <v>66</v>
      </c>
      <c r="L3660" s="2" t="s">
        <v>36289</v>
      </c>
      <c r="M3660" s="2" t="s">
        <v>36310</v>
      </c>
      <c r="N3660" s="3" t="s">
        <v>164</v>
      </c>
      <c r="P3660" s="3" t="s">
        <v>140</v>
      </c>
      <c r="R3660" s="3" t="s">
        <v>71</v>
      </c>
      <c r="S3660" s="4">
        <v>0</v>
      </c>
      <c r="T3660" s="4">
        <v>0</v>
      </c>
      <c r="W3660" s="5" t="s">
        <v>72</v>
      </c>
      <c r="X3660" s="5" t="s">
        <v>72</v>
      </c>
      <c r="Y3660" s="4">
        <v>56</v>
      </c>
      <c r="Z3660" s="4">
        <v>5</v>
      </c>
      <c r="AA3660" s="4">
        <v>5</v>
      </c>
      <c r="AB3660" s="4">
        <v>1</v>
      </c>
      <c r="AC3660" s="4">
        <v>1</v>
      </c>
      <c r="AD3660" s="4">
        <v>41</v>
      </c>
      <c r="AE3660" s="4">
        <v>41</v>
      </c>
      <c r="AF3660" s="4">
        <v>0</v>
      </c>
      <c r="AG3660" s="4">
        <v>0</v>
      </c>
      <c r="AH3660" s="4">
        <v>40</v>
      </c>
      <c r="AI3660" s="4">
        <v>40</v>
      </c>
      <c r="AJ3660" s="4">
        <v>3</v>
      </c>
      <c r="AK3660" s="4">
        <v>3</v>
      </c>
      <c r="AL3660" s="4">
        <v>30</v>
      </c>
      <c r="AM3660" s="4">
        <v>30</v>
      </c>
      <c r="AN3660" s="4">
        <v>0</v>
      </c>
      <c r="AO3660" s="4">
        <v>0</v>
      </c>
      <c r="AP3660" s="4">
        <v>3</v>
      </c>
      <c r="AQ3660" s="4">
        <v>3</v>
      </c>
      <c r="AR3660" s="3" t="s">
        <v>65</v>
      </c>
      <c r="AS3660" s="3" t="s">
        <v>65</v>
      </c>
      <c r="AT3660" s="3" t="s">
        <v>65</v>
      </c>
      <c r="AV3660" s="6" t="str">
        <f>HYPERLINK("http://mcgill.on.worldcat.org/oclc/915336712","Catalog Record")</f>
        <v>Catalog Record</v>
      </c>
      <c r="AW3660" s="6" t="str">
        <f>HYPERLINK("http://www.worldcat.org/oclc/915336712","WorldCat Record")</f>
        <v>WorldCat Record</v>
      </c>
      <c r="AX3660" s="3" t="s">
        <v>36311</v>
      </c>
      <c r="AY3660" s="3" t="s">
        <v>36312</v>
      </c>
      <c r="AZ3660" s="3" t="s">
        <v>36313</v>
      </c>
      <c r="BA3660" s="3" t="s">
        <v>36313</v>
      </c>
      <c r="BB3660" s="3" t="s">
        <v>36314</v>
      </c>
      <c r="BC3660" s="3" t="s">
        <v>77</v>
      </c>
      <c r="BD3660" s="3" t="s">
        <v>78</v>
      </c>
      <c r="BE3660" s="3" t="s">
        <v>36315</v>
      </c>
      <c r="BF3660" s="3" t="s">
        <v>36314</v>
      </c>
      <c r="BG3660" s="3" t="s">
        <v>36316</v>
      </c>
    </row>
    <row r="3661" spans="1:59" ht="58" x14ac:dyDescent="0.35">
      <c r="A3661" s="2" t="s">
        <v>59</v>
      </c>
      <c r="B3661" s="2" t="s">
        <v>60</v>
      </c>
      <c r="C3661" s="2" t="s">
        <v>36317</v>
      </c>
      <c r="D3661" s="2" t="s">
        <v>36318</v>
      </c>
      <c r="E3661" s="2" t="s">
        <v>36319</v>
      </c>
      <c r="G3661" s="3" t="s">
        <v>65</v>
      </c>
      <c r="I3661" s="3" t="s">
        <v>65</v>
      </c>
      <c r="J3661" s="3" t="s">
        <v>65</v>
      </c>
      <c r="K3661" s="3" t="s">
        <v>66</v>
      </c>
      <c r="L3661" s="2" t="s">
        <v>36320</v>
      </c>
      <c r="M3661" s="2" t="s">
        <v>36321</v>
      </c>
      <c r="N3661" s="3" t="s">
        <v>176</v>
      </c>
      <c r="O3661" s="2" t="s">
        <v>235</v>
      </c>
      <c r="P3661" s="3" t="s">
        <v>140</v>
      </c>
      <c r="Q3661" s="2" t="s">
        <v>36322</v>
      </c>
      <c r="R3661" s="3" t="s">
        <v>71</v>
      </c>
      <c r="S3661" s="4">
        <v>0</v>
      </c>
      <c r="T3661" s="4">
        <v>0</v>
      </c>
      <c r="W3661" s="5" t="s">
        <v>72</v>
      </c>
      <c r="X3661" s="5" t="s">
        <v>72</v>
      </c>
      <c r="Y3661" s="4">
        <v>70</v>
      </c>
      <c r="Z3661" s="4">
        <v>8</v>
      </c>
      <c r="AA3661" s="4">
        <v>9</v>
      </c>
      <c r="AB3661" s="4">
        <v>1</v>
      </c>
      <c r="AC3661" s="4">
        <v>2</v>
      </c>
      <c r="AD3661" s="4">
        <v>40</v>
      </c>
      <c r="AE3661" s="4">
        <v>40</v>
      </c>
      <c r="AF3661" s="4">
        <v>0</v>
      </c>
      <c r="AG3661" s="4">
        <v>0</v>
      </c>
      <c r="AH3661" s="4">
        <v>39</v>
      </c>
      <c r="AI3661" s="4">
        <v>39</v>
      </c>
      <c r="AJ3661" s="4">
        <v>2</v>
      </c>
      <c r="AK3661" s="4">
        <v>2</v>
      </c>
      <c r="AL3661" s="4">
        <v>32</v>
      </c>
      <c r="AM3661" s="4">
        <v>32</v>
      </c>
      <c r="AN3661" s="4">
        <v>0</v>
      </c>
      <c r="AO3661" s="4">
        <v>0</v>
      </c>
      <c r="AP3661" s="4">
        <v>2</v>
      </c>
      <c r="AQ3661" s="4">
        <v>2</v>
      </c>
      <c r="AR3661" s="3" t="s">
        <v>65</v>
      </c>
      <c r="AS3661" s="3" t="s">
        <v>65</v>
      </c>
      <c r="AT3661" s="3" t="s">
        <v>65</v>
      </c>
      <c r="AV3661" s="6" t="str">
        <f>HYPERLINK("http://mcgill.on.worldcat.org/oclc/903942220","Catalog Record")</f>
        <v>Catalog Record</v>
      </c>
      <c r="AW3661" s="6" t="str">
        <f>HYPERLINK("http://www.worldcat.org/oclc/903942220","WorldCat Record")</f>
        <v>WorldCat Record</v>
      </c>
      <c r="AX3661" s="3" t="s">
        <v>36323</v>
      </c>
      <c r="AY3661" s="3" t="s">
        <v>36324</v>
      </c>
      <c r="AZ3661" s="3" t="s">
        <v>36325</v>
      </c>
      <c r="BA3661" s="3" t="s">
        <v>36325</v>
      </c>
      <c r="BB3661" s="3" t="s">
        <v>36326</v>
      </c>
      <c r="BC3661" s="3" t="s">
        <v>77</v>
      </c>
      <c r="BD3661" s="3" t="s">
        <v>78</v>
      </c>
      <c r="BE3661" s="3" t="s">
        <v>36327</v>
      </c>
      <c r="BF3661" s="3" t="s">
        <v>36326</v>
      </c>
      <c r="BG3661" s="3" t="s">
        <v>36328</v>
      </c>
    </row>
    <row r="3662" spans="1:59" ht="58" x14ac:dyDescent="0.35">
      <c r="A3662" s="2" t="s">
        <v>59</v>
      </c>
      <c r="B3662" s="2" t="s">
        <v>60</v>
      </c>
      <c r="C3662" s="2" t="s">
        <v>36329</v>
      </c>
      <c r="D3662" s="2" t="s">
        <v>36330</v>
      </c>
      <c r="E3662" s="2" t="s">
        <v>36331</v>
      </c>
      <c r="G3662" s="3" t="s">
        <v>65</v>
      </c>
      <c r="I3662" s="3" t="s">
        <v>209</v>
      </c>
      <c r="J3662" s="3" t="s">
        <v>65</v>
      </c>
      <c r="K3662" s="3" t="s">
        <v>66</v>
      </c>
      <c r="L3662" s="2" t="s">
        <v>7669</v>
      </c>
      <c r="M3662" s="2" t="s">
        <v>36332</v>
      </c>
      <c r="N3662" s="3" t="s">
        <v>863</v>
      </c>
      <c r="P3662" s="3" t="s">
        <v>69</v>
      </c>
      <c r="Q3662" s="2" t="s">
        <v>36333</v>
      </c>
      <c r="R3662" s="3" t="s">
        <v>71</v>
      </c>
      <c r="S3662" s="4">
        <v>0</v>
      </c>
      <c r="T3662" s="4">
        <v>6</v>
      </c>
      <c r="V3662" s="5" t="s">
        <v>11520</v>
      </c>
      <c r="W3662" s="5" t="s">
        <v>72</v>
      </c>
      <c r="X3662" s="5" t="s">
        <v>72</v>
      </c>
      <c r="Y3662" s="4">
        <v>171</v>
      </c>
      <c r="Z3662" s="4">
        <v>15</v>
      </c>
      <c r="AA3662" s="4">
        <v>23</v>
      </c>
      <c r="AB3662" s="4">
        <v>2</v>
      </c>
      <c r="AC3662" s="4">
        <v>2</v>
      </c>
      <c r="AD3662" s="4">
        <v>69</v>
      </c>
      <c r="AE3662" s="4">
        <v>96</v>
      </c>
      <c r="AF3662" s="4">
        <v>1</v>
      </c>
      <c r="AG3662" s="4">
        <v>1</v>
      </c>
      <c r="AH3662" s="4">
        <v>63</v>
      </c>
      <c r="AI3662" s="4">
        <v>85</v>
      </c>
      <c r="AJ3662" s="4">
        <v>10</v>
      </c>
      <c r="AK3662" s="4">
        <v>15</v>
      </c>
      <c r="AL3662" s="4">
        <v>37</v>
      </c>
      <c r="AM3662" s="4">
        <v>51</v>
      </c>
      <c r="AN3662" s="4">
        <v>0</v>
      </c>
      <c r="AO3662" s="4">
        <v>0</v>
      </c>
      <c r="AP3662" s="4">
        <v>11</v>
      </c>
      <c r="AQ3662" s="4">
        <v>18</v>
      </c>
      <c r="AR3662" s="3" t="s">
        <v>65</v>
      </c>
      <c r="AS3662" s="3" t="s">
        <v>65</v>
      </c>
      <c r="AT3662" s="3" t="s">
        <v>65</v>
      </c>
      <c r="AV3662" s="6" t="str">
        <f>HYPERLINK("http://mcgill.on.worldcat.org/oclc/26546221","Catalog Record")</f>
        <v>Catalog Record</v>
      </c>
      <c r="AW3662" s="6" t="str">
        <f>HYPERLINK("http://www.worldcat.org/oclc/26546221","WorldCat Record")</f>
        <v>WorldCat Record</v>
      </c>
      <c r="AX3662" s="3" t="s">
        <v>36334</v>
      </c>
      <c r="AY3662" s="3" t="s">
        <v>36335</v>
      </c>
      <c r="AZ3662" s="3" t="s">
        <v>36336</v>
      </c>
      <c r="BA3662" s="3" t="s">
        <v>36336</v>
      </c>
      <c r="BB3662" s="3" t="s">
        <v>36337</v>
      </c>
      <c r="BC3662" s="3" t="s">
        <v>77</v>
      </c>
      <c r="BD3662" s="3" t="s">
        <v>78</v>
      </c>
      <c r="BE3662" s="3" t="s">
        <v>36338</v>
      </c>
      <c r="BF3662" s="3" t="s">
        <v>36337</v>
      </c>
      <c r="BG3662" s="3" t="s">
        <v>36339</v>
      </c>
    </row>
    <row r="3663" spans="1:59" ht="58" x14ac:dyDescent="0.35">
      <c r="A3663" s="2" t="s">
        <v>59</v>
      </c>
      <c r="B3663" s="2" t="s">
        <v>60</v>
      </c>
      <c r="C3663" s="2" t="s">
        <v>36329</v>
      </c>
      <c r="D3663" s="2" t="s">
        <v>36330</v>
      </c>
      <c r="E3663" s="2" t="s">
        <v>36331</v>
      </c>
      <c r="G3663" s="3" t="s">
        <v>65</v>
      </c>
      <c r="I3663" s="3" t="s">
        <v>209</v>
      </c>
      <c r="J3663" s="3" t="s">
        <v>65</v>
      </c>
      <c r="K3663" s="3" t="s">
        <v>66</v>
      </c>
      <c r="L3663" s="2" t="s">
        <v>7669</v>
      </c>
      <c r="M3663" s="2" t="s">
        <v>36332</v>
      </c>
      <c r="N3663" s="3" t="s">
        <v>863</v>
      </c>
      <c r="P3663" s="3" t="s">
        <v>69</v>
      </c>
      <c r="Q3663" s="2" t="s">
        <v>36333</v>
      </c>
      <c r="R3663" s="3" t="s">
        <v>71</v>
      </c>
      <c r="S3663" s="4">
        <v>6</v>
      </c>
      <c r="T3663" s="4">
        <v>6</v>
      </c>
      <c r="U3663" s="5" t="s">
        <v>11520</v>
      </c>
      <c r="V3663" s="5" t="s">
        <v>11520</v>
      </c>
      <c r="W3663" s="5" t="s">
        <v>72</v>
      </c>
      <c r="X3663" s="5" t="s">
        <v>72</v>
      </c>
      <c r="Y3663" s="4">
        <v>171</v>
      </c>
      <c r="Z3663" s="4">
        <v>15</v>
      </c>
      <c r="AA3663" s="4">
        <v>23</v>
      </c>
      <c r="AB3663" s="4">
        <v>2</v>
      </c>
      <c r="AC3663" s="4">
        <v>2</v>
      </c>
      <c r="AD3663" s="4">
        <v>69</v>
      </c>
      <c r="AE3663" s="4">
        <v>96</v>
      </c>
      <c r="AF3663" s="4">
        <v>1</v>
      </c>
      <c r="AG3663" s="4">
        <v>1</v>
      </c>
      <c r="AH3663" s="4">
        <v>63</v>
      </c>
      <c r="AI3663" s="4">
        <v>85</v>
      </c>
      <c r="AJ3663" s="4">
        <v>10</v>
      </c>
      <c r="AK3663" s="4">
        <v>15</v>
      </c>
      <c r="AL3663" s="4">
        <v>37</v>
      </c>
      <c r="AM3663" s="4">
        <v>51</v>
      </c>
      <c r="AN3663" s="4">
        <v>0</v>
      </c>
      <c r="AO3663" s="4">
        <v>0</v>
      </c>
      <c r="AP3663" s="4">
        <v>11</v>
      </c>
      <c r="AQ3663" s="4">
        <v>18</v>
      </c>
      <c r="AR3663" s="3" t="s">
        <v>65</v>
      </c>
      <c r="AS3663" s="3" t="s">
        <v>65</v>
      </c>
      <c r="AT3663" s="3" t="s">
        <v>65</v>
      </c>
      <c r="AV3663" s="6" t="str">
        <f>HYPERLINK("http://mcgill.on.worldcat.org/oclc/26546221","Catalog Record")</f>
        <v>Catalog Record</v>
      </c>
      <c r="AW3663" s="6" t="str">
        <f>HYPERLINK("http://www.worldcat.org/oclc/26546221","WorldCat Record")</f>
        <v>WorldCat Record</v>
      </c>
      <c r="AX3663" s="3" t="s">
        <v>36334</v>
      </c>
      <c r="AY3663" s="3" t="s">
        <v>36335</v>
      </c>
      <c r="AZ3663" s="3" t="s">
        <v>36336</v>
      </c>
      <c r="BA3663" s="3" t="s">
        <v>36336</v>
      </c>
      <c r="BB3663" s="3" t="s">
        <v>36340</v>
      </c>
      <c r="BC3663" s="3" t="s">
        <v>77</v>
      </c>
      <c r="BD3663" s="3" t="s">
        <v>78</v>
      </c>
      <c r="BE3663" s="3" t="s">
        <v>36338</v>
      </c>
      <c r="BF3663" s="3" t="s">
        <v>36340</v>
      </c>
      <c r="BG3663" s="3" t="s">
        <v>36341</v>
      </c>
    </row>
    <row r="3664" spans="1:59" ht="58" x14ac:dyDescent="0.35">
      <c r="A3664" s="2" t="s">
        <v>59</v>
      </c>
      <c r="B3664" s="2" t="s">
        <v>60</v>
      </c>
      <c r="C3664" s="2" t="s">
        <v>36342</v>
      </c>
      <c r="D3664" s="2" t="s">
        <v>36343</v>
      </c>
      <c r="E3664" s="2" t="s">
        <v>36344</v>
      </c>
      <c r="G3664" s="3" t="s">
        <v>65</v>
      </c>
      <c r="I3664" s="3" t="s">
        <v>65</v>
      </c>
      <c r="J3664" s="3" t="s">
        <v>65</v>
      </c>
      <c r="K3664" s="3" t="s">
        <v>66</v>
      </c>
      <c r="L3664" s="2" t="s">
        <v>7669</v>
      </c>
      <c r="M3664" s="2" t="s">
        <v>36345</v>
      </c>
      <c r="N3664" s="3" t="s">
        <v>139</v>
      </c>
      <c r="P3664" s="3" t="s">
        <v>140</v>
      </c>
      <c r="Q3664" s="2" t="s">
        <v>35010</v>
      </c>
      <c r="R3664" s="3" t="s">
        <v>71</v>
      </c>
      <c r="S3664" s="4">
        <v>0</v>
      </c>
      <c r="T3664" s="4">
        <v>0</v>
      </c>
      <c r="W3664" s="5" t="s">
        <v>72</v>
      </c>
      <c r="X3664" s="5" t="s">
        <v>72</v>
      </c>
      <c r="Y3664" s="4">
        <v>26</v>
      </c>
      <c r="Z3664" s="4">
        <v>1</v>
      </c>
      <c r="AA3664" s="4">
        <v>6</v>
      </c>
      <c r="AB3664" s="4">
        <v>1</v>
      </c>
      <c r="AC3664" s="4">
        <v>3</v>
      </c>
      <c r="AD3664" s="4">
        <v>7</v>
      </c>
      <c r="AE3664" s="4">
        <v>40</v>
      </c>
      <c r="AF3664" s="4">
        <v>0</v>
      </c>
      <c r="AG3664" s="4">
        <v>1</v>
      </c>
      <c r="AH3664" s="4">
        <v>7</v>
      </c>
      <c r="AI3664" s="4">
        <v>38</v>
      </c>
      <c r="AJ3664" s="4">
        <v>0</v>
      </c>
      <c r="AK3664" s="4">
        <v>3</v>
      </c>
      <c r="AL3664" s="4">
        <v>6</v>
      </c>
      <c r="AM3664" s="4">
        <v>30</v>
      </c>
      <c r="AN3664" s="4">
        <v>0</v>
      </c>
      <c r="AO3664" s="4">
        <v>0</v>
      </c>
      <c r="AP3664" s="4">
        <v>0</v>
      </c>
      <c r="AQ3664" s="4">
        <v>2</v>
      </c>
      <c r="AR3664" s="3" t="s">
        <v>65</v>
      </c>
      <c r="AS3664" s="3" t="s">
        <v>65</v>
      </c>
      <c r="AT3664" s="3" t="s">
        <v>65</v>
      </c>
      <c r="AV3664" s="6" t="str">
        <f>HYPERLINK("http://mcgill.on.worldcat.org/oclc/793403362","Catalog Record")</f>
        <v>Catalog Record</v>
      </c>
      <c r="AW3664" s="6" t="str">
        <f>HYPERLINK("http://www.worldcat.org/oclc/793403362","WorldCat Record")</f>
        <v>WorldCat Record</v>
      </c>
      <c r="AX3664" s="3" t="s">
        <v>36346</v>
      </c>
      <c r="AY3664" s="3" t="s">
        <v>36347</v>
      </c>
      <c r="AZ3664" s="3" t="s">
        <v>36348</v>
      </c>
      <c r="BA3664" s="3" t="s">
        <v>36348</v>
      </c>
      <c r="BB3664" s="3" t="s">
        <v>36349</v>
      </c>
      <c r="BC3664" s="3" t="s">
        <v>77</v>
      </c>
      <c r="BD3664" s="3" t="s">
        <v>78</v>
      </c>
      <c r="BE3664" s="3" t="s">
        <v>36350</v>
      </c>
      <c r="BF3664" s="3" t="s">
        <v>36349</v>
      </c>
      <c r="BG3664" s="3" t="s">
        <v>36351</v>
      </c>
    </row>
    <row r="3665" spans="1:59" ht="58" x14ac:dyDescent="0.35">
      <c r="A3665" s="2" t="s">
        <v>59</v>
      </c>
      <c r="B3665" s="2" t="s">
        <v>60</v>
      </c>
      <c r="C3665" s="2" t="s">
        <v>36352</v>
      </c>
      <c r="D3665" s="2" t="s">
        <v>36353</v>
      </c>
      <c r="E3665" s="2" t="s">
        <v>36354</v>
      </c>
      <c r="G3665" s="3" t="s">
        <v>65</v>
      </c>
      <c r="I3665" s="3" t="s">
        <v>65</v>
      </c>
      <c r="J3665" s="3" t="s">
        <v>65</v>
      </c>
      <c r="K3665" s="3" t="s">
        <v>66</v>
      </c>
      <c r="L3665" s="2" t="s">
        <v>36320</v>
      </c>
      <c r="M3665" s="2" t="s">
        <v>36355</v>
      </c>
      <c r="N3665" s="3" t="s">
        <v>176</v>
      </c>
      <c r="P3665" s="3" t="s">
        <v>69</v>
      </c>
      <c r="R3665" s="3" t="s">
        <v>71</v>
      </c>
      <c r="S3665" s="4">
        <v>1</v>
      </c>
      <c r="T3665" s="4">
        <v>1</v>
      </c>
      <c r="U3665" s="5" t="s">
        <v>31982</v>
      </c>
      <c r="V3665" s="5" t="s">
        <v>31982</v>
      </c>
      <c r="W3665" s="5" t="s">
        <v>72</v>
      </c>
      <c r="X3665" s="5" t="s">
        <v>72</v>
      </c>
      <c r="Y3665" s="4">
        <v>455</v>
      </c>
      <c r="Z3665" s="4">
        <v>20</v>
      </c>
      <c r="AA3665" s="4">
        <v>24</v>
      </c>
      <c r="AB3665" s="4">
        <v>2</v>
      </c>
      <c r="AC3665" s="4">
        <v>5</v>
      </c>
      <c r="AD3665" s="4">
        <v>54</v>
      </c>
      <c r="AE3665" s="4">
        <v>55</v>
      </c>
      <c r="AF3665" s="4">
        <v>0</v>
      </c>
      <c r="AG3665" s="4">
        <v>0</v>
      </c>
      <c r="AH3665" s="4">
        <v>50</v>
      </c>
      <c r="AI3665" s="4">
        <v>51</v>
      </c>
      <c r="AJ3665" s="4">
        <v>9</v>
      </c>
      <c r="AK3665" s="4">
        <v>9</v>
      </c>
      <c r="AL3665" s="4">
        <v>32</v>
      </c>
      <c r="AM3665" s="4">
        <v>33</v>
      </c>
      <c r="AN3665" s="4">
        <v>0</v>
      </c>
      <c r="AO3665" s="4">
        <v>0</v>
      </c>
      <c r="AP3665" s="4">
        <v>9</v>
      </c>
      <c r="AQ3665" s="4">
        <v>9</v>
      </c>
      <c r="AR3665" s="3" t="s">
        <v>65</v>
      </c>
      <c r="AS3665" s="3" t="s">
        <v>65</v>
      </c>
      <c r="AT3665" s="3" t="s">
        <v>65</v>
      </c>
      <c r="AV3665" s="6" t="str">
        <f>HYPERLINK("http://mcgill.on.worldcat.org/oclc/893895327","Catalog Record")</f>
        <v>Catalog Record</v>
      </c>
      <c r="AW3665" s="6" t="str">
        <f>HYPERLINK("http://www.worldcat.org/oclc/893895327","WorldCat Record")</f>
        <v>WorldCat Record</v>
      </c>
      <c r="AX3665" s="3" t="s">
        <v>36356</v>
      </c>
      <c r="AY3665" s="3" t="s">
        <v>36357</v>
      </c>
      <c r="AZ3665" s="3" t="s">
        <v>36358</v>
      </c>
      <c r="BA3665" s="3" t="s">
        <v>36358</v>
      </c>
      <c r="BB3665" s="3" t="s">
        <v>36359</v>
      </c>
      <c r="BC3665" s="3" t="s">
        <v>77</v>
      </c>
      <c r="BD3665" s="3" t="s">
        <v>78</v>
      </c>
      <c r="BE3665" s="3" t="s">
        <v>36360</v>
      </c>
      <c r="BF3665" s="3" t="s">
        <v>36359</v>
      </c>
      <c r="BG3665" s="3" t="s">
        <v>36361</v>
      </c>
    </row>
    <row r="3666" spans="1:59" ht="58" x14ac:dyDescent="0.35">
      <c r="A3666" s="2" t="s">
        <v>59</v>
      </c>
      <c r="B3666" s="2" t="s">
        <v>60</v>
      </c>
      <c r="C3666" s="2" t="s">
        <v>36362</v>
      </c>
      <c r="D3666" s="2" t="s">
        <v>36363</v>
      </c>
      <c r="E3666" s="2" t="s">
        <v>36364</v>
      </c>
      <c r="G3666" s="3" t="s">
        <v>65</v>
      </c>
      <c r="I3666" s="3" t="s">
        <v>65</v>
      </c>
      <c r="J3666" s="3" t="s">
        <v>65</v>
      </c>
      <c r="K3666" s="3" t="s">
        <v>66</v>
      </c>
      <c r="L3666" s="2" t="s">
        <v>36320</v>
      </c>
      <c r="M3666" s="2" t="s">
        <v>36365</v>
      </c>
      <c r="N3666" s="3" t="s">
        <v>188</v>
      </c>
      <c r="P3666" s="3" t="s">
        <v>140</v>
      </c>
      <c r="Q3666" s="2" t="s">
        <v>35021</v>
      </c>
      <c r="R3666" s="3" t="s">
        <v>71</v>
      </c>
      <c r="S3666" s="4">
        <v>0</v>
      </c>
      <c r="T3666" s="4">
        <v>0</v>
      </c>
      <c r="W3666" s="5" t="s">
        <v>72</v>
      </c>
      <c r="X3666" s="5" t="s">
        <v>72</v>
      </c>
      <c r="Y3666" s="4">
        <v>57</v>
      </c>
      <c r="Z3666" s="4">
        <v>3</v>
      </c>
      <c r="AA3666" s="4">
        <v>3</v>
      </c>
      <c r="AB3666" s="4">
        <v>1</v>
      </c>
      <c r="AC3666" s="4">
        <v>1</v>
      </c>
      <c r="AD3666" s="4">
        <v>34</v>
      </c>
      <c r="AE3666" s="4">
        <v>36</v>
      </c>
      <c r="AF3666" s="4">
        <v>0</v>
      </c>
      <c r="AG3666" s="4">
        <v>0</v>
      </c>
      <c r="AH3666" s="4">
        <v>34</v>
      </c>
      <c r="AI3666" s="4">
        <v>36</v>
      </c>
      <c r="AJ3666" s="4">
        <v>1</v>
      </c>
      <c r="AK3666" s="4">
        <v>1</v>
      </c>
      <c r="AL3666" s="4">
        <v>27</v>
      </c>
      <c r="AM3666" s="4">
        <v>28</v>
      </c>
      <c r="AN3666" s="4">
        <v>0</v>
      </c>
      <c r="AO3666" s="4">
        <v>0</v>
      </c>
      <c r="AP3666" s="4">
        <v>1</v>
      </c>
      <c r="AQ3666" s="4">
        <v>1</v>
      </c>
      <c r="AR3666" s="3" t="s">
        <v>65</v>
      </c>
      <c r="AS3666" s="3" t="s">
        <v>65</v>
      </c>
      <c r="AT3666" s="3" t="s">
        <v>65</v>
      </c>
      <c r="AV3666" s="6" t="str">
        <f>HYPERLINK("http://mcgill.on.worldcat.org/oclc/969795366","Catalog Record")</f>
        <v>Catalog Record</v>
      </c>
      <c r="AW3666" s="6" t="str">
        <f>HYPERLINK("http://www.worldcat.org/oclc/969795366","WorldCat Record")</f>
        <v>WorldCat Record</v>
      </c>
      <c r="AX3666" s="3" t="s">
        <v>36366</v>
      </c>
      <c r="AY3666" s="3" t="s">
        <v>36367</v>
      </c>
      <c r="AZ3666" s="3" t="s">
        <v>36368</v>
      </c>
      <c r="BA3666" s="3" t="s">
        <v>36368</v>
      </c>
      <c r="BB3666" s="3" t="s">
        <v>36369</v>
      </c>
      <c r="BC3666" s="3" t="s">
        <v>77</v>
      </c>
      <c r="BD3666" s="3" t="s">
        <v>78</v>
      </c>
      <c r="BE3666" s="3" t="s">
        <v>36370</v>
      </c>
      <c r="BF3666" s="3" t="s">
        <v>36369</v>
      </c>
      <c r="BG3666" s="3" t="s">
        <v>36371</v>
      </c>
    </row>
    <row r="3667" spans="1:59" ht="58" x14ac:dyDescent="0.35">
      <c r="A3667" s="2" t="s">
        <v>59</v>
      </c>
      <c r="B3667" s="2" t="s">
        <v>60</v>
      </c>
      <c r="C3667" s="2" t="s">
        <v>36372</v>
      </c>
      <c r="D3667" s="2" t="s">
        <v>36373</v>
      </c>
      <c r="E3667" s="2" t="s">
        <v>36374</v>
      </c>
      <c r="G3667" s="3" t="s">
        <v>65</v>
      </c>
      <c r="I3667" s="3" t="s">
        <v>65</v>
      </c>
      <c r="J3667" s="3" t="s">
        <v>65</v>
      </c>
      <c r="K3667" s="3" t="s">
        <v>66</v>
      </c>
      <c r="L3667" s="2" t="s">
        <v>29202</v>
      </c>
      <c r="M3667" s="2" t="s">
        <v>36375</v>
      </c>
      <c r="N3667" s="3" t="s">
        <v>139</v>
      </c>
      <c r="P3667" s="3" t="s">
        <v>140</v>
      </c>
      <c r="Q3667" s="2" t="s">
        <v>36376</v>
      </c>
      <c r="R3667" s="3" t="s">
        <v>71</v>
      </c>
      <c r="S3667" s="4">
        <v>0</v>
      </c>
      <c r="T3667" s="4">
        <v>0</v>
      </c>
      <c r="W3667" s="5" t="s">
        <v>72</v>
      </c>
      <c r="X3667" s="5" t="s">
        <v>72</v>
      </c>
      <c r="Y3667" s="4">
        <v>34</v>
      </c>
      <c r="Z3667" s="4">
        <v>4</v>
      </c>
      <c r="AA3667" s="4">
        <v>4</v>
      </c>
      <c r="AB3667" s="4">
        <v>1</v>
      </c>
      <c r="AC3667" s="4">
        <v>1</v>
      </c>
      <c r="AD3667" s="4">
        <v>26</v>
      </c>
      <c r="AE3667" s="4">
        <v>26</v>
      </c>
      <c r="AF3667" s="4">
        <v>0</v>
      </c>
      <c r="AG3667" s="4">
        <v>0</v>
      </c>
      <c r="AH3667" s="4">
        <v>25</v>
      </c>
      <c r="AI3667" s="4">
        <v>25</v>
      </c>
      <c r="AJ3667" s="4">
        <v>2</v>
      </c>
      <c r="AK3667" s="4">
        <v>2</v>
      </c>
      <c r="AL3667" s="4">
        <v>18</v>
      </c>
      <c r="AM3667" s="4">
        <v>18</v>
      </c>
      <c r="AN3667" s="4">
        <v>0</v>
      </c>
      <c r="AO3667" s="4">
        <v>0</v>
      </c>
      <c r="AP3667" s="4">
        <v>2</v>
      </c>
      <c r="AQ3667" s="4">
        <v>2</v>
      </c>
      <c r="AR3667" s="3" t="s">
        <v>65</v>
      </c>
      <c r="AS3667" s="3" t="s">
        <v>65</v>
      </c>
      <c r="AT3667" s="3" t="s">
        <v>65</v>
      </c>
      <c r="AV3667" s="6" t="str">
        <f>HYPERLINK("http://mcgill.on.worldcat.org/oclc/827227869","Catalog Record")</f>
        <v>Catalog Record</v>
      </c>
      <c r="AW3667" s="6" t="str">
        <f>HYPERLINK("http://www.worldcat.org/oclc/827227869","WorldCat Record")</f>
        <v>WorldCat Record</v>
      </c>
      <c r="AX3667" s="3" t="s">
        <v>36377</v>
      </c>
      <c r="AY3667" s="3" t="s">
        <v>36378</v>
      </c>
      <c r="AZ3667" s="3" t="s">
        <v>36379</v>
      </c>
      <c r="BA3667" s="3" t="s">
        <v>36379</v>
      </c>
      <c r="BB3667" s="3" t="s">
        <v>36380</v>
      </c>
      <c r="BC3667" s="3" t="s">
        <v>77</v>
      </c>
      <c r="BD3667" s="3" t="s">
        <v>78</v>
      </c>
      <c r="BE3667" s="3" t="s">
        <v>36381</v>
      </c>
      <c r="BF3667" s="3" t="s">
        <v>36380</v>
      </c>
      <c r="BG3667" s="3" t="s">
        <v>36382</v>
      </c>
    </row>
    <row r="3668" spans="1:59" ht="58" x14ac:dyDescent="0.35">
      <c r="A3668" s="2" t="s">
        <v>59</v>
      </c>
      <c r="B3668" s="2" t="s">
        <v>60</v>
      </c>
      <c r="C3668" s="2" t="s">
        <v>36383</v>
      </c>
      <c r="D3668" s="2" t="s">
        <v>36384</v>
      </c>
      <c r="E3668" s="2" t="s">
        <v>36385</v>
      </c>
      <c r="G3668" s="3" t="s">
        <v>65</v>
      </c>
      <c r="I3668" s="3" t="s">
        <v>65</v>
      </c>
      <c r="J3668" s="3" t="s">
        <v>65</v>
      </c>
      <c r="K3668" s="3" t="s">
        <v>66</v>
      </c>
      <c r="L3668" s="2" t="s">
        <v>36386</v>
      </c>
      <c r="M3668" s="2" t="s">
        <v>36387</v>
      </c>
      <c r="N3668" s="3" t="s">
        <v>126</v>
      </c>
      <c r="P3668" s="3" t="s">
        <v>69</v>
      </c>
      <c r="R3668" s="3" t="s">
        <v>71</v>
      </c>
      <c r="S3668" s="4">
        <v>0</v>
      </c>
      <c r="T3668" s="4">
        <v>0</v>
      </c>
      <c r="W3668" s="5" t="s">
        <v>72</v>
      </c>
      <c r="X3668" s="5" t="s">
        <v>72</v>
      </c>
      <c r="Y3668" s="4">
        <v>186</v>
      </c>
      <c r="Z3668" s="4">
        <v>16</v>
      </c>
      <c r="AA3668" s="4">
        <v>81</v>
      </c>
      <c r="AB3668" s="4">
        <v>1</v>
      </c>
      <c r="AC3668" s="4">
        <v>15</v>
      </c>
      <c r="AD3668" s="4">
        <v>77</v>
      </c>
      <c r="AE3668" s="4">
        <v>126</v>
      </c>
      <c r="AF3668" s="4">
        <v>0</v>
      </c>
      <c r="AG3668" s="4">
        <v>8</v>
      </c>
      <c r="AH3668" s="4">
        <v>73</v>
      </c>
      <c r="AI3668" s="4">
        <v>93</v>
      </c>
      <c r="AJ3668" s="4">
        <v>11</v>
      </c>
      <c r="AK3668" s="4">
        <v>23</v>
      </c>
      <c r="AL3668" s="4">
        <v>45</v>
      </c>
      <c r="AM3668" s="4">
        <v>52</v>
      </c>
      <c r="AN3668" s="4">
        <v>0</v>
      </c>
      <c r="AO3668" s="4">
        <v>0</v>
      </c>
      <c r="AP3668" s="4">
        <v>13</v>
      </c>
      <c r="AQ3668" s="4">
        <v>42</v>
      </c>
      <c r="AR3668" s="3" t="s">
        <v>65</v>
      </c>
      <c r="AS3668" s="3" t="s">
        <v>65</v>
      </c>
      <c r="AT3668" s="3" t="s">
        <v>65</v>
      </c>
      <c r="AV3668" s="6" t="str">
        <f>HYPERLINK("http://mcgill.on.worldcat.org/oclc/707966813","Catalog Record")</f>
        <v>Catalog Record</v>
      </c>
      <c r="AW3668" s="6" t="str">
        <f>HYPERLINK("http://www.worldcat.org/oclc/707966813","WorldCat Record")</f>
        <v>WorldCat Record</v>
      </c>
      <c r="AX3668" s="3" t="s">
        <v>36388</v>
      </c>
      <c r="AY3668" s="3" t="s">
        <v>36389</v>
      </c>
      <c r="AZ3668" s="3" t="s">
        <v>36390</v>
      </c>
      <c r="BA3668" s="3" t="s">
        <v>36390</v>
      </c>
      <c r="BB3668" s="3" t="s">
        <v>36391</v>
      </c>
      <c r="BC3668" s="3" t="s">
        <v>77</v>
      </c>
      <c r="BD3668" s="3" t="s">
        <v>78</v>
      </c>
      <c r="BE3668" s="3" t="s">
        <v>36392</v>
      </c>
      <c r="BF3668" s="3" t="s">
        <v>36391</v>
      </c>
      <c r="BG3668" s="3" t="s">
        <v>36393</v>
      </c>
    </row>
    <row r="3669" spans="1:59" ht="72.5" x14ac:dyDescent="0.35">
      <c r="A3669" s="2" t="s">
        <v>59</v>
      </c>
      <c r="B3669" s="2" t="s">
        <v>60</v>
      </c>
      <c r="C3669" s="2" t="s">
        <v>36394</v>
      </c>
      <c r="D3669" s="2" t="s">
        <v>36395</v>
      </c>
      <c r="E3669" s="2" t="s">
        <v>36396</v>
      </c>
      <c r="G3669" s="3" t="s">
        <v>65</v>
      </c>
      <c r="I3669" s="3" t="s">
        <v>65</v>
      </c>
      <c r="J3669" s="3" t="s">
        <v>65</v>
      </c>
      <c r="K3669" s="3" t="s">
        <v>66</v>
      </c>
      <c r="L3669" s="2" t="s">
        <v>36397</v>
      </c>
      <c r="M3669" s="2" t="s">
        <v>36398</v>
      </c>
      <c r="N3669" s="3" t="s">
        <v>139</v>
      </c>
      <c r="P3669" s="3" t="s">
        <v>69</v>
      </c>
      <c r="R3669" s="3" t="s">
        <v>71</v>
      </c>
      <c r="S3669" s="4">
        <v>1</v>
      </c>
      <c r="T3669" s="4">
        <v>1</v>
      </c>
      <c r="U3669" s="5" t="s">
        <v>35368</v>
      </c>
      <c r="V3669" s="5" t="s">
        <v>35368</v>
      </c>
      <c r="W3669" s="5" t="s">
        <v>72</v>
      </c>
      <c r="X3669" s="5" t="s">
        <v>72</v>
      </c>
      <c r="Y3669" s="4">
        <v>85</v>
      </c>
      <c r="Z3669" s="4">
        <v>8</v>
      </c>
      <c r="AA3669" s="4">
        <v>9</v>
      </c>
      <c r="AB3669" s="4">
        <v>1</v>
      </c>
      <c r="AC3669" s="4">
        <v>2</v>
      </c>
      <c r="AD3669" s="4">
        <v>18</v>
      </c>
      <c r="AE3669" s="4">
        <v>22</v>
      </c>
      <c r="AF3669" s="4">
        <v>0</v>
      </c>
      <c r="AG3669" s="4">
        <v>0</v>
      </c>
      <c r="AH3669" s="4">
        <v>18</v>
      </c>
      <c r="AI3669" s="4">
        <v>21</v>
      </c>
      <c r="AJ3669" s="4">
        <v>4</v>
      </c>
      <c r="AK3669" s="4">
        <v>4</v>
      </c>
      <c r="AL3669" s="4">
        <v>10</v>
      </c>
      <c r="AM3669" s="4">
        <v>14</v>
      </c>
      <c r="AN3669" s="4">
        <v>0</v>
      </c>
      <c r="AO3669" s="4">
        <v>0</v>
      </c>
      <c r="AP3669" s="4">
        <v>4</v>
      </c>
      <c r="AQ3669" s="4">
        <v>4</v>
      </c>
      <c r="AR3669" s="3" t="s">
        <v>65</v>
      </c>
      <c r="AS3669" s="3" t="s">
        <v>65</v>
      </c>
      <c r="AT3669" s="3" t="s">
        <v>65</v>
      </c>
      <c r="AV3669" s="6" t="str">
        <f>HYPERLINK("http://mcgill.on.worldcat.org/oclc/757932066","Catalog Record")</f>
        <v>Catalog Record</v>
      </c>
      <c r="AW3669" s="6" t="str">
        <f>HYPERLINK("http://www.worldcat.org/oclc/757932066","WorldCat Record")</f>
        <v>WorldCat Record</v>
      </c>
      <c r="AX3669" s="3" t="s">
        <v>36399</v>
      </c>
      <c r="AY3669" s="3" t="s">
        <v>36400</v>
      </c>
      <c r="AZ3669" s="3" t="s">
        <v>36401</v>
      </c>
      <c r="BA3669" s="3" t="s">
        <v>36401</v>
      </c>
      <c r="BB3669" s="3" t="s">
        <v>36402</v>
      </c>
      <c r="BC3669" s="3" t="s">
        <v>77</v>
      </c>
      <c r="BD3669" s="3" t="s">
        <v>78</v>
      </c>
      <c r="BE3669" s="3" t="s">
        <v>36403</v>
      </c>
      <c r="BF3669" s="3" t="s">
        <v>36402</v>
      </c>
      <c r="BG3669" s="3" t="s">
        <v>36404</v>
      </c>
    </row>
    <row r="3670" spans="1:59" ht="58" x14ac:dyDescent="0.35">
      <c r="A3670" s="2" t="s">
        <v>59</v>
      </c>
      <c r="B3670" s="2" t="s">
        <v>60</v>
      </c>
      <c r="C3670" s="2" t="s">
        <v>36405</v>
      </c>
      <c r="D3670" s="2" t="s">
        <v>36406</v>
      </c>
      <c r="E3670" s="2" t="s">
        <v>36407</v>
      </c>
      <c r="G3670" s="3" t="s">
        <v>65</v>
      </c>
      <c r="I3670" s="3" t="s">
        <v>65</v>
      </c>
      <c r="J3670" s="3" t="s">
        <v>65</v>
      </c>
      <c r="K3670" s="3" t="s">
        <v>66</v>
      </c>
      <c r="L3670" s="2" t="s">
        <v>36397</v>
      </c>
      <c r="M3670" s="2" t="s">
        <v>36408</v>
      </c>
      <c r="N3670" s="3" t="s">
        <v>139</v>
      </c>
      <c r="P3670" s="3" t="s">
        <v>140</v>
      </c>
      <c r="R3670" s="3" t="s">
        <v>71</v>
      </c>
      <c r="S3670" s="4">
        <v>0</v>
      </c>
      <c r="T3670" s="4">
        <v>0</v>
      </c>
      <c r="W3670" s="5" t="s">
        <v>72</v>
      </c>
      <c r="X3670" s="5" t="s">
        <v>72</v>
      </c>
      <c r="Y3670" s="4">
        <v>57</v>
      </c>
      <c r="Z3670" s="4">
        <v>7</v>
      </c>
      <c r="AA3670" s="4">
        <v>8</v>
      </c>
      <c r="AB3670" s="4">
        <v>2</v>
      </c>
      <c r="AC3670" s="4">
        <v>2</v>
      </c>
      <c r="AD3670" s="4">
        <v>35</v>
      </c>
      <c r="AE3670" s="4">
        <v>35</v>
      </c>
      <c r="AF3670" s="4">
        <v>0</v>
      </c>
      <c r="AG3670" s="4">
        <v>0</v>
      </c>
      <c r="AH3670" s="4">
        <v>34</v>
      </c>
      <c r="AI3670" s="4">
        <v>34</v>
      </c>
      <c r="AJ3670" s="4">
        <v>4</v>
      </c>
      <c r="AK3670" s="4">
        <v>4</v>
      </c>
      <c r="AL3670" s="4">
        <v>23</v>
      </c>
      <c r="AM3670" s="4">
        <v>23</v>
      </c>
      <c r="AN3670" s="4">
        <v>0</v>
      </c>
      <c r="AO3670" s="4">
        <v>0</v>
      </c>
      <c r="AP3670" s="4">
        <v>4</v>
      </c>
      <c r="AQ3670" s="4">
        <v>4</v>
      </c>
      <c r="AR3670" s="3" t="s">
        <v>65</v>
      </c>
      <c r="AS3670" s="3" t="s">
        <v>65</v>
      </c>
      <c r="AT3670" s="3" t="s">
        <v>65</v>
      </c>
      <c r="AV3670" s="6" t="str">
        <f>HYPERLINK("http://mcgill.on.worldcat.org/oclc/794383678","Catalog Record")</f>
        <v>Catalog Record</v>
      </c>
      <c r="AW3670" s="6" t="str">
        <f>HYPERLINK("http://www.worldcat.org/oclc/794383678","WorldCat Record")</f>
        <v>WorldCat Record</v>
      </c>
      <c r="AX3670" s="3" t="s">
        <v>36409</v>
      </c>
      <c r="AY3670" s="3" t="s">
        <v>36410</v>
      </c>
      <c r="AZ3670" s="3" t="s">
        <v>36411</v>
      </c>
      <c r="BA3670" s="3" t="s">
        <v>36411</v>
      </c>
      <c r="BB3670" s="3" t="s">
        <v>36412</v>
      </c>
      <c r="BC3670" s="3" t="s">
        <v>77</v>
      </c>
      <c r="BD3670" s="3" t="s">
        <v>78</v>
      </c>
      <c r="BE3670" s="3" t="s">
        <v>36413</v>
      </c>
      <c r="BF3670" s="3" t="s">
        <v>36412</v>
      </c>
      <c r="BG3670" s="3" t="s">
        <v>36414</v>
      </c>
    </row>
    <row r="3671" spans="1:59" ht="58" x14ac:dyDescent="0.35">
      <c r="A3671" s="2" t="s">
        <v>59</v>
      </c>
      <c r="B3671" s="2" t="s">
        <v>60</v>
      </c>
      <c r="C3671" s="2" t="s">
        <v>36415</v>
      </c>
      <c r="D3671" s="2" t="s">
        <v>36416</v>
      </c>
      <c r="E3671" s="2" t="s">
        <v>36417</v>
      </c>
      <c r="G3671" s="3" t="s">
        <v>65</v>
      </c>
      <c r="I3671" s="3" t="s">
        <v>65</v>
      </c>
      <c r="J3671" s="3" t="s">
        <v>65</v>
      </c>
      <c r="K3671" s="3" t="s">
        <v>66</v>
      </c>
      <c r="L3671" s="2" t="s">
        <v>36397</v>
      </c>
      <c r="M3671" s="2" t="s">
        <v>36418</v>
      </c>
      <c r="N3671" s="3" t="s">
        <v>139</v>
      </c>
      <c r="P3671" s="3" t="s">
        <v>140</v>
      </c>
      <c r="Q3671" s="2" t="s">
        <v>35597</v>
      </c>
      <c r="R3671" s="3" t="s">
        <v>71</v>
      </c>
      <c r="S3671" s="4">
        <v>0</v>
      </c>
      <c r="T3671" s="4">
        <v>0</v>
      </c>
      <c r="W3671" s="5" t="s">
        <v>72</v>
      </c>
      <c r="X3671" s="5" t="s">
        <v>72</v>
      </c>
      <c r="Y3671" s="4">
        <v>44</v>
      </c>
      <c r="Z3671" s="4">
        <v>3</v>
      </c>
      <c r="AA3671" s="4">
        <v>3</v>
      </c>
      <c r="AB3671" s="4">
        <v>1</v>
      </c>
      <c r="AC3671" s="4">
        <v>1</v>
      </c>
      <c r="AD3671" s="4">
        <v>27</v>
      </c>
      <c r="AE3671" s="4">
        <v>29</v>
      </c>
      <c r="AF3671" s="4">
        <v>0</v>
      </c>
      <c r="AG3671" s="4">
        <v>0</v>
      </c>
      <c r="AH3671" s="4">
        <v>27</v>
      </c>
      <c r="AI3671" s="4">
        <v>28</v>
      </c>
      <c r="AJ3671" s="4">
        <v>1</v>
      </c>
      <c r="AK3671" s="4">
        <v>1</v>
      </c>
      <c r="AL3671" s="4">
        <v>22</v>
      </c>
      <c r="AM3671" s="4">
        <v>24</v>
      </c>
      <c r="AN3671" s="4">
        <v>0</v>
      </c>
      <c r="AO3671" s="4">
        <v>0</v>
      </c>
      <c r="AP3671" s="4">
        <v>1</v>
      </c>
      <c r="AQ3671" s="4">
        <v>1</v>
      </c>
      <c r="AR3671" s="3" t="s">
        <v>65</v>
      </c>
      <c r="AS3671" s="3" t="s">
        <v>65</v>
      </c>
      <c r="AT3671" s="3" t="s">
        <v>65</v>
      </c>
      <c r="AV3671" s="6" t="str">
        <f>HYPERLINK("http://mcgill.on.worldcat.org/oclc/801440652","Catalog Record")</f>
        <v>Catalog Record</v>
      </c>
      <c r="AW3671" s="6" t="str">
        <f>HYPERLINK("http://www.worldcat.org/oclc/801440652","WorldCat Record")</f>
        <v>WorldCat Record</v>
      </c>
      <c r="AX3671" s="3" t="s">
        <v>36419</v>
      </c>
      <c r="AY3671" s="3" t="s">
        <v>36420</v>
      </c>
      <c r="AZ3671" s="3" t="s">
        <v>36421</v>
      </c>
      <c r="BA3671" s="3" t="s">
        <v>36421</v>
      </c>
      <c r="BB3671" s="3" t="s">
        <v>36422</v>
      </c>
      <c r="BC3671" s="3" t="s">
        <v>77</v>
      </c>
      <c r="BD3671" s="3" t="s">
        <v>78</v>
      </c>
      <c r="BE3671" s="3" t="s">
        <v>36423</v>
      </c>
      <c r="BF3671" s="3" t="s">
        <v>36422</v>
      </c>
      <c r="BG3671" s="3" t="s">
        <v>36424</v>
      </c>
    </row>
    <row r="3672" spans="1:59" ht="72.5" x14ac:dyDescent="0.35">
      <c r="A3672" s="2" t="s">
        <v>59</v>
      </c>
      <c r="B3672" s="2" t="s">
        <v>60</v>
      </c>
      <c r="C3672" s="2" t="s">
        <v>36425</v>
      </c>
      <c r="D3672" s="2" t="s">
        <v>36426</v>
      </c>
      <c r="E3672" s="2" t="s">
        <v>36427</v>
      </c>
      <c r="G3672" s="3" t="s">
        <v>65</v>
      </c>
      <c r="I3672" s="3" t="s">
        <v>65</v>
      </c>
      <c r="J3672" s="3" t="s">
        <v>65</v>
      </c>
      <c r="K3672" s="3" t="s">
        <v>66</v>
      </c>
      <c r="L3672" s="2" t="s">
        <v>36428</v>
      </c>
      <c r="M3672" s="2" t="s">
        <v>36429</v>
      </c>
      <c r="N3672" s="3" t="s">
        <v>188</v>
      </c>
      <c r="P3672" s="3" t="s">
        <v>140</v>
      </c>
      <c r="Q3672" s="2" t="s">
        <v>36430</v>
      </c>
      <c r="R3672" s="3" t="s">
        <v>71</v>
      </c>
      <c r="S3672" s="4">
        <v>3</v>
      </c>
      <c r="T3672" s="4">
        <v>3</v>
      </c>
      <c r="U3672" s="5" t="s">
        <v>3629</v>
      </c>
      <c r="V3672" s="5" t="s">
        <v>3629</v>
      </c>
      <c r="W3672" s="5" t="s">
        <v>72</v>
      </c>
      <c r="X3672" s="5" t="s">
        <v>72</v>
      </c>
      <c r="Y3672" s="4">
        <v>27</v>
      </c>
      <c r="Z3672" s="4">
        <v>1</v>
      </c>
      <c r="AA3672" s="4">
        <v>1</v>
      </c>
      <c r="AB3672" s="4">
        <v>1</v>
      </c>
      <c r="AC3672" s="4">
        <v>1</v>
      </c>
      <c r="AD3672" s="4">
        <v>19</v>
      </c>
      <c r="AE3672" s="4">
        <v>19</v>
      </c>
      <c r="AF3672" s="4">
        <v>0</v>
      </c>
      <c r="AG3672" s="4">
        <v>0</v>
      </c>
      <c r="AH3672" s="4">
        <v>18</v>
      </c>
      <c r="AI3672" s="4">
        <v>18</v>
      </c>
      <c r="AJ3672" s="4">
        <v>0</v>
      </c>
      <c r="AK3672" s="4">
        <v>0</v>
      </c>
      <c r="AL3672" s="4">
        <v>18</v>
      </c>
      <c r="AM3672" s="4">
        <v>18</v>
      </c>
      <c r="AN3672" s="4">
        <v>0</v>
      </c>
      <c r="AO3672" s="4">
        <v>0</v>
      </c>
      <c r="AP3672" s="4">
        <v>0</v>
      </c>
      <c r="AQ3672" s="4">
        <v>0</v>
      </c>
      <c r="AR3672" s="3" t="s">
        <v>65</v>
      </c>
      <c r="AS3672" s="3" t="s">
        <v>65</v>
      </c>
      <c r="AT3672" s="3" t="s">
        <v>65</v>
      </c>
      <c r="AV3672" s="6" t="str">
        <f>HYPERLINK("http://mcgill.on.worldcat.org/oclc/990712781","Catalog Record")</f>
        <v>Catalog Record</v>
      </c>
      <c r="AW3672" s="6" t="str">
        <f>HYPERLINK("http://www.worldcat.org/oclc/990712781","WorldCat Record")</f>
        <v>WorldCat Record</v>
      </c>
      <c r="AX3672" s="3" t="s">
        <v>36431</v>
      </c>
      <c r="AY3672" s="3" t="s">
        <v>36432</v>
      </c>
      <c r="AZ3672" s="3" t="s">
        <v>36433</v>
      </c>
      <c r="BA3672" s="3" t="s">
        <v>36433</v>
      </c>
      <c r="BB3672" s="3" t="s">
        <v>36434</v>
      </c>
      <c r="BC3672" s="3" t="s">
        <v>77</v>
      </c>
      <c r="BD3672" s="3" t="s">
        <v>78</v>
      </c>
      <c r="BE3672" s="3" t="s">
        <v>36435</v>
      </c>
      <c r="BF3672" s="3" t="s">
        <v>36434</v>
      </c>
      <c r="BG3672" s="3" t="s">
        <v>36436</v>
      </c>
    </row>
    <row r="3673" spans="1:59" ht="58" x14ac:dyDescent="0.35">
      <c r="A3673" s="2" t="s">
        <v>59</v>
      </c>
      <c r="B3673" s="2" t="s">
        <v>60</v>
      </c>
      <c r="C3673" s="2" t="s">
        <v>36437</v>
      </c>
      <c r="D3673" s="2" t="s">
        <v>36438</v>
      </c>
      <c r="E3673" s="2" t="s">
        <v>36439</v>
      </c>
      <c r="G3673" s="3" t="s">
        <v>65</v>
      </c>
      <c r="I3673" s="3" t="s">
        <v>65</v>
      </c>
      <c r="J3673" s="3" t="s">
        <v>65</v>
      </c>
      <c r="K3673" s="3" t="s">
        <v>66</v>
      </c>
      <c r="L3673" s="2" t="s">
        <v>36440</v>
      </c>
      <c r="M3673" s="2" t="s">
        <v>31782</v>
      </c>
      <c r="N3673" s="3" t="s">
        <v>126</v>
      </c>
      <c r="O3673" s="2" t="s">
        <v>27453</v>
      </c>
      <c r="P3673" s="3" t="s">
        <v>140</v>
      </c>
      <c r="R3673" s="3" t="s">
        <v>71</v>
      </c>
      <c r="S3673" s="4">
        <v>0</v>
      </c>
      <c r="T3673" s="4">
        <v>0</v>
      </c>
      <c r="W3673" s="5" t="s">
        <v>72</v>
      </c>
      <c r="X3673" s="5" t="s">
        <v>72</v>
      </c>
      <c r="Y3673" s="4">
        <v>48</v>
      </c>
      <c r="Z3673" s="4">
        <v>5</v>
      </c>
      <c r="AA3673" s="4">
        <v>5</v>
      </c>
      <c r="AB3673" s="4">
        <v>1</v>
      </c>
      <c r="AC3673" s="4">
        <v>1</v>
      </c>
      <c r="AD3673" s="4">
        <v>35</v>
      </c>
      <c r="AE3673" s="4">
        <v>35</v>
      </c>
      <c r="AF3673" s="4">
        <v>0</v>
      </c>
      <c r="AG3673" s="4">
        <v>0</v>
      </c>
      <c r="AH3673" s="4">
        <v>34</v>
      </c>
      <c r="AI3673" s="4">
        <v>34</v>
      </c>
      <c r="AJ3673" s="4">
        <v>3</v>
      </c>
      <c r="AK3673" s="4">
        <v>3</v>
      </c>
      <c r="AL3673" s="4">
        <v>28</v>
      </c>
      <c r="AM3673" s="4">
        <v>28</v>
      </c>
      <c r="AN3673" s="4">
        <v>0</v>
      </c>
      <c r="AO3673" s="4">
        <v>0</v>
      </c>
      <c r="AP3673" s="4">
        <v>3</v>
      </c>
      <c r="AQ3673" s="4">
        <v>3</v>
      </c>
      <c r="AR3673" s="3" t="s">
        <v>65</v>
      </c>
      <c r="AS3673" s="3" t="s">
        <v>65</v>
      </c>
      <c r="AT3673" s="3" t="s">
        <v>65</v>
      </c>
      <c r="AV3673" s="6" t="str">
        <f>HYPERLINK("http://mcgill.on.worldcat.org/oclc/713177961","Catalog Record")</f>
        <v>Catalog Record</v>
      </c>
      <c r="AW3673" s="6" t="str">
        <f>HYPERLINK("http://www.worldcat.org/oclc/713177961","WorldCat Record")</f>
        <v>WorldCat Record</v>
      </c>
      <c r="AX3673" s="3" t="s">
        <v>36441</v>
      </c>
      <c r="AY3673" s="3" t="s">
        <v>36442</v>
      </c>
      <c r="AZ3673" s="3" t="s">
        <v>36443</v>
      </c>
      <c r="BA3673" s="3" t="s">
        <v>36443</v>
      </c>
      <c r="BB3673" s="3" t="s">
        <v>36444</v>
      </c>
      <c r="BC3673" s="3" t="s">
        <v>77</v>
      </c>
      <c r="BD3673" s="3" t="s">
        <v>78</v>
      </c>
      <c r="BE3673" s="3" t="s">
        <v>36445</v>
      </c>
      <c r="BF3673" s="3" t="s">
        <v>36444</v>
      </c>
      <c r="BG3673" s="3" t="s">
        <v>36446</v>
      </c>
    </row>
    <row r="3674" spans="1:59" ht="58" x14ac:dyDescent="0.35">
      <c r="A3674" s="2" t="s">
        <v>59</v>
      </c>
      <c r="B3674" s="2" t="s">
        <v>60</v>
      </c>
      <c r="C3674" s="2" t="s">
        <v>36447</v>
      </c>
      <c r="D3674" s="2" t="s">
        <v>36448</v>
      </c>
      <c r="E3674" s="2" t="s">
        <v>36449</v>
      </c>
      <c r="G3674" s="3" t="s">
        <v>65</v>
      </c>
      <c r="I3674" s="3" t="s">
        <v>65</v>
      </c>
      <c r="J3674" s="3" t="s">
        <v>65</v>
      </c>
      <c r="K3674" s="3" t="s">
        <v>66</v>
      </c>
      <c r="L3674" s="2" t="s">
        <v>36450</v>
      </c>
      <c r="M3674" s="2" t="s">
        <v>18701</v>
      </c>
      <c r="N3674" s="3" t="s">
        <v>113</v>
      </c>
      <c r="P3674" s="3" t="s">
        <v>140</v>
      </c>
      <c r="Q3674" s="2" t="s">
        <v>34040</v>
      </c>
      <c r="R3674" s="3" t="s">
        <v>71</v>
      </c>
      <c r="S3674" s="4">
        <v>0</v>
      </c>
      <c r="T3674" s="4">
        <v>0</v>
      </c>
      <c r="W3674" s="5" t="s">
        <v>72</v>
      </c>
      <c r="X3674" s="5" t="s">
        <v>72</v>
      </c>
      <c r="Y3674" s="4">
        <v>31</v>
      </c>
      <c r="Z3674" s="4">
        <v>3</v>
      </c>
      <c r="AA3674" s="4">
        <v>6</v>
      </c>
      <c r="AB3674" s="4">
        <v>1</v>
      </c>
      <c r="AC3674" s="4">
        <v>4</v>
      </c>
      <c r="AD3674" s="4">
        <v>24</v>
      </c>
      <c r="AE3674" s="4">
        <v>25</v>
      </c>
      <c r="AF3674" s="4">
        <v>0</v>
      </c>
      <c r="AG3674" s="4">
        <v>1</v>
      </c>
      <c r="AH3674" s="4">
        <v>23</v>
      </c>
      <c r="AI3674" s="4">
        <v>23</v>
      </c>
      <c r="AJ3674" s="4">
        <v>1</v>
      </c>
      <c r="AK3674" s="4">
        <v>2</v>
      </c>
      <c r="AL3674" s="4">
        <v>20</v>
      </c>
      <c r="AM3674" s="4">
        <v>20</v>
      </c>
      <c r="AN3674" s="4">
        <v>0</v>
      </c>
      <c r="AO3674" s="4">
        <v>0</v>
      </c>
      <c r="AP3674" s="4">
        <v>1</v>
      </c>
      <c r="AQ3674" s="4">
        <v>1</v>
      </c>
      <c r="AR3674" s="3" t="s">
        <v>65</v>
      </c>
      <c r="AS3674" s="3" t="s">
        <v>65</v>
      </c>
      <c r="AT3674" s="3" t="s">
        <v>65</v>
      </c>
      <c r="AV3674" s="6" t="str">
        <f>HYPERLINK("http://mcgill.on.worldcat.org/oclc/681707170","Catalog Record")</f>
        <v>Catalog Record</v>
      </c>
      <c r="AW3674" s="6" t="str">
        <f>HYPERLINK("http://www.worldcat.org/oclc/681707170","WorldCat Record")</f>
        <v>WorldCat Record</v>
      </c>
      <c r="AX3674" s="3" t="s">
        <v>36451</v>
      </c>
      <c r="AY3674" s="3" t="s">
        <v>36452</v>
      </c>
      <c r="AZ3674" s="3" t="s">
        <v>36453</v>
      </c>
      <c r="BA3674" s="3" t="s">
        <v>36453</v>
      </c>
      <c r="BB3674" s="3" t="s">
        <v>36454</v>
      </c>
      <c r="BC3674" s="3" t="s">
        <v>77</v>
      </c>
      <c r="BD3674" s="3" t="s">
        <v>78</v>
      </c>
      <c r="BE3674" s="3" t="s">
        <v>36455</v>
      </c>
      <c r="BF3674" s="3" t="s">
        <v>36454</v>
      </c>
      <c r="BG3674" s="3" t="s">
        <v>36456</v>
      </c>
    </row>
    <row r="3675" spans="1:59" ht="58" x14ac:dyDescent="0.35">
      <c r="A3675" s="2" t="s">
        <v>59</v>
      </c>
      <c r="B3675" s="2" t="s">
        <v>60</v>
      </c>
      <c r="C3675" s="2" t="s">
        <v>36457</v>
      </c>
      <c r="D3675" s="2" t="s">
        <v>36458</v>
      </c>
      <c r="E3675" s="2" t="s">
        <v>36459</v>
      </c>
      <c r="G3675" s="3" t="s">
        <v>65</v>
      </c>
      <c r="I3675" s="3" t="s">
        <v>65</v>
      </c>
      <c r="J3675" s="3" t="s">
        <v>65</v>
      </c>
      <c r="K3675" s="3" t="s">
        <v>66</v>
      </c>
      <c r="L3675" s="2" t="s">
        <v>36460</v>
      </c>
      <c r="M3675" s="2" t="s">
        <v>35107</v>
      </c>
      <c r="N3675" s="3" t="s">
        <v>906</v>
      </c>
      <c r="O3675" s="2" t="s">
        <v>365</v>
      </c>
      <c r="P3675" s="3" t="s">
        <v>140</v>
      </c>
      <c r="Q3675" s="2" t="s">
        <v>36461</v>
      </c>
      <c r="R3675" s="3" t="s">
        <v>71</v>
      </c>
      <c r="S3675" s="4">
        <v>2</v>
      </c>
      <c r="T3675" s="4">
        <v>2</v>
      </c>
      <c r="U3675" s="5" t="s">
        <v>25728</v>
      </c>
      <c r="V3675" s="5" t="s">
        <v>25728</v>
      </c>
      <c r="W3675" s="5" t="s">
        <v>72</v>
      </c>
      <c r="X3675" s="5" t="s">
        <v>72</v>
      </c>
      <c r="Y3675" s="4">
        <v>59</v>
      </c>
      <c r="Z3675" s="4">
        <v>6</v>
      </c>
      <c r="AA3675" s="4">
        <v>8</v>
      </c>
      <c r="AB3675" s="4">
        <v>1</v>
      </c>
      <c r="AC3675" s="4">
        <v>3</v>
      </c>
      <c r="AD3675" s="4">
        <v>27</v>
      </c>
      <c r="AE3675" s="4">
        <v>33</v>
      </c>
      <c r="AF3675" s="4">
        <v>0</v>
      </c>
      <c r="AG3675" s="4">
        <v>2</v>
      </c>
      <c r="AH3675" s="4">
        <v>25</v>
      </c>
      <c r="AI3675" s="4">
        <v>29</v>
      </c>
      <c r="AJ3675" s="4">
        <v>4</v>
      </c>
      <c r="AK3675" s="4">
        <v>6</v>
      </c>
      <c r="AL3675" s="4">
        <v>18</v>
      </c>
      <c r="AM3675" s="4">
        <v>21</v>
      </c>
      <c r="AN3675" s="4">
        <v>0</v>
      </c>
      <c r="AO3675" s="4">
        <v>0</v>
      </c>
      <c r="AP3675" s="4">
        <v>4</v>
      </c>
      <c r="AQ3675" s="4">
        <v>5</v>
      </c>
      <c r="AR3675" s="3" t="s">
        <v>65</v>
      </c>
      <c r="AS3675" s="3" t="s">
        <v>65</v>
      </c>
      <c r="AT3675" s="3" t="s">
        <v>65</v>
      </c>
      <c r="AV3675" s="6" t="str">
        <f>HYPERLINK("http://mcgill.on.worldcat.org/oclc/6338147","Catalog Record")</f>
        <v>Catalog Record</v>
      </c>
      <c r="AW3675" s="6" t="str">
        <f>HYPERLINK("http://www.worldcat.org/oclc/6338147","WorldCat Record")</f>
        <v>WorldCat Record</v>
      </c>
      <c r="AX3675" s="3" t="s">
        <v>36462</v>
      </c>
      <c r="AY3675" s="3" t="s">
        <v>36463</v>
      </c>
      <c r="AZ3675" s="3" t="s">
        <v>36464</v>
      </c>
      <c r="BA3675" s="3" t="s">
        <v>36464</v>
      </c>
      <c r="BB3675" s="3" t="s">
        <v>36465</v>
      </c>
      <c r="BC3675" s="3" t="s">
        <v>77</v>
      </c>
      <c r="BD3675" s="3" t="s">
        <v>78</v>
      </c>
      <c r="BF3675" s="3" t="s">
        <v>36465</v>
      </c>
      <c r="BG3675" s="3" t="s">
        <v>36466</v>
      </c>
    </row>
    <row r="3676" spans="1:59" ht="72.5" x14ac:dyDescent="0.35">
      <c r="A3676" s="2" t="s">
        <v>59</v>
      </c>
      <c r="B3676" s="2" t="s">
        <v>60</v>
      </c>
      <c r="C3676" s="2" t="s">
        <v>36467</v>
      </c>
      <c r="D3676" s="2" t="s">
        <v>36468</v>
      </c>
      <c r="E3676" s="2" t="s">
        <v>36469</v>
      </c>
      <c r="G3676" s="3" t="s">
        <v>65</v>
      </c>
      <c r="I3676" s="3" t="s">
        <v>65</v>
      </c>
      <c r="J3676" s="3" t="s">
        <v>65</v>
      </c>
      <c r="K3676" s="3" t="s">
        <v>66</v>
      </c>
      <c r="L3676" s="2" t="s">
        <v>36470</v>
      </c>
      <c r="M3676" s="2" t="s">
        <v>36471</v>
      </c>
      <c r="N3676" s="3" t="s">
        <v>1109</v>
      </c>
      <c r="O3676" s="2" t="s">
        <v>365</v>
      </c>
      <c r="P3676" s="3" t="s">
        <v>140</v>
      </c>
      <c r="R3676" s="3" t="s">
        <v>71</v>
      </c>
      <c r="S3676" s="4">
        <v>1</v>
      </c>
      <c r="T3676" s="4">
        <v>1</v>
      </c>
      <c r="U3676" s="5" t="s">
        <v>36472</v>
      </c>
      <c r="V3676" s="5" t="s">
        <v>36472</v>
      </c>
      <c r="W3676" s="5" t="s">
        <v>72</v>
      </c>
      <c r="X3676" s="5" t="s">
        <v>72</v>
      </c>
      <c r="Y3676" s="4">
        <v>29</v>
      </c>
      <c r="Z3676" s="4">
        <v>6</v>
      </c>
      <c r="AA3676" s="4">
        <v>6</v>
      </c>
      <c r="AB3676" s="4">
        <v>1</v>
      </c>
      <c r="AC3676" s="4">
        <v>1</v>
      </c>
      <c r="AD3676" s="4">
        <v>19</v>
      </c>
      <c r="AE3676" s="4">
        <v>20</v>
      </c>
      <c r="AF3676" s="4">
        <v>0</v>
      </c>
      <c r="AG3676" s="4">
        <v>0</v>
      </c>
      <c r="AH3676" s="4">
        <v>16</v>
      </c>
      <c r="AI3676" s="4">
        <v>16</v>
      </c>
      <c r="AJ3676" s="4">
        <v>4</v>
      </c>
      <c r="AK3676" s="4">
        <v>4</v>
      </c>
      <c r="AL3676" s="4">
        <v>10</v>
      </c>
      <c r="AM3676" s="4">
        <v>11</v>
      </c>
      <c r="AN3676" s="4">
        <v>0</v>
      </c>
      <c r="AO3676" s="4">
        <v>0</v>
      </c>
      <c r="AP3676" s="4">
        <v>4</v>
      </c>
      <c r="AQ3676" s="4">
        <v>4</v>
      </c>
      <c r="AR3676" s="3" t="s">
        <v>65</v>
      </c>
      <c r="AS3676" s="3" t="s">
        <v>65</v>
      </c>
      <c r="AT3676" s="3" t="s">
        <v>209</v>
      </c>
      <c r="AU3676" s="6" t="str">
        <f>HYPERLINK("http://catalog.hathitrust.org/Record/000690655","HathiTrust Record")</f>
        <v>HathiTrust Record</v>
      </c>
      <c r="AV3676" s="6" t="str">
        <f>HYPERLINK("http://mcgill.on.worldcat.org/oclc/1985655","Catalog Record")</f>
        <v>Catalog Record</v>
      </c>
      <c r="AW3676" s="6" t="str">
        <f>HYPERLINK("http://www.worldcat.org/oclc/1985655","WorldCat Record")</f>
        <v>WorldCat Record</v>
      </c>
      <c r="AX3676" s="3" t="s">
        <v>36473</v>
      </c>
      <c r="AY3676" s="3" t="s">
        <v>36474</v>
      </c>
      <c r="AZ3676" s="3" t="s">
        <v>36475</v>
      </c>
      <c r="BA3676" s="3" t="s">
        <v>36475</v>
      </c>
      <c r="BB3676" s="3" t="s">
        <v>36476</v>
      </c>
      <c r="BC3676" s="3" t="s">
        <v>77</v>
      </c>
      <c r="BD3676" s="3" t="s">
        <v>78</v>
      </c>
      <c r="BF3676" s="3" t="s">
        <v>36476</v>
      </c>
      <c r="BG3676" s="3" t="s">
        <v>36477</v>
      </c>
    </row>
    <row r="3677" spans="1:59" ht="72.5" x14ac:dyDescent="0.35">
      <c r="A3677" s="2" t="s">
        <v>59</v>
      </c>
      <c r="B3677" s="2" t="s">
        <v>60</v>
      </c>
      <c r="C3677" s="2" t="s">
        <v>36478</v>
      </c>
      <c r="D3677" s="2" t="s">
        <v>36479</v>
      </c>
      <c r="E3677" s="2" t="s">
        <v>36480</v>
      </c>
      <c r="G3677" s="3" t="s">
        <v>65</v>
      </c>
      <c r="I3677" s="3" t="s">
        <v>65</v>
      </c>
      <c r="J3677" s="3" t="s">
        <v>65</v>
      </c>
      <c r="K3677" s="3" t="s">
        <v>66</v>
      </c>
      <c r="L3677" s="2" t="s">
        <v>36481</v>
      </c>
      <c r="M3677" s="2" t="s">
        <v>32961</v>
      </c>
      <c r="N3677" s="3" t="s">
        <v>176</v>
      </c>
      <c r="P3677" s="3" t="s">
        <v>140</v>
      </c>
      <c r="Q3677" s="2" t="s">
        <v>36482</v>
      </c>
      <c r="R3677" s="3" t="s">
        <v>71</v>
      </c>
      <c r="S3677" s="4">
        <v>0</v>
      </c>
      <c r="T3677" s="4">
        <v>0</v>
      </c>
      <c r="W3677" s="5" t="s">
        <v>72</v>
      </c>
      <c r="X3677" s="5" t="s">
        <v>72</v>
      </c>
      <c r="Y3677" s="4">
        <v>24</v>
      </c>
      <c r="Z3677" s="4">
        <v>3</v>
      </c>
      <c r="AA3677" s="4">
        <v>3</v>
      </c>
      <c r="AB3677" s="4">
        <v>1</v>
      </c>
      <c r="AC3677" s="4">
        <v>1</v>
      </c>
      <c r="AD3677" s="4">
        <v>14</v>
      </c>
      <c r="AE3677" s="4">
        <v>14</v>
      </c>
      <c r="AF3677" s="4">
        <v>0</v>
      </c>
      <c r="AG3677" s="4">
        <v>0</v>
      </c>
      <c r="AH3677" s="4">
        <v>14</v>
      </c>
      <c r="AI3677" s="4">
        <v>14</v>
      </c>
      <c r="AJ3677" s="4">
        <v>1</v>
      </c>
      <c r="AK3677" s="4">
        <v>1</v>
      </c>
      <c r="AL3677" s="4">
        <v>11</v>
      </c>
      <c r="AM3677" s="4">
        <v>11</v>
      </c>
      <c r="AN3677" s="4">
        <v>0</v>
      </c>
      <c r="AO3677" s="4">
        <v>0</v>
      </c>
      <c r="AP3677" s="4">
        <v>1</v>
      </c>
      <c r="AQ3677" s="4">
        <v>1</v>
      </c>
      <c r="AR3677" s="3" t="s">
        <v>65</v>
      </c>
      <c r="AS3677" s="3" t="s">
        <v>65</v>
      </c>
      <c r="AT3677" s="3" t="s">
        <v>65</v>
      </c>
      <c r="AV3677" s="6" t="str">
        <f>HYPERLINK("http://mcgill.on.worldcat.org/oclc/903598943","Catalog Record")</f>
        <v>Catalog Record</v>
      </c>
      <c r="AW3677" s="6" t="str">
        <f>HYPERLINK("http://www.worldcat.org/oclc/903598943","WorldCat Record")</f>
        <v>WorldCat Record</v>
      </c>
      <c r="AX3677" s="3" t="s">
        <v>36483</v>
      </c>
      <c r="AY3677" s="3" t="s">
        <v>36484</v>
      </c>
      <c r="AZ3677" s="3" t="s">
        <v>36485</v>
      </c>
      <c r="BA3677" s="3" t="s">
        <v>36485</v>
      </c>
      <c r="BB3677" s="3" t="s">
        <v>36486</v>
      </c>
      <c r="BC3677" s="3" t="s">
        <v>77</v>
      </c>
      <c r="BD3677" s="3" t="s">
        <v>78</v>
      </c>
      <c r="BE3677" s="3" t="s">
        <v>36487</v>
      </c>
      <c r="BF3677" s="3" t="s">
        <v>36486</v>
      </c>
      <c r="BG3677" s="3" t="s">
        <v>36488</v>
      </c>
    </row>
    <row r="3678" spans="1:59" ht="58" x14ac:dyDescent="0.35">
      <c r="A3678" s="2" t="s">
        <v>59</v>
      </c>
      <c r="B3678" s="2" t="s">
        <v>60</v>
      </c>
      <c r="C3678" s="2" t="s">
        <v>36489</v>
      </c>
      <c r="D3678" s="2" t="s">
        <v>36490</v>
      </c>
      <c r="E3678" s="2" t="s">
        <v>36491</v>
      </c>
      <c r="F3678" s="3" t="s">
        <v>490</v>
      </c>
      <c r="G3678" s="3" t="s">
        <v>209</v>
      </c>
      <c r="I3678" s="3" t="s">
        <v>65</v>
      </c>
      <c r="J3678" s="3" t="s">
        <v>65</v>
      </c>
      <c r="K3678" s="3" t="s">
        <v>66</v>
      </c>
      <c r="L3678" s="2" t="s">
        <v>36492</v>
      </c>
      <c r="M3678" s="2" t="s">
        <v>36493</v>
      </c>
      <c r="N3678" s="3" t="s">
        <v>8188</v>
      </c>
      <c r="P3678" s="3" t="s">
        <v>69</v>
      </c>
      <c r="R3678" s="3" t="s">
        <v>71</v>
      </c>
      <c r="S3678" s="4">
        <v>1</v>
      </c>
      <c r="T3678" s="4">
        <v>1</v>
      </c>
      <c r="U3678" s="5" t="s">
        <v>21391</v>
      </c>
      <c r="V3678" s="5" t="s">
        <v>21391</v>
      </c>
      <c r="W3678" s="5" t="s">
        <v>72</v>
      </c>
      <c r="X3678" s="5" t="s">
        <v>72</v>
      </c>
      <c r="Y3678" s="4">
        <v>46</v>
      </c>
      <c r="Z3678" s="4">
        <v>4</v>
      </c>
      <c r="AA3678" s="4">
        <v>8</v>
      </c>
      <c r="AB3678" s="4">
        <v>2</v>
      </c>
      <c r="AC3678" s="4">
        <v>2</v>
      </c>
      <c r="AD3678" s="4">
        <v>19</v>
      </c>
      <c r="AE3678" s="4">
        <v>31</v>
      </c>
      <c r="AF3678" s="4">
        <v>0</v>
      </c>
      <c r="AG3678" s="4">
        <v>0</v>
      </c>
      <c r="AH3678" s="4">
        <v>19</v>
      </c>
      <c r="AI3678" s="4">
        <v>28</v>
      </c>
      <c r="AJ3678" s="4">
        <v>1</v>
      </c>
      <c r="AK3678" s="4">
        <v>5</v>
      </c>
      <c r="AL3678" s="4">
        <v>14</v>
      </c>
      <c r="AM3678" s="4">
        <v>19</v>
      </c>
      <c r="AN3678" s="4">
        <v>0</v>
      </c>
      <c r="AO3678" s="4">
        <v>0</v>
      </c>
      <c r="AP3678" s="4">
        <v>1</v>
      </c>
      <c r="AQ3678" s="4">
        <v>5</v>
      </c>
      <c r="AR3678" s="3" t="s">
        <v>65</v>
      </c>
      <c r="AS3678" s="3" t="s">
        <v>65</v>
      </c>
      <c r="AT3678" s="3" t="s">
        <v>209</v>
      </c>
      <c r="AU3678" s="6" t="str">
        <f>HYPERLINK("http://catalog.hathitrust.org/Record/007963262","HathiTrust Record")</f>
        <v>HathiTrust Record</v>
      </c>
      <c r="AV3678" s="6" t="str">
        <f>HYPERLINK("http://mcgill.on.worldcat.org/oclc/18334763","Catalog Record")</f>
        <v>Catalog Record</v>
      </c>
      <c r="AW3678" s="6" t="str">
        <f>HYPERLINK("http://www.worldcat.org/oclc/18334763","WorldCat Record")</f>
        <v>WorldCat Record</v>
      </c>
      <c r="AX3678" s="3" t="s">
        <v>36494</v>
      </c>
      <c r="AY3678" s="3" t="s">
        <v>36495</v>
      </c>
      <c r="AZ3678" s="3" t="s">
        <v>36496</v>
      </c>
      <c r="BA3678" s="3" t="s">
        <v>36496</v>
      </c>
      <c r="BB3678" s="3" t="s">
        <v>36497</v>
      </c>
      <c r="BC3678" s="3" t="s">
        <v>77</v>
      </c>
      <c r="BD3678" s="3" t="s">
        <v>78</v>
      </c>
      <c r="BE3678" s="3" t="s">
        <v>36498</v>
      </c>
      <c r="BF3678" s="3" t="s">
        <v>36497</v>
      </c>
      <c r="BG3678" s="3" t="s">
        <v>36499</v>
      </c>
    </row>
    <row r="3679" spans="1:59" ht="58" x14ac:dyDescent="0.35">
      <c r="A3679" s="2" t="s">
        <v>59</v>
      </c>
      <c r="B3679" s="2" t="s">
        <v>60</v>
      </c>
      <c r="C3679" s="2" t="s">
        <v>36489</v>
      </c>
      <c r="D3679" s="2" t="s">
        <v>36490</v>
      </c>
      <c r="E3679" s="2" t="s">
        <v>36491</v>
      </c>
      <c r="F3679" s="3" t="s">
        <v>503</v>
      </c>
      <c r="G3679" s="3" t="s">
        <v>209</v>
      </c>
      <c r="I3679" s="3" t="s">
        <v>65</v>
      </c>
      <c r="J3679" s="3" t="s">
        <v>65</v>
      </c>
      <c r="K3679" s="3" t="s">
        <v>66</v>
      </c>
      <c r="L3679" s="2" t="s">
        <v>36492</v>
      </c>
      <c r="M3679" s="2" t="s">
        <v>36493</v>
      </c>
      <c r="N3679" s="3" t="s">
        <v>8188</v>
      </c>
      <c r="P3679" s="3" t="s">
        <v>69</v>
      </c>
      <c r="R3679" s="3" t="s">
        <v>71</v>
      </c>
      <c r="S3679" s="4">
        <v>0</v>
      </c>
      <c r="T3679" s="4">
        <v>1</v>
      </c>
      <c r="V3679" s="5" t="s">
        <v>21391</v>
      </c>
      <c r="W3679" s="5" t="s">
        <v>72</v>
      </c>
      <c r="X3679" s="5" t="s">
        <v>72</v>
      </c>
      <c r="Y3679" s="4">
        <v>46</v>
      </c>
      <c r="Z3679" s="4">
        <v>4</v>
      </c>
      <c r="AA3679" s="4">
        <v>8</v>
      </c>
      <c r="AB3679" s="4">
        <v>2</v>
      </c>
      <c r="AC3679" s="4">
        <v>2</v>
      </c>
      <c r="AD3679" s="4">
        <v>19</v>
      </c>
      <c r="AE3679" s="4">
        <v>31</v>
      </c>
      <c r="AF3679" s="4">
        <v>0</v>
      </c>
      <c r="AG3679" s="4">
        <v>0</v>
      </c>
      <c r="AH3679" s="4">
        <v>19</v>
      </c>
      <c r="AI3679" s="4">
        <v>28</v>
      </c>
      <c r="AJ3679" s="4">
        <v>1</v>
      </c>
      <c r="AK3679" s="4">
        <v>5</v>
      </c>
      <c r="AL3679" s="4">
        <v>14</v>
      </c>
      <c r="AM3679" s="4">
        <v>19</v>
      </c>
      <c r="AN3679" s="4">
        <v>0</v>
      </c>
      <c r="AO3679" s="4">
        <v>0</v>
      </c>
      <c r="AP3679" s="4">
        <v>1</v>
      </c>
      <c r="AQ3679" s="4">
        <v>5</v>
      </c>
      <c r="AR3679" s="3" t="s">
        <v>65</v>
      </c>
      <c r="AS3679" s="3" t="s">
        <v>65</v>
      </c>
      <c r="AT3679" s="3" t="s">
        <v>209</v>
      </c>
      <c r="AU3679" s="6" t="str">
        <f>HYPERLINK("http://catalog.hathitrust.org/Record/007963262","HathiTrust Record")</f>
        <v>HathiTrust Record</v>
      </c>
      <c r="AV3679" s="6" t="str">
        <f>HYPERLINK("http://mcgill.on.worldcat.org/oclc/18334763","Catalog Record")</f>
        <v>Catalog Record</v>
      </c>
      <c r="AW3679" s="6" t="str">
        <f>HYPERLINK("http://www.worldcat.org/oclc/18334763","WorldCat Record")</f>
        <v>WorldCat Record</v>
      </c>
      <c r="AX3679" s="3" t="s">
        <v>36494</v>
      </c>
      <c r="AY3679" s="3" t="s">
        <v>36495</v>
      </c>
      <c r="AZ3679" s="3" t="s">
        <v>36496</v>
      </c>
      <c r="BA3679" s="3" t="s">
        <v>36496</v>
      </c>
      <c r="BB3679" s="3" t="s">
        <v>36500</v>
      </c>
      <c r="BC3679" s="3" t="s">
        <v>77</v>
      </c>
      <c r="BD3679" s="3" t="s">
        <v>78</v>
      </c>
      <c r="BE3679" s="3" t="s">
        <v>36498</v>
      </c>
      <c r="BF3679" s="3" t="s">
        <v>36500</v>
      </c>
      <c r="BG3679" s="3" t="s">
        <v>36501</v>
      </c>
    </row>
    <row r="3680" spans="1:59" ht="58" x14ac:dyDescent="0.35">
      <c r="A3680" s="2" t="s">
        <v>59</v>
      </c>
      <c r="B3680" s="2" t="s">
        <v>60</v>
      </c>
      <c r="C3680" s="2" t="s">
        <v>36502</v>
      </c>
      <c r="D3680" s="2" t="s">
        <v>36503</v>
      </c>
      <c r="E3680" s="2" t="s">
        <v>36504</v>
      </c>
      <c r="F3680" s="3" t="s">
        <v>490</v>
      </c>
      <c r="G3680" s="3" t="s">
        <v>209</v>
      </c>
      <c r="I3680" s="3" t="s">
        <v>65</v>
      </c>
      <c r="J3680" s="3" t="s">
        <v>65</v>
      </c>
      <c r="K3680" s="3" t="s">
        <v>66</v>
      </c>
      <c r="L3680" s="2" t="s">
        <v>36492</v>
      </c>
      <c r="M3680" s="2" t="s">
        <v>36505</v>
      </c>
      <c r="N3680" s="3" t="s">
        <v>4042</v>
      </c>
      <c r="O3680" s="2" t="s">
        <v>22220</v>
      </c>
      <c r="P3680" s="3" t="s">
        <v>69</v>
      </c>
      <c r="R3680" s="3" t="s">
        <v>71</v>
      </c>
      <c r="S3680" s="4">
        <v>1</v>
      </c>
      <c r="T3680" s="4">
        <v>1</v>
      </c>
      <c r="U3680" s="5" t="s">
        <v>32586</v>
      </c>
      <c r="V3680" s="5" t="s">
        <v>32586</v>
      </c>
      <c r="W3680" s="5" t="s">
        <v>72</v>
      </c>
      <c r="X3680" s="5" t="s">
        <v>72</v>
      </c>
      <c r="Y3680" s="4">
        <v>373</v>
      </c>
      <c r="Z3680" s="4">
        <v>14</v>
      </c>
      <c r="AA3680" s="4">
        <v>14</v>
      </c>
      <c r="AB3680" s="4">
        <v>2</v>
      </c>
      <c r="AC3680" s="4">
        <v>2</v>
      </c>
      <c r="AD3680" s="4">
        <v>84</v>
      </c>
      <c r="AE3680" s="4">
        <v>84</v>
      </c>
      <c r="AF3680" s="4">
        <v>1</v>
      </c>
      <c r="AG3680" s="4">
        <v>1</v>
      </c>
      <c r="AH3680" s="4">
        <v>74</v>
      </c>
      <c r="AI3680" s="4">
        <v>74</v>
      </c>
      <c r="AJ3680" s="4">
        <v>9</v>
      </c>
      <c r="AK3680" s="4">
        <v>9</v>
      </c>
      <c r="AL3680" s="4">
        <v>45</v>
      </c>
      <c r="AM3680" s="4">
        <v>45</v>
      </c>
      <c r="AN3680" s="4">
        <v>0</v>
      </c>
      <c r="AO3680" s="4">
        <v>0</v>
      </c>
      <c r="AP3680" s="4">
        <v>12</v>
      </c>
      <c r="AQ3680" s="4">
        <v>12</v>
      </c>
      <c r="AR3680" s="3" t="s">
        <v>65</v>
      </c>
      <c r="AS3680" s="3" t="s">
        <v>65</v>
      </c>
      <c r="AT3680" s="3" t="s">
        <v>209</v>
      </c>
      <c r="AU3680" s="6" t="str">
        <f>HYPERLINK("http://catalog.hathitrust.org/Record/001219223","HathiTrust Record")</f>
        <v>HathiTrust Record</v>
      </c>
      <c r="AV3680" s="6" t="str">
        <f>HYPERLINK("http://mcgill.on.worldcat.org/oclc/94042","Catalog Record")</f>
        <v>Catalog Record</v>
      </c>
      <c r="AW3680" s="6" t="str">
        <f>HYPERLINK("http://www.worldcat.org/oclc/94042","WorldCat Record")</f>
        <v>WorldCat Record</v>
      </c>
      <c r="AX3680" s="3" t="s">
        <v>36506</v>
      </c>
      <c r="AY3680" s="3" t="s">
        <v>36507</v>
      </c>
      <c r="AZ3680" s="3" t="s">
        <v>36508</v>
      </c>
      <c r="BA3680" s="3" t="s">
        <v>36508</v>
      </c>
      <c r="BB3680" s="3" t="s">
        <v>36509</v>
      </c>
      <c r="BC3680" s="3" t="s">
        <v>77</v>
      </c>
      <c r="BD3680" s="3" t="s">
        <v>78</v>
      </c>
      <c r="BF3680" s="3" t="s">
        <v>36509</v>
      </c>
      <c r="BG3680" s="3" t="s">
        <v>36510</v>
      </c>
    </row>
    <row r="3681" spans="1:59" ht="58" x14ac:dyDescent="0.35">
      <c r="A3681" s="2" t="s">
        <v>59</v>
      </c>
      <c r="B3681" s="2" t="s">
        <v>60</v>
      </c>
      <c r="C3681" s="2" t="s">
        <v>36502</v>
      </c>
      <c r="D3681" s="2" t="s">
        <v>36503</v>
      </c>
      <c r="E3681" s="2" t="s">
        <v>36504</v>
      </c>
      <c r="F3681" s="3" t="s">
        <v>3103</v>
      </c>
      <c r="G3681" s="3" t="s">
        <v>209</v>
      </c>
      <c r="I3681" s="3" t="s">
        <v>65</v>
      </c>
      <c r="J3681" s="3" t="s">
        <v>65</v>
      </c>
      <c r="K3681" s="3" t="s">
        <v>66</v>
      </c>
      <c r="L3681" s="2" t="s">
        <v>36492</v>
      </c>
      <c r="M3681" s="2" t="s">
        <v>36505</v>
      </c>
      <c r="N3681" s="3" t="s">
        <v>4042</v>
      </c>
      <c r="O3681" s="2" t="s">
        <v>22220</v>
      </c>
      <c r="P3681" s="3" t="s">
        <v>69</v>
      </c>
      <c r="R3681" s="3" t="s">
        <v>71</v>
      </c>
      <c r="S3681" s="4">
        <v>0</v>
      </c>
      <c r="T3681" s="4">
        <v>1</v>
      </c>
      <c r="V3681" s="5" t="s">
        <v>32586</v>
      </c>
      <c r="W3681" s="5" t="s">
        <v>72</v>
      </c>
      <c r="X3681" s="5" t="s">
        <v>72</v>
      </c>
      <c r="Y3681" s="4">
        <v>373</v>
      </c>
      <c r="Z3681" s="4">
        <v>14</v>
      </c>
      <c r="AA3681" s="4">
        <v>14</v>
      </c>
      <c r="AB3681" s="4">
        <v>2</v>
      </c>
      <c r="AC3681" s="4">
        <v>2</v>
      </c>
      <c r="AD3681" s="4">
        <v>84</v>
      </c>
      <c r="AE3681" s="4">
        <v>84</v>
      </c>
      <c r="AF3681" s="4">
        <v>1</v>
      </c>
      <c r="AG3681" s="4">
        <v>1</v>
      </c>
      <c r="AH3681" s="4">
        <v>74</v>
      </c>
      <c r="AI3681" s="4">
        <v>74</v>
      </c>
      <c r="AJ3681" s="4">
        <v>9</v>
      </c>
      <c r="AK3681" s="4">
        <v>9</v>
      </c>
      <c r="AL3681" s="4">
        <v>45</v>
      </c>
      <c r="AM3681" s="4">
        <v>45</v>
      </c>
      <c r="AN3681" s="4">
        <v>0</v>
      </c>
      <c r="AO3681" s="4">
        <v>0</v>
      </c>
      <c r="AP3681" s="4">
        <v>12</v>
      </c>
      <c r="AQ3681" s="4">
        <v>12</v>
      </c>
      <c r="AR3681" s="3" t="s">
        <v>65</v>
      </c>
      <c r="AS3681" s="3" t="s">
        <v>65</v>
      </c>
      <c r="AT3681" s="3" t="s">
        <v>209</v>
      </c>
      <c r="AU3681" s="6" t="str">
        <f>HYPERLINK("http://catalog.hathitrust.org/Record/001219223","HathiTrust Record")</f>
        <v>HathiTrust Record</v>
      </c>
      <c r="AV3681" s="6" t="str">
        <f>HYPERLINK("http://mcgill.on.worldcat.org/oclc/94042","Catalog Record")</f>
        <v>Catalog Record</v>
      </c>
      <c r="AW3681" s="6" t="str">
        <f>HYPERLINK("http://www.worldcat.org/oclc/94042","WorldCat Record")</f>
        <v>WorldCat Record</v>
      </c>
      <c r="AX3681" s="3" t="s">
        <v>36506</v>
      </c>
      <c r="AY3681" s="3" t="s">
        <v>36507</v>
      </c>
      <c r="AZ3681" s="3" t="s">
        <v>36508</v>
      </c>
      <c r="BA3681" s="3" t="s">
        <v>36508</v>
      </c>
      <c r="BB3681" s="3" t="s">
        <v>36511</v>
      </c>
      <c r="BC3681" s="3" t="s">
        <v>77</v>
      </c>
      <c r="BD3681" s="3" t="s">
        <v>78</v>
      </c>
      <c r="BF3681" s="3" t="s">
        <v>36511</v>
      </c>
      <c r="BG3681" s="3" t="s">
        <v>36512</v>
      </c>
    </row>
    <row r="3682" spans="1:59" ht="58" x14ac:dyDescent="0.35">
      <c r="A3682" s="2" t="s">
        <v>59</v>
      </c>
      <c r="B3682" s="2" t="s">
        <v>60</v>
      </c>
      <c r="C3682" s="2" t="s">
        <v>36502</v>
      </c>
      <c r="D3682" s="2" t="s">
        <v>36503</v>
      </c>
      <c r="E3682" s="2" t="s">
        <v>36504</v>
      </c>
      <c r="F3682" s="3" t="s">
        <v>503</v>
      </c>
      <c r="G3682" s="3" t="s">
        <v>209</v>
      </c>
      <c r="I3682" s="3" t="s">
        <v>65</v>
      </c>
      <c r="J3682" s="3" t="s">
        <v>65</v>
      </c>
      <c r="K3682" s="3" t="s">
        <v>66</v>
      </c>
      <c r="L3682" s="2" t="s">
        <v>36492</v>
      </c>
      <c r="M3682" s="2" t="s">
        <v>36505</v>
      </c>
      <c r="N3682" s="3" t="s">
        <v>4042</v>
      </c>
      <c r="O3682" s="2" t="s">
        <v>22220</v>
      </c>
      <c r="P3682" s="3" t="s">
        <v>69</v>
      </c>
      <c r="R3682" s="3" t="s">
        <v>71</v>
      </c>
      <c r="S3682" s="4">
        <v>0</v>
      </c>
      <c r="T3682" s="4">
        <v>1</v>
      </c>
      <c r="V3682" s="5" t="s">
        <v>32586</v>
      </c>
      <c r="W3682" s="5" t="s">
        <v>72</v>
      </c>
      <c r="X3682" s="5" t="s">
        <v>72</v>
      </c>
      <c r="Y3682" s="4">
        <v>373</v>
      </c>
      <c r="Z3682" s="4">
        <v>14</v>
      </c>
      <c r="AA3682" s="4">
        <v>14</v>
      </c>
      <c r="AB3682" s="4">
        <v>2</v>
      </c>
      <c r="AC3682" s="4">
        <v>2</v>
      </c>
      <c r="AD3682" s="4">
        <v>84</v>
      </c>
      <c r="AE3682" s="4">
        <v>84</v>
      </c>
      <c r="AF3682" s="4">
        <v>1</v>
      </c>
      <c r="AG3682" s="4">
        <v>1</v>
      </c>
      <c r="AH3682" s="4">
        <v>74</v>
      </c>
      <c r="AI3682" s="4">
        <v>74</v>
      </c>
      <c r="AJ3682" s="4">
        <v>9</v>
      </c>
      <c r="AK3682" s="4">
        <v>9</v>
      </c>
      <c r="AL3682" s="4">
        <v>45</v>
      </c>
      <c r="AM3682" s="4">
        <v>45</v>
      </c>
      <c r="AN3682" s="4">
        <v>0</v>
      </c>
      <c r="AO3682" s="4">
        <v>0</v>
      </c>
      <c r="AP3682" s="4">
        <v>12</v>
      </c>
      <c r="AQ3682" s="4">
        <v>12</v>
      </c>
      <c r="AR3682" s="3" t="s">
        <v>65</v>
      </c>
      <c r="AS3682" s="3" t="s">
        <v>65</v>
      </c>
      <c r="AT3682" s="3" t="s">
        <v>209</v>
      </c>
      <c r="AU3682" s="6" t="str">
        <f>HYPERLINK("http://catalog.hathitrust.org/Record/001219223","HathiTrust Record")</f>
        <v>HathiTrust Record</v>
      </c>
      <c r="AV3682" s="6" t="str">
        <f>HYPERLINK("http://mcgill.on.worldcat.org/oclc/94042","Catalog Record")</f>
        <v>Catalog Record</v>
      </c>
      <c r="AW3682" s="6" t="str">
        <f>HYPERLINK("http://www.worldcat.org/oclc/94042","WorldCat Record")</f>
        <v>WorldCat Record</v>
      </c>
      <c r="AX3682" s="3" t="s">
        <v>36506</v>
      </c>
      <c r="AY3682" s="3" t="s">
        <v>36507</v>
      </c>
      <c r="AZ3682" s="3" t="s">
        <v>36508</v>
      </c>
      <c r="BA3682" s="3" t="s">
        <v>36508</v>
      </c>
      <c r="BB3682" s="3" t="s">
        <v>36513</v>
      </c>
      <c r="BC3682" s="3" t="s">
        <v>77</v>
      </c>
      <c r="BD3682" s="3" t="s">
        <v>78</v>
      </c>
      <c r="BF3682" s="3" t="s">
        <v>36513</v>
      </c>
      <c r="BG3682" s="3" t="s">
        <v>36514</v>
      </c>
    </row>
    <row r="3683" spans="1:59" ht="58" x14ac:dyDescent="0.35">
      <c r="A3683" s="2" t="s">
        <v>59</v>
      </c>
      <c r="B3683" s="2" t="s">
        <v>60</v>
      </c>
      <c r="C3683" s="2" t="s">
        <v>36515</v>
      </c>
      <c r="D3683" s="2" t="s">
        <v>36516</v>
      </c>
      <c r="E3683" s="2" t="s">
        <v>36517</v>
      </c>
      <c r="G3683" s="3" t="s">
        <v>65</v>
      </c>
      <c r="I3683" s="3" t="s">
        <v>65</v>
      </c>
      <c r="J3683" s="3" t="s">
        <v>65</v>
      </c>
      <c r="K3683" s="3" t="s">
        <v>66</v>
      </c>
      <c r="L3683" s="2" t="s">
        <v>782</v>
      </c>
      <c r="M3683" s="2" t="s">
        <v>36518</v>
      </c>
      <c r="N3683" s="3" t="s">
        <v>152</v>
      </c>
      <c r="P3683" s="3" t="s">
        <v>140</v>
      </c>
      <c r="Q3683" s="2" t="s">
        <v>36519</v>
      </c>
      <c r="R3683" s="3" t="s">
        <v>71</v>
      </c>
      <c r="S3683" s="4">
        <v>0</v>
      </c>
      <c r="T3683" s="4">
        <v>0</v>
      </c>
      <c r="W3683" s="5" t="s">
        <v>72</v>
      </c>
      <c r="X3683" s="5" t="s">
        <v>72</v>
      </c>
      <c r="Y3683" s="4">
        <v>32</v>
      </c>
      <c r="Z3683" s="4">
        <v>3</v>
      </c>
      <c r="AA3683" s="4">
        <v>3</v>
      </c>
      <c r="AB3683" s="4">
        <v>1</v>
      </c>
      <c r="AC3683" s="4">
        <v>1</v>
      </c>
      <c r="AD3683" s="4">
        <v>22</v>
      </c>
      <c r="AE3683" s="4">
        <v>22</v>
      </c>
      <c r="AF3683" s="4">
        <v>0</v>
      </c>
      <c r="AG3683" s="4">
        <v>0</v>
      </c>
      <c r="AH3683" s="4">
        <v>21</v>
      </c>
      <c r="AI3683" s="4">
        <v>21</v>
      </c>
      <c r="AJ3683" s="4">
        <v>1</v>
      </c>
      <c r="AK3683" s="4">
        <v>1</v>
      </c>
      <c r="AL3683" s="4">
        <v>18</v>
      </c>
      <c r="AM3683" s="4">
        <v>18</v>
      </c>
      <c r="AN3683" s="4">
        <v>0</v>
      </c>
      <c r="AO3683" s="4">
        <v>0</v>
      </c>
      <c r="AP3683" s="4">
        <v>1</v>
      </c>
      <c r="AQ3683" s="4">
        <v>1</v>
      </c>
      <c r="AR3683" s="3" t="s">
        <v>65</v>
      </c>
      <c r="AS3683" s="3" t="s">
        <v>65</v>
      </c>
      <c r="AT3683" s="3" t="s">
        <v>65</v>
      </c>
      <c r="AV3683" s="6" t="str">
        <f>HYPERLINK("http://mcgill.on.worldcat.org/oclc/834493688","Catalog Record")</f>
        <v>Catalog Record</v>
      </c>
      <c r="AW3683" s="6" t="str">
        <f>HYPERLINK("http://www.worldcat.org/oclc/834493688","WorldCat Record")</f>
        <v>WorldCat Record</v>
      </c>
      <c r="AX3683" s="3" t="s">
        <v>36520</v>
      </c>
      <c r="AY3683" s="3" t="s">
        <v>36521</v>
      </c>
      <c r="AZ3683" s="3" t="s">
        <v>36522</v>
      </c>
      <c r="BA3683" s="3" t="s">
        <v>36522</v>
      </c>
      <c r="BB3683" s="3" t="s">
        <v>36523</v>
      </c>
      <c r="BC3683" s="3" t="s">
        <v>77</v>
      </c>
      <c r="BD3683" s="3" t="s">
        <v>78</v>
      </c>
      <c r="BE3683" s="3" t="s">
        <v>36524</v>
      </c>
      <c r="BF3683" s="3" t="s">
        <v>36523</v>
      </c>
      <c r="BG3683" s="3" t="s">
        <v>36525</v>
      </c>
    </row>
    <row r="3684" spans="1:59" ht="72.5" x14ac:dyDescent="0.35">
      <c r="A3684" s="2" t="s">
        <v>59</v>
      </c>
      <c r="B3684" s="2" t="s">
        <v>60</v>
      </c>
      <c r="C3684" s="2" t="s">
        <v>36526</v>
      </c>
      <c r="D3684" s="2" t="s">
        <v>36527</v>
      </c>
      <c r="E3684" s="2" t="s">
        <v>36528</v>
      </c>
      <c r="G3684" s="3" t="s">
        <v>65</v>
      </c>
      <c r="I3684" s="3" t="s">
        <v>65</v>
      </c>
      <c r="J3684" s="3" t="s">
        <v>65</v>
      </c>
      <c r="K3684" s="3" t="s">
        <v>66</v>
      </c>
      <c r="L3684" s="2" t="s">
        <v>36529</v>
      </c>
      <c r="M3684" s="2" t="s">
        <v>36530</v>
      </c>
      <c r="N3684" s="3" t="s">
        <v>164</v>
      </c>
      <c r="P3684" s="3" t="s">
        <v>69</v>
      </c>
      <c r="R3684" s="3" t="s">
        <v>71</v>
      </c>
      <c r="S3684" s="4">
        <v>2</v>
      </c>
      <c r="T3684" s="4">
        <v>2</v>
      </c>
      <c r="U3684" s="5" t="s">
        <v>27317</v>
      </c>
      <c r="V3684" s="5" t="s">
        <v>27317</v>
      </c>
      <c r="W3684" s="5" t="s">
        <v>72</v>
      </c>
      <c r="X3684" s="5" t="s">
        <v>72</v>
      </c>
      <c r="Y3684" s="4">
        <v>296</v>
      </c>
      <c r="Z3684" s="4">
        <v>8</v>
      </c>
      <c r="AA3684" s="4">
        <v>10</v>
      </c>
      <c r="AB3684" s="4">
        <v>1</v>
      </c>
      <c r="AC3684" s="4">
        <v>2</v>
      </c>
      <c r="AD3684" s="4">
        <v>2</v>
      </c>
      <c r="AE3684" s="4">
        <v>6</v>
      </c>
      <c r="AF3684" s="4">
        <v>0</v>
      </c>
      <c r="AG3684" s="4">
        <v>0</v>
      </c>
      <c r="AH3684" s="4">
        <v>2</v>
      </c>
      <c r="AI3684" s="4">
        <v>5</v>
      </c>
      <c r="AJ3684" s="4">
        <v>0</v>
      </c>
      <c r="AK3684" s="4">
        <v>1</v>
      </c>
      <c r="AL3684" s="4">
        <v>1</v>
      </c>
      <c r="AM3684" s="4">
        <v>4</v>
      </c>
      <c r="AN3684" s="4">
        <v>0</v>
      </c>
      <c r="AO3684" s="4">
        <v>0</v>
      </c>
      <c r="AP3684" s="4">
        <v>0</v>
      </c>
      <c r="AQ3684" s="4">
        <v>1</v>
      </c>
      <c r="AR3684" s="3" t="s">
        <v>65</v>
      </c>
      <c r="AS3684" s="3" t="s">
        <v>65</v>
      </c>
      <c r="AT3684" s="3" t="s">
        <v>65</v>
      </c>
      <c r="AV3684" s="6" t="str">
        <f>HYPERLINK("http://mcgill.on.worldcat.org/oclc/868378366","Catalog Record")</f>
        <v>Catalog Record</v>
      </c>
      <c r="AW3684" s="6" t="str">
        <f>HYPERLINK("http://www.worldcat.org/oclc/868378366","WorldCat Record")</f>
        <v>WorldCat Record</v>
      </c>
      <c r="AX3684" s="3" t="s">
        <v>36531</v>
      </c>
      <c r="AY3684" s="3" t="s">
        <v>36532</v>
      </c>
      <c r="AZ3684" s="3" t="s">
        <v>36533</v>
      </c>
      <c r="BA3684" s="3" t="s">
        <v>36533</v>
      </c>
      <c r="BB3684" s="3" t="s">
        <v>36534</v>
      </c>
      <c r="BC3684" s="3" t="s">
        <v>77</v>
      </c>
      <c r="BD3684" s="3" t="s">
        <v>78</v>
      </c>
      <c r="BE3684" s="3" t="s">
        <v>36535</v>
      </c>
      <c r="BF3684" s="3" t="s">
        <v>36534</v>
      </c>
      <c r="BG3684" s="3" t="s">
        <v>36536</v>
      </c>
    </row>
    <row r="3685" spans="1:59" ht="72.5" x14ac:dyDescent="0.35">
      <c r="A3685" s="2" t="s">
        <v>59</v>
      </c>
      <c r="B3685" s="2" t="s">
        <v>60</v>
      </c>
      <c r="C3685" s="2" t="s">
        <v>36537</v>
      </c>
      <c r="D3685" s="2" t="s">
        <v>36538</v>
      </c>
      <c r="E3685" s="2" t="s">
        <v>36539</v>
      </c>
      <c r="G3685" s="3" t="s">
        <v>65</v>
      </c>
      <c r="I3685" s="3" t="s">
        <v>65</v>
      </c>
      <c r="J3685" s="3" t="s">
        <v>65</v>
      </c>
      <c r="K3685" s="3" t="s">
        <v>66</v>
      </c>
      <c r="L3685" s="2" t="s">
        <v>36540</v>
      </c>
      <c r="M3685" s="2" t="s">
        <v>36541</v>
      </c>
      <c r="N3685" s="3" t="s">
        <v>1122</v>
      </c>
      <c r="P3685" s="3" t="s">
        <v>69</v>
      </c>
      <c r="Q3685" s="2" t="s">
        <v>36542</v>
      </c>
      <c r="R3685" s="3" t="s">
        <v>71</v>
      </c>
      <c r="S3685" s="4">
        <v>2</v>
      </c>
      <c r="T3685" s="4">
        <v>2</v>
      </c>
      <c r="U3685" s="5" t="s">
        <v>27317</v>
      </c>
      <c r="V3685" s="5" t="s">
        <v>27317</v>
      </c>
      <c r="W3685" s="5" t="s">
        <v>72</v>
      </c>
      <c r="X3685" s="5" t="s">
        <v>72</v>
      </c>
      <c r="Y3685" s="4">
        <v>245</v>
      </c>
      <c r="Z3685" s="4">
        <v>5</v>
      </c>
      <c r="AA3685" s="4">
        <v>6</v>
      </c>
      <c r="AB3685" s="4">
        <v>2</v>
      </c>
      <c r="AC3685" s="4">
        <v>2</v>
      </c>
      <c r="AD3685" s="4">
        <v>20</v>
      </c>
      <c r="AE3685" s="4">
        <v>20</v>
      </c>
      <c r="AF3685" s="4">
        <v>0</v>
      </c>
      <c r="AG3685" s="4">
        <v>0</v>
      </c>
      <c r="AH3685" s="4">
        <v>19</v>
      </c>
      <c r="AI3685" s="4">
        <v>19</v>
      </c>
      <c r="AJ3685" s="4">
        <v>1</v>
      </c>
      <c r="AK3685" s="4">
        <v>1</v>
      </c>
      <c r="AL3685" s="4">
        <v>15</v>
      </c>
      <c r="AM3685" s="4">
        <v>15</v>
      </c>
      <c r="AN3685" s="4">
        <v>0</v>
      </c>
      <c r="AO3685" s="4">
        <v>0</v>
      </c>
      <c r="AP3685" s="4">
        <v>1</v>
      </c>
      <c r="AQ3685" s="4">
        <v>1</v>
      </c>
      <c r="AR3685" s="3" t="s">
        <v>65</v>
      </c>
      <c r="AS3685" s="3" t="s">
        <v>65</v>
      </c>
      <c r="AT3685" s="3" t="s">
        <v>65</v>
      </c>
      <c r="AV3685" s="6" t="str">
        <f>HYPERLINK("http://mcgill.on.worldcat.org/oclc/321015749","Catalog Record")</f>
        <v>Catalog Record</v>
      </c>
      <c r="AW3685" s="6" t="str">
        <f>HYPERLINK("http://www.worldcat.org/oclc/321015749","WorldCat Record")</f>
        <v>WorldCat Record</v>
      </c>
      <c r="AX3685" s="3" t="s">
        <v>36543</v>
      </c>
      <c r="AY3685" s="3" t="s">
        <v>36544</v>
      </c>
      <c r="AZ3685" s="3" t="s">
        <v>36545</v>
      </c>
      <c r="BA3685" s="3" t="s">
        <v>36545</v>
      </c>
      <c r="BB3685" s="3" t="s">
        <v>36546</v>
      </c>
      <c r="BC3685" s="3" t="s">
        <v>77</v>
      </c>
      <c r="BD3685" s="3" t="s">
        <v>78</v>
      </c>
      <c r="BE3685" s="3" t="s">
        <v>36547</v>
      </c>
      <c r="BF3685" s="3" t="s">
        <v>36546</v>
      </c>
      <c r="BG3685" s="3" t="s">
        <v>36548</v>
      </c>
    </row>
    <row r="3686" spans="1:59" ht="72.5" x14ac:dyDescent="0.35">
      <c r="A3686" s="2" t="s">
        <v>59</v>
      </c>
      <c r="B3686" s="2" t="s">
        <v>60</v>
      </c>
      <c r="C3686" s="2" t="s">
        <v>36549</v>
      </c>
      <c r="D3686" s="2" t="s">
        <v>36550</v>
      </c>
      <c r="E3686" s="2" t="s">
        <v>36551</v>
      </c>
      <c r="G3686" s="3" t="s">
        <v>65</v>
      </c>
      <c r="I3686" s="3" t="s">
        <v>65</v>
      </c>
      <c r="J3686" s="3" t="s">
        <v>65</v>
      </c>
      <c r="K3686" s="3" t="s">
        <v>66</v>
      </c>
      <c r="L3686" s="2" t="s">
        <v>36529</v>
      </c>
      <c r="M3686" s="2" t="s">
        <v>36552</v>
      </c>
      <c r="N3686" s="3" t="s">
        <v>126</v>
      </c>
      <c r="P3686" s="3" t="s">
        <v>69</v>
      </c>
      <c r="R3686" s="3" t="s">
        <v>71</v>
      </c>
      <c r="S3686" s="4">
        <v>3</v>
      </c>
      <c r="T3686" s="4">
        <v>3</v>
      </c>
      <c r="U3686" s="5" t="s">
        <v>31076</v>
      </c>
      <c r="V3686" s="5" t="s">
        <v>31076</v>
      </c>
      <c r="W3686" s="5" t="s">
        <v>72</v>
      </c>
      <c r="X3686" s="5" t="s">
        <v>72</v>
      </c>
      <c r="Y3686" s="4">
        <v>169</v>
      </c>
      <c r="Z3686" s="4">
        <v>5</v>
      </c>
      <c r="AA3686" s="4">
        <v>10</v>
      </c>
      <c r="AB3686" s="4">
        <v>1</v>
      </c>
      <c r="AC3686" s="4">
        <v>2</v>
      </c>
      <c r="AD3686" s="4">
        <v>2</v>
      </c>
      <c r="AE3686" s="4">
        <v>13</v>
      </c>
      <c r="AF3686" s="4">
        <v>0</v>
      </c>
      <c r="AG3686" s="4">
        <v>0</v>
      </c>
      <c r="AH3686" s="4">
        <v>2</v>
      </c>
      <c r="AI3686" s="4">
        <v>12</v>
      </c>
      <c r="AJ3686" s="4">
        <v>0</v>
      </c>
      <c r="AK3686" s="4">
        <v>2</v>
      </c>
      <c r="AL3686" s="4">
        <v>1</v>
      </c>
      <c r="AM3686" s="4">
        <v>9</v>
      </c>
      <c r="AN3686" s="4">
        <v>0</v>
      </c>
      <c r="AO3686" s="4">
        <v>0</v>
      </c>
      <c r="AP3686" s="4">
        <v>0</v>
      </c>
      <c r="AQ3686" s="4">
        <v>2</v>
      </c>
      <c r="AR3686" s="3" t="s">
        <v>65</v>
      </c>
      <c r="AS3686" s="3" t="s">
        <v>65</v>
      </c>
      <c r="AT3686" s="3" t="s">
        <v>65</v>
      </c>
      <c r="AV3686" s="6" t="str">
        <f>HYPERLINK("http://mcgill.on.worldcat.org/oclc/746111387","Catalog Record")</f>
        <v>Catalog Record</v>
      </c>
      <c r="AW3686" s="6" t="str">
        <f>HYPERLINK("http://www.worldcat.org/oclc/746111387","WorldCat Record")</f>
        <v>WorldCat Record</v>
      </c>
      <c r="AX3686" s="3" t="s">
        <v>36553</v>
      </c>
      <c r="AY3686" s="3" t="s">
        <v>36554</v>
      </c>
      <c r="AZ3686" s="3" t="s">
        <v>36555</v>
      </c>
      <c r="BA3686" s="3" t="s">
        <v>36555</v>
      </c>
      <c r="BB3686" s="3" t="s">
        <v>36556</v>
      </c>
      <c r="BC3686" s="3" t="s">
        <v>77</v>
      </c>
      <c r="BD3686" s="3" t="s">
        <v>78</v>
      </c>
      <c r="BE3686" s="3" t="s">
        <v>36557</v>
      </c>
      <c r="BF3686" s="3" t="s">
        <v>36556</v>
      </c>
      <c r="BG3686" s="3" t="s">
        <v>36558</v>
      </c>
    </row>
    <row r="3687" spans="1:59" ht="72.5" x14ac:dyDescent="0.35">
      <c r="A3687" s="2" t="s">
        <v>59</v>
      </c>
      <c r="B3687" s="2" t="s">
        <v>60</v>
      </c>
      <c r="C3687" s="2" t="s">
        <v>36559</v>
      </c>
      <c r="D3687" s="2" t="s">
        <v>36560</v>
      </c>
      <c r="E3687" s="2" t="s">
        <v>36561</v>
      </c>
      <c r="G3687" s="3" t="s">
        <v>65</v>
      </c>
      <c r="I3687" s="3" t="s">
        <v>65</v>
      </c>
      <c r="J3687" s="3" t="s">
        <v>65</v>
      </c>
      <c r="K3687" s="3" t="s">
        <v>66</v>
      </c>
      <c r="L3687" s="2" t="s">
        <v>36540</v>
      </c>
      <c r="M3687" s="2" t="s">
        <v>36562</v>
      </c>
      <c r="N3687" s="3" t="s">
        <v>139</v>
      </c>
      <c r="P3687" s="3" t="s">
        <v>69</v>
      </c>
      <c r="Q3687" s="2" t="s">
        <v>36563</v>
      </c>
      <c r="R3687" s="3" t="s">
        <v>71</v>
      </c>
      <c r="S3687" s="4">
        <v>3</v>
      </c>
      <c r="T3687" s="4">
        <v>3</v>
      </c>
      <c r="U3687" s="5" t="s">
        <v>36564</v>
      </c>
      <c r="V3687" s="5" t="s">
        <v>36564</v>
      </c>
      <c r="W3687" s="5" t="s">
        <v>72</v>
      </c>
      <c r="X3687" s="5" t="s">
        <v>72</v>
      </c>
      <c r="Y3687" s="4">
        <v>237</v>
      </c>
      <c r="Z3687" s="4">
        <v>6</v>
      </c>
      <c r="AA3687" s="4">
        <v>6</v>
      </c>
      <c r="AB3687" s="4">
        <v>1</v>
      </c>
      <c r="AC3687" s="4">
        <v>1</v>
      </c>
      <c r="AD3687" s="4">
        <v>14</v>
      </c>
      <c r="AE3687" s="4">
        <v>14</v>
      </c>
      <c r="AF3687" s="4">
        <v>0</v>
      </c>
      <c r="AG3687" s="4">
        <v>0</v>
      </c>
      <c r="AH3687" s="4">
        <v>12</v>
      </c>
      <c r="AI3687" s="4">
        <v>12</v>
      </c>
      <c r="AJ3687" s="4">
        <v>3</v>
      </c>
      <c r="AK3687" s="4">
        <v>3</v>
      </c>
      <c r="AL3687" s="4">
        <v>9</v>
      </c>
      <c r="AM3687" s="4">
        <v>9</v>
      </c>
      <c r="AN3687" s="4">
        <v>0</v>
      </c>
      <c r="AO3687" s="4">
        <v>0</v>
      </c>
      <c r="AP3687" s="4">
        <v>3</v>
      </c>
      <c r="AQ3687" s="4">
        <v>3</v>
      </c>
      <c r="AR3687" s="3" t="s">
        <v>65</v>
      </c>
      <c r="AS3687" s="3" t="s">
        <v>65</v>
      </c>
      <c r="AT3687" s="3" t="s">
        <v>65</v>
      </c>
      <c r="AV3687" s="6" t="str">
        <f>HYPERLINK("http://mcgill.on.worldcat.org/oclc/762991052","Catalog Record")</f>
        <v>Catalog Record</v>
      </c>
      <c r="AW3687" s="6" t="str">
        <f>HYPERLINK("http://www.worldcat.org/oclc/762991052","WorldCat Record")</f>
        <v>WorldCat Record</v>
      </c>
      <c r="AX3687" s="3" t="s">
        <v>36565</v>
      </c>
      <c r="AY3687" s="3" t="s">
        <v>36566</v>
      </c>
      <c r="AZ3687" s="3" t="s">
        <v>36567</v>
      </c>
      <c r="BA3687" s="3" t="s">
        <v>36567</v>
      </c>
      <c r="BB3687" s="3" t="s">
        <v>36568</v>
      </c>
      <c r="BC3687" s="3" t="s">
        <v>77</v>
      </c>
      <c r="BD3687" s="3" t="s">
        <v>78</v>
      </c>
      <c r="BE3687" s="3" t="s">
        <v>36569</v>
      </c>
      <c r="BF3687" s="3" t="s">
        <v>36568</v>
      </c>
      <c r="BG3687" s="3" t="s">
        <v>36570</v>
      </c>
    </row>
    <row r="3688" spans="1:59" ht="58" x14ac:dyDescent="0.35">
      <c r="A3688" s="2" t="s">
        <v>59</v>
      </c>
      <c r="B3688" s="2" t="s">
        <v>60</v>
      </c>
      <c r="C3688" s="2" t="s">
        <v>36571</v>
      </c>
      <c r="D3688" s="2" t="s">
        <v>36572</v>
      </c>
      <c r="E3688" s="2" t="s">
        <v>36573</v>
      </c>
      <c r="G3688" s="3" t="s">
        <v>65</v>
      </c>
      <c r="I3688" s="3" t="s">
        <v>65</v>
      </c>
      <c r="J3688" s="3" t="s">
        <v>65</v>
      </c>
      <c r="K3688" s="3" t="s">
        <v>66</v>
      </c>
      <c r="L3688" s="2" t="s">
        <v>36574</v>
      </c>
      <c r="M3688" s="2" t="s">
        <v>36575</v>
      </c>
      <c r="N3688" s="3" t="s">
        <v>265</v>
      </c>
      <c r="P3688" s="3" t="s">
        <v>140</v>
      </c>
      <c r="Q3688" s="2" t="s">
        <v>36576</v>
      </c>
      <c r="R3688" s="3" t="s">
        <v>71</v>
      </c>
      <c r="S3688" s="4">
        <v>0</v>
      </c>
      <c r="T3688" s="4">
        <v>0</v>
      </c>
      <c r="W3688" s="5" t="s">
        <v>266</v>
      </c>
      <c r="X3688" s="5" t="s">
        <v>266</v>
      </c>
      <c r="Y3688" s="4">
        <v>7</v>
      </c>
      <c r="Z3688" s="4">
        <v>1</v>
      </c>
      <c r="AA3688" s="4">
        <v>1</v>
      </c>
      <c r="AB3688" s="4">
        <v>1</v>
      </c>
      <c r="AC3688" s="4">
        <v>1</v>
      </c>
      <c r="AD3688" s="4">
        <v>5</v>
      </c>
      <c r="AE3688" s="4">
        <v>5</v>
      </c>
      <c r="AF3688" s="4">
        <v>0</v>
      </c>
      <c r="AG3688" s="4">
        <v>0</v>
      </c>
      <c r="AH3688" s="4">
        <v>4</v>
      </c>
      <c r="AI3688" s="4">
        <v>4</v>
      </c>
      <c r="AJ3688" s="4">
        <v>0</v>
      </c>
      <c r="AK3688" s="4">
        <v>0</v>
      </c>
      <c r="AL3688" s="4">
        <v>4</v>
      </c>
      <c r="AM3688" s="4">
        <v>4</v>
      </c>
      <c r="AN3688" s="4">
        <v>0</v>
      </c>
      <c r="AO3688" s="4">
        <v>0</v>
      </c>
      <c r="AP3688" s="4">
        <v>0</v>
      </c>
      <c r="AQ3688" s="4">
        <v>0</v>
      </c>
      <c r="AR3688" s="3" t="s">
        <v>65</v>
      </c>
      <c r="AS3688" s="3" t="s">
        <v>65</v>
      </c>
      <c r="AT3688" s="3" t="s">
        <v>65</v>
      </c>
      <c r="AV3688" s="6" t="str">
        <f>HYPERLINK("http://mcgill.on.worldcat.org/oclc/1128043138","Catalog Record")</f>
        <v>Catalog Record</v>
      </c>
      <c r="AW3688" s="6" t="str">
        <f>HYPERLINK("http://www.worldcat.org/oclc/1128043138","WorldCat Record")</f>
        <v>WorldCat Record</v>
      </c>
      <c r="AX3688" s="3" t="s">
        <v>36577</v>
      </c>
      <c r="AY3688" s="3" t="s">
        <v>36578</v>
      </c>
      <c r="AZ3688" s="3" t="s">
        <v>36579</v>
      </c>
      <c r="BA3688" s="3" t="s">
        <v>36579</v>
      </c>
      <c r="BB3688" s="3" t="s">
        <v>36580</v>
      </c>
      <c r="BC3688" s="3" t="s">
        <v>77</v>
      </c>
      <c r="BD3688" s="3" t="s">
        <v>78</v>
      </c>
      <c r="BE3688" s="3" t="s">
        <v>36581</v>
      </c>
      <c r="BF3688" s="3" t="s">
        <v>36580</v>
      </c>
      <c r="BG3688" s="3" t="s">
        <v>36582</v>
      </c>
    </row>
    <row r="3689" spans="1:59" ht="58" x14ac:dyDescent="0.35">
      <c r="A3689" s="2" t="s">
        <v>59</v>
      </c>
      <c r="B3689" s="2" t="s">
        <v>60</v>
      </c>
      <c r="C3689" s="2" t="s">
        <v>36583</v>
      </c>
      <c r="D3689" s="2" t="s">
        <v>36584</v>
      </c>
      <c r="E3689" s="2" t="s">
        <v>36585</v>
      </c>
      <c r="G3689" s="3" t="s">
        <v>65</v>
      </c>
      <c r="I3689" s="3" t="s">
        <v>65</v>
      </c>
      <c r="J3689" s="3" t="s">
        <v>65</v>
      </c>
      <c r="K3689" s="3" t="s">
        <v>66</v>
      </c>
      <c r="L3689" s="2" t="s">
        <v>36586</v>
      </c>
      <c r="M3689" s="2" t="s">
        <v>36587</v>
      </c>
      <c r="N3689" s="3" t="s">
        <v>126</v>
      </c>
      <c r="P3689" s="3" t="s">
        <v>140</v>
      </c>
      <c r="Q3689" s="2" t="s">
        <v>36588</v>
      </c>
      <c r="R3689" s="3" t="s">
        <v>71</v>
      </c>
      <c r="S3689" s="4">
        <v>0</v>
      </c>
      <c r="T3689" s="4">
        <v>0</v>
      </c>
      <c r="W3689" s="5" t="s">
        <v>72</v>
      </c>
      <c r="X3689" s="5" t="s">
        <v>72</v>
      </c>
      <c r="Y3689" s="4">
        <v>5</v>
      </c>
      <c r="Z3689" s="4">
        <v>1</v>
      </c>
      <c r="AA3689" s="4">
        <v>1</v>
      </c>
      <c r="AB3689" s="4">
        <v>1</v>
      </c>
      <c r="AC3689" s="4">
        <v>1</v>
      </c>
      <c r="AD3689" s="4">
        <v>3</v>
      </c>
      <c r="AE3689" s="4">
        <v>3</v>
      </c>
      <c r="AF3689" s="4">
        <v>0</v>
      </c>
      <c r="AG3689" s="4">
        <v>0</v>
      </c>
      <c r="AH3689" s="4">
        <v>3</v>
      </c>
      <c r="AI3689" s="4">
        <v>3</v>
      </c>
      <c r="AJ3689" s="4">
        <v>0</v>
      </c>
      <c r="AK3689" s="4">
        <v>0</v>
      </c>
      <c r="AL3689" s="4">
        <v>2</v>
      </c>
      <c r="AM3689" s="4">
        <v>2</v>
      </c>
      <c r="AN3689" s="4">
        <v>0</v>
      </c>
      <c r="AO3689" s="4">
        <v>0</v>
      </c>
      <c r="AP3689" s="4">
        <v>0</v>
      </c>
      <c r="AQ3689" s="4">
        <v>0</v>
      </c>
      <c r="AR3689" s="3" t="s">
        <v>65</v>
      </c>
      <c r="AS3689" s="3" t="s">
        <v>65</v>
      </c>
      <c r="AT3689" s="3" t="s">
        <v>65</v>
      </c>
      <c r="AV3689" s="6" t="str">
        <f>HYPERLINK("http://mcgill.on.worldcat.org/oclc/709663694","Catalog Record")</f>
        <v>Catalog Record</v>
      </c>
      <c r="AW3689" s="6" t="str">
        <f>HYPERLINK("http://www.worldcat.org/oclc/709663694","WorldCat Record")</f>
        <v>WorldCat Record</v>
      </c>
      <c r="AX3689" s="3" t="s">
        <v>36589</v>
      </c>
      <c r="AY3689" s="3" t="s">
        <v>36590</v>
      </c>
      <c r="AZ3689" s="3" t="s">
        <v>36591</v>
      </c>
      <c r="BA3689" s="3" t="s">
        <v>36591</v>
      </c>
      <c r="BB3689" s="3" t="s">
        <v>36592</v>
      </c>
      <c r="BC3689" s="3" t="s">
        <v>77</v>
      </c>
      <c r="BD3689" s="3" t="s">
        <v>78</v>
      </c>
      <c r="BE3689" s="3" t="s">
        <v>36593</v>
      </c>
      <c r="BF3689" s="3" t="s">
        <v>36592</v>
      </c>
      <c r="BG3689" s="3" t="s">
        <v>36594</v>
      </c>
    </row>
    <row r="3690" spans="1:59" ht="72.5" x14ac:dyDescent="0.35">
      <c r="A3690" s="2" t="s">
        <v>59</v>
      </c>
      <c r="B3690" s="2" t="s">
        <v>60</v>
      </c>
      <c r="C3690" s="2" t="s">
        <v>36595</v>
      </c>
      <c r="D3690" s="2" t="s">
        <v>36596</v>
      </c>
      <c r="E3690" s="2" t="s">
        <v>36597</v>
      </c>
      <c r="G3690" s="3" t="s">
        <v>65</v>
      </c>
      <c r="I3690" s="3" t="s">
        <v>65</v>
      </c>
      <c r="J3690" s="3" t="s">
        <v>65</v>
      </c>
      <c r="K3690" s="3" t="s">
        <v>66</v>
      </c>
      <c r="L3690" s="2" t="s">
        <v>36598</v>
      </c>
      <c r="M3690" s="2" t="s">
        <v>36599</v>
      </c>
      <c r="N3690" s="3" t="s">
        <v>113</v>
      </c>
      <c r="O3690" s="2" t="s">
        <v>365</v>
      </c>
      <c r="P3690" s="3" t="s">
        <v>140</v>
      </c>
      <c r="Q3690" s="2" t="s">
        <v>36600</v>
      </c>
      <c r="R3690" s="3" t="s">
        <v>71</v>
      </c>
      <c r="S3690" s="4">
        <v>2</v>
      </c>
      <c r="T3690" s="4">
        <v>2</v>
      </c>
      <c r="U3690" s="5" t="s">
        <v>36601</v>
      </c>
      <c r="V3690" s="5" t="s">
        <v>36601</v>
      </c>
      <c r="W3690" s="5" t="s">
        <v>72</v>
      </c>
      <c r="X3690" s="5" t="s">
        <v>72</v>
      </c>
      <c r="Y3690" s="4">
        <v>50</v>
      </c>
      <c r="Z3690" s="4">
        <v>4</v>
      </c>
      <c r="AA3690" s="4">
        <v>4</v>
      </c>
      <c r="AB3690" s="4">
        <v>1</v>
      </c>
      <c r="AC3690" s="4">
        <v>1</v>
      </c>
      <c r="AD3690" s="4">
        <v>36</v>
      </c>
      <c r="AE3690" s="4">
        <v>36</v>
      </c>
      <c r="AF3690" s="4">
        <v>0</v>
      </c>
      <c r="AG3690" s="4">
        <v>0</v>
      </c>
      <c r="AH3690" s="4">
        <v>35</v>
      </c>
      <c r="AI3690" s="4">
        <v>35</v>
      </c>
      <c r="AJ3690" s="4">
        <v>2</v>
      </c>
      <c r="AK3690" s="4">
        <v>2</v>
      </c>
      <c r="AL3690" s="4">
        <v>28</v>
      </c>
      <c r="AM3690" s="4">
        <v>28</v>
      </c>
      <c r="AN3690" s="4">
        <v>0</v>
      </c>
      <c r="AO3690" s="4">
        <v>0</v>
      </c>
      <c r="AP3690" s="4">
        <v>2</v>
      </c>
      <c r="AQ3690" s="4">
        <v>2</v>
      </c>
      <c r="AR3690" s="3" t="s">
        <v>65</v>
      </c>
      <c r="AS3690" s="3" t="s">
        <v>65</v>
      </c>
      <c r="AT3690" s="3" t="s">
        <v>65</v>
      </c>
      <c r="AV3690" s="6" t="str">
        <f>HYPERLINK("http://mcgill.on.worldcat.org/oclc/670470611","Catalog Record")</f>
        <v>Catalog Record</v>
      </c>
      <c r="AW3690" s="6" t="str">
        <f>HYPERLINK("http://www.worldcat.org/oclc/670470611","WorldCat Record")</f>
        <v>WorldCat Record</v>
      </c>
      <c r="AX3690" s="3" t="s">
        <v>36602</v>
      </c>
      <c r="AY3690" s="3" t="s">
        <v>36603</v>
      </c>
      <c r="AZ3690" s="3" t="s">
        <v>36604</v>
      </c>
      <c r="BA3690" s="3" t="s">
        <v>36604</v>
      </c>
      <c r="BB3690" s="3" t="s">
        <v>36605</v>
      </c>
      <c r="BC3690" s="3" t="s">
        <v>77</v>
      </c>
      <c r="BD3690" s="3" t="s">
        <v>78</v>
      </c>
      <c r="BE3690" s="3" t="s">
        <v>36606</v>
      </c>
      <c r="BF3690" s="3" t="s">
        <v>36605</v>
      </c>
      <c r="BG3690" s="3" t="s">
        <v>36607</v>
      </c>
    </row>
    <row r="3691" spans="1:59" ht="72.5" x14ac:dyDescent="0.35">
      <c r="A3691" s="2" t="s">
        <v>59</v>
      </c>
      <c r="B3691" s="2" t="s">
        <v>60</v>
      </c>
      <c r="C3691" s="2" t="s">
        <v>36608</v>
      </c>
      <c r="D3691" s="2" t="s">
        <v>36609</v>
      </c>
      <c r="E3691" s="2" t="s">
        <v>36610</v>
      </c>
      <c r="G3691" s="3" t="s">
        <v>65</v>
      </c>
      <c r="I3691" s="3" t="s">
        <v>65</v>
      </c>
      <c r="J3691" s="3" t="s">
        <v>65</v>
      </c>
      <c r="K3691" s="3" t="s">
        <v>66</v>
      </c>
      <c r="L3691" s="2" t="s">
        <v>36611</v>
      </c>
      <c r="M3691" s="2" t="s">
        <v>36612</v>
      </c>
      <c r="N3691" s="3" t="s">
        <v>126</v>
      </c>
      <c r="P3691" s="3" t="s">
        <v>140</v>
      </c>
      <c r="Q3691" s="2" t="s">
        <v>36613</v>
      </c>
      <c r="R3691" s="3" t="s">
        <v>71</v>
      </c>
      <c r="S3691" s="4">
        <v>0</v>
      </c>
      <c r="T3691" s="4">
        <v>0</v>
      </c>
      <c r="W3691" s="5" t="s">
        <v>72</v>
      </c>
      <c r="X3691" s="5" t="s">
        <v>72</v>
      </c>
      <c r="Y3691" s="4">
        <v>6</v>
      </c>
      <c r="Z3691" s="4">
        <v>1</v>
      </c>
      <c r="AA3691" s="4">
        <v>1</v>
      </c>
      <c r="AB3691" s="4">
        <v>1</v>
      </c>
      <c r="AC3691" s="4">
        <v>1</v>
      </c>
      <c r="AD3691" s="4">
        <v>3</v>
      </c>
      <c r="AE3691" s="4">
        <v>3</v>
      </c>
      <c r="AF3691" s="4">
        <v>0</v>
      </c>
      <c r="AG3691" s="4">
        <v>0</v>
      </c>
      <c r="AH3691" s="4">
        <v>3</v>
      </c>
      <c r="AI3691" s="4">
        <v>3</v>
      </c>
      <c r="AJ3691" s="4">
        <v>0</v>
      </c>
      <c r="AK3691" s="4">
        <v>0</v>
      </c>
      <c r="AL3691" s="4">
        <v>3</v>
      </c>
      <c r="AM3691" s="4">
        <v>3</v>
      </c>
      <c r="AN3691" s="4">
        <v>0</v>
      </c>
      <c r="AO3691" s="4">
        <v>0</v>
      </c>
      <c r="AP3691" s="4">
        <v>0</v>
      </c>
      <c r="AQ3691" s="4">
        <v>0</v>
      </c>
      <c r="AR3691" s="3" t="s">
        <v>65</v>
      </c>
      <c r="AS3691" s="3" t="s">
        <v>65</v>
      </c>
      <c r="AT3691" s="3" t="s">
        <v>65</v>
      </c>
      <c r="AV3691" s="6" t="str">
        <f>HYPERLINK("http://mcgill.on.worldcat.org/oclc/681707138","Catalog Record")</f>
        <v>Catalog Record</v>
      </c>
      <c r="AW3691" s="6" t="str">
        <f>HYPERLINK("http://www.worldcat.org/oclc/681707138","WorldCat Record")</f>
        <v>WorldCat Record</v>
      </c>
      <c r="AX3691" s="3" t="s">
        <v>36614</v>
      </c>
      <c r="AY3691" s="3" t="s">
        <v>36615</v>
      </c>
      <c r="AZ3691" s="3" t="s">
        <v>36616</v>
      </c>
      <c r="BA3691" s="3" t="s">
        <v>36616</v>
      </c>
      <c r="BB3691" s="3" t="s">
        <v>36617</v>
      </c>
      <c r="BC3691" s="3" t="s">
        <v>77</v>
      </c>
      <c r="BD3691" s="3" t="s">
        <v>78</v>
      </c>
      <c r="BE3691" s="3" t="s">
        <v>36618</v>
      </c>
      <c r="BF3691" s="3" t="s">
        <v>36617</v>
      </c>
      <c r="BG3691" s="3" t="s">
        <v>36619</v>
      </c>
    </row>
    <row r="3692" spans="1:59" ht="58" x14ac:dyDescent="0.35">
      <c r="A3692" s="2" t="s">
        <v>59</v>
      </c>
      <c r="B3692" s="2" t="s">
        <v>60</v>
      </c>
      <c r="C3692" s="2" t="s">
        <v>36620</v>
      </c>
      <c r="D3692" s="2" t="s">
        <v>36621</v>
      </c>
      <c r="E3692" s="2" t="s">
        <v>36622</v>
      </c>
      <c r="G3692" s="3" t="s">
        <v>65</v>
      </c>
      <c r="I3692" s="3" t="s">
        <v>65</v>
      </c>
      <c r="J3692" s="3" t="s">
        <v>65</v>
      </c>
      <c r="K3692" s="3" t="s">
        <v>66</v>
      </c>
      <c r="L3692" s="2" t="s">
        <v>36623</v>
      </c>
      <c r="M3692" s="2" t="s">
        <v>35310</v>
      </c>
      <c r="N3692" s="3" t="s">
        <v>139</v>
      </c>
      <c r="P3692" s="3" t="s">
        <v>140</v>
      </c>
      <c r="Q3692" s="2" t="s">
        <v>34916</v>
      </c>
      <c r="R3692" s="3" t="s">
        <v>71</v>
      </c>
      <c r="S3692" s="4">
        <v>0</v>
      </c>
      <c r="T3692" s="4">
        <v>0</v>
      </c>
      <c r="W3692" s="5" t="s">
        <v>72</v>
      </c>
      <c r="X3692" s="5" t="s">
        <v>72</v>
      </c>
      <c r="Y3692" s="4">
        <v>10</v>
      </c>
      <c r="Z3692" s="4">
        <v>1</v>
      </c>
      <c r="AA3692" s="4">
        <v>3</v>
      </c>
      <c r="AB3692" s="4">
        <v>1</v>
      </c>
      <c r="AC3692" s="4">
        <v>1</v>
      </c>
      <c r="AD3692" s="4">
        <v>3</v>
      </c>
      <c r="AE3692" s="4">
        <v>30</v>
      </c>
      <c r="AF3692" s="4">
        <v>0</v>
      </c>
      <c r="AG3692" s="4">
        <v>0</v>
      </c>
      <c r="AH3692" s="4">
        <v>3</v>
      </c>
      <c r="AI3692" s="4">
        <v>29</v>
      </c>
      <c r="AJ3692" s="4">
        <v>0</v>
      </c>
      <c r="AK3692" s="4">
        <v>1</v>
      </c>
      <c r="AL3692" s="4">
        <v>2</v>
      </c>
      <c r="AM3692" s="4">
        <v>24</v>
      </c>
      <c r="AN3692" s="4">
        <v>0</v>
      </c>
      <c r="AO3692" s="4">
        <v>0</v>
      </c>
      <c r="AP3692" s="4">
        <v>0</v>
      </c>
      <c r="AQ3692" s="4">
        <v>1</v>
      </c>
      <c r="AR3692" s="3" t="s">
        <v>65</v>
      </c>
      <c r="AS3692" s="3" t="s">
        <v>65</v>
      </c>
      <c r="AT3692" s="3" t="s">
        <v>65</v>
      </c>
      <c r="AV3692" s="6" t="str">
        <f>HYPERLINK("http://mcgill.on.worldcat.org/oclc/785487693","Catalog Record")</f>
        <v>Catalog Record</v>
      </c>
      <c r="AW3692" s="6" t="str">
        <f>HYPERLINK("http://www.worldcat.org/oclc/785487693","WorldCat Record")</f>
        <v>WorldCat Record</v>
      </c>
      <c r="AX3692" s="3" t="s">
        <v>36624</v>
      </c>
      <c r="AY3692" s="3" t="s">
        <v>36625</v>
      </c>
      <c r="AZ3692" s="3" t="s">
        <v>36626</v>
      </c>
      <c r="BA3692" s="3" t="s">
        <v>36626</v>
      </c>
      <c r="BB3692" s="3" t="s">
        <v>36627</v>
      </c>
      <c r="BC3692" s="3" t="s">
        <v>77</v>
      </c>
      <c r="BD3692" s="3" t="s">
        <v>78</v>
      </c>
      <c r="BE3692" s="3" t="s">
        <v>36628</v>
      </c>
      <c r="BF3692" s="3" t="s">
        <v>36627</v>
      </c>
      <c r="BG3692" s="3" t="s">
        <v>36629</v>
      </c>
    </row>
    <row r="3693" spans="1:59" ht="58" x14ac:dyDescent="0.35">
      <c r="A3693" s="2" t="s">
        <v>59</v>
      </c>
      <c r="B3693" s="2" t="s">
        <v>60</v>
      </c>
      <c r="C3693" s="2" t="s">
        <v>36630</v>
      </c>
      <c r="D3693" s="2" t="s">
        <v>36631</v>
      </c>
      <c r="E3693" s="2" t="s">
        <v>36632</v>
      </c>
      <c r="G3693" s="3" t="s">
        <v>65</v>
      </c>
      <c r="I3693" s="3" t="s">
        <v>65</v>
      </c>
      <c r="J3693" s="3" t="s">
        <v>65</v>
      </c>
      <c r="K3693" s="3" t="s">
        <v>66</v>
      </c>
      <c r="L3693" s="2" t="s">
        <v>36623</v>
      </c>
      <c r="M3693" s="2" t="s">
        <v>28530</v>
      </c>
      <c r="N3693" s="3" t="s">
        <v>113</v>
      </c>
      <c r="O3693" s="2" t="s">
        <v>27453</v>
      </c>
      <c r="P3693" s="3" t="s">
        <v>140</v>
      </c>
      <c r="R3693" s="3" t="s">
        <v>71</v>
      </c>
      <c r="S3693" s="4">
        <v>0</v>
      </c>
      <c r="T3693" s="4">
        <v>0</v>
      </c>
      <c r="W3693" s="5" t="s">
        <v>72</v>
      </c>
      <c r="X3693" s="5" t="s">
        <v>72</v>
      </c>
      <c r="Y3693" s="4">
        <v>50</v>
      </c>
      <c r="Z3693" s="4">
        <v>3</v>
      </c>
      <c r="AA3693" s="4">
        <v>3</v>
      </c>
      <c r="AB3693" s="4">
        <v>1</v>
      </c>
      <c r="AC3693" s="4">
        <v>1</v>
      </c>
      <c r="AD3693" s="4">
        <v>37</v>
      </c>
      <c r="AE3693" s="4">
        <v>37</v>
      </c>
      <c r="AF3693" s="4">
        <v>0</v>
      </c>
      <c r="AG3693" s="4">
        <v>0</v>
      </c>
      <c r="AH3693" s="4">
        <v>36</v>
      </c>
      <c r="AI3693" s="4">
        <v>36</v>
      </c>
      <c r="AJ3693" s="4">
        <v>1</v>
      </c>
      <c r="AK3693" s="4">
        <v>1</v>
      </c>
      <c r="AL3693" s="4">
        <v>31</v>
      </c>
      <c r="AM3693" s="4">
        <v>31</v>
      </c>
      <c r="AN3693" s="4">
        <v>0</v>
      </c>
      <c r="AO3693" s="4">
        <v>0</v>
      </c>
      <c r="AP3693" s="4">
        <v>1</v>
      </c>
      <c r="AQ3693" s="4">
        <v>1</v>
      </c>
      <c r="AR3693" s="3" t="s">
        <v>65</v>
      </c>
      <c r="AS3693" s="3" t="s">
        <v>65</v>
      </c>
      <c r="AT3693" s="3" t="s">
        <v>65</v>
      </c>
      <c r="AV3693" s="6" t="str">
        <f>HYPERLINK("http://mcgill.on.worldcat.org/oclc/610840595","Catalog Record")</f>
        <v>Catalog Record</v>
      </c>
      <c r="AW3693" s="6" t="str">
        <f>HYPERLINK("http://www.worldcat.org/oclc/610840595","WorldCat Record")</f>
        <v>WorldCat Record</v>
      </c>
      <c r="AX3693" s="3" t="s">
        <v>36633</v>
      </c>
      <c r="AY3693" s="3" t="s">
        <v>36634</v>
      </c>
      <c r="AZ3693" s="3" t="s">
        <v>36635</v>
      </c>
      <c r="BA3693" s="3" t="s">
        <v>36635</v>
      </c>
      <c r="BB3693" s="3" t="s">
        <v>36636</v>
      </c>
      <c r="BC3693" s="3" t="s">
        <v>77</v>
      </c>
      <c r="BD3693" s="3" t="s">
        <v>78</v>
      </c>
      <c r="BE3693" s="3" t="s">
        <v>36637</v>
      </c>
      <c r="BF3693" s="3" t="s">
        <v>36636</v>
      </c>
      <c r="BG3693" s="3" t="s">
        <v>36638</v>
      </c>
    </row>
    <row r="3694" spans="1:59" ht="58" x14ac:dyDescent="0.35">
      <c r="A3694" s="2" t="s">
        <v>59</v>
      </c>
      <c r="B3694" s="2" t="s">
        <v>60</v>
      </c>
      <c r="C3694" s="2" t="s">
        <v>36639</v>
      </c>
      <c r="D3694" s="2" t="s">
        <v>36640</v>
      </c>
      <c r="E3694" s="2" t="s">
        <v>36641</v>
      </c>
      <c r="G3694" s="3" t="s">
        <v>65</v>
      </c>
      <c r="I3694" s="3" t="s">
        <v>65</v>
      </c>
      <c r="J3694" s="3" t="s">
        <v>65</v>
      </c>
      <c r="K3694" s="3" t="s">
        <v>66</v>
      </c>
      <c r="L3694" s="2" t="s">
        <v>36623</v>
      </c>
      <c r="M3694" s="2" t="s">
        <v>36642</v>
      </c>
      <c r="N3694" s="3" t="s">
        <v>113</v>
      </c>
      <c r="P3694" s="3" t="s">
        <v>140</v>
      </c>
      <c r="Q3694" s="2" t="s">
        <v>36643</v>
      </c>
      <c r="R3694" s="3" t="s">
        <v>71</v>
      </c>
      <c r="S3694" s="4">
        <v>0</v>
      </c>
      <c r="T3694" s="4">
        <v>0</v>
      </c>
      <c r="W3694" s="5" t="s">
        <v>72</v>
      </c>
      <c r="X3694" s="5" t="s">
        <v>72</v>
      </c>
      <c r="Y3694" s="4">
        <v>43</v>
      </c>
      <c r="Z3694" s="4">
        <v>3</v>
      </c>
      <c r="AA3694" s="4">
        <v>3</v>
      </c>
      <c r="AB3694" s="4">
        <v>1</v>
      </c>
      <c r="AC3694" s="4">
        <v>1</v>
      </c>
      <c r="AD3694" s="4">
        <v>30</v>
      </c>
      <c r="AE3694" s="4">
        <v>30</v>
      </c>
      <c r="AF3694" s="4">
        <v>0</v>
      </c>
      <c r="AG3694" s="4">
        <v>0</v>
      </c>
      <c r="AH3694" s="4">
        <v>29</v>
      </c>
      <c r="AI3694" s="4">
        <v>29</v>
      </c>
      <c r="AJ3694" s="4">
        <v>1</v>
      </c>
      <c r="AK3694" s="4">
        <v>1</v>
      </c>
      <c r="AL3694" s="4">
        <v>24</v>
      </c>
      <c r="AM3694" s="4">
        <v>24</v>
      </c>
      <c r="AN3694" s="4">
        <v>0</v>
      </c>
      <c r="AO3694" s="4">
        <v>0</v>
      </c>
      <c r="AP3694" s="4">
        <v>1</v>
      </c>
      <c r="AQ3694" s="4">
        <v>1</v>
      </c>
      <c r="AR3694" s="3" t="s">
        <v>65</v>
      </c>
      <c r="AS3694" s="3" t="s">
        <v>65</v>
      </c>
      <c r="AT3694" s="3" t="s">
        <v>65</v>
      </c>
      <c r="AV3694" s="6" t="str">
        <f>HYPERLINK("http://mcgill.on.worldcat.org/oclc/707959259","Catalog Record")</f>
        <v>Catalog Record</v>
      </c>
      <c r="AW3694" s="6" t="str">
        <f>HYPERLINK("http://www.worldcat.org/oclc/707959259","WorldCat Record")</f>
        <v>WorldCat Record</v>
      </c>
      <c r="AX3694" s="3" t="s">
        <v>36644</v>
      </c>
      <c r="AY3694" s="3" t="s">
        <v>36645</v>
      </c>
      <c r="AZ3694" s="3" t="s">
        <v>36646</v>
      </c>
      <c r="BA3694" s="3" t="s">
        <v>36646</v>
      </c>
      <c r="BB3694" s="3" t="s">
        <v>36647</v>
      </c>
      <c r="BC3694" s="3" t="s">
        <v>77</v>
      </c>
      <c r="BD3694" s="3" t="s">
        <v>78</v>
      </c>
      <c r="BF3694" s="3" t="s">
        <v>36647</v>
      </c>
      <c r="BG3694" s="3" t="s">
        <v>36648</v>
      </c>
    </row>
    <row r="3695" spans="1:59" ht="58" x14ac:dyDescent="0.35">
      <c r="A3695" s="2" t="s">
        <v>59</v>
      </c>
      <c r="B3695" s="2" t="s">
        <v>60</v>
      </c>
      <c r="C3695" s="2" t="s">
        <v>36649</v>
      </c>
      <c r="D3695" s="2" t="s">
        <v>36650</v>
      </c>
      <c r="E3695" s="2" t="s">
        <v>36651</v>
      </c>
      <c r="G3695" s="3" t="s">
        <v>65</v>
      </c>
      <c r="I3695" s="3" t="s">
        <v>65</v>
      </c>
      <c r="J3695" s="3" t="s">
        <v>65</v>
      </c>
      <c r="K3695" s="3" t="s">
        <v>66</v>
      </c>
      <c r="L3695" s="2" t="s">
        <v>36623</v>
      </c>
      <c r="M3695" s="2" t="s">
        <v>36652</v>
      </c>
      <c r="N3695" s="3" t="s">
        <v>139</v>
      </c>
      <c r="P3695" s="3" t="s">
        <v>140</v>
      </c>
      <c r="Q3695" s="2" t="s">
        <v>17510</v>
      </c>
      <c r="R3695" s="3" t="s">
        <v>71</v>
      </c>
      <c r="S3695" s="4">
        <v>0</v>
      </c>
      <c r="T3695" s="4">
        <v>0</v>
      </c>
      <c r="W3695" s="5" t="s">
        <v>72</v>
      </c>
      <c r="X3695" s="5" t="s">
        <v>72</v>
      </c>
      <c r="Y3695" s="4">
        <v>14</v>
      </c>
      <c r="Z3695" s="4">
        <v>1</v>
      </c>
      <c r="AA3695" s="4">
        <v>3</v>
      </c>
      <c r="AB3695" s="4">
        <v>1</v>
      </c>
      <c r="AC3695" s="4">
        <v>1</v>
      </c>
      <c r="AD3695" s="4">
        <v>3</v>
      </c>
      <c r="AE3695" s="4">
        <v>29</v>
      </c>
      <c r="AF3695" s="4">
        <v>0</v>
      </c>
      <c r="AG3695" s="4">
        <v>0</v>
      </c>
      <c r="AH3695" s="4">
        <v>3</v>
      </c>
      <c r="AI3695" s="4">
        <v>28</v>
      </c>
      <c r="AJ3695" s="4">
        <v>0</v>
      </c>
      <c r="AK3695" s="4">
        <v>1</v>
      </c>
      <c r="AL3695" s="4">
        <v>3</v>
      </c>
      <c r="AM3695" s="4">
        <v>23</v>
      </c>
      <c r="AN3695" s="4">
        <v>0</v>
      </c>
      <c r="AO3695" s="4">
        <v>0</v>
      </c>
      <c r="AP3695" s="4">
        <v>0</v>
      </c>
      <c r="AQ3695" s="4">
        <v>1</v>
      </c>
      <c r="AR3695" s="3" t="s">
        <v>65</v>
      </c>
      <c r="AS3695" s="3" t="s">
        <v>65</v>
      </c>
      <c r="AT3695" s="3" t="s">
        <v>65</v>
      </c>
      <c r="AV3695" s="6" t="str">
        <f>HYPERLINK("http://mcgill.on.worldcat.org/oclc/791855608","Catalog Record")</f>
        <v>Catalog Record</v>
      </c>
      <c r="AW3695" s="6" t="str">
        <f>HYPERLINK("http://www.worldcat.org/oclc/791855608","WorldCat Record")</f>
        <v>WorldCat Record</v>
      </c>
      <c r="AX3695" s="3" t="s">
        <v>36653</v>
      </c>
      <c r="AY3695" s="3" t="s">
        <v>36654</v>
      </c>
      <c r="AZ3695" s="3" t="s">
        <v>36655</v>
      </c>
      <c r="BA3695" s="3" t="s">
        <v>36655</v>
      </c>
      <c r="BB3695" s="3" t="s">
        <v>36656</v>
      </c>
      <c r="BC3695" s="3" t="s">
        <v>77</v>
      </c>
      <c r="BD3695" s="3" t="s">
        <v>78</v>
      </c>
      <c r="BE3695" s="3" t="s">
        <v>36657</v>
      </c>
      <c r="BF3695" s="3" t="s">
        <v>36656</v>
      </c>
      <c r="BG3695" s="3" t="s">
        <v>36658</v>
      </c>
    </row>
    <row r="3696" spans="1:59" ht="72.5" x14ac:dyDescent="0.35">
      <c r="A3696" s="2" t="s">
        <v>59</v>
      </c>
      <c r="B3696" s="2" t="s">
        <v>60</v>
      </c>
      <c r="C3696" s="2" t="s">
        <v>36659</v>
      </c>
      <c r="D3696" s="2" t="s">
        <v>36660</v>
      </c>
      <c r="E3696" s="2" t="s">
        <v>36661</v>
      </c>
      <c r="G3696" s="3" t="s">
        <v>65</v>
      </c>
      <c r="I3696" s="3" t="s">
        <v>65</v>
      </c>
      <c r="J3696" s="3" t="s">
        <v>65</v>
      </c>
      <c r="K3696" s="3" t="s">
        <v>66</v>
      </c>
      <c r="L3696" s="2" t="s">
        <v>36662</v>
      </c>
      <c r="M3696" s="2" t="s">
        <v>36663</v>
      </c>
      <c r="N3696" s="3" t="s">
        <v>113</v>
      </c>
      <c r="P3696" s="3" t="s">
        <v>69</v>
      </c>
      <c r="R3696" s="3" t="s">
        <v>71</v>
      </c>
      <c r="S3696" s="4">
        <v>1</v>
      </c>
      <c r="T3696" s="4">
        <v>1</v>
      </c>
      <c r="U3696" s="5" t="s">
        <v>36664</v>
      </c>
      <c r="V3696" s="5" t="s">
        <v>36664</v>
      </c>
      <c r="W3696" s="5" t="s">
        <v>72</v>
      </c>
      <c r="X3696" s="5" t="s">
        <v>72</v>
      </c>
      <c r="Y3696" s="4">
        <v>48</v>
      </c>
      <c r="Z3696" s="4">
        <v>4</v>
      </c>
      <c r="AA3696" s="4">
        <v>4</v>
      </c>
      <c r="AB3696" s="4">
        <v>1</v>
      </c>
      <c r="AC3696" s="4">
        <v>1</v>
      </c>
      <c r="AD3696" s="4">
        <v>19</v>
      </c>
      <c r="AE3696" s="4">
        <v>19</v>
      </c>
      <c r="AF3696" s="4">
        <v>0</v>
      </c>
      <c r="AG3696" s="4">
        <v>0</v>
      </c>
      <c r="AH3696" s="4">
        <v>18</v>
      </c>
      <c r="AI3696" s="4">
        <v>18</v>
      </c>
      <c r="AJ3696" s="4">
        <v>1</v>
      </c>
      <c r="AK3696" s="4">
        <v>1</v>
      </c>
      <c r="AL3696" s="4">
        <v>14</v>
      </c>
      <c r="AM3696" s="4">
        <v>14</v>
      </c>
      <c r="AN3696" s="4">
        <v>0</v>
      </c>
      <c r="AO3696" s="4">
        <v>0</v>
      </c>
      <c r="AP3696" s="4">
        <v>1</v>
      </c>
      <c r="AQ3696" s="4">
        <v>1</v>
      </c>
      <c r="AR3696" s="3" t="s">
        <v>65</v>
      </c>
      <c r="AS3696" s="3" t="s">
        <v>65</v>
      </c>
      <c r="AT3696" s="3" t="s">
        <v>65</v>
      </c>
      <c r="AV3696" s="6" t="str">
        <f>HYPERLINK("http://mcgill.on.worldcat.org/oclc/467760877","Catalog Record")</f>
        <v>Catalog Record</v>
      </c>
      <c r="AW3696" s="6" t="str">
        <f>HYPERLINK("http://www.worldcat.org/oclc/467760877","WorldCat Record")</f>
        <v>WorldCat Record</v>
      </c>
      <c r="AX3696" s="3" t="s">
        <v>36665</v>
      </c>
      <c r="AY3696" s="3" t="s">
        <v>36666</v>
      </c>
      <c r="AZ3696" s="3" t="s">
        <v>36667</v>
      </c>
      <c r="BA3696" s="3" t="s">
        <v>36667</v>
      </c>
      <c r="BB3696" s="3" t="s">
        <v>36668</v>
      </c>
      <c r="BC3696" s="3" t="s">
        <v>77</v>
      </c>
      <c r="BD3696" s="3" t="s">
        <v>78</v>
      </c>
      <c r="BE3696" s="3" t="s">
        <v>36669</v>
      </c>
      <c r="BF3696" s="3" t="s">
        <v>36668</v>
      </c>
      <c r="BG3696" s="3" t="s">
        <v>36670</v>
      </c>
    </row>
    <row r="3697" spans="1:59" ht="58" x14ac:dyDescent="0.35">
      <c r="A3697" s="2" t="s">
        <v>59</v>
      </c>
      <c r="B3697" s="2" t="s">
        <v>60</v>
      </c>
      <c r="C3697" s="2" t="s">
        <v>36671</v>
      </c>
      <c r="D3697" s="2" t="s">
        <v>36672</v>
      </c>
      <c r="E3697" s="2" t="s">
        <v>36673</v>
      </c>
      <c r="G3697" s="3" t="s">
        <v>65</v>
      </c>
      <c r="I3697" s="3" t="s">
        <v>65</v>
      </c>
      <c r="J3697" s="3" t="s">
        <v>65</v>
      </c>
      <c r="K3697" s="3" t="s">
        <v>66</v>
      </c>
      <c r="L3697" s="2" t="s">
        <v>36674</v>
      </c>
      <c r="M3697" s="2" t="s">
        <v>36675</v>
      </c>
      <c r="N3697" s="3" t="s">
        <v>188</v>
      </c>
      <c r="P3697" s="3" t="s">
        <v>69</v>
      </c>
      <c r="Q3697" s="2" t="s">
        <v>36676</v>
      </c>
      <c r="R3697" s="3" t="s">
        <v>71</v>
      </c>
      <c r="S3697" s="4">
        <v>6</v>
      </c>
      <c r="T3697" s="4">
        <v>6</v>
      </c>
      <c r="U3697" s="5" t="s">
        <v>36677</v>
      </c>
      <c r="V3697" s="5" t="s">
        <v>36677</v>
      </c>
      <c r="W3697" s="5" t="s">
        <v>72</v>
      </c>
      <c r="X3697" s="5" t="s">
        <v>72</v>
      </c>
      <c r="Y3697" s="4">
        <v>258</v>
      </c>
      <c r="Z3697" s="4">
        <v>6</v>
      </c>
      <c r="AA3697" s="4">
        <v>7</v>
      </c>
      <c r="AB3697" s="4">
        <v>1</v>
      </c>
      <c r="AC3697" s="4">
        <v>2</v>
      </c>
      <c r="AD3697" s="4">
        <v>50</v>
      </c>
      <c r="AE3697" s="4">
        <v>51</v>
      </c>
      <c r="AF3697" s="4">
        <v>0</v>
      </c>
      <c r="AG3697" s="4">
        <v>0</v>
      </c>
      <c r="AH3697" s="4">
        <v>50</v>
      </c>
      <c r="AI3697" s="4">
        <v>50</v>
      </c>
      <c r="AJ3697" s="4">
        <v>2</v>
      </c>
      <c r="AK3697" s="4">
        <v>2</v>
      </c>
      <c r="AL3697" s="4">
        <v>36</v>
      </c>
      <c r="AM3697" s="4">
        <v>37</v>
      </c>
      <c r="AN3697" s="4">
        <v>0</v>
      </c>
      <c r="AO3697" s="4">
        <v>0</v>
      </c>
      <c r="AP3697" s="4">
        <v>2</v>
      </c>
      <c r="AQ3697" s="4">
        <v>2</v>
      </c>
      <c r="AR3697" s="3" t="s">
        <v>65</v>
      </c>
      <c r="AS3697" s="3" t="s">
        <v>65</v>
      </c>
      <c r="AT3697" s="3" t="s">
        <v>65</v>
      </c>
      <c r="AV3697" s="6" t="str">
        <f>HYPERLINK("http://mcgill.on.worldcat.org/oclc/961003091","Catalog Record")</f>
        <v>Catalog Record</v>
      </c>
      <c r="AW3697" s="6" t="str">
        <f>HYPERLINK("http://www.worldcat.org/oclc/961003091","WorldCat Record")</f>
        <v>WorldCat Record</v>
      </c>
      <c r="AX3697" s="3" t="s">
        <v>36678</v>
      </c>
      <c r="AY3697" s="3" t="s">
        <v>36679</v>
      </c>
      <c r="AZ3697" s="3" t="s">
        <v>36680</v>
      </c>
      <c r="BA3697" s="3" t="s">
        <v>36680</v>
      </c>
      <c r="BB3697" s="3" t="s">
        <v>36681</v>
      </c>
      <c r="BC3697" s="3" t="s">
        <v>77</v>
      </c>
      <c r="BD3697" s="3" t="s">
        <v>78</v>
      </c>
      <c r="BE3697" s="3" t="s">
        <v>36682</v>
      </c>
      <c r="BF3697" s="3" t="s">
        <v>36681</v>
      </c>
      <c r="BG3697" s="3" t="s">
        <v>36683</v>
      </c>
    </row>
    <row r="3698" spans="1:59" ht="58" x14ac:dyDescent="0.35">
      <c r="A3698" s="2" t="s">
        <v>59</v>
      </c>
      <c r="B3698" s="2" t="s">
        <v>60</v>
      </c>
      <c r="C3698" s="2" t="s">
        <v>36684</v>
      </c>
      <c r="D3698" s="2" t="s">
        <v>36685</v>
      </c>
      <c r="E3698" s="2" t="s">
        <v>36686</v>
      </c>
      <c r="G3698" s="3" t="s">
        <v>65</v>
      </c>
      <c r="I3698" s="3" t="s">
        <v>65</v>
      </c>
      <c r="J3698" s="3" t="s">
        <v>65</v>
      </c>
      <c r="K3698" s="3" t="s">
        <v>66</v>
      </c>
      <c r="L3698" s="2" t="s">
        <v>36674</v>
      </c>
      <c r="M3698" s="2" t="s">
        <v>36687</v>
      </c>
      <c r="N3698" s="3" t="s">
        <v>247</v>
      </c>
      <c r="P3698" s="3" t="s">
        <v>69</v>
      </c>
      <c r="Q3698" s="2" t="s">
        <v>36688</v>
      </c>
      <c r="R3698" s="3" t="s">
        <v>71</v>
      </c>
      <c r="S3698" s="4">
        <v>4</v>
      </c>
      <c r="T3698" s="4">
        <v>4</v>
      </c>
      <c r="U3698" s="5" t="s">
        <v>36689</v>
      </c>
      <c r="V3698" s="5" t="s">
        <v>36689</v>
      </c>
      <c r="W3698" s="5" t="s">
        <v>72</v>
      </c>
      <c r="X3698" s="5" t="s">
        <v>72</v>
      </c>
      <c r="Y3698" s="4">
        <v>219</v>
      </c>
      <c r="Z3698" s="4">
        <v>4</v>
      </c>
      <c r="AA3698" s="4">
        <v>17</v>
      </c>
      <c r="AB3698" s="4">
        <v>1</v>
      </c>
      <c r="AC3698" s="4">
        <v>4</v>
      </c>
      <c r="AD3698" s="4">
        <v>51</v>
      </c>
      <c r="AE3698" s="4">
        <v>75</v>
      </c>
      <c r="AF3698" s="4">
        <v>0</v>
      </c>
      <c r="AG3698" s="4">
        <v>0</v>
      </c>
      <c r="AH3698" s="4">
        <v>47</v>
      </c>
      <c r="AI3698" s="4">
        <v>69</v>
      </c>
      <c r="AJ3698" s="4">
        <v>2</v>
      </c>
      <c r="AK3698" s="4">
        <v>9</v>
      </c>
      <c r="AL3698" s="4">
        <v>34</v>
      </c>
      <c r="AM3698" s="4">
        <v>48</v>
      </c>
      <c r="AN3698" s="4">
        <v>0</v>
      </c>
      <c r="AO3698" s="4">
        <v>0</v>
      </c>
      <c r="AP3698" s="4">
        <v>2</v>
      </c>
      <c r="AQ3698" s="4">
        <v>9</v>
      </c>
      <c r="AR3698" s="3" t="s">
        <v>65</v>
      </c>
      <c r="AS3698" s="3" t="s">
        <v>65</v>
      </c>
      <c r="AT3698" s="3" t="s">
        <v>65</v>
      </c>
      <c r="AV3698" s="6" t="str">
        <f>HYPERLINK("http://mcgill.on.worldcat.org/oclc/27432209","Catalog Record")</f>
        <v>Catalog Record</v>
      </c>
      <c r="AW3698" s="6" t="str">
        <f>HYPERLINK("http://www.worldcat.org/oclc/27432209","WorldCat Record")</f>
        <v>WorldCat Record</v>
      </c>
      <c r="AX3698" s="3" t="s">
        <v>36690</v>
      </c>
      <c r="AY3698" s="3" t="s">
        <v>36691</v>
      </c>
      <c r="AZ3698" s="3" t="s">
        <v>36692</v>
      </c>
      <c r="BA3698" s="3" t="s">
        <v>36692</v>
      </c>
      <c r="BB3698" s="3" t="s">
        <v>36693</v>
      </c>
      <c r="BC3698" s="3" t="s">
        <v>77</v>
      </c>
      <c r="BD3698" s="3" t="s">
        <v>106</v>
      </c>
      <c r="BE3698" s="3" t="s">
        <v>36694</v>
      </c>
      <c r="BF3698" s="3" t="s">
        <v>36693</v>
      </c>
      <c r="BG3698" s="3" t="s">
        <v>36695</v>
      </c>
    </row>
    <row r="3699" spans="1:59" ht="58" x14ac:dyDescent="0.35">
      <c r="A3699" s="2" t="s">
        <v>59</v>
      </c>
      <c r="B3699" s="2" t="s">
        <v>60</v>
      </c>
      <c r="C3699" s="2" t="s">
        <v>36696</v>
      </c>
      <c r="D3699" s="2" t="s">
        <v>36697</v>
      </c>
      <c r="E3699" s="2" t="s">
        <v>36698</v>
      </c>
      <c r="G3699" s="3" t="s">
        <v>65</v>
      </c>
      <c r="I3699" s="3" t="s">
        <v>65</v>
      </c>
      <c r="J3699" s="3" t="s">
        <v>65</v>
      </c>
      <c r="K3699" s="3" t="s">
        <v>66</v>
      </c>
      <c r="L3699" s="2" t="s">
        <v>36699</v>
      </c>
      <c r="M3699" s="2" t="s">
        <v>36700</v>
      </c>
      <c r="N3699" s="3" t="s">
        <v>1967</v>
      </c>
      <c r="P3699" s="3" t="s">
        <v>69</v>
      </c>
      <c r="R3699" s="3" t="s">
        <v>71</v>
      </c>
      <c r="S3699" s="4">
        <v>3</v>
      </c>
      <c r="T3699" s="4">
        <v>3</v>
      </c>
      <c r="U3699" s="5" t="s">
        <v>36677</v>
      </c>
      <c r="V3699" s="5" t="s">
        <v>36677</v>
      </c>
      <c r="W3699" s="5" t="s">
        <v>72</v>
      </c>
      <c r="X3699" s="5" t="s">
        <v>72</v>
      </c>
      <c r="Y3699" s="4">
        <v>169</v>
      </c>
      <c r="Z3699" s="4">
        <v>9</v>
      </c>
      <c r="AA3699" s="4">
        <v>11</v>
      </c>
      <c r="AB3699" s="4">
        <v>1</v>
      </c>
      <c r="AC3699" s="4">
        <v>3</v>
      </c>
      <c r="AD3699" s="4">
        <v>68</v>
      </c>
      <c r="AE3699" s="4">
        <v>70</v>
      </c>
      <c r="AF3699" s="4">
        <v>0</v>
      </c>
      <c r="AG3699" s="4">
        <v>0</v>
      </c>
      <c r="AH3699" s="4">
        <v>63</v>
      </c>
      <c r="AI3699" s="4">
        <v>65</v>
      </c>
      <c r="AJ3699" s="4">
        <v>4</v>
      </c>
      <c r="AK3699" s="4">
        <v>4</v>
      </c>
      <c r="AL3699" s="4">
        <v>46</v>
      </c>
      <c r="AM3699" s="4">
        <v>47</v>
      </c>
      <c r="AN3699" s="4">
        <v>0</v>
      </c>
      <c r="AO3699" s="4">
        <v>0</v>
      </c>
      <c r="AP3699" s="4">
        <v>4</v>
      </c>
      <c r="AQ3699" s="4">
        <v>4</v>
      </c>
      <c r="AR3699" s="3" t="s">
        <v>65</v>
      </c>
      <c r="AS3699" s="3" t="s">
        <v>65</v>
      </c>
      <c r="AT3699" s="3" t="s">
        <v>65</v>
      </c>
      <c r="AV3699" s="6" t="str">
        <f>HYPERLINK("http://mcgill.on.worldcat.org/oclc/52430958","Catalog Record")</f>
        <v>Catalog Record</v>
      </c>
      <c r="AW3699" s="6" t="str">
        <f>HYPERLINK("http://www.worldcat.org/oclc/52430958","WorldCat Record")</f>
        <v>WorldCat Record</v>
      </c>
      <c r="AX3699" s="3" t="s">
        <v>36701</v>
      </c>
      <c r="AY3699" s="3" t="s">
        <v>36702</v>
      </c>
      <c r="AZ3699" s="3" t="s">
        <v>36703</v>
      </c>
      <c r="BA3699" s="3" t="s">
        <v>36703</v>
      </c>
      <c r="BB3699" s="3" t="s">
        <v>36704</v>
      </c>
      <c r="BC3699" s="3" t="s">
        <v>77</v>
      </c>
      <c r="BD3699" s="3" t="s">
        <v>78</v>
      </c>
      <c r="BE3699" s="3" t="s">
        <v>36705</v>
      </c>
      <c r="BF3699" s="3" t="s">
        <v>36704</v>
      </c>
      <c r="BG3699" s="3" t="s">
        <v>36706</v>
      </c>
    </row>
    <row r="3700" spans="1:59" ht="58" x14ac:dyDescent="0.35">
      <c r="A3700" s="2" t="s">
        <v>59</v>
      </c>
      <c r="B3700" s="2" t="s">
        <v>60</v>
      </c>
      <c r="C3700" s="2" t="s">
        <v>36707</v>
      </c>
      <c r="D3700" s="2" t="s">
        <v>36708</v>
      </c>
      <c r="E3700" s="2" t="s">
        <v>36709</v>
      </c>
      <c r="G3700" s="3" t="s">
        <v>65</v>
      </c>
      <c r="I3700" s="3" t="s">
        <v>65</v>
      </c>
      <c r="J3700" s="3" t="s">
        <v>65</v>
      </c>
      <c r="K3700" s="3" t="s">
        <v>66</v>
      </c>
      <c r="L3700" s="2" t="s">
        <v>36674</v>
      </c>
      <c r="M3700" s="2" t="s">
        <v>36710</v>
      </c>
      <c r="N3700" s="3" t="s">
        <v>164</v>
      </c>
      <c r="P3700" s="3" t="s">
        <v>140</v>
      </c>
      <c r="Q3700" s="2" t="s">
        <v>36711</v>
      </c>
      <c r="R3700" s="3" t="s">
        <v>71</v>
      </c>
      <c r="S3700" s="4">
        <v>1</v>
      </c>
      <c r="T3700" s="4">
        <v>1</v>
      </c>
      <c r="U3700" s="5" t="s">
        <v>32043</v>
      </c>
      <c r="V3700" s="5" t="s">
        <v>32043</v>
      </c>
      <c r="W3700" s="5" t="s">
        <v>72</v>
      </c>
      <c r="X3700" s="5" t="s">
        <v>72</v>
      </c>
      <c r="Y3700" s="4">
        <v>34</v>
      </c>
      <c r="Z3700" s="4">
        <v>4</v>
      </c>
      <c r="AA3700" s="4">
        <v>4</v>
      </c>
      <c r="AB3700" s="4">
        <v>1</v>
      </c>
      <c r="AC3700" s="4">
        <v>1</v>
      </c>
      <c r="AD3700" s="4">
        <v>26</v>
      </c>
      <c r="AE3700" s="4">
        <v>26</v>
      </c>
      <c r="AF3700" s="4">
        <v>0</v>
      </c>
      <c r="AG3700" s="4">
        <v>0</v>
      </c>
      <c r="AH3700" s="4">
        <v>25</v>
      </c>
      <c r="AI3700" s="4">
        <v>25</v>
      </c>
      <c r="AJ3700" s="4">
        <v>2</v>
      </c>
      <c r="AK3700" s="4">
        <v>2</v>
      </c>
      <c r="AL3700" s="4">
        <v>21</v>
      </c>
      <c r="AM3700" s="4">
        <v>21</v>
      </c>
      <c r="AN3700" s="4">
        <v>0</v>
      </c>
      <c r="AO3700" s="4">
        <v>0</v>
      </c>
      <c r="AP3700" s="4">
        <v>2</v>
      </c>
      <c r="AQ3700" s="4">
        <v>2</v>
      </c>
      <c r="AR3700" s="3" t="s">
        <v>65</v>
      </c>
      <c r="AS3700" s="3" t="s">
        <v>65</v>
      </c>
      <c r="AT3700" s="3" t="s">
        <v>65</v>
      </c>
      <c r="AV3700" s="6" t="str">
        <f>HYPERLINK("http://mcgill.on.worldcat.org/oclc/903666855","Catalog Record")</f>
        <v>Catalog Record</v>
      </c>
      <c r="AW3700" s="6" t="str">
        <f>HYPERLINK("http://www.worldcat.org/oclc/903666855","WorldCat Record")</f>
        <v>WorldCat Record</v>
      </c>
      <c r="AX3700" s="3" t="s">
        <v>36712</v>
      </c>
      <c r="AY3700" s="3" t="s">
        <v>36713</v>
      </c>
      <c r="AZ3700" s="3" t="s">
        <v>36714</v>
      </c>
      <c r="BA3700" s="3" t="s">
        <v>36714</v>
      </c>
      <c r="BB3700" s="3" t="s">
        <v>36715</v>
      </c>
      <c r="BC3700" s="3" t="s">
        <v>77</v>
      </c>
      <c r="BD3700" s="3" t="s">
        <v>78</v>
      </c>
      <c r="BE3700" s="3" t="s">
        <v>36716</v>
      </c>
      <c r="BF3700" s="3" t="s">
        <v>36715</v>
      </c>
      <c r="BG3700" s="3" t="s">
        <v>36717</v>
      </c>
    </row>
    <row r="3701" spans="1:59" ht="58" x14ac:dyDescent="0.35">
      <c r="A3701" s="2" t="s">
        <v>59</v>
      </c>
      <c r="B3701" s="2" t="s">
        <v>60</v>
      </c>
      <c r="C3701" s="2" t="s">
        <v>36718</v>
      </c>
      <c r="D3701" s="2" t="s">
        <v>36719</v>
      </c>
      <c r="E3701" s="2" t="s">
        <v>36720</v>
      </c>
      <c r="G3701" s="3" t="s">
        <v>65</v>
      </c>
      <c r="I3701" s="3" t="s">
        <v>65</v>
      </c>
      <c r="J3701" s="3" t="s">
        <v>65</v>
      </c>
      <c r="K3701" s="3" t="s">
        <v>66</v>
      </c>
      <c r="L3701" s="2" t="s">
        <v>36674</v>
      </c>
      <c r="M3701" s="2" t="s">
        <v>36675</v>
      </c>
      <c r="N3701" s="3" t="s">
        <v>188</v>
      </c>
      <c r="O3701" s="2" t="s">
        <v>36721</v>
      </c>
      <c r="P3701" s="3" t="s">
        <v>69</v>
      </c>
      <c r="R3701" s="3" t="s">
        <v>71</v>
      </c>
      <c r="S3701" s="4">
        <v>3</v>
      </c>
      <c r="T3701" s="4">
        <v>3</v>
      </c>
      <c r="U3701" s="5" t="s">
        <v>2631</v>
      </c>
      <c r="V3701" s="5" t="s">
        <v>2631</v>
      </c>
      <c r="W3701" s="5" t="s">
        <v>72</v>
      </c>
      <c r="X3701" s="5" t="s">
        <v>72</v>
      </c>
      <c r="Y3701" s="4">
        <v>158</v>
      </c>
      <c r="Z3701" s="4">
        <v>5</v>
      </c>
      <c r="AA3701" s="4">
        <v>6</v>
      </c>
      <c r="AB3701" s="4">
        <v>1</v>
      </c>
      <c r="AC3701" s="4">
        <v>1</v>
      </c>
      <c r="AD3701" s="4">
        <v>46</v>
      </c>
      <c r="AE3701" s="4">
        <v>46</v>
      </c>
      <c r="AF3701" s="4">
        <v>0</v>
      </c>
      <c r="AG3701" s="4">
        <v>0</v>
      </c>
      <c r="AH3701" s="4">
        <v>44</v>
      </c>
      <c r="AI3701" s="4">
        <v>44</v>
      </c>
      <c r="AJ3701" s="4">
        <v>2</v>
      </c>
      <c r="AK3701" s="4">
        <v>2</v>
      </c>
      <c r="AL3701" s="4">
        <v>35</v>
      </c>
      <c r="AM3701" s="4">
        <v>35</v>
      </c>
      <c r="AN3701" s="4">
        <v>0</v>
      </c>
      <c r="AO3701" s="4">
        <v>0</v>
      </c>
      <c r="AP3701" s="4">
        <v>2</v>
      </c>
      <c r="AQ3701" s="4">
        <v>2</v>
      </c>
      <c r="AR3701" s="3" t="s">
        <v>65</v>
      </c>
      <c r="AS3701" s="3" t="s">
        <v>65</v>
      </c>
      <c r="AT3701" s="3" t="s">
        <v>65</v>
      </c>
      <c r="AV3701" s="6" t="str">
        <f>HYPERLINK("http://mcgill.on.worldcat.org/oclc/961007934","Catalog Record")</f>
        <v>Catalog Record</v>
      </c>
      <c r="AW3701" s="6" t="str">
        <f>HYPERLINK("http://www.worldcat.org/oclc/961007934","WorldCat Record")</f>
        <v>WorldCat Record</v>
      </c>
      <c r="AX3701" s="3" t="s">
        <v>36722</v>
      </c>
      <c r="AY3701" s="3" t="s">
        <v>36723</v>
      </c>
      <c r="AZ3701" s="3" t="s">
        <v>36724</v>
      </c>
      <c r="BA3701" s="3" t="s">
        <v>36724</v>
      </c>
      <c r="BB3701" s="3" t="s">
        <v>36725</v>
      </c>
      <c r="BC3701" s="3" t="s">
        <v>77</v>
      </c>
      <c r="BD3701" s="3" t="s">
        <v>106</v>
      </c>
      <c r="BE3701" s="3" t="s">
        <v>36726</v>
      </c>
      <c r="BF3701" s="3" t="s">
        <v>36725</v>
      </c>
      <c r="BG3701" s="3" t="s">
        <v>36727</v>
      </c>
    </row>
    <row r="3702" spans="1:59" ht="58" x14ac:dyDescent="0.35">
      <c r="A3702" s="2" t="s">
        <v>59</v>
      </c>
      <c r="B3702" s="2" t="s">
        <v>60</v>
      </c>
      <c r="C3702" s="2" t="s">
        <v>36728</v>
      </c>
      <c r="D3702" s="2" t="s">
        <v>36729</v>
      </c>
      <c r="E3702" s="2" t="s">
        <v>36730</v>
      </c>
      <c r="G3702" s="3" t="s">
        <v>65</v>
      </c>
      <c r="I3702" s="3" t="s">
        <v>65</v>
      </c>
      <c r="J3702" s="3" t="s">
        <v>65</v>
      </c>
      <c r="K3702" s="3" t="s">
        <v>66</v>
      </c>
      <c r="L3702" s="2" t="s">
        <v>36731</v>
      </c>
      <c r="M3702" s="2" t="s">
        <v>36732</v>
      </c>
      <c r="N3702" s="3" t="s">
        <v>113</v>
      </c>
      <c r="O3702" s="2" t="s">
        <v>3829</v>
      </c>
      <c r="P3702" s="3" t="s">
        <v>140</v>
      </c>
      <c r="Q3702" s="2" t="s">
        <v>36733</v>
      </c>
      <c r="R3702" s="3" t="s">
        <v>71</v>
      </c>
      <c r="S3702" s="4">
        <v>0</v>
      </c>
      <c r="T3702" s="4">
        <v>0</v>
      </c>
      <c r="W3702" s="5" t="s">
        <v>72</v>
      </c>
      <c r="X3702" s="5" t="s">
        <v>72</v>
      </c>
      <c r="Y3702" s="4">
        <v>63</v>
      </c>
      <c r="Z3702" s="4">
        <v>5</v>
      </c>
      <c r="AA3702" s="4">
        <v>5</v>
      </c>
      <c r="AB3702" s="4">
        <v>1</v>
      </c>
      <c r="AC3702" s="4">
        <v>1</v>
      </c>
      <c r="AD3702" s="4">
        <v>37</v>
      </c>
      <c r="AE3702" s="4">
        <v>37</v>
      </c>
      <c r="AF3702" s="4">
        <v>0</v>
      </c>
      <c r="AG3702" s="4">
        <v>0</v>
      </c>
      <c r="AH3702" s="4">
        <v>36</v>
      </c>
      <c r="AI3702" s="4">
        <v>36</v>
      </c>
      <c r="AJ3702" s="4">
        <v>3</v>
      </c>
      <c r="AK3702" s="4">
        <v>3</v>
      </c>
      <c r="AL3702" s="4">
        <v>27</v>
      </c>
      <c r="AM3702" s="4">
        <v>27</v>
      </c>
      <c r="AN3702" s="4">
        <v>0</v>
      </c>
      <c r="AO3702" s="4">
        <v>0</v>
      </c>
      <c r="AP3702" s="4">
        <v>3</v>
      </c>
      <c r="AQ3702" s="4">
        <v>3</v>
      </c>
      <c r="AR3702" s="3" t="s">
        <v>65</v>
      </c>
      <c r="AS3702" s="3" t="s">
        <v>65</v>
      </c>
      <c r="AT3702" s="3" t="s">
        <v>65</v>
      </c>
      <c r="AV3702" s="6" t="str">
        <f>HYPERLINK("http://mcgill.on.worldcat.org/oclc/680493834","Catalog Record")</f>
        <v>Catalog Record</v>
      </c>
      <c r="AW3702" s="6" t="str">
        <f>HYPERLINK("http://www.worldcat.org/oclc/680493834","WorldCat Record")</f>
        <v>WorldCat Record</v>
      </c>
      <c r="AX3702" s="3" t="s">
        <v>36734</v>
      </c>
      <c r="AY3702" s="3" t="s">
        <v>36735</v>
      </c>
      <c r="AZ3702" s="3" t="s">
        <v>36736</v>
      </c>
      <c r="BA3702" s="3" t="s">
        <v>36736</v>
      </c>
      <c r="BB3702" s="3" t="s">
        <v>36737</v>
      </c>
      <c r="BC3702" s="3" t="s">
        <v>77</v>
      </c>
      <c r="BD3702" s="3" t="s">
        <v>78</v>
      </c>
      <c r="BE3702" s="3" t="s">
        <v>36738</v>
      </c>
      <c r="BF3702" s="3" t="s">
        <v>36737</v>
      </c>
      <c r="BG3702" s="3" t="s">
        <v>36739</v>
      </c>
    </row>
    <row r="3703" spans="1:59" ht="58" x14ac:dyDescent="0.35">
      <c r="A3703" s="2" t="s">
        <v>59</v>
      </c>
      <c r="B3703" s="2" t="s">
        <v>60</v>
      </c>
      <c r="C3703" s="2" t="s">
        <v>36740</v>
      </c>
      <c r="D3703" s="2" t="s">
        <v>36741</v>
      </c>
      <c r="E3703" s="2" t="s">
        <v>36742</v>
      </c>
      <c r="G3703" s="3" t="s">
        <v>65</v>
      </c>
      <c r="I3703" s="3" t="s">
        <v>65</v>
      </c>
      <c r="J3703" s="3" t="s">
        <v>65</v>
      </c>
      <c r="K3703" s="3" t="s">
        <v>66</v>
      </c>
      <c r="L3703" s="2" t="s">
        <v>36743</v>
      </c>
      <c r="M3703" s="2" t="s">
        <v>10185</v>
      </c>
      <c r="N3703" s="3" t="s">
        <v>139</v>
      </c>
      <c r="O3703" s="2" t="s">
        <v>379</v>
      </c>
      <c r="P3703" s="3" t="s">
        <v>140</v>
      </c>
      <c r="Q3703" s="2" t="s">
        <v>34336</v>
      </c>
      <c r="R3703" s="3" t="s">
        <v>71</v>
      </c>
      <c r="S3703" s="4">
        <v>0</v>
      </c>
      <c r="T3703" s="4">
        <v>0</v>
      </c>
      <c r="W3703" s="5" t="s">
        <v>72</v>
      </c>
      <c r="X3703" s="5" t="s">
        <v>72</v>
      </c>
      <c r="Y3703" s="4">
        <v>29</v>
      </c>
      <c r="Z3703" s="4">
        <v>4</v>
      </c>
      <c r="AA3703" s="4">
        <v>5</v>
      </c>
      <c r="AB3703" s="4">
        <v>1</v>
      </c>
      <c r="AC3703" s="4">
        <v>2</v>
      </c>
      <c r="AD3703" s="4">
        <v>20</v>
      </c>
      <c r="AE3703" s="4">
        <v>22</v>
      </c>
      <c r="AF3703" s="4">
        <v>0</v>
      </c>
      <c r="AG3703" s="4">
        <v>0</v>
      </c>
      <c r="AH3703" s="4">
        <v>19</v>
      </c>
      <c r="AI3703" s="4">
        <v>21</v>
      </c>
      <c r="AJ3703" s="4">
        <v>2</v>
      </c>
      <c r="AK3703" s="4">
        <v>2</v>
      </c>
      <c r="AL3703" s="4">
        <v>14</v>
      </c>
      <c r="AM3703" s="4">
        <v>16</v>
      </c>
      <c r="AN3703" s="4">
        <v>0</v>
      </c>
      <c r="AO3703" s="4">
        <v>0</v>
      </c>
      <c r="AP3703" s="4">
        <v>2</v>
      </c>
      <c r="AQ3703" s="4">
        <v>2</v>
      </c>
      <c r="AR3703" s="3" t="s">
        <v>65</v>
      </c>
      <c r="AS3703" s="3" t="s">
        <v>65</v>
      </c>
      <c r="AT3703" s="3" t="s">
        <v>65</v>
      </c>
      <c r="AV3703" s="6" t="str">
        <f>HYPERLINK("http://mcgill.on.worldcat.org/oclc/818780909","Catalog Record")</f>
        <v>Catalog Record</v>
      </c>
      <c r="AW3703" s="6" t="str">
        <f>HYPERLINK("http://www.worldcat.org/oclc/818780909","WorldCat Record")</f>
        <v>WorldCat Record</v>
      </c>
      <c r="AX3703" s="3" t="s">
        <v>36744</v>
      </c>
      <c r="AY3703" s="3" t="s">
        <v>36745</v>
      </c>
      <c r="AZ3703" s="3" t="s">
        <v>36746</v>
      </c>
      <c r="BA3703" s="3" t="s">
        <v>36746</v>
      </c>
      <c r="BB3703" s="3" t="s">
        <v>36747</v>
      </c>
      <c r="BC3703" s="3" t="s">
        <v>77</v>
      </c>
      <c r="BD3703" s="3" t="s">
        <v>78</v>
      </c>
      <c r="BE3703" s="3" t="s">
        <v>36748</v>
      </c>
      <c r="BF3703" s="3" t="s">
        <v>36747</v>
      </c>
      <c r="BG3703" s="3" t="s">
        <v>36749</v>
      </c>
    </row>
    <row r="3704" spans="1:59" ht="58" x14ac:dyDescent="0.35">
      <c r="A3704" s="2" t="s">
        <v>59</v>
      </c>
      <c r="B3704" s="2" t="s">
        <v>60</v>
      </c>
      <c r="C3704" s="2" t="s">
        <v>36750</v>
      </c>
      <c r="D3704" s="2" t="s">
        <v>36751</v>
      </c>
      <c r="E3704" s="2" t="s">
        <v>36752</v>
      </c>
      <c r="G3704" s="3" t="s">
        <v>65</v>
      </c>
      <c r="I3704" s="3" t="s">
        <v>65</v>
      </c>
      <c r="J3704" s="3" t="s">
        <v>65</v>
      </c>
      <c r="K3704" s="3" t="s">
        <v>66</v>
      </c>
      <c r="L3704" s="2" t="s">
        <v>36743</v>
      </c>
      <c r="M3704" s="2" t="s">
        <v>10185</v>
      </c>
      <c r="N3704" s="3" t="s">
        <v>139</v>
      </c>
      <c r="O3704" s="2" t="s">
        <v>365</v>
      </c>
      <c r="P3704" s="3" t="s">
        <v>140</v>
      </c>
      <c r="Q3704" s="2" t="s">
        <v>34336</v>
      </c>
      <c r="R3704" s="3" t="s">
        <v>71</v>
      </c>
      <c r="S3704" s="4">
        <v>0</v>
      </c>
      <c r="T3704" s="4">
        <v>0</v>
      </c>
      <c r="W3704" s="5" t="s">
        <v>72</v>
      </c>
      <c r="X3704" s="5" t="s">
        <v>72</v>
      </c>
      <c r="Y3704" s="4">
        <v>42</v>
      </c>
      <c r="Z3704" s="4">
        <v>4</v>
      </c>
      <c r="AA3704" s="4">
        <v>4</v>
      </c>
      <c r="AB3704" s="4">
        <v>1</v>
      </c>
      <c r="AC3704" s="4">
        <v>1</v>
      </c>
      <c r="AD3704" s="4">
        <v>29</v>
      </c>
      <c r="AE3704" s="4">
        <v>29</v>
      </c>
      <c r="AF3704" s="4">
        <v>0</v>
      </c>
      <c r="AG3704" s="4">
        <v>0</v>
      </c>
      <c r="AH3704" s="4">
        <v>28</v>
      </c>
      <c r="AI3704" s="4">
        <v>28</v>
      </c>
      <c r="AJ3704" s="4">
        <v>2</v>
      </c>
      <c r="AK3704" s="4">
        <v>2</v>
      </c>
      <c r="AL3704" s="4">
        <v>20</v>
      </c>
      <c r="AM3704" s="4">
        <v>20</v>
      </c>
      <c r="AN3704" s="4">
        <v>0</v>
      </c>
      <c r="AO3704" s="4">
        <v>0</v>
      </c>
      <c r="AP3704" s="4">
        <v>2</v>
      </c>
      <c r="AQ3704" s="4">
        <v>2</v>
      </c>
      <c r="AR3704" s="3" t="s">
        <v>65</v>
      </c>
      <c r="AS3704" s="3" t="s">
        <v>65</v>
      </c>
      <c r="AT3704" s="3" t="s">
        <v>65</v>
      </c>
      <c r="AV3704" s="6" t="str">
        <f>HYPERLINK("http://mcgill.on.worldcat.org/oclc/777474831","Catalog Record")</f>
        <v>Catalog Record</v>
      </c>
      <c r="AW3704" s="6" t="str">
        <f>HYPERLINK("http://www.worldcat.org/oclc/777474831","WorldCat Record")</f>
        <v>WorldCat Record</v>
      </c>
      <c r="AX3704" s="3" t="s">
        <v>36753</v>
      </c>
      <c r="AY3704" s="3" t="s">
        <v>36754</v>
      </c>
      <c r="AZ3704" s="3" t="s">
        <v>36755</v>
      </c>
      <c r="BA3704" s="3" t="s">
        <v>36755</v>
      </c>
      <c r="BB3704" s="3" t="s">
        <v>36756</v>
      </c>
      <c r="BC3704" s="3" t="s">
        <v>77</v>
      </c>
      <c r="BD3704" s="3" t="s">
        <v>78</v>
      </c>
      <c r="BE3704" s="3" t="s">
        <v>36757</v>
      </c>
      <c r="BF3704" s="3" t="s">
        <v>36756</v>
      </c>
      <c r="BG3704" s="3" t="s">
        <v>36758</v>
      </c>
    </row>
    <row r="3705" spans="1:59" ht="58" x14ac:dyDescent="0.35">
      <c r="A3705" s="2" t="s">
        <v>59</v>
      </c>
      <c r="B3705" s="2" t="s">
        <v>60</v>
      </c>
      <c r="C3705" s="2" t="s">
        <v>36759</v>
      </c>
      <c r="D3705" s="2" t="s">
        <v>36760</v>
      </c>
      <c r="E3705" s="2" t="s">
        <v>36761</v>
      </c>
      <c r="G3705" s="3" t="s">
        <v>65</v>
      </c>
      <c r="I3705" s="3" t="s">
        <v>65</v>
      </c>
      <c r="J3705" s="3" t="s">
        <v>209</v>
      </c>
      <c r="K3705" s="3" t="s">
        <v>66</v>
      </c>
      <c r="L3705" s="2" t="s">
        <v>36743</v>
      </c>
      <c r="M3705" s="2" t="s">
        <v>36762</v>
      </c>
      <c r="N3705" s="3" t="s">
        <v>1151</v>
      </c>
      <c r="P3705" s="3" t="s">
        <v>140</v>
      </c>
      <c r="R3705" s="3" t="s">
        <v>71</v>
      </c>
      <c r="S3705" s="4">
        <v>3</v>
      </c>
      <c r="T3705" s="4">
        <v>3</v>
      </c>
      <c r="U3705" s="5" t="s">
        <v>35936</v>
      </c>
      <c r="V3705" s="5" t="s">
        <v>35936</v>
      </c>
      <c r="W3705" s="5" t="s">
        <v>72</v>
      </c>
      <c r="X3705" s="5" t="s">
        <v>72</v>
      </c>
      <c r="Y3705" s="4">
        <v>39</v>
      </c>
      <c r="Z3705" s="4">
        <v>7</v>
      </c>
      <c r="AA3705" s="4">
        <v>7</v>
      </c>
      <c r="AB3705" s="4">
        <v>1</v>
      </c>
      <c r="AC3705" s="4">
        <v>1</v>
      </c>
      <c r="AD3705" s="4">
        <v>22</v>
      </c>
      <c r="AE3705" s="4">
        <v>33</v>
      </c>
      <c r="AF3705" s="4">
        <v>0</v>
      </c>
      <c r="AG3705" s="4">
        <v>0</v>
      </c>
      <c r="AH3705" s="4">
        <v>22</v>
      </c>
      <c r="AI3705" s="4">
        <v>32</v>
      </c>
      <c r="AJ3705" s="4">
        <v>4</v>
      </c>
      <c r="AK3705" s="4">
        <v>4</v>
      </c>
      <c r="AL3705" s="4">
        <v>14</v>
      </c>
      <c r="AM3705" s="4">
        <v>22</v>
      </c>
      <c r="AN3705" s="4">
        <v>0</v>
      </c>
      <c r="AO3705" s="4">
        <v>0</v>
      </c>
      <c r="AP3705" s="4">
        <v>4</v>
      </c>
      <c r="AQ3705" s="4">
        <v>4</v>
      </c>
      <c r="AR3705" s="3" t="s">
        <v>65</v>
      </c>
      <c r="AS3705" s="3" t="s">
        <v>65</v>
      </c>
      <c r="AT3705" s="3" t="s">
        <v>209</v>
      </c>
      <c r="AU3705" s="6" t="str">
        <f>HYPERLINK("http://catalog.hathitrust.org/Record/000170102","HathiTrust Record")</f>
        <v>HathiTrust Record</v>
      </c>
      <c r="AV3705" s="6" t="str">
        <f>HYPERLINK("http://mcgill.on.worldcat.org/oclc/2668344","Catalog Record")</f>
        <v>Catalog Record</v>
      </c>
      <c r="AW3705" s="6" t="str">
        <f>HYPERLINK("http://www.worldcat.org/oclc/2668344","WorldCat Record")</f>
        <v>WorldCat Record</v>
      </c>
      <c r="AX3705" s="3" t="s">
        <v>36763</v>
      </c>
      <c r="AY3705" s="3" t="s">
        <v>36764</v>
      </c>
      <c r="AZ3705" s="3" t="s">
        <v>36765</v>
      </c>
      <c r="BA3705" s="3" t="s">
        <v>36765</v>
      </c>
      <c r="BB3705" s="3" t="s">
        <v>36766</v>
      </c>
      <c r="BC3705" s="3" t="s">
        <v>77</v>
      </c>
      <c r="BD3705" s="3" t="s">
        <v>78</v>
      </c>
      <c r="BF3705" s="3" t="s">
        <v>36766</v>
      </c>
      <c r="BG3705" s="3" t="s">
        <v>36767</v>
      </c>
    </row>
    <row r="3706" spans="1:59" ht="58" x14ac:dyDescent="0.35">
      <c r="A3706" s="2" t="s">
        <v>59</v>
      </c>
      <c r="B3706" s="2" t="s">
        <v>60</v>
      </c>
      <c r="C3706" s="2" t="s">
        <v>36768</v>
      </c>
      <c r="D3706" s="2" t="s">
        <v>36769</v>
      </c>
      <c r="E3706" s="2" t="s">
        <v>36770</v>
      </c>
      <c r="G3706" s="3" t="s">
        <v>65</v>
      </c>
      <c r="I3706" s="3" t="s">
        <v>65</v>
      </c>
      <c r="J3706" s="3" t="s">
        <v>65</v>
      </c>
      <c r="K3706" s="3" t="s">
        <v>66</v>
      </c>
      <c r="L3706" s="2" t="s">
        <v>36743</v>
      </c>
      <c r="M3706" s="2" t="s">
        <v>36771</v>
      </c>
      <c r="N3706" s="3" t="s">
        <v>126</v>
      </c>
      <c r="P3706" s="3" t="s">
        <v>140</v>
      </c>
      <c r="Q3706" s="2" t="s">
        <v>36772</v>
      </c>
      <c r="R3706" s="3" t="s">
        <v>71</v>
      </c>
      <c r="S3706" s="4">
        <v>0</v>
      </c>
      <c r="T3706" s="4">
        <v>0</v>
      </c>
      <c r="W3706" s="5" t="s">
        <v>72</v>
      </c>
      <c r="X3706" s="5" t="s">
        <v>72</v>
      </c>
      <c r="Y3706" s="4">
        <v>19</v>
      </c>
      <c r="Z3706" s="4">
        <v>4</v>
      </c>
      <c r="AA3706" s="4">
        <v>4</v>
      </c>
      <c r="AB3706" s="4">
        <v>1</v>
      </c>
      <c r="AC3706" s="4">
        <v>1</v>
      </c>
      <c r="AD3706" s="4">
        <v>15</v>
      </c>
      <c r="AE3706" s="4">
        <v>15</v>
      </c>
      <c r="AF3706" s="4">
        <v>0</v>
      </c>
      <c r="AG3706" s="4">
        <v>0</v>
      </c>
      <c r="AH3706" s="4">
        <v>15</v>
      </c>
      <c r="AI3706" s="4">
        <v>15</v>
      </c>
      <c r="AJ3706" s="4">
        <v>2</v>
      </c>
      <c r="AK3706" s="4">
        <v>2</v>
      </c>
      <c r="AL3706" s="4">
        <v>10</v>
      </c>
      <c r="AM3706" s="4">
        <v>10</v>
      </c>
      <c r="AN3706" s="4">
        <v>0</v>
      </c>
      <c r="AO3706" s="4">
        <v>0</v>
      </c>
      <c r="AP3706" s="4">
        <v>2</v>
      </c>
      <c r="AQ3706" s="4">
        <v>2</v>
      </c>
      <c r="AR3706" s="3" t="s">
        <v>65</v>
      </c>
      <c r="AS3706" s="3" t="s">
        <v>65</v>
      </c>
      <c r="AT3706" s="3" t="s">
        <v>65</v>
      </c>
      <c r="AV3706" s="6" t="str">
        <f>HYPERLINK("http://mcgill.on.worldcat.org/oclc/783120215","Catalog Record")</f>
        <v>Catalog Record</v>
      </c>
      <c r="AW3706" s="6" t="str">
        <f>HYPERLINK("http://www.worldcat.org/oclc/783120215","WorldCat Record")</f>
        <v>WorldCat Record</v>
      </c>
      <c r="AX3706" s="3" t="s">
        <v>36773</v>
      </c>
      <c r="AY3706" s="3" t="s">
        <v>36774</v>
      </c>
      <c r="AZ3706" s="3" t="s">
        <v>36775</v>
      </c>
      <c r="BA3706" s="3" t="s">
        <v>36775</v>
      </c>
      <c r="BB3706" s="3" t="s">
        <v>36776</v>
      </c>
      <c r="BC3706" s="3" t="s">
        <v>77</v>
      </c>
      <c r="BD3706" s="3" t="s">
        <v>78</v>
      </c>
      <c r="BE3706" s="3" t="s">
        <v>36777</v>
      </c>
      <c r="BF3706" s="3" t="s">
        <v>36776</v>
      </c>
      <c r="BG3706" s="3" t="s">
        <v>36778</v>
      </c>
    </row>
    <row r="3707" spans="1:59" ht="58" x14ac:dyDescent="0.35">
      <c r="A3707" s="2" t="s">
        <v>59</v>
      </c>
      <c r="B3707" s="2" t="s">
        <v>60</v>
      </c>
      <c r="C3707" s="2" t="s">
        <v>36779</v>
      </c>
      <c r="D3707" s="2" t="s">
        <v>36780</v>
      </c>
      <c r="E3707" s="2" t="s">
        <v>36781</v>
      </c>
      <c r="G3707" s="3" t="s">
        <v>65</v>
      </c>
      <c r="I3707" s="3" t="s">
        <v>65</v>
      </c>
      <c r="J3707" s="3" t="s">
        <v>65</v>
      </c>
      <c r="K3707" s="3" t="s">
        <v>66</v>
      </c>
      <c r="L3707" s="2" t="s">
        <v>36782</v>
      </c>
      <c r="M3707" s="2" t="s">
        <v>36783</v>
      </c>
      <c r="N3707" s="3" t="s">
        <v>1967</v>
      </c>
      <c r="P3707" s="3" t="s">
        <v>140</v>
      </c>
      <c r="Q3707" s="2" t="s">
        <v>23043</v>
      </c>
      <c r="R3707" s="3" t="s">
        <v>71</v>
      </c>
      <c r="S3707" s="4">
        <v>1</v>
      </c>
      <c r="T3707" s="4">
        <v>1</v>
      </c>
      <c r="U3707" s="5" t="s">
        <v>36784</v>
      </c>
      <c r="V3707" s="5" t="s">
        <v>36784</v>
      </c>
      <c r="W3707" s="5" t="s">
        <v>72</v>
      </c>
      <c r="X3707" s="5" t="s">
        <v>72</v>
      </c>
      <c r="Y3707" s="4">
        <v>70</v>
      </c>
      <c r="Z3707" s="4">
        <v>5</v>
      </c>
      <c r="AA3707" s="4">
        <v>6</v>
      </c>
      <c r="AB3707" s="4">
        <v>1</v>
      </c>
      <c r="AC3707" s="4">
        <v>2</v>
      </c>
      <c r="AD3707" s="4">
        <v>37</v>
      </c>
      <c r="AE3707" s="4">
        <v>43</v>
      </c>
      <c r="AF3707" s="4">
        <v>0</v>
      </c>
      <c r="AG3707" s="4">
        <v>1</v>
      </c>
      <c r="AH3707" s="4">
        <v>36</v>
      </c>
      <c r="AI3707" s="4">
        <v>40</v>
      </c>
      <c r="AJ3707" s="4">
        <v>3</v>
      </c>
      <c r="AK3707" s="4">
        <v>4</v>
      </c>
      <c r="AL3707" s="4">
        <v>26</v>
      </c>
      <c r="AM3707" s="4">
        <v>31</v>
      </c>
      <c r="AN3707" s="4">
        <v>0</v>
      </c>
      <c r="AO3707" s="4">
        <v>0</v>
      </c>
      <c r="AP3707" s="4">
        <v>3</v>
      </c>
      <c r="AQ3707" s="4">
        <v>3</v>
      </c>
      <c r="AR3707" s="3" t="s">
        <v>65</v>
      </c>
      <c r="AS3707" s="3" t="s">
        <v>65</v>
      </c>
      <c r="AT3707" s="3" t="s">
        <v>209</v>
      </c>
      <c r="AU3707" s="6" t="str">
        <f>HYPERLINK("http://catalog.hathitrust.org/Record/003849430","HathiTrust Record")</f>
        <v>HathiTrust Record</v>
      </c>
      <c r="AV3707" s="6" t="str">
        <f>HYPERLINK("http://mcgill.on.worldcat.org/oclc/51788641","Catalog Record")</f>
        <v>Catalog Record</v>
      </c>
      <c r="AW3707" s="6" t="str">
        <f>HYPERLINK("http://www.worldcat.org/oclc/51788641","WorldCat Record")</f>
        <v>WorldCat Record</v>
      </c>
      <c r="AX3707" s="3" t="s">
        <v>36785</v>
      </c>
      <c r="AY3707" s="3" t="s">
        <v>36786</v>
      </c>
      <c r="AZ3707" s="3" t="s">
        <v>36787</v>
      </c>
      <c r="BA3707" s="3" t="s">
        <v>36787</v>
      </c>
      <c r="BB3707" s="3" t="s">
        <v>36788</v>
      </c>
      <c r="BC3707" s="3" t="s">
        <v>77</v>
      </c>
      <c r="BD3707" s="3" t="s">
        <v>78</v>
      </c>
      <c r="BE3707" s="3" t="s">
        <v>36789</v>
      </c>
      <c r="BF3707" s="3" t="s">
        <v>36788</v>
      </c>
      <c r="BG3707" s="3" t="s">
        <v>36790</v>
      </c>
    </row>
    <row r="3708" spans="1:59" ht="58" x14ac:dyDescent="0.35">
      <c r="A3708" s="2" t="s">
        <v>59</v>
      </c>
      <c r="B3708" s="2" t="s">
        <v>60</v>
      </c>
      <c r="C3708" s="2" t="s">
        <v>36791</v>
      </c>
      <c r="D3708" s="2" t="s">
        <v>36792</v>
      </c>
      <c r="E3708" s="2" t="s">
        <v>36793</v>
      </c>
      <c r="G3708" s="3" t="s">
        <v>65</v>
      </c>
      <c r="I3708" s="3" t="s">
        <v>65</v>
      </c>
      <c r="J3708" s="3" t="s">
        <v>65</v>
      </c>
      <c r="K3708" s="3" t="s">
        <v>66</v>
      </c>
      <c r="L3708" s="2" t="s">
        <v>36794</v>
      </c>
      <c r="M3708" s="2" t="s">
        <v>36795</v>
      </c>
      <c r="N3708" s="3" t="s">
        <v>615</v>
      </c>
      <c r="O3708" s="2" t="s">
        <v>3829</v>
      </c>
      <c r="P3708" s="3" t="s">
        <v>140</v>
      </c>
      <c r="Q3708" s="2" t="s">
        <v>36796</v>
      </c>
      <c r="R3708" s="3" t="s">
        <v>71</v>
      </c>
      <c r="S3708" s="4">
        <v>7</v>
      </c>
      <c r="T3708" s="4">
        <v>7</v>
      </c>
      <c r="U3708" s="5" t="s">
        <v>36797</v>
      </c>
      <c r="V3708" s="5" t="s">
        <v>36797</v>
      </c>
      <c r="W3708" s="5" t="s">
        <v>72</v>
      </c>
      <c r="X3708" s="5" t="s">
        <v>72</v>
      </c>
      <c r="Y3708" s="4">
        <v>14</v>
      </c>
      <c r="Z3708" s="4">
        <v>1</v>
      </c>
      <c r="AA3708" s="4">
        <v>11</v>
      </c>
      <c r="AB3708" s="4">
        <v>1</v>
      </c>
      <c r="AC3708" s="4">
        <v>1</v>
      </c>
      <c r="AD3708" s="4">
        <v>5</v>
      </c>
      <c r="AE3708" s="4">
        <v>51</v>
      </c>
      <c r="AF3708" s="4">
        <v>0</v>
      </c>
      <c r="AG3708" s="4">
        <v>0</v>
      </c>
      <c r="AH3708" s="4">
        <v>5</v>
      </c>
      <c r="AI3708" s="4">
        <v>46</v>
      </c>
      <c r="AJ3708" s="4">
        <v>0</v>
      </c>
      <c r="AK3708" s="4">
        <v>6</v>
      </c>
      <c r="AL3708" s="4">
        <v>2</v>
      </c>
      <c r="AM3708" s="4">
        <v>30</v>
      </c>
      <c r="AN3708" s="4">
        <v>0</v>
      </c>
      <c r="AO3708" s="4">
        <v>0</v>
      </c>
      <c r="AP3708" s="4">
        <v>0</v>
      </c>
      <c r="AQ3708" s="4">
        <v>6</v>
      </c>
      <c r="AR3708" s="3" t="s">
        <v>65</v>
      </c>
      <c r="AS3708" s="3" t="s">
        <v>65</v>
      </c>
      <c r="AT3708" s="3" t="s">
        <v>65</v>
      </c>
      <c r="AV3708" s="6" t="str">
        <f>HYPERLINK("http://mcgill.on.worldcat.org/oclc/13246797","Catalog Record")</f>
        <v>Catalog Record</v>
      </c>
      <c r="AW3708" s="6" t="str">
        <f>HYPERLINK("http://www.worldcat.org/oclc/13246797","WorldCat Record")</f>
        <v>WorldCat Record</v>
      </c>
      <c r="AX3708" s="3" t="s">
        <v>36798</v>
      </c>
      <c r="AY3708" s="3" t="s">
        <v>36799</v>
      </c>
      <c r="AZ3708" s="3" t="s">
        <v>36800</v>
      </c>
      <c r="BA3708" s="3" t="s">
        <v>36800</v>
      </c>
      <c r="BB3708" s="3" t="s">
        <v>36801</v>
      </c>
      <c r="BC3708" s="3" t="s">
        <v>77</v>
      </c>
      <c r="BD3708" s="3" t="s">
        <v>78</v>
      </c>
      <c r="BE3708" s="3" t="s">
        <v>36802</v>
      </c>
      <c r="BF3708" s="3" t="s">
        <v>36801</v>
      </c>
      <c r="BG3708" s="3" t="s">
        <v>36803</v>
      </c>
    </row>
    <row r="3709" spans="1:59" ht="58" x14ac:dyDescent="0.35">
      <c r="A3709" s="2" t="s">
        <v>59</v>
      </c>
      <c r="B3709" s="2" t="s">
        <v>60</v>
      </c>
      <c r="C3709" s="2" t="s">
        <v>36804</v>
      </c>
      <c r="D3709" s="2" t="s">
        <v>36805</v>
      </c>
      <c r="E3709" s="2" t="s">
        <v>36806</v>
      </c>
      <c r="G3709" s="3" t="s">
        <v>65</v>
      </c>
      <c r="I3709" s="3" t="s">
        <v>65</v>
      </c>
      <c r="J3709" s="3" t="s">
        <v>65</v>
      </c>
      <c r="K3709" s="3" t="s">
        <v>66</v>
      </c>
      <c r="L3709" s="2" t="s">
        <v>36807</v>
      </c>
      <c r="M3709" s="2" t="s">
        <v>36808</v>
      </c>
      <c r="N3709" s="3" t="s">
        <v>955</v>
      </c>
      <c r="P3709" s="3" t="s">
        <v>140</v>
      </c>
      <c r="Q3709" s="2" t="s">
        <v>36809</v>
      </c>
      <c r="R3709" s="3" t="s">
        <v>71</v>
      </c>
      <c r="S3709" s="4">
        <v>1</v>
      </c>
      <c r="T3709" s="4">
        <v>1</v>
      </c>
      <c r="U3709" s="5" t="s">
        <v>36810</v>
      </c>
      <c r="V3709" s="5" t="s">
        <v>36810</v>
      </c>
      <c r="W3709" s="5" t="s">
        <v>72</v>
      </c>
      <c r="X3709" s="5" t="s">
        <v>72</v>
      </c>
      <c r="Y3709" s="4">
        <v>27</v>
      </c>
      <c r="Z3709" s="4">
        <v>4</v>
      </c>
      <c r="AA3709" s="4">
        <v>4</v>
      </c>
      <c r="AB3709" s="4">
        <v>1</v>
      </c>
      <c r="AC3709" s="4">
        <v>1</v>
      </c>
      <c r="AD3709" s="4">
        <v>14</v>
      </c>
      <c r="AE3709" s="4">
        <v>14</v>
      </c>
      <c r="AF3709" s="4">
        <v>0</v>
      </c>
      <c r="AG3709" s="4">
        <v>0</v>
      </c>
      <c r="AH3709" s="4">
        <v>13</v>
      </c>
      <c r="AI3709" s="4">
        <v>13</v>
      </c>
      <c r="AJ3709" s="4">
        <v>2</v>
      </c>
      <c r="AK3709" s="4">
        <v>2</v>
      </c>
      <c r="AL3709" s="4">
        <v>12</v>
      </c>
      <c r="AM3709" s="4">
        <v>12</v>
      </c>
      <c r="AN3709" s="4">
        <v>0</v>
      </c>
      <c r="AO3709" s="4">
        <v>0</v>
      </c>
      <c r="AP3709" s="4">
        <v>2</v>
      </c>
      <c r="AQ3709" s="4">
        <v>2</v>
      </c>
      <c r="AR3709" s="3" t="s">
        <v>65</v>
      </c>
      <c r="AS3709" s="3" t="s">
        <v>65</v>
      </c>
      <c r="AT3709" s="3" t="s">
        <v>65</v>
      </c>
      <c r="AV3709" s="6" t="str">
        <f>HYPERLINK("http://mcgill.on.worldcat.org/oclc/7213129","Catalog Record")</f>
        <v>Catalog Record</v>
      </c>
      <c r="AW3709" s="6" t="str">
        <f>HYPERLINK("http://www.worldcat.org/oclc/7213129","WorldCat Record")</f>
        <v>WorldCat Record</v>
      </c>
      <c r="AX3709" s="3" t="s">
        <v>36811</v>
      </c>
      <c r="AY3709" s="3" t="s">
        <v>36812</v>
      </c>
      <c r="AZ3709" s="3" t="s">
        <v>36813</v>
      </c>
      <c r="BA3709" s="3" t="s">
        <v>36813</v>
      </c>
      <c r="BB3709" s="3" t="s">
        <v>36814</v>
      </c>
      <c r="BC3709" s="3" t="s">
        <v>77</v>
      </c>
      <c r="BD3709" s="3" t="s">
        <v>78</v>
      </c>
      <c r="BF3709" s="3" t="s">
        <v>36814</v>
      </c>
      <c r="BG3709" s="3" t="s">
        <v>36815</v>
      </c>
    </row>
    <row r="3710" spans="1:59" ht="58" x14ac:dyDescent="0.35">
      <c r="A3710" s="2" t="s">
        <v>59</v>
      </c>
      <c r="B3710" s="2" t="s">
        <v>60</v>
      </c>
      <c r="C3710" s="2" t="s">
        <v>36816</v>
      </c>
      <c r="D3710" s="2" t="s">
        <v>36817</v>
      </c>
      <c r="E3710" s="2" t="s">
        <v>36818</v>
      </c>
      <c r="G3710" s="3" t="s">
        <v>65</v>
      </c>
      <c r="I3710" s="3" t="s">
        <v>65</v>
      </c>
      <c r="J3710" s="3" t="s">
        <v>65</v>
      </c>
      <c r="K3710" s="3" t="s">
        <v>66</v>
      </c>
      <c r="L3710" s="2" t="s">
        <v>36819</v>
      </c>
      <c r="M3710" s="2" t="s">
        <v>19714</v>
      </c>
      <c r="N3710" s="3" t="s">
        <v>113</v>
      </c>
      <c r="P3710" s="3" t="s">
        <v>140</v>
      </c>
      <c r="Q3710" s="2" t="s">
        <v>36820</v>
      </c>
      <c r="R3710" s="3" t="s">
        <v>71</v>
      </c>
      <c r="S3710" s="4">
        <v>0</v>
      </c>
      <c r="T3710" s="4">
        <v>0</v>
      </c>
      <c r="W3710" s="5" t="s">
        <v>72</v>
      </c>
      <c r="X3710" s="5" t="s">
        <v>72</v>
      </c>
      <c r="Y3710" s="4">
        <v>21</v>
      </c>
      <c r="Z3710" s="4">
        <v>3</v>
      </c>
      <c r="AA3710" s="4">
        <v>3</v>
      </c>
      <c r="AB3710" s="4">
        <v>1</v>
      </c>
      <c r="AC3710" s="4">
        <v>1</v>
      </c>
      <c r="AD3710" s="4">
        <v>16</v>
      </c>
      <c r="AE3710" s="4">
        <v>16</v>
      </c>
      <c r="AF3710" s="4">
        <v>0</v>
      </c>
      <c r="AG3710" s="4">
        <v>0</v>
      </c>
      <c r="AH3710" s="4">
        <v>15</v>
      </c>
      <c r="AI3710" s="4">
        <v>15</v>
      </c>
      <c r="AJ3710" s="4">
        <v>1</v>
      </c>
      <c r="AK3710" s="4">
        <v>1</v>
      </c>
      <c r="AL3710" s="4">
        <v>12</v>
      </c>
      <c r="AM3710" s="4">
        <v>12</v>
      </c>
      <c r="AN3710" s="4">
        <v>0</v>
      </c>
      <c r="AO3710" s="4">
        <v>0</v>
      </c>
      <c r="AP3710" s="4">
        <v>1</v>
      </c>
      <c r="AQ3710" s="4">
        <v>1</v>
      </c>
      <c r="AR3710" s="3" t="s">
        <v>65</v>
      </c>
      <c r="AS3710" s="3" t="s">
        <v>65</v>
      </c>
      <c r="AT3710" s="3" t="s">
        <v>65</v>
      </c>
      <c r="AV3710" s="6" t="str">
        <f>HYPERLINK("http://mcgill.on.worldcat.org/oclc/652361179","Catalog Record")</f>
        <v>Catalog Record</v>
      </c>
      <c r="AW3710" s="6" t="str">
        <f>HYPERLINK("http://www.worldcat.org/oclc/652361179","WorldCat Record")</f>
        <v>WorldCat Record</v>
      </c>
      <c r="AX3710" s="3" t="s">
        <v>36821</v>
      </c>
      <c r="AY3710" s="3" t="s">
        <v>36822</v>
      </c>
      <c r="AZ3710" s="3" t="s">
        <v>36823</v>
      </c>
      <c r="BA3710" s="3" t="s">
        <v>36823</v>
      </c>
      <c r="BB3710" s="3" t="s">
        <v>36824</v>
      </c>
      <c r="BC3710" s="3" t="s">
        <v>77</v>
      </c>
      <c r="BD3710" s="3" t="s">
        <v>78</v>
      </c>
      <c r="BE3710" s="3" t="s">
        <v>36825</v>
      </c>
      <c r="BF3710" s="3" t="s">
        <v>36824</v>
      </c>
      <c r="BG3710" s="3" t="s">
        <v>36826</v>
      </c>
    </row>
    <row r="3711" spans="1:59" ht="58" x14ac:dyDescent="0.35">
      <c r="A3711" s="2" t="s">
        <v>59</v>
      </c>
      <c r="B3711" s="2" t="s">
        <v>60</v>
      </c>
      <c r="C3711" s="2" t="s">
        <v>36827</v>
      </c>
      <c r="D3711" s="2" t="s">
        <v>36828</v>
      </c>
      <c r="E3711" s="2" t="s">
        <v>36829</v>
      </c>
      <c r="F3711" s="3" t="s">
        <v>245</v>
      </c>
      <c r="G3711" s="3" t="s">
        <v>209</v>
      </c>
      <c r="I3711" s="3" t="s">
        <v>65</v>
      </c>
      <c r="J3711" s="3" t="s">
        <v>209</v>
      </c>
      <c r="K3711" s="3" t="s">
        <v>66</v>
      </c>
      <c r="L3711" s="2" t="s">
        <v>36830</v>
      </c>
      <c r="M3711" s="2" t="s">
        <v>36831</v>
      </c>
      <c r="N3711" s="3" t="s">
        <v>552</v>
      </c>
      <c r="P3711" s="3" t="s">
        <v>140</v>
      </c>
      <c r="Q3711" s="2" t="s">
        <v>36832</v>
      </c>
      <c r="R3711" s="3" t="s">
        <v>71</v>
      </c>
      <c r="S3711" s="4">
        <v>15</v>
      </c>
      <c r="T3711" s="4">
        <v>21</v>
      </c>
      <c r="U3711" s="5" t="s">
        <v>10224</v>
      </c>
      <c r="V3711" s="5" t="s">
        <v>10224</v>
      </c>
      <c r="W3711" s="5" t="s">
        <v>72</v>
      </c>
      <c r="X3711" s="5" t="s">
        <v>72</v>
      </c>
      <c r="Y3711" s="4">
        <v>100</v>
      </c>
      <c r="Z3711" s="4">
        <v>6</v>
      </c>
      <c r="AA3711" s="4">
        <v>14</v>
      </c>
      <c r="AB3711" s="4">
        <v>2</v>
      </c>
      <c r="AC3711" s="4">
        <v>3</v>
      </c>
      <c r="AD3711" s="4">
        <v>49</v>
      </c>
      <c r="AE3711" s="4">
        <v>81</v>
      </c>
      <c r="AF3711" s="4">
        <v>1</v>
      </c>
      <c r="AG3711" s="4">
        <v>2</v>
      </c>
      <c r="AH3711" s="4">
        <v>48</v>
      </c>
      <c r="AI3711" s="4">
        <v>75</v>
      </c>
      <c r="AJ3711" s="4">
        <v>4</v>
      </c>
      <c r="AK3711" s="4">
        <v>12</v>
      </c>
      <c r="AL3711" s="4">
        <v>36</v>
      </c>
      <c r="AM3711" s="4">
        <v>49</v>
      </c>
      <c r="AN3711" s="4">
        <v>0</v>
      </c>
      <c r="AO3711" s="4">
        <v>0</v>
      </c>
      <c r="AP3711" s="4">
        <v>4</v>
      </c>
      <c r="AQ3711" s="4">
        <v>11</v>
      </c>
      <c r="AR3711" s="3" t="s">
        <v>65</v>
      </c>
      <c r="AS3711" s="3" t="s">
        <v>65</v>
      </c>
      <c r="AT3711" s="3" t="s">
        <v>209</v>
      </c>
      <c r="AU3711" s="6" t="str">
        <f>HYPERLINK("http://catalog.hathitrust.org/Record/003266524","HathiTrust Record")</f>
        <v>HathiTrust Record</v>
      </c>
      <c r="AV3711" s="6" t="str">
        <f>HYPERLINK("http://mcgill.on.worldcat.org/oclc/38312544","Catalog Record")</f>
        <v>Catalog Record</v>
      </c>
      <c r="AW3711" s="6" t="str">
        <f>HYPERLINK("http://www.worldcat.org/oclc/38312544","WorldCat Record")</f>
        <v>WorldCat Record</v>
      </c>
      <c r="AX3711" s="3" t="s">
        <v>36833</v>
      </c>
      <c r="AY3711" s="3" t="s">
        <v>36834</v>
      </c>
      <c r="AZ3711" s="3" t="s">
        <v>36835</v>
      </c>
      <c r="BA3711" s="3" t="s">
        <v>36835</v>
      </c>
      <c r="BB3711" s="3" t="s">
        <v>36836</v>
      </c>
      <c r="BC3711" s="3" t="s">
        <v>77</v>
      </c>
      <c r="BD3711" s="3" t="s">
        <v>78</v>
      </c>
      <c r="BE3711" s="3" t="s">
        <v>36837</v>
      </c>
      <c r="BF3711" s="3" t="s">
        <v>36836</v>
      </c>
      <c r="BG3711" s="3" t="s">
        <v>36838</v>
      </c>
    </row>
    <row r="3712" spans="1:59" ht="58" x14ac:dyDescent="0.35">
      <c r="A3712" s="2" t="s">
        <v>59</v>
      </c>
      <c r="B3712" s="2" t="s">
        <v>60</v>
      </c>
      <c r="C3712" s="2" t="s">
        <v>36827</v>
      </c>
      <c r="D3712" s="2" t="s">
        <v>36828</v>
      </c>
      <c r="E3712" s="2" t="s">
        <v>36829</v>
      </c>
      <c r="F3712" s="3" t="s">
        <v>258</v>
      </c>
      <c r="G3712" s="3" t="s">
        <v>209</v>
      </c>
      <c r="I3712" s="3" t="s">
        <v>65</v>
      </c>
      <c r="J3712" s="3" t="s">
        <v>209</v>
      </c>
      <c r="K3712" s="3" t="s">
        <v>66</v>
      </c>
      <c r="L3712" s="2" t="s">
        <v>36830</v>
      </c>
      <c r="M3712" s="2" t="s">
        <v>36831</v>
      </c>
      <c r="N3712" s="3" t="s">
        <v>552</v>
      </c>
      <c r="P3712" s="3" t="s">
        <v>140</v>
      </c>
      <c r="Q3712" s="2" t="s">
        <v>36832</v>
      </c>
      <c r="R3712" s="3" t="s">
        <v>71</v>
      </c>
      <c r="S3712" s="4">
        <v>6</v>
      </c>
      <c r="T3712" s="4">
        <v>21</v>
      </c>
      <c r="U3712" s="5" t="s">
        <v>36839</v>
      </c>
      <c r="V3712" s="5" t="s">
        <v>10224</v>
      </c>
      <c r="W3712" s="5" t="s">
        <v>72</v>
      </c>
      <c r="X3712" s="5" t="s">
        <v>72</v>
      </c>
      <c r="Y3712" s="4">
        <v>100</v>
      </c>
      <c r="Z3712" s="4">
        <v>6</v>
      </c>
      <c r="AA3712" s="4">
        <v>14</v>
      </c>
      <c r="AB3712" s="4">
        <v>2</v>
      </c>
      <c r="AC3712" s="4">
        <v>3</v>
      </c>
      <c r="AD3712" s="4">
        <v>49</v>
      </c>
      <c r="AE3712" s="4">
        <v>81</v>
      </c>
      <c r="AF3712" s="4">
        <v>1</v>
      </c>
      <c r="AG3712" s="4">
        <v>2</v>
      </c>
      <c r="AH3712" s="4">
        <v>48</v>
      </c>
      <c r="AI3712" s="4">
        <v>75</v>
      </c>
      <c r="AJ3712" s="4">
        <v>4</v>
      </c>
      <c r="AK3712" s="4">
        <v>12</v>
      </c>
      <c r="AL3712" s="4">
        <v>36</v>
      </c>
      <c r="AM3712" s="4">
        <v>49</v>
      </c>
      <c r="AN3712" s="4">
        <v>0</v>
      </c>
      <c r="AO3712" s="4">
        <v>0</v>
      </c>
      <c r="AP3712" s="4">
        <v>4</v>
      </c>
      <c r="AQ3712" s="4">
        <v>11</v>
      </c>
      <c r="AR3712" s="3" t="s">
        <v>65</v>
      </c>
      <c r="AS3712" s="3" t="s">
        <v>65</v>
      </c>
      <c r="AT3712" s="3" t="s">
        <v>209</v>
      </c>
      <c r="AU3712" s="6" t="str">
        <f>HYPERLINK("http://catalog.hathitrust.org/Record/003266524","HathiTrust Record")</f>
        <v>HathiTrust Record</v>
      </c>
      <c r="AV3712" s="6" t="str">
        <f>HYPERLINK("http://mcgill.on.worldcat.org/oclc/38312544","Catalog Record")</f>
        <v>Catalog Record</v>
      </c>
      <c r="AW3712" s="6" t="str">
        <f>HYPERLINK("http://www.worldcat.org/oclc/38312544","WorldCat Record")</f>
        <v>WorldCat Record</v>
      </c>
      <c r="AX3712" s="3" t="s">
        <v>36833</v>
      </c>
      <c r="AY3712" s="3" t="s">
        <v>36834</v>
      </c>
      <c r="AZ3712" s="3" t="s">
        <v>36835</v>
      </c>
      <c r="BA3712" s="3" t="s">
        <v>36835</v>
      </c>
      <c r="BB3712" s="3" t="s">
        <v>36840</v>
      </c>
      <c r="BC3712" s="3" t="s">
        <v>77</v>
      </c>
      <c r="BD3712" s="3" t="s">
        <v>78</v>
      </c>
      <c r="BE3712" s="3" t="s">
        <v>36837</v>
      </c>
      <c r="BF3712" s="3" t="s">
        <v>36840</v>
      </c>
      <c r="BG3712" s="3" t="s">
        <v>36841</v>
      </c>
    </row>
    <row r="3713" spans="1:59" ht="58" x14ac:dyDescent="0.35">
      <c r="A3713" s="2" t="s">
        <v>59</v>
      </c>
      <c r="B3713" s="2" t="s">
        <v>60</v>
      </c>
      <c r="C3713" s="2" t="s">
        <v>36842</v>
      </c>
      <c r="D3713" s="2" t="s">
        <v>36843</v>
      </c>
      <c r="E3713" s="2" t="s">
        <v>36844</v>
      </c>
      <c r="F3713" s="3" t="s">
        <v>255</v>
      </c>
      <c r="G3713" s="3" t="s">
        <v>209</v>
      </c>
      <c r="I3713" s="3" t="s">
        <v>209</v>
      </c>
      <c r="J3713" s="3" t="s">
        <v>65</v>
      </c>
      <c r="K3713" s="3" t="s">
        <v>66</v>
      </c>
      <c r="L3713" s="2" t="s">
        <v>36845</v>
      </c>
      <c r="M3713" s="2" t="s">
        <v>36846</v>
      </c>
      <c r="N3713" s="3" t="s">
        <v>176</v>
      </c>
      <c r="P3713" s="3" t="s">
        <v>69</v>
      </c>
      <c r="R3713" s="3" t="s">
        <v>71</v>
      </c>
      <c r="S3713" s="4">
        <v>1</v>
      </c>
      <c r="T3713" s="4">
        <v>8</v>
      </c>
      <c r="U3713" s="5" t="s">
        <v>36847</v>
      </c>
      <c r="V3713" s="5" t="s">
        <v>353</v>
      </c>
      <c r="W3713" s="5" t="s">
        <v>72</v>
      </c>
      <c r="X3713" s="5" t="s">
        <v>72</v>
      </c>
      <c r="Y3713" s="4">
        <v>437</v>
      </c>
      <c r="Z3713" s="4">
        <v>21</v>
      </c>
      <c r="AA3713" s="4">
        <v>22</v>
      </c>
      <c r="AB3713" s="4">
        <v>2</v>
      </c>
      <c r="AC3713" s="4">
        <v>3</v>
      </c>
      <c r="AD3713" s="4">
        <v>88</v>
      </c>
      <c r="AE3713" s="4">
        <v>88</v>
      </c>
      <c r="AF3713" s="4">
        <v>1</v>
      </c>
      <c r="AG3713" s="4">
        <v>1</v>
      </c>
      <c r="AH3713" s="4">
        <v>77</v>
      </c>
      <c r="AI3713" s="4">
        <v>77</v>
      </c>
      <c r="AJ3713" s="4">
        <v>12</v>
      </c>
      <c r="AK3713" s="4">
        <v>12</v>
      </c>
      <c r="AL3713" s="4">
        <v>49</v>
      </c>
      <c r="AM3713" s="4">
        <v>49</v>
      </c>
      <c r="AN3713" s="4">
        <v>0</v>
      </c>
      <c r="AO3713" s="4">
        <v>0</v>
      </c>
      <c r="AP3713" s="4">
        <v>15</v>
      </c>
      <c r="AQ3713" s="4">
        <v>15</v>
      </c>
      <c r="AR3713" s="3" t="s">
        <v>65</v>
      </c>
      <c r="AS3713" s="3" t="s">
        <v>65</v>
      </c>
      <c r="AT3713" s="3" t="s">
        <v>65</v>
      </c>
      <c r="AV3713" s="6" t="str">
        <f>HYPERLINK("http://mcgill.on.worldcat.org/oclc/902661304","Catalog Record")</f>
        <v>Catalog Record</v>
      </c>
      <c r="AW3713" s="6" t="str">
        <f>HYPERLINK("http://www.worldcat.org/oclc/902661304","WorldCat Record")</f>
        <v>WorldCat Record</v>
      </c>
      <c r="AX3713" s="3" t="s">
        <v>36848</v>
      </c>
      <c r="AY3713" s="3" t="s">
        <v>36849</v>
      </c>
      <c r="AZ3713" s="3" t="s">
        <v>36850</v>
      </c>
      <c r="BA3713" s="3" t="s">
        <v>36850</v>
      </c>
      <c r="BB3713" s="3" t="s">
        <v>36851</v>
      </c>
      <c r="BC3713" s="3" t="s">
        <v>77</v>
      </c>
      <c r="BD3713" s="3" t="s">
        <v>78</v>
      </c>
      <c r="BE3713" s="3" t="s">
        <v>36852</v>
      </c>
      <c r="BF3713" s="3" t="s">
        <v>36851</v>
      </c>
      <c r="BG3713" s="3" t="s">
        <v>36853</v>
      </c>
    </row>
    <row r="3714" spans="1:59" ht="58" x14ac:dyDescent="0.35">
      <c r="A3714" s="2" t="s">
        <v>59</v>
      </c>
      <c r="B3714" s="2" t="s">
        <v>60</v>
      </c>
      <c r="C3714" s="2" t="s">
        <v>36842</v>
      </c>
      <c r="D3714" s="2" t="s">
        <v>36843</v>
      </c>
      <c r="E3714" s="2" t="s">
        <v>36844</v>
      </c>
      <c r="F3714" s="3" t="s">
        <v>258</v>
      </c>
      <c r="G3714" s="3" t="s">
        <v>209</v>
      </c>
      <c r="I3714" s="3" t="s">
        <v>209</v>
      </c>
      <c r="J3714" s="3" t="s">
        <v>65</v>
      </c>
      <c r="K3714" s="3" t="s">
        <v>66</v>
      </c>
      <c r="L3714" s="2" t="s">
        <v>36845</v>
      </c>
      <c r="M3714" s="2" t="s">
        <v>36846</v>
      </c>
      <c r="N3714" s="3" t="s">
        <v>176</v>
      </c>
      <c r="P3714" s="3" t="s">
        <v>69</v>
      </c>
      <c r="R3714" s="3" t="s">
        <v>71</v>
      </c>
      <c r="S3714" s="4">
        <v>2</v>
      </c>
      <c r="T3714" s="4">
        <v>8</v>
      </c>
      <c r="U3714" s="5" t="s">
        <v>20455</v>
      </c>
      <c r="V3714" s="5" t="s">
        <v>353</v>
      </c>
      <c r="W3714" s="5" t="s">
        <v>72</v>
      </c>
      <c r="X3714" s="5" t="s">
        <v>72</v>
      </c>
      <c r="Y3714" s="4">
        <v>437</v>
      </c>
      <c r="Z3714" s="4">
        <v>21</v>
      </c>
      <c r="AA3714" s="4">
        <v>22</v>
      </c>
      <c r="AB3714" s="4">
        <v>2</v>
      </c>
      <c r="AC3714" s="4">
        <v>3</v>
      </c>
      <c r="AD3714" s="4">
        <v>88</v>
      </c>
      <c r="AE3714" s="4">
        <v>88</v>
      </c>
      <c r="AF3714" s="4">
        <v>1</v>
      </c>
      <c r="AG3714" s="4">
        <v>1</v>
      </c>
      <c r="AH3714" s="4">
        <v>77</v>
      </c>
      <c r="AI3714" s="4">
        <v>77</v>
      </c>
      <c r="AJ3714" s="4">
        <v>12</v>
      </c>
      <c r="AK3714" s="4">
        <v>12</v>
      </c>
      <c r="AL3714" s="4">
        <v>49</v>
      </c>
      <c r="AM3714" s="4">
        <v>49</v>
      </c>
      <c r="AN3714" s="4">
        <v>0</v>
      </c>
      <c r="AO3714" s="4">
        <v>0</v>
      </c>
      <c r="AP3714" s="4">
        <v>15</v>
      </c>
      <c r="AQ3714" s="4">
        <v>15</v>
      </c>
      <c r="AR3714" s="3" t="s">
        <v>65</v>
      </c>
      <c r="AS3714" s="3" t="s">
        <v>65</v>
      </c>
      <c r="AT3714" s="3" t="s">
        <v>65</v>
      </c>
      <c r="AV3714" s="6" t="str">
        <f>HYPERLINK("http://mcgill.on.worldcat.org/oclc/902661304","Catalog Record")</f>
        <v>Catalog Record</v>
      </c>
      <c r="AW3714" s="6" t="str">
        <f>HYPERLINK("http://www.worldcat.org/oclc/902661304","WorldCat Record")</f>
        <v>WorldCat Record</v>
      </c>
      <c r="AX3714" s="3" t="s">
        <v>36848</v>
      </c>
      <c r="AY3714" s="3" t="s">
        <v>36849</v>
      </c>
      <c r="AZ3714" s="3" t="s">
        <v>36850</v>
      </c>
      <c r="BA3714" s="3" t="s">
        <v>36850</v>
      </c>
      <c r="BB3714" s="3" t="s">
        <v>36854</v>
      </c>
      <c r="BC3714" s="3" t="s">
        <v>77</v>
      </c>
      <c r="BD3714" s="3" t="s">
        <v>78</v>
      </c>
      <c r="BE3714" s="3" t="s">
        <v>36852</v>
      </c>
      <c r="BF3714" s="3" t="s">
        <v>36854</v>
      </c>
      <c r="BG3714" s="3" t="s">
        <v>36855</v>
      </c>
    </row>
    <row r="3715" spans="1:59" ht="58" x14ac:dyDescent="0.35">
      <c r="A3715" s="2" t="s">
        <v>59</v>
      </c>
      <c r="B3715" s="2" t="s">
        <v>60</v>
      </c>
      <c r="C3715" s="2" t="s">
        <v>36842</v>
      </c>
      <c r="D3715" s="2" t="s">
        <v>36843</v>
      </c>
      <c r="E3715" s="2" t="s">
        <v>36844</v>
      </c>
      <c r="F3715" s="3" t="s">
        <v>245</v>
      </c>
      <c r="G3715" s="3" t="s">
        <v>209</v>
      </c>
      <c r="I3715" s="3" t="s">
        <v>209</v>
      </c>
      <c r="J3715" s="3" t="s">
        <v>65</v>
      </c>
      <c r="K3715" s="3" t="s">
        <v>66</v>
      </c>
      <c r="L3715" s="2" t="s">
        <v>36845</v>
      </c>
      <c r="M3715" s="2" t="s">
        <v>36846</v>
      </c>
      <c r="N3715" s="3" t="s">
        <v>176</v>
      </c>
      <c r="P3715" s="3" t="s">
        <v>69</v>
      </c>
      <c r="R3715" s="3" t="s">
        <v>71</v>
      </c>
      <c r="S3715" s="4">
        <v>5</v>
      </c>
      <c r="T3715" s="4">
        <v>8</v>
      </c>
      <c r="U3715" s="5" t="s">
        <v>353</v>
      </c>
      <c r="V3715" s="5" t="s">
        <v>353</v>
      </c>
      <c r="W3715" s="5" t="s">
        <v>72</v>
      </c>
      <c r="X3715" s="5" t="s">
        <v>72</v>
      </c>
      <c r="Y3715" s="4">
        <v>437</v>
      </c>
      <c r="Z3715" s="4">
        <v>21</v>
      </c>
      <c r="AA3715" s="4">
        <v>22</v>
      </c>
      <c r="AB3715" s="4">
        <v>2</v>
      </c>
      <c r="AC3715" s="4">
        <v>3</v>
      </c>
      <c r="AD3715" s="4">
        <v>88</v>
      </c>
      <c r="AE3715" s="4">
        <v>88</v>
      </c>
      <c r="AF3715" s="4">
        <v>1</v>
      </c>
      <c r="AG3715" s="4">
        <v>1</v>
      </c>
      <c r="AH3715" s="4">
        <v>77</v>
      </c>
      <c r="AI3715" s="4">
        <v>77</v>
      </c>
      <c r="AJ3715" s="4">
        <v>12</v>
      </c>
      <c r="AK3715" s="4">
        <v>12</v>
      </c>
      <c r="AL3715" s="4">
        <v>49</v>
      </c>
      <c r="AM3715" s="4">
        <v>49</v>
      </c>
      <c r="AN3715" s="4">
        <v>0</v>
      </c>
      <c r="AO3715" s="4">
        <v>0</v>
      </c>
      <c r="AP3715" s="4">
        <v>15</v>
      </c>
      <c r="AQ3715" s="4">
        <v>15</v>
      </c>
      <c r="AR3715" s="3" t="s">
        <v>65</v>
      </c>
      <c r="AS3715" s="3" t="s">
        <v>65</v>
      </c>
      <c r="AT3715" s="3" t="s">
        <v>65</v>
      </c>
      <c r="AV3715" s="6" t="str">
        <f>HYPERLINK("http://mcgill.on.worldcat.org/oclc/902661304","Catalog Record")</f>
        <v>Catalog Record</v>
      </c>
      <c r="AW3715" s="6" t="str">
        <f>HYPERLINK("http://www.worldcat.org/oclc/902661304","WorldCat Record")</f>
        <v>WorldCat Record</v>
      </c>
      <c r="AX3715" s="3" t="s">
        <v>36848</v>
      </c>
      <c r="AY3715" s="3" t="s">
        <v>36849</v>
      </c>
      <c r="AZ3715" s="3" t="s">
        <v>36850</v>
      </c>
      <c r="BA3715" s="3" t="s">
        <v>36850</v>
      </c>
      <c r="BB3715" s="3" t="s">
        <v>36856</v>
      </c>
      <c r="BC3715" s="3" t="s">
        <v>77</v>
      </c>
      <c r="BD3715" s="3" t="s">
        <v>78</v>
      </c>
      <c r="BE3715" s="3" t="s">
        <v>36852</v>
      </c>
      <c r="BF3715" s="3" t="s">
        <v>36856</v>
      </c>
      <c r="BG3715" s="3" t="s">
        <v>36857</v>
      </c>
    </row>
    <row r="3716" spans="1:59" ht="58" x14ac:dyDescent="0.35">
      <c r="A3716" s="2" t="s">
        <v>59</v>
      </c>
      <c r="B3716" s="2" t="s">
        <v>60</v>
      </c>
      <c r="C3716" s="2" t="s">
        <v>36858</v>
      </c>
      <c r="D3716" s="2" t="s">
        <v>36859</v>
      </c>
      <c r="E3716" s="2" t="s">
        <v>36860</v>
      </c>
      <c r="G3716" s="3" t="s">
        <v>65</v>
      </c>
      <c r="I3716" s="3" t="s">
        <v>65</v>
      </c>
      <c r="J3716" s="3" t="s">
        <v>209</v>
      </c>
      <c r="K3716" s="3" t="s">
        <v>66</v>
      </c>
      <c r="L3716" s="2" t="s">
        <v>36830</v>
      </c>
      <c r="M3716" s="2" t="s">
        <v>36861</v>
      </c>
      <c r="N3716" s="3" t="s">
        <v>2460</v>
      </c>
      <c r="P3716" s="3" t="s">
        <v>69</v>
      </c>
      <c r="R3716" s="3" t="s">
        <v>71</v>
      </c>
      <c r="S3716" s="4">
        <v>22</v>
      </c>
      <c r="T3716" s="4">
        <v>22</v>
      </c>
      <c r="U3716" s="5" t="s">
        <v>29049</v>
      </c>
      <c r="V3716" s="5" t="s">
        <v>29049</v>
      </c>
      <c r="W3716" s="5" t="s">
        <v>72</v>
      </c>
      <c r="X3716" s="5" t="s">
        <v>72</v>
      </c>
      <c r="Y3716" s="4">
        <v>548</v>
      </c>
      <c r="Z3716" s="4">
        <v>17</v>
      </c>
      <c r="AA3716" s="4">
        <v>21</v>
      </c>
      <c r="AB3716" s="4">
        <v>2</v>
      </c>
      <c r="AC3716" s="4">
        <v>2</v>
      </c>
      <c r="AD3716" s="4">
        <v>77</v>
      </c>
      <c r="AE3716" s="4">
        <v>101</v>
      </c>
      <c r="AF3716" s="4">
        <v>0</v>
      </c>
      <c r="AG3716" s="4">
        <v>0</v>
      </c>
      <c r="AH3716" s="4">
        <v>65</v>
      </c>
      <c r="AI3716" s="4">
        <v>89</v>
      </c>
      <c r="AJ3716" s="4">
        <v>7</v>
      </c>
      <c r="AK3716" s="4">
        <v>10</v>
      </c>
      <c r="AL3716" s="4">
        <v>42</v>
      </c>
      <c r="AM3716" s="4">
        <v>57</v>
      </c>
      <c r="AN3716" s="4">
        <v>0</v>
      </c>
      <c r="AO3716" s="4">
        <v>0</v>
      </c>
      <c r="AP3716" s="4">
        <v>10</v>
      </c>
      <c r="AQ3716" s="4">
        <v>13</v>
      </c>
      <c r="AR3716" s="3" t="s">
        <v>65</v>
      </c>
      <c r="AS3716" s="3" t="s">
        <v>65</v>
      </c>
      <c r="AT3716" s="3" t="s">
        <v>65</v>
      </c>
      <c r="AV3716" s="6" t="str">
        <f>HYPERLINK("http://mcgill.on.worldcat.org/oclc/17550011","Catalog Record")</f>
        <v>Catalog Record</v>
      </c>
      <c r="AW3716" s="6" t="str">
        <f>HYPERLINK("http://www.worldcat.org/oclc/17550011","WorldCat Record")</f>
        <v>WorldCat Record</v>
      </c>
      <c r="AX3716" s="3" t="s">
        <v>36862</v>
      </c>
      <c r="AY3716" s="3" t="s">
        <v>36863</v>
      </c>
      <c r="AZ3716" s="3" t="s">
        <v>36864</v>
      </c>
      <c r="BA3716" s="3" t="s">
        <v>36864</v>
      </c>
      <c r="BB3716" s="3" t="s">
        <v>36865</v>
      </c>
      <c r="BC3716" s="3" t="s">
        <v>77</v>
      </c>
      <c r="BD3716" s="3" t="s">
        <v>78</v>
      </c>
      <c r="BE3716" s="3" t="s">
        <v>36866</v>
      </c>
      <c r="BF3716" s="3" t="s">
        <v>36865</v>
      </c>
      <c r="BG3716" s="3" t="s">
        <v>36867</v>
      </c>
    </row>
    <row r="3717" spans="1:59" ht="58" x14ac:dyDescent="0.35">
      <c r="A3717" s="2" t="s">
        <v>59</v>
      </c>
      <c r="B3717" s="2" t="s">
        <v>60</v>
      </c>
      <c r="C3717" s="2" t="s">
        <v>36868</v>
      </c>
      <c r="D3717" s="2" t="s">
        <v>36869</v>
      </c>
      <c r="E3717" s="2" t="s">
        <v>36870</v>
      </c>
      <c r="G3717" s="3" t="s">
        <v>65</v>
      </c>
      <c r="I3717" s="3" t="s">
        <v>65</v>
      </c>
      <c r="J3717" s="3" t="s">
        <v>65</v>
      </c>
      <c r="K3717" s="3" t="s">
        <v>66</v>
      </c>
      <c r="L3717" s="2" t="s">
        <v>36845</v>
      </c>
      <c r="M3717" s="2" t="s">
        <v>36871</v>
      </c>
      <c r="N3717" s="3" t="s">
        <v>164</v>
      </c>
      <c r="P3717" s="3" t="s">
        <v>140</v>
      </c>
      <c r="R3717" s="3" t="s">
        <v>71</v>
      </c>
      <c r="S3717" s="4">
        <v>0</v>
      </c>
      <c r="T3717" s="4">
        <v>0</v>
      </c>
      <c r="W3717" s="5" t="s">
        <v>72</v>
      </c>
      <c r="X3717" s="5" t="s">
        <v>72</v>
      </c>
      <c r="Y3717" s="4">
        <v>37</v>
      </c>
      <c r="Z3717" s="4">
        <v>4</v>
      </c>
      <c r="AA3717" s="4">
        <v>4</v>
      </c>
      <c r="AB3717" s="4">
        <v>1</v>
      </c>
      <c r="AC3717" s="4">
        <v>1</v>
      </c>
      <c r="AD3717" s="4">
        <v>25</v>
      </c>
      <c r="AE3717" s="4">
        <v>26</v>
      </c>
      <c r="AF3717" s="4">
        <v>0</v>
      </c>
      <c r="AG3717" s="4">
        <v>0</v>
      </c>
      <c r="AH3717" s="4">
        <v>25</v>
      </c>
      <c r="AI3717" s="4">
        <v>26</v>
      </c>
      <c r="AJ3717" s="4">
        <v>2</v>
      </c>
      <c r="AK3717" s="4">
        <v>2</v>
      </c>
      <c r="AL3717" s="4">
        <v>18</v>
      </c>
      <c r="AM3717" s="4">
        <v>18</v>
      </c>
      <c r="AN3717" s="4">
        <v>0</v>
      </c>
      <c r="AO3717" s="4">
        <v>0</v>
      </c>
      <c r="AP3717" s="4">
        <v>2</v>
      </c>
      <c r="AQ3717" s="4">
        <v>2</v>
      </c>
      <c r="AR3717" s="3" t="s">
        <v>65</v>
      </c>
      <c r="AS3717" s="3" t="s">
        <v>65</v>
      </c>
      <c r="AT3717" s="3" t="s">
        <v>65</v>
      </c>
      <c r="AV3717" s="6" t="str">
        <f>HYPERLINK("http://mcgill.on.worldcat.org/oclc/907638859","Catalog Record")</f>
        <v>Catalog Record</v>
      </c>
      <c r="AW3717" s="6" t="str">
        <f>HYPERLINK("http://www.worldcat.org/oclc/907638859","WorldCat Record")</f>
        <v>WorldCat Record</v>
      </c>
      <c r="AX3717" s="3" t="s">
        <v>36872</v>
      </c>
      <c r="AY3717" s="3" t="s">
        <v>36873</v>
      </c>
      <c r="AZ3717" s="3" t="s">
        <v>36874</v>
      </c>
      <c r="BA3717" s="3" t="s">
        <v>36874</v>
      </c>
      <c r="BB3717" s="3" t="s">
        <v>36875</v>
      </c>
      <c r="BC3717" s="3" t="s">
        <v>77</v>
      </c>
      <c r="BD3717" s="3" t="s">
        <v>78</v>
      </c>
      <c r="BE3717" s="3" t="s">
        <v>36876</v>
      </c>
      <c r="BF3717" s="3" t="s">
        <v>36875</v>
      </c>
      <c r="BG3717" s="3" t="s">
        <v>36877</v>
      </c>
    </row>
    <row r="3718" spans="1:59" ht="58" x14ac:dyDescent="0.35">
      <c r="A3718" s="2" t="s">
        <v>59</v>
      </c>
      <c r="B3718" s="2" t="s">
        <v>60</v>
      </c>
      <c r="C3718" s="2" t="s">
        <v>36878</v>
      </c>
      <c r="D3718" s="2" t="s">
        <v>36879</v>
      </c>
      <c r="E3718" s="2" t="s">
        <v>36860</v>
      </c>
      <c r="G3718" s="3" t="s">
        <v>65</v>
      </c>
      <c r="I3718" s="3" t="s">
        <v>65</v>
      </c>
      <c r="J3718" s="3" t="s">
        <v>209</v>
      </c>
      <c r="K3718" s="3" t="s">
        <v>66</v>
      </c>
      <c r="L3718" s="2" t="s">
        <v>36845</v>
      </c>
      <c r="M3718" s="2" t="s">
        <v>36880</v>
      </c>
      <c r="N3718" s="3" t="s">
        <v>863</v>
      </c>
      <c r="O3718" s="2" t="s">
        <v>9205</v>
      </c>
      <c r="P3718" s="3" t="s">
        <v>69</v>
      </c>
      <c r="R3718" s="3" t="s">
        <v>71</v>
      </c>
      <c r="S3718" s="4">
        <v>15</v>
      </c>
      <c r="T3718" s="4">
        <v>15</v>
      </c>
      <c r="U3718" s="5" t="s">
        <v>36881</v>
      </c>
      <c r="V3718" s="5" t="s">
        <v>36881</v>
      </c>
      <c r="W3718" s="5" t="s">
        <v>72</v>
      </c>
      <c r="X3718" s="5" t="s">
        <v>72</v>
      </c>
      <c r="Y3718" s="4">
        <v>237</v>
      </c>
      <c r="Z3718" s="4">
        <v>10</v>
      </c>
      <c r="AA3718" s="4">
        <v>21</v>
      </c>
      <c r="AB3718" s="4">
        <v>1</v>
      </c>
      <c r="AC3718" s="4">
        <v>2</v>
      </c>
      <c r="AD3718" s="4">
        <v>55</v>
      </c>
      <c r="AE3718" s="4">
        <v>101</v>
      </c>
      <c r="AF3718" s="4">
        <v>0</v>
      </c>
      <c r="AG3718" s="4">
        <v>0</v>
      </c>
      <c r="AH3718" s="4">
        <v>53</v>
      </c>
      <c r="AI3718" s="4">
        <v>89</v>
      </c>
      <c r="AJ3718" s="4">
        <v>7</v>
      </c>
      <c r="AK3718" s="4">
        <v>10</v>
      </c>
      <c r="AL3718" s="4">
        <v>37</v>
      </c>
      <c r="AM3718" s="4">
        <v>57</v>
      </c>
      <c r="AN3718" s="4">
        <v>0</v>
      </c>
      <c r="AO3718" s="4">
        <v>0</v>
      </c>
      <c r="AP3718" s="4">
        <v>7</v>
      </c>
      <c r="AQ3718" s="4">
        <v>13</v>
      </c>
      <c r="AR3718" s="3" t="s">
        <v>65</v>
      </c>
      <c r="AS3718" s="3" t="s">
        <v>65</v>
      </c>
      <c r="AT3718" s="3" t="s">
        <v>65</v>
      </c>
      <c r="AV3718" s="6" t="str">
        <f>HYPERLINK("http://mcgill.on.worldcat.org/oclc/829310770","Catalog Record")</f>
        <v>Catalog Record</v>
      </c>
      <c r="AW3718" s="6" t="str">
        <f>HYPERLINK("http://www.worldcat.org/oclc/829310770","WorldCat Record")</f>
        <v>WorldCat Record</v>
      </c>
      <c r="AX3718" s="3" t="s">
        <v>36862</v>
      </c>
      <c r="AY3718" s="3" t="s">
        <v>36882</v>
      </c>
      <c r="AZ3718" s="3" t="s">
        <v>36883</v>
      </c>
      <c r="BA3718" s="3" t="s">
        <v>36883</v>
      </c>
      <c r="BB3718" s="3" t="s">
        <v>36884</v>
      </c>
      <c r="BC3718" s="3" t="s">
        <v>77</v>
      </c>
      <c r="BD3718" s="3" t="s">
        <v>78</v>
      </c>
      <c r="BE3718" s="3" t="s">
        <v>36885</v>
      </c>
      <c r="BF3718" s="3" t="s">
        <v>36884</v>
      </c>
      <c r="BG3718" s="3" t="s">
        <v>36886</v>
      </c>
    </row>
    <row r="3719" spans="1:59" ht="58" x14ac:dyDescent="0.35">
      <c r="A3719" s="2" t="s">
        <v>59</v>
      </c>
      <c r="B3719" s="2" t="s">
        <v>60</v>
      </c>
      <c r="C3719" s="2" t="s">
        <v>36887</v>
      </c>
      <c r="D3719" s="2" t="s">
        <v>36888</v>
      </c>
      <c r="E3719" s="2" t="s">
        <v>36889</v>
      </c>
      <c r="G3719" s="3" t="s">
        <v>65</v>
      </c>
      <c r="I3719" s="3" t="s">
        <v>65</v>
      </c>
      <c r="J3719" s="3" t="s">
        <v>65</v>
      </c>
      <c r="K3719" s="3" t="s">
        <v>66</v>
      </c>
      <c r="L3719" s="2" t="s">
        <v>36830</v>
      </c>
      <c r="M3719" s="2" t="s">
        <v>36890</v>
      </c>
      <c r="N3719" s="3" t="s">
        <v>1196</v>
      </c>
      <c r="P3719" s="3" t="s">
        <v>69</v>
      </c>
      <c r="R3719" s="3" t="s">
        <v>71</v>
      </c>
      <c r="S3719" s="4">
        <v>17</v>
      </c>
      <c r="T3719" s="4">
        <v>17</v>
      </c>
      <c r="U3719" s="5" t="s">
        <v>4068</v>
      </c>
      <c r="V3719" s="5" t="s">
        <v>4068</v>
      </c>
      <c r="W3719" s="5" t="s">
        <v>72</v>
      </c>
      <c r="X3719" s="5" t="s">
        <v>72</v>
      </c>
      <c r="Y3719" s="4">
        <v>330</v>
      </c>
      <c r="Z3719" s="4">
        <v>15</v>
      </c>
      <c r="AA3719" s="4">
        <v>17</v>
      </c>
      <c r="AB3719" s="4">
        <v>2</v>
      </c>
      <c r="AC3719" s="4">
        <v>4</v>
      </c>
      <c r="AD3719" s="4">
        <v>85</v>
      </c>
      <c r="AE3719" s="4">
        <v>85</v>
      </c>
      <c r="AF3719" s="4">
        <v>1</v>
      </c>
      <c r="AG3719" s="4">
        <v>1</v>
      </c>
      <c r="AH3719" s="4">
        <v>79</v>
      </c>
      <c r="AI3719" s="4">
        <v>79</v>
      </c>
      <c r="AJ3719" s="4">
        <v>6</v>
      </c>
      <c r="AK3719" s="4">
        <v>6</v>
      </c>
      <c r="AL3719" s="4">
        <v>50</v>
      </c>
      <c r="AM3719" s="4">
        <v>50</v>
      </c>
      <c r="AN3719" s="4">
        <v>0</v>
      </c>
      <c r="AO3719" s="4">
        <v>0</v>
      </c>
      <c r="AP3719" s="4">
        <v>9</v>
      </c>
      <c r="AQ3719" s="4">
        <v>9</v>
      </c>
      <c r="AR3719" s="3" t="s">
        <v>65</v>
      </c>
      <c r="AS3719" s="3" t="s">
        <v>65</v>
      </c>
      <c r="AT3719" s="3" t="s">
        <v>65</v>
      </c>
      <c r="AV3719" s="6" t="str">
        <f>HYPERLINK("http://mcgill.on.worldcat.org/oclc/61217674","Catalog Record")</f>
        <v>Catalog Record</v>
      </c>
      <c r="AW3719" s="6" t="str">
        <f>HYPERLINK("http://www.worldcat.org/oclc/61217674","WorldCat Record")</f>
        <v>WorldCat Record</v>
      </c>
      <c r="AX3719" s="3" t="s">
        <v>36891</v>
      </c>
      <c r="AY3719" s="3" t="s">
        <v>36892</v>
      </c>
      <c r="AZ3719" s="3" t="s">
        <v>36893</v>
      </c>
      <c r="BA3719" s="3" t="s">
        <v>36893</v>
      </c>
      <c r="BB3719" s="3" t="s">
        <v>36894</v>
      </c>
      <c r="BC3719" s="3" t="s">
        <v>77</v>
      </c>
      <c r="BD3719" s="3" t="s">
        <v>78</v>
      </c>
      <c r="BE3719" s="3" t="s">
        <v>36895</v>
      </c>
      <c r="BF3719" s="3" t="s">
        <v>36894</v>
      </c>
      <c r="BG3719" s="3" t="s">
        <v>36896</v>
      </c>
    </row>
    <row r="3720" spans="1:59" ht="58" x14ac:dyDescent="0.35">
      <c r="A3720" s="2" t="s">
        <v>59</v>
      </c>
      <c r="B3720" s="2" t="s">
        <v>60</v>
      </c>
      <c r="C3720" s="2" t="s">
        <v>36897</v>
      </c>
      <c r="D3720" s="2" t="s">
        <v>36898</v>
      </c>
      <c r="E3720" s="2" t="s">
        <v>36899</v>
      </c>
      <c r="G3720" s="3" t="s">
        <v>65</v>
      </c>
      <c r="I3720" s="3" t="s">
        <v>65</v>
      </c>
      <c r="J3720" s="3" t="s">
        <v>65</v>
      </c>
      <c r="K3720" s="3" t="s">
        <v>66</v>
      </c>
      <c r="L3720" s="2" t="s">
        <v>36830</v>
      </c>
      <c r="M3720" s="2" t="s">
        <v>36900</v>
      </c>
      <c r="N3720" s="3" t="s">
        <v>577</v>
      </c>
      <c r="P3720" s="3" t="s">
        <v>140</v>
      </c>
      <c r="R3720" s="3" t="s">
        <v>71</v>
      </c>
      <c r="S3720" s="4">
        <v>4</v>
      </c>
      <c r="T3720" s="4">
        <v>4</v>
      </c>
      <c r="U3720" s="5" t="s">
        <v>36810</v>
      </c>
      <c r="V3720" s="5" t="s">
        <v>36810</v>
      </c>
      <c r="W3720" s="5" t="s">
        <v>72</v>
      </c>
      <c r="X3720" s="5" t="s">
        <v>72</v>
      </c>
      <c r="Y3720" s="4">
        <v>124</v>
      </c>
      <c r="Z3720" s="4">
        <v>10</v>
      </c>
      <c r="AA3720" s="4">
        <v>17</v>
      </c>
      <c r="AB3720" s="4">
        <v>1</v>
      </c>
      <c r="AC3720" s="4">
        <v>4</v>
      </c>
      <c r="AD3720" s="4">
        <v>50</v>
      </c>
      <c r="AE3720" s="4">
        <v>71</v>
      </c>
      <c r="AF3720" s="4">
        <v>0</v>
      </c>
      <c r="AG3720" s="4">
        <v>2</v>
      </c>
      <c r="AH3720" s="4">
        <v>48</v>
      </c>
      <c r="AI3720" s="4">
        <v>67</v>
      </c>
      <c r="AJ3720" s="4">
        <v>7</v>
      </c>
      <c r="AK3720" s="4">
        <v>11</v>
      </c>
      <c r="AL3720" s="4">
        <v>32</v>
      </c>
      <c r="AM3720" s="4">
        <v>44</v>
      </c>
      <c r="AN3720" s="4">
        <v>0</v>
      </c>
      <c r="AO3720" s="4">
        <v>3</v>
      </c>
      <c r="AP3720" s="4">
        <v>7</v>
      </c>
      <c r="AQ3720" s="4">
        <v>10</v>
      </c>
      <c r="AR3720" s="3" t="s">
        <v>65</v>
      </c>
      <c r="AS3720" s="3" t="s">
        <v>65</v>
      </c>
      <c r="AT3720" s="3" t="s">
        <v>65</v>
      </c>
      <c r="AV3720" s="6" t="str">
        <f>HYPERLINK("http://mcgill.on.worldcat.org/oclc/5137427","Catalog Record")</f>
        <v>Catalog Record</v>
      </c>
      <c r="AW3720" s="6" t="str">
        <f>HYPERLINK("http://www.worldcat.org/oclc/5137427","WorldCat Record")</f>
        <v>WorldCat Record</v>
      </c>
      <c r="AX3720" s="3" t="s">
        <v>36901</v>
      </c>
      <c r="AY3720" s="3" t="s">
        <v>36902</v>
      </c>
      <c r="AZ3720" s="3" t="s">
        <v>36903</v>
      </c>
      <c r="BA3720" s="3" t="s">
        <v>36903</v>
      </c>
      <c r="BB3720" s="3" t="s">
        <v>36904</v>
      </c>
      <c r="BC3720" s="3" t="s">
        <v>77</v>
      </c>
      <c r="BD3720" s="3" t="s">
        <v>78</v>
      </c>
      <c r="BF3720" s="3" t="s">
        <v>36904</v>
      </c>
      <c r="BG3720" s="3" t="s">
        <v>36905</v>
      </c>
    </row>
    <row r="3721" spans="1:59" ht="58" x14ac:dyDescent="0.35">
      <c r="A3721" s="2" t="s">
        <v>59</v>
      </c>
      <c r="B3721" s="2" t="s">
        <v>60</v>
      </c>
      <c r="C3721" s="2" t="s">
        <v>36906</v>
      </c>
      <c r="D3721" s="2" t="s">
        <v>36907</v>
      </c>
      <c r="E3721" s="2" t="s">
        <v>36908</v>
      </c>
      <c r="G3721" s="3" t="s">
        <v>65</v>
      </c>
      <c r="I3721" s="3" t="s">
        <v>209</v>
      </c>
      <c r="J3721" s="3" t="s">
        <v>65</v>
      </c>
      <c r="K3721" s="3" t="s">
        <v>66</v>
      </c>
      <c r="L3721" s="2" t="s">
        <v>36830</v>
      </c>
      <c r="M3721" s="2" t="s">
        <v>36909</v>
      </c>
      <c r="N3721" s="3" t="s">
        <v>5961</v>
      </c>
      <c r="P3721" s="3" t="s">
        <v>69</v>
      </c>
      <c r="R3721" s="3" t="s">
        <v>71</v>
      </c>
      <c r="S3721" s="4">
        <v>10</v>
      </c>
      <c r="T3721" s="4">
        <v>31</v>
      </c>
      <c r="U3721" s="5" t="s">
        <v>35431</v>
      </c>
      <c r="V3721" s="5" t="s">
        <v>36910</v>
      </c>
      <c r="W3721" s="5" t="s">
        <v>72</v>
      </c>
      <c r="X3721" s="5" t="s">
        <v>72</v>
      </c>
      <c r="Y3721" s="4">
        <v>792</v>
      </c>
      <c r="Z3721" s="4">
        <v>27</v>
      </c>
      <c r="AA3721" s="4">
        <v>42</v>
      </c>
      <c r="AB3721" s="4">
        <v>1</v>
      </c>
      <c r="AC3721" s="4">
        <v>2</v>
      </c>
      <c r="AD3721" s="4">
        <v>102</v>
      </c>
      <c r="AE3721" s="4">
        <v>118</v>
      </c>
      <c r="AF3721" s="4">
        <v>0</v>
      </c>
      <c r="AG3721" s="4">
        <v>0</v>
      </c>
      <c r="AH3721" s="4">
        <v>90</v>
      </c>
      <c r="AI3721" s="4">
        <v>100</v>
      </c>
      <c r="AJ3721" s="4">
        <v>13</v>
      </c>
      <c r="AK3721" s="4">
        <v>17</v>
      </c>
      <c r="AL3721" s="4">
        <v>53</v>
      </c>
      <c r="AM3721" s="4">
        <v>56</v>
      </c>
      <c r="AN3721" s="4">
        <v>0</v>
      </c>
      <c r="AO3721" s="4">
        <v>0</v>
      </c>
      <c r="AP3721" s="4">
        <v>14</v>
      </c>
      <c r="AQ3721" s="4">
        <v>22</v>
      </c>
      <c r="AR3721" s="3" t="s">
        <v>65</v>
      </c>
      <c r="AS3721" s="3" t="s">
        <v>65</v>
      </c>
      <c r="AT3721" s="3" t="s">
        <v>209</v>
      </c>
      <c r="AU3721" s="6" t="str">
        <f>HYPERLINK("http://catalog.hathitrust.org/Record/000404139","HathiTrust Record")</f>
        <v>HathiTrust Record</v>
      </c>
      <c r="AV3721" s="6" t="str">
        <f>HYPERLINK("http://mcgill.on.worldcat.org/oclc/13396373","Catalog Record")</f>
        <v>Catalog Record</v>
      </c>
      <c r="AW3721" s="6" t="str">
        <f>HYPERLINK("http://www.worldcat.org/oclc/13396373","WorldCat Record")</f>
        <v>WorldCat Record</v>
      </c>
      <c r="AX3721" s="3" t="s">
        <v>36911</v>
      </c>
      <c r="AY3721" s="3" t="s">
        <v>36912</v>
      </c>
      <c r="AZ3721" s="3" t="s">
        <v>36913</v>
      </c>
      <c r="BA3721" s="3" t="s">
        <v>36913</v>
      </c>
      <c r="BB3721" s="3" t="s">
        <v>36914</v>
      </c>
      <c r="BC3721" s="3" t="s">
        <v>77</v>
      </c>
      <c r="BD3721" s="3" t="s">
        <v>78</v>
      </c>
      <c r="BE3721" s="3" t="s">
        <v>36915</v>
      </c>
      <c r="BF3721" s="3" t="s">
        <v>36914</v>
      </c>
      <c r="BG3721" s="3" t="s">
        <v>36916</v>
      </c>
    </row>
    <row r="3722" spans="1:59" ht="58" x14ac:dyDescent="0.35">
      <c r="A3722" s="2" t="s">
        <v>59</v>
      </c>
      <c r="B3722" s="2" t="s">
        <v>60</v>
      </c>
      <c r="C3722" s="2" t="s">
        <v>36906</v>
      </c>
      <c r="D3722" s="2" t="s">
        <v>36907</v>
      </c>
      <c r="E3722" s="2" t="s">
        <v>36908</v>
      </c>
      <c r="G3722" s="3" t="s">
        <v>65</v>
      </c>
      <c r="I3722" s="3" t="s">
        <v>209</v>
      </c>
      <c r="J3722" s="3" t="s">
        <v>65</v>
      </c>
      <c r="K3722" s="3" t="s">
        <v>66</v>
      </c>
      <c r="L3722" s="2" t="s">
        <v>36830</v>
      </c>
      <c r="M3722" s="2" t="s">
        <v>36909</v>
      </c>
      <c r="N3722" s="3" t="s">
        <v>5961</v>
      </c>
      <c r="P3722" s="3" t="s">
        <v>69</v>
      </c>
      <c r="R3722" s="3" t="s">
        <v>71</v>
      </c>
      <c r="S3722" s="4">
        <v>21</v>
      </c>
      <c r="T3722" s="4">
        <v>31</v>
      </c>
      <c r="U3722" s="5" t="s">
        <v>36910</v>
      </c>
      <c r="V3722" s="5" t="s">
        <v>36910</v>
      </c>
      <c r="W3722" s="5" t="s">
        <v>72</v>
      </c>
      <c r="X3722" s="5" t="s">
        <v>72</v>
      </c>
      <c r="Y3722" s="4">
        <v>792</v>
      </c>
      <c r="Z3722" s="4">
        <v>27</v>
      </c>
      <c r="AA3722" s="4">
        <v>42</v>
      </c>
      <c r="AB3722" s="4">
        <v>1</v>
      </c>
      <c r="AC3722" s="4">
        <v>2</v>
      </c>
      <c r="AD3722" s="4">
        <v>102</v>
      </c>
      <c r="AE3722" s="4">
        <v>118</v>
      </c>
      <c r="AF3722" s="4">
        <v>0</v>
      </c>
      <c r="AG3722" s="4">
        <v>0</v>
      </c>
      <c r="AH3722" s="4">
        <v>90</v>
      </c>
      <c r="AI3722" s="4">
        <v>100</v>
      </c>
      <c r="AJ3722" s="4">
        <v>13</v>
      </c>
      <c r="AK3722" s="4">
        <v>17</v>
      </c>
      <c r="AL3722" s="4">
        <v>53</v>
      </c>
      <c r="AM3722" s="4">
        <v>56</v>
      </c>
      <c r="AN3722" s="4">
        <v>0</v>
      </c>
      <c r="AO3722" s="4">
        <v>0</v>
      </c>
      <c r="AP3722" s="4">
        <v>14</v>
      </c>
      <c r="AQ3722" s="4">
        <v>22</v>
      </c>
      <c r="AR3722" s="3" t="s">
        <v>65</v>
      </c>
      <c r="AS3722" s="3" t="s">
        <v>65</v>
      </c>
      <c r="AT3722" s="3" t="s">
        <v>209</v>
      </c>
      <c r="AU3722" s="6" t="str">
        <f>HYPERLINK("http://catalog.hathitrust.org/Record/000404139","HathiTrust Record")</f>
        <v>HathiTrust Record</v>
      </c>
      <c r="AV3722" s="6" t="str">
        <f>HYPERLINK("http://mcgill.on.worldcat.org/oclc/13396373","Catalog Record")</f>
        <v>Catalog Record</v>
      </c>
      <c r="AW3722" s="6" t="str">
        <f>HYPERLINK("http://www.worldcat.org/oclc/13396373","WorldCat Record")</f>
        <v>WorldCat Record</v>
      </c>
      <c r="AX3722" s="3" t="s">
        <v>36911</v>
      </c>
      <c r="AY3722" s="3" t="s">
        <v>36912</v>
      </c>
      <c r="AZ3722" s="3" t="s">
        <v>36913</v>
      </c>
      <c r="BA3722" s="3" t="s">
        <v>36913</v>
      </c>
      <c r="BB3722" s="3" t="s">
        <v>36917</v>
      </c>
      <c r="BC3722" s="3" t="s">
        <v>77</v>
      </c>
      <c r="BD3722" s="3" t="s">
        <v>78</v>
      </c>
      <c r="BE3722" s="3" t="s">
        <v>36915</v>
      </c>
      <c r="BF3722" s="3" t="s">
        <v>36917</v>
      </c>
      <c r="BG3722" s="3" t="s">
        <v>36918</v>
      </c>
    </row>
    <row r="3723" spans="1:59" ht="58" x14ac:dyDescent="0.35">
      <c r="A3723" s="2" t="s">
        <v>59</v>
      </c>
      <c r="B3723" s="2" t="s">
        <v>60</v>
      </c>
      <c r="C3723" s="2" t="s">
        <v>36919</v>
      </c>
      <c r="D3723" s="2" t="s">
        <v>36920</v>
      </c>
      <c r="E3723" s="2" t="s">
        <v>36921</v>
      </c>
      <c r="G3723" s="3" t="s">
        <v>65</v>
      </c>
      <c r="I3723" s="3" t="s">
        <v>65</v>
      </c>
      <c r="J3723" s="3" t="s">
        <v>65</v>
      </c>
      <c r="K3723" s="3" t="s">
        <v>66</v>
      </c>
      <c r="L3723" s="2" t="s">
        <v>36922</v>
      </c>
      <c r="M3723" s="2" t="s">
        <v>36923</v>
      </c>
      <c r="N3723" s="3" t="s">
        <v>152</v>
      </c>
      <c r="O3723" s="2" t="s">
        <v>36924</v>
      </c>
      <c r="P3723" s="3" t="s">
        <v>140</v>
      </c>
      <c r="R3723" s="3" t="s">
        <v>71</v>
      </c>
      <c r="S3723" s="4">
        <v>0</v>
      </c>
      <c r="T3723" s="4">
        <v>0</v>
      </c>
      <c r="W3723" s="5" t="s">
        <v>72</v>
      </c>
      <c r="X3723" s="5" t="s">
        <v>72</v>
      </c>
      <c r="Y3723" s="4">
        <v>31</v>
      </c>
      <c r="Z3723" s="4">
        <v>4</v>
      </c>
      <c r="AA3723" s="4">
        <v>7</v>
      </c>
      <c r="AB3723" s="4">
        <v>1</v>
      </c>
      <c r="AC3723" s="4">
        <v>3</v>
      </c>
      <c r="AD3723" s="4">
        <v>21</v>
      </c>
      <c r="AE3723" s="4">
        <v>23</v>
      </c>
      <c r="AF3723" s="4">
        <v>0</v>
      </c>
      <c r="AG3723" s="4">
        <v>1</v>
      </c>
      <c r="AH3723" s="4">
        <v>20</v>
      </c>
      <c r="AI3723" s="4">
        <v>20</v>
      </c>
      <c r="AJ3723" s="4">
        <v>2</v>
      </c>
      <c r="AK3723" s="4">
        <v>4</v>
      </c>
      <c r="AL3723" s="4">
        <v>13</v>
      </c>
      <c r="AM3723" s="4">
        <v>13</v>
      </c>
      <c r="AN3723" s="4">
        <v>0</v>
      </c>
      <c r="AO3723" s="4">
        <v>0</v>
      </c>
      <c r="AP3723" s="4">
        <v>2</v>
      </c>
      <c r="AQ3723" s="4">
        <v>3</v>
      </c>
      <c r="AR3723" s="3" t="s">
        <v>65</v>
      </c>
      <c r="AS3723" s="3" t="s">
        <v>65</v>
      </c>
      <c r="AT3723" s="3" t="s">
        <v>65</v>
      </c>
      <c r="AV3723" s="6" t="str">
        <f>HYPERLINK("http://mcgill.on.worldcat.org/oclc/915336794","Catalog Record")</f>
        <v>Catalog Record</v>
      </c>
      <c r="AW3723" s="6" t="str">
        <f>HYPERLINK("http://www.worldcat.org/oclc/915336794","WorldCat Record")</f>
        <v>WorldCat Record</v>
      </c>
      <c r="AX3723" s="3" t="s">
        <v>36925</v>
      </c>
      <c r="AY3723" s="3" t="s">
        <v>36926</v>
      </c>
      <c r="AZ3723" s="3" t="s">
        <v>36927</v>
      </c>
      <c r="BA3723" s="3" t="s">
        <v>36927</v>
      </c>
      <c r="BB3723" s="3" t="s">
        <v>36928</v>
      </c>
      <c r="BC3723" s="3" t="s">
        <v>77</v>
      </c>
      <c r="BD3723" s="3" t="s">
        <v>78</v>
      </c>
      <c r="BE3723" s="3" t="s">
        <v>36929</v>
      </c>
      <c r="BF3723" s="3" t="s">
        <v>36928</v>
      </c>
      <c r="BG3723" s="3" t="s">
        <v>36930</v>
      </c>
    </row>
    <row r="3724" spans="1:59" ht="58" x14ac:dyDescent="0.35">
      <c r="A3724" s="2" t="s">
        <v>59</v>
      </c>
      <c r="B3724" s="2" t="s">
        <v>60</v>
      </c>
      <c r="C3724" s="2" t="s">
        <v>36931</v>
      </c>
      <c r="D3724" s="2" t="s">
        <v>36932</v>
      </c>
      <c r="E3724" s="2" t="s">
        <v>36933</v>
      </c>
      <c r="G3724" s="3" t="s">
        <v>65</v>
      </c>
      <c r="I3724" s="3" t="s">
        <v>209</v>
      </c>
      <c r="J3724" s="3" t="s">
        <v>65</v>
      </c>
      <c r="K3724" s="3" t="s">
        <v>66</v>
      </c>
      <c r="L3724" s="2" t="s">
        <v>36845</v>
      </c>
      <c r="M3724" s="2" t="s">
        <v>36934</v>
      </c>
      <c r="N3724" s="3" t="s">
        <v>615</v>
      </c>
      <c r="O3724" s="2" t="s">
        <v>22240</v>
      </c>
      <c r="P3724" s="3" t="s">
        <v>69</v>
      </c>
      <c r="R3724" s="3" t="s">
        <v>71</v>
      </c>
      <c r="S3724" s="4">
        <v>50</v>
      </c>
      <c r="T3724" s="4">
        <v>89</v>
      </c>
      <c r="U3724" s="5" t="s">
        <v>36935</v>
      </c>
      <c r="V3724" s="5" t="s">
        <v>27258</v>
      </c>
      <c r="W3724" s="5" t="s">
        <v>72</v>
      </c>
      <c r="X3724" s="5" t="s">
        <v>72</v>
      </c>
      <c r="Y3724" s="4">
        <v>1394</v>
      </c>
      <c r="Z3724" s="4">
        <v>62</v>
      </c>
      <c r="AA3724" s="4">
        <v>83</v>
      </c>
      <c r="AB3724" s="4">
        <v>5</v>
      </c>
      <c r="AC3724" s="4">
        <v>6</v>
      </c>
      <c r="AD3724" s="4">
        <v>129</v>
      </c>
      <c r="AE3724" s="4">
        <v>147</v>
      </c>
      <c r="AF3724" s="4">
        <v>2</v>
      </c>
      <c r="AG3724" s="4">
        <v>3</v>
      </c>
      <c r="AH3724" s="4">
        <v>104</v>
      </c>
      <c r="AI3724" s="4">
        <v>111</v>
      </c>
      <c r="AJ3724" s="4">
        <v>17</v>
      </c>
      <c r="AK3724" s="4">
        <v>23</v>
      </c>
      <c r="AL3724" s="4">
        <v>58</v>
      </c>
      <c r="AM3724" s="4">
        <v>61</v>
      </c>
      <c r="AN3724" s="4">
        <v>0</v>
      </c>
      <c r="AO3724" s="4">
        <v>0</v>
      </c>
      <c r="AP3724" s="4">
        <v>30</v>
      </c>
      <c r="AQ3724" s="4">
        <v>43</v>
      </c>
      <c r="AR3724" s="3" t="s">
        <v>65</v>
      </c>
      <c r="AS3724" s="3" t="s">
        <v>65</v>
      </c>
      <c r="AT3724" s="3" t="s">
        <v>209</v>
      </c>
      <c r="AU3724" s="6" t="str">
        <f>HYPERLINK("http://catalog.hathitrust.org/Record/000327956","HathiTrust Record")</f>
        <v>HathiTrust Record</v>
      </c>
      <c r="AV3724" s="6" t="str">
        <f>HYPERLINK("http://mcgill.on.worldcat.org/oclc/10726684","Catalog Record")</f>
        <v>Catalog Record</v>
      </c>
      <c r="AW3724" s="6" t="str">
        <f>HYPERLINK("http://www.worldcat.org/oclc/10726684","WorldCat Record")</f>
        <v>WorldCat Record</v>
      </c>
      <c r="AX3724" s="3" t="s">
        <v>36936</v>
      </c>
      <c r="AY3724" s="3" t="s">
        <v>36937</v>
      </c>
      <c r="AZ3724" s="3" t="s">
        <v>36938</v>
      </c>
      <c r="BA3724" s="3" t="s">
        <v>36938</v>
      </c>
      <c r="BB3724" s="3" t="s">
        <v>36939</v>
      </c>
      <c r="BC3724" s="3" t="s">
        <v>77</v>
      </c>
      <c r="BD3724" s="3" t="s">
        <v>78</v>
      </c>
      <c r="BE3724" s="3" t="s">
        <v>36940</v>
      </c>
      <c r="BF3724" s="3" t="s">
        <v>36939</v>
      </c>
      <c r="BG3724" s="3" t="s">
        <v>36941</v>
      </c>
    </row>
    <row r="3725" spans="1:59" ht="58" x14ac:dyDescent="0.35">
      <c r="A3725" s="2" t="s">
        <v>59</v>
      </c>
      <c r="B3725" s="2" t="s">
        <v>60</v>
      </c>
      <c r="C3725" s="2" t="s">
        <v>36931</v>
      </c>
      <c r="D3725" s="2" t="s">
        <v>36932</v>
      </c>
      <c r="E3725" s="2" t="s">
        <v>36933</v>
      </c>
      <c r="G3725" s="3" t="s">
        <v>65</v>
      </c>
      <c r="I3725" s="3" t="s">
        <v>209</v>
      </c>
      <c r="J3725" s="3" t="s">
        <v>65</v>
      </c>
      <c r="K3725" s="3" t="s">
        <v>66</v>
      </c>
      <c r="L3725" s="2" t="s">
        <v>36845</v>
      </c>
      <c r="M3725" s="2" t="s">
        <v>36934</v>
      </c>
      <c r="N3725" s="3" t="s">
        <v>615</v>
      </c>
      <c r="O3725" s="2" t="s">
        <v>22240</v>
      </c>
      <c r="P3725" s="3" t="s">
        <v>69</v>
      </c>
      <c r="R3725" s="3" t="s">
        <v>71</v>
      </c>
      <c r="S3725" s="4">
        <v>4</v>
      </c>
      <c r="T3725" s="4">
        <v>89</v>
      </c>
      <c r="U3725" s="5" t="s">
        <v>7917</v>
      </c>
      <c r="V3725" s="5" t="s">
        <v>27258</v>
      </c>
      <c r="W3725" s="5" t="s">
        <v>72</v>
      </c>
      <c r="X3725" s="5" t="s">
        <v>72</v>
      </c>
      <c r="Y3725" s="4">
        <v>1394</v>
      </c>
      <c r="Z3725" s="4">
        <v>62</v>
      </c>
      <c r="AA3725" s="4">
        <v>83</v>
      </c>
      <c r="AB3725" s="4">
        <v>5</v>
      </c>
      <c r="AC3725" s="4">
        <v>6</v>
      </c>
      <c r="AD3725" s="4">
        <v>129</v>
      </c>
      <c r="AE3725" s="4">
        <v>147</v>
      </c>
      <c r="AF3725" s="4">
        <v>2</v>
      </c>
      <c r="AG3725" s="4">
        <v>3</v>
      </c>
      <c r="AH3725" s="4">
        <v>104</v>
      </c>
      <c r="AI3725" s="4">
        <v>111</v>
      </c>
      <c r="AJ3725" s="4">
        <v>17</v>
      </c>
      <c r="AK3725" s="4">
        <v>23</v>
      </c>
      <c r="AL3725" s="4">
        <v>58</v>
      </c>
      <c r="AM3725" s="4">
        <v>61</v>
      </c>
      <c r="AN3725" s="4">
        <v>0</v>
      </c>
      <c r="AO3725" s="4">
        <v>0</v>
      </c>
      <c r="AP3725" s="4">
        <v>30</v>
      </c>
      <c r="AQ3725" s="4">
        <v>43</v>
      </c>
      <c r="AR3725" s="3" t="s">
        <v>65</v>
      </c>
      <c r="AS3725" s="3" t="s">
        <v>65</v>
      </c>
      <c r="AT3725" s="3" t="s">
        <v>209</v>
      </c>
      <c r="AU3725" s="6" t="str">
        <f>HYPERLINK("http://catalog.hathitrust.org/Record/000327956","HathiTrust Record")</f>
        <v>HathiTrust Record</v>
      </c>
      <c r="AV3725" s="6" t="str">
        <f>HYPERLINK("http://mcgill.on.worldcat.org/oclc/10726684","Catalog Record")</f>
        <v>Catalog Record</v>
      </c>
      <c r="AW3725" s="6" t="str">
        <f>HYPERLINK("http://www.worldcat.org/oclc/10726684","WorldCat Record")</f>
        <v>WorldCat Record</v>
      </c>
      <c r="AX3725" s="3" t="s">
        <v>36936</v>
      </c>
      <c r="AY3725" s="3" t="s">
        <v>36937</v>
      </c>
      <c r="AZ3725" s="3" t="s">
        <v>36938</v>
      </c>
      <c r="BA3725" s="3" t="s">
        <v>36938</v>
      </c>
      <c r="BB3725" s="3" t="s">
        <v>36942</v>
      </c>
      <c r="BC3725" s="3" t="s">
        <v>77</v>
      </c>
      <c r="BD3725" s="3" t="s">
        <v>78</v>
      </c>
      <c r="BE3725" s="3" t="s">
        <v>36940</v>
      </c>
      <c r="BF3725" s="3" t="s">
        <v>36942</v>
      </c>
      <c r="BG3725" s="3" t="s">
        <v>36943</v>
      </c>
    </row>
    <row r="3726" spans="1:59" ht="58" x14ac:dyDescent="0.35">
      <c r="A3726" s="2" t="s">
        <v>59</v>
      </c>
      <c r="B3726" s="2" t="s">
        <v>60</v>
      </c>
      <c r="C3726" s="2" t="s">
        <v>36931</v>
      </c>
      <c r="D3726" s="2" t="s">
        <v>36932</v>
      </c>
      <c r="E3726" s="2" t="s">
        <v>36933</v>
      </c>
      <c r="G3726" s="3" t="s">
        <v>65</v>
      </c>
      <c r="I3726" s="3" t="s">
        <v>209</v>
      </c>
      <c r="J3726" s="3" t="s">
        <v>65</v>
      </c>
      <c r="K3726" s="3" t="s">
        <v>66</v>
      </c>
      <c r="L3726" s="2" t="s">
        <v>36845</v>
      </c>
      <c r="M3726" s="2" t="s">
        <v>36934</v>
      </c>
      <c r="N3726" s="3" t="s">
        <v>615</v>
      </c>
      <c r="O3726" s="2" t="s">
        <v>22240</v>
      </c>
      <c r="P3726" s="3" t="s">
        <v>69</v>
      </c>
      <c r="R3726" s="3" t="s">
        <v>71</v>
      </c>
      <c r="S3726" s="4">
        <v>35</v>
      </c>
      <c r="T3726" s="4">
        <v>89</v>
      </c>
      <c r="U3726" s="5" t="s">
        <v>27258</v>
      </c>
      <c r="V3726" s="5" t="s">
        <v>27258</v>
      </c>
      <c r="W3726" s="5" t="s">
        <v>72</v>
      </c>
      <c r="X3726" s="5" t="s">
        <v>72</v>
      </c>
      <c r="Y3726" s="4">
        <v>1394</v>
      </c>
      <c r="Z3726" s="4">
        <v>62</v>
      </c>
      <c r="AA3726" s="4">
        <v>83</v>
      </c>
      <c r="AB3726" s="4">
        <v>5</v>
      </c>
      <c r="AC3726" s="4">
        <v>6</v>
      </c>
      <c r="AD3726" s="4">
        <v>129</v>
      </c>
      <c r="AE3726" s="4">
        <v>147</v>
      </c>
      <c r="AF3726" s="4">
        <v>2</v>
      </c>
      <c r="AG3726" s="4">
        <v>3</v>
      </c>
      <c r="AH3726" s="4">
        <v>104</v>
      </c>
      <c r="AI3726" s="4">
        <v>111</v>
      </c>
      <c r="AJ3726" s="4">
        <v>17</v>
      </c>
      <c r="AK3726" s="4">
        <v>23</v>
      </c>
      <c r="AL3726" s="4">
        <v>58</v>
      </c>
      <c r="AM3726" s="4">
        <v>61</v>
      </c>
      <c r="AN3726" s="4">
        <v>0</v>
      </c>
      <c r="AO3726" s="4">
        <v>0</v>
      </c>
      <c r="AP3726" s="4">
        <v>30</v>
      </c>
      <c r="AQ3726" s="4">
        <v>43</v>
      </c>
      <c r="AR3726" s="3" t="s">
        <v>65</v>
      </c>
      <c r="AS3726" s="3" t="s">
        <v>65</v>
      </c>
      <c r="AT3726" s="3" t="s">
        <v>209</v>
      </c>
      <c r="AU3726" s="6" t="str">
        <f>HYPERLINK("http://catalog.hathitrust.org/Record/000327956","HathiTrust Record")</f>
        <v>HathiTrust Record</v>
      </c>
      <c r="AV3726" s="6" t="str">
        <f>HYPERLINK("http://mcgill.on.worldcat.org/oclc/10726684","Catalog Record")</f>
        <v>Catalog Record</v>
      </c>
      <c r="AW3726" s="6" t="str">
        <f>HYPERLINK("http://www.worldcat.org/oclc/10726684","WorldCat Record")</f>
        <v>WorldCat Record</v>
      </c>
      <c r="AX3726" s="3" t="s">
        <v>36936</v>
      </c>
      <c r="AY3726" s="3" t="s">
        <v>36937</v>
      </c>
      <c r="AZ3726" s="3" t="s">
        <v>36938</v>
      </c>
      <c r="BA3726" s="3" t="s">
        <v>36938</v>
      </c>
      <c r="BB3726" s="3" t="s">
        <v>36944</v>
      </c>
      <c r="BC3726" s="3" t="s">
        <v>77</v>
      </c>
      <c r="BD3726" s="3" t="s">
        <v>78</v>
      </c>
      <c r="BE3726" s="3" t="s">
        <v>36940</v>
      </c>
      <c r="BF3726" s="3" t="s">
        <v>36944</v>
      </c>
      <c r="BG3726" s="3" t="s">
        <v>36945</v>
      </c>
    </row>
    <row r="3727" spans="1:59" ht="58" x14ac:dyDescent="0.35">
      <c r="A3727" s="2" t="s">
        <v>59</v>
      </c>
      <c r="B3727" s="2" t="s">
        <v>60</v>
      </c>
      <c r="C3727" s="2" t="s">
        <v>36946</v>
      </c>
      <c r="D3727" s="2" t="s">
        <v>36947</v>
      </c>
      <c r="E3727" s="2" t="s">
        <v>36948</v>
      </c>
      <c r="G3727" s="3" t="s">
        <v>65</v>
      </c>
      <c r="I3727" s="3" t="s">
        <v>65</v>
      </c>
      <c r="J3727" s="3" t="s">
        <v>65</v>
      </c>
      <c r="K3727" s="3" t="s">
        <v>66</v>
      </c>
      <c r="L3727" s="2" t="s">
        <v>36830</v>
      </c>
      <c r="M3727" s="2" t="s">
        <v>36949</v>
      </c>
      <c r="N3727" s="3" t="s">
        <v>126</v>
      </c>
      <c r="P3727" s="3" t="s">
        <v>140</v>
      </c>
      <c r="Q3727" s="2" t="s">
        <v>36950</v>
      </c>
      <c r="R3727" s="3" t="s">
        <v>71</v>
      </c>
      <c r="S3727" s="4">
        <v>1</v>
      </c>
      <c r="T3727" s="4">
        <v>1</v>
      </c>
      <c r="U3727" s="5" t="s">
        <v>15802</v>
      </c>
      <c r="V3727" s="5" t="s">
        <v>15802</v>
      </c>
      <c r="W3727" s="5" t="s">
        <v>72</v>
      </c>
      <c r="X3727" s="5" t="s">
        <v>72</v>
      </c>
      <c r="Y3727" s="4">
        <v>61</v>
      </c>
      <c r="Z3727" s="4">
        <v>4</v>
      </c>
      <c r="AA3727" s="4">
        <v>4</v>
      </c>
      <c r="AB3727" s="4">
        <v>1</v>
      </c>
      <c r="AC3727" s="4">
        <v>1</v>
      </c>
      <c r="AD3727" s="4">
        <v>40</v>
      </c>
      <c r="AE3727" s="4">
        <v>40</v>
      </c>
      <c r="AF3727" s="4">
        <v>0</v>
      </c>
      <c r="AG3727" s="4">
        <v>0</v>
      </c>
      <c r="AH3727" s="4">
        <v>39</v>
      </c>
      <c r="AI3727" s="4">
        <v>39</v>
      </c>
      <c r="AJ3727" s="4">
        <v>2</v>
      </c>
      <c r="AK3727" s="4">
        <v>2</v>
      </c>
      <c r="AL3727" s="4">
        <v>28</v>
      </c>
      <c r="AM3727" s="4">
        <v>28</v>
      </c>
      <c r="AN3727" s="4">
        <v>0</v>
      </c>
      <c r="AO3727" s="4">
        <v>0</v>
      </c>
      <c r="AP3727" s="4">
        <v>2</v>
      </c>
      <c r="AQ3727" s="4">
        <v>2</v>
      </c>
      <c r="AR3727" s="3" t="s">
        <v>65</v>
      </c>
      <c r="AS3727" s="3" t="s">
        <v>65</v>
      </c>
      <c r="AT3727" s="3" t="s">
        <v>65</v>
      </c>
      <c r="AV3727" s="6" t="str">
        <f>HYPERLINK("http://mcgill.on.worldcat.org/oclc/679933944","Catalog Record")</f>
        <v>Catalog Record</v>
      </c>
      <c r="AW3727" s="6" t="str">
        <f>HYPERLINK("http://www.worldcat.org/oclc/679933944","WorldCat Record")</f>
        <v>WorldCat Record</v>
      </c>
      <c r="AX3727" s="3" t="s">
        <v>36951</v>
      </c>
      <c r="AY3727" s="3" t="s">
        <v>36952</v>
      </c>
      <c r="AZ3727" s="3" t="s">
        <v>36953</v>
      </c>
      <c r="BA3727" s="3" t="s">
        <v>36953</v>
      </c>
      <c r="BB3727" s="3" t="s">
        <v>36954</v>
      </c>
      <c r="BC3727" s="3" t="s">
        <v>77</v>
      </c>
      <c r="BD3727" s="3" t="s">
        <v>78</v>
      </c>
      <c r="BE3727" s="3" t="s">
        <v>36955</v>
      </c>
      <c r="BF3727" s="3" t="s">
        <v>36954</v>
      </c>
      <c r="BG3727" s="3" t="s">
        <v>36956</v>
      </c>
    </row>
    <row r="3728" spans="1:59" ht="58" x14ac:dyDescent="0.35">
      <c r="A3728" s="2" t="s">
        <v>59</v>
      </c>
      <c r="B3728" s="2" t="s">
        <v>60</v>
      </c>
      <c r="C3728" s="2" t="s">
        <v>36957</v>
      </c>
      <c r="D3728" s="2" t="s">
        <v>36958</v>
      </c>
      <c r="E3728" s="2" t="s">
        <v>36959</v>
      </c>
      <c r="G3728" s="3" t="s">
        <v>65</v>
      </c>
      <c r="I3728" s="3" t="s">
        <v>65</v>
      </c>
      <c r="J3728" s="3" t="s">
        <v>65</v>
      </c>
      <c r="K3728" s="3" t="s">
        <v>66</v>
      </c>
      <c r="L3728" s="2" t="s">
        <v>36960</v>
      </c>
      <c r="M3728" s="2" t="s">
        <v>36961</v>
      </c>
      <c r="N3728" s="3" t="s">
        <v>2210</v>
      </c>
      <c r="O3728" s="2" t="s">
        <v>2086</v>
      </c>
      <c r="P3728" s="3" t="s">
        <v>69</v>
      </c>
      <c r="R3728" s="3" t="s">
        <v>71</v>
      </c>
      <c r="S3728" s="4">
        <v>4</v>
      </c>
      <c r="T3728" s="4">
        <v>4</v>
      </c>
      <c r="U3728" s="5" t="s">
        <v>4068</v>
      </c>
      <c r="V3728" s="5" t="s">
        <v>4068</v>
      </c>
      <c r="W3728" s="5" t="s">
        <v>72</v>
      </c>
      <c r="X3728" s="5" t="s">
        <v>72</v>
      </c>
      <c r="Y3728" s="4">
        <v>898</v>
      </c>
      <c r="Z3728" s="4">
        <v>36</v>
      </c>
      <c r="AA3728" s="4">
        <v>43</v>
      </c>
      <c r="AB3728" s="4">
        <v>4</v>
      </c>
      <c r="AC3728" s="4">
        <v>6</v>
      </c>
      <c r="AD3728" s="4">
        <v>102</v>
      </c>
      <c r="AE3728" s="4">
        <v>121</v>
      </c>
      <c r="AF3728" s="4">
        <v>1</v>
      </c>
      <c r="AG3728" s="4">
        <v>2</v>
      </c>
      <c r="AH3728" s="4">
        <v>88</v>
      </c>
      <c r="AI3728" s="4">
        <v>104</v>
      </c>
      <c r="AJ3728" s="4">
        <v>15</v>
      </c>
      <c r="AK3728" s="4">
        <v>19</v>
      </c>
      <c r="AL3728" s="4">
        <v>47</v>
      </c>
      <c r="AM3728" s="4">
        <v>59</v>
      </c>
      <c r="AN3728" s="4">
        <v>0</v>
      </c>
      <c r="AO3728" s="4">
        <v>5</v>
      </c>
      <c r="AP3728" s="4">
        <v>17</v>
      </c>
      <c r="AQ3728" s="4">
        <v>22</v>
      </c>
      <c r="AR3728" s="3" t="s">
        <v>65</v>
      </c>
      <c r="AS3728" s="3" t="s">
        <v>65</v>
      </c>
      <c r="AT3728" s="3" t="s">
        <v>65</v>
      </c>
      <c r="AV3728" s="6" t="str">
        <f>HYPERLINK("http://mcgill.on.worldcat.org/oclc/49788627","Catalog Record")</f>
        <v>Catalog Record</v>
      </c>
      <c r="AW3728" s="6" t="str">
        <f>HYPERLINK("http://www.worldcat.org/oclc/49788627","WorldCat Record")</f>
        <v>WorldCat Record</v>
      </c>
      <c r="AX3728" s="3" t="s">
        <v>36962</v>
      </c>
      <c r="AY3728" s="3" t="s">
        <v>36963</v>
      </c>
      <c r="AZ3728" s="3" t="s">
        <v>36964</v>
      </c>
      <c r="BA3728" s="3" t="s">
        <v>36964</v>
      </c>
      <c r="BB3728" s="3" t="s">
        <v>36965</v>
      </c>
      <c r="BC3728" s="3" t="s">
        <v>77</v>
      </c>
      <c r="BD3728" s="3" t="s">
        <v>78</v>
      </c>
      <c r="BE3728" s="3" t="s">
        <v>36966</v>
      </c>
      <c r="BF3728" s="3" t="s">
        <v>36965</v>
      </c>
      <c r="BG3728" s="3" t="s">
        <v>36967</v>
      </c>
    </row>
    <row r="3729" spans="1:59" ht="58" x14ac:dyDescent="0.35">
      <c r="A3729" s="2" t="s">
        <v>59</v>
      </c>
      <c r="B3729" s="2" t="s">
        <v>60</v>
      </c>
      <c r="C3729" s="2" t="s">
        <v>36968</v>
      </c>
      <c r="D3729" s="2" t="s">
        <v>36969</v>
      </c>
      <c r="E3729" s="2" t="s">
        <v>36970</v>
      </c>
      <c r="G3729" s="3" t="s">
        <v>65</v>
      </c>
      <c r="I3729" s="3" t="s">
        <v>65</v>
      </c>
      <c r="J3729" s="3" t="s">
        <v>65</v>
      </c>
      <c r="K3729" s="3" t="s">
        <v>66</v>
      </c>
      <c r="M3729" s="2" t="s">
        <v>1587</v>
      </c>
      <c r="N3729" s="3" t="s">
        <v>126</v>
      </c>
      <c r="O3729" s="2" t="s">
        <v>526</v>
      </c>
      <c r="P3729" s="3" t="s">
        <v>69</v>
      </c>
      <c r="R3729" s="3" t="s">
        <v>71</v>
      </c>
      <c r="S3729" s="4">
        <v>3</v>
      </c>
      <c r="T3729" s="4">
        <v>3</v>
      </c>
      <c r="U3729" s="5" t="s">
        <v>34454</v>
      </c>
      <c r="V3729" s="5" t="s">
        <v>34454</v>
      </c>
      <c r="W3729" s="5" t="s">
        <v>72</v>
      </c>
      <c r="X3729" s="5" t="s">
        <v>72</v>
      </c>
      <c r="Y3729" s="4">
        <v>235</v>
      </c>
      <c r="Z3729" s="4">
        <v>18</v>
      </c>
      <c r="AA3729" s="4">
        <v>29</v>
      </c>
      <c r="AB3729" s="4">
        <v>1</v>
      </c>
      <c r="AC3729" s="4">
        <v>3</v>
      </c>
      <c r="AD3729" s="4">
        <v>77</v>
      </c>
      <c r="AE3729" s="4">
        <v>95</v>
      </c>
      <c r="AF3729" s="4">
        <v>0</v>
      </c>
      <c r="AG3729" s="4">
        <v>1</v>
      </c>
      <c r="AH3729" s="4">
        <v>70</v>
      </c>
      <c r="AI3729" s="4">
        <v>82</v>
      </c>
      <c r="AJ3729" s="4">
        <v>12</v>
      </c>
      <c r="AK3729" s="4">
        <v>16</v>
      </c>
      <c r="AL3729" s="4">
        <v>40</v>
      </c>
      <c r="AM3729" s="4">
        <v>47</v>
      </c>
      <c r="AN3729" s="4">
        <v>0</v>
      </c>
      <c r="AO3729" s="4">
        <v>0</v>
      </c>
      <c r="AP3729" s="4">
        <v>13</v>
      </c>
      <c r="AQ3729" s="4">
        <v>20</v>
      </c>
      <c r="AR3729" s="3" t="s">
        <v>65</v>
      </c>
      <c r="AS3729" s="3" t="s">
        <v>65</v>
      </c>
      <c r="AT3729" s="3" t="s">
        <v>65</v>
      </c>
      <c r="AV3729" s="6" t="str">
        <f>HYPERLINK("http://mcgill.on.worldcat.org/oclc/630467875","Catalog Record")</f>
        <v>Catalog Record</v>
      </c>
      <c r="AW3729" s="6" t="str">
        <f>HYPERLINK("http://www.worldcat.org/oclc/630467875","WorldCat Record")</f>
        <v>WorldCat Record</v>
      </c>
      <c r="AX3729" s="3" t="s">
        <v>36971</v>
      </c>
      <c r="AY3729" s="3" t="s">
        <v>36972</v>
      </c>
      <c r="AZ3729" s="3" t="s">
        <v>36973</v>
      </c>
      <c r="BA3729" s="3" t="s">
        <v>36973</v>
      </c>
      <c r="BB3729" s="3" t="s">
        <v>36974</v>
      </c>
      <c r="BC3729" s="3" t="s">
        <v>77</v>
      </c>
      <c r="BD3729" s="3" t="s">
        <v>78</v>
      </c>
      <c r="BE3729" s="3" t="s">
        <v>36975</v>
      </c>
      <c r="BF3729" s="3" t="s">
        <v>36974</v>
      </c>
      <c r="BG3729" s="3" t="s">
        <v>36976</v>
      </c>
    </row>
    <row r="3730" spans="1:59" ht="58" x14ac:dyDescent="0.35">
      <c r="A3730" s="2" t="s">
        <v>59</v>
      </c>
      <c r="B3730" s="2" t="s">
        <v>60</v>
      </c>
      <c r="C3730" s="2" t="s">
        <v>36977</v>
      </c>
      <c r="D3730" s="2" t="s">
        <v>36978</v>
      </c>
      <c r="E3730" s="2" t="s">
        <v>36979</v>
      </c>
      <c r="G3730" s="3" t="s">
        <v>65</v>
      </c>
      <c r="I3730" s="3" t="s">
        <v>65</v>
      </c>
      <c r="J3730" s="3" t="s">
        <v>65</v>
      </c>
      <c r="K3730" s="3" t="s">
        <v>66</v>
      </c>
      <c r="M3730" s="2" t="s">
        <v>13967</v>
      </c>
      <c r="N3730" s="3" t="s">
        <v>164</v>
      </c>
      <c r="P3730" s="3" t="s">
        <v>69</v>
      </c>
      <c r="Q3730" s="2" t="s">
        <v>36980</v>
      </c>
      <c r="R3730" s="3" t="s">
        <v>71</v>
      </c>
      <c r="S3730" s="4">
        <v>1</v>
      </c>
      <c r="T3730" s="4">
        <v>1</v>
      </c>
      <c r="U3730" s="5" t="s">
        <v>16389</v>
      </c>
      <c r="V3730" s="5" t="s">
        <v>16389</v>
      </c>
      <c r="W3730" s="5" t="s">
        <v>72</v>
      </c>
      <c r="X3730" s="5" t="s">
        <v>72</v>
      </c>
      <c r="Y3730" s="4">
        <v>152</v>
      </c>
      <c r="Z3730" s="4">
        <v>9</v>
      </c>
      <c r="AA3730" s="4">
        <v>9</v>
      </c>
      <c r="AB3730" s="4">
        <v>1</v>
      </c>
      <c r="AC3730" s="4">
        <v>1</v>
      </c>
      <c r="AD3730" s="4">
        <v>61</v>
      </c>
      <c r="AE3730" s="4">
        <v>61</v>
      </c>
      <c r="AF3730" s="4">
        <v>0</v>
      </c>
      <c r="AG3730" s="4">
        <v>0</v>
      </c>
      <c r="AH3730" s="4">
        <v>57</v>
      </c>
      <c r="AI3730" s="4">
        <v>57</v>
      </c>
      <c r="AJ3730" s="4">
        <v>7</v>
      </c>
      <c r="AK3730" s="4">
        <v>7</v>
      </c>
      <c r="AL3730" s="4">
        <v>39</v>
      </c>
      <c r="AM3730" s="4">
        <v>39</v>
      </c>
      <c r="AN3730" s="4">
        <v>0</v>
      </c>
      <c r="AO3730" s="4">
        <v>0</v>
      </c>
      <c r="AP3730" s="4">
        <v>7</v>
      </c>
      <c r="AQ3730" s="4">
        <v>7</v>
      </c>
      <c r="AR3730" s="3" t="s">
        <v>65</v>
      </c>
      <c r="AS3730" s="3" t="s">
        <v>65</v>
      </c>
      <c r="AT3730" s="3" t="s">
        <v>65</v>
      </c>
      <c r="AV3730" s="6" t="str">
        <f>HYPERLINK("http://mcgill.on.worldcat.org/oclc/858126228","Catalog Record")</f>
        <v>Catalog Record</v>
      </c>
      <c r="AW3730" s="6" t="str">
        <f>HYPERLINK("http://www.worldcat.org/oclc/858126228","WorldCat Record")</f>
        <v>WorldCat Record</v>
      </c>
      <c r="AX3730" s="3" t="s">
        <v>36981</v>
      </c>
      <c r="AY3730" s="3" t="s">
        <v>36982</v>
      </c>
      <c r="AZ3730" s="3" t="s">
        <v>36983</v>
      </c>
      <c r="BA3730" s="3" t="s">
        <v>36983</v>
      </c>
      <c r="BB3730" s="3" t="s">
        <v>36984</v>
      </c>
      <c r="BC3730" s="3" t="s">
        <v>77</v>
      </c>
      <c r="BD3730" s="3" t="s">
        <v>78</v>
      </c>
      <c r="BE3730" s="3" t="s">
        <v>36985</v>
      </c>
      <c r="BF3730" s="3" t="s">
        <v>36984</v>
      </c>
      <c r="BG3730" s="3" t="s">
        <v>36986</v>
      </c>
    </row>
    <row r="3731" spans="1:59" ht="58" x14ac:dyDescent="0.35">
      <c r="A3731" s="2" t="s">
        <v>59</v>
      </c>
      <c r="B3731" s="2" t="s">
        <v>60</v>
      </c>
      <c r="C3731" s="2" t="s">
        <v>36987</v>
      </c>
      <c r="D3731" s="2" t="s">
        <v>36988</v>
      </c>
      <c r="E3731" s="2" t="s">
        <v>36989</v>
      </c>
      <c r="G3731" s="3" t="s">
        <v>65</v>
      </c>
      <c r="I3731" s="3" t="s">
        <v>65</v>
      </c>
      <c r="J3731" s="3" t="s">
        <v>65</v>
      </c>
      <c r="K3731" s="3" t="s">
        <v>66</v>
      </c>
      <c r="L3731" s="2" t="s">
        <v>36990</v>
      </c>
      <c r="M3731" s="2" t="s">
        <v>36408</v>
      </c>
      <c r="N3731" s="3" t="s">
        <v>139</v>
      </c>
      <c r="P3731" s="3" t="s">
        <v>140</v>
      </c>
      <c r="Q3731" s="2" t="s">
        <v>36991</v>
      </c>
      <c r="R3731" s="3" t="s">
        <v>71</v>
      </c>
      <c r="S3731" s="4">
        <v>1</v>
      </c>
      <c r="T3731" s="4">
        <v>1</v>
      </c>
      <c r="U3731" s="5" t="s">
        <v>36992</v>
      </c>
      <c r="V3731" s="5" t="s">
        <v>36992</v>
      </c>
      <c r="W3731" s="5" t="s">
        <v>72</v>
      </c>
      <c r="X3731" s="5" t="s">
        <v>72</v>
      </c>
      <c r="Y3731" s="4">
        <v>51</v>
      </c>
      <c r="Z3731" s="4">
        <v>6</v>
      </c>
      <c r="AA3731" s="4">
        <v>6</v>
      </c>
      <c r="AB3731" s="4">
        <v>1</v>
      </c>
      <c r="AC3731" s="4">
        <v>1</v>
      </c>
      <c r="AD3731" s="4">
        <v>35</v>
      </c>
      <c r="AE3731" s="4">
        <v>35</v>
      </c>
      <c r="AF3731" s="4">
        <v>0</v>
      </c>
      <c r="AG3731" s="4">
        <v>0</v>
      </c>
      <c r="AH3731" s="4">
        <v>34</v>
      </c>
      <c r="AI3731" s="4">
        <v>34</v>
      </c>
      <c r="AJ3731" s="4">
        <v>4</v>
      </c>
      <c r="AK3731" s="4">
        <v>4</v>
      </c>
      <c r="AL3731" s="4">
        <v>25</v>
      </c>
      <c r="AM3731" s="4">
        <v>25</v>
      </c>
      <c r="AN3731" s="4">
        <v>0</v>
      </c>
      <c r="AO3731" s="4">
        <v>0</v>
      </c>
      <c r="AP3731" s="4">
        <v>4</v>
      </c>
      <c r="AQ3731" s="4">
        <v>4</v>
      </c>
      <c r="AR3731" s="3" t="s">
        <v>65</v>
      </c>
      <c r="AS3731" s="3" t="s">
        <v>65</v>
      </c>
      <c r="AT3731" s="3" t="s">
        <v>65</v>
      </c>
      <c r="AV3731" s="6" t="str">
        <f>HYPERLINK("http://mcgill.on.worldcat.org/oclc/798053292","Catalog Record")</f>
        <v>Catalog Record</v>
      </c>
      <c r="AW3731" s="6" t="str">
        <f>HYPERLINK("http://www.worldcat.org/oclc/798053292","WorldCat Record")</f>
        <v>WorldCat Record</v>
      </c>
      <c r="AX3731" s="3" t="s">
        <v>36993</v>
      </c>
      <c r="AY3731" s="3" t="s">
        <v>36994</v>
      </c>
      <c r="AZ3731" s="3" t="s">
        <v>36995</v>
      </c>
      <c r="BA3731" s="3" t="s">
        <v>36995</v>
      </c>
      <c r="BB3731" s="3" t="s">
        <v>36996</v>
      </c>
      <c r="BC3731" s="3" t="s">
        <v>77</v>
      </c>
      <c r="BD3731" s="3" t="s">
        <v>78</v>
      </c>
      <c r="BE3731" s="3" t="s">
        <v>36997</v>
      </c>
      <c r="BF3731" s="3" t="s">
        <v>36996</v>
      </c>
      <c r="BG3731" s="3" t="s">
        <v>36998</v>
      </c>
    </row>
    <row r="3732" spans="1:59" ht="58" x14ac:dyDescent="0.35">
      <c r="A3732" s="2" t="s">
        <v>59</v>
      </c>
      <c r="B3732" s="2" t="s">
        <v>60</v>
      </c>
      <c r="C3732" s="2" t="s">
        <v>36999</v>
      </c>
      <c r="D3732" s="2" t="s">
        <v>37000</v>
      </c>
      <c r="E3732" s="2" t="s">
        <v>37001</v>
      </c>
      <c r="G3732" s="3" t="s">
        <v>65</v>
      </c>
      <c r="I3732" s="3" t="s">
        <v>65</v>
      </c>
      <c r="J3732" s="3" t="s">
        <v>65</v>
      </c>
      <c r="K3732" s="3" t="s">
        <v>66</v>
      </c>
      <c r="L3732" s="2" t="s">
        <v>37002</v>
      </c>
      <c r="M3732" s="2" t="s">
        <v>37003</v>
      </c>
      <c r="N3732" s="3" t="s">
        <v>152</v>
      </c>
      <c r="P3732" s="3" t="s">
        <v>140</v>
      </c>
      <c r="Q3732" s="2" t="s">
        <v>37004</v>
      </c>
      <c r="R3732" s="3" t="s">
        <v>71</v>
      </c>
      <c r="S3732" s="4">
        <v>1</v>
      </c>
      <c r="T3732" s="4">
        <v>1</v>
      </c>
      <c r="U3732" s="5" t="s">
        <v>2341</v>
      </c>
      <c r="V3732" s="5" t="s">
        <v>2341</v>
      </c>
      <c r="W3732" s="5" t="s">
        <v>72</v>
      </c>
      <c r="X3732" s="5" t="s">
        <v>72</v>
      </c>
      <c r="Y3732" s="4">
        <v>45</v>
      </c>
      <c r="Z3732" s="4">
        <v>4</v>
      </c>
      <c r="AA3732" s="4">
        <v>4</v>
      </c>
      <c r="AB3732" s="4">
        <v>1</v>
      </c>
      <c r="AC3732" s="4">
        <v>1</v>
      </c>
      <c r="AD3732" s="4">
        <v>31</v>
      </c>
      <c r="AE3732" s="4">
        <v>31</v>
      </c>
      <c r="AF3732" s="4">
        <v>0</v>
      </c>
      <c r="AG3732" s="4">
        <v>0</v>
      </c>
      <c r="AH3732" s="4">
        <v>30</v>
      </c>
      <c r="AI3732" s="4">
        <v>30</v>
      </c>
      <c r="AJ3732" s="4">
        <v>2</v>
      </c>
      <c r="AK3732" s="4">
        <v>2</v>
      </c>
      <c r="AL3732" s="4">
        <v>24</v>
      </c>
      <c r="AM3732" s="4">
        <v>24</v>
      </c>
      <c r="AN3732" s="4">
        <v>0</v>
      </c>
      <c r="AO3732" s="4">
        <v>0</v>
      </c>
      <c r="AP3732" s="4">
        <v>2</v>
      </c>
      <c r="AQ3732" s="4">
        <v>2</v>
      </c>
      <c r="AR3732" s="3" t="s">
        <v>65</v>
      </c>
      <c r="AS3732" s="3" t="s">
        <v>65</v>
      </c>
      <c r="AT3732" s="3" t="s">
        <v>65</v>
      </c>
      <c r="AV3732" s="6" t="str">
        <f>HYPERLINK("http://mcgill.on.worldcat.org/oclc/846460157","Catalog Record")</f>
        <v>Catalog Record</v>
      </c>
      <c r="AW3732" s="6" t="str">
        <f>HYPERLINK("http://www.worldcat.org/oclc/846460157","WorldCat Record")</f>
        <v>WorldCat Record</v>
      </c>
      <c r="AX3732" s="3" t="s">
        <v>37005</v>
      </c>
      <c r="AY3732" s="3" t="s">
        <v>37006</v>
      </c>
      <c r="AZ3732" s="3" t="s">
        <v>37007</v>
      </c>
      <c r="BA3732" s="3" t="s">
        <v>37007</v>
      </c>
      <c r="BB3732" s="3" t="s">
        <v>37008</v>
      </c>
      <c r="BC3732" s="3" t="s">
        <v>77</v>
      </c>
      <c r="BD3732" s="3" t="s">
        <v>78</v>
      </c>
      <c r="BE3732" s="3" t="s">
        <v>37009</v>
      </c>
      <c r="BF3732" s="3" t="s">
        <v>37008</v>
      </c>
      <c r="BG3732" s="3" t="s">
        <v>37010</v>
      </c>
    </row>
    <row r="3733" spans="1:59" ht="58" x14ac:dyDescent="0.35">
      <c r="A3733" s="2" t="s">
        <v>59</v>
      </c>
      <c r="B3733" s="2" t="s">
        <v>60</v>
      </c>
      <c r="C3733" s="2" t="s">
        <v>37011</v>
      </c>
      <c r="D3733" s="2" t="s">
        <v>37012</v>
      </c>
      <c r="E3733" s="2" t="s">
        <v>37013</v>
      </c>
      <c r="G3733" s="3" t="s">
        <v>65</v>
      </c>
      <c r="I3733" s="3" t="s">
        <v>65</v>
      </c>
      <c r="J3733" s="3" t="s">
        <v>65</v>
      </c>
      <c r="K3733" s="3" t="s">
        <v>66</v>
      </c>
      <c r="L3733" s="2" t="s">
        <v>37014</v>
      </c>
      <c r="M3733" s="2" t="s">
        <v>37015</v>
      </c>
      <c r="N3733" s="3" t="s">
        <v>176</v>
      </c>
      <c r="P3733" s="3" t="s">
        <v>140</v>
      </c>
      <c r="Q3733" s="2" t="s">
        <v>37016</v>
      </c>
      <c r="R3733" s="3" t="s">
        <v>71</v>
      </c>
      <c r="S3733" s="4">
        <v>0</v>
      </c>
      <c r="T3733" s="4">
        <v>0</v>
      </c>
      <c r="W3733" s="5" t="s">
        <v>72</v>
      </c>
      <c r="X3733" s="5" t="s">
        <v>72</v>
      </c>
      <c r="Y3733" s="4">
        <v>53</v>
      </c>
      <c r="Z3733" s="4">
        <v>5</v>
      </c>
      <c r="AA3733" s="4">
        <v>5</v>
      </c>
      <c r="AB3733" s="4">
        <v>1</v>
      </c>
      <c r="AC3733" s="4">
        <v>1</v>
      </c>
      <c r="AD3733" s="4">
        <v>31</v>
      </c>
      <c r="AE3733" s="4">
        <v>31</v>
      </c>
      <c r="AF3733" s="4">
        <v>0</v>
      </c>
      <c r="AG3733" s="4">
        <v>0</v>
      </c>
      <c r="AH3733" s="4">
        <v>30</v>
      </c>
      <c r="AI3733" s="4">
        <v>30</v>
      </c>
      <c r="AJ3733" s="4">
        <v>2</v>
      </c>
      <c r="AK3733" s="4">
        <v>2</v>
      </c>
      <c r="AL3733" s="4">
        <v>20</v>
      </c>
      <c r="AM3733" s="4">
        <v>20</v>
      </c>
      <c r="AN3733" s="4">
        <v>0</v>
      </c>
      <c r="AO3733" s="4">
        <v>0</v>
      </c>
      <c r="AP3733" s="4">
        <v>2</v>
      </c>
      <c r="AQ3733" s="4">
        <v>2</v>
      </c>
      <c r="AR3733" s="3" t="s">
        <v>65</v>
      </c>
      <c r="AS3733" s="3" t="s">
        <v>65</v>
      </c>
      <c r="AT3733" s="3" t="s">
        <v>65</v>
      </c>
      <c r="AV3733" s="6" t="str">
        <f>HYPERLINK("http://mcgill.on.worldcat.org/oclc/922837192","Catalog Record")</f>
        <v>Catalog Record</v>
      </c>
      <c r="AW3733" s="6" t="str">
        <f>HYPERLINK("http://www.worldcat.org/oclc/922837192","WorldCat Record")</f>
        <v>WorldCat Record</v>
      </c>
      <c r="AX3733" s="3" t="s">
        <v>37017</v>
      </c>
      <c r="AY3733" s="3" t="s">
        <v>37018</v>
      </c>
      <c r="AZ3733" s="3" t="s">
        <v>37019</v>
      </c>
      <c r="BA3733" s="3" t="s">
        <v>37019</v>
      </c>
      <c r="BB3733" s="3" t="s">
        <v>37020</v>
      </c>
      <c r="BC3733" s="3" t="s">
        <v>77</v>
      </c>
      <c r="BD3733" s="3" t="s">
        <v>78</v>
      </c>
      <c r="BE3733" s="3" t="s">
        <v>37021</v>
      </c>
      <c r="BF3733" s="3" t="s">
        <v>37020</v>
      </c>
      <c r="BG3733" s="3" t="s">
        <v>37022</v>
      </c>
    </row>
    <row r="3734" spans="1:59" ht="58" x14ac:dyDescent="0.35">
      <c r="A3734" s="2" t="s">
        <v>59</v>
      </c>
      <c r="B3734" s="2" t="s">
        <v>60</v>
      </c>
      <c r="C3734" s="2" t="s">
        <v>37023</v>
      </c>
      <c r="D3734" s="2" t="s">
        <v>37024</v>
      </c>
      <c r="E3734" s="2" t="s">
        <v>37025</v>
      </c>
      <c r="G3734" s="3" t="s">
        <v>65</v>
      </c>
      <c r="I3734" s="3" t="s">
        <v>65</v>
      </c>
      <c r="J3734" s="3" t="s">
        <v>65</v>
      </c>
      <c r="K3734" s="3" t="s">
        <v>66</v>
      </c>
      <c r="L3734" s="2" t="s">
        <v>37026</v>
      </c>
      <c r="M3734" s="2" t="s">
        <v>37027</v>
      </c>
      <c r="N3734" s="3" t="s">
        <v>99</v>
      </c>
      <c r="P3734" s="3" t="s">
        <v>69</v>
      </c>
      <c r="R3734" s="3" t="s">
        <v>71</v>
      </c>
      <c r="S3734" s="4">
        <v>4</v>
      </c>
      <c r="T3734" s="4">
        <v>4</v>
      </c>
      <c r="U3734" s="5" t="s">
        <v>4068</v>
      </c>
      <c r="V3734" s="5" t="s">
        <v>4068</v>
      </c>
      <c r="W3734" s="5" t="s">
        <v>72</v>
      </c>
      <c r="X3734" s="5" t="s">
        <v>72</v>
      </c>
      <c r="Y3734" s="4">
        <v>97</v>
      </c>
      <c r="Z3734" s="4">
        <v>7</v>
      </c>
      <c r="AA3734" s="4">
        <v>7</v>
      </c>
      <c r="AB3734" s="4">
        <v>1</v>
      </c>
      <c r="AC3734" s="4">
        <v>1</v>
      </c>
      <c r="AD3734" s="4">
        <v>49</v>
      </c>
      <c r="AE3734" s="4">
        <v>49</v>
      </c>
      <c r="AF3734" s="4">
        <v>0</v>
      </c>
      <c r="AG3734" s="4">
        <v>0</v>
      </c>
      <c r="AH3734" s="4">
        <v>45</v>
      </c>
      <c r="AI3734" s="4">
        <v>45</v>
      </c>
      <c r="AJ3734" s="4">
        <v>4</v>
      </c>
      <c r="AK3734" s="4">
        <v>4</v>
      </c>
      <c r="AL3734" s="4">
        <v>34</v>
      </c>
      <c r="AM3734" s="4">
        <v>34</v>
      </c>
      <c r="AN3734" s="4">
        <v>0</v>
      </c>
      <c r="AO3734" s="4">
        <v>0</v>
      </c>
      <c r="AP3734" s="4">
        <v>4</v>
      </c>
      <c r="AQ3734" s="4">
        <v>4</v>
      </c>
      <c r="AR3734" s="3" t="s">
        <v>65</v>
      </c>
      <c r="AS3734" s="3" t="s">
        <v>65</v>
      </c>
      <c r="AT3734" s="3" t="s">
        <v>209</v>
      </c>
      <c r="AU3734" s="6" t="str">
        <f>HYPERLINK("http://catalog.hathitrust.org/Record/005210119","HathiTrust Record")</f>
        <v>HathiTrust Record</v>
      </c>
      <c r="AV3734" s="6" t="str">
        <f>HYPERLINK("http://mcgill.on.worldcat.org/oclc/61260633","Catalog Record")</f>
        <v>Catalog Record</v>
      </c>
      <c r="AW3734" s="6" t="str">
        <f>HYPERLINK("http://www.worldcat.org/oclc/61260633","WorldCat Record")</f>
        <v>WorldCat Record</v>
      </c>
      <c r="AX3734" s="3" t="s">
        <v>37028</v>
      </c>
      <c r="AY3734" s="3" t="s">
        <v>37029</v>
      </c>
      <c r="AZ3734" s="3" t="s">
        <v>37030</v>
      </c>
      <c r="BA3734" s="3" t="s">
        <v>37030</v>
      </c>
      <c r="BB3734" s="3" t="s">
        <v>37031</v>
      </c>
      <c r="BC3734" s="3" t="s">
        <v>77</v>
      </c>
      <c r="BD3734" s="3" t="s">
        <v>78</v>
      </c>
      <c r="BE3734" s="3" t="s">
        <v>37032</v>
      </c>
      <c r="BF3734" s="3" t="s">
        <v>37031</v>
      </c>
      <c r="BG3734" s="3" t="s">
        <v>37033</v>
      </c>
    </row>
    <row r="3735" spans="1:59" ht="58" x14ac:dyDescent="0.35">
      <c r="A3735" s="2" t="s">
        <v>59</v>
      </c>
      <c r="B3735" s="2" t="s">
        <v>60</v>
      </c>
      <c r="C3735" s="2" t="s">
        <v>37034</v>
      </c>
      <c r="D3735" s="2" t="s">
        <v>37035</v>
      </c>
      <c r="E3735" s="2" t="s">
        <v>37036</v>
      </c>
      <c r="G3735" s="3" t="s">
        <v>65</v>
      </c>
      <c r="I3735" s="3" t="s">
        <v>65</v>
      </c>
      <c r="J3735" s="3" t="s">
        <v>65</v>
      </c>
      <c r="K3735" s="3" t="s">
        <v>66</v>
      </c>
      <c r="L3735" s="2" t="s">
        <v>37037</v>
      </c>
      <c r="M3735" s="2" t="s">
        <v>36949</v>
      </c>
      <c r="N3735" s="3" t="s">
        <v>126</v>
      </c>
      <c r="P3735" s="3" t="s">
        <v>140</v>
      </c>
      <c r="Q3735" s="2" t="s">
        <v>37038</v>
      </c>
      <c r="R3735" s="3" t="s">
        <v>71</v>
      </c>
      <c r="S3735" s="4">
        <v>0</v>
      </c>
      <c r="T3735" s="4">
        <v>0</v>
      </c>
      <c r="W3735" s="5" t="s">
        <v>72</v>
      </c>
      <c r="X3735" s="5" t="s">
        <v>72</v>
      </c>
      <c r="Y3735" s="4">
        <v>54</v>
      </c>
      <c r="Z3735" s="4">
        <v>5</v>
      </c>
      <c r="AA3735" s="4">
        <v>5</v>
      </c>
      <c r="AB3735" s="4">
        <v>1</v>
      </c>
      <c r="AC3735" s="4">
        <v>1</v>
      </c>
      <c r="AD3735" s="4">
        <v>35</v>
      </c>
      <c r="AE3735" s="4">
        <v>35</v>
      </c>
      <c r="AF3735" s="4">
        <v>0</v>
      </c>
      <c r="AG3735" s="4">
        <v>0</v>
      </c>
      <c r="AH3735" s="4">
        <v>34</v>
      </c>
      <c r="AI3735" s="4">
        <v>34</v>
      </c>
      <c r="AJ3735" s="4">
        <v>3</v>
      </c>
      <c r="AK3735" s="4">
        <v>3</v>
      </c>
      <c r="AL3735" s="4">
        <v>26</v>
      </c>
      <c r="AM3735" s="4">
        <v>26</v>
      </c>
      <c r="AN3735" s="4">
        <v>0</v>
      </c>
      <c r="AO3735" s="4">
        <v>0</v>
      </c>
      <c r="AP3735" s="4">
        <v>3</v>
      </c>
      <c r="AQ3735" s="4">
        <v>3</v>
      </c>
      <c r="AR3735" s="3" t="s">
        <v>65</v>
      </c>
      <c r="AS3735" s="3" t="s">
        <v>65</v>
      </c>
      <c r="AT3735" s="3" t="s">
        <v>65</v>
      </c>
      <c r="AV3735" s="6" t="str">
        <f>HYPERLINK("http://mcgill.on.worldcat.org/oclc/726827591","Catalog Record")</f>
        <v>Catalog Record</v>
      </c>
      <c r="AW3735" s="6" t="str">
        <f>HYPERLINK("http://www.worldcat.org/oclc/726827591","WorldCat Record")</f>
        <v>WorldCat Record</v>
      </c>
      <c r="AX3735" s="3" t="s">
        <v>37039</v>
      </c>
      <c r="AY3735" s="3" t="s">
        <v>37040</v>
      </c>
      <c r="AZ3735" s="3" t="s">
        <v>37041</v>
      </c>
      <c r="BA3735" s="3" t="s">
        <v>37041</v>
      </c>
      <c r="BB3735" s="3" t="s">
        <v>37042</v>
      </c>
      <c r="BC3735" s="3" t="s">
        <v>77</v>
      </c>
      <c r="BD3735" s="3" t="s">
        <v>78</v>
      </c>
      <c r="BE3735" s="3" t="s">
        <v>37043</v>
      </c>
      <c r="BF3735" s="3" t="s">
        <v>37042</v>
      </c>
      <c r="BG3735" s="3" t="s">
        <v>37044</v>
      </c>
    </row>
    <row r="3736" spans="1:59" ht="58" x14ac:dyDescent="0.35">
      <c r="A3736" s="2" t="s">
        <v>59</v>
      </c>
      <c r="B3736" s="2" t="s">
        <v>60</v>
      </c>
      <c r="C3736" s="2" t="s">
        <v>37045</v>
      </c>
      <c r="D3736" s="2" t="s">
        <v>37046</v>
      </c>
      <c r="E3736" s="2" t="s">
        <v>37047</v>
      </c>
      <c r="G3736" s="3" t="s">
        <v>65</v>
      </c>
      <c r="I3736" s="3" t="s">
        <v>65</v>
      </c>
      <c r="J3736" s="3" t="s">
        <v>65</v>
      </c>
      <c r="K3736" s="3" t="s">
        <v>66</v>
      </c>
      <c r="M3736" s="2" t="s">
        <v>37048</v>
      </c>
      <c r="N3736" s="3" t="s">
        <v>221</v>
      </c>
      <c r="O3736" s="2" t="s">
        <v>526</v>
      </c>
      <c r="P3736" s="3" t="s">
        <v>69</v>
      </c>
      <c r="Q3736" s="2" t="s">
        <v>10001</v>
      </c>
      <c r="R3736" s="3" t="s">
        <v>71</v>
      </c>
      <c r="S3736" s="4">
        <v>3</v>
      </c>
      <c r="T3736" s="4">
        <v>3</v>
      </c>
      <c r="U3736" s="5" t="s">
        <v>37049</v>
      </c>
      <c r="V3736" s="5" t="s">
        <v>37049</v>
      </c>
      <c r="W3736" s="5" t="s">
        <v>72</v>
      </c>
      <c r="X3736" s="5" t="s">
        <v>72</v>
      </c>
      <c r="Y3736" s="4">
        <v>458</v>
      </c>
      <c r="Z3736" s="4">
        <v>26</v>
      </c>
      <c r="AA3736" s="4">
        <v>34</v>
      </c>
      <c r="AB3736" s="4">
        <v>1</v>
      </c>
      <c r="AC3736" s="4">
        <v>5</v>
      </c>
      <c r="AD3736" s="4">
        <v>101</v>
      </c>
      <c r="AE3736" s="4">
        <v>111</v>
      </c>
      <c r="AF3736" s="4">
        <v>0</v>
      </c>
      <c r="AG3736" s="4">
        <v>3</v>
      </c>
      <c r="AH3736" s="4">
        <v>91</v>
      </c>
      <c r="AI3736" s="4">
        <v>95</v>
      </c>
      <c r="AJ3736" s="4">
        <v>14</v>
      </c>
      <c r="AK3736" s="4">
        <v>20</v>
      </c>
      <c r="AL3736" s="4">
        <v>55</v>
      </c>
      <c r="AM3736" s="4">
        <v>56</v>
      </c>
      <c r="AN3736" s="4">
        <v>0</v>
      </c>
      <c r="AO3736" s="4">
        <v>0</v>
      </c>
      <c r="AP3736" s="4">
        <v>17</v>
      </c>
      <c r="AQ3736" s="4">
        <v>23</v>
      </c>
      <c r="AR3736" s="3" t="s">
        <v>65</v>
      </c>
      <c r="AS3736" s="3" t="s">
        <v>65</v>
      </c>
      <c r="AT3736" s="3" t="s">
        <v>65</v>
      </c>
      <c r="AV3736" s="6" t="str">
        <f>HYPERLINK("http://mcgill.on.worldcat.org/oclc/80020005","Catalog Record")</f>
        <v>Catalog Record</v>
      </c>
      <c r="AW3736" s="6" t="str">
        <f>HYPERLINK("http://www.worldcat.org/oclc/80020005","WorldCat Record")</f>
        <v>WorldCat Record</v>
      </c>
      <c r="AX3736" s="3" t="s">
        <v>37050</v>
      </c>
      <c r="AY3736" s="3" t="s">
        <v>37051</v>
      </c>
      <c r="AZ3736" s="3" t="s">
        <v>37052</v>
      </c>
      <c r="BA3736" s="3" t="s">
        <v>37052</v>
      </c>
      <c r="BB3736" s="3" t="s">
        <v>37053</v>
      </c>
      <c r="BC3736" s="3" t="s">
        <v>77</v>
      </c>
      <c r="BD3736" s="3" t="s">
        <v>78</v>
      </c>
      <c r="BE3736" s="3" t="s">
        <v>37054</v>
      </c>
      <c r="BF3736" s="3" t="s">
        <v>37053</v>
      </c>
      <c r="BG3736" s="3" t="s">
        <v>37055</v>
      </c>
    </row>
    <row r="3737" spans="1:59" ht="58" x14ac:dyDescent="0.35">
      <c r="A3737" s="2" t="s">
        <v>59</v>
      </c>
      <c r="B3737" s="2" t="s">
        <v>60</v>
      </c>
      <c r="C3737" s="2" t="s">
        <v>37056</v>
      </c>
      <c r="D3737" s="2" t="s">
        <v>37057</v>
      </c>
      <c r="E3737" s="2" t="s">
        <v>37058</v>
      </c>
      <c r="G3737" s="3" t="s">
        <v>65</v>
      </c>
      <c r="I3737" s="3" t="s">
        <v>65</v>
      </c>
      <c r="J3737" s="3" t="s">
        <v>65</v>
      </c>
      <c r="K3737" s="3" t="s">
        <v>66</v>
      </c>
      <c r="L3737" s="2" t="s">
        <v>37059</v>
      </c>
      <c r="M3737" s="2" t="s">
        <v>37060</v>
      </c>
      <c r="N3737" s="3" t="s">
        <v>126</v>
      </c>
      <c r="P3737" s="3" t="s">
        <v>140</v>
      </c>
      <c r="R3737" s="3" t="s">
        <v>71</v>
      </c>
      <c r="S3737" s="4">
        <v>0</v>
      </c>
      <c r="T3737" s="4">
        <v>0</v>
      </c>
      <c r="W3737" s="5" t="s">
        <v>72</v>
      </c>
      <c r="X3737" s="5" t="s">
        <v>72</v>
      </c>
      <c r="Y3737" s="4">
        <v>46</v>
      </c>
      <c r="Z3737" s="4">
        <v>5</v>
      </c>
      <c r="AA3737" s="4">
        <v>5</v>
      </c>
      <c r="AB3737" s="4">
        <v>1</v>
      </c>
      <c r="AC3737" s="4">
        <v>1</v>
      </c>
      <c r="AD3737" s="4">
        <v>33</v>
      </c>
      <c r="AE3737" s="4">
        <v>33</v>
      </c>
      <c r="AF3737" s="4">
        <v>0</v>
      </c>
      <c r="AG3737" s="4">
        <v>0</v>
      </c>
      <c r="AH3737" s="4">
        <v>32</v>
      </c>
      <c r="AI3737" s="4">
        <v>32</v>
      </c>
      <c r="AJ3737" s="4">
        <v>3</v>
      </c>
      <c r="AK3737" s="4">
        <v>3</v>
      </c>
      <c r="AL3737" s="4">
        <v>23</v>
      </c>
      <c r="AM3737" s="4">
        <v>23</v>
      </c>
      <c r="AN3737" s="4">
        <v>0</v>
      </c>
      <c r="AO3737" s="4">
        <v>0</v>
      </c>
      <c r="AP3737" s="4">
        <v>3</v>
      </c>
      <c r="AQ3737" s="4">
        <v>3</v>
      </c>
      <c r="AR3737" s="3" t="s">
        <v>65</v>
      </c>
      <c r="AS3737" s="3" t="s">
        <v>65</v>
      </c>
      <c r="AT3737" s="3" t="s">
        <v>65</v>
      </c>
      <c r="AV3737" s="6" t="str">
        <f>HYPERLINK("http://mcgill.on.worldcat.org/oclc/719413507","Catalog Record")</f>
        <v>Catalog Record</v>
      </c>
      <c r="AW3737" s="6" t="str">
        <f>HYPERLINK("http://www.worldcat.org/oclc/719413507","WorldCat Record")</f>
        <v>WorldCat Record</v>
      </c>
      <c r="AX3737" s="3" t="s">
        <v>37061</v>
      </c>
      <c r="AY3737" s="3" t="s">
        <v>37062</v>
      </c>
      <c r="AZ3737" s="3" t="s">
        <v>37063</v>
      </c>
      <c r="BA3737" s="3" t="s">
        <v>37063</v>
      </c>
      <c r="BB3737" s="3" t="s">
        <v>37064</v>
      </c>
      <c r="BC3737" s="3" t="s">
        <v>77</v>
      </c>
      <c r="BD3737" s="3" t="s">
        <v>78</v>
      </c>
      <c r="BE3737" s="3" t="s">
        <v>37065</v>
      </c>
      <c r="BF3737" s="3" t="s">
        <v>37064</v>
      </c>
      <c r="BG3737" s="3" t="s">
        <v>37066</v>
      </c>
    </row>
    <row r="3738" spans="1:59" ht="58" x14ac:dyDescent="0.35">
      <c r="A3738" s="2" t="s">
        <v>59</v>
      </c>
      <c r="B3738" s="2" t="s">
        <v>60</v>
      </c>
      <c r="C3738" s="2" t="s">
        <v>37067</v>
      </c>
      <c r="D3738" s="2" t="s">
        <v>37068</v>
      </c>
      <c r="E3738" s="2" t="s">
        <v>37069</v>
      </c>
      <c r="G3738" s="3" t="s">
        <v>65</v>
      </c>
      <c r="I3738" s="3" t="s">
        <v>65</v>
      </c>
      <c r="J3738" s="3" t="s">
        <v>65</v>
      </c>
      <c r="K3738" s="3" t="s">
        <v>66</v>
      </c>
      <c r="L3738" s="2" t="s">
        <v>37070</v>
      </c>
      <c r="M3738" s="2" t="s">
        <v>24993</v>
      </c>
      <c r="N3738" s="3" t="s">
        <v>176</v>
      </c>
      <c r="P3738" s="3" t="s">
        <v>140</v>
      </c>
      <c r="Q3738" s="2" t="s">
        <v>37071</v>
      </c>
      <c r="R3738" s="3" t="s">
        <v>71</v>
      </c>
      <c r="S3738" s="4">
        <v>1</v>
      </c>
      <c r="T3738" s="4">
        <v>1</v>
      </c>
      <c r="U3738" s="5" t="s">
        <v>25728</v>
      </c>
      <c r="V3738" s="5" t="s">
        <v>25728</v>
      </c>
      <c r="W3738" s="5" t="s">
        <v>72</v>
      </c>
      <c r="X3738" s="5" t="s">
        <v>72</v>
      </c>
      <c r="Y3738" s="4">
        <v>46</v>
      </c>
      <c r="Z3738" s="4">
        <v>4</v>
      </c>
      <c r="AA3738" s="4">
        <v>4</v>
      </c>
      <c r="AB3738" s="4">
        <v>1</v>
      </c>
      <c r="AC3738" s="4">
        <v>1</v>
      </c>
      <c r="AD3738" s="4">
        <v>37</v>
      </c>
      <c r="AE3738" s="4">
        <v>37</v>
      </c>
      <c r="AF3738" s="4">
        <v>0</v>
      </c>
      <c r="AG3738" s="4">
        <v>0</v>
      </c>
      <c r="AH3738" s="4">
        <v>36</v>
      </c>
      <c r="AI3738" s="4">
        <v>36</v>
      </c>
      <c r="AJ3738" s="4">
        <v>2</v>
      </c>
      <c r="AK3738" s="4">
        <v>2</v>
      </c>
      <c r="AL3738" s="4">
        <v>29</v>
      </c>
      <c r="AM3738" s="4">
        <v>29</v>
      </c>
      <c r="AN3738" s="4">
        <v>0</v>
      </c>
      <c r="AO3738" s="4">
        <v>0</v>
      </c>
      <c r="AP3738" s="4">
        <v>2</v>
      </c>
      <c r="AQ3738" s="4">
        <v>2</v>
      </c>
      <c r="AR3738" s="3" t="s">
        <v>65</v>
      </c>
      <c r="AS3738" s="3" t="s">
        <v>65</v>
      </c>
      <c r="AT3738" s="3" t="s">
        <v>65</v>
      </c>
      <c r="AV3738" s="6" t="str">
        <f>HYPERLINK("http://mcgill.on.worldcat.org/oclc/920379344","Catalog Record")</f>
        <v>Catalog Record</v>
      </c>
      <c r="AW3738" s="6" t="str">
        <f>HYPERLINK("http://www.worldcat.org/oclc/920379344","WorldCat Record")</f>
        <v>WorldCat Record</v>
      </c>
      <c r="AX3738" s="3" t="s">
        <v>37072</v>
      </c>
      <c r="AY3738" s="3" t="s">
        <v>37073</v>
      </c>
      <c r="AZ3738" s="3" t="s">
        <v>37074</v>
      </c>
      <c r="BA3738" s="3" t="s">
        <v>37074</v>
      </c>
      <c r="BB3738" s="3" t="s">
        <v>37075</v>
      </c>
      <c r="BC3738" s="3" t="s">
        <v>77</v>
      </c>
      <c r="BD3738" s="3" t="s">
        <v>78</v>
      </c>
      <c r="BE3738" s="3" t="s">
        <v>37076</v>
      </c>
      <c r="BF3738" s="3" t="s">
        <v>37075</v>
      </c>
      <c r="BG3738" s="3" t="s">
        <v>37077</v>
      </c>
    </row>
    <row r="3739" spans="1:59" ht="58" x14ac:dyDescent="0.35">
      <c r="A3739" s="2" t="s">
        <v>59</v>
      </c>
      <c r="B3739" s="2" t="s">
        <v>60</v>
      </c>
      <c r="C3739" s="2" t="s">
        <v>37078</v>
      </c>
      <c r="D3739" s="2" t="s">
        <v>37079</v>
      </c>
      <c r="E3739" s="2" t="s">
        <v>37080</v>
      </c>
      <c r="G3739" s="3" t="s">
        <v>65</v>
      </c>
      <c r="I3739" s="3" t="s">
        <v>65</v>
      </c>
      <c r="J3739" s="3" t="s">
        <v>65</v>
      </c>
      <c r="K3739" s="3" t="s">
        <v>66</v>
      </c>
      <c r="L3739" s="2" t="s">
        <v>37081</v>
      </c>
      <c r="M3739" s="2" t="s">
        <v>37082</v>
      </c>
      <c r="N3739" s="3" t="s">
        <v>68</v>
      </c>
      <c r="P3739" s="3" t="s">
        <v>69</v>
      </c>
      <c r="Q3739" s="2" t="s">
        <v>1197</v>
      </c>
      <c r="R3739" s="3" t="s">
        <v>71</v>
      </c>
      <c r="S3739" s="4">
        <v>0</v>
      </c>
      <c r="T3739" s="4">
        <v>0</v>
      </c>
      <c r="W3739" s="5" t="s">
        <v>72</v>
      </c>
      <c r="X3739" s="5" t="s">
        <v>72</v>
      </c>
      <c r="Y3739" s="4">
        <v>201</v>
      </c>
      <c r="Z3739" s="4">
        <v>16</v>
      </c>
      <c r="AA3739" s="4">
        <v>82</v>
      </c>
      <c r="AB3739" s="4">
        <v>2</v>
      </c>
      <c r="AC3739" s="4">
        <v>16</v>
      </c>
      <c r="AD3739" s="4">
        <v>69</v>
      </c>
      <c r="AE3739" s="4">
        <v>128</v>
      </c>
      <c r="AF3739" s="4">
        <v>0</v>
      </c>
      <c r="AG3739" s="4">
        <v>8</v>
      </c>
      <c r="AH3739" s="4">
        <v>61</v>
      </c>
      <c r="AI3739" s="4">
        <v>90</v>
      </c>
      <c r="AJ3739" s="4">
        <v>9</v>
      </c>
      <c r="AK3739" s="4">
        <v>24</v>
      </c>
      <c r="AL3739" s="4">
        <v>43</v>
      </c>
      <c r="AM3739" s="4">
        <v>51</v>
      </c>
      <c r="AN3739" s="4">
        <v>0</v>
      </c>
      <c r="AO3739" s="4">
        <v>0</v>
      </c>
      <c r="AP3739" s="4">
        <v>9</v>
      </c>
      <c r="AQ3739" s="4">
        <v>45</v>
      </c>
      <c r="AR3739" s="3" t="s">
        <v>209</v>
      </c>
      <c r="AS3739" s="3" t="s">
        <v>65</v>
      </c>
      <c r="AT3739" s="3" t="s">
        <v>65</v>
      </c>
      <c r="AV3739" s="6" t="str">
        <f>HYPERLINK("http://mcgill.on.worldcat.org/oclc/958271471","Catalog Record")</f>
        <v>Catalog Record</v>
      </c>
      <c r="AW3739" s="6" t="str">
        <f>HYPERLINK("http://www.worldcat.org/oclc/958271471","WorldCat Record")</f>
        <v>WorldCat Record</v>
      </c>
      <c r="AX3739" s="3" t="s">
        <v>37083</v>
      </c>
      <c r="AY3739" s="3" t="s">
        <v>37084</v>
      </c>
      <c r="AZ3739" s="3" t="s">
        <v>37085</v>
      </c>
      <c r="BA3739" s="3" t="s">
        <v>37085</v>
      </c>
      <c r="BB3739" s="3" t="s">
        <v>37086</v>
      </c>
      <c r="BC3739" s="3" t="s">
        <v>77</v>
      </c>
      <c r="BD3739" s="3" t="s">
        <v>78</v>
      </c>
      <c r="BE3739" s="3" t="s">
        <v>37087</v>
      </c>
      <c r="BF3739" s="3" t="s">
        <v>37086</v>
      </c>
      <c r="BG3739" s="3" t="s">
        <v>37088</v>
      </c>
    </row>
    <row r="3740" spans="1:59" ht="58" x14ac:dyDescent="0.35">
      <c r="A3740" s="2" t="s">
        <v>59</v>
      </c>
      <c r="B3740" s="2" t="s">
        <v>60</v>
      </c>
      <c r="C3740" s="2" t="s">
        <v>37089</v>
      </c>
      <c r="D3740" s="2" t="s">
        <v>37090</v>
      </c>
      <c r="E3740" s="2" t="s">
        <v>37091</v>
      </c>
      <c r="G3740" s="3" t="s">
        <v>65</v>
      </c>
      <c r="I3740" s="3" t="s">
        <v>65</v>
      </c>
      <c r="J3740" s="3" t="s">
        <v>65</v>
      </c>
      <c r="K3740" s="3" t="s">
        <v>66</v>
      </c>
      <c r="M3740" s="2" t="s">
        <v>37092</v>
      </c>
      <c r="N3740" s="3" t="s">
        <v>364</v>
      </c>
      <c r="P3740" s="3" t="s">
        <v>69</v>
      </c>
      <c r="Q3740" s="2" t="s">
        <v>37093</v>
      </c>
      <c r="R3740" s="3" t="s">
        <v>71</v>
      </c>
      <c r="S3740" s="4">
        <v>8</v>
      </c>
      <c r="T3740" s="4">
        <v>8</v>
      </c>
      <c r="U3740" s="5" t="s">
        <v>4068</v>
      </c>
      <c r="V3740" s="5" t="s">
        <v>4068</v>
      </c>
      <c r="W3740" s="5" t="s">
        <v>72</v>
      </c>
      <c r="X3740" s="5" t="s">
        <v>72</v>
      </c>
      <c r="Y3740" s="4">
        <v>397</v>
      </c>
      <c r="Z3740" s="4">
        <v>23</v>
      </c>
      <c r="AA3740" s="4">
        <v>89</v>
      </c>
      <c r="AB3740" s="4">
        <v>1</v>
      </c>
      <c r="AC3740" s="4">
        <v>14</v>
      </c>
      <c r="AD3740" s="4">
        <v>112</v>
      </c>
      <c r="AE3740" s="4">
        <v>150</v>
      </c>
      <c r="AF3740" s="4">
        <v>0</v>
      </c>
      <c r="AG3740" s="4">
        <v>8</v>
      </c>
      <c r="AH3740" s="4">
        <v>101</v>
      </c>
      <c r="AI3740" s="4">
        <v>110</v>
      </c>
      <c r="AJ3740" s="4">
        <v>15</v>
      </c>
      <c r="AK3740" s="4">
        <v>25</v>
      </c>
      <c r="AL3740" s="4">
        <v>55</v>
      </c>
      <c r="AM3740" s="4">
        <v>57</v>
      </c>
      <c r="AN3740" s="4">
        <v>0</v>
      </c>
      <c r="AO3740" s="4">
        <v>0</v>
      </c>
      <c r="AP3740" s="4">
        <v>17</v>
      </c>
      <c r="AQ3740" s="4">
        <v>48</v>
      </c>
      <c r="AR3740" s="3" t="s">
        <v>65</v>
      </c>
      <c r="AS3740" s="3" t="s">
        <v>65</v>
      </c>
      <c r="AT3740" s="3" t="s">
        <v>65</v>
      </c>
      <c r="AV3740" s="6" t="str">
        <f>HYPERLINK("http://mcgill.on.worldcat.org/oclc/44089210","Catalog Record")</f>
        <v>Catalog Record</v>
      </c>
      <c r="AW3740" s="6" t="str">
        <f>HYPERLINK("http://www.worldcat.org/oclc/44089210","WorldCat Record")</f>
        <v>WorldCat Record</v>
      </c>
      <c r="AX3740" s="3" t="s">
        <v>37094</v>
      </c>
      <c r="AY3740" s="3" t="s">
        <v>37095</v>
      </c>
      <c r="AZ3740" s="3" t="s">
        <v>37096</v>
      </c>
      <c r="BA3740" s="3" t="s">
        <v>37096</v>
      </c>
      <c r="BB3740" s="3" t="s">
        <v>37097</v>
      </c>
      <c r="BC3740" s="3" t="s">
        <v>77</v>
      </c>
      <c r="BD3740" s="3" t="s">
        <v>78</v>
      </c>
      <c r="BE3740" s="3" t="s">
        <v>37098</v>
      </c>
      <c r="BF3740" s="3" t="s">
        <v>37097</v>
      </c>
      <c r="BG3740" s="3" t="s">
        <v>37099</v>
      </c>
    </row>
    <row r="3741" spans="1:59" ht="58" x14ac:dyDescent="0.35">
      <c r="A3741" s="2" t="s">
        <v>59</v>
      </c>
      <c r="B3741" s="2" t="s">
        <v>60</v>
      </c>
      <c r="C3741" s="2" t="s">
        <v>37100</v>
      </c>
      <c r="D3741" s="2" t="s">
        <v>37101</v>
      </c>
      <c r="E3741" s="2" t="s">
        <v>37102</v>
      </c>
      <c r="G3741" s="3" t="s">
        <v>65</v>
      </c>
      <c r="I3741" s="3" t="s">
        <v>65</v>
      </c>
      <c r="J3741" s="3" t="s">
        <v>65</v>
      </c>
      <c r="K3741" s="3" t="s">
        <v>66</v>
      </c>
      <c r="L3741" s="2" t="s">
        <v>37103</v>
      </c>
      <c r="M3741" s="2" t="s">
        <v>37104</v>
      </c>
      <c r="N3741" s="3" t="s">
        <v>364</v>
      </c>
      <c r="P3741" s="3" t="s">
        <v>69</v>
      </c>
      <c r="R3741" s="3" t="s">
        <v>71</v>
      </c>
      <c r="S3741" s="4">
        <v>13</v>
      </c>
      <c r="T3741" s="4">
        <v>13</v>
      </c>
      <c r="U3741" s="5" t="s">
        <v>4068</v>
      </c>
      <c r="V3741" s="5" t="s">
        <v>4068</v>
      </c>
      <c r="W3741" s="5" t="s">
        <v>72</v>
      </c>
      <c r="X3741" s="5" t="s">
        <v>72</v>
      </c>
      <c r="Y3741" s="4">
        <v>393</v>
      </c>
      <c r="Z3741" s="4">
        <v>19</v>
      </c>
      <c r="AA3741" s="4">
        <v>106</v>
      </c>
      <c r="AB3741" s="4">
        <v>1</v>
      </c>
      <c r="AC3741" s="4">
        <v>17</v>
      </c>
      <c r="AD3741" s="4">
        <v>106</v>
      </c>
      <c r="AE3741" s="4">
        <v>146</v>
      </c>
      <c r="AF3741" s="4">
        <v>0</v>
      </c>
      <c r="AG3741" s="4">
        <v>8</v>
      </c>
      <c r="AH3741" s="4">
        <v>98</v>
      </c>
      <c r="AI3741" s="4">
        <v>109</v>
      </c>
      <c r="AJ3741" s="4">
        <v>10</v>
      </c>
      <c r="AK3741" s="4">
        <v>21</v>
      </c>
      <c r="AL3741" s="4">
        <v>56</v>
      </c>
      <c r="AM3741" s="4">
        <v>60</v>
      </c>
      <c r="AN3741" s="4">
        <v>0</v>
      </c>
      <c r="AO3741" s="4">
        <v>0</v>
      </c>
      <c r="AP3741" s="4">
        <v>13</v>
      </c>
      <c r="AQ3741" s="4">
        <v>43</v>
      </c>
      <c r="AR3741" s="3" t="s">
        <v>65</v>
      </c>
      <c r="AS3741" s="3" t="s">
        <v>65</v>
      </c>
      <c r="AT3741" s="3" t="s">
        <v>209</v>
      </c>
      <c r="AU3741" s="6" t="str">
        <f>HYPERLINK("http://catalog.hathitrust.org/Record/004185193","HathiTrust Record")</f>
        <v>HathiTrust Record</v>
      </c>
      <c r="AV3741" s="6" t="str">
        <f>HYPERLINK("http://mcgill.on.worldcat.org/oclc/45951697","Catalog Record")</f>
        <v>Catalog Record</v>
      </c>
      <c r="AW3741" s="6" t="str">
        <f>HYPERLINK("http://www.worldcat.org/oclc/45951697","WorldCat Record")</f>
        <v>WorldCat Record</v>
      </c>
      <c r="AX3741" s="3" t="s">
        <v>37105</v>
      </c>
      <c r="AY3741" s="3" t="s">
        <v>37106</v>
      </c>
      <c r="AZ3741" s="3" t="s">
        <v>37107</v>
      </c>
      <c r="BA3741" s="3" t="s">
        <v>37107</v>
      </c>
      <c r="BB3741" s="3" t="s">
        <v>37108</v>
      </c>
      <c r="BC3741" s="3" t="s">
        <v>77</v>
      </c>
      <c r="BD3741" s="3" t="s">
        <v>78</v>
      </c>
      <c r="BE3741" s="3" t="s">
        <v>37109</v>
      </c>
      <c r="BF3741" s="3" t="s">
        <v>37108</v>
      </c>
      <c r="BG3741" s="3" t="s">
        <v>37110</v>
      </c>
    </row>
    <row r="3742" spans="1:59" ht="58" x14ac:dyDescent="0.35">
      <c r="A3742" s="2" t="s">
        <v>59</v>
      </c>
      <c r="B3742" s="2" t="s">
        <v>60</v>
      </c>
      <c r="C3742" s="2" t="s">
        <v>37111</v>
      </c>
      <c r="D3742" s="2" t="s">
        <v>37112</v>
      </c>
      <c r="E3742" s="2" t="s">
        <v>37113</v>
      </c>
      <c r="G3742" s="3" t="s">
        <v>65</v>
      </c>
      <c r="I3742" s="3" t="s">
        <v>65</v>
      </c>
      <c r="J3742" s="3" t="s">
        <v>65</v>
      </c>
      <c r="K3742" s="3" t="s">
        <v>66</v>
      </c>
      <c r="L3742" s="2" t="s">
        <v>37114</v>
      </c>
      <c r="M3742" s="2" t="s">
        <v>37115</v>
      </c>
      <c r="N3742" s="3" t="s">
        <v>152</v>
      </c>
      <c r="P3742" s="3" t="s">
        <v>69</v>
      </c>
      <c r="Q3742" s="2" t="s">
        <v>37116</v>
      </c>
      <c r="R3742" s="3" t="s">
        <v>71</v>
      </c>
      <c r="S3742" s="4">
        <v>0</v>
      </c>
      <c r="T3742" s="4">
        <v>0</v>
      </c>
      <c r="W3742" s="5" t="s">
        <v>72</v>
      </c>
      <c r="X3742" s="5" t="s">
        <v>72</v>
      </c>
      <c r="Y3742" s="4">
        <v>375</v>
      </c>
      <c r="Z3742" s="4">
        <v>23</v>
      </c>
      <c r="AA3742" s="4">
        <v>89</v>
      </c>
      <c r="AB3742" s="4">
        <v>2</v>
      </c>
      <c r="AC3742" s="4">
        <v>17</v>
      </c>
      <c r="AD3742" s="4">
        <v>82</v>
      </c>
      <c r="AE3742" s="4">
        <v>133</v>
      </c>
      <c r="AF3742" s="4">
        <v>0</v>
      </c>
      <c r="AG3742" s="4">
        <v>8</v>
      </c>
      <c r="AH3742" s="4">
        <v>75</v>
      </c>
      <c r="AI3742" s="4">
        <v>97</v>
      </c>
      <c r="AJ3742" s="4">
        <v>13</v>
      </c>
      <c r="AK3742" s="4">
        <v>24</v>
      </c>
      <c r="AL3742" s="4">
        <v>46</v>
      </c>
      <c r="AM3742" s="4">
        <v>54</v>
      </c>
      <c r="AN3742" s="4">
        <v>0</v>
      </c>
      <c r="AO3742" s="4">
        <v>0</v>
      </c>
      <c r="AP3742" s="4">
        <v>14</v>
      </c>
      <c r="AQ3742" s="4">
        <v>44</v>
      </c>
      <c r="AR3742" s="3" t="s">
        <v>65</v>
      </c>
      <c r="AS3742" s="3" t="s">
        <v>65</v>
      </c>
      <c r="AT3742" s="3" t="s">
        <v>65</v>
      </c>
      <c r="AV3742" s="6" t="str">
        <f>HYPERLINK("http://mcgill.on.worldcat.org/oclc/840803708","Catalog Record")</f>
        <v>Catalog Record</v>
      </c>
      <c r="AW3742" s="6" t="str">
        <f>HYPERLINK("http://www.worldcat.org/oclc/840803708","WorldCat Record")</f>
        <v>WorldCat Record</v>
      </c>
      <c r="AX3742" s="3" t="s">
        <v>37117</v>
      </c>
      <c r="AY3742" s="3" t="s">
        <v>37118</v>
      </c>
      <c r="AZ3742" s="3" t="s">
        <v>37119</v>
      </c>
      <c r="BA3742" s="3" t="s">
        <v>37119</v>
      </c>
      <c r="BB3742" s="3" t="s">
        <v>37120</v>
      </c>
      <c r="BC3742" s="3" t="s">
        <v>77</v>
      </c>
      <c r="BD3742" s="3" t="s">
        <v>78</v>
      </c>
      <c r="BE3742" s="3" t="s">
        <v>37121</v>
      </c>
      <c r="BF3742" s="3" t="s">
        <v>37120</v>
      </c>
      <c r="BG3742" s="3" t="s">
        <v>37122</v>
      </c>
    </row>
    <row r="3743" spans="1:59" ht="58" x14ac:dyDescent="0.35">
      <c r="A3743" s="2" t="s">
        <v>59</v>
      </c>
      <c r="B3743" s="2" t="s">
        <v>60</v>
      </c>
      <c r="C3743" s="2" t="s">
        <v>37123</v>
      </c>
      <c r="D3743" s="2" t="s">
        <v>37124</v>
      </c>
      <c r="E3743" s="2" t="s">
        <v>37125</v>
      </c>
      <c r="G3743" s="3" t="s">
        <v>65</v>
      </c>
      <c r="I3743" s="3" t="s">
        <v>65</v>
      </c>
      <c r="J3743" s="3" t="s">
        <v>65</v>
      </c>
      <c r="K3743" s="3" t="s">
        <v>66</v>
      </c>
      <c r="L3743" s="2" t="s">
        <v>37126</v>
      </c>
      <c r="M3743" s="2" t="s">
        <v>37127</v>
      </c>
      <c r="N3743" s="3" t="s">
        <v>68</v>
      </c>
      <c r="O3743" s="2" t="s">
        <v>35833</v>
      </c>
      <c r="P3743" s="3" t="s">
        <v>69</v>
      </c>
      <c r="R3743" s="3" t="s">
        <v>71</v>
      </c>
      <c r="S3743" s="4">
        <v>0</v>
      </c>
      <c r="T3743" s="4">
        <v>0</v>
      </c>
      <c r="W3743" s="5" t="s">
        <v>72</v>
      </c>
      <c r="X3743" s="5" t="s">
        <v>72</v>
      </c>
      <c r="Y3743" s="4">
        <v>287</v>
      </c>
      <c r="Z3743" s="4">
        <v>15</v>
      </c>
      <c r="AA3743" s="4">
        <v>17</v>
      </c>
      <c r="AB3743" s="4">
        <v>1</v>
      </c>
      <c r="AC3743" s="4">
        <v>2</v>
      </c>
      <c r="AD3743" s="4">
        <v>65</v>
      </c>
      <c r="AE3743" s="4">
        <v>65</v>
      </c>
      <c r="AF3743" s="4">
        <v>0</v>
      </c>
      <c r="AG3743" s="4">
        <v>0</v>
      </c>
      <c r="AH3743" s="4">
        <v>62</v>
      </c>
      <c r="AI3743" s="4">
        <v>62</v>
      </c>
      <c r="AJ3743" s="4">
        <v>9</v>
      </c>
      <c r="AK3743" s="4">
        <v>9</v>
      </c>
      <c r="AL3743" s="4">
        <v>38</v>
      </c>
      <c r="AM3743" s="4">
        <v>38</v>
      </c>
      <c r="AN3743" s="4">
        <v>0</v>
      </c>
      <c r="AO3743" s="4">
        <v>0</v>
      </c>
      <c r="AP3743" s="4">
        <v>9</v>
      </c>
      <c r="AQ3743" s="4">
        <v>9</v>
      </c>
      <c r="AR3743" s="3" t="s">
        <v>65</v>
      </c>
      <c r="AS3743" s="3" t="s">
        <v>65</v>
      </c>
      <c r="AT3743" s="3" t="s">
        <v>65</v>
      </c>
      <c r="AV3743" s="6" t="str">
        <f>HYPERLINK("http://mcgill.on.worldcat.org/oclc/890622454","Catalog Record")</f>
        <v>Catalog Record</v>
      </c>
      <c r="AW3743" s="6" t="str">
        <f>HYPERLINK("http://www.worldcat.org/oclc/890622454","WorldCat Record")</f>
        <v>WorldCat Record</v>
      </c>
      <c r="AX3743" s="3" t="s">
        <v>37128</v>
      </c>
      <c r="AY3743" s="3" t="s">
        <v>37129</v>
      </c>
      <c r="AZ3743" s="3" t="s">
        <v>37130</v>
      </c>
      <c r="BA3743" s="3" t="s">
        <v>37130</v>
      </c>
      <c r="BB3743" s="3" t="s">
        <v>37131</v>
      </c>
      <c r="BC3743" s="3" t="s">
        <v>77</v>
      </c>
      <c r="BD3743" s="3" t="s">
        <v>78</v>
      </c>
      <c r="BE3743" s="3" t="s">
        <v>37132</v>
      </c>
      <c r="BF3743" s="3" t="s">
        <v>37131</v>
      </c>
      <c r="BG3743" s="3" t="s">
        <v>37133</v>
      </c>
    </row>
    <row r="3744" spans="1:59" ht="72.5" x14ac:dyDescent="0.35">
      <c r="A3744" s="2" t="s">
        <v>59</v>
      </c>
      <c r="B3744" s="2" t="s">
        <v>60</v>
      </c>
      <c r="C3744" s="2" t="s">
        <v>37134</v>
      </c>
      <c r="D3744" s="2" t="s">
        <v>37135</v>
      </c>
      <c r="E3744" s="2" t="s">
        <v>37136</v>
      </c>
      <c r="G3744" s="3" t="s">
        <v>65</v>
      </c>
      <c r="I3744" s="3" t="s">
        <v>65</v>
      </c>
      <c r="J3744" s="3" t="s">
        <v>65</v>
      </c>
      <c r="K3744" s="3" t="s">
        <v>66</v>
      </c>
      <c r="L3744" s="2" t="s">
        <v>37137</v>
      </c>
      <c r="M3744" s="2" t="s">
        <v>13565</v>
      </c>
      <c r="N3744" s="3" t="s">
        <v>126</v>
      </c>
      <c r="P3744" s="3" t="s">
        <v>140</v>
      </c>
      <c r="Q3744" s="2" t="s">
        <v>37138</v>
      </c>
      <c r="R3744" s="3" t="s">
        <v>71</v>
      </c>
      <c r="S3744" s="4">
        <v>0</v>
      </c>
      <c r="T3744" s="4">
        <v>0</v>
      </c>
      <c r="W3744" s="5" t="s">
        <v>72</v>
      </c>
      <c r="X3744" s="5" t="s">
        <v>72</v>
      </c>
      <c r="Y3744" s="4">
        <v>48</v>
      </c>
      <c r="Z3744" s="4">
        <v>5</v>
      </c>
      <c r="AA3744" s="4">
        <v>5</v>
      </c>
      <c r="AB3744" s="4">
        <v>1</v>
      </c>
      <c r="AC3744" s="4">
        <v>1</v>
      </c>
      <c r="AD3744" s="4">
        <v>33</v>
      </c>
      <c r="AE3744" s="4">
        <v>33</v>
      </c>
      <c r="AF3744" s="4">
        <v>0</v>
      </c>
      <c r="AG3744" s="4">
        <v>0</v>
      </c>
      <c r="AH3744" s="4">
        <v>32</v>
      </c>
      <c r="AI3744" s="4">
        <v>32</v>
      </c>
      <c r="AJ3744" s="4">
        <v>3</v>
      </c>
      <c r="AK3744" s="4">
        <v>3</v>
      </c>
      <c r="AL3744" s="4">
        <v>24</v>
      </c>
      <c r="AM3744" s="4">
        <v>24</v>
      </c>
      <c r="AN3744" s="4">
        <v>0</v>
      </c>
      <c r="AO3744" s="4">
        <v>0</v>
      </c>
      <c r="AP3744" s="4">
        <v>3</v>
      </c>
      <c r="AQ3744" s="4">
        <v>3</v>
      </c>
      <c r="AR3744" s="3" t="s">
        <v>65</v>
      </c>
      <c r="AS3744" s="3" t="s">
        <v>65</v>
      </c>
      <c r="AT3744" s="3" t="s">
        <v>65</v>
      </c>
      <c r="AV3744" s="6" t="str">
        <f>HYPERLINK("http://mcgill.on.worldcat.org/oclc/724303807","Catalog Record")</f>
        <v>Catalog Record</v>
      </c>
      <c r="AW3744" s="6" t="str">
        <f>HYPERLINK("http://www.worldcat.org/oclc/724303807","WorldCat Record")</f>
        <v>WorldCat Record</v>
      </c>
      <c r="AX3744" s="3" t="s">
        <v>37139</v>
      </c>
      <c r="AY3744" s="3" t="s">
        <v>37140</v>
      </c>
      <c r="AZ3744" s="3" t="s">
        <v>37141</v>
      </c>
      <c r="BA3744" s="3" t="s">
        <v>37141</v>
      </c>
      <c r="BB3744" s="3" t="s">
        <v>37142</v>
      </c>
      <c r="BC3744" s="3" t="s">
        <v>77</v>
      </c>
      <c r="BD3744" s="3" t="s">
        <v>78</v>
      </c>
      <c r="BE3744" s="3" t="s">
        <v>37143</v>
      </c>
      <c r="BF3744" s="3" t="s">
        <v>37142</v>
      </c>
      <c r="BG3744" s="3" t="s">
        <v>37144</v>
      </c>
    </row>
    <row r="3745" spans="1:59" ht="58" x14ac:dyDescent="0.35">
      <c r="A3745" s="2" t="s">
        <v>59</v>
      </c>
      <c r="B3745" s="2" t="s">
        <v>60</v>
      </c>
      <c r="C3745" s="2" t="s">
        <v>37145</v>
      </c>
      <c r="D3745" s="2" t="s">
        <v>37146</v>
      </c>
      <c r="E3745" s="2" t="s">
        <v>37147</v>
      </c>
      <c r="G3745" s="3" t="s">
        <v>65</v>
      </c>
      <c r="I3745" s="3" t="s">
        <v>65</v>
      </c>
      <c r="J3745" s="3" t="s">
        <v>65</v>
      </c>
      <c r="K3745" s="3" t="s">
        <v>66</v>
      </c>
      <c r="L3745" s="2" t="s">
        <v>37148</v>
      </c>
      <c r="M3745" s="2" t="s">
        <v>37149</v>
      </c>
      <c r="N3745" s="3" t="s">
        <v>188</v>
      </c>
      <c r="P3745" s="3" t="s">
        <v>140</v>
      </c>
      <c r="Q3745" s="2" t="s">
        <v>37150</v>
      </c>
      <c r="R3745" s="3" t="s">
        <v>71</v>
      </c>
      <c r="S3745" s="4">
        <v>0</v>
      </c>
      <c r="T3745" s="4">
        <v>0</v>
      </c>
      <c r="W3745" s="5" t="s">
        <v>72</v>
      </c>
      <c r="X3745" s="5" t="s">
        <v>72</v>
      </c>
      <c r="Y3745" s="4">
        <v>43</v>
      </c>
      <c r="Z3745" s="4">
        <v>2</v>
      </c>
      <c r="AA3745" s="4">
        <v>2</v>
      </c>
      <c r="AB3745" s="4">
        <v>1</v>
      </c>
      <c r="AC3745" s="4">
        <v>1</v>
      </c>
      <c r="AD3745" s="4">
        <v>31</v>
      </c>
      <c r="AE3745" s="4">
        <v>31</v>
      </c>
      <c r="AF3745" s="4">
        <v>0</v>
      </c>
      <c r="AG3745" s="4">
        <v>0</v>
      </c>
      <c r="AH3745" s="4">
        <v>30</v>
      </c>
      <c r="AI3745" s="4">
        <v>30</v>
      </c>
      <c r="AJ3745" s="4">
        <v>1</v>
      </c>
      <c r="AK3745" s="4">
        <v>1</v>
      </c>
      <c r="AL3745" s="4">
        <v>22</v>
      </c>
      <c r="AM3745" s="4">
        <v>22</v>
      </c>
      <c r="AN3745" s="4">
        <v>0</v>
      </c>
      <c r="AO3745" s="4">
        <v>0</v>
      </c>
      <c r="AP3745" s="4">
        <v>1</v>
      </c>
      <c r="AQ3745" s="4">
        <v>1</v>
      </c>
      <c r="AR3745" s="3" t="s">
        <v>65</v>
      </c>
      <c r="AS3745" s="3" t="s">
        <v>65</v>
      </c>
      <c r="AT3745" s="3" t="s">
        <v>65</v>
      </c>
      <c r="AV3745" s="6" t="str">
        <f>HYPERLINK("http://mcgill.on.worldcat.org/oclc/989929107","Catalog Record")</f>
        <v>Catalog Record</v>
      </c>
      <c r="AW3745" s="6" t="str">
        <f>HYPERLINK("http://www.worldcat.org/oclc/989929107","WorldCat Record")</f>
        <v>WorldCat Record</v>
      </c>
      <c r="AX3745" s="3" t="s">
        <v>37151</v>
      </c>
      <c r="AY3745" s="3" t="s">
        <v>37152</v>
      </c>
      <c r="AZ3745" s="3" t="s">
        <v>37153</v>
      </c>
      <c r="BA3745" s="3" t="s">
        <v>37153</v>
      </c>
      <c r="BB3745" s="3" t="s">
        <v>37154</v>
      </c>
      <c r="BC3745" s="3" t="s">
        <v>77</v>
      </c>
      <c r="BD3745" s="3" t="s">
        <v>78</v>
      </c>
      <c r="BE3745" s="3" t="s">
        <v>37155</v>
      </c>
      <c r="BF3745" s="3" t="s">
        <v>37154</v>
      </c>
      <c r="BG3745" s="3" t="s">
        <v>37156</v>
      </c>
    </row>
    <row r="3746" spans="1:59" ht="58" x14ac:dyDescent="0.35">
      <c r="A3746" s="2" t="s">
        <v>59</v>
      </c>
      <c r="B3746" s="2" t="s">
        <v>60</v>
      </c>
      <c r="C3746" s="2" t="s">
        <v>37157</v>
      </c>
      <c r="D3746" s="2" t="s">
        <v>37158</v>
      </c>
      <c r="E3746" s="2" t="s">
        <v>37159</v>
      </c>
      <c r="G3746" s="3" t="s">
        <v>65</v>
      </c>
      <c r="I3746" s="3" t="s">
        <v>65</v>
      </c>
      <c r="J3746" s="3" t="s">
        <v>65</v>
      </c>
      <c r="K3746" s="3" t="s">
        <v>66</v>
      </c>
      <c r="L3746" s="2" t="s">
        <v>37160</v>
      </c>
      <c r="M3746" s="2" t="s">
        <v>37161</v>
      </c>
      <c r="N3746" s="3" t="s">
        <v>126</v>
      </c>
      <c r="P3746" s="3" t="s">
        <v>616</v>
      </c>
      <c r="R3746" s="3" t="s">
        <v>71</v>
      </c>
      <c r="S3746" s="4">
        <v>0</v>
      </c>
      <c r="T3746" s="4">
        <v>0</v>
      </c>
      <c r="W3746" s="5" t="s">
        <v>72</v>
      </c>
      <c r="X3746" s="5" t="s">
        <v>72</v>
      </c>
      <c r="Y3746" s="4">
        <v>8</v>
      </c>
      <c r="Z3746" s="4">
        <v>1</v>
      </c>
      <c r="AA3746" s="4">
        <v>12</v>
      </c>
      <c r="AB3746" s="4">
        <v>1</v>
      </c>
      <c r="AC3746" s="4">
        <v>6</v>
      </c>
      <c r="AD3746" s="4">
        <v>4</v>
      </c>
      <c r="AE3746" s="4">
        <v>18</v>
      </c>
      <c r="AF3746" s="4">
        <v>0</v>
      </c>
      <c r="AG3746" s="4">
        <v>3</v>
      </c>
      <c r="AH3746" s="4">
        <v>4</v>
      </c>
      <c r="AI3746" s="4">
        <v>14</v>
      </c>
      <c r="AJ3746" s="4">
        <v>0</v>
      </c>
      <c r="AK3746" s="4">
        <v>7</v>
      </c>
      <c r="AL3746" s="4">
        <v>4</v>
      </c>
      <c r="AM3746" s="4">
        <v>10</v>
      </c>
      <c r="AN3746" s="4">
        <v>0</v>
      </c>
      <c r="AO3746" s="4">
        <v>0</v>
      </c>
      <c r="AP3746" s="4">
        <v>0</v>
      </c>
      <c r="AQ3746" s="4">
        <v>6</v>
      </c>
      <c r="AR3746" s="3" t="s">
        <v>65</v>
      </c>
      <c r="AS3746" s="3" t="s">
        <v>65</v>
      </c>
      <c r="AT3746" s="3" t="s">
        <v>65</v>
      </c>
      <c r="AV3746" s="6" t="str">
        <f>HYPERLINK("http://mcgill.on.worldcat.org/oclc/767755625","Catalog Record")</f>
        <v>Catalog Record</v>
      </c>
      <c r="AW3746" s="6" t="str">
        <f>HYPERLINK("http://www.worldcat.org/oclc/767755625","WorldCat Record")</f>
        <v>WorldCat Record</v>
      </c>
      <c r="AX3746" s="3" t="s">
        <v>37162</v>
      </c>
      <c r="AY3746" s="3" t="s">
        <v>37163</v>
      </c>
      <c r="AZ3746" s="3" t="s">
        <v>37164</v>
      </c>
      <c r="BA3746" s="3" t="s">
        <v>37164</v>
      </c>
      <c r="BB3746" s="3" t="s">
        <v>37165</v>
      </c>
      <c r="BC3746" s="3" t="s">
        <v>77</v>
      </c>
      <c r="BD3746" s="3" t="s">
        <v>78</v>
      </c>
      <c r="BE3746" s="3" t="s">
        <v>37166</v>
      </c>
      <c r="BF3746" s="3" t="s">
        <v>37165</v>
      </c>
      <c r="BG3746" s="3" t="s">
        <v>37167</v>
      </c>
    </row>
    <row r="3747" spans="1:59" ht="58" x14ac:dyDescent="0.35">
      <c r="A3747" s="2" t="s">
        <v>59</v>
      </c>
      <c r="B3747" s="2" t="s">
        <v>60</v>
      </c>
      <c r="C3747" s="2" t="s">
        <v>37168</v>
      </c>
      <c r="D3747" s="2" t="s">
        <v>37169</v>
      </c>
      <c r="E3747" s="2" t="s">
        <v>37170</v>
      </c>
      <c r="G3747" s="3" t="s">
        <v>65</v>
      </c>
      <c r="I3747" s="3" t="s">
        <v>65</v>
      </c>
      <c r="J3747" s="3" t="s">
        <v>65</v>
      </c>
      <c r="K3747" s="3" t="s">
        <v>66</v>
      </c>
      <c r="M3747" s="2" t="s">
        <v>37171</v>
      </c>
      <c r="N3747" s="3" t="s">
        <v>126</v>
      </c>
      <c r="O3747" s="2" t="s">
        <v>526</v>
      </c>
      <c r="P3747" s="3" t="s">
        <v>69</v>
      </c>
      <c r="Q3747" s="2" t="s">
        <v>527</v>
      </c>
      <c r="R3747" s="3" t="s">
        <v>71</v>
      </c>
      <c r="S3747" s="4">
        <v>2</v>
      </c>
      <c r="T3747" s="4">
        <v>2</v>
      </c>
      <c r="U3747" s="5" t="s">
        <v>1661</v>
      </c>
      <c r="V3747" s="5" t="s">
        <v>1661</v>
      </c>
      <c r="W3747" s="5" t="s">
        <v>72</v>
      </c>
      <c r="X3747" s="5" t="s">
        <v>72</v>
      </c>
      <c r="Y3747" s="4">
        <v>221</v>
      </c>
      <c r="Z3747" s="4">
        <v>18</v>
      </c>
      <c r="AA3747" s="4">
        <v>21</v>
      </c>
      <c r="AB3747" s="4">
        <v>1</v>
      </c>
      <c r="AC3747" s="4">
        <v>3</v>
      </c>
      <c r="AD3747" s="4">
        <v>88</v>
      </c>
      <c r="AE3747" s="4">
        <v>94</v>
      </c>
      <c r="AF3747" s="4">
        <v>0</v>
      </c>
      <c r="AG3747" s="4">
        <v>0</v>
      </c>
      <c r="AH3747" s="4">
        <v>81</v>
      </c>
      <c r="AI3747" s="4">
        <v>86</v>
      </c>
      <c r="AJ3747" s="4">
        <v>12</v>
      </c>
      <c r="AK3747" s="4">
        <v>13</v>
      </c>
      <c r="AL3747" s="4">
        <v>52</v>
      </c>
      <c r="AM3747" s="4">
        <v>54</v>
      </c>
      <c r="AN3747" s="4">
        <v>0</v>
      </c>
      <c r="AO3747" s="4">
        <v>0</v>
      </c>
      <c r="AP3747" s="4">
        <v>14</v>
      </c>
      <c r="AQ3747" s="4">
        <v>15</v>
      </c>
      <c r="AR3747" s="3" t="s">
        <v>65</v>
      </c>
      <c r="AS3747" s="3" t="s">
        <v>65</v>
      </c>
      <c r="AT3747" s="3" t="s">
        <v>65</v>
      </c>
      <c r="AV3747" s="6" t="str">
        <f>HYPERLINK("http://mcgill.on.worldcat.org/oclc/689004290","Catalog Record")</f>
        <v>Catalog Record</v>
      </c>
      <c r="AW3747" s="6" t="str">
        <f>HYPERLINK("http://www.worldcat.org/oclc/689004290","WorldCat Record")</f>
        <v>WorldCat Record</v>
      </c>
      <c r="AX3747" s="3" t="s">
        <v>37172</v>
      </c>
      <c r="AY3747" s="3" t="s">
        <v>37173</v>
      </c>
      <c r="AZ3747" s="3" t="s">
        <v>37174</v>
      </c>
      <c r="BA3747" s="3" t="s">
        <v>37174</v>
      </c>
      <c r="BB3747" s="3" t="s">
        <v>37175</v>
      </c>
      <c r="BC3747" s="3" t="s">
        <v>77</v>
      </c>
      <c r="BD3747" s="3" t="s">
        <v>78</v>
      </c>
      <c r="BE3747" s="3" t="s">
        <v>37176</v>
      </c>
      <c r="BF3747" s="3" t="s">
        <v>37175</v>
      </c>
      <c r="BG3747" s="3" t="s">
        <v>37177</v>
      </c>
    </row>
    <row r="3748" spans="1:59" ht="58" x14ac:dyDescent="0.35">
      <c r="A3748" s="2" t="s">
        <v>59</v>
      </c>
      <c r="B3748" s="2" t="s">
        <v>60</v>
      </c>
      <c r="C3748" s="2" t="s">
        <v>37178</v>
      </c>
      <c r="D3748" s="2" t="s">
        <v>37179</v>
      </c>
      <c r="E3748" s="2" t="s">
        <v>37180</v>
      </c>
      <c r="G3748" s="3" t="s">
        <v>65</v>
      </c>
      <c r="I3748" s="3" t="s">
        <v>65</v>
      </c>
      <c r="J3748" s="3" t="s">
        <v>65</v>
      </c>
      <c r="K3748" s="3" t="s">
        <v>66</v>
      </c>
      <c r="L3748" s="2" t="s">
        <v>37181</v>
      </c>
      <c r="M3748" s="2" t="s">
        <v>37182</v>
      </c>
      <c r="N3748" s="3" t="s">
        <v>188</v>
      </c>
      <c r="O3748" s="2" t="s">
        <v>37183</v>
      </c>
      <c r="P3748" s="3" t="s">
        <v>69</v>
      </c>
      <c r="R3748" s="3" t="s">
        <v>71</v>
      </c>
      <c r="S3748" s="4">
        <v>0</v>
      </c>
      <c r="T3748" s="4">
        <v>0</v>
      </c>
      <c r="W3748" s="5" t="s">
        <v>72</v>
      </c>
      <c r="X3748" s="5" t="s">
        <v>72</v>
      </c>
      <c r="Y3748" s="4">
        <v>55</v>
      </c>
      <c r="Z3748" s="4">
        <v>2</v>
      </c>
      <c r="AA3748" s="4">
        <v>73</v>
      </c>
      <c r="AB3748" s="4">
        <v>1</v>
      </c>
      <c r="AC3748" s="4">
        <v>14</v>
      </c>
      <c r="AD3748" s="4">
        <v>27</v>
      </c>
      <c r="AE3748" s="4">
        <v>91</v>
      </c>
      <c r="AF3748" s="4">
        <v>0</v>
      </c>
      <c r="AG3748" s="4">
        <v>8</v>
      </c>
      <c r="AH3748" s="4">
        <v>25</v>
      </c>
      <c r="AI3748" s="4">
        <v>61</v>
      </c>
      <c r="AJ3748" s="4">
        <v>1</v>
      </c>
      <c r="AK3748" s="4">
        <v>16</v>
      </c>
      <c r="AL3748" s="4">
        <v>22</v>
      </c>
      <c r="AM3748" s="4">
        <v>37</v>
      </c>
      <c r="AN3748" s="4">
        <v>0</v>
      </c>
      <c r="AO3748" s="4">
        <v>0</v>
      </c>
      <c r="AP3748" s="4">
        <v>1</v>
      </c>
      <c r="AQ3748" s="4">
        <v>35</v>
      </c>
      <c r="AR3748" s="3" t="s">
        <v>65</v>
      </c>
      <c r="AS3748" s="3" t="s">
        <v>65</v>
      </c>
      <c r="AT3748" s="3" t="s">
        <v>65</v>
      </c>
      <c r="AV3748" s="6" t="str">
        <f>HYPERLINK("http://mcgill.on.worldcat.org/oclc/971936576","Catalog Record")</f>
        <v>Catalog Record</v>
      </c>
      <c r="AW3748" s="6" t="str">
        <f>HYPERLINK("http://www.worldcat.org/oclc/971936576","WorldCat Record")</f>
        <v>WorldCat Record</v>
      </c>
      <c r="AX3748" s="3" t="s">
        <v>37184</v>
      </c>
      <c r="AY3748" s="3" t="s">
        <v>37185</v>
      </c>
      <c r="AZ3748" s="3" t="s">
        <v>37186</v>
      </c>
      <c r="BA3748" s="3" t="s">
        <v>37186</v>
      </c>
      <c r="BB3748" s="3" t="s">
        <v>37187</v>
      </c>
      <c r="BC3748" s="3" t="s">
        <v>77</v>
      </c>
      <c r="BD3748" s="3" t="s">
        <v>78</v>
      </c>
      <c r="BE3748" s="3" t="s">
        <v>37188</v>
      </c>
      <c r="BF3748" s="3" t="s">
        <v>37187</v>
      </c>
      <c r="BG3748" s="3" t="s">
        <v>37189</v>
      </c>
    </row>
    <row r="3749" spans="1:59" ht="58" x14ac:dyDescent="0.35">
      <c r="A3749" s="2" t="s">
        <v>59</v>
      </c>
      <c r="B3749" s="2" t="s">
        <v>60</v>
      </c>
      <c r="C3749" s="2" t="s">
        <v>37190</v>
      </c>
      <c r="D3749" s="2" t="s">
        <v>37191</v>
      </c>
      <c r="E3749" s="2" t="s">
        <v>37192</v>
      </c>
      <c r="G3749" s="3" t="s">
        <v>65</v>
      </c>
      <c r="I3749" s="3" t="s">
        <v>65</v>
      </c>
      <c r="J3749" s="3" t="s">
        <v>65</v>
      </c>
      <c r="K3749" s="3" t="s">
        <v>66</v>
      </c>
      <c r="M3749" s="2" t="s">
        <v>37193</v>
      </c>
      <c r="N3749" s="3" t="s">
        <v>176</v>
      </c>
      <c r="P3749" s="3" t="s">
        <v>616</v>
      </c>
      <c r="Q3749" s="2" t="s">
        <v>37194</v>
      </c>
      <c r="R3749" s="3" t="s">
        <v>71</v>
      </c>
      <c r="S3749" s="4">
        <v>0</v>
      </c>
      <c r="T3749" s="4">
        <v>0</v>
      </c>
      <c r="W3749" s="5" t="s">
        <v>72</v>
      </c>
      <c r="X3749" s="5" t="s">
        <v>72</v>
      </c>
      <c r="Y3749" s="4">
        <v>18</v>
      </c>
      <c r="Z3749" s="4">
        <v>4</v>
      </c>
      <c r="AA3749" s="4">
        <v>7</v>
      </c>
      <c r="AB3749" s="4">
        <v>1</v>
      </c>
      <c r="AC3749" s="4">
        <v>3</v>
      </c>
      <c r="AD3749" s="4">
        <v>11</v>
      </c>
      <c r="AE3749" s="4">
        <v>15</v>
      </c>
      <c r="AF3749" s="4">
        <v>0</v>
      </c>
      <c r="AG3749" s="4">
        <v>1</v>
      </c>
      <c r="AH3749" s="4">
        <v>10</v>
      </c>
      <c r="AI3749" s="4">
        <v>13</v>
      </c>
      <c r="AJ3749" s="4">
        <v>2</v>
      </c>
      <c r="AK3749" s="4">
        <v>4</v>
      </c>
      <c r="AL3749" s="4">
        <v>8</v>
      </c>
      <c r="AM3749" s="4">
        <v>9</v>
      </c>
      <c r="AN3749" s="4">
        <v>0</v>
      </c>
      <c r="AO3749" s="4">
        <v>0</v>
      </c>
      <c r="AP3749" s="4">
        <v>2</v>
      </c>
      <c r="AQ3749" s="4">
        <v>3</v>
      </c>
      <c r="AR3749" s="3" t="s">
        <v>65</v>
      </c>
      <c r="AS3749" s="3" t="s">
        <v>65</v>
      </c>
      <c r="AT3749" s="3" t="s">
        <v>65</v>
      </c>
      <c r="AV3749" s="6" t="str">
        <f>HYPERLINK("http://mcgill.on.worldcat.org/oclc/935188630","Catalog Record")</f>
        <v>Catalog Record</v>
      </c>
      <c r="AW3749" s="6" t="str">
        <f>HYPERLINK("http://www.worldcat.org/oclc/935188630","WorldCat Record")</f>
        <v>WorldCat Record</v>
      </c>
      <c r="AX3749" s="3" t="s">
        <v>37195</v>
      </c>
      <c r="AY3749" s="3" t="s">
        <v>37196</v>
      </c>
      <c r="AZ3749" s="3" t="s">
        <v>37197</v>
      </c>
      <c r="BA3749" s="3" t="s">
        <v>37197</v>
      </c>
      <c r="BB3749" s="3" t="s">
        <v>37198</v>
      </c>
      <c r="BC3749" s="3" t="s">
        <v>77</v>
      </c>
      <c r="BD3749" s="3" t="s">
        <v>78</v>
      </c>
      <c r="BE3749" s="3" t="s">
        <v>37199</v>
      </c>
      <c r="BF3749" s="3" t="s">
        <v>37198</v>
      </c>
      <c r="BG3749" s="3" t="s">
        <v>37200</v>
      </c>
    </row>
    <row r="3750" spans="1:59" ht="58" x14ac:dyDescent="0.35">
      <c r="A3750" s="2" t="s">
        <v>59</v>
      </c>
      <c r="B3750" s="2" t="s">
        <v>60</v>
      </c>
      <c r="C3750" s="2" t="s">
        <v>37201</v>
      </c>
      <c r="D3750" s="2" t="s">
        <v>37202</v>
      </c>
      <c r="E3750" s="2" t="s">
        <v>37203</v>
      </c>
      <c r="G3750" s="3" t="s">
        <v>65</v>
      </c>
      <c r="I3750" s="3" t="s">
        <v>65</v>
      </c>
      <c r="J3750" s="3" t="s">
        <v>65</v>
      </c>
      <c r="K3750" s="3" t="s">
        <v>66</v>
      </c>
      <c r="M3750" s="2" t="s">
        <v>37204</v>
      </c>
      <c r="N3750" s="3" t="s">
        <v>2210</v>
      </c>
      <c r="P3750" s="3" t="s">
        <v>616</v>
      </c>
      <c r="R3750" s="3" t="s">
        <v>71</v>
      </c>
      <c r="S3750" s="4">
        <v>1</v>
      </c>
      <c r="T3750" s="4">
        <v>1</v>
      </c>
      <c r="U3750" s="5" t="s">
        <v>2000</v>
      </c>
      <c r="V3750" s="5" t="s">
        <v>2000</v>
      </c>
      <c r="W3750" s="5" t="s">
        <v>72</v>
      </c>
      <c r="X3750" s="5" t="s">
        <v>72</v>
      </c>
      <c r="Y3750" s="4">
        <v>41</v>
      </c>
      <c r="Z3750" s="4">
        <v>3</v>
      </c>
      <c r="AA3750" s="4">
        <v>8</v>
      </c>
      <c r="AB3750" s="4">
        <v>1</v>
      </c>
      <c r="AC3750" s="4">
        <v>5</v>
      </c>
      <c r="AD3750" s="4">
        <v>22</v>
      </c>
      <c r="AE3750" s="4">
        <v>25</v>
      </c>
      <c r="AF3750" s="4">
        <v>0</v>
      </c>
      <c r="AG3750" s="4">
        <v>2</v>
      </c>
      <c r="AH3750" s="4">
        <v>22</v>
      </c>
      <c r="AI3750" s="4">
        <v>24</v>
      </c>
      <c r="AJ3750" s="4">
        <v>1</v>
      </c>
      <c r="AK3750" s="4">
        <v>4</v>
      </c>
      <c r="AL3750" s="4">
        <v>17</v>
      </c>
      <c r="AM3750" s="4">
        <v>17</v>
      </c>
      <c r="AN3750" s="4">
        <v>0</v>
      </c>
      <c r="AO3750" s="4">
        <v>0</v>
      </c>
      <c r="AP3750" s="4">
        <v>1</v>
      </c>
      <c r="AQ3750" s="4">
        <v>4</v>
      </c>
      <c r="AR3750" s="3" t="s">
        <v>65</v>
      </c>
      <c r="AS3750" s="3" t="s">
        <v>65</v>
      </c>
      <c r="AT3750" s="3" t="s">
        <v>209</v>
      </c>
      <c r="AU3750" s="6" t="str">
        <f>HYPERLINK("http://catalog.hathitrust.org/Record/004253578","HathiTrust Record")</f>
        <v>HathiTrust Record</v>
      </c>
      <c r="AV3750" s="6" t="str">
        <f>HYPERLINK("http://mcgill.on.worldcat.org/oclc/50149823","Catalog Record")</f>
        <v>Catalog Record</v>
      </c>
      <c r="AW3750" s="6" t="str">
        <f>HYPERLINK("http://www.worldcat.org/oclc/50149823","WorldCat Record")</f>
        <v>WorldCat Record</v>
      </c>
      <c r="AX3750" s="3" t="s">
        <v>37205</v>
      </c>
      <c r="AY3750" s="3" t="s">
        <v>37206</v>
      </c>
      <c r="AZ3750" s="3" t="s">
        <v>37207</v>
      </c>
      <c r="BA3750" s="3" t="s">
        <v>37207</v>
      </c>
      <c r="BB3750" s="3" t="s">
        <v>37208</v>
      </c>
      <c r="BC3750" s="3" t="s">
        <v>77</v>
      </c>
      <c r="BD3750" s="3" t="s">
        <v>78</v>
      </c>
      <c r="BE3750" s="3" t="s">
        <v>37209</v>
      </c>
      <c r="BF3750" s="3" t="s">
        <v>37208</v>
      </c>
      <c r="BG3750" s="3" t="s">
        <v>37210</v>
      </c>
    </row>
    <row r="3751" spans="1:59" ht="58" x14ac:dyDescent="0.35">
      <c r="A3751" s="2" t="s">
        <v>59</v>
      </c>
      <c r="B3751" s="2" t="s">
        <v>60</v>
      </c>
      <c r="C3751" s="2" t="s">
        <v>37211</v>
      </c>
      <c r="D3751" s="2" t="s">
        <v>37212</v>
      </c>
      <c r="E3751" s="2" t="s">
        <v>37213</v>
      </c>
      <c r="G3751" s="3" t="s">
        <v>65</v>
      </c>
      <c r="I3751" s="3" t="s">
        <v>65</v>
      </c>
      <c r="J3751" s="3" t="s">
        <v>65</v>
      </c>
      <c r="K3751" s="3" t="s">
        <v>66</v>
      </c>
      <c r="M3751" s="2" t="s">
        <v>37214</v>
      </c>
      <c r="N3751" s="3" t="s">
        <v>3385</v>
      </c>
      <c r="P3751" s="3" t="s">
        <v>140</v>
      </c>
      <c r="R3751" s="3" t="s">
        <v>71</v>
      </c>
      <c r="S3751" s="4">
        <v>2</v>
      </c>
      <c r="T3751" s="4">
        <v>2</v>
      </c>
      <c r="U3751" s="5" t="s">
        <v>37215</v>
      </c>
      <c r="V3751" s="5" t="s">
        <v>37215</v>
      </c>
      <c r="W3751" s="5" t="s">
        <v>72</v>
      </c>
      <c r="X3751" s="5" t="s">
        <v>72</v>
      </c>
      <c r="Y3751" s="4">
        <v>79</v>
      </c>
      <c r="Z3751" s="4">
        <v>5</v>
      </c>
      <c r="AA3751" s="4">
        <v>5</v>
      </c>
      <c r="AB3751" s="4">
        <v>1</v>
      </c>
      <c r="AC3751" s="4">
        <v>1</v>
      </c>
      <c r="AD3751" s="4">
        <v>40</v>
      </c>
      <c r="AE3751" s="4">
        <v>40</v>
      </c>
      <c r="AF3751" s="4">
        <v>0</v>
      </c>
      <c r="AG3751" s="4">
        <v>0</v>
      </c>
      <c r="AH3751" s="4">
        <v>39</v>
      </c>
      <c r="AI3751" s="4">
        <v>39</v>
      </c>
      <c r="AJ3751" s="4">
        <v>3</v>
      </c>
      <c r="AK3751" s="4">
        <v>3</v>
      </c>
      <c r="AL3751" s="4">
        <v>31</v>
      </c>
      <c r="AM3751" s="4">
        <v>31</v>
      </c>
      <c r="AN3751" s="4">
        <v>0</v>
      </c>
      <c r="AO3751" s="4">
        <v>0</v>
      </c>
      <c r="AP3751" s="4">
        <v>3</v>
      </c>
      <c r="AQ3751" s="4">
        <v>3</v>
      </c>
      <c r="AR3751" s="3" t="s">
        <v>65</v>
      </c>
      <c r="AS3751" s="3" t="s">
        <v>65</v>
      </c>
      <c r="AT3751" s="3" t="s">
        <v>65</v>
      </c>
      <c r="AV3751" s="6" t="str">
        <f>HYPERLINK("http://mcgill.on.worldcat.org/oclc/41529366","Catalog Record")</f>
        <v>Catalog Record</v>
      </c>
      <c r="AW3751" s="6" t="str">
        <f>HYPERLINK("http://www.worldcat.org/oclc/41529366","WorldCat Record")</f>
        <v>WorldCat Record</v>
      </c>
      <c r="AX3751" s="3" t="s">
        <v>37216</v>
      </c>
      <c r="AY3751" s="3" t="s">
        <v>37217</v>
      </c>
      <c r="AZ3751" s="3" t="s">
        <v>37218</v>
      </c>
      <c r="BA3751" s="3" t="s">
        <v>37218</v>
      </c>
      <c r="BB3751" s="3" t="s">
        <v>37219</v>
      </c>
      <c r="BC3751" s="3" t="s">
        <v>77</v>
      </c>
      <c r="BD3751" s="3" t="s">
        <v>78</v>
      </c>
      <c r="BE3751" s="3" t="s">
        <v>37220</v>
      </c>
      <c r="BF3751" s="3" t="s">
        <v>37219</v>
      </c>
      <c r="BG3751" s="3" t="s">
        <v>37221</v>
      </c>
    </row>
    <row r="3752" spans="1:59" ht="58" x14ac:dyDescent="0.35">
      <c r="A3752" s="2" t="s">
        <v>59</v>
      </c>
      <c r="B3752" s="2" t="s">
        <v>60</v>
      </c>
      <c r="C3752" s="2" t="s">
        <v>37222</v>
      </c>
      <c r="D3752" s="2" t="s">
        <v>37223</v>
      </c>
      <c r="E3752" s="2" t="s">
        <v>37224</v>
      </c>
      <c r="G3752" s="3" t="s">
        <v>65</v>
      </c>
      <c r="I3752" s="3" t="s">
        <v>65</v>
      </c>
      <c r="J3752" s="3" t="s">
        <v>65</v>
      </c>
      <c r="K3752" s="3" t="s">
        <v>66</v>
      </c>
      <c r="L3752" s="2" t="s">
        <v>37225</v>
      </c>
      <c r="M3752" s="2" t="s">
        <v>21139</v>
      </c>
      <c r="N3752" s="3" t="s">
        <v>139</v>
      </c>
      <c r="O3752" s="2" t="s">
        <v>365</v>
      </c>
      <c r="P3752" s="3" t="s">
        <v>140</v>
      </c>
      <c r="Q3752" s="2" t="s">
        <v>4334</v>
      </c>
      <c r="R3752" s="3" t="s">
        <v>71</v>
      </c>
      <c r="S3752" s="4">
        <v>0</v>
      </c>
      <c r="T3752" s="4">
        <v>0</v>
      </c>
      <c r="W3752" s="5" t="s">
        <v>72</v>
      </c>
      <c r="X3752" s="5" t="s">
        <v>72</v>
      </c>
      <c r="Y3752" s="4">
        <v>44</v>
      </c>
      <c r="Z3752" s="4">
        <v>4</v>
      </c>
      <c r="AA3752" s="4">
        <v>4</v>
      </c>
      <c r="AB3752" s="4">
        <v>1</v>
      </c>
      <c r="AC3752" s="4">
        <v>1</v>
      </c>
      <c r="AD3752" s="4">
        <v>33</v>
      </c>
      <c r="AE3752" s="4">
        <v>33</v>
      </c>
      <c r="AF3752" s="4">
        <v>0</v>
      </c>
      <c r="AG3752" s="4">
        <v>0</v>
      </c>
      <c r="AH3752" s="4">
        <v>32</v>
      </c>
      <c r="AI3752" s="4">
        <v>32</v>
      </c>
      <c r="AJ3752" s="4">
        <v>2</v>
      </c>
      <c r="AK3752" s="4">
        <v>2</v>
      </c>
      <c r="AL3752" s="4">
        <v>24</v>
      </c>
      <c r="AM3752" s="4">
        <v>24</v>
      </c>
      <c r="AN3752" s="4">
        <v>0</v>
      </c>
      <c r="AO3752" s="4">
        <v>0</v>
      </c>
      <c r="AP3752" s="4">
        <v>2</v>
      </c>
      <c r="AQ3752" s="4">
        <v>2</v>
      </c>
      <c r="AR3752" s="3" t="s">
        <v>65</v>
      </c>
      <c r="AS3752" s="3" t="s">
        <v>65</v>
      </c>
      <c r="AT3752" s="3" t="s">
        <v>65</v>
      </c>
      <c r="AV3752" s="6" t="str">
        <f>HYPERLINK("http://mcgill.on.worldcat.org/oclc/798609827","Catalog Record")</f>
        <v>Catalog Record</v>
      </c>
      <c r="AW3752" s="6" t="str">
        <f>HYPERLINK("http://www.worldcat.org/oclc/798609827","WorldCat Record")</f>
        <v>WorldCat Record</v>
      </c>
      <c r="AX3752" s="3" t="s">
        <v>37226</v>
      </c>
      <c r="AY3752" s="3" t="s">
        <v>37227</v>
      </c>
      <c r="AZ3752" s="3" t="s">
        <v>37228</v>
      </c>
      <c r="BA3752" s="3" t="s">
        <v>37228</v>
      </c>
      <c r="BB3752" s="3" t="s">
        <v>37229</v>
      </c>
      <c r="BC3752" s="3" t="s">
        <v>77</v>
      </c>
      <c r="BD3752" s="3" t="s">
        <v>78</v>
      </c>
      <c r="BE3752" s="3" t="s">
        <v>37230</v>
      </c>
      <c r="BF3752" s="3" t="s">
        <v>37229</v>
      </c>
      <c r="BG3752" s="3" t="s">
        <v>37231</v>
      </c>
    </row>
    <row r="3753" spans="1:59" ht="58" x14ac:dyDescent="0.35">
      <c r="A3753" s="2" t="s">
        <v>59</v>
      </c>
      <c r="B3753" s="2" t="s">
        <v>60</v>
      </c>
      <c r="C3753" s="2" t="s">
        <v>37232</v>
      </c>
      <c r="D3753" s="2" t="s">
        <v>37233</v>
      </c>
      <c r="E3753" s="2" t="s">
        <v>37234</v>
      </c>
      <c r="G3753" s="3" t="s">
        <v>65</v>
      </c>
      <c r="I3753" s="3" t="s">
        <v>65</v>
      </c>
      <c r="J3753" s="3" t="s">
        <v>65</v>
      </c>
      <c r="K3753" s="3" t="s">
        <v>66</v>
      </c>
      <c r="L3753" s="2" t="s">
        <v>37235</v>
      </c>
      <c r="M3753" s="2" t="s">
        <v>24044</v>
      </c>
      <c r="N3753" s="3" t="s">
        <v>126</v>
      </c>
      <c r="P3753" s="3" t="s">
        <v>69</v>
      </c>
      <c r="Q3753" s="2" t="s">
        <v>37236</v>
      </c>
      <c r="R3753" s="3" t="s">
        <v>71</v>
      </c>
      <c r="S3753" s="4">
        <v>0</v>
      </c>
      <c r="T3753" s="4">
        <v>0</v>
      </c>
      <c r="W3753" s="5" t="s">
        <v>72</v>
      </c>
      <c r="X3753" s="5" t="s">
        <v>72</v>
      </c>
      <c r="Y3753" s="4">
        <v>107</v>
      </c>
      <c r="Z3753" s="4">
        <v>12</v>
      </c>
      <c r="AA3753" s="4">
        <v>16</v>
      </c>
      <c r="AB3753" s="4">
        <v>2</v>
      </c>
      <c r="AC3753" s="4">
        <v>5</v>
      </c>
      <c r="AD3753" s="4">
        <v>55</v>
      </c>
      <c r="AE3753" s="4">
        <v>68</v>
      </c>
      <c r="AF3753" s="4">
        <v>1</v>
      </c>
      <c r="AG3753" s="4">
        <v>1</v>
      </c>
      <c r="AH3753" s="4">
        <v>50</v>
      </c>
      <c r="AI3753" s="4">
        <v>63</v>
      </c>
      <c r="AJ3753" s="4">
        <v>10</v>
      </c>
      <c r="AK3753" s="4">
        <v>11</v>
      </c>
      <c r="AL3753" s="4">
        <v>29</v>
      </c>
      <c r="AM3753" s="4">
        <v>35</v>
      </c>
      <c r="AN3753" s="4">
        <v>0</v>
      </c>
      <c r="AO3753" s="4">
        <v>0</v>
      </c>
      <c r="AP3753" s="4">
        <v>10</v>
      </c>
      <c r="AQ3753" s="4">
        <v>11</v>
      </c>
      <c r="AR3753" s="3" t="s">
        <v>65</v>
      </c>
      <c r="AS3753" s="3" t="s">
        <v>65</v>
      </c>
      <c r="AT3753" s="3" t="s">
        <v>65</v>
      </c>
      <c r="AV3753" s="6" t="str">
        <f>HYPERLINK("http://mcgill.on.worldcat.org/oclc/641998040","Catalog Record")</f>
        <v>Catalog Record</v>
      </c>
      <c r="AW3753" s="6" t="str">
        <f>HYPERLINK("http://www.worldcat.org/oclc/641998040","WorldCat Record")</f>
        <v>WorldCat Record</v>
      </c>
      <c r="AX3753" s="3" t="s">
        <v>37237</v>
      </c>
      <c r="AY3753" s="3" t="s">
        <v>37238</v>
      </c>
      <c r="AZ3753" s="3" t="s">
        <v>37239</v>
      </c>
      <c r="BA3753" s="3" t="s">
        <v>37239</v>
      </c>
      <c r="BB3753" s="3" t="s">
        <v>37240</v>
      </c>
      <c r="BC3753" s="3" t="s">
        <v>77</v>
      </c>
      <c r="BD3753" s="3" t="s">
        <v>78</v>
      </c>
      <c r="BE3753" s="3" t="s">
        <v>37241</v>
      </c>
      <c r="BF3753" s="3" t="s">
        <v>37240</v>
      </c>
      <c r="BG3753" s="3" t="s">
        <v>37242</v>
      </c>
    </row>
    <row r="3754" spans="1:59" ht="58" x14ac:dyDescent="0.35">
      <c r="A3754" s="2" t="s">
        <v>59</v>
      </c>
      <c r="B3754" s="2" t="s">
        <v>60</v>
      </c>
      <c r="C3754" s="2" t="s">
        <v>37243</v>
      </c>
      <c r="D3754" s="2" t="s">
        <v>37244</v>
      </c>
      <c r="E3754" s="2" t="s">
        <v>37245</v>
      </c>
      <c r="G3754" s="3" t="s">
        <v>65</v>
      </c>
      <c r="I3754" s="3" t="s">
        <v>65</v>
      </c>
      <c r="J3754" s="3" t="s">
        <v>65</v>
      </c>
      <c r="K3754" s="3" t="s">
        <v>66</v>
      </c>
      <c r="L3754" s="2" t="s">
        <v>37246</v>
      </c>
      <c r="M3754" s="2" t="s">
        <v>37247</v>
      </c>
      <c r="N3754" s="3" t="s">
        <v>152</v>
      </c>
      <c r="O3754" s="2" t="s">
        <v>365</v>
      </c>
      <c r="P3754" s="3" t="s">
        <v>140</v>
      </c>
      <c r="Q3754" s="2" t="s">
        <v>37248</v>
      </c>
      <c r="R3754" s="3" t="s">
        <v>71</v>
      </c>
      <c r="S3754" s="4">
        <v>0</v>
      </c>
      <c r="T3754" s="4">
        <v>0</v>
      </c>
      <c r="W3754" s="5" t="s">
        <v>72</v>
      </c>
      <c r="X3754" s="5" t="s">
        <v>72</v>
      </c>
      <c r="Y3754" s="4">
        <v>67</v>
      </c>
      <c r="Z3754" s="4">
        <v>6</v>
      </c>
      <c r="AA3754" s="4">
        <v>6</v>
      </c>
      <c r="AB3754" s="4">
        <v>1</v>
      </c>
      <c r="AC3754" s="4">
        <v>1</v>
      </c>
      <c r="AD3754" s="4">
        <v>40</v>
      </c>
      <c r="AE3754" s="4">
        <v>40</v>
      </c>
      <c r="AF3754" s="4">
        <v>0</v>
      </c>
      <c r="AG3754" s="4">
        <v>0</v>
      </c>
      <c r="AH3754" s="4">
        <v>39</v>
      </c>
      <c r="AI3754" s="4">
        <v>39</v>
      </c>
      <c r="AJ3754" s="4">
        <v>3</v>
      </c>
      <c r="AK3754" s="4">
        <v>3</v>
      </c>
      <c r="AL3754" s="4">
        <v>29</v>
      </c>
      <c r="AM3754" s="4">
        <v>29</v>
      </c>
      <c r="AN3754" s="4">
        <v>0</v>
      </c>
      <c r="AO3754" s="4">
        <v>0</v>
      </c>
      <c r="AP3754" s="4">
        <v>3</v>
      </c>
      <c r="AQ3754" s="4">
        <v>3</v>
      </c>
      <c r="AR3754" s="3" t="s">
        <v>65</v>
      </c>
      <c r="AS3754" s="3" t="s">
        <v>65</v>
      </c>
      <c r="AT3754" s="3" t="s">
        <v>65</v>
      </c>
      <c r="AV3754" s="6" t="str">
        <f>HYPERLINK("http://mcgill.on.worldcat.org/oclc/820120837","Catalog Record")</f>
        <v>Catalog Record</v>
      </c>
      <c r="AW3754" s="6" t="str">
        <f>HYPERLINK("http://www.worldcat.org/oclc/820120837","WorldCat Record")</f>
        <v>WorldCat Record</v>
      </c>
      <c r="AX3754" s="3" t="s">
        <v>37249</v>
      </c>
      <c r="AY3754" s="3" t="s">
        <v>37250</v>
      </c>
      <c r="AZ3754" s="3" t="s">
        <v>37251</v>
      </c>
      <c r="BA3754" s="3" t="s">
        <v>37251</v>
      </c>
      <c r="BB3754" s="3" t="s">
        <v>37252</v>
      </c>
      <c r="BC3754" s="3" t="s">
        <v>77</v>
      </c>
      <c r="BD3754" s="3" t="s">
        <v>78</v>
      </c>
      <c r="BE3754" s="3" t="s">
        <v>37253</v>
      </c>
      <c r="BF3754" s="3" t="s">
        <v>37252</v>
      </c>
      <c r="BG3754" s="3" t="s">
        <v>37254</v>
      </c>
    </row>
    <row r="3755" spans="1:59" ht="72.5" x14ac:dyDescent="0.35">
      <c r="A3755" s="2" t="s">
        <v>59</v>
      </c>
      <c r="B3755" s="2" t="s">
        <v>60</v>
      </c>
      <c r="C3755" s="2" t="s">
        <v>37255</v>
      </c>
      <c r="D3755" s="2" t="s">
        <v>37256</v>
      </c>
      <c r="E3755" s="2" t="s">
        <v>37257</v>
      </c>
      <c r="G3755" s="3" t="s">
        <v>65</v>
      </c>
      <c r="I3755" s="3" t="s">
        <v>65</v>
      </c>
      <c r="J3755" s="3" t="s">
        <v>209</v>
      </c>
      <c r="K3755" s="3" t="s">
        <v>66</v>
      </c>
      <c r="L3755" s="2" t="s">
        <v>37258</v>
      </c>
      <c r="M3755" s="2" t="s">
        <v>37259</v>
      </c>
      <c r="N3755" s="3" t="s">
        <v>1967</v>
      </c>
      <c r="P3755" s="3" t="s">
        <v>69</v>
      </c>
      <c r="R3755" s="3" t="s">
        <v>71</v>
      </c>
      <c r="S3755" s="4">
        <v>5</v>
      </c>
      <c r="T3755" s="4">
        <v>5</v>
      </c>
      <c r="U3755" s="5" t="s">
        <v>2000</v>
      </c>
      <c r="V3755" s="5" t="s">
        <v>2000</v>
      </c>
      <c r="W3755" s="5" t="s">
        <v>72</v>
      </c>
      <c r="X3755" s="5" t="s">
        <v>72</v>
      </c>
      <c r="Y3755" s="4">
        <v>62</v>
      </c>
      <c r="Z3755" s="4">
        <v>4</v>
      </c>
      <c r="AA3755" s="4">
        <v>26</v>
      </c>
      <c r="AB3755" s="4">
        <v>1</v>
      </c>
      <c r="AC3755" s="4">
        <v>2</v>
      </c>
      <c r="AD3755" s="4">
        <v>4</v>
      </c>
      <c r="AE3755" s="4">
        <v>106</v>
      </c>
      <c r="AF3755" s="4">
        <v>0</v>
      </c>
      <c r="AG3755" s="4">
        <v>0</v>
      </c>
      <c r="AH3755" s="4">
        <v>3</v>
      </c>
      <c r="AI3755" s="4">
        <v>95</v>
      </c>
      <c r="AJ3755" s="4">
        <v>2</v>
      </c>
      <c r="AK3755" s="4">
        <v>15</v>
      </c>
      <c r="AL3755" s="4">
        <v>1</v>
      </c>
      <c r="AM3755" s="4">
        <v>57</v>
      </c>
      <c r="AN3755" s="4">
        <v>0</v>
      </c>
      <c r="AO3755" s="4">
        <v>0</v>
      </c>
      <c r="AP3755" s="4">
        <v>3</v>
      </c>
      <c r="AQ3755" s="4">
        <v>15</v>
      </c>
      <c r="AR3755" s="3" t="s">
        <v>65</v>
      </c>
      <c r="AS3755" s="3" t="s">
        <v>65</v>
      </c>
      <c r="AT3755" s="3" t="s">
        <v>65</v>
      </c>
      <c r="AV3755" s="6" t="str">
        <f>HYPERLINK("http://mcgill.on.worldcat.org/oclc/51001881","Catalog Record")</f>
        <v>Catalog Record</v>
      </c>
      <c r="AW3755" s="6" t="str">
        <f>HYPERLINK("http://www.worldcat.org/oclc/51001881","WorldCat Record")</f>
        <v>WorldCat Record</v>
      </c>
      <c r="AX3755" s="3" t="s">
        <v>37260</v>
      </c>
      <c r="AY3755" s="3" t="s">
        <v>37261</v>
      </c>
      <c r="AZ3755" s="3" t="s">
        <v>37262</v>
      </c>
      <c r="BA3755" s="3" t="s">
        <v>37262</v>
      </c>
      <c r="BB3755" s="3" t="s">
        <v>37263</v>
      </c>
      <c r="BC3755" s="3" t="s">
        <v>77</v>
      </c>
      <c r="BD3755" s="3" t="s">
        <v>78</v>
      </c>
      <c r="BE3755" s="3" t="s">
        <v>37264</v>
      </c>
      <c r="BF3755" s="3" t="s">
        <v>37263</v>
      </c>
      <c r="BG3755" s="3" t="s">
        <v>37265</v>
      </c>
    </row>
    <row r="3756" spans="1:59" ht="58" x14ac:dyDescent="0.35">
      <c r="A3756" s="2" t="s">
        <v>59</v>
      </c>
      <c r="B3756" s="2" t="s">
        <v>60</v>
      </c>
      <c r="C3756" s="2" t="s">
        <v>37266</v>
      </c>
      <c r="D3756" s="2" t="s">
        <v>37267</v>
      </c>
      <c r="E3756" s="2" t="s">
        <v>37268</v>
      </c>
      <c r="G3756" s="3" t="s">
        <v>65</v>
      </c>
      <c r="I3756" s="3" t="s">
        <v>65</v>
      </c>
      <c r="J3756" s="3" t="s">
        <v>65</v>
      </c>
      <c r="K3756" s="3" t="s">
        <v>66</v>
      </c>
      <c r="L3756" s="2" t="s">
        <v>37269</v>
      </c>
      <c r="M3756" s="2" t="s">
        <v>37270</v>
      </c>
      <c r="N3756" s="3" t="s">
        <v>1032</v>
      </c>
      <c r="P3756" s="3" t="s">
        <v>69</v>
      </c>
      <c r="Q3756" s="2" t="s">
        <v>37271</v>
      </c>
      <c r="R3756" s="3" t="s">
        <v>71</v>
      </c>
      <c r="S3756" s="4">
        <v>6</v>
      </c>
      <c r="T3756" s="4">
        <v>6</v>
      </c>
      <c r="U3756" s="5" t="s">
        <v>34454</v>
      </c>
      <c r="V3756" s="5" t="s">
        <v>34454</v>
      </c>
      <c r="W3756" s="5" t="s">
        <v>72</v>
      </c>
      <c r="X3756" s="5" t="s">
        <v>72</v>
      </c>
      <c r="Y3756" s="4">
        <v>35</v>
      </c>
      <c r="Z3756" s="4">
        <v>6</v>
      </c>
      <c r="AA3756" s="4">
        <v>6</v>
      </c>
      <c r="AB3756" s="4">
        <v>2</v>
      </c>
      <c r="AC3756" s="4">
        <v>2</v>
      </c>
      <c r="AD3756" s="4">
        <v>7</v>
      </c>
      <c r="AE3756" s="4">
        <v>12</v>
      </c>
      <c r="AF3756" s="4">
        <v>0</v>
      </c>
      <c r="AG3756" s="4">
        <v>0</v>
      </c>
      <c r="AH3756" s="4">
        <v>6</v>
      </c>
      <c r="AI3756" s="4">
        <v>11</v>
      </c>
      <c r="AJ3756" s="4">
        <v>3</v>
      </c>
      <c r="AK3756" s="4">
        <v>3</v>
      </c>
      <c r="AL3756" s="4">
        <v>3</v>
      </c>
      <c r="AM3756" s="4">
        <v>6</v>
      </c>
      <c r="AN3756" s="4">
        <v>0</v>
      </c>
      <c r="AO3756" s="4">
        <v>0</v>
      </c>
      <c r="AP3756" s="4">
        <v>3</v>
      </c>
      <c r="AQ3756" s="4">
        <v>3</v>
      </c>
      <c r="AR3756" s="3" t="s">
        <v>65</v>
      </c>
      <c r="AS3756" s="3" t="s">
        <v>65</v>
      </c>
      <c r="AT3756" s="3" t="s">
        <v>65</v>
      </c>
      <c r="AV3756" s="6" t="str">
        <f>HYPERLINK("http://mcgill.on.worldcat.org/oclc/59625921","Catalog Record")</f>
        <v>Catalog Record</v>
      </c>
      <c r="AW3756" s="6" t="str">
        <f>HYPERLINK("http://www.worldcat.org/oclc/59625921","WorldCat Record")</f>
        <v>WorldCat Record</v>
      </c>
      <c r="AX3756" s="3" t="s">
        <v>37272</v>
      </c>
      <c r="AY3756" s="3" t="s">
        <v>37273</v>
      </c>
      <c r="AZ3756" s="3" t="s">
        <v>37274</v>
      </c>
      <c r="BA3756" s="3" t="s">
        <v>37274</v>
      </c>
      <c r="BB3756" s="3" t="s">
        <v>37275</v>
      </c>
      <c r="BC3756" s="3" t="s">
        <v>77</v>
      </c>
      <c r="BD3756" s="3" t="s">
        <v>78</v>
      </c>
      <c r="BE3756" s="3" t="s">
        <v>37276</v>
      </c>
      <c r="BF3756" s="3" t="s">
        <v>37275</v>
      </c>
      <c r="BG3756" s="3" t="s">
        <v>37277</v>
      </c>
    </row>
    <row r="3757" spans="1:59" ht="58" x14ac:dyDescent="0.35">
      <c r="A3757" s="2" t="s">
        <v>59</v>
      </c>
      <c r="B3757" s="2" t="s">
        <v>60</v>
      </c>
      <c r="C3757" s="2" t="s">
        <v>37278</v>
      </c>
      <c r="D3757" s="2" t="s">
        <v>37279</v>
      </c>
      <c r="E3757" s="2" t="s">
        <v>37280</v>
      </c>
      <c r="F3757" s="3" t="s">
        <v>255</v>
      </c>
      <c r="G3757" s="3" t="s">
        <v>209</v>
      </c>
      <c r="I3757" s="3" t="s">
        <v>65</v>
      </c>
      <c r="J3757" s="3" t="s">
        <v>209</v>
      </c>
      <c r="K3757" s="3" t="s">
        <v>66</v>
      </c>
      <c r="L3757" s="2" t="s">
        <v>36830</v>
      </c>
      <c r="M3757" s="2" t="s">
        <v>37281</v>
      </c>
      <c r="N3757" s="3" t="s">
        <v>8188</v>
      </c>
      <c r="O3757" s="2" t="s">
        <v>365</v>
      </c>
      <c r="P3757" s="3" t="s">
        <v>140</v>
      </c>
      <c r="Q3757" s="2" t="s">
        <v>37282</v>
      </c>
      <c r="R3757" s="3" t="s">
        <v>71</v>
      </c>
      <c r="S3757" s="4">
        <v>6</v>
      </c>
      <c r="T3757" s="4">
        <v>11</v>
      </c>
      <c r="U3757" s="5" t="s">
        <v>10224</v>
      </c>
      <c r="V3757" s="5" t="s">
        <v>10224</v>
      </c>
      <c r="W3757" s="5" t="s">
        <v>72</v>
      </c>
      <c r="X3757" s="5" t="s">
        <v>72</v>
      </c>
      <c r="Y3757" s="4">
        <v>130</v>
      </c>
      <c r="Z3757" s="4">
        <v>10</v>
      </c>
      <c r="AA3757" s="4">
        <v>14</v>
      </c>
      <c r="AB3757" s="4">
        <v>1</v>
      </c>
      <c r="AC3757" s="4">
        <v>3</v>
      </c>
      <c r="AD3757" s="4">
        <v>64</v>
      </c>
      <c r="AE3757" s="4">
        <v>81</v>
      </c>
      <c r="AF3757" s="4">
        <v>0</v>
      </c>
      <c r="AG3757" s="4">
        <v>2</v>
      </c>
      <c r="AH3757" s="4">
        <v>60</v>
      </c>
      <c r="AI3757" s="4">
        <v>75</v>
      </c>
      <c r="AJ3757" s="4">
        <v>8</v>
      </c>
      <c r="AK3757" s="4">
        <v>12</v>
      </c>
      <c r="AL3757" s="4">
        <v>39</v>
      </c>
      <c r="AM3757" s="4">
        <v>49</v>
      </c>
      <c r="AN3757" s="4">
        <v>0</v>
      </c>
      <c r="AO3757" s="4">
        <v>0</v>
      </c>
      <c r="AP3757" s="4">
        <v>8</v>
      </c>
      <c r="AQ3757" s="4">
        <v>11</v>
      </c>
      <c r="AR3757" s="3" t="s">
        <v>65</v>
      </c>
      <c r="AS3757" s="3" t="s">
        <v>65</v>
      </c>
      <c r="AT3757" s="3" t="s">
        <v>209</v>
      </c>
      <c r="AU3757" s="6" t="str">
        <f>HYPERLINK("http://catalog.hathitrust.org/Record/000919374","HathiTrust Record")</f>
        <v>HathiTrust Record</v>
      </c>
      <c r="AV3757" s="6" t="str">
        <f>HYPERLINK("http://mcgill.on.worldcat.org/oclc/21598416","Catalog Record")</f>
        <v>Catalog Record</v>
      </c>
      <c r="AW3757" s="6" t="str">
        <f>HYPERLINK("http://www.worldcat.org/oclc/21598416","WorldCat Record")</f>
        <v>WorldCat Record</v>
      </c>
      <c r="AX3757" s="3" t="s">
        <v>36833</v>
      </c>
      <c r="AY3757" s="3" t="s">
        <v>37283</v>
      </c>
      <c r="AZ3757" s="3" t="s">
        <v>37284</v>
      </c>
      <c r="BA3757" s="3" t="s">
        <v>37284</v>
      </c>
      <c r="BB3757" s="3" t="s">
        <v>37285</v>
      </c>
      <c r="BC3757" s="3" t="s">
        <v>77</v>
      </c>
      <c r="BD3757" s="3" t="s">
        <v>78</v>
      </c>
      <c r="BE3757" s="3" t="s">
        <v>37286</v>
      </c>
      <c r="BF3757" s="3" t="s">
        <v>37285</v>
      </c>
      <c r="BG3757" s="3" t="s">
        <v>37287</v>
      </c>
    </row>
    <row r="3758" spans="1:59" ht="58" x14ac:dyDescent="0.35">
      <c r="A3758" s="2" t="s">
        <v>59</v>
      </c>
      <c r="B3758" s="2" t="s">
        <v>60</v>
      </c>
      <c r="C3758" s="2" t="s">
        <v>37278</v>
      </c>
      <c r="D3758" s="2" t="s">
        <v>37279</v>
      </c>
      <c r="E3758" s="2" t="s">
        <v>37280</v>
      </c>
      <c r="F3758" s="3" t="s">
        <v>258</v>
      </c>
      <c r="G3758" s="3" t="s">
        <v>209</v>
      </c>
      <c r="I3758" s="3" t="s">
        <v>65</v>
      </c>
      <c r="J3758" s="3" t="s">
        <v>209</v>
      </c>
      <c r="K3758" s="3" t="s">
        <v>66</v>
      </c>
      <c r="L3758" s="2" t="s">
        <v>36830</v>
      </c>
      <c r="M3758" s="2" t="s">
        <v>37281</v>
      </c>
      <c r="N3758" s="3" t="s">
        <v>8188</v>
      </c>
      <c r="O3758" s="2" t="s">
        <v>365</v>
      </c>
      <c r="P3758" s="3" t="s">
        <v>140</v>
      </c>
      <c r="Q3758" s="2" t="s">
        <v>37282</v>
      </c>
      <c r="R3758" s="3" t="s">
        <v>71</v>
      </c>
      <c r="S3758" s="4">
        <v>5</v>
      </c>
      <c r="T3758" s="4">
        <v>11</v>
      </c>
      <c r="U3758" s="5" t="s">
        <v>10224</v>
      </c>
      <c r="V3758" s="5" t="s">
        <v>10224</v>
      </c>
      <c r="W3758" s="5" t="s">
        <v>72</v>
      </c>
      <c r="X3758" s="5" t="s">
        <v>72</v>
      </c>
      <c r="Y3758" s="4">
        <v>130</v>
      </c>
      <c r="Z3758" s="4">
        <v>10</v>
      </c>
      <c r="AA3758" s="4">
        <v>14</v>
      </c>
      <c r="AB3758" s="4">
        <v>1</v>
      </c>
      <c r="AC3758" s="4">
        <v>3</v>
      </c>
      <c r="AD3758" s="4">
        <v>64</v>
      </c>
      <c r="AE3758" s="4">
        <v>81</v>
      </c>
      <c r="AF3758" s="4">
        <v>0</v>
      </c>
      <c r="AG3758" s="4">
        <v>2</v>
      </c>
      <c r="AH3758" s="4">
        <v>60</v>
      </c>
      <c r="AI3758" s="4">
        <v>75</v>
      </c>
      <c r="AJ3758" s="4">
        <v>8</v>
      </c>
      <c r="AK3758" s="4">
        <v>12</v>
      </c>
      <c r="AL3758" s="4">
        <v>39</v>
      </c>
      <c r="AM3758" s="4">
        <v>49</v>
      </c>
      <c r="AN3758" s="4">
        <v>0</v>
      </c>
      <c r="AO3758" s="4">
        <v>0</v>
      </c>
      <c r="AP3758" s="4">
        <v>8</v>
      </c>
      <c r="AQ3758" s="4">
        <v>11</v>
      </c>
      <c r="AR3758" s="3" t="s">
        <v>65</v>
      </c>
      <c r="AS3758" s="3" t="s">
        <v>65</v>
      </c>
      <c r="AT3758" s="3" t="s">
        <v>209</v>
      </c>
      <c r="AU3758" s="6" t="str">
        <f>HYPERLINK("http://catalog.hathitrust.org/Record/000919374","HathiTrust Record")</f>
        <v>HathiTrust Record</v>
      </c>
      <c r="AV3758" s="6" t="str">
        <f>HYPERLINK("http://mcgill.on.worldcat.org/oclc/21598416","Catalog Record")</f>
        <v>Catalog Record</v>
      </c>
      <c r="AW3758" s="6" t="str">
        <f>HYPERLINK("http://www.worldcat.org/oclc/21598416","WorldCat Record")</f>
        <v>WorldCat Record</v>
      </c>
      <c r="AX3758" s="3" t="s">
        <v>36833</v>
      </c>
      <c r="AY3758" s="3" t="s">
        <v>37283</v>
      </c>
      <c r="AZ3758" s="3" t="s">
        <v>37284</v>
      </c>
      <c r="BA3758" s="3" t="s">
        <v>37284</v>
      </c>
      <c r="BB3758" s="3" t="s">
        <v>37288</v>
      </c>
      <c r="BC3758" s="3" t="s">
        <v>77</v>
      </c>
      <c r="BD3758" s="3" t="s">
        <v>78</v>
      </c>
      <c r="BE3758" s="3" t="s">
        <v>37286</v>
      </c>
      <c r="BF3758" s="3" t="s">
        <v>37288</v>
      </c>
      <c r="BG3758" s="3" t="s">
        <v>37289</v>
      </c>
    </row>
    <row r="3759" spans="1:59" ht="58" x14ac:dyDescent="0.35">
      <c r="A3759" s="2" t="s">
        <v>59</v>
      </c>
      <c r="B3759" s="2" t="s">
        <v>60</v>
      </c>
      <c r="C3759" s="2" t="s">
        <v>37290</v>
      </c>
      <c r="D3759" s="2" t="s">
        <v>37291</v>
      </c>
      <c r="E3759" s="2" t="s">
        <v>37292</v>
      </c>
      <c r="G3759" s="3" t="s">
        <v>65</v>
      </c>
      <c r="I3759" s="3" t="s">
        <v>65</v>
      </c>
      <c r="J3759" s="3" t="s">
        <v>65</v>
      </c>
      <c r="K3759" s="3" t="s">
        <v>66</v>
      </c>
      <c r="L3759" s="2" t="s">
        <v>36830</v>
      </c>
      <c r="M3759" s="2" t="s">
        <v>37293</v>
      </c>
      <c r="N3759" s="3" t="s">
        <v>1196</v>
      </c>
      <c r="P3759" s="3" t="s">
        <v>616</v>
      </c>
      <c r="Q3759" s="2" t="s">
        <v>37294</v>
      </c>
      <c r="R3759" s="3" t="s">
        <v>71</v>
      </c>
      <c r="S3759" s="4">
        <v>4</v>
      </c>
      <c r="T3759" s="4">
        <v>4</v>
      </c>
      <c r="U3759" s="5" t="s">
        <v>2379</v>
      </c>
      <c r="V3759" s="5" t="s">
        <v>2379</v>
      </c>
      <c r="W3759" s="5" t="s">
        <v>72</v>
      </c>
      <c r="X3759" s="5" t="s">
        <v>72</v>
      </c>
      <c r="Y3759" s="4">
        <v>12</v>
      </c>
      <c r="Z3759" s="4">
        <v>3</v>
      </c>
      <c r="AA3759" s="4">
        <v>9</v>
      </c>
      <c r="AB3759" s="4">
        <v>1</v>
      </c>
      <c r="AC3759" s="4">
        <v>7</v>
      </c>
      <c r="AD3759" s="4">
        <v>2</v>
      </c>
      <c r="AE3759" s="4">
        <v>6</v>
      </c>
      <c r="AF3759" s="4">
        <v>0</v>
      </c>
      <c r="AG3759" s="4">
        <v>4</v>
      </c>
      <c r="AH3759" s="4">
        <v>2</v>
      </c>
      <c r="AI3759" s="4">
        <v>3</v>
      </c>
      <c r="AJ3759" s="4">
        <v>0</v>
      </c>
      <c r="AK3759" s="4">
        <v>3</v>
      </c>
      <c r="AL3759" s="4">
        <v>2</v>
      </c>
      <c r="AM3759" s="4">
        <v>2</v>
      </c>
      <c r="AN3759" s="4">
        <v>0</v>
      </c>
      <c r="AO3759" s="4">
        <v>0</v>
      </c>
      <c r="AP3759" s="4">
        <v>0</v>
      </c>
      <c r="AQ3759" s="4">
        <v>3</v>
      </c>
      <c r="AR3759" s="3" t="s">
        <v>65</v>
      </c>
      <c r="AS3759" s="3" t="s">
        <v>65</v>
      </c>
      <c r="AT3759" s="3" t="s">
        <v>65</v>
      </c>
      <c r="AV3759" s="6" t="str">
        <f>HYPERLINK("http://mcgill.on.worldcat.org/oclc/57526693","Catalog Record")</f>
        <v>Catalog Record</v>
      </c>
      <c r="AW3759" s="6" t="str">
        <f>HYPERLINK("http://www.worldcat.org/oclc/57526693","WorldCat Record")</f>
        <v>WorldCat Record</v>
      </c>
      <c r="AX3759" s="3" t="s">
        <v>37295</v>
      </c>
      <c r="AY3759" s="3" t="s">
        <v>37296</v>
      </c>
      <c r="AZ3759" s="3" t="s">
        <v>37297</v>
      </c>
      <c r="BA3759" s="3" t="s">
        <v>37297</v>
      </c>
      <c r="BB3759" s="3" t="s">
        <v>37298</v>
      </c>
      <c r="BC3759" s="3" t="s">
        <v>77</v>
      </c>
      <c r="BD3759" s="3" t="s">
        <v>78</v>
      </c>
      <c r="BE3759" s="3" t="s">
        <v>37299</v>
      </c>
      <c r="BF3759" s="3" t="s">
        <v>37298</v>
      </c>
      <c r="BG3759" s="3" t="s">
        <v>37300</v>
      </c>
    </row>
    <row r="3760" spans="1:59" ht="58" x14ac:dyDescent="0.35">
      <c r="A3760" s="2" t="s">
        <v>59</v>
      </c>
      <c r="B3760" s="2" t="s">
        <v>60</v>
      </c>
      <c r="C3760" s="2" t="s">
        <v>37301</v>
      </c>
      <c r="D3760" s="2" t="s">
        <v>37302</v>
      </c>
      <c r="E3760" s="2" t="s">
        <v>37303</v>
      </c>
      <c r="G3760" s="3" t="s">
        <v>65</v>
      </c>
      <c r="I3760" s="3" t="s">
        <v>65</v>
      </c>
      <c r="J3760" s="3" t="s">
        <v>65</v>
      </c>
      <c r="K3760" s="3" t="s">
        <v>66</v>
      </c>
      <c r="L3760" s="2" t="s">
        <v>37304</v>
      </c>
      <c r="M3760" s="2" t="s">
        <v>33204</v>
      </c>
      <c r="N3760" s="3" t="s">
        <v>113</v>
      </c>
      <c r="P3760" s="3" t="s">
        <v>140</v>
      </c>
      <c r="Q3760" s="2" t="s">
        <v>37305</v>
      </c>
      <c r="R3760" s="3" t="s">
        <v>71</v>
      </c>
      <c r="S3760" s="4">
        <v>0</v>
      </c>
      <c r="T3760" s="4">
        <v>0</v>
      </c>
      <c r="W3760" s="5" t="s">
        <v>72</v>
      </c>
      <c r="X3760" s="5" t="s">
        <v>72</v>
      </c>
      <c r="Y3760" s="4">
        <v>44</v>
      </c>
      <c r="Z3760" s="4">
        <v>4</v>
      </c>
      <c r="AA3760" s="4">
        <v>4</v>
      </c>
      <c r="AB3760" s="4">
        <v>1</v>
      </c>
      <c r="AC3760" s="4">
        <v>1</v>
      </c>
      <c r="AD3760" s="4">
        <v>31</v>
      </c>
      <c r="AE3760" s="4">
        <v>31</v>
      </c>
      <c r="AF3760" s="4">
        <v>0</v>
      </c>
      <c r="AG3760" s="4">
        <v>0</v>
      </c>
      <c r="AH3760" s="4">
        <v>30</v>
      </c>
      <c r="AI3760" s="4">
        <v>30</v>
      </c>
      <c r="AJ3760" s="4">
        <v>2</v>
      </c>
      <c r="AK3760" s="4">
        <v>2</v>
      </c>
      <c r="AL3760" s="4">
        <v>22</v>
      </c>
      <c r="AM3760" s="4">
        <v>22</v>
      </c>
      <c r="AN3760" s="4">
        <v>0</v>
      </c>
      <c r="AO3760" s="4">
        <v>0</v>
      </c>
      <c r="AP3760" s="4">
        <v>2</v>
      </c>
      <c r="AQ3760" s="4">
        <v>2</v>
      </c>
      <c r="AR3760" s="3" t="s">
        <v>65</v>
      </c>
      <c r="AS3760" s="3" t="s">
        <v>65</v>
      </c>
      <c r="AT3760" s="3" t="s">
        <v>65</v>
      </c>
      <c r="AV3760" s="6" t="str">
        <f>HYPERLINK("http://mcgill.on.worldcat.org/oclc/692269601","Catalog Record")</f>
        <v>Catalog Record</v>
      </c>
      <c r="AW3760" s="6" t="str">
        <f>HYPERLINK("http://www.worldcat.org/oclc/692269601","WorldCat Record")</f>
        <v>WorldCat Record</v>
      </c>
      <c r="AX3760" s="3" t="s">
        <v>37306</v>
      </c>
      <c r="AY3760" s="3" t="s">
        <v>37307</v>
      </c>
      <c r="AZ3760" s="3" t="s">
        <v>37308</v>
      </c>
      <c r="BA3760" s="3" t="s">
        <v>37308</v>
      </c>
      <c r="BB3760" s="3" t="s">
        <v>37309</v>
      </c>
      <c r="BC3760" s="3" t="s">
        <v>77</v>
      </c>
      <c r="BD3760" s="3" t="s">
        <v>78</v>
      </c>
      <c r="BE3760" s="3" t="s">
        <v>37310</v>
      </c>
      <c r="BF3760" s="3" t="s">
        <v>37309</v>
      </c>
      <c r="BG3760" s="3" t="s">
        <v>37311</v>
      </c>
    </row>
    <row r="3761" spans="1:59" ht="58" x14ac:dyDescent="0.35">
      <c r="A3761" s="2" t="s">
        <v>59</v>
      </c>
      <c r="B3761" s="2" t="s">
        <v>60</v>
      </c>
      <c r="C3761" s="2" t="s">
        <v>37312</v>
      </c>
      <c r="D3761" s="2" t="s">
        <v>37313</v>
      </c>
      <c r="E3761" s="2" t="s">
        <v>37314</v>
      </c>
      <c r="G3761" s="3" t="s">
        <v>65</v>
      </c>
      <c r="I3761" s="3" t="s">
        <v>65</v>
      </c>
      <c r="J3761" s="3" t="s">
        <v>65</v>
      </c>
      <c r="K3761" s="3" t="s">
        <v>66</v>
      </c>
      <c r="L3761" s="2" t="s">
        <v>37304</v>
      </c>
      <c r="M3761" s="2" t="s">
        <v>35354</v>
      </c>
      <c r="N3761" s="3" t="s">
        <v>152</v>
      </c>
      <c r="P3761" s="3" t="s">
        <v>140</v>
      </c>
      <c r="Q3761" s="2" t="s">
        <v>37305</v>
      </c>
      <c r="R3761" s="3" t="s">
        <v>71</v>
      </c>
      <c r="S3761" s="4">
        <v>0</v>
      </c>
      <c r="T3761" s="4">
        <v>0</v>
      </c>
      <c r="W3761" s="5" t="s">
        <v>72</v>
      </c>
      <c r="X3761" s="5" t="s">
        <v>72</v>
      </c>
      <c r="Y3761" s="4">
        <v>36</v>
      </c>
      <c r="Z3761" s="4">
        <v>5</v>
      </c>
      <c r="AA3761" s="4">
        <v>5</v>
      </c>
      <c r="AB3761" s="4">
        <v>1</v>
      </c>
      <c r="AC3761" s="4">
        <v>1</v>
      </c>
      <c r="AD3761" s="4">
        <v>26</v>
      </c>
      <c r="AE3761" s="4">
        <v>26</v>
      </c>
      <c r="AF3761" s="4">
        <v>0</v>
      </c>
      <c r="AG3761" s="4">
        <v>0</v>
      </c>
      <c r="AH3761" s="4">
        <v>25</v>
      </c>
      <c r="AI3761" s="4">
        <v>25</v>
      </c>
      <c r="AJ3761" s="4">
        <v>3</v>
      </c>
      <c r="AK3761" s="4">
        <v>3</v>
      </c>
      <c r="AL3761" s="4">
        <v>20</v>
      </c>
      <c r="AM3761" s="4">
        <v>20</v>
      </c>
      <c r="AN3761" s="4">
        <v>0</v>
      </c>
      <c r="AO3761" s="4">
        <v>0</v>
      </c>
      <c r="AP3761" s="4">
        <v>3</v>
      </c>
      <c r="AQ3761" s="4">
        <v>3</v>
      </c>
      <c r="AR3761" s="3" t="s">
        <v>65</v>
      </c>
      <c r="AS3761" s="3" t="s">
        <v>65</v>
      </c>
      <c r="AT3761" s="3" t="s">
        <v>65</v>
      </c>
      <c r="AV3761" s="6" t="str">
        <f>HYPERLINK("http://mcgill.on.worldcat.org/oclc/834494636","Catalog Record")</f>
        <v>Catalog Record</v>
      </c>
      <c r="AW3761" s="6" t="str">
        <f>HYPERLINK("http://www.worldcat.org/oclc/834494636","WorldCat Record")</f>
        <v>WorldCat Record</v>
      </c>
      <c r="AX3761" s="3" t="s">
        <v>37315</v>
      </c>
      <c r="AY3761" s="3" t="s">
        <v>37316</v>
      </c>
      <c r="AZ3761" s="3" t="s">
        <v>37317</v>
      </c>
      <c r="BA3761" s="3" t="s">
        <v>37317</v>
      </c>
      <c r="BB3761" s="3" t="s">
        <v>37318</v>
      </c>
      <c r="BC3761" s="3" t="s">
        <v>77</v>
      </c>
      <c r="BD3761" s="3" t="s">
        <v>78</v>
      </c>
      <c r="BE3761" s="3" t="s">
        <v>37319</v>
      </c>
      <c r="BF3761" s="3" t="s">
        <v>37318</v>
      </c>
      <c r="BG3761" s="3" t="s">
        <v>37320</v>
      </c>
    </row>
    <row r="3762" spans="1:59" ht="58" x14ac:dyDescent="0.35">
      <c r="A3762" s="2" t="s">
        <v>59</v>
      </c>
      <c r="B3762" s="2" t="s">
        <v>60</v>
      </c>
      <c r="C3762" s="2" t="s">
        <v>37321</v>
      </c>
      <c r="D3762" s="2" t="s">
        <v>37322</v>
      </c>
      <c r="E3762" s="2" t="s">
        <v>37323</v>
      </c>
      <c r="G3762" s="3" t="s">
        <v>65</v>
      </c>
      <c r="I3762" s="3" t="s">
        <v>65</v>
      </c>
      <c r="J3762" s="3" t="s">
        <v>65</v>
      </c>
      <c r="K3762" s="3" t="s">
        <v>66</v>
      </c>
      <c r="L3762" s="2" t="s">
        <v>37304</v>
      </c>
      <c r="M3762" s="2" t="s">
        <v>18701</v>
      </c>
      <c r="N3762" s="3" t="s">
        <v>113</v>
      </c>
      <c r="O3762" s="2" t="s">
        <v>365</v>
      </c>
      <c r="P3762" s="3" t="s">
        <v>140</v>
      </c>
      <c r="Q3762" s="2" t="s">
        <v>33292</v>
      </c>
      <c r="R3762" s="3" t="s">
        <v>71</v>
      </c>
      <c r="S3762" s="4">
        <v>0</v>
      </c>
      <c r="T3762" s="4">
        <v>0</v>
      </c>
      <c r="W3762" s="5" t="s">
        <v>72</v>
      </c>
      <c r="X3762" s="5" t="s">
        <v>72</v>
      </c>
      <c r="Y3762" s="4">
        <v>19</v>
      </c>
      <c r="Z3762" s="4">
        <v>1</v>
      </c>
      <c r="AA3762" s="4">
        <v>1</v>
      </c>
      <c r="AB3762" s="4">
        <v>1</v>
      </c>
      <c r="AC3762" s="4">
        <v>1</v>
      </c>
      <c r="AD3762" s="4">
        <v>15</v>
      </c>
      <c r="AE3762" s="4">
        <v>15</v>
      </c>
      <c r="AF3762" s="4">
        <v>0</v>
      </c>
      <c r="AG3762" s="4">
        <v>0</v>
      </c>
      <c r="AH3762" s="4">
        <v>14</v>
      </c>
      <c r="AI3762" s="4">
        <v>14</v>
      </c>
      <c r="AJ3762" s="4">
        <v>0</v>
      </c>
      <c r="AK3762" s="4">
        <v>0</v>
      </c>
      <c r="AL3762" s="4">
        <v>11</v>
      </c>
      <c r="AM3762" s="4">
        <v>11</v>
      </c>
      <c r="AN3762" s="4">
        <v>0</v>
      </c>
      <c r="AO3762" s="4">
        <v>0</v>
      </c>
      <c r="AP3762" s="4">
        <v>0</v>
      </c>
      <c r="AQ3762" s="4">
        <v>0</v>
      </c>
      <c r="AR3762" s="3" t="s">
        <v>65</v>
      </c>
      <c r="AS3762" s="3" t="s">
        <v>65</v>
      </c>
      <c r="AT3762" s="3" t="s">
        <v>65</v>
      </c>
      <c r="AV3762" s="6" t="str">
        <f>HYPERLINK("http://mcgill.on.worldcat.org/oclc/688494527","Catalog Record")</f>
        <v>Catalog Record</v>
      </c>
      <c r="AW3762" s="6" t="str">
        <f>HYPERLINK("http://www.worldcat.org/oclc/688494527","WorldCat Record")</f>
        <v>WorldCat Record</v>
      </c>
      <c r="AX3762" s="3" t="s">
        <v>37324</v>
      </c>
      <c r="AY3762" s="3" t="s">
        <v>37325</v>
      </c>
      <c r="AZ3762" s="3" t="s">
        <v>37326</v>
      </c>
      <c r="BA3762" s="3" t="s">
        <v>37326</v>
      </c>
      <c r="BB3762" s="3" t="s">
        <v>37327</v>
      </c>
      <c r="BC3762" s="3" t="s">
        <v>77</v>
      </c>
      <c r="BD3762" s="3" t="s">
        <v>78</v>
      </c>
      <c r="BE3762" s="3" t="s">
        <v>37328</v>
      </c>
      <c r="BF3762" s="3" t="s">
        <v>37327</v>
      </c>
      <c r="BG3762" s="3" t="s">
        <v>37329</v>
      </c>
    </row>
    <row r="3763" spans="1:59" ht="72.5" x14ac:dyDescent="0.35">
      <c r="A3763" s="2" t="s">
        <v>59</v>
      </c>
      <c r="B3763" s="2" t="s">
        <v>60</v>
      </c>
      <c r="C3763" s="2" t="s">
        <v>37330</v>
      </c>
      <c r="D3763" s="2" t="s">
        <v>37331</v>
      </c>
      <c r="E3763" s="2" t="s">
        <v>37332</v>
      </c>
      <c r="G3763" s="3" t="s">
        <v>65</v>
      </c>
      <c r="I3763" s="3" t="s">
        <v>65</v>
      </c>
      <c r="J3763" s="3" t="s">
        <v>65</v>
      </c>
      <c r="K3763" s="3" t="s">
        <v>66</v>
      </c>
      <c r="L3763" s="2" t="s">
        <v>37333</v>
      </c>
      <c r="M3763" s="2" t="s">
        <v>37334</v>
      </c>
      <c r="N3763" s="3" t="s">
        <v>1967</v>
      </c>
      <c r="P3763" s="3" t="s">
        <v>69</v>
      </c>
      <c r="R3763" s="3" t="s">
        <v>71</v>
      </c>
      <c r="S3763" s="4">
        <v>5</v>
      </c>
      <c r="T3763" s="4">
        <v>5</v>
      </c>
      <c r="U3763" s="5" t="s">
        <v>37335</v>
      </c>
      <c r="V3763" s="5" t="s">
        <v>37335</v>
      </c>
      <c r="W3763" s="5" t="s">
        <v>72</v>
      </c>
      <c r="X3763" s="5" t="s">
        <v>72</v>
      </c>
      <c r="Y3763" s="4">
        <v>48</v>
      </c>
      <c r="Z3763" s="4">
        <v>1</v>
      </c>
      <c r="AA3763" s="4">
        <v>11</v>
      </c>
      <c r="AB3763" s="4">
        <v>1</v>
      </c>
      <c r="AC3763" s="4">
        <v>1</v>
      </c>
      <c r="AD3763" s="4">
        <v>1</v>
      </c>
      <c r="AE3763" s="4">
        <v>45</v>
      </c>
      <c r="AF3763" s="4">
        <v>0</v>
      </c>
      <c r="AG3763" s="4">
        <v>0</v>
      </c>
      <c r="AH3763" s="4">
        <v>1</v>
      </c>
      <c r="AI3763" s="4">
        <v>41</v>
      </c>
      <c r="AJ3763" s="4">
        <v>0</v>
      </c>
      <c r="AK3763" s="4">
        <v>3</v>
      </c>
      <c r="AL3763" s="4">
        <v>1</v>
      </c>
      <c r="AM3763" s="4">
        <v>33</v>
      </c>
      <c r="AN3763" s="4">
        <v>0</v>
      </c>
      <c r="AO3763" s="4">
        <v>0</v>
      </c>
      <c r="AP3763" s="4">
        <v>0</v>
      </c>
      <c r="AQ3763" s="4">
        <v>3</v>
      </c>
      <c r="AR3763" s="3" t="s">
        <v>65</v>
      </c>
      <c r="AS3763" s="3" t="s">
        <v>65</v>
      </c>
      <c r="AT3763" s="3" t="s">
        <v>65</v>
      </c>
      <c r="AV3763" s="6" t="str">
        <f>HYPERLINK("http://mcgill.on.worldcat.org/oclc/52395594","Catalog Record")</f>
        <v>Catalog Record</v>
      </c>
      <c r="AW3763" s="6" t="str">
        <f>HYPERLINK("http://www.worldcat.org/oclc/52395594","WorldCat Record")</f>
        <v>WorldCat Record</v>
      </c>
      <c r="AX3763" s="3" t="s">
        <v>37336</v>
      </c>
      <c r="AY3763" s="3" t="s">
        <v>37337</v>
      </c>
      <c r="AZ3763" s="3" t="s">
        <v>37338</v>
      </c>
      <c r="BA3763" s="3" t="s">
        <v>37338</v>
      </c>
      <c r="BB3763" s="3" t="s">
        <v>37339</v>
      </c>
      <c r="BC3763" s="3" t="s">
        <v>77</v>
      </c>
      <c r="BD3763" s="3" t="s">
        <v>78</v>
      </c>
      <c r="BE3763" s="3" t="s">
        <v>37340</v>
      </c>
      <c r="BF3763" s="3" t="s">
        <v>37339</v>
      </c>
      <c r="BG3763" s="3" t="s">
        <v>37341</v>
      </c>
    </row>
    <row r="3764" spans="1:59" ht="72.5" x14ac:dyDescent="0.35">
      <c r="A3764" s="2" t="s">
        <v>59</v>
      </c>
      <c r="B3764" s="2" t="s">
        <v>60</v>
      </c>
      <c r="C3764" s="2" t="s">
        <v>37342</v>
      </c>
      <c r="D3764" s="2" t="s">
        <v>37343</v>
      </c>
      <c r="E3764" s="2" t="s">
        <v>37344</v>
      </c>
      <c r="G3764" s="3" t="s">
        <v>65</v>
      </c>
      <c r="I3764" s="3" t="s">
        <v>65</v>
      </c>
      <c r="J3764" s="3" t="s">
        <v>65</v>
      </c>
      <c r="K3764" s="3" t="s">
        <v>66</v>
      </c>
      <c r="L3764" s="2" t="s">
        <v>28690</v>
      </c>
      <c r="M3764" s="2" t="s">
        <v>33736</v>
      </c>
      <c r="N3764" s="3" t="s">
        <v>99</v>
      </c>
      <c r="P3764" s="3" t="s">
        <v>69</v>
      </c>
      <c r="Q3764" s="2" t="s">
        <v>37345</v>
      </c>
      <c r="R3764" s="3" t="s">
        <v>71</v>
      </c>
      <c r="S3764" s="4">
        <v>9</v>
      </c>
      <c r="T3764" s="4">
        <v>9</v>
      </c>
      <c r="U3764" s="5" t="s">
        <v>6158</v>
      </c>
      <c r="V3764" s="5" t="s">
        <v>6158</v>
      </c>
      <c r="W3764" s="5" t="s">
        <v>72</v>
      </c>
      <c r="X3764" s="5" t="s">
        <v>72</v>
      </c>
      <c r="Y3764" s="4">
        <v>323</v>
      </c>
      <c r="Z3764" s="4">
        <v>20</v>
      </c>
      <c r="AA3764" s="4">
        <v>21</v>
      </c>
      <c r="AB3764" s="4">
        <v>4</v>
      </c>
      <c r="AC3764" s="4">
        <v>4</v>
      </c>
      <c r="AD3764" s="4">
        <v>41</v>
      </c>
      <c r="AE3764" s="4">
        <v>41</v>
      </c>
      <c r="AF3764" s="4">
        <v>0</v>
      </c>
      <c r="AG3764" s="4">
        <v>0</v>
      </c>
      <c r="AH3764" s="4">
        <v>38</v>
      </c>
      <c r="AI3764" s="4">
        <v>38</v>
      </c>
      <c r="AJ3764" s="4">
        <v>4</v>
      </c>
      <c r="AK3764" s="4">
        <v>4</v>
      </c>
      <c r="AL3764" s="4">
        <v>28</v>
      </c>
      <c r="AM3764" s="4">
        <v>28</v>
      </c>
      <c r="AN3764" s="4">
        <v>0</v>
      </c>
      <c r="AO3764" s="4">
        <v>0</v>
      </c>
      <c r="AP3764" s="4">
        <v>4</v>
      </c>
      <c r="AQ3764" s="4">
        <v>4</v>
      </c>
      <c r="AR3764" s="3" t="s">
        <v>65</v>
      </c>
      <c r="AS3764" s="3" t="s">
        <v>65</v>
      </c>
      <c r="AT3764" s="3" t="s">
        <v>65</v>
      </c>
      <c r="AV3764" s="6" t="str">
        <f>HYPERLINK("http://mcgill.on.worldcat.org/oclc/68772828","Catalog Record")</f>
        <v>Catalog Record</v>
      </c>
      <c r="AW3764" s="6" t="str">
        <f>HYPERLINK("http://www.worldcat.org/oclc/68772828","WorldCat Record")</f>
        <v>WorldCat Record</v>
      </c>
      <c r="AX3764" s="3" t="s">
        <v>37346</v>
      </c>
      <c r="AY3764" s="3" t="s">
        <v>37347</v>
      </c>
      <c r="AZ3764" s="3" t="s">
        <v>37348</v>
      </c>
      <c r="BA3764" s="3" t="s">
        <v>37348</v>
      </c>
      <c r="BB3764" s="3" t="s">
        <v>37349</v>
      </c>
      <c r="BC3764" s="3" t="s">
        <v>77</v>
      </c>
      <c r="BD3764" s="3" t="s">
        <v>78</v>
      </c>
      <c r="BE3764" s="3" t="s">
        <v>37350</v>
      </c>
      <c r="BF3764" s="3" t="s">
        <v>37349</v>
      </c>
      <c r="BG3764" s="3" t="s">
        <v>37351</v>
      </c>
    </row>
    <row r="3765" spans="1:59" ht="72.5" x14ac:dyDescent="0.35">
      <c r="A3765" s="2" t="s">
        <v>59</v>
      </c>
      <c r="B3765" s="2" t="s">
        <v>60</v>
      </c>
      <c r="C3765" s="2" t="s">
        <v>37352</v>
      </c>
      <c r="D3765" s="2" t="s">
        <v>37353</v>
      </c>
      <c r="E3765" s="2" t="s">
        <v>37354</v>
      </c>
      <c r="G3765" s="3" t="s">
        <v>65</v>
      </c>
      <c r="I3765" s="3" t="s">
        <v>65</v>
      </c>
      <c r="J3765" s="3" t="s">
        <v>65</v>
      </c>
      <c r="K3765" s="3" t="s">
        <v>66</v>
      </c>
      <c r="L3765" s="2" t="s">
        <v>28690</v>
      </c>
      <c r="M3765" s="2" t="s">
        <v>37355</v>
      </c>
      <c r="N3765" s="3" t="s">
        <v>221</v>
      </c>
      <c r="P3765" s="3" t="s">
        <v>69</v>
      </c>
      <c r="R3765" s="3" t="s">
        <v>71</v>
      </c>
      <c r="S3765" s="4">
        <v>4</v>
      </c>
      <c r="T3765" s="4">
        <v>4</v>
      </c>
      <c r="U3765" s="5" t="s">
        <v>6158</v>
      </c>
      <c r="V3765" s="5" t="s">
        <v>6158</v>
      </c>
      <c r="W3765" s="5" t="s">
        <v>72</v>
      </c>
      <c r="X3765" s="5" t="s">
        <v>72</v>
      </c>
      <c r="Y3765" s="4">
        <v>283</v>
      </c>
      <c r="Z3765" s="4">
        <v>20</v>
      </c>
      <c r="AA3765" s="4">
        <v>21</v>
      </c>
      <c r="AB3765" s="4">
        <v>4</v>
      </c>
      <c r="AC3765" s="4">
        <v>4</v>
      </c>
      <c r="AD3765" s="4">
        <v>27</v>
      </c>
      <c r="AE3765" s="4">
        <v>27</v>
      </c>
      <c r="AF3765" s="4">
        <v>0</v>
      </c>
      <c r="AG3765" s="4">
        <v>0</v>
      </c>
      <c r="AH3765" s="4">
        <v>23</v>
      </c>
      <c r="AI3765" s="4">
        <v>23</v>
      </c>
      <c r="AJ3765" s="4">
        <v>4</v>
      </c>
      <c r="AK3765" s="4">
        <v>4</v>
      </c>
      <c r="AL3765" s="4">
        <v>20</v>
      </c>
      <c r="AM3765" s="4">
        <v>20</v>
      </c>
      <c r="AN3765" s="4">
        <v>0</v>
      </c>
      <c r="AO3765" s="4">
        <v>0</v>
      </c>
      <c r="AP3765" s="4">
        <v>4</v>
      </c>
      <c r="AQ3765" s="4">
        <v>4</v>
      </c>
      <c r="AR3765" s="3" t="s">
        <v>65</v>
      </c>
      <c r="AS3765" s="3" t="s">
        <v>65</v>
      </c>
      <c r="AT3765" s="3" t="s">
        <v>65</v>
      </c>
      <c r="AV3765" s="6" t="str">
        <f>HYPERLINK("http://mcgill.on.worldcat.org/oclc/84151603","Catalog Record")</f>
        <v>Catalog Record</v>
      </c>
      <c r="AW3765" s="6" t="str">
        <f>HYPERLINK("http://www.worldcat.org/oclc/84151603","WorldCat Record")</f>
        <v>WorldCat Record</v>
      </c>
      <c r="AX3765" s="3" t="s">
        <v>37356</v>
      </c>
      <c r="AY3765" s="3" t="s">
        <v>37357</v>
      </c>
      <c r="AZ3765" s="3" t="s">
        <v>37358</v>
      </c>
      <c r="BA3765" s="3" t="s">
        <v>37358</v>
      </c>
      <c r="BB3765" s="3" t="s">
        <v>37359</v>
      </c>
      <c r="BC3765" s="3" t="s">
        <v>77</v>
      </c>
      <c r="BD3765" s="3" t="s">
        <v>78</v>
      </c>
      <c r="BE3765" s="3" t="s">
        <v>37360</v>
      </c>
      <c r="BF3765" s="3" t="s">
        <v>37359</v>
      </c>
      <c r="BG3765" s="3" t="s">
        <v>37361</v>
      </c>
    </row>
    <row r="3766" spans="1:59" ht="72.5" x14ac:dyDescent="0.35">
      <c r="A3766" s="2" t="s">
        <v>59</v>
      </c>
      <c r="B3766" s="2" t="s">
        <v>60</v>
      </c>
      <c r="C3766" s="2" t="s">
        <v>37362</v>
      </c>
      <c r="D3766" s="2" t="s">
        <v>37363</v>
      </c>
      <c r="E3766" s="2" t="s">
        <v>37364</v>
      </c>
      <c r="G3766" s="3" t="s">
        <v>65</v>
      </c>
      <c r="I3766" s="3" t="s">
        <v>65</v>
      </c>
      <c r="J3766" s="3" t="s">
        <v>65</v>
      </c>
      <c r="K3766" s="3" t="s">
        <v>66</v>
      </c>
      <c r="L3766" s="2" t="s">
        <v>37333</v>
      </c>
      <c r="M3766" s="2" t="s">
        <v>37365</v>
      </c>
      <c r="N3766" s="3" t="s">
        <v>479</v>
      </c>
      <c r="P3766" s="3" t="s">
        <v>69</v>
      </c>
      <c r="Q3766" s="2" t="s">
        <v>37366</v>
      </c>
      <c r="R3766" s="3" t="s">
        <v>71</v>
      </c>
      <c r="S3766" s="4">
        <v>7</v>
      </c>
      <c r="T3766" s="4">
        <v>7</v>
      </c>
      <c r="U3766" s="5" t="s">
        <v>6158</v>
      </c>
      <c r="V3766" s="5" t="s">
        <v>6158</v>
      </c>
      <c r="W3766" s="5" t="s">
        <v>72</v>
      </c>
      <c r="X3766" s="5" t="s">
        <v>72</v>
      </c>
      <c r="Y3766" s="4">
        <v>244</v>
      </c>
      <c r="Z3766" s="4">
        <v>12</v>
      </c>
      <c r="AA3766" s="4">
        <v>12</v>
      </c>
      <c r="AB3766" s="4">
        <v>3</v>
      </c>
      <c r="AC3766" s="4">
        <v>3</v>
      </c>
      <c r="AD3766" s="4">
        <v>26</v>
      </c>
      <c r="AE3766" s="4">
        <v>26</v>
      </c>
      <c r="AF3766" s="4">
        <v>0</v>
      </c>
      <c r="AG3766" s="4">
        <v>0</v>
      </c>
      <c r="AH3766" s="4">
        <v>25</v>
      </c>
      <c r="AI3766" s="4">
        <v>25</v>
      </c>
      <c r="AJ3766" s="4">
        <v>2</v>
      </c>
      <c r="AK3766" s="4">
        <v>2</v>
      </c>
      <c r="AL3766" s="4">
        <v>18</v>
      </c>
      <c r="AM3766" s="4">
        <v>18</v>
      </c>
      <c r="AN3766" s="4">
        <v>0</v>
      </c>
      <c r="AO3766" s="4">
        <v>0</v>
      </c>
      <c r="AP3766" s="4">
        <v>2</v>
      </c>
      <c r="AQ3766" s="4">
        <v>2</v>
      </c>
      <c r="AR3766" s="3" t="s">
        <v>65</v>
      </c>
      <c r="AS3766" s="3" t="s">
        <v>65</v>
      </c>
      <c r="AT3766" s="3" t="s">
        <v>65</v>
      </c>
      <c r="AV3766" s="6" t="str">
        <f>HYPERLINK("http://mcgill.on.worldcat.org/oclc/182529310","Catalog Record")</f>
        <v>Catalog Record</v>
      </c>
      <c r="AW3766" s="6" t="str">
        <f>HYPERLINK("http://www.worldcat.org/oclc/182529310","WorldCat Record")</f>
        <v>WorldCat Record</v>
      </c>
      <c r="AX3766" s="3" t="s">
        <v>37367</v>
      </c>
      <c r="AY3766" s="3" t="s">
        <v>37368</v>
      </c>
      <c r="AZ3766" s="3" t="s">
        <v>37369</v>
      </c>
      <c r="BA3766" s="3" t="s">
        <v>37369</v>
      </c>
      <c r="BB3766" s="3" t="s">
        <v>37370</v>
      </c>
      <c r="BC3766" s="3" t="s">
        <v>77</v>
      </c>
      <c r="BD3766" s="3" t="s">
        <v>78</v>
      </c>
      <c r="BE3766" s="3" t="s">
        <v>37371</v>
      </c>
      <c r="BF3766" s="3" t="s">
        <v>37370</v>
      </c>
      <c r="BG3766" s="3" t="s">
        <v>37372</v>
      </c>
    </row>
    <row r="3767" spans="1:59" ht="58" x14ac:dyDescent="0.35">
      <c r="A3767" s="2" t="s">
        <v>59</v>
      </c>
      <c r="B3767" s="2" t="s">
        <v>60</v>
      </c>
      <c r="C3767" s="2" t="s">
        <v>37373</v>
      </c>
      <c r="D3767" s="2" t="s">
        <v>37374</v>
      </c>
      <c r="E3767" s="2" t="s">
        <v>37375</v>
      </c>
      <c r="G3767" s="3" t="s">
        <v>65</v>
      </c>
      <c r="H3767" s="3" t="s">
        <v>213</v>
      </c>
      <c r="I3767" s="3" t="s">
        <v>65</v>
      </c>
      <c r="J3767" s="3" t="s">
        <v>65</v>
      </c>
      <c r="K3767" s="3" t="s">
        <v>66</v>
      </c>
      <c r="L3767" s="2" t="s">
        <v>37376</v>
      </c>
      <c r="M3767" s="2" t="s">
        <v>37377</v>
      </c>
      <c r="N3767" s="3" t="s">
        <v>265</v>
      </c>
      <c r="P3767" s="3" t="s">
        <v>69</v>
      </c>
      <c r="Q3767" s="2" t="s">
        <v>37378</v>
      </c>
      <c r="R3767" s="3" t="s">
        <v>71</v>
      </c>
      <c r="S3767" s="4">
        <v>0</v>
      </c>
      <c r="T3767" s="4">
        <v>0</v>
      </c>
      <c r="W3767" s="5" t="s">
        <v>3282</v>
      </c>
      <c r="X3767" s="5" t="s">
        <v>3282</v>
      </c>
      <c r="Y3767" s="4">
        <v>89</v>
      </c>
      <c r="Z3767" s="4">
        <v>4</v>
      </c>
      <c r="AA3767" s="4">
        <v>18</v>
      </c>
      <c r="AB3767" s="4">
        <v>1</v>
      </c>
      <c r="AC3767" s="4">
        <v>7</v>
      </c>
      <c r="AD3767" s="4">
        <v>42</v>
      </c>
      <c r="AE3767" s="4">
        <v>58</v>
      </c>
      <c r="AF3767" s="4">
        <v>0</v>
      </c>
      <c r="AG3767" s="4">
        <v>3</v>
      </c>
      <c r="AH3767" s="4">
        <v>40</v>
      </c>
      <c r="AI3767" s="4">
        <v>47</v>
      </c>
      <c r="AJ3767" s="4">
        <v>2</v>
      </c>
      <c r="AK3767" s="4">
        <v>8</v>
      </c>
      <c r="AL3767" s="4">
        <v>28</v>
      </c>
      <c r="AM3767" s="4">
        <v>29</v>
      </c>
      <c r="AN3767" s="4">
        <v>0</v>
      </c>
      <c r="AO3767" s="4">
        <v>0</v>
      </c>
      <c r="AP3767" s="4">
        <v>2</v>
      </c>
      <c r="AQ3767" s="4">
        <v>13</v>
      </c>
      <c r="AR3767" s="3" t="s">
        <v>65</v>
      </c>
      <c r="AS3767" s="3" t="s">
        <v>65</v>
      </c>
      <c r="AT3767" s="3" t="s">
        <v>65</v>
      </c>
      <c r="AV3767" s="6" t="str">
        <f>HYPERLINK("http://mcgill.on.worldcat.org/oclc/1046477726","Catalog Record")</f>
        <v>Catalog Record</v>
      </c>
      <c r="AW3767" s="6" t="str">
        <f>HYPERLINK("http://www.worldcat.org/oclc/1046477726","WorldCat Record")</f>
        <v>WorldCat Record</v>
      </c>
      <c r="AX3767" s="3" t="s">
        <v>37379</v>
      </c>
      <c r="AY3767" s="3" t="s">
        <v>37380</v>
      </c>
      <c r="AZ3767" s="3" t="s">
        <v>37381</v>
      </c>
      <c r="BA3767" s="3" t="s">
        <v>37381</v>
      </c>
      <c r="BB3767" s="3" t="s">
        <v>37382</v>
      </c>
      <c r="BC3767" s="3" t="s">
        <v>77</v>
      </c>
      <c r="BD3767" s="3" t="s">
        <v>78</v>
      </c>
      <c r="BE3767" s="3" t="s">
        <v>37383</v>
      </c>
      <c r="BF3767" s="3" t="s">
        <v>37382</v>
      </c>
      <c r="BG3767" s="3" t="s">
        <v>37384</v>
      </c>
    </row>
    <row r="3768" spans="1:59" ht="72.5" x14ac:dyDescent="0.35">
      <c r="A3768" s="2" t="s">
        <v>59</v>
      </c>
      <c r="B3768" s="2" t="s">
        <v>60</v>
      </c>
      <c r="C3768" s="2" t="s">
        <v>37385</v>
      </c>
      <c r="D3768" s="2" t="s">
        <v>37386</v>
      </c>
      <c r="E3768" s="2" t="s">
        <v>37387</v>
      </c>
      <c r="G3768" s="3" t="s">
        <v>65</v>
      </c>
      <c r="I3768" s="3" t="s">
        <v>65</v>
      </c>
      <c r="J3768" s="3" t="s">
        <v>65</v>
      </c>
      <c r="K3768" s="3" t="s">
        <v>66</v>
      </c>
      <c r="L3768" s="2" t="s">
        <v>37388</v>
      </c>
      <c r="M3768" s="2" t="s">
        <v>33204</v>
      </c>
      <c r="N3768" s="3" t="s">
        <v>113</v>
      </c>
      <c r="P3768" s="3" t="s">
        <v>140</v>
      </c>
      <c r="R3768" s="3" t="s">
        <v>71</v>
      </c>
      <c r="S3768" s="4">
        <v>1</v>
      </c>
      <c r="T3768" s="4">
        <v>1</v>
      </c>
      <c r="U3768" s="5" t="s">
        <v>37389</v>
      </c>
      <c r="V3768" s="5" t="s">
        <v>37389</v>
      </c>
      <c r="W3768" s="5" t="s">
        <v>72</v>
      </c>
      <c r="X3768" s="5" t="s">
        <v>72</v>
      </c>
      <c r="Y3768" s="4">
        <v>49</v>
      </c>
      <c r="Z3768" s="4">
        <v>4</v>
      </c>
      <c r="AA3768" s="4">
        <v>4</v>
      </c>
      <c r="AB3768" s="4">
        <v>1</v>
      </c>
      <c r="AC3768" s="4">
        <v>1</v>
      </c>
      <c r="AD3768" s="4">
        <v>36</v>
      </c>
      <c r="AE3768" s="4">
        <v>36</v>
      </c>
      <c r="AF3768" s="4">
        <v>0</v>
      </c>
      <c r="AG3768" s="4">
        <v>0</v>
      </c>
      <c r="AH3768" s="4">
        <v>35</v>
      </c>
      <c r="AI3768" s="4">
        <v>35</v>
      </c>
      <c r="AJ3768" s="4">
        <v>2</v>
      </c>
      <c r="AK3768" s="4">
        <v>2</v>
      </c>
      <c r="AL3768" s="4">
        <v>27</v>
      </c>
      <c r="AM3768" s="4">
        <v>27</v>
      </c>
      <c r="AN3768" s="4">
        <v>0</v>
      </c>
      <c r="AO3768" s="4">
        <v>0</v>
      </c>
      <c r="AP3768" s="4">
        <v>2</v>
      </c>
      <c r="AQ3768" s="4">
        <v>2</v>
      </c>
      <c r="AR3768" s="3" t="s">
        <v>65</v>
      </c>
      <c r="AS3768" s="3" t="s">
        <v>65</v>
      </c>
      <c r="AT3768" s="3" t="s">
        <v>65</v>
      </c>
      <c r="AV3768" s="6" t="str">
        <f>HYPERLINK("http://mcgill.on.worldcat.org/oclc/677914222","Catalog Record")</f>
        <v>Catalog Record</v>
      </c>
      <c r="AW3768" s="6" t="str">
        <f>HYPERLINK("http://www.worldcat.org/oclc/677914222","WorldCat Record")</f>
        <v>WorldCat Record</v>
      </c>
      <c r="AX3768" s="3" t="s">
        <v>37390</v>
      </c>
      <c r="AY3768" s="3" t="s">
        <v>37391</v>
      </c>
      <c r="AZ3768" s="3" t="s">
        <v>37392</v>
      </c>
      <c r="BA3768" s="3" t="s">
        <v>37392</v>
      </c>
      <c r="BB3768" s="3" t="s">
        <v>37393</v>
      </c>
      <c r="BC3768" s="3" t="s">
        <v>77</v>
      </c>
      <c r="BD3768" s="3" t="s">
        <v>78</v>
      </c>
      <c r="BE3768" s="3" t="s">
        <v>37394</v>
      </c>
      <c r="BF3768" s="3" t="s">
        <v>37393</v>
      </c>
      <c r="BG3768" s="3" t="s">
        <v>37395</v>
      </c>
    </row>
    <row r="3769" spans="1:59" ht="72.5" x14ac:dyDescent="0.35">
      <c r="A3769" s="2" t="s">
        <v>59</v>
      </c>
      <c r="B3769" s="2" t="s">
        <v>60</v>
      </c>
      <c r="C3769" s="2" t="s">
        <v>37396</v>
      </c>
      <c r="D3769" s="2" t="s">
        <v>37397</v>
      </c>
      <c r="E3769" s="2" t="s">
        <v>37398</v>
      </c>
      <c r="G3769" s="3" t="s">
        <v>65</v>
      </c>
      <c r="I3769" s="3" t="s">
        <v>65</v>
      </c>
      <c r="J3769" s="3" t="s">
        <v>65</v>
      </c>
      <c r="K3769" s="3" t="s">
        <v>66</v>
      </c>
      <c r="L3769" s="2" t="s">
        <v>37399</v>
      </c>
      <c r="M3769" s="2" t="s">
        <v>37400</v>
      </c>
      <c r="N3769" s="3" t="s">
        <v>247</v>
      </c>
      <c r="P3769" s="3" t="s">
        <v>69</v>
      </c>
      <c r="R3769" s="3" t="s">
        <v>71</v>
      </c>
      <c r="S3769" s="4">
        <v>7</v>
      </c>
      <c r="T3769" s="4">
        <v>7</v>
      </c>
      <c r="U3769" s="5" t="s">
        <v>31076</v>
      </c>
      <c r="V3769" s="5" t="s">
        <v>31076</v>
      </c>
      <c r="W3769" s="5" t="s">
        <v>72</v>
      </c>
      <c r="X3769" s="5" t="s">
        <v>72</v>
      </c>
      <c r="Y3769" s="4">
        <v>161</v>
      </c>
      <c r="Z3769" s="4">
        <v>8</v>
      </c>
      <c r="AA3769" s="4">
        <v>9</v>
      </c>
      <c r="AB3769" s="4">
        <v>1</v>
      </c>
      <c r="AC3769" s="4">
        <v>1</v>
      </c>
      <c r="AD3769" s="4">
        <v>52</v>
      </c>
      <c r="AE3769" s="4">
        <v>57</v>
      </c>
      <c r="AF3769" s="4">
        <v>0</v>
      </c>
      <c r="AG3769" s="4">
        <v>0</v>
      </c>
      <c r="AH3769" s="4">
        <v>50</v>
      </c>
      <c r="AI3769" s="4">
        <v>54</v>
      </c>
      <c r="AJ3769" s="4">
        <v>4</v>
      </c>
      <c r="AK3769" s="4">
        <v>5</v>
      </c>
      <c r="AL3769" s="4">
        <v>35</v>
      </c>
      <c r="AM3769" s="4">
        <v>36</v>
      </c>
      <c r="AN3769" s="4">
        <v>0</v>
      </c>
      <c r="AO3769" s="4">
        <v>3</v>
      </c>
      <c r="AP3769" s="4">
        <v>4</v>
      </c>
      <c r="AQ3769" s="4">
        <v>5</v>
      </c>
      <c r="AR3769" s="3" t="s">
        <v>65</v>
      </c>
      <c r="AS3769" s="3" t="s">
        <v>65</v>
      </c>
      <c r="AT3769" s="3" t="s">
        <v>209</v>
      </c>
      <c r="AU3769" s="6" t="str">
        <f>HYPERLINK("http://catalog.hathitrust.org/Record/002734743","HathiTrust Record")</f>
        <v>HathiTrust Record</v>
      </c>
      <c r="AV3769" s="6" t="str">
        <f>HYPERLINK("http://mcgill.on.worldcat.org/oclc/28745551","Catalog Record")</f>
        <v>Catalog Record</v>
      </c>
      <c r="AW3769" s="6" t="str">
        <f>HYPERLINK("http://www.worldcat.org/oclc/28745551","WorldCat Record")</f>
        <v>WorldCat Record</v>
      </c>
      <c r="AX3769" s="3" t="s">
        <v>37401</v>
      </c>
      <c r="AY3769" s="3" t="s">
        <v>37402</v>
      </c>
      <c r="AZ3769" s="3" t="s">
        <v>37403</v>
      </c>
      <c r="BA3769" s="3" t="s">
        <v>37403</v>
      </c>
      <c r="BB3769" s="3" t="s">
        <v>37404</v>
      </c>
      <c r="BC3769" s="3" t="s">
        <v>77</v>
      </c>
      <c r="BD3769" s="3" t="s">
        <v>78</v>
      </c>
      <c r="BE3769" s="3" t="s">
        <v>37405</v>
      </c>
      <c r="BF3769" s="3" t="s">
        <v>37404</v>
      </c>
      <c r="BG3769" s="3" t="s">
        <v>37406</v>
      </c>
    </row>
    <row r="3770" spans="1:59" ht="72.5" x14ac:dyDescent="0.35">
      <c r="A3770" s="2" t="s">
        <v>59</v>
      </c>
      <c r="B3770" s="2" t="s">
        <v>60</v>
      </c>
      <c r="C3770" s="2" t="s">
        <v>37407</v>
      </c>
      <c r="D3770" s="2" t="s">
        <v>37408</v>
      </c>
      <c r="E3770" s="2" t="s">
        <v>37409</v>
      </c>
      <c r="G3770" s="3" t="s">
        <v>65</v>
      </c>
      <c r="I3770" s="3" t="s">
        <v>65</v>
      </c>
      <c r="J3770" s="3" t="s">
        <v>65</v>
      </c>
      <c r="K3770" s="3" t="s">
        <v>66</v>
      </c>
      <c r="L3770" s="2" t="s">
        <v>37399</v>
      </c>
      <c r="M3770" s="2" t="s">
        <v>29397</v>
      </c>
      <c r="N3770" s="3" t="s">
        <v>552</v>
      </c>
      <c r="O3770" s="2" t="s">
        <v>365</v>
      </c>
      <c r="P3770" s="3" t="s">
        <v>140</v>
      </c>
      <c r="Q3770" s="2" t="s">
        <v>22053</v>
      </c>
      <c r="R3770" s="3" t="s">
        <v>71</v>
      </c>
      <c r="S3770" s="4">
        <v>3</v>
      </c>
      <c r="T3770" s="4">
        <v>3</v>
      </c>
      <c r="U3770" s="5" t="s">
        <v>25796</v>
      </c>
      <c r="V3770" s="5" t="s">
        <v>25796</v>
      </c>
      <c r="W3770" s="5" t="s">
        <v>72</v>
      </c>
      <c r="X3770" s="5" t="s">
        <v>72</v>
      </c>
      <c r="Y3770" s="4">
        <v>92</v>
      </c>
      <c r="Z3770" s="4">
        <v>8</v>
      </c>
      <c r="AA3770" s="4">
        <v>11</v>
      </c>
      <c r="AB3770" s="4">
        <v>1</v>
      </c>
      <c r="AC3770" s="4">
        <v>2</v>
      </c>
      <c r="AD3770" s="4">
        <v>47</v>
      </c>
      <c r="AE3770" s="4">
        <v>53</v>
      </c>
      <c r="AF3770" s="4">
        <v>0</v>
      </c>
      <c r="AG3770" s="4">
        <v>1</v>
      </c>
      <c r="AH3770" s="4">
        <v>45</v>
      </c>
      <c r="AI3770" s="4">
        <v>50</v>
      </c>
      <c r="AJ3770" s="4">
        <v>4</v>
      </c>
      <c r="AK3770" s="4">
        <v>6</v>
      </c>
      <c r="AL3770" s="4">
        <v>37</v>
      </c>
      <c r="AM3770" s="4">
        <v>37</v>
      </c>
      <c r="AN3770" s="4">
        <v>0</v>
      </c>
      <c r="AO3770" s="4">
        <v>0</v>
      </c>
      <c r="AP3770" s="4">
        <v>4</v>
      </c>
      <c r="AQ3770" s="4">
        <v>5</v>
      </c>
      <c r="AR3770" s="3" t="s">
        <v>65</v>
      </c>
      <c r="AS3770" s="3" t="s">
        <v>65</v>
      </c>
      <c r="AT3770" s="3" t="s">
        <v>209</v>
      </c>
      <c r="AU3770" s="6" t="str">
        <f>HYPERLINK("http://catalog.hathitrust.org/Record/003168760","HathiTrust Record")</f>
        <v>HathiTrust Record</v>
      </c>
      <c r="AV3770" s="6" t="str">
        <f>HYPERLINK("http://mcgill.on.worldcat.org/oclc/36719290","Catalog Record")</f>
        <v>Catalog Record</v>
      </c>
      <c r="AW3770" s="6" t="str">
        <f>HYPERLINK("http://www.worldcat.org/oclc/36719290","WorldCat Record")</f>
        <v>WorldCat Record</v>
      </c>
      <c r="AX3770" s="3" t="s">
        <v>37410</v>
      </c>
      <c r="AY3770" s="3" t="s">
        <v>37411</v>
      </c>
      <c r="AZ3770" s="3" t="s">
        <v>37412</v>
      </c>
      <c r="BA3770" s="3" t="s">
        <v>37412</v>
      </c>
      <c r="BB3770" s="3" t="s">
        <v>37413</v>
      </c>
      <c r="BC3770" s="3" t="s">
        <v>77</v>
      </c>
      <c r="BD3770" s="3" t="s">
        <v>78</v>
      </c>
      <c r="BE3770" s="3" t="s">
        <v>37414</v>
      </c>
      <c r="BF3770" s="3" t="s">
        <v>37413</v>
      </c>
      <c r="BG3770" s="3" t="s">
        <v>37415</v>
      </c>
    </row>
    <row r="3771" spans="1:59" ht="72.5" x14ac:dyDescent="0.35">
      <c r="A3771" s="2" t="s">
        <v>59</v>
      </c>
      <c r="B3771" s="2" t="s">
        <v>60</v>
      </c>
      <c r="C3771" s="2" t="s">
        <v>37416</v>
      </c>
      <c r="D3771" s="2" t="s">
        <v>37417</v>
      </c>
      <c r="E3771" s="2" t="s">
        <v>37418</v>
      </c>
      <c r="G3771" s="3" t="s">
        <v>65</v>
      </c>
      <c r="I3771" s="3" t="s">
        <v>65</v>
      </c>
      <c r="J3771" s="3" t="s">
        <v>65</v>
      </c>
      <c r="K3771" s="3" t="s">
        <v>66</v>
      </c>
      <c r="L3771" s="2" t="s">
        <v>37376</v>
      </c>
      <c r="M3771" s="2" t="s">
        <v>37419</v>
      </c>
      <c r="N3771" s="3" t="s">
        <v>176</v>
      </c>
      <c r="O3771" s="2" t="s">
        <v>235</v>
      </c>
      <c r="P3771" s="3" t="s">
        <v>140</v>
      </c>
      <c r="Q3771" s="2" t="s">
        <v>37420</v>
      </c>
      <c r="R3771" s="3" t="s">
        <v>71</v>
      </c>
      <c r="S3771" s="4">
        <v>0</v>
      </c>
      <c r="T3771" s="4">
        <v>0</v>
      </c>
      <c r="W3771" s="5" t="s">
        <v>72</v>
      </c>
      <c r="X3771" s="5" t="s">
        <v>72</v>
      </c>
      <c r="Y3771" s="4">
        <v>66</v>
      </c>
      <c r="Z3771" s="4">
        <v>5</v>
      </c>
      <c r="AA3771" s="4">
        <v>7</v>
      </c>
      <c r="AB3771" s="4">
        <v>1</v>
      </c>
      <c r="AC3771" s="4">
        <v>2</v>
      </c>
      <c r="AD3771" s="4">
        <v>39</v>
      </c>
      <c r="AE3771" s="4">
        <v>40</v>
      </c>
      <c r="AF3771" s="4">
        <v>0</v>
      </c>
      <c r="AG3771" s="4">
        <v>1</v>
      </c>
      <c r="AH3771" s="4">
        <v>37</v>
      </c>
      <c r="AI3771" s="4">
        <v>37</v>
      </c>
      <c r="AJ3771" s="4">
        <v>3</v>
      </c>
      <c r="AK3771" s="4">
        <v>4</v>
      </c>
      <c r="AL3771" s="4">
        <v>30</v>
      </c>
      <c r="AM3771" s="4">
        <v>30</v>
      </c>
      <c r="AN3771" s="4">
        <v>0</v>
      </c>
      <c r="AO3771" s="4">
        <v>0</v>
      </c>
      <c r="AP3771" s="4">
        <v>3</v>
      </c>
      <c r="AQ3771" s="4">
        <v>3</v>
      </c>
      <c r="AR3771" s="3" t="s">
        <v>65</v>
      </c>
      <c r="AS3771" s="3" t="s">
        <v>65</v>
      </c>
      <c r="AT3771" s="3" t="s">
        <v>65</v>
      </c>
      <c r="AV3771" s="6" t="str">
        <f>HYPERLINK("http://mcgill.on.worldcat.org/oclc/914253224","Catalog Record")</f>
        <v>Catalog Record</v>
      </c>
      <c r="AW3771" s="6" t="str">
        <f>HYPERLINK("http://www.worldcat.org/oclc/914253224","WorldCat Record")</f>
        <v>WorldCat Record</v>
      </c>
      <c r="AX3771" s="3" t="s">
        <v>37421</v>
      </c>
      <c r="AY3771" s="3" t="s">
        <v>37422</v>
      </c>
      <c r="AZ3771" s="3" t="s">
        <v>37423</v>
      </c>
      <c r="BA3771" s="3" t="s">
        <v>37423</v>
      </c>
      <c r="BB3771" s="3" t="s">
        <v>37424</v>
      </c>
      <c r="BC3771" s="3" t="s">
        <v>77</v>
      </c>
      <c r="BD3771" s="3" t="s">
        <v>78</v>
      </c>
      <c r="BE3771" s="3" t="s">
        <v>37425</v>
      </c>
      <c r="BF3771" s="3" t="s">
        <v>37424</v>
      </c>
      <c r="BG3771" s="3" t="s">
        <v>37426</v>
      </c>
    </row>
    <row r="3772" spans="1:59" ht="72.5" x14ac:dyDescent="0.35">
      <c r="A3772" s="2" t="s">
        <v>59</v>
      </c>
      <c r="B3772" s="2" t="s">
        <v>60</v>
      </c>
      <c r="C3772" s="2" t="s">
        <v>37427</v>
      </c>
      <c r="D3772" s="2" t="s">
        <v>37428</v>
      </c>
      <c r="E3772" s="2" t="s">
        <v>37429</v>
      </c>
      <c r="G3772" s="3" t="s">
        <v>65</v>
      </c>
      <c r="I3772" s="3" t="s">
        <v>65</v>
      </c>
      <c r="J3772" s="3" t="s">
        <v>65</v>
      </c>
      <c r="K3772" s="3" t="s">
        <v>66</v>
      </c>
      <c r="L3772" s="2" t="s">
        <v>37376</v>
      </c>
      <c r="M3772" s="2" t="s">
        <v>37430</v>
      </c>
      <c r="N3772" s="3" t="s">
        <v>188</v>
      </c>
      <c r="P3772" s="3" t="s">
        <v>69</v>
      </c>
      <c r="Q3772" s="2" t="s">
        <v>37431</v>
      </c>
      <c r="R3772" s="3" t="s">
        <v>71</v>
      </c>
      <c r="S3772" s="4">
        <v>2</v>
      </c>
      <c r="T3772" s="4">
        <v>2</v>
      </c>
      <c r="U3772" s="5" t="s">
        <v>33515</v>
      </c>
      <c r="V3772" s="5" t="s">
        <v>33515</v>
      </c>
      <c r="W3772" s="5" t="s">
        <v>72</v>
      </c>
      <c r="X3772" s="5" t="s">
        <v>72</v>
      </c>
      <c r="Y3772" s="4">
        <v>141</v>
      </c>
      <c r="Z3772" s="4">
        <v>7</v>
      </c>
      <c r="AA3772" s="4">
        <v>12</v>
      </c>
      <c r="AB3772" s="4">
        <v>1</v>
      </c>
      <c r="AC3772" s="4">
        <v>3</v>
      </c>
      <c r="AD3772" s="4">
        <v>54</v>
      </c>
      <c r="AE3772" s="4">
        <v>61</v>
      </c>
      <c r="AF3772" s="4">
        <v>0</v>
      </c>
      <c r="AG3772" s="4">
        <v>0</v>
      </c>
      <c r="AH3772" s="4">
        <v>50</v>
      </c>
      <c r="AI3772" s="4">
        <v>55</v>
      </c>
      <c r="AJ3772" s="4">
        <v>2</v>
      </c>
      <c r="AK3772" s="4">
        <v>4</v>
      </c>
      <c r="AL3772" s="4">
        <v>37</v>
      </c>
      <c r="AM3772" s="4">
        <v>41</v>
      </c>
      <c r="AN3772" s="4">
        <v>0</v>
      </c>
      <c r="AO3772" s="4">
        <v>0</v>
      </c>
      <c r="AP3772" s="4">
        <v>3</v>
      </c>
      <c r="AQ3772" s="4">
        <v>6</v>
      </c>
      <c r="AR3772" s="3" t="s">
        <v>65</v>
      </c>
      <c r="AS3772" s="3" t="s">
        <v>65</v>
      </c>
      <c r="AT3772" s="3" t="s">
        <v>65</v>
      </c>
      <c r="AV3772" s="6" t="str">
        <f>HYPERLINK("http://mcgill.on.worldcat.org/oclc/959035826","Catalog Record")</f>
        <v>Catalog Record</v>
      </c>
      <c r="AW3772" s="6" t="str">
        <f>HYPERLINK("http://www.worldcat.org/oclc/959035826","WorldCat Record")</f>
        <v>WorldCat Record</v>
      </c>
      <c r="AX3772" s="3" t="s">
        <v>37432</v>
      </c>
      <c r="AY3772" s="3" t="s">
        <v>37433</v>
      </c>
      <c r="AZ3772" s="3" t="s">
        <v>37434</v>
      </c>
      <c r="BA3772" s="3" t="s">
        <v>37434</v>
      </c>
      <c r="BB3772" s="3" t="s">
        <v>37435</v>
      </c>
      <c r="BC3772" s="3" t="s">
        <v>77</v>
      </c>
      <c r="BD3772" s="3" t="s">
        <v>78</v>
      </c>
      <c r="BE3772" s="3" t="s">
        <v>37436</v>
      </c>
      <c r="BF3772" s="3" t="s">
        <v>37435</v>
      </c>
      <c r="BG3772" s="3" t="s">
        <v>37437</v>
      </c>
    </row>
    <row r="3773" spans="1:59" ht="72.5" x14ac:dyDescent="0.35">
      <c r="A3773" s="2" t="s">
        <v>59</v>
      </c>
      <c r="B3773" s="2" t="s">
        <v>60</v>
      </c>
      <c r="C3773" s="2" t="s">
        <v>37438</v>
      </c>
      <c r="D3773" s="2" t="s">
        <v>37439</v>
      </c>
      <c r="E3773" s="2" t="s">
        <v>37440</v>
      </c>
      <c r="G3773" s="3" t="s">
        <v>65</v>
      </c>
      <c r="I3773" s="3" t="s">
        <v>65</v>
      </c>
      <c r="J3773" s="3" t="s">
        <v>65</v>
      </c>
      <c r="K3773" s="3" t="s">
        <v>66</v>
      </c>
      <c r="L3773" s="2" t="s">
        <v>37441</v>
      </c>
      <c r="M3773" s="2" t="s">
        <v>37442</v>
      </c>
      <c r="N3773" s="3" t="s">
        <v>68</v>
      </c>
      <c r="O3773" s="2" t="s">
        <v>37443</v>
      </c>
      <c r="P3773" s="3" t="s">
        <v>140</v>
      </c>
      <c r="R3773" s="3" t="s">
        <v>71</v>
      </c>
      <c r="S3773" s="4">
        <v>0</v>
      </c>
      <c r="T3773" s="4">
        <v>0</v>
      </c>
      <c r="W3773" s="5" t="s">
        <v>72</v>
      </c>
      <c r="X3773" s="5" t="s">
        <v>72</v>
      </c>
      <c r="Y3773" s="4">
        <v>31</v>
      </c>
      <c r="Z3773" s="4">
        <v>4</v>
      </c>
      <c r="AA3773" s="4">
        <v>4</v>
      </c>
      <c r="AB3773" s="4">
        <v>1</v>
      </c>
      <c r="AC3773" s="4">
        <v>1</v>
      </c>
      <c r="AD3773" s="4">
        <v>19</v>
      </c>
      <c r="AE3773" s="4">
        <v>19</v>
      </c>
      <c r="AF3773" s="4">
        <v>0</v>
      </c>
      <c r="AG3773" s="4">
        <v>0</v>
      </c>
      <c r="AH3773" s="4">
        <v>17</v>
      </c>
      <c r="AI3773" s="4">
        <v>17</v>
      </c>
      <c r="AJ3773" s="4">
        <v>2</v>
      </c>
      <c r="AK3773" s="4">
        <v>2</v>
      </c>
      <c r="AL3773" s="4">
        <v>15</v>
      </c>
      <c r="AM3773" s="4">
        <v>15</v>
      </c>
      <c r="AN3773" s="4">
        <v>0</v>
      </c>
      <c r="AO3773" s="4">
        <v>0</v>
      </c>
      <c r="AP3773" s="4">
        <v>2</v>
      </c>
      <c r="AQ3773" s="4">
        <v>2</v>
      </c>
      <c r="AR3773" s="3" t="s">
        <v>65</v>
      </c>
      <c r="AS3773" s="3" t="s">
        <v>65</v>
      </c>
      <c r="AT3773" s="3" t="s">
        <v>65</v>
      </c>
      <c r="AV3773" s="6" t="str">
        <f>HYPERLINK("http://mcgill.on.worldcat.org/oclc/922884674","Catalog Record")</f>
        <v>Catalog Record</v>
      </c>
      <c r="AW3773" s="6" t="str">
        <f>HYPERLINK("http://www.worldcat.org/oclc/922884674","WorldCat Record")</f>
        <v>WorldCat Record</v>
      </c>
      <c r="AX3773" s="3" t="s">
        <v>37444</v>
      </c>
      <c r="AY3773" s="3" t="s">
        <v>37445</v>
      </c>
      <c r="AZ3773" s="3" t="s">
        <v>37446</v>
      </c>
      <c r="BA3773" s="3" t="s">
        <v>37446</v>
      </c>
      <c r="BB3773" s="3" t="s">
        <v>37447</v>
      </c>
      <c r="BC3773" s="3" t="s">
        <v>77</v>
      </c>
      <c r="BD3773" s="3" t="s">
        <v>78</v>
      </c>
      <c r="BE3773" s="3" t="s">
        <v>37448</v>
      </c>
      <c r="BF3773" s="3" t="s">
        <v>37447</v>
      </c>
      <c r="BG3773" s="3" t="s">
        <v>37449</v>
      </c>
    </row>
    <row r="3774" spans="1:59" ht="72.5" x14ac:dyDescent="0.35">
      <c r="A3774" s="2" t="s">
        <v>59</v>
      </c>
      <c r="B3774" s="2" t="s">
        <v>60</v>
      </c>
      <c r="C3774" s="2" t="s">
        <v>37450</v>
      </c>
      <c r="D3774" s="2" t="s">
        <v>37451</v>
      </c>
      <c r="E3774" s="2" t="s">
        <v>37452</v>
      </c>
      <c r="G3774" s="3" t="s">
        <v>65</v>
      </c>
      <c r="I3774" s="3" t="s">
        <v>65</v>
      </c>
      <c r="J3774" s="3" t="s">
        <v>65</v>
      </c>
      <c r="K3774" s="3" t="s">
        <v>66</v>
      </c>
      <c r="L3774" s="2" t="s">
        <v>37376</v>
      </c>
      <c r="M3774" s="2" t="s">
        <v>37453</v>
      </c>
      <c r="N3774" s="3" t="s">
        <v>86</v>
      </c>
      <c r="P3774" s="3" t="s">
        <v>69</v>
      </c>
      <c r="Q3774" s="2" t="s">
        <v>37431</v>
      </c>
      <c r="R3774" s="3" t="s">
        <v>71</v>
      </c>
      <c r="S3774" s="4">
        <v>2</v>
      </c>
      <c r="T3774" s="4">
        <v>2</v>
      </c>
      <c r="U3774" s="5" t="s">
        <v>31076</v>
      </c>
      <c r="V3774" s="5" t="s">
        <v>31076</v>
      </c>
      <c r="W3774" s="5" t="s">
        <v>72</v>
      </c>
      <c r="X3774" s="5" t="s">
        <v>72</v>
      </c>
      <c r="Y3774" s="4">
        <v>127</v>
      </c>
      <c r="Z3774" s="4">
        <v>7</v>
      </c>
      <c r="AA3774" s="4">
        <v>11</v>
      </c>
      <c r="AB3774" s="4">
        <v>1</v>
      </c>
      <c r="AC3774" s="4">
        <v>3</v>
      </c>
      <c r="AD3774" s="4">
        <v>44</v>
      </c>
      <c r="AE3774" s="4">
        <v>51</v>
      </c>
      <c r="AF3774" s="4">
        <v>0</v>
      </c>
      <c r="AG3774" s="4">
        <v>0</v>
      </c>
      <c r="AH3774" s="4">
        <v>41</v>
      </c>
      <c r="AI3774" s="4">
        <v>47</v>
      </c>
      <c r="AJ3774" s="4">
        <v>4</v>
      </c>
      <c r="AK3774" s="4">
        <v>5</v>
      </c>
      <c r="AL3774" s="4">
        <v>28</v>
      </c>
      <c r="AM3774" s="4">
        <v>33</v>
      </c>
      <c r="AN3774" s="4">
        <v>0</v>
      </c>
      <c r="AO3774" s="4">
        <v>0</v>
      </c>
      <c r="AP3774" s="4">
        <v>4</v>
      </c>
      <c r="AQ3774" s="4">
        <v>6</v>
      </c>
      <c r="AR3774" s="3" t="s">
        <v>65</v>
      </c>
      <c r="AS3774" s="3" t="s">
        <v>65</v>
      </c>
      <c r="AT3774" s="3" t="s">
        <v>65</v>
      </c>
      <c r="AV3774" s="6" t="str">
        <f>HYPERLINK("http://mcgill.on.worldcat.org/oclc/1002129848","Catalog Record")</f>
        <v>Catalog Record</v>
      </c>
      <c r="AW3774" s="6" t="str">
        <f>HYPERLINK("http://www.worldcat.org/oclc/1002129848","WorldCat Record")</f>
        <v>WorldCat Record</v>
      </c>
      <c r="AX3774" s="3" t="s">
        <v>37454</v>
      </c>
      <c r="AY3774" s="3" t="s">
        <v>37455</v>
      </c>
      <c r="AZ3774" s="3" t="s">
        <v>37456</v>
      </c>
      <c r="BA3774" s="3" t="s">
        <v>37456</v>
      </c>
      <c r="BB3774" s="3" t="s">
        <v>37457</v>
      </c>
      <c r="BC3774" s="3" t="s">
        <v>77</v>
      </c>
      <c r="BD3774" s="3" t="s">
        <v>78</v>
      </c>
      <c r="BE3774" s="3" t="s">
        <v>37458</v>
      </c>
      <c r="BF3774" s="3" t="s">
        <v>37457</v>
      </c>
      <c r="BG3774" s="3" t="s">
        <v>37459</v>
      </c>
    </row>
    <row r="3775" spans="1:59" ht="72.5" x14ac:dyDescent="0.35">
      <c r="A3775" s="2" t="s">
        <v>59</v>
      </c>
      <c r="B3775" s="2" t="s">
        <v>60</v>
      </c>
      <c r="C3775" s="2" t="s">
        <v>37460</v>
      </c>
      <c r="D3775" s="2" t="s">
        <v>37461</v>
      </c>
      <c r="E3775" s="2" t="s">
        <v>37462</v>
      </c>
      <c r="G3775" s="3" t="s">
        <v>65</v>
      </c>
      <c r="I3775" s="3" t="s">
        <v>65</v>
      </c>
      <c r="J3775" s="3" t="s">
        <v>65</v>
      </c>
      <c r="K3775" s="3" t="s">
        <v>66</v>
      </c>
      <c r="M3775" s="2" t="s">
        <v>37463</v>
      </c>
      <c r="N3775" s="3" t="s">
        <v>164</v>
      </c>
      <c r="O3775" s="2" t="s">
        <v>235</v>
      </c>
      <c r="P3775" s="3" t="s">
        <v>140</v>
      </c>
      <c r="Q3775" s="2" t="s">
        <v>565</v>
      </c>
      <c r="R3775" s="3" t="s">
        <v>71</v>
      </c>
      <c r="S3775" s="4">
        <v>1</v>
      </c>
      <c r="T3775" s="4">
        <v>1</v>
      </c>
      <c r="U3775" s="5" t="s">
        <v>25796</v>
      </c>
      <c r="V3775" s="5" t="s">
        <v>25796</v>
      </c>
      <c r="W3775" s="5" t="s">
        <v>72</v>
      </c>
      <c r="X3775" s="5" t="s">
        <v>72</v>
      </c>
      <c r="Y3775" s="4">
        <v>33</v>
      </c>
      <c r="Z3775" s="4">
        <v>3</v>
      </c>
      <c r="AA3775" s="4">
        <v>5</v>
      </c>
      <c r="AB3775" s="4">
        <v>1</v>
      </c>
      <c r="AC3775" s="4">
        <v>3</v>
      </c>
      <c r="AD3775" s="4">
        <v>24</v>
      </c>
      <c r="AE3775" s="4">
        <v>25</v>
      </c>
      <c r="AF3775" s="4">
        <v>0</v>
      </c>
      <c r="AG3775" s="4">
        <v>1</v>
      </c>
      <c r="AH3775" s="4">
        <v>23</v>
      </c>
      <c r="AI3775" s="4">
        <v>23</v>
      </c>
      <c r="AJ3775" s="4">
        <v>1</v>
      </c>
      <c r="AK3775" s="4">
        <v>2</v>
      </c>
      <c r="AL3775" s="4">
        <v>19</v>
      </c>
      <c r="AM3775" s="4">
        <v>19</v>
      </c>
      <c r="AN3775" s="4">
        <v>0</v>
      </c>
      <c r="AO3775" s="4">
        <v>0</v>
      </c>
      <c r="AP3775" s="4">
        <v>1</v>
      </c>
      <c r="AQ3775" s="4">
        <v>1</v>
      </c>
      <c r="AR3775" s="3" t="s">
        <v>65</v>
      </c>
      <c r="AS3775" s="3" t="s">
        <v>65</v>
      </c>
      <c r="AT3775" s="3" t="s">
        <v>65</v>
      </c>
      <c r="AV3775" s="6" t="str">
        <f>HYPERLINK("http://mcgill.on.worldcat.org/oclc/893038116","Catalog Record")</f>
        <v>Catalog Record</v>
      </c>
      <c r="AW3775" s="6" t="str">
        <f>HYPERLINK("http://www.worldcat.org/oclc/893038116","WorldCat Record")</f>
        <v>WorldCat Record</v>
      </c>
      <c r="AX3775" s="3" t="s">
        <v>37464</v>
      </c>
      <c r="AY3775" s="3" t="s">
        <v>37465</v>
      </c>
      <c r="AZ3775" s="3" t="s">
        <v>37466</v>
      </c>
      <c r="BA3775" s="3" t="s">
        <v>37466</v>
      </c>
      <c r="BB3775" s="3" t="s">
        <v>37467</v>
      </c>
      <c r="BC3775" s="3" t="s">
        <v>77</v>
      </c>
      <c r="BD3775" s="3" t="s">
        <v>78</v>
      </c>
      <c r="BE3775" s="3" t="s">
        <v>37468</v>
      </c>
      <c r="BF3775" s="3" t="s">
        <v>37467</v>
      </c>
      <c r="BG3775" s="3" t="s">
        <v>37469</v>
      </c>
    </row>
    <row r="3776" spans="1:59" ht="72.5" x14ac:dyDescent="0.35">
      <c r="A3776" s="2" t="s">
        <v>59</v>
      </c>
      <c r="B3776" s="2" t="s">
        <v>60</v>
      </c>
      <c r="C3776" s="2" t="s">
        <v>37470</v>
      </c>
      <c r="D3776" s="2" t="s">
        <v>37471</v>
      </c>
      <c r="E3776" s="2" t="s">
        <v>37472</v>
      </c>
      <c r="G3776" s="3" t="s">
        <v>65</v>
      </c>
      <c r="I3776" s="3" t="s">
        <v>65</v>
      </c>
      <c r="J3776" s="3" t="s">
        <v>65</v>
      </c>
      <c r="K3776" s="3" t="s">
        <v>66</v>
      </c>
      <c r="L3776" s="2" t="s">
        <v>37473</v>
      </c>
      <c r="M3776" s="2" t="s">
        <v>37474</v>
      </c>
      <c r="N3776" s="3" t="s">
        <v>176</v>
      </c>
      <c r="P3776" s="3" t="s">
        <v>140</v>
      </c>
      <c r="Q3776" s="2" t="s">
        <v>37475</v>
      </c>
      <c r="R3776" s="3" t="s">
        <v>71</v>
      </c>
      <c r="S3776" s="4">
        <v>0</v>
      </c>
      <c r="T3776" s="4">
        <v>0</v>
      </c>
      <c r="W3776" s="5" t="s">
        <v>72</v>
      </c>
      <c r="X3776" s="5" t="s">
        <v>72</v>
      </c>
      <c r="Y3776" s="4">
        <v>37</v>
      </c>
      <c r="Z3776" s="4">
        <v>3</v>
      </c>
      <c r="AA3776" s="4">
        <v>3</v>
      </c>
      <c r="AB3776" s="4">
        <v>1</v>
      </c>
      <c r="AC3776" s="4">
        <v>1</v>
      </c>
      <c r="AD3776" s="4">
        <v>22</v>
      </c>
      <c r="AE3776" s="4">
        <v>22</v>
      </c>
      <c r="AF3776" s="4">
        <v>0</v>
      </c>
      <c r="AG3776" s="4">
        <v>0</v>
      </c>
      <c r="AH3776" s="4">
        <v>21</v>
      </c>
      <c r="AI3776" s="4">
        <v>21</v>
      </c>
      <c r="AJ3776" s="4">
        <v>1</v>
      </c>
      <c r="AK3776" s="4">
        <v>1</v>
      </c>
      <c r="AL3776" s="4">
        <v>17</v>
      </c>
      <c r="AM3776" s="4">
        <v>17</v>
      </c>
      <c r="AN3776" s="4">
        <v>0</v>
      </c>
      <c r="AO3776" s="4">
        <v>0</v>
      </c>
      <c r="AP3776" s="4">
        <v>1</v>
      </c>
      <c r="AQ3776" s="4">
        <v>1</v>
      </c>
      <c r="AR3776" s="3" t="s">
        <v>65</v>
      </c>
      <c r="AS3776" s="3" t="s">
        <v>65</v>
      </c>
      <c r="AT3776" s="3" t="s">
        <v>65</v>
      </c>
      <c r="AV3776" s="6" t="str">
        <f>HYPERLINK("http://mcgill.on.worldcat.org/oclc/903207888","Catalog Record")</f>
        <v>Catalog Record</v>
      </c>
      <c r="AW3776" s="6" t="str">
        <f>HYPERLINK("http://www.worldcat.org/oclc/903207888","WorldCat Record")</f>
        <v>WorldCat Record</v>
      </c>
      <c r="AX3776" s="3" t="s">
        <v>37476</v>
      </c>
      <c r="AY3776" s="3" t="s">
        <v>37477</v>
      </c>
      <c r="AZ3776" s="3" t="s">
        <v>37478</v>
      </c>
      <c r="BA3776" s="3" t="s">
        <v>37478</v>
      </c>
      <c r="BB3776" s="3" t="s">
        <v>37479</v>
      </c>
      <c r="BC3776" s="3" t="s">
        <v>77</v>
      </c>
      <c r="BD3776" s="3" t="s">
        <v>78</v>
      </c>
      <c r="BE3776" s="3" t="s">
        <v>37480</v>
      </c>
      <c r="BF3776" s="3" t="s">
        <v>37479</v>
      </c>
      <c r="BG3776" s="3" t="s">
        <v>37481</v>
      </c>
    </row>
    <row r="3777" spans="1:59" ht="58" x14ac:dyDescent="0.35">
      <c r="A3777" s="2" t="s">
        <v>59</v>
      </c>
      <c r="B3777" s="2" t="s">
        <v>60</v>
      </c>
      <c r="C3777" s="2" t="s">
        <v>37482</v>
      </c>
      <c r="D3777" s="2" t="s">
        <v>37483</v>
      </c>
      <c r="E3777" s="2" t="s">
        <v>37484</v>
      </c>
      <c r="F3777" s="3" t="s">
        <v>258</v>
      </c>
      <c r="G3777" s="3" t="s">
        <v>209</v>
      </c>
      <c r="I3777" s="3" t="s">
        <v>65</v>
      </c>
      <c r="J3777" s="3" t="s">
        <v>65</v>
      </c>
      <c r="K3777" s="3" t="s">
        <v>66</v>
      </c>
      <c r="L3777" s="2" t="s">
        <v>37399</v>
      </c>
      <c r="M3777" s="2" t="s">
        <v>37485</v>
      </c>
      <c r="N3777" s="3" t="s">
        <v>139</v>
      </c>
      <c r="O3777" s="2" t="s">
        <v>8201</v>
      </c>
      <c r="P3777" s="3" t="s">
        <v>140</v>
      </c>
      <c r="Q3777" s="2" t="s">
        <v>7116</v>
      </c>
      <c r="R3777" s="3" t="s">
        <v>71</v>
      </c>
      <c r="S3777" s="4">
        <v>0</v>
      </c>
      <c r="T3777" s="4">
        <v>2</v>
      </c>
      <c r="V3777" s="5" t="s">
        <v>25796</v>
      </c>
      <c r="W3777" s="5" t="s">
        <v>72</v>
      </c>
      <c r="X3777" s="5" t="s">
        <v>72</v>
      </c>
      <c r="Y3777" s="4">
        <v>35</v>
      </c>
      <c r="Z3777" s="4">
        <v>1</v>
      </c>
      <c r="AA3777" s="4">
        <v>1</v>
      </c>
      <c r="AB3777" s="4">
        <v>1</v>
      </c>
      <c r="AC3777" s="4">
        <v>1</v>
      </c>
      <c r="AD3777" s="4">
        <v>25</v>
      </c>
      <c r="AE3777" s="4">
        <v>25</v>
      </c>
      <c r="AF3777" s="4">
        <v>0</v>
      </c>
      <c r="AG3777" s="4">
        <v>0</v>
      </c>
      <c r="AH3777" s="4">
        <v>25</v>
      </c>
      <c r="AI3777" s="4">
        <v>25</v>
      </c>
      <c r="AJ3777" s="4">
        <v>0</v>
      </c>
      <c r="AK3777" s="4">
        <v>0</v>
      </c>
      <c r="AL3777" s="4">
        <v>19</v>
      </c>
      <c r="AM3777" s="4">
        <v>19</v>
      </c>
      <c r="AN3777" s="4">
        <v>0</v>
      </c>
      <c r="AO3777" s="4">
        <v>0</v>
      </c>
      <c r="AP3777" s="4">
        <v>0</v>
      </c>
      <c r="AQ3777" s="4">
        <v>0</v>
      </c>
      <c r="AR3777" s="3" t="s">
        <v>65</v>
      </c>
      <c r="AS3777" s="3" t="s">
        <v>65</v>
      </c>
      <c r="AT3777" s="3" t="s">
        <v>65</v>
      </c>
      <c r="AV3777" s="6" t="str">
        <f>HYPERLINK("http://mcgill.on.worldcat.org/oclc/783120305","Catalog Record")</f>
        <v>Catalog Record</v>
      </c>
      <c r="AW3777" s="6" t="str">
        <f>HYPERLINK("http://www.worldcat.org/oclc/783120305","WorldCat Record")</f>
        <v>WorldCat Record</v>
      </c>
      <c r="AX3777" s="3" t="s">
        <v>37486</v>
      </c>
      <c r="AY3777" s="3" t="s">
        <v>37487</v>
      </c>
      <c r="AZ3777" s="3" t="s">
        <v>37488</v>
      </c>
      <c r="BA3777" s="3" t="s">
        <v>37488</v>
      </c>
      <c r="BB3777" s="3" t="s">
        <v>37489</v>
      </c>
      <c r="BC3777" s="3" t="s">
        <v>77</v>
      </c>
      <c r="BD3777" s="3" t="s">
        <v>78</v>
      </c>
      <c r="BE3777" s="3" t="s">
        <v>37490</v>
      </c>
      <c r="BF3777" s="3" t="s">
        <v>37489</v>
      </c>
      <c r="BG3777" s="3" t="s">
        <v>37491</v>
      </c>
    </row>
    <row r="3778" spans="1:59" ht="58" x14ac:dyDescent="0.35">
      <c r="A3778" s="2" t="s">
        <v>59</v>
      </c>
      <c r="B3778" s="2" t="s">
        <v>60</v>
      </c>
      <c r="C3778" s="2" t="s">
        <v>37492</v>
      </c>
      <c r="D3778" s="2" t="s">
        <v>37483</v>
      </c>
      <c r="E3778" s="2" t="s">
        <v>37484</v>
      </c>
      <c r="F3778" s="3" t="s">
        <v>245</v>
      </c>
      <c r="G3778" s="3" t="s">
        <v>209</v>
      </c>
      <c r="I3778" s="3" t="s">
        <v>65</v>
      </c>
      <c r="J3778" s="3" t="s">
        <v>65</v>
      </c>
      <c r="K3778" s="3" t="s">
        <v>66</v>
      </c>
      <c r="L3778" s="2" t="s">
        <v>37399</v>
      </c>
      <c r="M3778" s="2" t="s">
        <v>37485</v>
      </c>
      <c r="N3778" s="3" t="s">
        <v>139</v>
      </c>
      <c r="O3778" s="2" t="s">
        <v>8201</v>
      </c>
      <c r="P3778" s="3" t="s">
        <v>140</v>
      </c>
      <c r="Q3778" s="2" t="s">
        <v>7116</v>
      </c>
      <c r="R3778" s="3" t="s">
        <v>71</v>
      </c>
      <c r="S3778" s="4">
        <v>2</v>
      </c>
      <c r="T3778" s="4">
        <v>2</v>
      </c>
      <c r="U3778" s="5" t="s">
        <v>25796</v>
      </c>
      <c r="V3778" s="5" t="s">
        <v>25796</v>
      </c>
      <c r="W3778" s="5" t="s">
        <v>72</v>
      </c>
      <c r="X3778" s="5" t="s">
        <v>72</v>
      </c>
      <c r="Y3778" s="4">
        <v>35</v>
      </c>
      <c r="Z3778" s="4">
        <v>1</v>
      </c>
      <c r="AA3778" s="4">
        <v>1</v>
      </c>
      <c r="AB3778" s="4">
        <v>1</v>
      </c>
      <c r="AC3778" s="4">
        <v>1</v>
      </c>
      <c r="AD3778" s="4">
        <v>25</v>
      </c>
      <c r="AE3778" s="4">
        <v>25</v>
      </c>
      <c r="AF3778" s="4">
        <v>0</v>
      </c>
      <c r="AG3778" s="4">
        <v>0</v>
      </c>
      <c r="AH3778" s="4">
        <v>25</v>
      </c>
      <c r="AI3778" s="4">
        <v>25</v>
      </c>
      <c r="AJ3778" s="4">
        <v>0</v>
      </c>
      <c r="AK3778" s="4">
        <v>0</v>
      </c>
      <c r="AL3778" s="4">
        <v>19</v>
      </c>
      <c r="AM3778" s="4">
        <v>19</v>
      </c>
      <c r="AN3778" s="4">
        <v>0</v>
      </c>
      <c r="AO3778" s="4">
        <v>0</v>
      </c>
      <c r="AP3778" s="4">
        <v>0</v>
      </c>
      <c r="AQ3778" s="4">
        <v>0</v>
      </c>
      <c r="AR3778" s="3" t="s">
        <v>65</v>
      </c>
      <c r="AS3778" s="3" t="s">
        <v>65</v>
      </c>
      <c r="AT3778" s="3" t="s">
        <v>65</v>
      </c>
      <c r="AV3778" s="6" t="str">
        <f>HYPERLINK("http://mcgill.on.worldcat.org/oclc/783120305","Catalog Record")</f>
        <v>Catalog Record</v>
      </c>
      <c r="AW3778" s="6" t="str">
        <f>HYPERLINK("http://www.worldcat.org/oclc/783120305","WorldCat Record")</f>
        <v>WorldCat Record</v>
      </c>
      <c r="AX3778" s="3" t="s">
        <v>37486</v>
      </c>
      <c r="AY3778" s="3" t="s">
        <v>37487</v>
      </c>
      <c r="AZ3778" s="3" t="s">
        <v>37488</v>
      </c>
      <c r="BA3778" s="3" t="s">
        <v>37488</v>
      </c>
      <c r="BB3778" s="3" t="s">
        <v>37493</v>
      </c>
      <c r="BC3778" s="3" t="s">
        <v>77</v>
      </c>
      <c r="BD3778" s="3" t="s">
        <v>78</v>
      </c>
      <c r="BE3778" s="3" t="s">
        <v>37490</v>
      </c>
      <c r="BF3778" s="3" t="s">
        <v>37493</v>
      </c>
      <c r="BG3778" s="3" t="s">
        <v>37494</v>
      </c>
    </row>
    <row r="3779" spans="1:59" ht="58" x14ac:dyDescent="0.35">
      <c r="A3779" s="2" t="s">
        <v>59</v>
      </c>
      <c r="B3779" s="2" t="s">
        <v>60</v>
      </c>
      <c r="C3779" s="2" t="s">
        <v>37495</v>
      </c>
      <c r="D3779" s="2" t="s">
        <v>37496</v>
      </c>
      <c r="E3779" s="2" t="s">
        <v>37497</v>
      </c>
      <c r="G3779" s="3" t="s">
        <v>65</v>
      </c>
      <c r="I3779" s="3" t="s">
        <v>65</v>
      </c>
      <c r="J3779" s="3" t="s">
        <v>65</v>
      </c>
      <c r="K3779" s="3" t="s">
        <v>66</v>
      </c>
      <c r="L3779" s="2" t="s">
        <v>37498</v>
      </c>
      <c r="M3779" s="2" t="s">
        <v>37499</v>
      </c>
      <c r="N3779" s="3" t="s">
        <v>139</v>
      </c>
      <c r="P3779" s="3" t="s">
        <v>140</v>
      </c>
      <c r="Q3779" s="2" t="s">
        <v>37500</v>
      </c>
      <c r="R3779" s="3" t="s">
        <v>71</v>
      </c>
      <c r="S3779" s="4">
        <v>0</v>
      </c>
      <c r="T3779" s="4">
        <v>0</v>
      </c>
      <c r="W3779" s="5" t="s">
        <v>72</v>
      </c>
      <c r="X3779" s="5" t="s">
        <v>72</v>
      </c>
      <c r="Y3779" s="4">
        <v>3</v>
      </c>
      <c r="Z3779" s="4">
        <v>1</v>
      </c>
      <c r="AA3779" s="4">
        <v>1</v>
      </c>
      <c r="AB3779" s="4">
        <v>1</v>
      </c>
      <c r="AC3779" s="4">
        <v>1</v>
      </c>
      <c r="AD3779" s="4">
        <v>0</v>
      </c>
      <c r="AE3779" s="4">
        <v>0</v>
      </c>
      <c r="AF3779" s="4">
        <v>0</v>
      </c>
      <c r="AG3779" s="4">
        <v>0</v>
      </c>
      <c r="AH3779" s="4">
        <v>0</v>
      </c>
      <c r="AI3779" s="4">
        <v>0</v>
      </c>
      <c r="AJ3779" s="4">
        <v>0</v>
      </c>
      <c r="AK3779" s="4">
        <v>0</v>
      </c>
      <c r="AL3779" s="4">
        <v>0</v>
      </c>
      <c r="AM3779" s="4">
        <v>0</v>
      </c>
      <c r="AN3779" s="4">
        <v>0</v>
      </c>
      <c r="AO3779" s="4">
        <v>0</v>
      </c>
      <c r="AP3779" s="4">
        <v>0</v>
      </c>
      <c r="AQ3779" s="4">
        <v>0</v>
      </c>
      <c r="AR3779" s="3" t="s">
        <v>65</v>
      </c>
      <c r="AS3779" s="3" t="s">
        <v>65</v>
      </c>
      <c r="AT3779" s="3" t="s">
        <v>65</v>
      </c>
      <c r="AV3779" s="6" t="str">
        <f>HYPERLINK("http://mcgill.on.worldcat.org/oclc/798053830","Catalog Record")</f>
        <v>Catalog Record</v>
      </c>
      <c r="AW3779" s="6" t="str">
        <f>HYPERLINK("http://www.worldcat.org/oclc/798053830","WorldCat Record")</f>
        <v>WorldCat Record</v>
      </c>
      <c r="AX3779" s="3" t="s">
        <v>37501</v>
      </c>
      <c r="AY3779" s="3" t="s">
        <v>37502</v>
      </c>
      <c r="AZ3779" s="3" t="s">
        <v>37503</v>
      </c>
      <c r="BA3779" s="3" t="s">
        <v>37503</v>
      </c>
      <c r="BB3779" s="3" t="s">
        <v>37504</v>
      </c>
      <c r="BC3779" s="3" t="s">
        <v>77</v>
      </c>
      <c r="BD3779" s="3" t="s">
        <v>78</v>
      </c>
      <c r="BE3779" s="3" t="s">
        <v>37505</v>
      </c>
      <c r="BF3779" s="3" t="s">
        <v>37504</v>
      </c>
      <c r="BG3779" s="3" t="s">
        <v>37506</v>
      </c>
    </row>
    <row r="3780" spans="1:59" ht="58" x14ac:dyDescent="0.35">
      <c r="A3780" s="2" t="s">
        <v>59</v>
      </c>
      <c r="B3780" s="2" t="s">
        <v>60</v>
      </c>
      <c r="C3780" s="2" t="s">
        <v>37507</v>
      </c>
      <c r="D3780" s="2" t="s">
        <v>37508</v>
      </c>
      <c r="E3780" s="2" t="s">
        <v>37509</v>
      </c>
      <c r="G3780" s="3" t="s">
        <v>65</v>
      </c>
      <c r="I3780" s="3" t="s">
        <v>65</v>
      </c>
      <c r="J3780" s="3" t="s">
        <v>65</v>
      </c>
      <c r="K3780" s="3" t="s">
        <v>66</v>
      </c>
      <c r="L3780" s="2" t="s">
        <v>37510</v>
      </c>
      <c r="M3780" s="2" t="s">
        <v>37511</v>
      </c>
      <c r="N3780" s="3" t="s">
        <v>1122</v>
      </c>
      <c r="O3780" s="2" t="s">
        <v>365</v>
      </c>
      <c r="P3780" s="3" t="s">
        <v>140</v>
      </c>
      <c r="Q3780" s="2" t="s">
        <v>32206</v>
      </c>
      <c r="R3780" s="3" t="s">
        <v>71</v>
      </c>
      <c r="S3780" s="4">
        <v>2</v>
      </c>
      <c r="T3780" s="4">
        <v>2</v>
      </c>
      <c r="U3780" s="5" t="s">
        <v>805</v>
      </c>
      <c r="V3780" s="5" t="s">
        <v>805</v>
      </c>
      <c r="W3780" s="5" t="s">
        <v>72</v>
      </c>
      <c r="X3780" s="5" t="s">
        <v>72</v>
      </c>
      <c r="Y3780" s="4">
        <v>37</v>
      </c>
      <c r="Z3780" s="4">
        <v>5</v>
      </c>
      <c r="AA3780" s="4">
        <v>5</v>
      </c>
      <c r="AB3780" s="4">
        <v>1</v>
      </c>
      <c r="AC3780" s="4">
        <v>1</v>
      </c>
      <c r="AD3780" s="4">
        <v>25</v>
      </c>
      <c r="AE3780" s="4">
        <v>25</v>
      </c>
      <c r="AF3780" s="4">
        <v>0</v>
      </c>
      <c r="AG3780" s="4">
        <v>0</v>
      </c>
      <c r="AH3780" s="4">
        <v>24</v>
      </c>
      <c r="AI3780" s="4">
        <v>24</v>
      </c>
      <c r="AJ3780" s="4">
        <v>2</v>
      </c>
      <c r="AK3780" s="4">
        <v>2</v>
      </c>
      <c r="AL3780" s="4">
        <v>19</v>
      </c>
      <c r="AM3780" s="4">
        <v>19</v>
      </c>
      <c r="AN3780" s="4">
        <v>0</v>
      </c>
      <c r="AO3780" s="4">
        <v>0</v>
      </c>
      <c r="AP3780" s="4">
        <v>2</v>
      </c>
      <c r="AQ3780" s="4">
        <v>2</v>
      </c>
      <c r="AR3780" s="3" t="s">
        <v>65</v>
      </c>
      <c r="AS3780" s="3" t="s">
        <v>65</v>
      </c>
      <c r="AT3780" s="3" t="s">
        <v>65</v>
      </c>
      <c r="AV3780" s="6" t="str">
        <f>HYPERLINK("http://mcgill.on.worldcat.org/oclc/465086697","Catalog Record")</f>
        <v>Catalog Record</v>
      </c>
      <c r="AW3780" s="6" t="str">
        <f>HYPERLINK("http://www.worldcat.org/oclc/465086697","WorldCat Record")</f>
        <v>WorldCat Record</v>
      </c>
      <c r="AX3780" s="3" t="s">
        <v>37512</v>
      </c>
      <c r="AY3780" s="3" t="s">
        <v>37513</v>
      </c>
      <c r="AZ3780" s="3" t="s">
        <v>37514</v>
      </c>
      <c r="BA3780" s="3" t="s">
        <v>37514</v>
      </c>
      <c r="BB3780" s="3" t="s">
        <v>37515</v>
      </c>
      <c r="BC3780" s="3" t="s">
        <v>77</v>
      </c>
      <c r="BD3780" s="3" t="s">
        <v>78</v>
      </c>
      <c r="BE3780" s="3" t="s">
        <v>37516</v>
      </c>
      <c r="BF3780" s="3" t="s">
        <v>37515</v>
      </c>
      <c r="BG3780" s="3" t="s">
        <v>37517</v>
      </c>
    </row>
    <row r="3781" spans="1:59" ht="58" x14ac:dyDescent="0.35">
      <c r="A3781" s="2" t="s">
        <v>59</v>
      </c>
      <c r="B3781" s="2" t="s">
        <v>60</v>
      </c>
      <c r="C3781" s="2" t="s">
        <v>37518</v>
      </c>
      <c r="D3781" s="2" t="s">
        <v>37519</v>
      </c>
      <c r="E3781" s="2" t="s">
        <v>37520</v>
      </c>
      <c r="G3781" s="3" t="s">
        <v>65</v>
      </c>
      <c r="I3781" s="3" t="s">
        <v>65</v>
      </c>
      <c r="J3781" s="3" t="s">
        <v>65</v>
      </c>
      <c r="K3781" s="3" t="s">
        <v>66</v>
      </c>
      <c r="L3781" s="2" t="s">
        <v>37521</v>
      </c>
      <c r="M3781" s="2" t="s">
        <v>37522</v>
      </c>
      <c r="N3781" s="3" t="s">
        <v>139</v>
      </c>
      <c r="P3781" s="3" t="s">
        <v>140</v>
      </c>
      <c r="Q3781" s="2" t="s">
        <v>37523</v>
      </c>
      <c r="R3781" s="3" t="s">
        <v>71</v>
      </c>
      <c r="S3781" s="4">
        <v>1</v>
      </c>
      <c r="T3781" s="4">
        <v>1</v>
      </c>
      <c r="U3781" s="5" t="s">
        <v>37524</v>
      </c>
      <c r="V3781" s="5" t="s">
        <v>37524</v>
      </c>
      <c r="W3781" s="5" t="s">
        <v>72</v>
      </c>
      <c r="X3781" s="5" t="s">
        <v>72</v>
      </c>
      <c r="Y3781" s="4">
        <v>27</v>
      </c>
      <c r="Z3781" s="4">
        <v>1</v>
      </c>
      <c r="AA3781" s="4">
        <v>1</v>
      </c>
      <c r="AB3781" s="4">
        <v>1</v>
      </c>
      <c r="AC3781" s="4">
        <v>1</v>
      </c>
      <c r="AD3781" s="4">
        <v>18</v>
      </c>
      <c r="AE3781" s="4">
        <v>18</v>
      </c>
      <c r="AF3781" s="4">
        <v>0</v>
      </c>
      <c r="AG3781" s="4">
        <v>0</v>
      </c>
      <c r="AH3781" s="4">
        <v>17</v>
      </c>
      <c r="AI3781" s="4">
        <v>17</v>
      </c>
      <c r="AJ3781" s="4">
        <v>0</v>
      </c>
      <c r="AK3781" s="4">
        <v>0</v>
      </c>
      <c r="AL3781" s="4">
        <v>15</v>
      </c>
      <c r="AM3781" s="4">
        <v>15</v>
      </c>
      <c r="AN3781" s="4">
        <v>0</v>
      </c>
      <c r="AO3781" s="4">
        <v>0</v>
      </c>
      <c r="AP3781" s="4">
        <v>0</v>
      </c>
      <c r="AQ3781" s="4">
        <v>0</v>
      </c>
      <c r="AR3781" s="3" t="s">
        <v>65</v>
      </c>
      <c r="AS3781" s="3" t="s">
        <v>65</v>
      </c>
      <c r="AT3781" s="3" t="s">
        <v>65</v>
      </c>
      <c r="AV3781" s="6" t="str">
        <f>HYPERLINK("http://mcgill.on.worldcat.org/oclc/798609657","Catalog Record")</f>
        <v>Catalog Record</v>
      </c>
      <c r="AW3781" s="6" t="str">
        <f>HYPERLINK("http://www.worldcat.org/oclc/798609657","WorldCat Record")</f>
        <v>WorldCat Record</v>
      </c>
      <c r="AX3781" s="3" t="s">
        <v>37525</v>
      </c>
      <c r="AY3781" s="3" t="s">
        <v>37526</v>
      </c>
      <c r="AZ3781" s="3" t="s">
        <v>37527</v>
      </c>
      <c r="BA3781" s="3" t="s">
        <v>37527</v>
      </c>
      <c r="BB3781" s="3" t="s">
        <v>37528</v>
      </c>
      <c r="BC3781" s="3" t="s">
        <v>77</v>
      </c>
      <c r="BD3781" s="3" t="s">
        <v>78</v>
      </c>
      <c r="BE3781" s="3" t="s">
        <v>37529</v>
      </c>
      <c r="BF3781" s="3" t="s">
        <v>37528</v>
      </c>
      <c r="BG3781" s="3" t="s">
        <v>37530</v>
      </c>
    </row>
    <row r="3782" spans="1:59" ht="58" x14ac:dyDescent="0.35">
      <c r="A3782" s="2" t="s">
        <v>59</v>
      </c>
      <c r="B3782" s="2" t="s">
        <v>60</v>
      </c>
      <c r="C3782" s="2" t="s">
        <v>37531</v>
      </c>
      <c r="D3782" s="2" t="s">
        <v>37532</v>
      </c>
      <c r="E3782" s="2" t="s">
        <v>37533</v>
      </c>
      <c r="G3782" s="3" t="s">
        <v>65</v>
      </c>
      <c r="I3782" s="3" t="s">
        <v>65</v>
      </c>
      <c r="J3782" s="3" t="s">
        <v>65</v>
      </c>
      <c r="K3782" s="3" t="s">
        <v>66</v>
      </c>
      <c r="L3782" s="2" t="s">
        <v>37534</v>
      </c>
      <c r="M3782" s="2" t="s">
        <v>17723</v>
      </c>
      <c r="N3782" s="3" t="s">
        <v>139</v>
      </c>
      <c r="P3782" s="3" t="s">
        <v>140</v>
      </c>
      <c r="Q3782" s="2" t="s">
        <v>37535</v>
      </c>
      <c r="R3782" s="3" t="s">
        <v>71</v>
      </c>
      <c r="S3782" s="4">
        <v>0</v>
      </c>
      <c r="T3782" s="4">
        <v>0</v>
      </c>
      <c r="W3782" s="5" t="s">
        <v>72</v>
      </c>
      <c r="X3782" s="5" t="s">
        <v>72</v>
      </c>
      <c r="Y3782" s="4">
        <v>10</v>
      </c>
      <c r="Z3782" s="4">
        <v>1</v>
      </c>
      <c r="AA3782" s="4">
        <v>1</v>
      </c>
      <c r="AB3782" s="4">
        <v>1</v>
      </c>
      <c r="AC3782" s="4">
        <v>1</v>
      </c>
      <c r="AD3782" s="4">
        <v>3</v>
      </c>
      <c r="AE3782" s="4">
        <v>3</v>
      </c>
      <c r="AF3782" s="4">
        <v>0</v>
      </c>
      <c r="AG3782" s="4">
        <v>0</v>
      </c>
      <c r="AH3782" s="4">
        <v>3</v>
      </c>
      <c r="AI3782" s="4">
        <v>3</v>
      </c>
      <c r="AJ3782" s="4">
        <v>0</v>
      </c>
      <c r="AK3782" s="4">
        <v>0</v>
      </c>
      <c r="AL3782" s="4">
        <v>3</v>
      </c>
      <c r="AM3782" s="4">
        <v>3</v>
      </c>
      <c r="AN3782" s="4">
        <v>0</v>
      </c>
      <c r="AO3782" s="4">
        <v>0</v>
      </c>
      <c r="AP3782" s="4">
        <v>0</v>
      </c>
      <c r="AQ3782" s="4">
        <v>0</v>
      </c>
      <c r="AR3782" s="3" t="s">
        <v>65</v>
      </c>
      <c r="AS3782" s="3" t="s">
        <v>65</v>
      </c>
      <c r="AT3782" s="3" t="s">
        <v>65</v>
      </c>
      <c r="AV3782" s="6" t="str">
        <f>HYPERLINK("http://mcgill.on.worldcat.org/oclc/782443057","Catalog Record")</f>
        <v>Catalog Record</v>
      </c>
      <c r="AW3782" s="6" t="str">
        <f>HYPERLINK("http://www.worldcat.org/oclc/782443057","WorldCat Record")</f>
        <v>WorldCat Record</v>
      </c>
      <c r="AX3782" s="3" t="s">
        <v>37536</v>
      </c>
      <c r="AY3782" s="3" t="s">
        <v>37537</v>
      </c>
      <c r="AZ3782" s="3" t="s">
        <v>37538</v>
      </c>
      <c r="BA3782" s="3" t="s">
        <v>37538</v>
      </c>
      <c r="BB3782" s="3" t="s">
        <v>37539</v>
      </c>
      <c r="BC3782" s="3" t="s">
        <v>77</v>
      </c>
      <c r="BD3782" s="3" t="s">
        <v>78</v>
      </c>
      <c r="BE3782" s="3" t="s">
        <v>37540</v>
      </c>
      <c r="BF3782" s="3" t="s">
        <v>37539</v>
      </c>
      <c r="BG3782" s="3" t="s">
        <v>37541</v>
      </c>
    </row>
    <row r="3783" spans="1:59" ht="72.5" x14ac:dyDescent="0.35">
      <c r="A3783" s="2" t="s">
        <v>59</v>
      </c>
      <c r="B3783" s="2" t="s">
        <v>60</v>
      </c>
      <c r="C3783" s="2" t="s">
        <v>37542</v>
      </c>
      <c r="D3783" s="2" t="s">
        <v>37543</v>
      </c>
      <c r="E3783" s="2" t="s">
        <v>37544</v>
      </c>
      <c r="G3783" s="3" t="s">
        <v>65</v>
      </c>
      <c r="I3783" s="3" t="s">
        <v>65</v>
      </c>
      <c r="J3783" s="3" t="s">
        <v>65</v>
      </c>
      <c r="K3783" s="3" t="s">
        <v>66</v>
      </c>
      <c r="L3783" s="2" t="s">
        <v>37545</v>
      </c>
      <c r="M3783" s="2" t="s">
        <v>33483</v>
      </c>
      <c r="N3783" s="3" t="s">
        <v>139</v>
      </c>
      <c r="P3783" s="3" t="s">
        <v>69</v>
      </c>
      <c r="R3783" s="3" t="s">
        <v>71</v>
      </c>
      <c r="S3783" s="4">
        <v>1</v>
      </c>
      <c r="T3783" s="4">
        <v>1</v>
      </c>
      <c r="U3783" s="5" t="s">
        <v>37546</v>
      </c>
      <c r="V3783" s="5" t="s">
        <v>37546</v>
      </c>
      <c r="W3783" s="5" t="s">
        <v>72</v>
      </c>
      <c r="X3783" s="5" t="s">
        <v>72</v>
      </c>
      <c r="Y3783" s="4">
        <v>286</v>
      </c>
      <c r="Z3783" s="4">
        <v>8</v>
      </c>
      <c r="AA3783" s="4">
        <v>9</v>
      </c>
      <c r="AB3783" s="4">
        <v>1</v>
      </c>
      <c r="AC3783" s="4">
        <v>2</v>
      </c>
      <c r="AD3783" s="4">
        <v>36</v>
      </c>
      <c r="AE3783" s="4">
        <v>37</v>
      </c>
      <c r="AF3783" s="4">
        <v>0</v>
      </c>
      <c r="AG3783" s="4">
        <v>0</v>
      </c>
      <c r="AH3783" s="4">
        <v>36</v>
      </c>
      <c r="AI3783" s="4">
        <v>37</v>
      </c>
      <c r="AJ3783" s="4">
        <v>2</v>
      </c>
      <c r="AK3783" s="4">
        <v>2</v>
      </c>
      <c r="AL3783" s="4">
        <v>23</v>
      </c>
      <c r="AM3783" s="4">
        <v>23</v>
      </c>
      <c r="AN3783" s="4">
        <v>0</v>
      </c>
      <c r="AO3783" s="4">
        <v>0</v>
      </c>
      <c r="AP3783" s="4">
        <v>2</v>
      </c>
      <c r="AQ3783" s="4">
        <v>2</v>
      </c>
      <c r="AR3783" s="3" t="s">
        <v>65</v>
      </c>
      <c r="AS3783" s="3" t="s">
        <v>209</v>
      </c>
      <c r="AT3783" s="3" t="s">
        <v>65</v>
      </c>
      <c r="AU3783" s="6" t="str">
        <f>HYPERLINK("http://catalog.hathitrust.org/Record/011715785","HathiTrust Record")</f>
        <v>HathiTrust Record</v>
      </c>
      <c r="AV3783" s="6" t="str">
        <f>HYPERLINK("http://mcgill.on.worldcat.org/oclc/778419317","Catalog Record")</f>
        <v>Catalog Record</v>
      </c>
      <c r="AW3783" s="6" t="str">
        <f>HYPERLINK("http://www.worldcat.org/oclc/778419317","WorldCat Record")</f>
        <v>WorldCat Record</v>
      </c>
      <c r="AX3783" s="3" t="s">
        <v>37547</v>
      </c>
      <c r="AY3783" s="3" t="s">
        <v>37548</v>
      </c>
      <c r="AZ3783" s="3" t="s">
        <v>37549</v>
      </c>
      <c r="BA3783" s="3" t="s">
        <v>37549</v>
      </c>
      <c r="BB3783" s="3" t="s">
        <v>37550</v>
      </c>
      <c r="BC3783" s="3" t="s">
        <v>77</v>
      </c>
      <c r="BD3783" s="3" t="s">
        <v>78</v>
      </c>
      <c r="BE3783" s="3" t="s">
        <v>37551</v>
      </c>
      <c r="BF3783" s="3" t="s">
        <v>37550</v>
      </c>
      <c r="BG3783" s="3" t="s">
        <v>37552</v>
      </c>
    </row>
    <row r="3784" spans="1:59" ht="58" x14ac:dyDescent="0.35">
      <c r="A3784" s="2" t="s">
        <v>59</v>
      </c>
      <c r="B3784" s="2" t="s">
        <v>60</v>
      </c>
      <c r="C3784" s="2" t="s">
        <v>37553</v>
      </c>
      <c r="D3784" s="2" t="s">
        <v>37554</v>
      </c>
      <c r="E3784" s="2" t="s">
        <v>37555</v>
      </c>
      <c r="G3784" s="3" t="s">
        <v>65</v>
      </c>
      <c r="I3784" s="3" t="s">
        <v>65</v>
      </c>
      <c r="J3784" s="3" t="s">
        <v>65</v>
      </c>
      <c r="K3784" s="3" t="s">
        <v>66</v>
      </c>
      <c r="L3784" s="2" t="s">
        <v>37556</v>
      </c>
      <c r="M3784" s="2" t="s">
        <v>37557</v>
      </c>
      <c r="N3784" s="3" t="s">
        <v>2750</v>
      </c>
      <c r="O3784" s="2" t="s">
        <v>365</v>
      </c>
      <c r="P3784" s="3" t="s">
        <v>140</v>
      </c>
      <c r="Q3784" s="2" t="s">
        <v>22005</v>
      </c>
      <c r="R3784" s="3" t="s">
        <v>71</v>
      </c>
      <c r="S3784" s="4">
        <v>1</v>
      </c>
      <c r="T3784" s="4">
        <v>1</v>
      </c>
      <c r="U3784" s="5" t="s">
        <v>20474</v>
      </c>
      <c r="V3784" s="5" t="s">
        <v>20474</v>
      </c>
      <c r="W3784" s="5" t="s">
        <v>72</v>
      </c>
      <c r="X3784" s="5" t="s">
        <v>72</v>
      </c>
      <c r="Y3784" s="4">
        <v>43</v>
      </c>
      <c r="Z3784" s="4">
        <v>5</v>
      </c>
      <c r="AA3784" s="4">
        <v>5</v>
      </c>
      <c r="AB3784" s="4">
        <v>1</v>
      </c>
      <c r="AC3784" s="4">
        <v>1</v>
      </c>
      <c r="AD3784" s="4">
        <v>23</v>
      </c>
      <c r="AE3784" s="4">
        <v>23</v>
      </c>
      <c r="AF3784" s="4">
        <v>0</v>
      </c>
      <c r="AG3784" s="4">
        <v>0</v>
      </c>
      <c r="AH3784" s="4">
        <v>20</v>
      </c>
      <c r="AI3784" s="4">
        <v>20</v>
      </c>
      <c r="AJ3784" s="4">
        <v>3</v>
      </c>
      <c r="AK3784" s="4">
        <v>3</v>
      </c>
      <c r="AL3784" s="4">
        <v>18</v>
      </c>
      <c r="AM3784" s="4">
        <v>18</v>
      </c>
      <c r="AN3784" s="4">
        <v>0</v>
      </c>
      <c r="AO3784" s="4">
        <v>0</v>
      </c>
      <c r="AP3784" s="4">
        <v>3</v>
      </c>
      <c r="AQ3784" s="4">
        <v>3</v>
      </c>
      <c r="AR3784" s="3" t="s">
        <v>65</v>
      </c>
      <c r="AS3784" s="3" t="s">
        <v>65</v>
      </c>
      <c r="AT3784" s="3" t="s">
        <v>65</v>
      </c>
      <c r="AV3784" s="6" t="str">
        <f>HYPERLINK("http://mcgill.on.worldcat.org/oclc/4505618","Catalog Record")</f>
        <v>Catalog Record</v>
      </c>
      <c r="AW3784" s="6" t="str">
        <f>HYPERLINK("http://www.worldcat.org/oclc/4505618","WorldCat Record")</f>
        <v>WorldCat Record</v>
      </c>
      <c r="AX3784" s="3" t="s">
        <v>37558</v>
      </c>
      <c r="AY3784" s="3" t="s">
        <v>37559</v>
      </c>
      <c r="AZ3784" s="3" t="s">
        <v>37560</v>
      </c>
      <c r="BA3784" s="3" t="s">
        <v>37560</v>
      </c>
      <c r="BB3784" s="3" t="s">
        <v>37561</v>
      </c>
      <c r="BC3784" s="3" t="s">
        <v>77</v>
      </c>
      <c r="BD3784" s="3" t="s">
        <v>78</v>
      </c>
      <c r="BF3784" s="3" t="s">
        <v>37561</v>
      </c>
      <c r="BG3784" s="3" t="s">
        <v>37562</v>
      </c>
    </row>
    <row r="3785" spans="1:59" ht="58" x14ac:dyDescent="0.35">
      <c r="A3785" s="2" t="s">
        <v>59</v>
      </c>
      <c r="B3785" s="2" t="s">
        <v>60</v>
      </c>
      <c r="C3785" s="2" t="s">
        <v>37563</v>
      </c>
      <c r="D3785" s="2" t="s">
        <v>37564</v>
      </c>
      <c r="E3785" s="2" t="s">
        <v>37565</v>
      </c>
      <c r="G3785" s="3" t="s">
        <v>65</v>
      </c>
      <c r="I3785" s="3" t="s">
        <v>65</v>
      </c>
      <c r="J3785" s="3" t="s">
        <v>65</v>
      </c>
      <c r="K3785" s="3" t="s">
        <v>66</v>
      </c>
      <c r="L3785" s="2" t="s">
        <v>37556</v>
      </c>
      <c r="M3785" s="2" t="s">
        <v>37566</v>
      </c>
      <c r="N3785" s="3" t="s">
        <v>552</v>
      </c>
      <c r="P3785" s="3" t="s">
        <v>140</v>
      </c>
      <c r="Q3785" s="2" t="s">
        <v>37567</v>
      </c>
      <c r="R3785" s="3" t="s">
        <v>71</v>
      </c>
      <c r="S3785" s="4">
        <v>2</v>
      </c>
      <c r="T3785" s="4">
        <v>2</v>
      </c>
      <c r="U3785" s="5" t="s">
        <v>37568</v>
      </c>
      <c r="V3785" s="5" t="s">
        <v>37568</v>
      </c>
      <c r="W3785" s="5" t="s">
        <v>72</v>
      </c>
      <c r="X3785" s="5" t="s">
        <v>72</v>
      </c>
      <c r="Y3785" s="4">
        <v>36</v>
      </c>
      <c r="Z3785" s="4">
        <v>3</v>
      </c>
      <c r="AA3785" s="4">
        <v>5</v>
      </c>
      <c r="AB3785" s="4">
        <v>1</v>
      </c>
      <c r="AC3785" s="4">
        <v>2</v>
      </c>
      <c r="AD3785" s="4">
        <v>15</v>
      </c>
      <c r="AE3785" s="4">
        <v>17</v>
      </c>
      <c r="AF3785" s="4">
        <v>0</v>
      </c>
      <c r="AG3785" s="4">
        <v>1</v>
      </c>
      <c r="AH3785" s="4">
        <v>14</v>
      </c>
      <c r="AI3785" s="4">
        <v>15</v>
      </c>
      <c r="AJ3785" s="4">
        <v>1</v>
      </c>
      <c r="AK3785" s="4">
        <v>3</v>
      </c>
      <c r="AL3785" s="4">
        <v>13</v>
      </c>
      <c r="AM3785" s="4">
        <v>13</v>
      </c>
      <c r="AN3785" s="4">
        <v>0</v>
      </c>
      <c r="AO3785" s="4">
        <v>0</v>
      </c>
      <c r="AP3785" s="4">
        <v>1</v>
      </c>
      <c r="AQ3785" s="4">
        <v>2</v>
      </c>
      <c r="AR3785" s="3" t="s">
        <v>65</v>
      </c>
      <c r="AS3785" s="3" t="s">
        <v>65</v>
      </c>
      <c r="AT3785" s="3" t="s">
        <v>209</v>
      </c>
      <c r="AU3785" s="6" t="str">
        <f>HYPERLINK("http://catalog.hathitrust.org/Record/007966264","HathiTrust Record")</f>
        <v>HathiTrust Record</v>
      </c>
      <c r="AV3785" s="6" t="str">
        <f>HYPERLINK("http://mcgill.on.worldcat.org/oclc/37642708","Catalog Record")</f>
        <v>Catalog Record</v>
      </c>
      <c r="AW3785" s="6" t="str">
        <f>HYPERLINK("http://www.worldcat.org/oclc/37642708","WorldCat Record")</f>
        <v>WorldCat Record</v>
      </c>
      <c r="AX3785" s="3" t="s">
        <v>37569</v>
      </c>
      <c r="AY3785" s="3" t="s">
        <v>37570</v>
      </c>
      <c r="AZ3785" s="3" t="s">
        <v>37571</v>
      </c>
      <c r="BA3785" s="3" t="s">
        <v>37571</v>
      </c>
      <c r="BB3785" s="3" t="s">
        <v>37572</v>
      </c>
      <c r="BC3785" s="3" t="s">
        <v>77</v>
      </c>
      <c r="BD3785" s="3" t="s">
        <v>78</v>
      </c>
      <c r="BE3785" s="3" t="s">
        <v>37573</v>
      </c>
      <c r="BF3785" s="3" t="s">
        <v>37572</v>
      </c>
      <c r="BG3785" s="3" t="s">
        <v>37574</v>
      </c>
    </row>
    <row r="3786" spans="1:59" ht="58" x14ac:dyDescent="0.35">
      <c r="A3786" s="2" t="s">
        <v>59</v>
      </c>
      <c r="B3786" s="2" t="s">
        <v>60</v>
      </c>
      <c r="C3786" s="2" t="s">
        <v>37575</v>
      </c>
      <c r="D3786" s="2" t="s">
        <v>37576</v>
      </c>
      <c r="E3786" s="2" t="s">
        <v>37577</v>
      </c>
      <c r="G3786" s="3" t="s">
        <v>65</v>
      </c>
      <c r="I3786" s="3" t="s">
        <v>65</v>
      </c>
      <c r="J3786" s="3" t="s">
        <v>65</v>
      </c>
      <c r="K3786" s="3" t="s">
        <v>66</v>
      </c>
      <c r="L3786" s="2" t="s">
        <v>37556</v>
      </c>
      <c r="M3786" s="2" t="s">
        <v>37578</v>
      </c>
      <c r="N3786" s="3" t="s">
        <v>3448</v>
      </c>
      <c r="P3786" s="3" t="s">
        <v>140</v>
      </c>
      <c r="R3786" s="3" t="s">
        <v>71</v>
      </c>
      <c r="S3786" s="4">
        <v>2</v>
      </c>
      <c r="T3786" s="4">
        <v>2</v>
      </c>
      <c r="U3786" s="5" t="s">
        <v>25614</v>
      </c>
      <c r="V3786" s="5" t="s">
        <v>25614</v>
      </c>
      <c r="W3786" s="5" t="s">
        <v>72</v>
      </c>
      <c r="X3786" s="5" t="s">
        <v>72</v>
      </c>
      <c r="Y3786" s="4">
        <v>69</v>
      </c>
      <c r="Z3786" s="4">
        <v>5</v>
      </c>
      <c r="AA3786" s="4">
        <v>8</v>
      </c>
      <c r="AB3786" s="4">
        <v>1</v>
      </c>
      <c r="AC3786" s="4">
        <v>2</v>
      </c>
      <c r="AD3786" s="4">
        <v>31</v>
      </c>
      <c r="AE3786" s="4">
        <v>46</v>
      </c>
      <c r="AF3786" s="4">
        <v>0</v>
      </c>
      <c r="AG3786" s="4">
        <v>1</v>
      </c>
      <c r="AH3786" s="4">
        <v>28</v>
      </c>
      <c r="AI3786" s="4">
        <v>42</v>
      </c>
      <c r="AJ3786" s="4">
        <v>3</v>
      </c>
      <c r="AK3786" s="4">
        <v>6</v>
      </c>
      <c r="AL3786" s="4">
        <v>25</v>
      </c>
      <c r="AM3786" s="4">
        <v>35</v>
      </c>
      <c r="AN3786" s="4">
        <v>0</v>
      </c>
      <c r="AO3786" s="4">
        <v>0</v>
      </c>
      <c r="AP3786" s="4">
        <v>3</v>
      </c>
      <c r="AQ3786" s="4">
        <v>5</v>
      </c>
      <c r="AR3786" s="3" t="s">
        <v>65</v>
      </c>
      <c r="AS3786" s="3" t="s">
        <v>65</v>
      </c>
      <c r="AT3786" s="3" t="s">
        <v>65</v>
      </c>
      <c r="AV3786" s="6" t="str">
        <f>HYPERLINK("http://mcgill.on.worldcat.org/oclc/818631","Catalog Record")</f>
        <v>Catalog Record</v>
      </c>
      <c r="AW3786" s="6" t="str">
        <f>HYPERLINK("http://www.worldcat.org/oclc/818631","WorldCat Record")</f>
        <v>WorldCat Record</v>
      </c>
      <c r="AX3786" s="3" t="s">
        <v>37579</v>
      </c>
      <c r="AY3786" s="3" t="s">
        <v>37580</v>
      </c>
      <c r="AZ3786" s="3" t="s">
        <v>37581</v>
      </c>
      <c r="BA3786" s="3" t="s">
        <v>37581</v>
      </c>
      <c r="BB3786" s="3" t="s">
        <v>37582</v>
      </c>
      <c r="BC3786" s="3" t="s">
        <v>77</v>
      </c>
      <c r="BD3786" s="3" t="s">
        <v>78</v>
      </c>
      <c r="BF3786" s="3" t="s">
        <v>37582</v>
      </c>
      <c r="BG3786" s="3" t="s">
        <v>37583</v>
      </c>
    </row>
    <row r="3787" spans="1:59" ht="58" x14ac:dyDescent="0.35">
      <c r="A3787" s="2" t="s">
        <v>59</v>
      </c>
      <c r="B3787" s="2" t="s">
        <v>60</v>
      </c>
      <c r="C3787" s="2" t="s">
        <v>37584</v>
      </c>
      <c r="D3787" s="2" t="s">
        <v>37585</v>
      </c>
      <c r="E3787" s="2" t="s">
        <v>37586</v>
      </c>
      <c r="G3787" s="3" t="s">
        <v>65</v>
      </c>
      <c r="I3787" s="3" t="s">
        <v>65</v>
      </c>
      <c r="J3787" s="3" t="s">
        <v>65</v>
      </c>
      <c r="K3787" s="3" t="s">
        <v>66</v>
      </c>
      <c r="L3787" s="2" t="s">
        <v>37556</v>
      </c>
      <c r="M3787" s="2" t="s">
        <v>37587</v>
      </c>
      <c r="N3787" s="3" t="s">
        <v>1032</v>
      </c>
      <c r="P3787" s="3" t="s">
        <v>140</v>
      </c>
      <c r="Q3787" s="2" t="s">
        <v>37588</v>
      </c>
      <c r="R3787" s="3" t="s">
        <v>71</v>
      </c>
      <c r="S3787" s="4">
        <v>4</v>
      </c>
      <c r="T3787" s="4">
        <v>4</v>
      </c>
      <c r="U3787" s="5" t="s">
        <v>37589</v>
      </c>
      <c r="V3787" s="5" t="s">
        <v>37589</v>
      </c>
      <c r="W3787" s="5" t="s">
        <v>72</v>
      </c>
      <c r="X3787" s="5" t="s">
        <v>72</v>
      </c>
      <c r="Y3787" s="4">
        <v>46</v>
      </c>
      <c r="Z3787" s="4">
        <v>6</v>
      </c>
      <c r="AA3787" s="4">
        <v>8</v>
      </c>
      <c r="AB3787" s="4">
        <v>2</v>
      </c>
      <c r="AC3787" s="4">
        <v>3</v>
      </c>
      <c r="AD3787" s="4">
        <v>24</v>
      </c>
      <c r="AE3787" s="4">
        <v>26</v>
      </c>
      <c r="AF3787" s="4">
        <v>0</v>
      </c>
      <c r="AG3787" s="4">
        <v>1</v>
      </c>
      <c r="AH3787" s="4">
        <v>22</v>
      </c>
      <c r="AI3787" s="4">
        <v>23</v>
      </c>
      <c r="AJ3787" s="4">
        <v>3</v>
      </c>
      <c r="AK3787" s="4">
        <v>5</v>
      </c>
      <c r="AL3787" s="4">
        <v>19</v>
      </c>
      <c r="AM3787" s="4">
        <v>19</v>
      </c>
      <c r="AN3787" s="4">
        <v>0</v>
      </c>
      <c r="AO3787" s="4">
        <v>0</v>
      </c>
      <c r="AP3787" s="4">
        <v>3</v>
      </c>
      <c r="AQ3787" s="4">
        <v>4</v>
      </c>
      <c r="AR3787" s="3" t="s">
        <v>65</v>
      </c>
      <c r="AS3787" s="3" t="s">
        <v>65</v>
      </c>
      <c r="AT3787" s="3" t="s">
        <v>65</v>
      </c>
      <c r="AV3787" s="6" t="str">
        <f>HYPERLINK("http://mcgill.on.worldcat.org/oclc/34183495","Catalog Record")</f>
        <v>Catalog Record</v>
      </c>
      <c r="AW3787" s="6" t="str">
        <f>HYPERLINK("http://www.worldcat.org/oclc/34183495","WorldCat Record")</f>
        <v>WorldCat Record</v>
      </c>
      <c r="AX3787" s="3" t="s">
        <v>37590</v>
      </c>
      <c r="AY3787" s="3" t="s">
        <v>37591</v>
      </c>
      <c r="AZ3787" s="3" t="s">
        <v>37592</v>
      </c>
      <c r="BA3787" s="3" t="s">
        <v>37592</v>
      </c>
      <c r="BB3787" s="3" t="s">
        <v>37593</v>
      </c>
      <c r="BC3787" s="3" t="s">
        <v>77</v>
      </c>
      <c r="BD3787" s="3" t="s">
        <v>78</v>
      </c>
      <c r="BE3787" s="3" t="s">
        <v>37594</v>
      </c>
      <c r="BF3787" s="3" t="s">
        <v>37593</v>
      </c>
      <c r="BG3787" s="3" t="s">
        <v>37595</v>
      </c>
    </row>
    <row r="3788" spans="1:59" ht="58" x14ac:dyDescent="0.35">
      <c r="A3788" s="2" t="s">
        <v>59</v>
      </c>
      <c r="B3788" s="2" t="s">
        <v>60</v>
      </c>
      <c r="C3788" s="2" t="s">
        <v>37596</v>
      </c>
      <c r="D3788" s="2" t="s">
        <v>37597</v>
      </c>
      <c r="E3788" s="2" t="s">
        <v>37598</v>
      </c>
      <c r="G3788" s="3" t="s">
        <v>65</v>
      </c>
      <c r="I3788" s="3" t="s">
        <v>65</v>
      </c>
      <c r="J3788" s="3" t="s">
        <v>65</v>
      </c>
      <c r="K3788" s="3" t="s">
        <v>66</v>
      </c>
      <c r="L3788" s="2" t="s">
        <v>37556</v>
      </c>
      <c r="M3788" s="2" t="s">
        <v>37599</v>
      </c>
      <c r="N3788" s="3" t="s">
        <v>831</v>
      </c>
      <c r="O3788" s="2" t="s">
        <v>654</v>
      </c>
      <c r="P3788" s="3" t="s">
        <v>140</v>
      </c>
      <c r="Q3788" s="2" t="s">
        <v>37600</v>
      </c>
      <c r="R3788" s="3" t="s">
        <v>71</v>
      </c>
      <c r="S3788" s="4">
        <v>2</v>
      </c>
      <c r="T3788" s="4">
        <v>2</v>
      </c>
      <c r="U3788" s="5" t="s">
        <v>27526</v>
      </c>
      <c r="V3788" s="5" t="s">
        <v>27526</v>
      </c>
      <c r="W3788" s="5" t="s">
        <v>72</v>
      </c>
      <c r="X3788" s="5" t="s">
        <v>72</v>
      </c>
      <c r="Y3788" s="4">
        <v>69</v>
      </c>
      <c r="Z3788" s="4">
        <v>7</v>
      </c>
      <c r="AA3788" s="4">
        <v>7</v>
      </c>
      <c r="AB3788" s="4">
        <v>1</v>
      </c>
      <c r="AC3788" s="4">
        <v>1</v>
      </c>
      <c r="AD3788" s="4">
        <v>36</v>
      </c>
      <c r="AE3788" s="4">
        <v>37</v>
      </c>
      <c r="AF3788" s="4">
        <v>0</v>
      </c>
      <c r="AG3788" s="4">
        <v>0</v>
      </c>
      <c r="AH3788" s="4">
        <v>34</v>
      </c>
      <c r="AI3788" s="4">
        <v>35</v>
      </c>
      <c r="AJ3788" s="4">
        <v>5</v>
      </c>
      <c r="AK3788" s="4">
        <v>5</v>
      </c>
      <c r="AL3788" s="4">
        <v>26</v>
      </c>
      <c r="AM3788" s="4">
        <v>27</v>
      </c>
      <c r="AN3788" s="4">
        <v>0</v>
      </c>
      <c r="AO3788" s="4">
        <v>0</v>
      </c>
      <c r="AP3788" s="4">
        <v>5</v>
      </c>
      <c r="AQ3788" s="4">
        <v>5</v>
      </c>
      <c r="AR3788" s="3" t="s">
        <v>65</v>
      </c>
      <c r="AS3788" s="3" t="s">
        <v>65</v>
      </c>
      <c r="AT3788" s="3" t="s">
        <v>65</v>
      </c>
      <c r="AV3788" s="6" t="str">
        <f>HYPERLINK("http://mcgill.on.worldcat.org/oclc/9754166","Catalog Record")</f>
        <v>Catalog Record</v>
      </c>
      <c r="AW3788" s="6" t="str">
        <f>HYPERLINK("http://www.worldcat.org/oclc/9754166","WorldCat Record")</f>
        <v>WorldCat Record</v>
      </c>
      <c r="AX3788" s="3" t="s">
        <v>37601</v>
      </c>
      <c r="AY3788" s="3" t="s">
        <v>37602</v>
      </c>
      <c r="AZ3788" s="3" t="s">
        <v>37603</v>
      </c>
      <c r="BA3788" s="3" t="s">
        <v>37603</v>
      </c>
      <c r="BB3788" s="3" t="s">
        <v>37604</v>
      </c>
      <c r="BC3788" s="3" t="s">
        <v>77</v>
      </c>
      <c r="BD3788" s="3" t="s">
        <v>78</v>
      </c>
      <c r="BF3788" s="3" t="s">
        <v>37604</v>
      </c>
      <c r="BG3788" s="3" t="s">
        <v>37605</v>
      </c>
    </row>
    <row r="3789" spans="1:59" ht="58" x14ac:dyDescent="0.35">
      <c r="A3789" s="2" t="s">
        <v>59</v>
      </c>
      <c r="B3789" s="2" t="s">
        <v>60</v>
      </c>
      <c r="C3789" s="2" t="s">
        <v>37606</v>
      </c>
      <c r="D3789" s="2" t="s">
        <v>37607</v>
      </c>
      <c r="E3789" s="2" t="s">
        <v>37608</v>
      </c>
      <c r="G3789" s="3" t="s">
        <v>65</v>
      </c>
      <c r="I3789" s="3" t="s">
        <v>65</v>
      </c>
      <c r="J3789" s="3" t="s">
        <v>65</v>
      </c>
      <c r="K3789" s="3" t="s">
        <v>66</v>
      </c>
      <c r="L3789" s="2" t="s">
        <v>37556</v>
      </c>
      <c r="M3789" s="2" t="s">
        <v>37609</v>
      </c>
      <c r="N3789" s="3" t="s">
        <v>5961</v>
      </c>
      <c r="O3789" s="2" t="s">
        <v>654</v>
      </c>
      <c r="P3789" s="3" t="s">
        <v>140</v>
      </c>
      <c r="Q3789" s="2" t="s">
        <v>37610</v>
      </c>
      <c r="R3789" s="3" t="s">
        <v>71</v>
      </c>
      <c r="S3789" s="4">
        <v>2</v>
      </c>
      <c r="T3789" s="4">
        <v>2</v>
      </c>
      <c r="U3789" s="5" t="s">
        <v>37611</v>
      </c>
      <c r="V3789" s="5" t="s">
        <v>37611</v>
      </c>
      <c r="W3789" s="5" t="s">
        <v>72</v>
      </c>
      <c r="X3789" s="5" t="s">
        <v>72</v>
      </c>
      <c r="Y3789" s="4">
        <v>56</v>
      </c>
      <c r="Z3789" s="4">
        <v>7</v>
      </c>
      <c r="AA3789" s="4">
        <v>8</v>
      </c>
      <c r="AB3789" s="4">
        <v>2</v>
      </c>
      <c r="AC3789" s="4">
        <v>3</v>
      </c>
      <c r="AD3789" s="4">
        <v>26</v>
      </c>
      <c r="AE3789" s="4">
        <v>27</v>
      </c>
      <c r="AF3789" s="4">
        <v>0</v>
      </c>
      <c r="AG3789" s="4">
        <v>1</v>
      </c>
      <c r="AH3789" s="4">
        <v>23</v>
      </c>
      <c r="AI3789" s="4">
        <v>23</v>
      </c>
      <c r="AJ3789" s="4">
        <v>4</v>
      </c>
      <c r="AK3789" s="4">
        <v>5</v>
      </c>
      <c r="AL3789" s="4">
        <v>20</v>
      </c>
      <c r="AM3789" s="4">
        <v>20</v>
      </c>
      <c r="AN3789" s="4">
        <v>0</v>
      </c>
      <c r="AO3789" s="4">
        <v>0</v>
      </c>
      <c r="AP3789" s="4">
        <v>4</v>
      </c>
      <c r="AQ3789" s="4">
        <v>4</v>
      </c>
      <c r="AR3789" s="3" t="s">
        <v>65</v>
      </c>
      <c r="AS3789" s="3" t="s">
        <v>65</v>
      </c>
      <c r="AT3789" s="3" t="s">
        <v>65</v>
      </c>
      <c r="AV3789" s="6" t="str">
        <f>HYPERLINK("http://mcgill.on.worldcat.org/oclc/16886608","Catalog Record")</f>
        <v>Catalog Record</v>
      </c>
      <c r="AW3789" s="6" t="str">
        <f>HYPERLINK("http://www.worldcat.org/oclc/16886608","WorldCat Record")</f>
        <v>WorldCat Record</v>
      </c>
      <c r="AX3789" s="3" t="s">
        <v>37612</v>
      </c>
      <c r="AY3789" s="3" t="s">
        <v>37613</v>
      </c>
      <c r="AZ3789" s="3" t="s">
        <v>37614</v>
      </c>
      <c r="BA3789" s="3" t="s">
        <v>37614</v>
      </c>
      <c r="BB3789" s="3" t="s">
        <v>37615</v>
      </c>
      <c r="BC3789" s="3" t="s">
        <v>77</v>
      </c>
      <c r="BD3789" s="3" t="s">
        <v>78</v>
      </c>
      <c r="BF3789" s="3" t="s">
        <v>37615</v>
      </c>
      <c r="BG3789" s="3" t="s">
        <v>37616</v>
      </c>
    </row>
    <row r="3790" spans="1:59" ht="58" x14ac:dyDescent="0.35">
      <c r="A3790" s="2" t="s">
        <v>59</v>
      </c>
      <c r="B3790" s="2" t="s">
        <v>60</v>
      </c>
      <c r="C3790" s="2" t="s">
        <v>37617</v>
      </c>
      <c r="D3790" s="2" t="s">
        <v>37618</v>
      </c>
      <c r="E3790" s="2" t="s">
        <v>37619</v>
      </c>
      <c r="G3790" s="3" t="s">
        <v>65</v>
      </c>
      <c r="I3790" s="3" t="s">
        <v>65</v>
      </c>
      <c r="J3790" s="3" t="s">
        <v>65</v>
      </c>
      <c r="K3790" s="3" t="s">
        <v>66</v>
      </c>
      <c r="L3790" s="2" t="s">
        <v>37556</v>
      </c>
      <c r="M3790" s="2" t="s">
        <v>37620</v>
      </c>
      <c r="N3790" s="3" t="s">
        <v>364</v>
      </c>
      <c r="O3790" s="2" t="s">
        <v>365</v>
      </c>
      <c r="P3790" s="3" t="s">
        <v>140</v>
      </c>
      <c r="R3790" s="3" t="s">
        <v>71</v>
      </c>
      <c r="S3790" s="4">
        <v>2</v>
      </c>
      <c r="T3790" s="4">
        <v>2</v>
      </c>
      <c r="U3790" s="5" t="s">
        <v>27526</v>
      </c>
      <c r="V3790" s="5" t="s">
        <v>27526</v>
      </c>
      <c r="W3790" s="5" t="s">
        <v>72</v>
      </c>
      <c r="X3790" s="5" t="s">
        <v>72</v>
      </c>
      <c r="Y3790" s="4">
        <v>48</v>
      </c>
      <c r="Z3790" s="4">
        <v>6</v>
      </c>
      <c r="AA3790" s="4">
        <v>6</v>
      </c>
      <c r="AB3790" s="4">
        <v>2</v>
      </c>
      <c r="AC3790" s="4">
        <v>2</v>
      </c>
      <c r="AD3790" s="4">
        <v>30</v>
      </c>
      <c r="AE3790" s="4">
        <v>30</v>
      </c>
      <c r="AF3790" s="4">
        <v>0</v>
      </c>
      <c r="AG3790" s="4">
        <v>0</v>
      </c>
      <c r="AH3790" s="4">
        <v>29</v>
      </c>
      <c r="AI3790" s="4">
        <v>29</v>
      </c>
      <c r="AJ3790" s="4">
        <v>3</v>
      </c>
      <c r="AK3790" s="4">
        <v>3</v>
      </c>
      <c r="AL3790" s="4">
        <v>21</v>
      </c>
      <c r="AM3790" s="4">
        <v>21</v>
      </c>
      <c r="AN3790" s="4">
        <v>0</v>
      </c>
      <c r="AO3790" s="4">
        <v>0</v>
      </c>
      <c r="AP3790" s="4">
        <v>3</v>
      </c>
      <c r="AQ3790" s="4">
        <v>3</v>
      </c>
      <c r="AR3790" s="3" t="s">
        <v>65</v>
      </c>
      <c r="AS3790" s="3" t="s">
        <v>65</v>
      </c>
      <c r="AT3790" s="3" t="s">
        <v>65</v>
      </c>
      <c r="AV3790" s="6" t="str">
        <f>HYPERLINK("http://mcgill.on.worldcat.org/oclc/48360787","Catalog Record")</f>
        <v>Catalog Record</v>
      </c>
      <c r="AW3790" s="6" t="str">
        <f>HYPERLINK("http://www.worldcat.org/oclc/48360787","WorldCat Record")</f>
        <v>WorldCat Record</v>
      </c>
      <c r="AX3790" s="3" t="s">
        <v>37621</v>
      </c>
      <c r="AY3790" s="3" t="s">
        <v>37622</v>
      </c>
      <c r="AZ3790" s="3" t="s">
        <v>37623</v>
      </c>
      <c r="BA3790" s="3" t="s">
        <v>37623</v>
      </c>
      <c r="BB3790" s="3" t="s">
        <v>37624</v>
      </c>
      <c r="BC3790" s="3" t="s">
        <v>77</v>
      </c>
      <c r="BD3790" s="3" t="s">
        <v>78</v>
      </c>
      <c r="BE3790" s="3" t="s">
        <v>37625</v>
      </c>
      <c r="BF3790" s="3" t="s">
        <v>37624</v>
      </c>
      <c r="BG3790" s="3" t="s">
        <v>37626</v>
      </c>
    </row>
    <row r="3791" spans="1:59" ht="58" x14ac:dyDescent="0.35">
      <c r="A3791" s="2" t="s">
        <v>59</v>
      </c>
      <c r="B3791" s="2" t="s">
        <v>60</v>
      </c>
      <c r="C3791" s="2" t="s">
        <v>37627</v>
      </c>
      <c r="D3791" s="2" t="s">
        <v>37628</v>
      </c>
      <c r="E3791" s="2" t="s">
        <v>37629</v>
      </c>
      <c r="G3791" s="3" t="s">
        <v>65</v>
      </c>
      <c r="I3791" s="3" t="s">
        <v>65</v>
      </c>
      <c r="J3791" s="3" t="s">
        <v>65</v>
      </c>
      <c r="K3791" s="3" t="s">
        <v>66</v>
      </c>
      <c r="L3791" s="2" t="s">
        <v>37556</v>
      </c>
      <c r="M3791" s="2" t="s">
        <v>22607</v>
      </c>
      <c r="N3791" s="3" t="s">
        <v>113</v>
      </c>
      <c r="P3791" s="3" t="s">
        <v>140</v>
      </c>
      <c r="Q3791" s="2" t="s">
        <v>2269</v>
      </c>
      <c r="R3791" s="3" t="s">
        <v>71</v>
      </c>
      <c r="S3791" s="4">
        <v>0</v>
      </c>
      <c r="T3791" s="4">
        <v>0</v>
      </c>
      <c r="W3791" s="5" t="s">
        <v>72</v>
      </c>
      <c r="X3791" s="5" t="s">
        <v>72</v>
      </c>
      <c r="Y3791" s="4">
        <v>41</v>
      </c>
      <c r="Z3791" s="4">
        <v>4</v>
      </c>
      <c r="AA3791" s="4">
        <v>4</v>
      </c>
      <c r="AB3791" s="4">
        <v>1</v>
      </c>
      <c r="AC3791" s="4">
        <v>1</v>
      </c>
      <c r="AD3791" s="4">
        <v>28</v>
      </c>
      <c r="AE3791" s="4">
        <v>28</v>
      </c>
      <c r="AF3791" s="4">
        <v>0</v>
      </c>
      <c r="AG3791" s="4">
        <v>0</v>
      </c>
      <c r="AH3791" s="4">
        <v>27</v>
      </c>
      <c r="AI3791" s="4">
        <v>27</v>
      </c>
      <c r="AJ3791" s="4">
        <v>2</v>
      </c>
      <c r="AK3791" s="4">
        <v>2</v>
      </c>
      <c r="AL3791" s="4">
        <v>19</v>
      </c>
      <c r="AM3791" s="4">
        <v>19</v>
      </c>
      <c r="AN3791" s="4">
        <v>0</v>
      </c>
      <c r="AO3791" s="4">
        <v>0</v>
      </c>
      <c r="AP3791" s="4">
        <v>2</v>
      </c>
      <c r="AQ3791" s="4">
        <v>2</v>
      </c>
      <c r="AR3791" s="3" t="s">
        <v>65</v>
      </c>
      <c r="AS3791" s="3" t="s">
        <v>65</v>
      </c>
      <c r="AT3791" s="3" t="s">
        <v>65</v>
      </c>
      <c r="AV3791" s="6" t="str">
        <f>HYPERLINK("http://mcgill.on.worldcat.org/oclc/652361352","Catalog Record")</f>
        <v>Catalog Record</v>
      </c>
      <c r="AW3791" s="6" t="str">
        <f>HYPERLINK("http://www.worldcat.org/oclc/652361352","WorldCat Record")</f>
        <v>WorldCat Record</v>
      </c>
      <c r="AX3791" s="3" t="s">
        <v>37630</v>
      </c>
      <c r="AY3791" s="3" t="s">
        <v>37631</v>
      </c>
      <c r="AZ3791" s="3" t="s">
        <v>37632</v>
      </c>
      <c r="BA3791" s="3" t="s">
        <v>37632</v>
      </c>
      <c r="BB3791" s="3" t="s">
        <v>37633</v>
      </c>
      <c r="BC3791" s="3" t="s">
        <v>77</v>
      </c>
      <c r="BD3791" s="3" t="s">
        <v>78</v>
      </c>
      <c r="BE3791" s="3" t="s">
        <v>37634</v>
      </c>
      <c r="BF3791" s="3" t="s">
        <v>37633</v>
      </c>
      <c r="BG3791" s="3" t="s">
        <v>37635</v>
      </c>
    </row>
    <row r="3792" spans="1:59" ht="58" x14ac:dyDescent="0.35">
      <c r="A3792" s="2" t="s">
        <v>59</v>
      </c>
      <c r="B3792" s="2" t="s">
        <v>60</v>
      </c>
      <c r="C3792" s="2" t="s">
        <v>37636</v>
      </c>
      <c r="D3792" s="2" t="s">
        <v>37637</v>
      </c>
      <c r="E3792" s="2" t="s">
        <v>37638</v>
      </c>
      <c r="G3792" s="3" t="s">
        <v>65</v>
      </c>
      <c r="I3792" s="3" t="s">
        <v>65</v>
      </c>
      <c r="J3792" s="3" t="s">
        <v>65</v>
      </c>
      <c r="K3792" s="3" t="s">
        <v>66</v>
      </c>
      <c r="M3792" s="2" t="s">
        <v>37639</v>
      </c>
      <c r="N3792" s="3" t="s">
        <v>176</v>
      </c>
      <c r="P3792" s="3" t="s">
        <v>140</v>
      </c>
      <c r="Q3792" s="2" t="s">
        <v>17510</v>
      </c>
      <c r="R3792" s="3" t="s">
        <v>71</v>
      </c>
      <c r="S3792" s="4">
        <v>0</v>
      </c>
      <c r="T3792" s="4">
        <v>0</v>
      </c>
      <c r="W3792" s="5" t="s">
        <v>72</v>
      </c>
      <c r="X3792" s="5" t="s">
        <v>72</v>
      </c>
      <c r="Y3792" s="4">
        <v>31</v>
      </c>
      <c r="Z3792" s="4">
        <v>4</v>
      </c>
      <c r="AA3792" s="4">
        <v>4</v>
      </c>
      <c r="AB3792" s="4">
        <v>1</v>
      </c>
      <c r="AC3792" s="4">
        <v>1</v>
      </c>
      <c r="AD3792" s="4">
        <v>19</v>
      </c>
      <c r="AE3792" s="4">
        <v>19</v>
      </c>
      <c r="AF3792" s="4">
        <v>0</v>
      </c>
      <c r="AG3792" s="4">
        <v>0</v>
      </c>
      <c r="AH3792" s="4">
        <v>18</v>
      </c>
      <c r="AI3792" s="4">
        <v>18</v>
      </c>
      <c r="AJ3792" s="4">
        <v>2</v>
      </c>
      <c r="AK3792" s="4">
        <v>2</v>
      </c>
      <c r="AL3792" s="4">
        <v>12</v>
      </c>
      <c r="AM3792" s="4">
        <v>12</v>
      </c>
      <c r="AN3792" s="4">
        <v>0</v>
      </c>
      <c r="AO3792" s="4">
        <v>0</v>
      </c>
      <c r="AP3792" s="4">
        <v>2</v>
      </c>
      <c r="AQ3792" s="4">
        <v>2</v>
      </c>
      <c r="AR3792" s="3" t="s">
        <v>65</v>
      </c>
      <c r="AS3792" s="3" t="s">
        <v>65</v>
      </c>
      <c r="AT3792" s="3" t="s">
        <v>65</v>
      </c>
      <c r="AV3792" s="6" t="str">
        <f>HYPERLINK("http://mcgill.on.worldcat.org/oclc/904592918","Catalog Record")</f>
        <v>Catalog Record</v>
      </c>
      <c r="AW3792" s="6" t="str">
        <f>HYPERLINK("http://www.worldcat.org/oclc/904592918","WorldCat Record")</f>
        <v>WorldCat Record</v>
      </c>
      <c r="AX3792" s="3" t="s">
        <v>37640</v>
      </c>
      <c r="AY3792" s="3" t="s">
        <v>37641</v>
      </c>
      <c r="AZ3792" s="3" t="s">
        <v>37642</v>
      </c>
      <c r="BA3792" s="3" t="s">
        <v>37642</v>
      </c>
      <c r="BB3792" s="3" t="s">
        <v>37643</v>
      </c>
      <c r="BC3792" s="3" t="s">
        <v>77</v>
      </c>
      <c r="BD3792" s="3" t="s">
        <v>78</v>
      </c>
      <c r="BE3792" s="3" t="s">
        <v>37644</v>
      </c>
      <c r="BF3792" s="3" t="s">
        <v>37643</v>
      </c>
      <c r="BG3792" s="3" t="s">
        <v>37645</v>
      </c>
    </row>
    <row r="3793" spans="1:59" ht="58" x14ac:dyDescent="0.35">
      <c r="A3793" s="2" t="s">
        <v>59</v>
      </c>
      <c r="B3793" s="2" t="s">
        <v>60</v>
      </c>
      <c r="C3793" s="2" t="s">
        <v>37646</v>
      </c>
      <c r="D3793" s="2" t="s">
        <v>37647</v>
      </c>
      <c r="E3793" s="2" t="s">
        <v>37648</v>
      </c>
      <c r="G3793" s="3" t="s">
        <v>65</v>
      </c>
      <c r="I3793" s="3" t="s">
        <v>65</v>
      </c>
      <c r="J3793" s="3" t="s">
        <v>65</v>
      </c>
      <c r="K3793" s="3" t="s">
        <v>66</v>
      </c>
      <c r="L3793" s="2" t="s">
        <v>37649</v>
      </c>
      <c r="M3793" s="2" t="s">
        <v>3160</v>
      </c>
      <c r="N3793" s="3" t="s">
        <v>139</v>
      </c>
      <c r="O3793" s="2" t="s">
        <v>339</v>
      </c>
      <c r="P3793" s="3" t="s">
        <v>140</v>
      </c>
      <c r="Q3793" s="2" t="s">
        <v>32985</v>
      </c>
      <c r="R3793" s="3" t="s">
        <v>71</v>
      </c>
      <c r="S3793" s="4">
        <v>0</v>
      </c>
      <c r="T3793" s="4">
        <v>0</v>
      </c>
      <c r="W3793" s="5" t="s">
        <v>72</v>
      </c>
      <c r="X3793" s="5" t="s">
        <v>72</v>
      </c>
      <c r="Y3793" s="4">
        <v>42</v>
      </c>
      <c r="Z3793" s="4">
        <v>5</v>
      </c>
      <c r="AA3793" s="4">
        <v>5</v>
      </c>
      <c r="AB3793" s="4">
        <v>1</v>
      </c>
      <c r="AC3793" s="4">
        <v>1</v>
      </c>
      <c r="AD3793" s="4">
        <v>30</v>
      </c>
      <c r="AE3793" s="4">
        <v>30</v>
      </c>
      <c r="AF3793" s="4">
        <v>0</v>
      </c>
      <c r="AG3793" s="4">
        <v>0</v>
      </c>
      <c r="AH3793" s="4">
        <v>29</v>
      </c>
      <c r="AI3793" s="4">
        <v>29</v>
      </c>
      <c r="AJ3793" s="4">
        <v>3</v>
      </c>
      <c r="AK3793" s="4">
        <v>3</v>
      </c>
      <c r="AL3793" s="4">
        <v>24</v>
      </c>
      <c r="AM3793" s="4">
        <v>24</v>
      </c>
      <c r="AN3793" s="4">
        <v>0</v>
      </c>
      <c r="AO3793" s="4">
        <v>0</v>
      </c>
      <c r="AP3793" s="4">
        <v>3</v>
      </c>
      <c r="AQ3793" s="4">
        <v>3</v>
      </c>
      <c r="AR3793" s="3" t="s">
        <v>65</v>
      </c>
      <c r="AS3793" s="3" t="s">
        <v>65</v>
      </c>
      <c r="AT3793" s="3" t="s">
        <v>65</v>
      </c>
      <c r="AV3793" s="6" t="str">
        <f>HYPERLINK("http://mcgill.on.worldcat.org/oclc/813926135","Catalog Record")</f>
        <v>Catalog Record</v>
      </c>
      <c r="AW3793" s="6" t="str">
        <f>HYPERLINK("http://www.worldcat.org/oclc/813926135","WorldCat Record")</f>
        <v>WorldCat Record</v>
      </c>
      <c r="AX3793" s="3" t="s">
        <v>37650</v>
      </c>
      <c r="AY3793" s="3" t="s">
        <v>37651</v>
      </c>
      <c r="AZ3793" s="3" t="s">
        <v>37652</v>
      </c>
      <c r="BA3793" s="3" t="s">
        <v>37652</v>
      </c>
      <c r="BB3793" s="3" t="s">
        <v>37653</v>
      </c>
      <c r="BC3793" s="3" t="s">
        <v>77</v>
      </c>
      <c r="BD3793" s="3" t="s">
        <v>78</v>
      </c>
      <c r="BE3793" s="3" t="s">
        <v>37654</v>
      </c>
      <c r="BF3793" s="3" t="s">
        <v>37653</v>
      </c>
      <c r="BG3793" s="3" t="s">
        <v>37655</v>
      </c>
    </row>
    <row r="3794" spans="1:59" ht="58" x14ac:dyDescent="0.35">
      <c r="A3794" s="2" t="s">
        <v>59</v>
      </c>
      <c r="B3794" s="2" t="s">
        <v>60</v>
      </c>
      <c r="C3794" s="2" t="s">
        <v>37656</v>
      </c>
      <c r="D3794" s="2" t="s">
        <v>37657</v>
      </c>
      <c r="E3794" s="2" t="s">
        <v>37658</v>
      </c>
      <c r="G3794" s="3" t="s">
        <v>65</v>
      </c>
      <c r="I3794" s="3" t="s">
        <v>65</v>
      </c>
      <c r="J3794" s="3" t="s">
        <v>65</v>
      </c>
      <c r="K3794" s="3" t="s">
        <v>66</v>
      </c>
      <c r="L3794" s="2" t="s">
        <v>37659</v>
      </c>
      <c r="M3794" s="2" t="s">
        <v>2844</v>
      </c>
      <c r="N3794" s="3" t="s">
        <v>188</v>
      </c>
      <c r="P3794" s="3" t="s">
        <v>140</v>
      </c>
      <c r="Q3794" s="2" t="s">
        <v>37660</v>
      </c>
      <c r="R3794" s="3" t="s">
        <v>71</v>
      </c>
      <c r="S3794" s="4">
        <v>0</v>
      </c>
      <c r="T3794" s="4">
        <v>0</v>
      </c>
      <c r="W3794" s="5" t="s">
        <v>72</v>
      </c>
      <c r="X3794" s="5" t="s">
        <v>72</v>
      </c>
      <c r="Y3794" s="4">
        <v>31</v>
      </c>
      <c r="Z3794" s="4">
        <v>1</v>
      </c>
      <c r="AA3794" s="4">
        <v>1</v>
      </c>
      <c r="AB3794" s="4">
        <v>1</v>
      </c>
      <c r="AC3794" s="4">
        <v>1</v>
      </c>
      <c r="AD3794" s="4">
        <v>23</v>
      </c>
      <c r="AE3794" s="4">
        <v>23</v>
      </c>
      <c r="AF3794" s="4">
        <v>0</v>
      </c>
      <c r="AG3794" s="4">
        <v>0</v>
      </c>
      <c r="AH3794" s="4">
        <v>22</v>
      </c>
      <c r="AI3794" s="4">
        <v>22</v>
      </c>
      <c r="AJ3794" s="4">
        <v>0</v>
      </c>
      <c r="AK3794" s="4">
        <v>0</v>
      </c>
      <c r="AL3794" s="4">
        <v>19</v>
      </c>
      <c r="AM3794" s="4">
        <v>19</v>
      </c>
      <c r="AN3794" s="4">
        <v>0</v>
      </c>
      <c r="AO3794" s="4">
        <v>0</v>
      </c>
      <c r="AP3794" s="4">
        <v>0</v>
      </c>
      <c r="AQ3794" s="4">
        <v>0</v>
      </c>
      <c r="AR3794" s="3" t="s">
        <v>65</v>
      </c>
      <c r="AS3794" s="3" t="s">
        <v>65</v>
      </c>
      <c r="AT3794" s="3" t="s">
        <v>65</v>
      </c>
      <c r="AV3794" s="6" t="str">
        <f>HYPERLINK("http://mcgill.on.worldcat.org/oclc/982176444","Catalog Record")</f>
        <v>Catalog Record</v>
      </c>
      <c r="AW3794" s="6" t="str">
        <f>HYPERLINK("http://www.worldcat.org/oclc/982176444","WorldCat Record")</f>
        <v>WorldCat Record</v>
      </c>
      <c r="AX3794" s="3" t="s">
        <v>37661</v>
      </c>
      <c r="AY3794" s="3" t="s">
        <v>37662</v>
      </c>
      <c r="AZ3794" s="3" t="s">
        <v>37663</v>
      </c>
      <c r="BA3794" s="3" t="s">
        <v>37663</v>
      </c>
      <c r="BB3794" s="3" t="s">
        <v>37664</v>
      </c>
      <c r="BC3794" s="3" t="s">
        <v>77</v>
      </c>
      <c r="BD3794" s="3" t="s">
        <v>78</v>
      </c>
      <c r="BE3794" s="3" t="s">
        <v>37665</v>
      </c>
      <c r="BF3794" s="3" t="s">
        <v>37664</v>
      </c>
      <c r="BG3794" s="3" t="s">
        <v>37666</v>
      </c>
    </row>
    <row r="3795" spans="1:59" ht="58" x14ac:dyDescent="0.35">
      <c r="A3795" s="2" t="s">
        <v>59</v>
      </c>
      <c r="B3795" s="2" t="s">
        <v>60</v>
      </c>
      <c r="C3795" s="2" t="s">
        <v>37667</v>
      </c>
      <c r="D3795" s="2" t="s">
        <v>37668</v>
      </c>
      <c r="E3795" s="2" t="s">
        <v>37669</v>
      </c>
      <c r="G3795" s="3" t="s">
        <v>65</v>
      </c>
      <c r="I3795" s="3" t="s">
        <v>65</v>
      </c>
      <c r="J3795" s="3" t="s">
        <v>65</v>
      </c>
      <c r="K3795" s="3" t="s">
        <v>66</v>
      </c>
      <c r="L3795" s="2" t="s">
        <v>37670</v>
      </c>
      <c r="M3795" s="2" t="s">
        <v>37671</v>
      </c>
      <c r="N3795" s="3" t="s">
        <v>113</v>
      </c>
      <c r="P3795" s="3" t="s">
        <v>140</v>
      </c>
      <c r="Q3795" s="2" t="s">
        <v>37672</v>
      </c>
      <c r="R3795" s="3" t="s">
        <v>71</v>
      </c>
      <c r="S3795" s="4">
        <v>0</v>
      </c>
      <c r="T3795" s="4">
        <v>0</v>
      </c>
      <c r="W3795" s="5" t="s">
        <v>72</v>
      </c>
      <c r="X3795" s="5" t="s">
        <v>72</v>
      </c>
      <c r="Y3795" s="4">
        <v>22</v>
      </c>
      <c r="Z3795" s="4">
        <v>3</v>
      </c>
      <c r="AA3795" s="4">
        <v>3</v>
      </c>
      <c r="AB3795" s="4">
        <v>1</v>
      </c>
      <c r="AC3795" s="4">
        <v>1</v>
      </c>
      <c r="AD3795" s="4">
        <v>17</v>
      </c>
      <c r="AE3795" s="4">
        <v>17</v>
      </c>
      <c r="AF3795" s="4">
        <v>0</v>
      </c>
      <c r="AG3795" s="4">
        <v>0</v>
      </c>
      <c r="AH3795" s="4">
        <v>17</v>
      </c>
      <c r="AI3795" s="4">
        <v>17</v>
      </c>
      <c r="AJ3795" s="4">
        <v>1</v>
      </c>
      <c r="AK3795" s="4">
        <v>1</v>
      </c>
      <c r="AL3795" s="4">
        <v>15</v>
      </c>
      <c r="AM3795" s="4">
        <v>15</v>
      </c>
      <c r="AN3795" s="4">
        <v>0</v>
      </c>
      <c r="AO3795" s="4">
        <v>0</v>
      </c>
      <c r="AP3795" s="4">
        <v>1</v>
      </c>
      <c r="AQ3795" s="4">
        <v>1</v>
      </c>
      <c r="AR3795" s="3" t="s">
        <v>65</v>
      </c>
      <c r="AS3795" s="3" t="s">
        <v>65</v>
      </c>
      <c r="AT3795" s="3" t="s">
        <v>65</v>
      </c>
      <c r="AV3795" s="6" t="str">
        <f>HYPERLINK("http://mcgill.on.worldcat.org/oclc/652361515","Catalog Record")</f>
        <v>Catalog Record</v>
      </c>
      <c r="AW3795" s="6" t="str">
        <f>HYPERLINK("http://www.worldcat.org/oclc/652361515","WorldCat Record")</f>
        <v>WorldCat Record</v>
      </c>
      <c r="AX3795" s="3" t="s">
        <v>37673</v>
      </c>
      <c r="AY3795" s="3" t="s">
        <v>37674</v>
      </c>
      <c r="AZ3795" s="3" t="s">
        <v>37675</v>
      </c>
      <c r="BA3795" s="3" t="s">
        <v>37675</v>
      </c>
      <c r="BB3795" s="3" t="s">
        <v>37676</v>
      </c>
      <c r="BC3795" s="3" t="s">
        <v>77</v>
      </c>
      <c r="BD3795" s="3" t="s">
        <v>78</v>
      </c>
      <c r="BE3795" s="3" t="s">
        <v>37677</v>
      </c>
      <c r="BF3795" s="3" t="s">
        <v>37676</v>
      </c>
      <c r="BG3795" s="3" t="s">
        <v>37678</v>
      </c>
    </row>
    <row r="3796" spans="1:59" ht="58" x14ac:dyDescent="0.35">
      <c r="A3796" s="2" t="s">
        <v>59</v>
      </c>
      <c r="B3796" s="2" t="s">
        <v>60</v>
      </c>
      <c r="C3796" s="2" t="s">
        <v>37679</v>
      </c>
      <c r="D3796" s="2" t="s">
        <v>37680</v>
      </c>
      <c r="E3796" s="2" t="s">
        <v>37681</v>
      </c>
      <c r="G3796" s="3" t="s">
        <v>65</v>
      </c>
      <c r="I3796" s="3" t="s">
        <v>65</v>
      </c>
      <c r="J3796" s="3" t="s">
        <v>65</v>
      </c>
      <c r="K3796" s="3" t="s">
        <v>66</v>
      </c>
      <c r="L3796" s="2" t="s">
        <v>37682</v>
      </c>
      <c r="M3796" s="2" t="s">
        <v>37683</v>
      </c>
      <c r="N3796" s="3" t="s">
        <v>176</v>
      </c>
      <c r="P3796" s="3" t="s">
        <v>140</v>
      </c>
      <c r="Q3796" s="2" t="s">
        <v>37684</v>
      </c>
      <c r="R3796" s="3" t="s">
        <v>71</v>
      </c>
      <c r="S3796" s="4">
        <v>1</v>
      </c>
      <c r="T3796" s="4">
        <v>1</v>
      </c>
      <c r="W3796" s="5" t="s">
        <v>72</v>
      </c>
      <c r="X3796" s="5" t="s">
        <v>72</v>
      </c>
      <c r="Y3796" s="4">
        <v>44</v>
      </c>
      <c r="Z3796" s="4">
        <v>5</v>
      </c>
      <c r="AA3796" s="4">
        <v>5</v>
      </c>
      <c r="AB3796" s="4">
        <v>1</v>
      </c>
      <c r="AC3796" s="4">
        <v>1</v>
      </c>
      <c r="AD3796" s="4">
        <v>33</v>
      </c>
      <c r="AE3796" s="4">
        <v>33</v>
      </c>
      <c r="AF3796" s="4">
        <v>0</v>
      </c>
      <c r="AG3796" s="4">
        <v>0</v>
      </c>
      <c r="AH3796" s="4">
        <v>32</v>
      </c>
      <c r="AI3796" s="4">
        <v>32</v>
      </c>
      <c r="AJ3796" s="4">
        <v>2</v>
      </c>
      <c r="AK3796" s="4">
        <v>2</v>
      </c>
      <c r="AL3796" s="4">
        <v>24</v>
      </c>
      <c r="AM3796" s="4">
        <v>24</v>
      </c>
      <c r="AN3796" s="4">
        <v>0</v>
      </c>
      <c r="AO3796" s="4">
        <v>0</v>
      </c>
      <c r="AP3796" s="4">
        <v>2</v>
      </c>
      <c r="AQ3796" s="4">
        <v>2</v>
      </c>
      <c r="AR3796" s="3" t="s">
        <v>65</v>
      </c>
      <c r="AS3796" s="3" t="s">
        <v>65</v>
      </c>
      <c r="AT3796" s="3" t="s">
        <v>65</v>
      </c>
      <c r="AV3796" s="6" t="str">
        <f>HYPERLINK("http://mcgill.on.worldcat.org/oclc/909285149","Catalog Record")</f>
        <v>Catalog Record</v>
      </c>
      <c r="AW3796" s="6" t="str">
        <f>HYPERLINK("http://www.worldcat.org/oclc/909285149","WorldCat Record")</f>
        <v>WorldCat Record</v>
      </c>
      <c r="AX3796" s="3" t="s">
        <v>37685</v>
      </c>
      <c r="AY3796" s="3" t="s">
        <v>37686</v>
      </c>
      <c r="AZ3796" s="3" t="s">
        <v>37687</v>
      </c>
      <c r="BA3796" s="3" t="s">
        <v>37687</v>
      </c>
      <c r="BB3796" s="3" t="s">
        <v>37688</v>
      </c>
      <c r="BC3796" s="3" t="s">
        <v>77</v>
      </c>
      <c r="BD3796" s="3" t="s">
        <v>106</v>
      </c>
      <c r="BE3796" s="3" t="s">
        <v>37689</v>
      </c>
      <c r="BF3796" s="3" t="s">
        <v>37688</v>
      </c>
      <c r="BG3796" s="3" t="s">
        <v>37690</v>
      </c>
    </row>
    <row r="3797" spans="1:59" ht="58" x14ac:dyDescent="0.35">
      <c r="A3797" s="2" t="s">
        <v>59</v>
      </c>
      <c r="B3797" s="2" t="s">
        <v>60</v>
      </c>
      <c r="C3797" s="2" t="s">
        <v>37691</v>
      </c>
      <c r="D3797" s="2" t="s">
        <v>37692</v>
      </c>
      <c r="E3797" s="2" t="s">
        <v>37693</v>
      </c>
      <c r="G3797" s="3" t="s">
        <v>65</v>
      </c>
      <c r="I3797" s="3" t="s">
        <v>65</v>
      </c>
      <c r="J3797" s="3" t="s">
        <v>65</v>
      </c>
      <c r="K3797" s="3" t="s">
        <v>66</v>
      </c>
      <c r="M3797" s="2" t="s">
        <v>37694</v>
      </c>
      <c r="N3797" s="3" t="s">
        <v>99</v>
      </c>
      <c r="P3797" s="3" t="s">
        <v>140</v>
      </c>
      <c r="Q3797" s="2" t="s">
        <v>37695</v>
      </c>
      <c r="R3797" s="3" t="s">
        <v>71</v>
      </c>
      <c r="S3797" s="4">
        <v>2</v>
      </c>
      <c r="T3797" s="4">
        <v>2</v>
      </c>
      <c r="U3797" s="5" t="s">
        <v>29127</v>
      </c>
      <c r="V3797" s="5" t="s">
        <v>29127</v>
      </c>
      <c r="W3797" s="5" t="s">
        <v>72</v>
      </c>
      <c r="X3797" s="5" t="s">
        <v>72</v>
      </c>
      <c r="Y3797" s="4">
        <v>27</v>
      </c>
      <c r="Z3797" s="4">
        <v>3</v>
      </c>
      <c r="AA3797" s="4">
        <v>3</v>
      </c>
      <c r="AB3797" s="4">
        <v>1</v>
      </c>
      <c r="AC3797" s="4">
        <v>1</v>
      </c>
      <c r="AD3797" s="4">
        <v>13</v>
      </c>
      <c r="AE3797" s="4">
        <v>13</v>
      </c>
      <c r="AF3797" s="4">
        <v>0</v>
      </c>
      <c r="AG3797" s="4">
        <v>0</v>
      </c>
      <c r="AH3797" s="4">
        <v>12</v>
      </c>
      <c r="AI3797" s="4">
        <v>12</v>
      </c>
      <c r="AJ3797" s="4">
        <v>1</v>
      </c>
      <c r="AK3797" s="4">
        <v>1</v>
      </c>
      <c r="AL3797" s="4">
        <v>11</v>
      </c>
      <c r="AM3797" s="4">
        <v>11</v>
      </c>
      <c r="AN3797" s="4">
        <v>0</v>
      </c>
      <c r="AO3797" s="4">
        <v>0</v>
      </c>
      <c r="AP3797" s="4">
        <v>1</v>
      </c>
      <c r="AQ3797" s="4">
        <v>1</v>
      </c>
      <c r="AR3797" s="3" t="s">
        <v>65</v>
      </c>
      <c r="AS3797" s="3" t="s">
        <v>65</v>
      </c>
      <c r="AT3797" s="3" t="s">
        <v>65</v>
      </c>
      <c r="AV3797" s="6" t="str">
        <f>HYPERLINK("http://mcgill.on.worldcat.org/oclc/69983148","Catalog Record")</f>
        <v>Catalog Record</v>
      </c>
      <c r="AW3797" s="6" t="str">
        <f>HYPERLINK("http://www.worldcat.org/oclc/69983148","WorldCat Record")</f>
        <v>WorldCat Record</v>
      </c>
      <c r="AX3797" s="3" t="s">
        <v>37696</v>
      </c>
      <c r="AY3797" s="3" t="s">
        <v>37697</v>
      </c>
      <c r="AZ3797" s="3" t="s">
        <v>37698</v>
      </c>
      <c r="BA3797" s="3" t="s">
        <v>37698</v>
      </c>
      <c r="BB3797" s="3" t="s">
        <v>37699</v>
      </c>
      <c r="BC3797" s="3" t="s">
        <v>77</v>
      </c>
      <c r="BD3797" s="3" t="s">
        <v>106</v>
      </c>
      <c r="BE3797" s="3" t="s">
        <v>37700</v>
      </c>
      <c r="BF3797" s="3" t="s">
        <v>37699</v>
      </c>
      <c r="BG3797" s="3" t="s">
        <v>37701</v>
      </c>
    </row>
    <row r="3798" spans="1:59" ht="58" x14ac:dyDescent="0.35">
      <c r="A3798" s="2" t="s">
        <v>59</v>
      </c>
      <c r="B3798" s="2" t="s">
        <v>60</v>
      </c>
      <c r="C3798" s="2" t="s">
        <v>37702</v>
      </c>
      <c r="D3798" s="2" t="s">
        <v>37703</v>
      </c>
      <c r="E3798" s="2" t="s">
        <v>37704</v>
      </c>
      <c r="G3798" s="3" t="s">
        <v>65</v>
      </c>
      <c r="I3798" s="3" t="s">
        <v>65</v>
      </c>
      <c r="J3798" s="3" t="s">
        <v>65</v>
      </c>
      <c r="K3798" s="3" t="s">
        <v>66</v>
      </c>
      <c r="L3798" s="2" t="s">
        <v>37705</v>
      </c>
      <c r="M3798" s="2" t="s">
        <v>37706</v>
      </c>
      <c r="N3798" s="3" t="s">
        <v>113</v>
      </c>
      <c r="P3798" s="3" t="s">
        <v>69</v>
      </c>
      <c r="Q3798" s="2" t="s">
        <v>37707</v>
      </c>
      <c r="R3798" s="3" t="s">
        <v>71</v>
      </c>
      <c r="S3798" s="4">
        <v>3</v>
      </c>
      <c r="T3798" s="4">
        <v>3</v>
      </c>
      <c r="U3798" s="5" t="s">
        <v>37708</v>
      </c>
      <c r="V3798" s="5" t="s">
        <v>37708</v>
      </c>
      <c r="W3798" s="5" t="s">
        <v>72</v>
      </c>
      <c r="X3798" s="5" t="s">
        <v>72</v>
      </c>
      <c r="Y3798" s="4">
        <v>48</v>
      </c>
      <c r="Z3798" s="4">
        <v>3</v>
      </c>
      <c r="AA3798" s="4">
        <v>30</v>
      </c>
      <c r="AB3798" s="4">
        <v>1</v>
      </c>
      <c r="AC3798" s="4">
        <v>7</v>
      </c>
      <c r="AD3798" s="4">
        <v>22</v>
      </c>
      <c r="AE3798" s="4">
        <v>34</v>
      </c>
      <c r="AF3798" s="4">
        <v>0</v>
      </c>
      <c r="AG3798" s="4">
        <v>1</v>
      </c>
      <c r="AH3798" s="4">
        <v>22</v>
      </c>
      <c r="AI3798" s="4">
        <v>26</v>
      </c>
      <c r="AJ3798" s="4">
        <v>2</v>
      </c>
      <c r="AK3798" s="4">
        <v>3</v>
      </c>
      <c r="AL3798" s="4">
        <v>14</v>
      </c>
      <c r="AM3798" s="4">
        <v>18</v>
      </c>
      <c r="AN3798" s="4">
        <v>0</v>
      </c>
      <c r="AO3798" s="4">
        <v>0</v>
      </c>
      <c r="AP3798" s="4">
        <v>2</v>
      </c>
      <c r="AQ3798" s="4">
        <v>8</v>
      </c>
      <c r="AR3798" s="3" t="s">
        <v>65</v>
      </c>
      <c r="AS3798" s="3" t="s">
        <v>65</v>
      </c>
      <c r="AT3798" s="3" t="s">
        <v>65</v>
      </c>
      <c r="AV3798" s="6" t="str">
        <f>HYPERLINK("http://mcgill.on.worldcat.org/oclc/528665806","Catalog Record")</f>
        <v>Catalog Record</v>
      </c>
      <c r="AW3798" s="6" t="str">
        <f>HYPERLINK("http://www.worldcat.org/oclc/528665806","WorldCat Record")</f>
        <v>WorldCat Record</v>
      </c>
      <c r="AX3798" s="3" t="s">
        <v>37709</v>
      </c>
      <c r="AY3798" s="3" t="s">
        <v>37710</v>
      </c>
      <c r="AZ3798" s="3" t="s">
        <v>37711</v>
      </c>
      <c r="BA3798" s="3" t="s">
        <v>37711</v>
      </c>
      <c r="BB3798" s="3" t="s">
        <v>37712</v>
      </c>
      <c r="BC3798" s="3" t="s">
        <v>77</v>
      </c>
      <c r="BD3798" s="3" t="s">
        <v>78</v>
      </c>
      <c r="BE3798" s="3" t="s">
        <v>37713</v>
      </c>
      <c r="BF3798" s="3" t="s">
        <v>37712</v>
      </c>
      <c r="BG3798" s="3" t="s">
        <v>37714</v>
      </c>
    </row>
    <row r="3799" spans="1:59" ht="58" x14ac:dyDescent="0.35">
      <c r="A3799" s="2" t="s">
        <v>59</v>
      </c>
      <c r="B3799" s="2" t="s">
        <v>60</v>
      </c>
      <c r="C3799" s="2" t="s">
        <v>37715</v>
      </c>
      <c r="D3799" s="2" t="s">
        <v>37716</v>
      </c>
      <c r="E3799" s="2" t="s">
        <v>37717</v>
      </c>
      <c r="G3799" s="3" t="s">
        <v>65</v>
      </c>
      <c r="I3799" s="3" t="s">
        <v>65</v>
      </c>
      <c r="J3799" s="3" t="s">
        <v>65</v>
      </c>
      <c r="K3799" s="3" t="s">
        <v>66</v>
      </c>
      <c r="L3799" s="2" t="s">
        <v>37718</v>
      </c>
      <c r="M3799" s="2" t="s">
        <v>37719</v>
      </c>
      <c r="N3799" s="3" t="s">
        <v>176</v>
      </c>
      <c r="P3799" s="3" t="s">
        <v>69</v>
      </c>
      <c r="R3799" s="3" t="s">
        <v>71</v>
      </c>
      <c r="S3799" s="4">
        <v>0</v>
      </c>
      <c r="T3799" s="4">
        <v>0</v>
      </c>
      <c r="W3799" s="5" t="s">
        <v>72</v>
      </c>
      <c r="X3799" s="5" t="s">
        <v>72</v>
      </c>
      <c r="Y3799" s="4">
        <v>53</v>
      </c>
      <c r="Z3799" s="4">
        <v>6</v>
      </c>
      <c r="AA3799" s="4">
        <v>9</v>
      </c>
      <c r="AB3799" s="4">
        <v>1</v>
      </c>
      <c r="AC3799" s="4">
        <v>4</v>
      </c>
      <c r="AD3799" s="4">
        <v>32</v>
      </c>
      <c r="AE3799" s="4">
        <v>33</v>
      </c>
      <c r="AF3799" s="4">
        <v>0</v>
      </c>
      <c r="AG3799" s="4">
        <v>1</v>
      </c>
      <c r="AH3799" s="4">
        <v>32</v>
      </c>
      <c r="AI3799" s="4">
        <v>32</v>
      </c>
      <c r="AJ3799" s="4">
        <v>3</v>
      </c>
      <c r="AK3799" s="4">
        <v>4</v>
      </c>
      <c r="AL3799" s="4">
        <v>20</v>
      </c>
      <c r="AM3799" s="4">
        <v>20</v>
      </c>
      <c r="AN3799" s="4">
        <v>0</v>
      </c>
      <c r="AO3799" s="4">
        <v>0</v>
      </c>
      <c r="AP3799" s="4">
        <v>3</v>
      </c>
      <c r="AQ3799" s="4">
        <v>4</v>
      </c>
      <c r="AR3799" s="3" t="s">
        <v>65</v>
      </c>
      <c r="AS3799" s="3" t="s">
        <v>65</v>
      </c>
      <c r="AT3799" s="3" t="s">
        <v>65</v>
      </c>
      <c r="AV3799" s="6" t="str">
        <f>HYPERLINK("http://mcgill.on.worldcat.org/oclc/907161304","Catalog Record")</f>
        <v>Catalog Record</v>
      </c>
      <c r="AW3799" s="6" t="str">
        <f>HYPERLINK("http://www.worldcat.org/oclc/907161304","WorldCat Record")</f>
        <v>WorldCat Record</v>
      </c>
      <c r="AX3799" s="3" t="s">
        <v>37720</v>
      </c>
      <c r="AY3799" s="3" t="s">
        <v>37721</v>
      </c>
      <c r="AZ3799" s="3" t="s">
        <v>37722</v>
      </c>
      <c r="BA3799" s="3" t="s">
        <v>37722</v>
      </c>
      <c r="BB3799" s="3" t="s">
        <v>37723</v>
      </c>
      <c r="BC3799" s="3" t="s">
        <v>77</v>
      </c>
      <c r="BD3799" s="3" t="s">
        <v>78</v>
      </c>
      <c r="BE3799" s="3" t="s">
        <v>37724</v>
      </c>
      <c r="BF3799" s="3" t="s">
        <v>37723</v>
      </c>
      <c r="BG3799" s="3" t="s">
        <v>37725</v>
      </c>
    </row>
    <row r="3800" spans="1:59" ht="58" x14ac:dyDescent="0.35">
      <c r="A3800" s="2" t="s">
        <v>59</v>
      </c>
      <c r="B3800" s="2" t="s">
        <v>60</v>
      </c>
      <c r="C3800" s="2" t="s">
        <v>37726</v>
      </c>
      <c r="D3800" s="2" t="s">
        <v>37727</v>
      </c>
      <c r="E3800" s="2" t="s">
        <v>37728</v>
      </c>
      <c r="G3800" s="3" t="s">
        <v>65</v>
      </c>
      <c r="I3800" s="3" t="s">
        <v>65</v>
      </c>
      <c r="J3800" s="3" t="s">
        <v>65</v>
      </c>
      <c r="K3800" s="3" t="s">
        <v>66</v>
      </c>
      <c r="L3800" s="2" t="s">
        <v>37729</v>
      </c>
      <c r="M3800" s="2" t="s">
        <v>36058</v>
      </c>
      <c r="N3800" s="3" t="s">
        <v>139</v>
      </c>
      <c r="P3800" s="3" t="s">
        <v>140</v>
      </c>
      <c r="R3800" s="3" t="s">
        <v>71</v>
      </c>
      <c r="S3800" s="4">
        <v>0</v>
      </c>
      <c r="T3800" s="4">
        <v>0</v>
      </c>
      <c r="W3800" s="5" t="s">
        <v>72</v>
      </c>
      <c r="X3800" s="5" t="s">
        <v>72</v>
      </c>
      <c r="Y3800" s="4">
        <v>7</v>
      </c>
      <c r="Z3800" s="4">
        <v>1</v>
      </c>
      <c r="AA3800" s="4">
        <v>1</v>
      </c>
      <c r="AB3800" s="4">
        <v>1</v>
      </c>
      <c r="AC3800" s="4">
        <v>1</v>
      </c>
      <c r="AD3800" s="4">
        <v>5</v>
      </c>
      <c r="AE3800" s="4">
        <v>5</v>
      </c>
      <c r="AF3800" s="4">
        <v>0</v>
      </c>
      <c r="AG3800" s="4">
        <v>0</v>
      </c>
      <c r="AH3800" s="4">
        <v>5</v>
      </c>
      <c r="AI3800" s="4">
        <v>5</v>
      </c>
      <c r="AJ3800" s="4">
        <v>0</v>
      </c>
      <c r="AK3800" s="4">
        <v>0</v>
      </c>
      <c r="AL3800" s="4">
        <v>4</v>
      </c>
      <c r="AM3800" s="4">
        <v>4</v>
      </c>
      <c r="AN3800" s="4">
        <v>0</v>
      </c>
      <c r="AO3800" s="4">
        <v>0</v>
      </c>
      <c r="AP3800" s="4">
        <v>0</v>
      </c>
      <c r="AQ3800" s="4">
        <v>0</v>
      </c>
      <c r="AR3800" s="3" t="s">
        <v>65</v>
      </c>
      <c r="AS3800" s="3" t="s">
        <v>65</v>
      </c>
      <c r="AT3800" s="3" t="s">
        <v>65</v>
      </c>
      <c r="AV3800" s="6" t="str">
        <f>HYPERLINK("http://mcgill.on.worldcat.org/oclc/799999882","Catalog Record")</f>
        <v>Catalog Record</v>
      </c>
      <c r="AW3800" s="6" t="str">
        <f>HYPERLINK("http://www.worldcat.org/oclc/799999882","WorldCat Record")</f>
        <v>WorldCat Record</v>
      </c>
      <c r="AX3800" s="3" t="s">
        <v>37730</v>
      </c>
      <c r="AY3800" s="3" t="s">
        <v>37731</v>
      </c>
      <c r="AZ3800" s="3" t="s">
        <v>37732</v>
      </c>
      <c r="BA3800" s="3" t="s">
        <v>37732</v>
      </c>
      <c r="BB3800" s="3" t="s">
        <v>37733</v>
      </c>
      <c r="BC3800" s="3" t="s">
        <v>77</v>
      </c>
      <c r="BD3800" s="3" t="s">
        <v>78</v>
      </c>
      <c r="BE3800" s="3" t="s">
        <v>37734</v>
      </c>
      <c r="BF3800" s="3" t="s">
        <v>37733</v>
      </c>
      <c r="BG3800" s="3" t="s">
        <v>37735</v>
      </c>
    </row>
    <row r="3801" spans="1:59" ht="58" x14ac:dyDescent="0.35">
      <c r="A3801" s="2" t="s">
        <v>59</v>
      </c>
      <c r="B3801" s="2" t="s">
        <v>60</v>
      </c>
      <c r="C3801" s="2" t="s">
        <v>37736</v>
      </c>
      <c r="D3801" s="2" t="s">
        <v>37737</v>
      </c>
      <c r="E3801" s="2" t="s">
        <v>37738</v>
      </c>
      <c r="G3801" s="3" t="s">
        <v>65</v>
      </c>
      <c r="I3801" s="3" t="s">
        <v>65</v>
      </c>
      <c r="J3801" s="3" t="s">
        <v>65</v>
      </c>
      <c r="K3801" s="3" t="s">
        <v>66</v>
      </c>
      <c r="L3801" s="2" t="s">
        <v>37729</v>
      </c>
      <c r="M3801" s="2" t="s">
        <v>37739</v>
      </c>
      <c r="N3801" s="3" t="s">
        <v>152</v>
      </c>
      <c r="O3801" s="2" t="s">
        <v>235</v>
      </c>
      <c r="P3801" s="3" t="s">
        <v>140</v>
      </c>
      <c r="Q3801" s="2" t="s">
        <v>37740</v>
      </c>
      <c r="R3801" s="3" t="s">
        <v>71</v>
      </c>
      <c r="S3801" s="4">
        <v>0</v>
      </c>
      <c r="T3801" s="4">
        <v>0</v>
      </c>
      <c r="W3801" s="5" t="s">
        <v>72</v>
      </c>
      <c r="X3801" s="5" t="s">
        <v>72</v>
      </c>
      <c r="Y3801" s="4">
        <v>24</v>
      </c>
      <c r="Z3801" s="4">
        <v>4</v>
      </c>
      <c r="AA3801" s="4">
        <v>5</v>
      </c>
      <c r="AB3801" s="4">
        <v>1</v>
      </c>
      <c r="AC3801" s="4">
        <v>2</v>
      </c>
      <c r="AD3801" s="4">
        <v>11</v>
      </c>
      <c r="AE3801" s="4">
        <v>41</v>
      </c>
      <c r="AF3801" s="4">
        <v>0</v>
      </c>
      <c r="AG3801" s="4">
        <v>0</v>
      </c>
      <c r="AH3801" s="4">
        <v>11</v>
      </c>
      <c r="AI3801" s="4">
        <v>40</v>
      </c>
      <c r="AJ3801" s="4">
        <v>1</v>
      </c>
      <c r="AK3801" s="4">
        <v>1</v>
      </c>
      <c r="AL3801" s="4">
        <v>10</v>
      </c>
      <c r="AM3801" s="4">
        <v>35</v>
      </c>
      <c r="AN3801" s="4">
        <v>0</v>
      </c>
      <c r="AO3801" s="4">
        <v>0</v>
      </c>
      <c r="AP3801" s="4">
        <v>1</v>
      </c>
      <c r="AQ3801" s="4">
        <v>1</v>
      </c>
      <c r="AR3801" s="3" t="s">
        <v>65</v>
      </c>
      <c r="AS3801" s="3" t="s">
        <v>65</v>
      </c>
      <c r="AT3801" s="3" t="s">
        <v>65</v>
      </c>
      <c r="AV3801" s="6" t="str">
        <f>HYPERLINK("http://mcgill.on.worldcat.org/oclc/869460205","Catalog Record")</f>
        <v>Catalog Record</v>
      </c>
      <c r="AW3801" s="6" t="str">
        <f>HYPERLINK("http://www.worldcat.org/oclc/869460205","WorldCat Record")</f>
        <v>WorldCat Record</v>
      </c>
      <c r="AX3801" s="3" t="s">
        <v>37741</v>
      </c>
      <c r="AY3801" s="3" t="s">
        <v>37742</v>
      </c>
      <c r="AZ3801" s="3" t="s">
        <v>37743</v>
      </c>
      <c r="BA3801" s="3" t="s">
        <v>37743</v>
      </c>
      <c r="BB3801" s="3" t="s">
        <v>37744</v>
      </c>
      <c r="BC3801" s="3" t="s">
        <v>77</v>
      </c>
      <c r="BD3801" s="3" t="s">
        <v>78</v>
      </c>
      <c r="BE3801" s="3" t="s">
        <v>37745</v>
      </c>
      <c r="BF3801" s="3" t="s">
        <v>37744</v>
      </c>
      <c r="BG3801" s="3" t="s">
        <v>37746</v>
      </c>
    </row>
    <row r="3802" spans="1:59" ht="58" x14ac:dyDescent="0.35">
      <c r="A3802" s="2" t="s">
        <v>59</v>
      </c>
      <c r="B3802" s="2" t="s">
        <v>60</v>
      </c>
      <c r="C3802" s="2" t="s">
        <v>37747</v>
      </c>
      <c r="D3802" s="2" t="s">
        <v>37748</v>
      </c>
      <c r="E3802" s="2" t="s">
        <v>37749</v>
      </c>
      <c r="G3802" s="3" t="s">
        <v>65</v>
      </c>
      <c r="I3802" s="3" t="s">
        <v>65</v>
      </c>
      <c r="J3802" s="3" t="s">
        <v>65</v>
      </c>
      <c r="K3802" s="3" t="s">
        <v>66</v>
      </c>
      <c r="L3802" s="2" t="s">
        <v>37729</v>
      </c>
      <c r="M3802" s="2" t="s">
        <v>8176</v>
      </c>
      <c r="N3802" s="3" t="s">
        <v>2750</v>
      </c>
      <c r="P3802" s="3" t="s">
        <v>140</v>
      </c>
      <c r="R3802" s="3" t="s">
        <v>71</v>
      </c>
      <c r="S3802" s="4">
        <v>39</v>
      </c>
      <c r="T3802" s="4">
        <v>39</v>
      </c>
      <c r="U3802" s="5" t="s">
        <v>22787</v>
      </c>
      <c r="V3802" s="5" t="s">
        <v>22787</v>
      </c>
      <c r="W3802" s="5" t="s">
        <v>72</v>
      </c>
      <c r="X3802" s="5" t="s">
        <v>72</v>
      </c>
      <c r="Y3802" s="4">
        <v>54</v>
      </c>
      <c r="Z3802" s="4">
        <v>6</v>
      </c>
      <c r="AA3802" s="4">
        <v>13</v>
      </c>
      <c r="AB3802" s="4">
        <v>2</v>
      </c>
      <c r="AC3802" s="4">
        <v>2</v>
      </c>
      <c r="AD3802" s="4">
        <v>35</v>
      </c>
      <c r="AE3802" s="4">
        <v>61</v>
      </c>
      <c r="AF3802" s="4">
        <v>1</v>
      </c>
      <c r="AG3802" s="4">
        <v>1</v>
      </c>
      <c r="AH3802" s="4">
        <v>32</v>
      </c>
      <c r="AI3802" s="4">
        <v>56</v>
      </c>
      <c r="AJ3802" s="4">
        <v>4</v>
      </c>
      <c r="AK3802" s="4">
        <v>10</v>
      </c>
      <c r="AL3802" s="4">
        <v>21</v>
      </c>
      <c r="AM3802" s="4">
        <v>34</v>
      </c>
      <c r="AN3802" s="4">
        <v>0</v>
      </c>
      <c r="AO3802" s="4">
        <v>0</v>
      </c>
      <c r="AP3802" s="4">
        <v>4</v>
      </c>
      <c r="AQ3802" s="4">
        <v>10</v>
      </c>
      <c r="AR3802" s="3" t="s">
        <v>65</v>
      </c>
      <c r="AS3802" s="3" t="s">
        <v>65</v>
      </c>
      <c r="AT3802" s="3" t="s">
        <v>209</v>
      </c>
      <c r="AU3802" s="6" t="str">
        <f>HYPERLINK("http://catalog.hathitrust.org/Record/000720157","HathiTrust Record")</f>
        <v>HathiTrust Record</v>
      </c>
      <c r="AV3802" s="6" t="str">
        <f>HYPERLINK("http://mcgill.on.worldcat.org/oclc/2366625","Catalog Record")</f>
        <v>Catalog Record</v>
      </c>
      <c r="AW3802" s="6" t="str">
        <f>HYPERLINK("http://www.worldcat.org/oclc/2366625","WorldCat Record")</f>
        <v>WorldCat Record</v>
      </c>
      <c r="AX3802" s="3" t="s">
        <v>37750</v>
      </c>
      <c r="AY3802" s="3" t="s">
        <v>37751</v>
      </c>
      <c r="AZ3802" s="3" t="s">
        <v>37752</v>
      </c>
      <c r="BA3802" s="3" t="s">
        <v>37752</v>
      </c>
      <c r="BB3802" s="3" t="s">
        <v>37753</v>
      </c>
      <c r="BC3802" s="3" t="s">
        <v>77</v>
      </c>
      <c r="BD3802" s="3" t="s">
        <v>78</v>
      </c>
      <c r="BF3802" s="3" t="s">
        <v>37753</v>
      </c>
      <c r="BG3802" s="3" t="s">
        <v>37754</v>
      </c>
    </row>
    <row r="3803" spans="1:59" ht="58" x14ac:dyDescent="0.35">
      <c r="A3803" s="2" t="s">
        <v>59</v>
      </c>
      <c r="B3803" s="2" t="s">
        <v>60</v>
      </c>
      <c r="C3803" s="2" t="s">
        <v>37755</v>
      </c>
      <c r="D3803" s="2" t="s">
        <v>37756</v>
      </c>
      <c r="E3803" s="2" t="s">
        <v>37757</v>
      </c>
      <c r="G3803" s="3" t="s">
        <v>65</v>
      </c>
      <c r="I3803" s="3" t="s">
        <v>65</v>
      </c>
      <c r="J3803" s="3" t="s">
        <v>209</v>
      </c>
      <c r="K3803" s="3" t="s">
        <v>66</v>
      </c>
      <c r="L3803" s="2" t="s">
        <v>37729</v>
      </c>
      <c r="M3803" s="2" t="s">
        <v>37758</v>
      </c>
      <c r="N3803" s="3" t="s">
        <v>113</v>
      </c>
      <c r="P3803" s="3" t="s">
        <v>69</v>
      </c>
      <c r="R3803" s="3" t="s">
        <v>71</v>
      </c>
      <c r="S3803" s="4">
        <v>0</v>
      </c>
      <c r="T3803" s="4">
        <v>0</v>
      </c>
      <c r="W3803" s="5" t="s">
        <v>72</v>
      </c>
      <c r="X3803" s="5" t="s">
        <v>72</v>
      </c>
      <c r="Y3803" s="4">
        <v>47</v>
      </c>
      <c r="Z3803" s="4">
        <v>1</v>
      </c>
      <c r="AA3803" s="4">
        <v>26</v>
      </c>
      <c r="AB3803" s="4">
        <v>1</v>
      </c>
      <c r="AC3803" s="4">
        <v>3</v>
      </c>
      <c r="AD3803" s="4">
        <v>1</v>
      </c>
      <c r="AE3803" s="4">
        <v>100</v>
      </c>
      <c r="AF3803" s="4">
        <v>0</v>
      </c>
      <c r="AG3803" s="4">
        <v>0</v>
      </c>
      <c r="AH3803" s="4">
        <v>1</v>
      </c>
      <c r="AI3803" s="4">
        <v>90</v>
      </c>
      <c r="AJ3803" s="4">
        <v>0</v>
      </c>
      <c r="AK3803" s="4">
        <v>11</v>
      </c>
      <c r="AL3803" s="4">
        <v>1</v>
      </c>
      <c r="AM3803" s="4">
        <v>54</v>
      </c>
      <c r="AN3803" s="4">
        <v>0</v>
      </c>
      <c r="AO3803" s="4">
        <v>0</v>
      </c>
      <c r="AP3803" s="4">
        <v>0</v>
      </c>
      <c r="AQ3803" s="4">
        <v>13</v>
      </c>
      <c r="AR3803" s="3" t="s">
        <v>65</v>
      </c>
      <c r="AS3803" s="3" t="s">
        <v>65</v>
      </c>
      <c r="AT3803" s="3" t="s">
        <v>65</v>
      </c>
      <c r="AV3803" s="6" t="str">
        <f>HYPERLINK("http://mcgill.on.worldcat.org/oclc/540182506","Catalog Record")</f>
        <v>Catalog Record</v>
      </c>
      <c r="AW3803" s="6" t="str">
        <f>HYPERLINK("http://www.worldcat.org/oclc/540182506","WorldCat Record")</f>
        <v>WorldCat Record</v>
      </c>
      <c r="AX3803" s="3" t="s">
        <v>37759</v>
      </c>
      <c r="AY3803" s="3" t="s">
        <v>37760</v>
      </c>
      <c r="AZ3803" s="3" t="s">
        <v>37761</v>
      </c>
      <c r="BA3803" s="3" t="s">
        <v>37761</v>
      </c>
      <c r="BB3803" s="3" t="s">
        <v>37762</v>
      </c>
      <c r="BC3803" s="3" t="s">
        <v>77</v>
      </c>
      <c r="BD3803" s="3" t="s">
        <v>78</v>
      </c>
      <c r="BE3803" s="3" t="s">
        <v>37763</v>
      </c>
      <c r="BF3803" s="3" t="s">
        <v>37762</v>
      </c>
      <c r="BG3803" s="3" t="s">
        <v>37764</v>
      </c>
    </row>
    <row r="3804" spans="1:59" ht="58" x14ac:dyDescent="0.35">
      <c r="A3804" s="2" t="s">
        <v>59</v>
      </c>
      <c r="B3804" s="2" t="s">
        <v>60</v>
      </c>
      <c r="C3804" s="2" t="s">
        <v>37765</v>
      </c>
      <c r="D3804" s="2" t="s">
        <v>37766</v>
      </c>
      <c r="E3804" s="2" t="s">
        <v>37767</v>
      </c>
      <c r="G3804" s="3" t="s">
        <v>65</v>
      </c>
      <c r="I3804" s="3" t="s">
        <v>65</v>
      </c>
      <c r="J3804" s="3" t="s">
        <v>65</v>
      </c>
      <c r="K3804" s="3" t="s">
        <v>66</v>
      </c>
      <c r="L3804" s="2" t="s">
        <v>37729</v>
      </c>
      <c r="M3804" s="2" t="s">
        <v>37768</v>
      </c>
      <c r="N3804" s="3" t="s">
        <v>364</v>
      </c>
      <c r="O3804" s="2" t="s">
        <v>37769</v>
      </c>
      <c r="P3804" s="3" t="s">
        <v>140</v>
      </c>
      <c r="Q3804" s="2" t="s">
        <v>37770</v>
      </c>
      <c r="R3804" s="3" t="s">
        <v>71</v>
      </c>
      <c r="S3804" s="4">
        <v>1</v>
      </c>
      <c r="T3804" s="4">
        <v>1</v>
      </c>
      <c r="U3804" s="5" t="s">
        <v>37771</v>
      </c>
      <c r="V3804" s="5" t="s">
        <v>37771</v>
      </c>
      <c r="W3804" s="5" t="s">
        <v>72</v>
      </c>
      <c r="X3804" s="5" t="s">
        <v>72</v>
      </c>
      <c r="Y3804" s="4">
        <v>38</v>
      </c>
      <c r="Z3804" s="4">
        <v>4</v>
      </c>
      <c r="AA3804" s="4">
        <v>5</v>
      </c>
      <c r="AB3804" s="4">
        <v>1</v>
      </c>
      <c r="AC3804" s="4">
        <v>2</v>
      </c>
      <c r="AD3804" s="4">
        <v>21</v>
      </c>
      <c r="AE3804" s="4">
        <v>22</v>
      </c>
      <c r="AF3804" s="4">
        <v>0</v>
      </c>
      <c r="AG3804" s="4">
        <v>1</v>
      </c>
      <c r="AH3804" s="4">
        <v>20</v>
      </c>
      <c r="AI3804" s="4">
        <v>20</v>
      </c>
      <c r="AJ3804" s="4">
        <v>2</v>
      </c>
      <c r="AK3804" s="4">
        <v>3</v>
      </c>
      <c r="AL3804" s="4">
        <v>18</v>
      </c>
      <c r="AM3804" s="4">
        <v>18</v>
      </c>
      <c r="AN3804" s="4">
        <v>0</v>
      </c>
      <c r="AO3804" s="4">
        <v>0</v>
      </c>
      <c r="AP3804" s="4">
        <v>2</v>
      </c>
      <c r="AQ3804" s="4">
        <v>2</v>
      </c>
      <c r="AR3804" s="3" t="s">
        <v>65</v>
      </c>
      <c r="AS3804" s="3" t="s">
        <v>65</v>
      </c>
      <c r="AT3804" s="3" t="s">
        <v>209</v>
      </c>
      <c r="AU3804" s="6" t="str">
        <f>HYPERLINK("http://catalog.hathitrust.org/Record/007582710","HathiTrust Record")</f>
        <v>HathiTrust Record</v>
      </c>
      <c r="AV3804" s="6" t="str">
        <f>HYPERLINK("http://mcgill.on.worldcat.org/oclc/50063740","Catalog Record")</f>
        <v>Catalog Record</v>
      </c>
      <c r="AW3804" s="6" t="str">
        <f>HYPERLINK("http://www.worldcat.org/oclc/50063740","WorldCat Record")</f>
        <v>WorldCat Record</v>
      </c>
      <c r="AX3804" s="3" t="s">
        <v>37772</v>
      </c>
      <c r="AY3804" s="3" t="s">
        <v>37773</v>
      </c>
      <c r="AZ3804" s="3" t="s">
        <v>37774</v>
      </c>
      <c r="BA3804" s="3" t="s">
        <v>37774</v>
      </c>
      <c r="BB3804" s="3" t="s">
        <v>37775</v>
      </c>
      <c r="BC3804" s="3" t="s">
        <v>77</v>
      </c>
      <c r="BD3804" s="3" t="s">
        <v>78</v>
      </c>
      <c r="BE3804" s="3" t="s">
        <v>37776</v>
      </c>
      <c r="BF3804" s="3" t="s">
        <v>37775</v>
      </c>
      <c r="BG3804" s="3" t="s">
        <v>37777</v>
      </c>
    </row>
    <row r="3805" spans="1:59" ht="58" x14ac:dyDescent="0.35">
      <c r="A3805" s="2" t="s">
        <v>59</v>
      </c>
      <c r="B3805" s="2" t="s">
        <v>60</v>
      </c>
      <c r="C3805" s="2" t="s">
        <v>37778</v>
      </c>
      <c r="D3805" s="2" t="s">
        <v>37779</v>
      </c>
      <c r="E3805" s="2" t="s">
        <v>37780</v>
      </c>
      <c r="G3805" s="3" t="s">
        <v>65</v>
      </c>
      <c r="I3805" s="3" t="s">
        <v>65</v>
      </c>
      <c r="J3805" s="3" t="s">
        <v>65</v>
      </c>
      <c r="K3805" s="3" t="s">
        <v>66</v>
      </c>
      <c r="L3805" s="2" t="s">
        <v>37729</v>
      </c>
      <c r="M3805" s="2" t="s">
        <v>37781</v>
      </c>
      <c r="N3805" s="3" t="s">
        <v>3994</v>
      </c>
      <c r="P3805" s="3" t="s">
        <v>140</v>
      </c>
      <c r="Q3805" s="2" t="s">
        <v>37782</v>
      </c>
      <c r="R3805" s="3" t="s">
        <v>71</v>
      </c>
      <c r="S3805" s="4">
        <v>2</v>
      </c>
      <c r="T3805" s="4">
        <v>2</v>
      </c>
      <c r="U3805" s="5" t="s">
        <v>37783</v>
      </c>
      <c r="V3805" s="5" t="s">
        <v>37783</v>
      </c>
      <c r="W3805" s="5" t="s">
        <v>72</v>
      </c>
      <c r="X3805" s="5" t="s">
        <v>72</v>
      </c>
      <c r="Y3805" s="4">
        <v>52</v>
      </c>
      <c r="Z3805" s="4">
        <v>5</v>
      </c>
      <c r="AA3805" s="4">
        <v>11</v>
      </c>
      <c r="AB3805" s="4">
        <v>2</v>
      </c>
      <c r="AC3805" s="4">
        <v>3</v>
      </c>
      <c r="AD3805" s="4">
        <v>29</v>
      </c>
      <c r="AE3805" s="4">
        <v>54</v>
      </c>
      <c r="AF3805" s="4">
        <v>1</v>
      </c>
      <c r="AG3805" s="4">
        <v>2</v>
      </c>
      <c r="AH3805" s="4">
        <v>26</v>
      </c>
      <c r="AI3805" s="4">
        <v>47</v>
      </c>
      <c r="AJ3805" s="4">
        <v>3</v>
      </c>
      <c r="AK3805" s="4">
        <v>8</v>
      </c>
      <c r="AL3805" s="4">
        <v>18</v>
      </c>
      <c r="AM3805" s="4">
        <v>34</v>
      </c>
      <c r="AN3805" s="4">
        <v>0</v>
      </c>
      <c r="AO3805" s="4">
        <v>5</v>
      </c>
      <c r="AP3805" s="4">
        <v>3</v>
      </c>
      <c r="AQ3805" s="4">
        <v>7</v>
      </c>
      <c r="AR3805" s="3" t="s">
        <v>65</v>
      </c>
      <c r="AS3805" s="3" t="s">
        <v>65</v>
      </c>
      <c r="AT3805" s="3" t="s">
        <v>65</v>
      </c>
      <c r="AV3805" s="6" t="str">
        <f>HYPERLINK("http://mcgill.on.worldcat.org/oclc/3954448","Catalog Record")</f>
        <v>Catalog Record</v>
      </c>
      <c r="AW3805" s="6" t="str">
        <f>HYPERLINK("http://www.worldcat.org/oclc/3954448","WorldCat Record")</f>
        <v>WorldCat Record</v>
      </c>
      <c r="AX3805" s="3" t="s">
        <v>37784</v>
      </c>
      <c r="AY3805" s="3" t="s">
        <v>37785</v>
      </c>
      <c r="AZ3805" s="3" t="s">
        <v>37786</v>
      </c>
      <c r="BA3805" s="3" t="s">
        <v>37786</v>
      </c>
      <c r="BB3805" s="3" t="s">
        <v>37787</v>
      </c>
      <c r="BC3805" s="3" t="s">
        <v>77</v>
      </c>
      <c r="BD3805" s="3" t="s">
        <v>78</v>
      </c>
      <c r="BF3805" s="3" t="s">
        <v>37787</v>
      </c>
      <c r="BG3805" s="3" t="s">
        <v>37788</v>
      </c>
    </row>
    <row r="3806" spans="1:59" ht="58" x14ac:dyDescent="0.35">
      <c r="A3806" s="2" t="s">
        <v>59</v>
      </c>
      <c r="B3806" s="2" t="s">
        <v>60</v>
      </c>
      <c r="C3806" s="2" t="s">
        <v>37789</v>
      </c>
      <c r="D3806" s="2" t="s">
        <v>37790</v>
      </c>
      <c r="E3806" s="2" t="s">
        <v>37791</v>
      </c>
      <c r="G3806" s="3" t="s">
        <v>65</v>
      </c>
      <c r="I3806" s="3" t="s">
        <v>65</v>
      </c>
      <c r="J3806" s="3" t="s">
        <v>65</v>
      </c>
      <c r="K3806" s="3" t="s">
        <v>66</v>
      </c>
      <c r="L3806" s="2" t="s">
        <v>37729</v>
      </c>
      <c r="M3806" s="2" t="s">
        <v>37792</v>
      </c>
      <c r="N3806" s="3" t="s">
        <v>126</v>
      </c>
      <c r="O3806" s="2" t="s">
        <v>365</v>
      </c>
      <c r="P3806" s="3" t="s">
        <v>140</v>
      </c>
      <c r="Q3806" s="2" t="s">
        <v>37793</v>
      </c>
      <c r="R3806" s="3" t="s">
        <v>71</v>
      </c>
      <c r="S3806" s="4">
        <v>0</v>
      </c>
      <c r="T3806" s="4">
        <v>0</v>
      </c>
      <c r="W3806" s="5" t="s">
        <v>72</v>
      </c>
      <c r="X3806" s="5" t="s">
        <v>72</v>
      </c>
      <c r="Y3806" s="4">
        <v>44</v>
      </c>
      <c r="Z3806" s="4">
        <v>2</v>
      </c>
      <c r="AA3806" s="4">
        <v>2</v>
      </c>
      <c r="AB3806" s="4">
        <v>1</v>
      </c>
      <c r="AC3806" s="4">
        <v>1</v>
      </c>
      <c r="AD3806" s="4">
        <v>33</v>
      </c>
      <c r="AE3806" s="4">
        <v>33</v>
      </c>
      <c r="AF3806" s="4">
        <v>0</v>
      </c>
      <c r="AG3806" s="4">
        <v>0</v>
      </c>
      <c r="AH3806" s="4">
        <v>31</v>
      </c>
      <c r="AI3806" s="4">
        <v>31</v>
      </c>
      <c r="AJ3806" s="4">
        <v>1</v>
      </c>
      <c r="AK3806" s="4">
        <v>1</v>
      </c>
      <c r="AL3806" s="4">
        <v>24</v>
      </c>
      <c r="AM3806" s="4">
        <v>24</v>
      </c>
      <c r="AN3806" s="4">
        <v>0</v>
      </c>
      <c r="AO3806" s="4">
        <v>0</v>
      </c>
      <c r="AP3806" s="4">
        <v>1</v>
      </c>
      <c r="AQ3806" s="4">
        <v>1</v>
      </c>
      <c r="AR3806" s="3" t="s">
        <v>65</v>
      </c>
      <c r="AS3806" s="3" t="s">
        <v>65</v>
      </c>
      <c r="AT3806" s="3" t="s">
        <v>65</v>
      </c>
      <c r="AV3806" s="6" t="str">
        <f>HYPERLINK("http://mcgill.on.worldcat.org/oclc/776486914","Catalog Record")</f>
        <v>Catalog Record</v>
      </c>
      <c r="AW3806" s="6" t="str">
        <f>HYPERLINK("http://www.worldcat.org/oclc/776486914","WorldCat Record")</f>
        <v>WorldCat Record</v>
      </c>
      <c r="AX3806" s="3" t="s">
        <v>37794</v>
      </c>
      <c r="AY3806" s="3" t="s">
        <v>37795</v>
      </c>
      <c r="AZ3806" s="3" t="s">
        <v>37796</v>
      </c>
      <c r="BA3806" s="3" t="s">
        <v>37796</v>
      </c>
      <c r="BB3806" s="3" t="s">
        <v>37797</v>
      </c>
      <c r="BC3806" s="3" t="s">
        <v>77</v>
      </c>
      <c r="BD3806" s="3" t="s">
        <v>78</v>
      </c>
      <c r="BE3806" s="3" t="s">
        <v>37798</v>
      </c>
      <c r="BF3806" s="3" t="s">
        <v>37797</v>
      </c>
      <c r="BG3806" s="3" t="s">
        <v>37799</v>
      </c>
    </row>
    <row r="3807" spans="1:59" ht="58" x14ac:dyDescent="0.35">
      <c r="A3807" s="2" t="s">
        <v>59</v>
      </c>
      <c r="B3807" s="2" t="s">
        <v>60</v>
      </c>
      <c r="C3807" s="2" t="s">
        <v>37800</v>
      </c>
      <c r="D3807" s="2" t="s">
        <v>37801</v>
      </c>
      <c r="E3807" s="2" t="s">
        <v>37802</v>
      </c>
      <c r="G3807" s="3" t="s">
        <v>65</v>
      </c>
      <c r="I3807" s="3" t="s">
        <v>65</v>
      </c>
      <c r="J3807" s="3" t="s">
        <v>65</v>
      </c>
      <c r="K3807" s="3" t="s">
        <v>66</v>
      </c>
      <c r="L3807" s="2" t="s">
        <v>37718</v>
      </c>
      <c r="M3807" s="2" t="s">
        <v>27190</v>
      </c>
      <c r="N3807" s="3" t="s">
        <v>126</v>
      </c>
      <c r="O3807" s="2" t="s">
        <v>379</v>
      </c>
      <c r="P3807" s="3" t="s">
        <v>140</v>
      </c>
      <c r="Q3807" s="2" t="s">
        <v>37793</v>
      </c>
      <c r="R3807" s="3" t="s">
        <v>71</v>
      </c>
      <c r="S3807" s="4">
        <v>0</v>
      </c>
      <c r="T3807" s="4">
        <v>0</v>
      </c>
      <c r="W3807" s="5" t="s">
        <v>72</v>
      </c>
      <c r="X3807" s="5" t="s">
        <v>72</v>
      </c>
      <c r="Y3807" s="4">
        <v>38</v>
      </c>
      <c r="Z3807" s="4">
        <v>2</v>
      </c>
      <c r="AA3807" s="4">
        <v>3</v>
      </c>
      <c r="AB3807" s="4">
        <v>1</v>
      </c>
      <c r="AC3807" s="4">
        <v>1</v>
      </c>
      <c r="AD3807" s="4">
        <v>25</v>
      </c>
      <c r="AE3807" s="4">
        <v>26</v>
      </c>
      <c r="AF3807" s="4">
        <v>0</v>
      </c>
      <c r="AG3807" s="4">
        <v>0</v>
      </c>
      <c r="AH3807" s="4">
        <v>24</v>
      </c>
      <c r="AI3807" s="4">
        <v>25</v>
      </c>
      <c r="AJ3807" s="4">
        <v>1</v>
      </c>
      <c r="AK3807" s="4">
        <v>2</v>
      </c>
      <c r="AL3807" s="4">
        <v>19</v>
      </c>
      <c r="AM3807" s="4">
        <v>19</v>
      </c>
      <c r="AN3807" s="4">
        <v>0</v>
      </c>
      <c r="AO3807" s="4">
        <v>0</v>
      </c>
      <c r="AP3807" s="4">
        <v>1</v>
      </c>
      <c r="AQ3807" s="4">
        <v>2</v>
      </c>
      <c r="AR3807" s="3" t="s">
        <v>65</v>
      </c>
      <c r="AS3807" s="3" t="s">
        <v>65</v>
      </c>
      <c r="AT3807" s="3" t="s">
        <v>65</v>
      </c>
      <c r="AV3807" s="6" t="str">
        <f>HYPERLINK("http://mcgill.on.worldcat.org/oclc/798610515","Catalog Record")</f>
        <v>Catalog Record</v>
      </c>
      <c r="AW3807" s="6" t="str">
        <f>HYPERLINK("http://www.worldcat.org/oclc/798610515","WorldCat Record")</f>
        <v>WorldCat Record</v>
      </c>
      <c r="AX3807" s="3" t="s">
        <v>37803</v>
      </c>
      <c r="AY3807" s="3" t="s">
        <v>37804</v>
      </c>
      <c r="AZ3807" s="3" t="s">
        <v>37805</v>
      </c>
      <c r="BA3807" s="3" t="s">
        <v>37805</v>
      </c>
      <c r="BB3807" s="3" t="s">
        <v>37806</v>
      </c>
      <c r="BC3807" s="3" t="s">
        <v>77</v>
      </c>
      <c r="BD3807" s="3" t="s">
        <v>78</v>
      </c>
      <c r="BE3807" s="3" t="s">
        <v>37807</v>
      </c>
      <c r="BF3807" s="3" t="s">
        <v>37806</v>
      </c>
      <c r="BG3807" s="3" t="s">
        <v>37808</v>
      </c>
    </row>
    <row r="3808" spans="1:59" ht="58" x14ac:dyDescent="0.35">
      <c r="A3808" s="2" t="s">
        <v>59</v>
      </c>
      <c r="B3808" s="2" t="s">
        <v>60</v>
      </c>
      <c r="C3808" s="2" t="s">
        <v>37809</v>
      </c>
      <c r="D3808" s="2" t="s">
        <v>37810</v>
      </c>
      <c r="E3808" s="2" t="s">
        <v>37811</v>
      </c>
      <c r="F3808" s="3" t="s">
        <v>37812</v>
      </c>
      <c r="G3808" s="3" t="s">
        <v>65</v>
      </c>
      <c r="I3808" s="3" t="s">
        <v>65</v>
      </c>
      <c r="J3808" s="3" t="s">
        <v>65</v>
      </c>
      <c r="K3808" s="3" t="s">
        <v>66</v>
      </c>
      <c r="L3808" s="2" t="s">
        <v>37729</v>
      </c>
      <c r="M3808" s="2" t="s">
        <v>37813</v>
      </c>
      <c r="N3808" s="3" t="s">
        <v>152</v>
      </c>
      <c r="O3808" s="2" t="s">
        <v>379</v>
      </c>
      <c r="P3808" s="3" t="s">
        <v>140</v>
      </c>
      <c r="Q3808" s="2" t="s">
        <v>37793</v>
      </c>
      <c r="R3808" s="3" t="s">
        <v>71</v>
      </c>
      <c r="S3808" s="4">
        <v>0</v>
      </c>
      <c r="T3808" s="4">
        <v>0</v>
      </c>
      <c r="W3808" s="5" t="s">
        <v>72</v>
      </c>
      <c r="X3808" s="5" t="s">
        <v>72</v>
      </c>
      <c r="Y3808" s="4">
        <v>31</v>
      </c>
      <c r="Z3808" s="4">
        <v>1</v>
      </c>
      <c r="AA3808" s="4">
        <v>1</v>
      </c>
      <c r="AB3808" s="4">
        <v>1</v>
      </c>
      <c r="AC3808" s="4">
        <v>1</v>
      </c>
      <c r="AD3808" s="4">
        <v>20</v>
      </c>
      <c r="AE3808" s="4">
        <v>20</v>
      </c>
      <c r="AF3808" s="4">
        <v>0</v>
      </c>
      <c r="AG3808" s="4">
        <v>0</v>
      </c>
      <c r="AH3808" s="4">
        <v>19</v>
      </c>
      <c r="AI3808" s="4">
        <v>19</v>
      </c>
      <c r="AJ3808" s="4">
        <v>0</v>
      </c>
      <c r="AK3808" s="4">
        <v>0</v>
      </c>
      <c r="AL3808" s="4">
        <v>16</v>
      </c>
      <c r="AM3808" s="4">
        <v>16</v>
      </c>
      <c r="AN3808" s="4">
        <v>0</v>
      </c>
      <c r="AO3808" s="4">
        <v>0</v>
      </c>
      <c r="AP3808" s="4">
        <v>0</v>
      </c>
      <c r="AQ3808" s="4">
        <v>0</v>
      </c>
      <c r="AR3808" s="3" t="s">
        <v>65</v>
      </c>
      <c r="AS3808" s="3" t="s">
        <v>65</v>
      </c>
      <c r="AT3808" s="3" t="s">
        <v>65</v>
      </c>
      <c r="AV3808" s="6" t="str">
        <f>HYPERLINK("http://mcgill.on.worldcat.org/oclc/841181379","Catalog Record")</f>
        <v>Catalog Record</v>
      </c>
      <c r="AW3808" s="6" t="str">
        <f>HYPERLINK("http://www.worldcat.org/oclc/841181379","WorldCat Record")</f>
        <v>WorldCat Record</v>
      </c>
      <c r="AX3808" s="3" t="s">
        <v>37814</v>
      </c>
      <c r="AY3808" s="3" t="s">
        <v>37815</v>
      </c>
      <c r="AZ3808" s="3" t="s">
        <v>37816</v>
      </c>
      <c r="BA3808" s="3" t="s">
        <v>37816</v>
      </c>
      <c r="BB3808" s="3" t="s">
        <v>37817</v>
      </c>
      <c r="BC3808" s="3" t="s">
        <v>77</v>
      </c>
      <c r="BD3808" s="3" t="s">
        <v>78</v>
      </c>
      <c r="BE3808" s="3" t="s">
        <v>37818</v>
      </c>
      <c r="BF3808" s="3" t="s">
        <v>37817</v>
      </c>
      <c r="BG3808" s="3" t="s">
        <v>37819</v>
      </c>
    </row>
    <row r="3809" spans="1:59" ht="58" x14ac:dyDescent="0.35">
      <c r="A3809" s="2" t="s">
        <v>59</v>
      </c>
      <c r="B3809" s="2" t="s">
        <v>60</v>
      </c>
      <c r="C3809" s="2" t="s">
        <v>37820</v>
      </c>
      <c r="D3809" s="2" t="s">
        <v>37821</v>
      </c>
      <c r="E3809" s="2" t="s">
        <v>37822</v>
      </c>
      <c r="G3809" s="3" t="s">
        <v>65</v>
      </c>
      <c r="I3809" s="3" t="s">
        <v>65</v>
      </c>
      <c r="J3809" s="3" t="s">
        <v>65</v>
      </c>
      <c r="K3809" s="3" t="s">
        <v>66</v>
      </c>
      <c r="L3809" s="2" t="s">
        <v>37729</v>
      </c>
      <c r="M3809" s="2" t="s">
        <v>37758</v>
      </c>
      <c r="N3809" s="3" t="s">
        <v>113</v>
      </c>
      <c r="P3809" s="3" t="s">
        <v>69</v>
      </c>
      <c r="R3809" s="3" t="s">
        <v>71</v>
      </c>
      <c r="S3809" s="4">
        <v>3</v>
      </c>
      <c r="T3809" s="4">
        <v>3</v>
      </c>
      <c r="U3809" s="5" t="s">
        <v>21164</v>
      </c>
      <c r="V3809" s="5" t="s">
        <v>21164</v>
      </c>
      <c r="W3809" s="5" t="s">
        <v>72</v>
      </c>
      <c r="X3809" s="5" t="s">
        <v>72</v>
      </c>
      <c r="Y3809" s="4">
        <v>136</v>
      </c>
      <c r="Z3809" s="4">
        <v>10</v>
      </c>
      <c r="AA3809" s="4">
        <v>14</v>
      </c>
      <c r="AB3809" s="4">
        <v>2</v>
      </c>
      <c r="AC3809" s="4">
        <v>4</v>
      </c>
      <c r="AD3809" s="4">
        <v>44</v>
      </c>
      <c r="AE3809" s="4">
        <v>44</v>
      </c>
      <c r="AF3809" s="4">
        <v>0</v>
      </c>
      <c r="AG3809" s="4">
        <v>0</v>
      </c>
      <c r="AH3809" s="4">
        <v>42</v>
      </c>
      <c r="AI3809" s="4">
        <v>42</v>
      </c>
      <c r="AJ3809" s="4">
        <v>7</v>
      </c>
      <c r="AK3809" s="4">
        <v>7</v>
      </c>
      <c r="AL3809" s="4">
        <v>29</v>
      </c>
      <c r="AM3809" s="4">
        <v>29</v>
      </c>
      <c r="AN3809" s="4">
        <v>0</v>
      </c>
      <c r="AO3809" s="4">
        <v>0</v>
      </c>
      <c r="AP3809" s="4">
        <v>7</v>
      </c>
      <c r="AQ3809" s="4">
        <v>7</v>
      </c>
      <c r="AR3809" s="3" t="s">
        <v>65</v>
      </c>
      <c r="AS3809" s="3" t="s">
        <v>65</v>
      </c>
      <c r="AT3809" s="3" t="s">
        <v>65</v>
      </c>
      <c r="AV3809" s="6" t="str">
        <f>HYPERLINK("http://mcgill.on.worldcat.org/oclc/540182504","Catalog Record")</f>
        <v>Catalog Record</v>
      </c>
      <c r="AW3809" s="6" t="str">
        <f>HYPERLINK("http://www.worldcat.org/oclc/540182504","WorldCat Record")</f>
        <v>WorldCat Record</v>
      </c>
      <c r="AX3809" s="3" t="s">
        <v>37823</v>
      </c>
      <c r="AY3809" s="3" t="s">
        <v>37824</v>
      </c>
      <c r="AZ3809" s="3" t="s">
        <v>37825</v>
      </c>
      <c r="BA3809" s="3" t="s">
        <v>37825</v>
      </c>
      <c r="BB3809" s="3" t="s">
        <v>37826</v>
      </c>
      <c r="BC3809" s="3" t="s">
        <v>77</v>
      </c>
      <c r="BD3809" s="3" t="s">
        <v>78</v>
      </c>
      <c r="BE3809" s="3" t="s">
        <v>37827</v>
      </c>
      <c r="BF3809" s="3" t="s">
        <v>37826</v>
      </c>
      <c r="BG3809" s="3" t="s">
        <v>37828</v>
      </c>
    </row>
    <row r="3810" spans="1:59" ht="58" x14ac:dyDescent="0.35">
      <c r="A3810" s="2" t="s">
        <v>59</v>
      </c>
      <c r="B3810" s="2" t="s">
        <v>60</v>
      </c>
      <c r="C3810" s="2" t="s">
        <v>37829</v>
      </c>
      <c r="D3810" s="2" t="s">
        <v>37830</v>
      </c>
      <c r="E3810" s="2" t="s">
        <v>37831</v>
      </c>
      <c r="G3810" s="3" t="s">
        <v>65</v>
      </c>
      <c r="I3810" s="3" t="s">
        <v>65</v>
      </c>
      <c r="J3810" s="3" t="s">
        <v>65</v>
      </c>
      <c r="K3810" s="3" t="s">
        <v>66</v>
      </c>
      <c r="L3810" s="2" t="s">
        <v>37729</v>
      </c>
      <c r="M3810" s="2" t="s">
        <v>36599</v>
      </c>
      <c r="N3810" s="3" t="s">
        <v>113</v>
      </c>
      <c r="O3810" s="2" t="s">
        <v>365</v>
      </c>
      <c r="P3810" s="3" t="s">
        <v>140</v>
      </c>
      <c r="Q3810" s="2" t="s">
        <v>28692</v>
      </c>
      <c r="R3810" s="3" t="s">
        <v>71</v>
      </c>
      <c r="S3810" s="4">
        <v>0</v>
      </c>
      <c r="T3810" s="4">
        <v>0</v>
      </c>
      <c r="W3810" s="5" t="s">
        <v>72</v>
      </c>
      <c r="X3810" s="5" t="s">
        <v>72</v>
      </c>
      <c r="Y3810" s="4">
        <v>60</v>
      </c>
      <c r="Z3810" s="4">
        <v>4</v>
      </c>
      <c r="AA3810" s="4">
        <v>4</v>
      </c>
      <c r="AB3810" s="4">
        <v>2</v>
      </c>
      <c r="AC3810" s="4">
        <v>2</v>
      </c>
      <c r="AD3810" s="4">
        <v>38</v>
      </c>
      <c r="AE3810" s="4">
        <v>38</v>
      </c>
      <c r="AF3810" s="4">
        <v>0</v>
      </c>
      <c r="AG3810" s="4">
        <v>0</v>
      </c>
      <c r="AH3810" s="4">
        <v>38</v>
      </c>
      <c r="AI3810" s="4">
        <v>38</v>
      </c>
      <c r="AJ3810" s="4">
        <v>1</v>
      </c>
      <c r="AK3810" s="4">
        <v>1</v>
      </c>
      <c r="AL3810" s="4">
        <v>28</v>
      </c>
      <c r="AM3810" s="4">
        <v>28</v>
      </c>
      <c r="AN3810" s="4">
        <v>0</v>
      </c>
      <c r="AO3810" s="4">
        <v>0</v>
      </c>
      <c r="AP3810" s="4">
        <v>1</v>
      </c>
      <c r="AQ3810" s="4">
        <v>1</v>
      </c>
      <c r="AR3810" s="3" t="s">
        <v>65</v>
      </c>
      <c r="AS3810" s="3" t="s">
        <v>65</v>
      </c>
      <c r="AT3810" s="3" t="s">
        <v>65</v>
      </c>
      <c r="AV3810" s="6" t="str">
        <f>HYPERLINK("http://mcgill.on.worldcat.org/oclc/682881543","Catalog Record")</f>
        <v>Catalog Record</v>
      </c>
      <c r="AW3810" s="6" t="str">
        <f>HYPERLINK("http://www.worldcat.org/oclc/682881543","WorldCat Record")</f>
        <v>WorldCat Record</v>
      </c>
      <c r="AX3810" s="3" t="s">
        <v>37832</v>
      </c>
      <c r="AY3810" s="3" t="s">
        <v>37833</v>
      </c>
      <c r="AZ3810" s="3" t="s">
        <v>37834</v>
      </c>
      <c r="BA3810" s="3" t="s">
        <v>37834</v>
      </c>
      <c r="BB3810" s="3" t="s">
        <v>37835</v>
      </c>
      <c r="BC3810" s="3" t="s">
        <v>77</v>
      </c>
      <c r="BD3810" s="3" t="s">
        <v>78</v>
      </c>
      <c r="BE3810" s="3" t="s">
        <v>37836</v>
      </c>
      <c r="BF3810" s="3" t="s">
        <v>37835</v>
      </c>
      <c r="BG3810" s="3" t="s">
        <v>37837</v>
      </c>
    </row>
    <row r="3811" spans="1:59" ht="58" x14ac:dyDescent="0.35">
      <c r="A3811" s="2" t="s">
        <v>59</v>
      </c>
      <c r="B3811" s="2" t="s">
        <v>60</v>
      </c>
      <c r="C3811" s="2" t="s">
        <v>37838</v>
      </c>
      <c r="D3811" s="2" t="s">
        <v>37839</v>
      </c>
      <c r="E3811" s="2" t="s">
        <v>37840</v>
      </c>
      <c r="G3811" s="3" t="s">
        <v>65</v>
      </c>
      <c r="I3811" s="3" t="s">
        <v>65</v>
      </c>
      <c r="J3811" s="3" t="s">
        <v>65</v>
      </c>
      <c r="K3811" s="3" t="s">
        <v>66</v>
      </c>
      <c r="L3811" s="2" t="s">
        <v>37729</v>
      </c>
      <c r="M3811" s="2" t="s">
        <v>37841</v>
      </c>
      <c r="N3811" s="3" t="s">
        <v>126</v>
      </c>
      <c r="O3811" s="2" t="s">
        <v>365</v>
      </c>
      <c r="P3811" s="3" t="s">
        <v>140</v>
      </c>
      <c r="Q3811" s="2" t="s">
        <v>28692</v>
      </c>
      <c r="R3811" s="3" t="s">
        <v>71</v>
      </c>
      <c r="S3811" s="4">
        <v>0</v>
      </c>
      <c r="T3811" s="4">
        <v>0</v>
      </c>
      <c r="W3811" s="5" t="s">
        <v>72</v>
      </c>
      <c r="X3811" s="5" t="s">
        <v>72</v>
      </c>
      <c r="Y3811" s="4">
        <v>86</v>
      </c>
      <c r="Z3811" s="4">
        <v>7</v>
      </c>
      <c r="AA3811" s="4">
        <v>8</v>
      </c>
      <c r="AB3811" s="4">
        <v>2</v>
      </c>
      <c r="AC3811" s="4">
        <v>2</v>
      </c>
      <c r="AD3811" s="4">
        <v>49</v>
      </c>
      <c r="AE3811" s="4">
        <v>50</v>
      </c>
      <c r="AF3811" s="4">
        <v>1</v>
      </c>
      <c r="AG3811" s="4">
        <v>1</v>
      </c>
      <c r="AH3811" s="4">
        <v>47</v>
      </c>
      <c r="AI3811" s="4">
        <v>48</v>
      </c>
      <c r="AJ3811" s="4">
        <v>5</v>
      </c>
      <c r="AK3811" s="4">
        <v>5</v>
      </c>
      <c r="AL3811" s="4">
        <v>35</v>
      </c>
      <c r="AM3811" s="4">
        <v>36</v>
      </c>
      <c r="AN3811" s="4">
        <v>0</v>
      </c>
      <c r="AO3811" s="4">
        <v>0</v>
      </c>
      <c r="AP3811" s="4">
        <v>5</v>
      </c>
      <c r="AQ3811" s="4">
        <v>5</v>
      </c>
      <c r="AR3811" s="3" t="s">
        <v>65</v>
      </c>
      <c r="AS3811" s="3" t="s">
        <v>65</v>
      </c>
      <c r="AT3811" s="3" t="s">
        <v>65</v>
      </c>
      <c r="AV3811" s="6" t="str">
        <f>HYPERLINK("http://mcgill.on.worldcat.org/oclc/775363765","Catalog Record")</f>
        <v>Catalog Record</v>
      </c>
      <c r="AW3811" s="6" t="str">
        <f>HYPERLINK("http://www.worldcat.org/oclc/775363765","WorldCat Record")</f>
        <v>WorldCat Record</v>
      </c>
      <c r="AX3811" s="3" t="s">
        <v>37842</v>
      </c>
      <c r="AY3811" s="3" t="s">
        <v>37843</v>
      </c>
      <c r="AZ3811" s="3" t="s">
        <v>37844</v>
      </c>
      <c r="BA3811" s="3" t="s">
        <v>37844</v>
      </c>
      <c r="BB3811" s="3" t="s">
        <v>37845</v>
      </c>
      <c r="BC3811" s="3" t="s">
        <v>77</v>
      </c>
      <c r="BD3811" s="3" t="s">
        <v>78</v>
      </c>
      <c r="BE3811" s="3" t="s">
        <v>37846</v>
      </c>
      <c r="BF3811" s="3" t="s">
        <v>37845</v>
      </c>
      <c r="BG3811" s="3" t="s">
        <v>37847</v>
      </c>
    </row>
    <row r="3812" spans="1:59" ht="58" x14ac:dyDescent="0.35">
      <c r="A3812" s="2" t="s">
        <v>59</v>
      </c>
      <c r="B3812" s="2" t="s">
        <v>60</v>
      </c>
      <c r="C3812" s="2" t="s">
        <v>37848</v>
      </c>
      <c r="D3812" s="2" t="s">
        <v>37849</v>
      </c>
      <c r="E3812" s="2" t="s">
        <v>37850</v>
      </c>
      <c r="G3812" s="3" t="s">
        <v>65</v>
      </c>
      <c r="I3812" s="3" t="s">
        <v>65</v>
      </c>
      <c r="J3812" s="3" t="s">
        <v>65</v>
      </c>
      <c r="K3812" s="3" t="s">
        <v>66</v>
      </c>
      <c r="M3812" s="2" t="s">
        <v>37851</v>
      </c>
      <c r="N3812" s="3" t="s">
        <v>113</v>
      </c>
      <c r="O3812" s="2" t="s">
        <v>365</v>
      </c>
      <c r="P3812" s="3" t="s">
        <v>140</v>
      </c>
      <c r="Q3812" s="2" t="s">
        <v>6283</v>
      </c>
      <c r="R3812" s="3" t="s">
        <v>71</v>
      </c>
      <c r="S3812" s="4">
        <v>0</v>
      </c>
      <c r="T3812" s="4">
        <v>0</v>
      </c>
      <c r="W3812" s="5" t="s">
        <v>72</v>
      </c>
      <c r="X3812" s="5" t="s">
        <v>72</v>
      </c>
      <c r="Y3812" s="4">
        <v>35</v>
      </c>
      <c r="Z3812" s="4">
        <v>3</v>
      </c>
      <c r="AA3812" s="4">
        <v>5</v>
      </c>
      <c r="AB3812" s="4">
        <v>1</v>
      </c>
      <c r="AC3812" s="4">
        <v>1</v>
      </c>
      <c r="AD3812" s="4">
        <v>22</v>
      </c>
      <c r="AE3812" s="4">
        <v>23</v>
      </c>
      <c r="AF3812" s="4">
        <v>0</v>
      </c>
      <c r="AG3812" s="4">
        <v>0</v>
      </c>
      <c r="AH3812" s="4">
        <v>20</v>
      </c>
      <c r="AI3812" s="4">
        <v>21</v>
      </c>
      <c r="AJ3812" s="4">
        <v>2</v>
      </c>
      <c r="AK3812" s="4">
        <v>3</v>
      </c>
      <c r="AL3812" s="4">
        <v>15</v>
      </c>
      <c r="AM3812" s="4">
        <v>16</v>
      </c>
      <c r="AN3812" s="4">
        <v>0</v>
      </c>
      <c r="AO3812" s="4">
        <v>0</v>
      </c>
      <c r="AP3812" s="4">
        <v>2</v>
      </c>
      <c r="AQ3812" s="4">
        <v>3</v>
      </c>
      <c r="AR3812" s="3" t="s">
        <v>65</v>
      </c>
      <c r="AS3812" s="3" t="s">
        <v>65</v>
      </c>
      <c r="AT3812" s="3" t="s">
        <v>65</v>
      </c>
      <c r="AV3812" s="6" t="str">
        <f>HYPERLINK("http://mcgill.on.worldcat.org/oclc/721866876","Catalog Record")</f>
        <v>Catalog Record</v>
      </c>
      <c r="AW3812" s="6" t="str">
        <f>HYPERLINK("http://www.worldcat.org/oclc/721866876","WorldCat Record")</f>
        <v>WorldCat Record</v>
      </c>
      <c r="AX3812" s="3" t="s">
        <v>37852</v>
      </c>
      <c r="AY3812" s="3" t="s">
        <v>37853</v>
      </c>
      <c r="AZ3812" s="3" t="s">
        <v>37854</v>
      </c>
      <c r="BA3812" s="3" t="s">
        <v>37854</v>
      </c>
      <c r="BB3812" s="3" t="s">
        <v>37855</v>
      </c>
      <c r="BC3812" s="3" t="s">
        <v>77</v>
      </c>
      <c r="BD3812" s="3" t="s">
        <v>78</v>
      </c>
      <c r="BE3812" s="3" t="s">
        <v>37856</v>
      </c>
      <c r="BF3812" s="3" t="s">
        <v>37855</v>
      </c>
      <c r="BG3812" s="3" t="s">
        <v>37857</v>
      </c>
    </row>
    <row r="3813" spans="1:59" ht="72.5" x14ac:dyDescent="0.35">
      <c r="A3813" s="2" t="s">
        <v>59</v>
      </c>
      <c r="B3813" s="2" t="s">
        <v>60</v>
      </c>
      <c r="C3813" s="2" t="s">
        <v>37858</v>
      </c>
      <c r="D3813" s="2" t="s">
        <v>37859</v>
      </c>
      <c r="E3813" s="2" t="s">
        <v>37860</v>
      </c>
      <c r="G3813" s="3" t="s">
        <v>65</v>
      </c>
      <c r="I3813" s="3" t="s">
        <v>65</v>
      </c>
      <c r="J3813" s="3" t="s">
        <v>65</v>
      </c>
      <c r="K3813" s="3" t="s">
        <v>66</v>
      </c>
      <c r="L3813" s="2" t="s">
        <v>37861</v>
      </c>
      <c r="M3813" s="2" t="s">
        <v>37862</v>
      </c>
      <c r="N3813" s="3" t="s">
        <v>139</v>
      </c>
      <c r="P3813" s="3" t="s">
        <v>69</v>
      </c>
      <c r="Q3813" s="2" t="s">
        <v>37863</v>
      </c>
      <c r="R3813" s="3" t="s">
        <v>71</v>
      </c>
      <c r="S3813" s="4">
        <v>0</v>
      </c>
      <c r="T3813" s="4">
        <v>0</v>
      </c>
      <c r="W3813" s="5" t="s">
        <v>72</v>
      </c>
      <c r="X3813" s="5" t="s">
        <v>72</v>
      </c>
      <c r="Y3813" s="4">
        <v>104</v>
      </c>
      <c r="Z3813" s="4">
        <v>7</v>
      </c>
      <c r="AA3813" s="4">
        <v>9</v>
      </c>
      <c r="AB3813" s="4">
        <v>1</v>
      </c>
      <c r="AC3813" s="4">
        <v>3</v>
      </c>
      <c r="AD3813" s="4">
        <v>40</v>
      </c>
      <c r="AE3813" s="4">
        <v>40</v>
      </c>
      <c r="AF3813" s="4">
        <v>0</v>
      </c>
      <c r="AG3813" s="4">
        <v>0</v>
      </c>
      <c r="AH3813" s="4">
        <v>38</v>
      </c>
      <c r="AI3813" s="4">
        <v>38</v>
      </c>
      <c r="AJ3813" s="4">
        <v>4</v>
      </c>
      <c r="AK3813" s="4">
        <v>4</v>
      </c>
      <c r="AL3813" s="4">
        <v>28</v>
      </c>
      <c r="AM3813" s="4">
        <v>28</v>
      </c>
      <c r="AN3813" s="4">
        <v>0</v>
      </c>
      <c r="AO3813" s="4">
        <v>0</v>
      </c>
      <c r="AP3813" s="4">
        <v>4</v>
      </c>
      <c r="AQ3813" s="4">
        <v>4</v>
      </c>
      <c r="AR3813" s="3" t="s">
        <v>65</v>
      </c>
      <c r="AS3813" s="3" t="s">
        <v>65</v>
      </c>
      <c r="AT3813" s="3" t="s">
        <v>65</v>
      </c>
      <c r="AV3813" s="6" t="str">
        <f>HYPERLINK("http://mcgill.on.worldcat.org/oclc/776777468","Catalog Record")</f>
        <v>Catalog Record</v>
      </c>
      <c r="AW3813" s="6" t="str">
        <f>HYPERLINK("http://www.worldcat.org/oclc/776777468","WorldCat Record")</f>
        <v>WorldCat Record</v>
      </c>
      <c r="AX3813" s="3" t="s">
        <v>37864</v>
      </c>
      <c r="AY3813" s="3" t="s">
        <v>37865</v>
      </c>
      <c r="AZ3813" s="3" t="s">
        <v>37866</v>
      </c>
      <c r="BA3813" s="3" t="s">
        <v>37866</v>
      </c>
      <c r="BB3813" s="3" t="s">
        <v>37867</v>
      </c>
      <c r="BC3813" s="3" t="s">
        <v>77</v>
      </c>
      <c r="BD3813" s="3" t="s">
        <v>78</v>
      </c>
      <c r="BE3813" s="3" t="s">
        <v>37868</v>
      </c>
      <c r="BF3813" s="3" t="s">
        <v>37867</v>
      </c>
      <c r="BG3813" s="3" t="s">
        <v>37869</v>
      </c>
    </row>
    <row r="3814" spans="1:59" ht="72.5" x14ac:dyDescent="0.35">
      <c r="A3814" s="2" t="s">
        <v>59</v>
      </c>
      <c r="B3814" s="2" t="s">
        <v>60</v>
      </c>
      <c r="C3814" s="2" t="s">
        <v>37870</v>
      </c>
      <c r="D3814" s="2" t="s">
        <v>37871</v>
      </c>
      <c r="E3814" s="2" t="s">
        <v>37872</v>
      </c>
      <c r="G3814" s="3" t="s">
        <v>65</v>
      </c>
      <c r="I3814" s="3" t="s">
        <v>65</v>
      </c>
      <c r="J3814" s="3" t="s">
        <v>65</v>
      </c>
      <c r="K3814" s="3" t="s">
        <v>66</v>
      </c>
      <c r="L3814" s="2" t="s">
        <v>37873</v>
      </c>
      <c r="M3814" s="2" t="s">
        <v>37874</v>
      </c>
      <c r="N3814" s="3" t="s">
        <v>188</v>
      </c>
      <c r="P3814" s="3" t="s">
        <v>140</v>
      </c>
      <c r="Q3814" s="2" t="s">
        <v>37875</v>
      </c>
      <c r="R3814" s="3" t="s">
        <v>71</v>
      </c>
      <c r="S3814" s="4">
        <v>0</v>
      </c>
      <c r="T3814" s="4">
        <v>0</v>
      </c>
      <c r="W3814" s="5" t="s">
        <v>72</v>
      </c>
      <c r="X3814" s="5" t="s">
        <v>72</v>
      </c>
      <c r="Y3814" s="4">
        <v>57</v>
      </c>
      <c r="Z3814" s="4">
        <v>4</v>
      </c>
      <c r="AA3814" s="4">
        <v>4</v>
      </c>
      <c r="AB3814" s="4">
        <v>1</v>
      </c>
      <c r="AC3814" s="4">
        <v>1</v>
      </c>
      <c r="AD3814" s="4">
        <v>35</v>
      </c>
      <c r="AE3814" s="4">
        <v>35</v>
      </c>
      <c r="AF3814" s="4">
        <v>0</v>
      </c>
      <c r="AG3814" s="4">
        <v>0</v>
      </c>
      <c r="AH3814" s="4">
        <v>35</v>
      </c>
      <c r="AI3814" s="4">
        <v>35</v>
      </c>
      <c r="AJ3814" s="4">
        <v>2</v>
      </c>
      <c r="AK3814" s="4">
        <v>2</v>
      </c>
      <c r="AL3814" s="4">
        <v>25</v>
      </c>
      <c r="AM3814" s="4">
        <v>25</v>
      </c>
      <c r="AN3814" s="4">
        <v>0</v>
      </c>
      <c r="AO3814" s="4">
        <v>0</v>
      </c>
      <c r="AP3814" s="4">
        <v>2</v>
      </c>
      <c r="AQ3814" s="4">
        <v>2</v>
      </c>
      <c r="AR3814" s="3" t="s">
        <v>65</v>
      </c>
      <c r="AS3814" s="3" t="s">
        <v>65</v>
      </c>
      <c r="AT3814" s="3" t="s">
        <v>65</v>
      </c>
      <c r="AV3814" s="6" t="str">
        <f>HYPERLINK("http://mcgill.on.worldcat.org/oclc/989135644","Catalog Record")</f>
        <v>Catalog Record</v>
      </c>
      <c r="AW3814" s="6" t="str">
        <f>HYPERLINK("http://www.worldcat.org/oclc/989135644","WorldCat Record")</f>
        <v>WorldCat Record</v>
      </c>
      <c r="AX3814" s="3" t="s">
        <v>37876</v>
      </c>
      <c r="AY3814" s="3" t="s">
        <v>37877</v>
      </c>
      <c r="AZ3814" s="3" t="s">
        <v>37878</v>
      </c>
      <c r="BA3814" s="3" t="s">
        <v>37878</v>
      </c>
      <c r="BB3814" s="3" t="s">
        <v>37879</v>
      </c>
      <c r="BC3814" s="3" t="s">
        <v>77</v>
      </c>
      <c r="BD3814" s="3" t="s">
        <v>78</v>
      </c>
      <c r="BE3814" s="3" t="s">
        <v>37880</v>
      </c>
      <c r="BF3814" s="3" t="s">
        <v>37879</v>
      </c>
      <c r="BG3814" s="3" t="s">
        <v>37881</v>
      </c>
    </row>
    <row r="3815" spans="1:59" ht="58" x14ac:dyDescent="0.35">
      <c r="A3815" s="2" t="s">
        <v>59</v>
      </c>
      <c r="B3815" s="2" t="s">
        <v>60</v>
      </c>
      <c r="C3815" s="2" t="s">
        <v>37882</v>
      </c>
      <c r="D3815" s="2" t="s">
        <v>37883</v>
      </c>
      <c r="E3815" s="2" t="s">
        <v>37884</v>
      </c>
      <c r="G3815" s="3" t="s">
        <v>65</v>
      </c>
      <c r="I3815" s="3" t="s">
        <v>65</v>
      </c>
      <c r="J3815" s="3" t="s">
        <v>65</v>
      </c>
      <c r="K3815" s="3" t="s">
        <v>66</v>
      </c>
      <c r="L3815" s="2" t="s">
        <v>37885</v>
      </c>
      <c r="M3815" s="2" t="s">
        <v>37886</v>
      </c>
      <c r="N3815" s="3" t="s">
        <v>139</v>
      </c>
      <c r="P3815" s="3" t="s">
        <v>140</v>
      </c>
      <c r="Q3815" s="2" t="s">
        <v>37887</v>
      </c>
      <c r="R3815" s="3" t="s">
        <v>71</v>
      </c>
      <c r="S3815" s="4">
        <v>0</v>
      </c>
      <c r="T3815" s="4">
        <v>0</v>
      </c>
      <c r="W3815" s="5" t="s">
        <v>72</v>
      </c>
      <c r="X3815" s="5" t="s">
        <v>72</v>
      </c>
      <c r="Y3815" s="4">
        <v>25</v>
      </c>
      <c r="Z3815" s="4">
        <v>3</v>
      </c>
      <c r="AA3815" s="4">
        <v>3</v>
      </c>
      <c r="AB3815" s="4">
        <v>1</v>
      </c>
      <c r="AC3815" s="4">
        <v>1</v>
      </c>
      <c r="AD3815" s="4">
        <v>16</v>
      </c>
      <c r="AE3815" s="4">
        <v>16</v>
      </c>
      <c r="AF3815" s="4">
        <v>0</v>
      </c>
      <c r="AG3815" s="4">
        <v>0</v>
      </c>
      <c r="AH3815" s="4">
        <v>15</v>
      </c>
      <c r="AI3815" s="4">
        <v>15</v>
      </c>
      <c r="AJ3815" s="4">
        <v>1</v>
      </c>
      <c r="AK3815" s="4">
        <v>1</v>
      </c>
      <c r="AL3815" s="4">
        <v>13</v>
      </c>
      <c r="AM3815" s="4">
        <v>13</v>
      </c>
      <c r="AN3815" s="4">
        <v>0</v>
      </c>
      <c r="AO3815" s="4">
        <v>0</v>
      </c>
      <c r="AP3815" s="4">
        <v>1</v>
      </c>
      <c r="AQ3815" s="4">
        <v>1</v>
      </c>
      <c r="AR3815" s="3" t="s">
        <v>65</v>
      </c>
      <c r="AS3815" s="3" t="s">
        <v>65</v>
      </c>
      <c r="AT3815" s="3" t="s">
        <v>65</v>
      </c>
      <c r="AV3815" s="6" t="str">
        <f>HYPERLINK("http://mcgill.on.worldcat.org/oclc/817539161","Catalog Record")</f>
        <v>Catalog Record</v>
      </c>
      <c r="AW3815" s="6" t="str">
        <f>HYPERLINK("http://www.worldcat.org/oclc/817539161","WorldCat Record")</f>
        <v>WorldCat Record</v>
      </c>
      <c r="AX3815" s="3" t="s">
        <v>37888</v>
      </c>
      <c r="AY3815" s="3" t="s">
        <v>37889</v>
      </c>
      <c r="AZ3815" s="3" t="s">
        <v>37890</v>
      </c>
      <c r="BA3815" s="3" t="s">
        <v>37890</v>
      </c>
      <c r="BB3815" s="3" t="s">
        <v>37891</v>
      </c>
      <c r="BC3815" s="3" t="s">
        <v>77</v>
      </c>
      <c r="BD3815" s="3" t="s">
        <v>78</v>
      </c>
      <c r="BE3815" s="3" t="s">
        <v>37892</v>
      </c>
      <c r="BF3815" s="3" t="s">
        <v>37891</v>
      </c>
      <c r="BG3815" s="3" t="s">
        <v>37893</v>
      </c>
    </row>
    <row r="3816" spans="1:59" ht="58" x14ac:dyDescent="0.35">
      <c r="A3816" s="2" t="s">
        <v>59</v>
      </c>
      <c r="B3816" s="2" t="s">
        <v>60</v>
      </c>
      <c r="C3816" s="2" t="s">
        <v>37894</v>
      </c>
      <c r="D3816" s="2" t="s">
        <v>37895</v>
      </c>
      <c r="E3816" s="2" t="s">
        <v>37896</v>
      </c>
      <c r="G3816" s="3" t="s">
        <v>65</v>
      </c>
      <c r="I3816" s="3" t="s">
        <v>65</v>
      </c>
      <c r="J3816" s="3" t="s">
        <v>65</v>
      </c>
      <c r="K3816" s="3" t="s">
        <v>66</v>
      </c>
      <c r="L3816" s="2" t="s">
        <v>37885</v>
      </c>
      <c r="M3816" s="2" t="s">
        <v>37897</v>
      </c>
      <c r="N3816" s="3" t="s">
        <v>113</v>
      </c>
      <c r="P3816" s="3" t="s">
        <v>140</v>
      </c>
      <c r="Q3816" s="2" t="s">
        <v>37898</v>
      </c>
      <c r="R3816" s="3" t="s">
        <v>71</v>
      </c>
      <c r="S3816" s="4">
        <v>0</v>
      </c>
      <c r="T3816" s="4">
        <v>0</v>
      </c>
      <c r="W3816" s="5" t="s">
        <v>72</v>
      </c>
      <c r="X3816" s="5" t="s">
        <v>72</v>
      </c>
      <c r="Y3816" s="4">
        <v>18</v>
      </c>
      <c r="Z3816" s="4">
        <v>1</v>
      </c>
      <c r="AA3816" s="4">
        <v>3</v>
      </c>
      <c r="AB3816" s="4">
        <v>1</v>
      </c>
      <c r="AC3816" s="4">
        <v>1</v>
      </c>
      <c r="AD3816" s="4">
        <v>12</v>
      </c>
      <c r="AE3816" s="4">
        <v>18</v>
      </c>
      <c r="AF3816" s="4">
        <v>0</v>
      </c>
      <c r="AG3816" s="4">
        <v>0</v>
      </c>
      <c r="AH3816" s="4">
        <v>11</v>
      </c>
      <c r="AI3816" s="4">
        <v>17</v>
      </c>
      <c r="AJ3816" s="4">
        <v>0</v>
      </c>
      <c r="AK3816" s="4">
        <v>1</v>
      </c>
      <c r="AL3816" s="4">
        <v>9</v>
      </c>
      <c r="AM3816" s="4">
        <v>14</v>
      </c>
      <c r="AN3816" s="4">
        <v>0</v>
      </c>
      <c r="AO3816" s="4">
        <v>0</v>
      </c>
      <c r="AP3816" s="4">
        <v>0</v>
      </c>
      <c r="AQ3816" s="4">
        <v>1</v>
      </c>
      <c r="AR3816" s="3" t="s">
        <v>65</v>
      </c>
      <c r="AS3816" s="3" t="s">
        <v>65</v>
      </c>
      <c r="AT3816" s="3" t="s">
        <v>65</v>
      </c>
      <c r="AV3816" s="6" t="str">
        <f>HYPERLINK("http://mcgill.on.worldcat.org/oclc/677918077","Catalog Record")</f>
        <v>Catalog Record</v>
      </c>
      <c r="AW3816" s="6" t="str">
        <f>HYPERLINK("http://www.worldcat.org/oclc/677918077","WorldCat Record")</f>
        <v>WorldCat Record</v>
      </c>
      <c r="AX3816" s="3" t="s">
        <v>37899</v>
      </c>
      <c r="AY3816" s="3" t="s">
        <v>37900</v>
      </c>
      <c r="AZ3816" s="3" t="s">
        <v>37901</v>
      </c>
      <c r="BA3816" s="3" t="s">
        <v>37901</v>
      </c>
      <c r="BB3816" s="3" t="s">
        <v>37902</v>
      </c>
      <c r="BC3816" s="3" t="s">
        <v>77</v>
      </c>
      <c r="BD3816" s="3" t="s">
        <v>78</v>
      </c>
      <c r="BE3816" s="3" t="s">
        <v>37903</v>
      </c>
      <c r="BF3816" s="3" t="s">
        <v>37902</v>
      </c>
      <c r="BG3816" s="3" t="s">
        <v>37904</v>
      </c>
    </row>
    <row r="3817" spans="1:59" ht="58" x14ac:dyDescent="0.35">
      <c r="A3817" s="2" t="s">
        <v>59</v>
      </c>
      <c r="B3817" s="2" t="s">
        <v>60</v>
      </c>
      <c r="C3817" s="2" t="s">
        <v>37905</v>
      </c>
      <c r="D3817" s="2" t="s">
        <v>37906</v>
      </c>
      <c r="E3817" s="2" t="s">
        <v>37907</v>
      </c>
      <c r="G3817" s="3" t="s">
        <v>65</v>
      </c>
      <c r="I3817" s="3" t="s">
        <v>65</v>
      </c>
      <c r="J3817" s="3" t="s">
        <v>65</v>
      </c>
      <c r="K3817" s="3" t="s">
        <v>66</v>
      </c>
      <c r="L3817" s="2" t="s">
        <v>37885</v>
      </c>
      <c r="M3817" s="2" t="s">
        <v>37908</v>
      </c>
      <c r="N3817" s="3" t="s">
        <v>139</v>
      </c>
      <c r="P3817" s="3" t="s">
        <v>140</v>
      </c>
      <c r="Q3817" s="2" t="s">
        <v>37909</v>
      </c>
      <c r="R3817" s="3" t="s">
        <v>71</v>
      </c>
      <c r="S3817" s="4">
        <v>0</v>
      </c>
      <c r="T3817" s="4">
        <v>0</v>
      </c>
      <c r="W3817" s="5" t="s">
        <v>72</v>
      </c>
      <c r="X3817" s="5" t="s">
        <v>72</v>
      </c>
      <c r="Y3817" s="4">
        <v>22</v>
      </c>
      <c r="Z3817" s="4">
        <v>3</v>
      </c>
      <c r="AA3817" s="4">
        <v>3</v>
      </c>
      <c r="AB3817" s="4">
        <v>1</v>
      </c>
      <c r="AC3817" s="4">
        <v>1</v>
      </c>
      <c r="AD3817" s="4">
        <v>15</v>
      </c>
      <c r="AE3817" s="4">
        <v>15</v>
      </c>
      <c r="AF3817" s="4">
        <v>0</v>
      </c>
      <c r="AG3817" s="4">
        <v>0</v>
      </c>
      <c r="AH3817" s="4">
        <v>14</v>
      </c>
      <c r="AI3817" s="4">
        <v>14</v>
      </c>
      <c r="AJ3817" s="4">
        <v>1</v>
      </c>
      <c r="AK3817" s="4">
        <v>1</v>
      </c>
      <c r="AL3817" s="4">
        <v>12</v>
      </c>
      <c r="AM3817" s="4">
        <v>12</v>
      </c>
      <c r="AN3817" s="4">
        <v>0</v>
      </c>
      <c r="AO3817" s="4">
        <v>0</v>
      </c>
      <c r="AP3817" s="4">
        <v>1</v>
      </c>
      <c r="AQ3817" s="4">
        <v>1</v>
      </c>
      <c r="AR3817" s="3" t="s">
        <v>65</v>
      </c>
      <c r="AS3817" s="3" t="s">
        <v>65</v>
      </c>
      <c r="AT3817" s="3" t="s">
        <v>65</v>
      </c>
      <c r="AV3817" s="6" t="str">
        <f>HYPERLINK("http://mcgill.on.worldcat.org/oclc/807031227","Catalog Record")</f>
        <v>Catalog Record</v>
      </c>
      <c r="AW3817" s="6" t="str">
        <f>HYPERLINK("http://www.worldcat.org/oclc/807031227","WorldCat Record")</f>
        <v>WorldCat Record</v>
      </c>
      <c r="AX3817" s="3" t="s">
        <v>37910</v>
      </c>
      <c r="AY3817" s="3" t="s">
        <v>37911</v>
      </c>
      <c r="AZ3817" s="3" t="s">
        <v>37912</v>
      </c>
      <c r="BA3817" s="3" t="s">
        <v>37912</v>
      </c>
      <c r="BB3817" s="3" t="s">
        <v>37913</v>
      </c>
      <c r="BC3817" s="3" t="s">
        <v>77</v>
      </c>
      <c r="BD3817" s="3" t="s">
        <v>78</v>
      </c>
      <c r="BE3817" s="3" t="s">
        <v>37914</v>
      </c>
      <c r="BF3817" s="3" t="s">
        <v>37913</v>
      </c>
      <c r="BG3817" s="3" t="s">
        <v>37915</v>
      </c>
    </row>
    <row r="3818" spans="1:59" ht="58" x14ac:dyDescent="0.35">
      <c r="A3818" s="2" t="s">
        <v>59</v>
      </c>
      <c r="B3818" s="2" t="s">
        <v>60</v>
      </c>
      <c r="C3818" s="2" t="s">
        <v>37916</v>
      </c>
      <c r="D3818" s="2" t="s">
        <v>37917</v>
      </c>
      <c r="E3818" s="2" t="s">
        <v>37918</v>
      </c>
      <c r="G3818" s="3" t="s">
        <v>65</v>
      </c>
      <c r="I3818" s="3" t="s">
        <v>65</v>
      </c>
      <c r="J3818" s="3" t="s">
        <v>65</v>
      </c>
      <c r="K3818" s="3" t="s">
        <v>66</v>
      </c>
      <c r="L3818" s="2" t="s">
        <v>37885</v>
      </c>
      <c r="M3818" s="2" t="s">
        <v>37919</v>
      </c>
      <c r="N3818" s="3" t="s">
        <v>113</v>
      </c>
      <c r="O3818" s="2" t="s">
        <v>235</v>
      </c>
      <c r="P3818" s="3" t="s">
        <v>140</v>
      </c>
      <c r="Q3818" s="2" t="s">
        <v>37920</v>
      </c>
      <c r="R3818" s="3" t="s">
        <v>71</v>
      </c>
      <c r="S3818" s="4">
        <v>0</v>
      </c>
      <c r="T3818" s="4">
        <v>0</v>
      </c>
      <c r="W3818" s="5" t="s">
        <v>72</v>
      </c>
      <c r="X3818" s="5" t="s">
        <v>72</v>
      </c>
      <c r="Y3818" s="4">
        <v>23</v>
      </c>
      <c r="Z3818" s="4">
        <v>3</v>
      </c>
      <c r="AA3818" s="4">
        <v>3</v>
      </c>
      <c r="AB3818" s="4">
        <v>1</v>
      </c>
      <c r="AC3818" s="4">
        <v>1</v>
      </c>
      <c r="AD3818" s="4">
        <v>14</v>
      </c>
      <c r="AE3818" s="4">
        <v>14</v>
      </c>
      <c r="AF3818" s="4">
        <v>0</v>
      </c>
      <c r="AG3818" s="4">
        <v>0</v>
      </c>
      <c r="AH3818" s="4">
        <v>13</v>
      </c>
      <c r="AI3818" s="4">
        <v>13</v>
      </c>
      <c r="AJ3818" s="4">
        <v>1</v>
      </c>
      <c r="AK3818" s="4">
        <v>1</v>
      </c>
      <c r="AL3818" s="4">
        <v>13</v>
      </c>
      <c r="AM3818" s="4">
        <v>13</v>
      </c>
      <c r="AN3818" s="4">
        <v>0</v>
      </c>
      <c r="AO3818" s="4">
        <v>0</v>
      </c>
      <c r="AP3818" s="4">
        <v>1</v>
      </c>
      <c r="AQ3818" s="4">
        <v>1</v>
      </c>
      <c r="AR3818" s="3" t="s">
        <v>65</v>
      </c>
      <c r="AS3818" s="3" t="s">
        <v>65</v>
      </c>
      <c r="AT3818" s="3" t="s">
        <v>65</v>
      </c>
      <c r="AV3818" s="6" t="str">
        <f>HYPERLINK("http://mcgill.on.worldcat.org/oclc/815379150","Catalog Record")</f>
        <v>Catalog Record</v>
      </c>
      <c r="AW3818" s="6" t="str">
        <f>HYPERLINK("http://www.worldcat.org/oclc/815379150","WorldCat Record")</f>
        <v>WorldCat Record</v>
      </c>
      <c r="AX3818" s="3" t="s">
        <v>37921</v>
      </c>
      <c r="AY3818" s="3" t="s">
        <v>37922</v>
      </c>
      <c r="AZ3818" s="3" t="s">
        <v>37923</v>
      </c>
      <c r="BA3818" s="3" t="s">
        <v>37923</v>
      </c>
      <c r="BB3818" s="3" t="s">
        <v>37924</v>
      </c>
      <c r="BC3818" s="3" t="s">
        <v>77</v>
      </c>
      <c r="BD3818" s="3" t="s">
        <v>78</v>
      </c>
      <c r="BE3818" s="3" t="s">
        <v>37925</v>
      </c>
      <c r="BF3818" s="3" t="s">
        <v>37924</v>
      </c>
      <c r="BG3818" s="3" t="s">
        <v>37926</v>
      </c>
    </row>
    <row r="3819" spans="1:59" ht="58" x14ac:dyDescent="0.35">
      <c r="A3819" s="2" t="s">
        <v>59</v>
      </c>
      <c r="B3819" s="2" t="s">
        <v>60</v>
      </c>
      <c r="C3819" s="2" t="s">
        <v>37927</v>
      </c>
      <c r="D3819" s="2" t="s">
        <v>37928</v>
      </c>
      <c r="E3819" s="2" t="s">
        <v>37929</v>
      </c>
      <c r="G3819" s="3" t="s">
        <v>65</v>
      </c>
      <c r="I3819" s="3" t="s">
        <v>65</v>
      </c>
      <c r="J3819" s="3" t="s">
        <v>65</v>
      </c>
      <c r="K3819" s="3" t="s">
        <v>66</v>
      </c>
      <c r="L3819" s="2" t="s">
        <v>37930</v>
      </c>
      <c r="M3819" s="2" t="s">
        <v>37931</v>
      </c>
      <c r="N3819" s="3" t="s">
        <v>265</v>
      </c>
      <c r="P3819" s="3" t="s">
        <v>140</v>
      </c>
      <c r="Q3819" s="2" t="s">
        <v>37932</v>
      </c>
      <c r="R3819" s="3" t="s">
        <v>71</v>
      </c>
      <c r="S3819" s="4">
        <v>0</v>
      </c>
      <c r="T3819" s="4">
        <v>0</v>
      </c>
      <c r="W3819" s="5" t="s">
        <v>266</v>
      </c>
      <c r="X3819" s="5" t="s">
        <v>266</v>
      </c>
      <c r="Y3819" s="4">
        <v>8</v>
      </c>
      <c r="Z3819" s="4">
        <v>1</v>
      </c>
      <c r="AA3819" s="4">
        <v>1</v>
      </c>
      <c r="AB3819" s="4">
        <v>1</v>
      </c>
      <c r="AC3819" s="4">
        <v>1</v>
      </c>
      <c r="AD3819" s="4">
        <v>5</v>
      </c>
      <c r="AE3819" s="4">
        <v>5</v>
      </c>
      <c r="AF3819" s="4">
        <v>0</v>
      </c>
      <c r="AG3819" s="4">
        <v>0</v>
      </c>
      <c r="AH3819" s="4">
        <v>4</v>
      </c>
      <c r="AI3819" s="4">
        <v>4</v>
      </c>
      <c r="AJ3819" s="4">
        <v>0</v>
      </c>
      <c r="AK3819" s="4">
        <v>0</v>
      </c>
      <c r="AL3819" s="4">
        <v>4</v>
      </c>
      <c r="AM3819" s="4">
        <v>4</v>
      </c>
      <c r="AN3819" s="4">
        <v>0</v>
      </c>
      <c r="AO3819" s="4">
        <v>0</v>
      </c>
      <c r="AP3819" s="4">
        <v>0</v>
      </c>
      <c r="AQ3819" s="4">
        <v>0</v>
      </c>
      <c r="AR3819" s="3" t="s">
        <v>65</v>
      </c>
      <c r="AS3819" s="3" t="s">
        <v>65</v>
      </c>
      <c r="AT3819" s="3" t="s">
        <v>65</v>
      </c>
      <c r="AV3819" s="6" t="str">
        <f>HYPERLINK("http://mcgill.on.worldcat.org/oclc/1107539563","Catalog Record")</f>
        <v>Catalog Record</v>
      </c>
      <c r="AW3819" s="6" t="str">
        <f>HYPERLINK("http://www.worldcat.org/oclc/1107539563","WorldCat Record")</f>
        <v>WorldCat Record</v>
      </c>
      <c r="AX3819" s="3" t="s">
        <v>37933</v>
      </c>
      <c r="AY3819" s="3" t="s">
        <v>37934</v>
      </c>
      <c r="AZ3819" s="3" t="s">
        <v>37935</v>
      </c>
      <c r="BA3819" s="3" t="s">
        <v>37935</v>
      </c>
      <c r="BB3819" s="3" t="s">
        <v>37936</v>
      </c>
      <c r="BC3819" s="3" t="s">
        <v>77</v>
      </c>
      <c r="BD3819" s="3" t="s">
        <v>78</v>
      </c>
      <c r="BE3819" s="3" t="s">
        <v>37937</v>
      </c>
      <c r="BF3819" s="3" t="s">
        <v>37936</v>
      </c>
      <c r="BG3819" s="3" t="s">
        <v>37938</v>
      </c>
    </row>
    <row r="3820" spans="1:59" ht="72.5" x14ac:dyDescent="0.35">
      <c r="A3820" s="2" t="s">
        <v>59</v>
      </c>
      <c r="B3820" s="2" t="s">
        <v>60</v>
      </c>
      <c r="C3820" s="2" t="s">
        <v>37939</v>
      </c>
      <c r="D3820" s="2" t="s">
        <v>37940</v>
      </c>
      <c r="E3820" s="2" t="s">
        <v>37941</v>
      </c>
      <c r="G3820" s="3" t="s">
        <v>65</v>
      </c>
      <c r="I3820" s="3" t="s">
        <v>65</v>
      </c>
      <c r="J3820" s="3" t="s">
        <v>65</v>
      </c>
      <c r="K3820" s="3" t="s">
        <v>66</v>
      </c>
      <c r="L3820" s="2" t="s">
        <v>37942</v>
      </c>
      <c r="M3820" s="2" t="s">
        <v>19744</v>
      </c>
      <c r="N3820" s="3" t="s">
        <v>139</v>
      </c>
      <c r="P3820" s="3" t="s">
        <v>140</v>
      </c>
      <c r="Q3820" s="2" t="s">
        <v>37943</v>
      </c>
      <c r="R3820" s="3" t="s">
        <v>71</v>
      </c>
      <c r="S3820" s="4">
        <v>0</v>
      </c>
      <c r="T3820" s="4">
        <v>0</v>
      </c>
      <c r="W3820" s="5" t="s">
        <v>72</v>
      </c>
      <c r="X3820" s="5" t="s">
        <v>72</v>
      </c>
      <c r="Y3820" s="4">
        <v>24</v>
      </c>
      <c r="Z3820" s="4">
        <v>4</v>
      </c>
      <c r="AA3820" s="4">
        <v>4</v>
      </c>
      <c r="AB3820" s="4">
        <v>1</v>
      </c>
      <c r="AC3820" s="4">
        <v>1</v>
      </c>
      <c r="AD3820" s="4">
        <v>12</v>
      </c>
      <c r="AE3820" s="4">
        <v>12</v>
      </c>
      <c r="AF3820" s="4">
        <v>0</v>
      </c>
      <c r="AG3820" s="4">
        <v>0</v>
      </c>
      <c r="AH3820" s="4">
        <v>11</v>
      </c>
      <c r="AI3820" s="4">
        <v>11</v>
      </c>
      <c r="AJ3820" s="4">
        <v>2</v>
      </c>
      <c r="AK3820" s="4">
        <v>2</v>
      </c>
      <c r="AL3820" s="4">
        <v>9</v>
      </c>
      <c r="AM3820" s="4">
        <v>9</v>
      </c>
      <c r="AN3820" s="4">
        <v>0</v>
      </c>
      <c r="AO3820" s="4">
        <v>0</v>
      </c>
      <c r="AP3820" s="4">
        <v>2</v>
      </c>
      <c r="AQ3820" s="4">
        <v>2</v>
      </c>
      <c r="AR3820" s="3" t="s">
        <v>65</v>
      </c>
      <c r="AS3820" s="3" t="s">
        <v>65</v>
      </c>
      <c r="AT3820" s="3" t="s">
        <v>65</v>
      </c>
      <c r="AV3820" s="6" t="str">
        <f>HYPERLINK("http://mcgill.on.worldcat.org/oclc/780945576","Catalog Record")</f>
        <v>Catalog Record</v>
      </c>
      <c r="AW3820" s="6" t="str">
        <f>HYPERLINK("http://www.worldcat.org/oclc/780945576","WorldCat Record")</f>
        <v>WorldCat Record</v>
      </c>
      <c r="AX3820" s="3" t="s">
        <v>37944</v>
      </c>
      <c r="AY3820" s="3" t="s">
        <v>37945</v>
      </c>
      <c r="AZ3820" s="3" t="s">
        <v>37946</v>
      </c>
      <c r="BA3820" s="3" t="s">
        <v>37946</v>
      </c>
      <c r="BB3820" s="3" t="s">
        <v>37947</v>
      </c>
      <c r="BC3820" s="3" t="s">
        <v>77</v>
      </c>
      <c r="BD3820" s="3" t="s">
        <v>78</v>
      </c>
      <c r="BE3820" s="3" t="s">
        <v>37948</v>
      </c>
      <c r="BF3820" s="3" t="s">
        <v>37947</v>
      </c>
      <c r="BG3820" s="3" t="s">
        <v>37949</v>
      </c>
    </row>
    <row r="3821" spans="1:59" ht="72.5" x14ac:dyDescent="0.35">
      <c r="A3821" s="2" t="s">
        <v>59</v>
      </c>
      <c r="B3821" s="2" t="s">
        <v>60</v>
      </c>
      <c r="C3821" s="2" t="s">
        <v>37950</v>
      </c>
      <c r="D3821" s="2" t="s">
        <v>37951</v>
      </c>
      <c r="E3821" s="2" t="s">
        <v>37952</v>
      </c>
      <c r="G3821" s="3" t="s">
        <v>65</v>
      </c>
      <c r="I3821" s="3" t="s">
        <v>65</v>
      </c>
      <c r="J3821" s="3" t="s">
        <v>65</v>
      </c>
      <c r="K3821" s="3" t="s">
        <v>66</v>
      </c>
      <c r="L3821" s="2" t="s">
        <v>37953</v>
      </c>
      <c r="M3821" s="2" t="s">
        <v>37954</v>
      </c>
      <c r="N3821" s="3" t="s">
        <v>152</v>
      </c>
      <c r="O3821" s="2" t="s">
        <v>379</v>
      </c>
      <c r="P3821" s="3" t="s">
        <v>140</v>
      </c>
      <c r="Q3821" s="2" t="s">
        <v>32206</v>
      </c>
      <c r="R3821" s="3" t="s">
        <v>71</v>
      </c>
      <c r="S3821" s="4">
        <v>0</v>
      </c>
      <c r="T3821" s="4">
        <v>0</v>
      </c>
      <c r="U3821" s="5" t="s">
        <v>2061</v>
      </c>
      <c r="V3821" s="5" t="s">
        <v>2061</v>
      </c>
      <c r="W3821" s="5" t="s">
        <v>72</v>
      </c>
      <c r="X3821" s="5" t="s">
        <v>72</v>
      </c>
      <c r="Y3821" s="4">
        <v>52</v>
      </c>
      <c r="Z3821" s="4">
        <v>4</v>
      </c>
      <c r="AA3821" s="4">
        <v>6</v>
      </c>
      <c r="AB3821" s="4">
        <v>1</v>
      </c>
      <c r="AC3821" s="4">
        <v>3</v>
      </c>
      <c r="AD3821" s="4">
        <v>39</v>
      </c>
      <c r="AE3821" s="4">
        <v>40</v>
      </c>
      <c r="AF3821" s="4">
        <v>0</v>
      </c>
      <c r="AG3821" s="4">
        <v>1</v>
      </c>
      <c r="AH3821" s="4">
        <v>38</v>
      </c>
      <c r="AI3821" s="4">
        <v>38</v>
      </c>
      <c r="AJ3821" s="4">
        <v>2</v>
      </c>
      <c r="AK3821" s="4">
        <v>3</v>
      </c>
      <c r="AL3821" s="4">
        <v>32</v>
      </c>
      <c r="AM3821" s="4">
        <v>32</v>
      </c>
      <c r="AN3821" s="4">
        <v>0</v>
      </c>
      <c r="AO3821" s="4">
        <v>0</v>
      </c>
      <c r="AP3821" s="4">
        <v>2</v>
      </c>
      <c r="AQ3821" s="4">
        <v>2</v>
      </c>
      <c r="AR3821" s="3" t="s">
        <v>65</v>
      </c>
      <c r="AS3821" s="3" t="s">
        <v>65</v>
      </c>
      <c r="AT3821" s="3" t="s">
        <v>65</v>
      </c>
      <c r="AV3821" s="6" t="str">
        <f>HYPERLINK("http://mcgill.on.worldcat.org/oclc/847572863","Catalog Record")</f>
        <v>Catalog Record</v>
      </c>
      <c r="AW3821" s="6" t="str">
        <f>HYPERLINK("http://www.worldcat.org/oclc/847572863","WorldCat Record")</f>
        <v>WorldCat Record</v>
      </c>
      <c r="AX3821" s="3" t="s">
        <v>37955</v>
      </c>
      <c r="AY3821" s="3" t="s">
        <v>37956</v>
      </c>
      <c r="AZ3821" s="3" t="s">
        <v>37957</v>
      </c>
      <c r="BA3821" s="3" t="s">
        <v>37957</v>
      </c>
      <c r="BB3821" s="3" t="s">
        <v>37958</v>
      </c>
      <c r="BC3821" s="3" t="s">
        <v>77</v>
      </c>
      <c r="BD3821" s="3" t="s">
        <v>78</v>
      </c>
      <c r="BE3821" s="3" t="s">
        <v>37959</v>
      </c>
      <c r="BF3821" s="3" t="s">
        <v>37958</v>
      </c>
      <c r="BG3821" s="3" t="s">
        <v>37960</v>
      </c>
    </row>
    <row r="3822" spans="1:59" ht="72.5" x14ac:dyDescent="0.35">
      <c r="A3822" s="2" t="s">
        <v>59</v>
      </c>
      <c r="B3822" s="2" t="s">
        <v>60</v>
      </c>
      <c r="C3822" s="2" t="s">
        <v>37961</v>
      </c>
      <c r="D3822" s="2" t="s">
        <v>37962</v>
      </c>
      <c r="E3822" s="2" t="s">
        <v>37963</v>
      </c>
      <c r="G3822" s="3" t="s">
        <v>65</v>
      </c>
      <c r="I3822" s="3" t="s">
        <v>65</v>
      </c>
      <c r="J3822" s="3" t="s">
        <v>65</v>
      </c>
      <c r="K3822" s="3" t="s">
        <v>66</v>
      </c>
      <c r="L3822" s="2" t="s">
        <v>37953</v>
      </c>
      <c r="M3822" s="2" t="s">
        <v>37964</v>
      </c>
      <c r="N3822" s="3" t="s">
        <v>3385</v>
      </c>
      <c r="O3822" s="2" t="s">
        <v>37965</v>
      </c>
      <c r="P3822" s="3" t="s">
        <v>69</v>
      </c>
      <c r="R3822" s="3" t="s">
        <v>71</v>
      </c>
      <c r="S3822" s="4">
        <v>6</v>
      </c>
      <c r="T3822" s="4">
        <v>6</v>
      </c>
      <c r="U3822" s="5" t="s">
        <v>393</v>
      </c>
      <c r="V3822" s="5" t="s">
        <v>393</v>
      </c>
      <c r="W3822" s="5" t="s">
        <v>72</v>
      </c>
      <c r="X3822" s="5" t="s">
        <v>72</v>
      </c>
      <c r="Y3822" s="4">
        <v>24</v>
      </c>
      <c r="Z3822" s="4">
        <v>3</v>
      </c>
      <c r="AA3822" s="4">
        <v>20</v>
      </c>
      <c r="AB3822" s="4">
        <v>1</v>
      </c>
      <c r="AC3822" s="4">
        <v>2</v>
      </c>
      <c r="AD3822" s="4">
        <v>2</v>
      </c>
      <c r="AE3822" s="4">
        <v>81</v>
      </c>
      <c r="AF3822" s="4">
        <v>0</v>
      </c>
      <c r="AG3822" s="4">
        <v>0</v>
      </c>
      <c r="AH3822" s="4">
        <v>1</v>
      </c>
      <c r="AI3822" s="4">
        <v>78</v>
      </c>
      <c r="AJ3822" s="4">
        <v>1</v>
      </c>
      <c r="AK3822" s="4">
        <v>4</v>
      </c>
      <c r="AL3822" s="4">
        <v>0</v>
      </c>
      <c r="AM3822" s="4">
        <v>46</v>
      </c>
      <c r="AN3822" s="4">
        <v>0</v>
      </c>
      <c r="AO3822" s="4">
        <v>0</v>
      </c>
      <c r="AP3822" s="4">
        <v>2</v>
      </c>
      <c r="AQ3822" s="4">
        <v>5</v>
      </c>
      <c r="AR3822" s="3" t="s">
        <v>65</v>
      </c>
      <c r="AS3822" s="3" t="s">
        <v>65</v>
      </c>
      <c r="AT3822" s="3" t="s">
        <v>65</v>
      </c>
      <c r="AV3822" s="6" t="str">
        <f>HYPERLINK("http://mcgill.on.worldcat.org/oclc/42858817","Catalog Record")</f>
        <v>Catalog Record</v>
      </c>
      <c r="AW3822" s="6" t="str">
        <f>HYPERLINK("http://www.worldcat.org/oclc/42858817","WorldCat Record")</f>
        <v>WorldCat Record</v>
      </c>
      <c r="AX3822" s="3" t="s">
        <v>37966</v>
      </c>
      <c r="AY3822" s="3" t="s">
        <v>37967</v>
      </c>
      <c r="AZ3822" s="3" t="s">
        <v>37968</v>
      </c>
      <c r="BA3822" s="3" t="s">
        <v>37968</v>
      </c>
      <c r="BB3822" s="3" t="s">
        <v>37969</v>
      </c>
      <c r="BC3822" s="3" t="s">
        <v>77</v>
      </c>
      <c r="BD3822" s="3" t="s">
        <v>78</v>
      </c>
      <c r="BE3822" s="3" t="s">
        <v>37970</v>
      </c>
      <c r="BF3822" s="3" t="s">
        <v>37969</v>
      </c>
      <c r="BG3822" s="3" t="s">
        <v>37971</v>
      </c>
    </row>
    <row r="3823" spans="1:59" ht="72.5" x14ac:dyDescent="0.35">
      <c r="A3823" s="2" t="s">
        <v>59</v>
      </c>
      <c r="B3823" s="2" t="s">
        <v>60</v>
      </c>
      <c r="C3823" s="2" t="s">
        <v>37972</v>
      </c>
      <c r="D3823" s="2" t="s">
        <v>37973</v>
      </c>
      <c r="E3823" s="2" t="s">
        <v>37974</v>
      </c>
      <c r="G3823" s="3" t="s">
        <v>65</v>
      </c>
      <c r="I3823" s="3" t="s">
        <v>65</v>
      </c>
      <c r="J3823" s="3" t="s">
        <v>65</v>
      </c>
      <c r="K3823" s="3" t="s">
        <v>66</v>
      </c>
      <c r="L3823" s="2" t="s">
        <v>37953</v>
      </c>
      <c r="M3823" s="2" t="s">
        <v>37975</v>
      </c>
      <c r="N3823" s="3" t="s">
        <v>164</v>
      </c>
      <c r="P3823" s="3" t="s">
        <v>140</v>
      </c>
      <c r="Q3823" s="2" t="s">
        <v>34928</v>
      </c>
      <c r="R3823" s="3" t="s">
        <v>71</v>
      </c>
      <c r="S3823" s="4">
        <v>0</v>
      </c>
      <c r="T3823" s="4">
        <v>0</v>
      </c>
      <c r="W3823" s="5" t="s">
        <v>72</v>
      </c>
      <c r="X3823" s="5" t="s">
        <v>72</v>
      </c>
      <c r="Y3823" s="4">
        <v>42</v>
      </c>
      <c r="Z3823" s="4">
        <v>3</v>
      </c>
      <c r="AA3823" s="4">
        <v>3</v>
      </c>
      <c r="AB3823" s="4">
        <v>1</v>
      </c>
      <c r="AC3823" s="4">
        <v>1</v>
      </c>
      <c r="AD3823" s="4">
        <v>26</v>
      </c>
      <c r="AE3823" s="4">
        <v>26</v>
      </c>
      <c r="AF3823" s="4">
        <v>0</v>
      </c>
      <c r="AG3823" s="4">
        <v>0</v>
      </c>
      <c r="AH3823" s="4">
        <v>25</v>
      </c>
      <c r="AI3823" s="4">
        <v>25</v>
      </c>
      <c r="AJ3823" s="4">
        <v>1</v>
      </c>
      <c r="AK3823" s="4">
        <v>1</v>
      </c>
      <c r="AL3823" s="4">
        <v>20</v>
      </c>
      <c r="AM3823" s="4">
        <v>20</v>
      </c>
      <c r="AN3823" s="4">
        <v>0</v>
      </c>
      <c r="AO3823" s="4">
        <v>0</v>
      </c>
      <c r="AP3823" s="4">
        <v>1</v>
      </c>
      <c r="AQ3823" s="4">
        <v>1</v>
      </c>
      <c r="AR3823" s="3" t="s">
        <v>65</v>
      </c>
      <c r="AS3823" s="3" t="s">
        <v>65</v>
      </c>
      <c r="AT3823" s="3" t="s">
        <v>65</v>
      </c>
      <c r="AV3823" s="6" t="str">
        <f>HYPERLINK("http://mcgill.on.worldcat.org/oclc/903207884","Catalog Record")</f>
        <v>Catalog Record</v>
      </c>
      <c r="AW3823" s="6" t="str">
        <f>HYPERLINK("http://www.worldcat.org/oclc/903207884","WorldCat Record")</f>
        <v>WorldCat Record</v>
      </c>
      <c r="AX3823" s="3" t="s">
        <v>37976</v>
      </c>
      <c r="AY3823" s="3" t="s">
        <v>37977</v>
      </c>
      <c r="AZ3823" s="3" t="s">
        <v>37978</v>
      </c>
      <c r="BA3823" s="3" t="s">
        <v>37978</v>
      </c>
      <c r="BB3823" s="3" t="s">
        <v>37979</v>
      </c>
      <c r="BC3823" s="3" t="s">
        <v>77</v>
      </c>
      <c r="BD3823" s="3" t="s">
        <v>78</v>
      </c>
      <c r="BE3823" s="3" t="s">
        <v>37980</v>
      </c>
      <c r="BF3823" s="3" t="s">
        <v>37979</v>
      </c>
      <c r="BG3823" s="3" t="s">
        <v>37981</v>
      </c>
    </row>
    <row r="3824" spans="1:59" ht="72.5" x14ac:dyDescent="0.35">
      <c r="A3824" s="2" t="s">
        <v>59</v>
      </c>
      <c r="B3824" s="2" t="s">
        <v>60</v>
      </c>
      <c r="C3824" s="2" t="s">
        <v>37982</v>
      </c>
      <c r="D3824" s="2" t="s">
        <v>37983</v>
      </c>
      <c r="E3824" s="2" t="s">
        <v>37984</v>
      </c>
      <c r="G3824" s="3" t="s">
        <v>65</v>
      </c>
      <c r="I3824" s="3" t="s">
        <v>65</v>
      </c>
      <c r="J3824" s="3" t="s">
        <v>65</v>
      </c>
      <c r="K3824" s="3" t="s">
        <v>66</v>
      </c>
      <c r="L3824" s="2" t="s">
        <v>37985</v>
      </c>
      <c r="M3824" s="2" t="s">
        <v>37986</v>
      </c>
      <c r="N3824" s="3" t="s">
        <v>126</v>
      </c>
      <c r="P3824" s="3" t="s">
        <v>140</v>
      </c>
      <c r="Q3824" s="2" t="s">
        <v>37987</v>
      </c>
      <c r="R3824" s="3" t="s">
        <v>71</v>
      </c>
      <c r="S3824" s="4">
        <v>4</v>
      </c>
      <c r="T3824" s="4">
        <v>4</v>
      </c>
      <c r="U3824" s="5" t="s">
        <v>7303</v>
      </c>
      <c r="V3824" s="5" t="s">
        <v>7303</v>
      </c>
      <c r="W3824" s="5" t="s">
        <v>72</v>
      </c>
      <c r="X3824" s="5" t="s">
        <v>72</v>
      </c>
      <c r="Y3824" s="4">
        <v>55</v>
      </c>
      <c r="Z3824" s="4">
        <v>5</v>
      </c>
      <c r="AA3824" s="4">
        <v>13</v>
      </c>
      <c r="AB3824" s="4">
        <v>1</v>
      </c>
      <c r="AC3824" s="4">
        <v>6</v>
      </c>
      <c r="AD3824" s="4">
        <v>29</v>
      </c>
      <c r="AE3824" s="4">
        <v>38</v>
      </c>
      <c r="AF3824" s="4">
        <v>0</v>
      </c>
      <c r="AG3824" s="4">
        <v>2</v>
      </c>
      <c r="AH3824" s="4">
        <v>28</v>
      </c>
      <c r="AI3824" s="4">
        <v>36</v>
      </c>
      <c r="AJ3824" s="4">
        <v>2</v>
      </c>
      <c r="AK3824" s="4">
        <v>5</v>
      </c>
      <c r="AL3824" s="4">
        <v>25</v>
      </c>
      <c r="AM3824" s="4">
        <v>27</v>
      </c>
      <c r="AN3824" s="4">
        <v>0</v>
      </c>
      <c r="AO3824" s="4">
        <v>0</v>
      </c>
      <c r="AP3824" s="4">
        <v>2</v>
      </c>
      <c r="AQ3824" s="4">
        <v>4</v>
      </c>
      <c r="AR3824" s="3" t="s">
        <v>65</v>
      </c>
      <c r="AS3824" s="3" t="s">
        <v>65</v>
      </c>
      <c r="AT3824" s="3" t="s">
        <v>65</v>
      </c>
      <c r="AV3824" s="6" t="str">
        <f>HYPERLINK("http://mcgill.on.worldcat.org/oclc/773014914","Catalog Record")</f>
        <v>Catalog Record</v>
      </c>
      <c r="AW3824" s="6" t="str">
        <f>HYPERLINK("http://www.worldcat.org/oclc/773014914","WorldCat Record")</f>
        <v>WorldCat Record</v>
      </c>
      <c r="AX3824" s="3" t="s">
        <v>37988</v>
      </c>
      <c r="AY3824" s="3" t="s">
        <v>37989</v>
      </c>
      <c r="AZ3824" s="3" t="s">
        <v>37990</v>
      </c>
      <c r="BA3824" s="3" t="s">
        <v>37990</v>
      </c>
      <c r="BB3824" s="3" t="s">
        <v>37991</v>
      </c>
      <c r="BC3824" s="3" t="s">
        <v>77</v>
      </c>
      <c r="BD3824" s="3" t="s">
        <v>78</v>
      </c>
      <c r="BE3824" s="3" t="s">
        <v>37992</v>
      </c>
      <c r="BF3824" s="3" t="s">
        <v>37991</v>
      </c>
      <c r="BG3824" s="3" t="s">
        <v>37993</v>
      </c>
    </row>
    <row r="3825" spans="1:59" ht="72.5" x14ac:dyDescent="0.35">
      <c r="A3825" s="2" t="s">
        <v>59</v>
      </c>
      <c r="B3825" s="2" t="s">
        <v>60</v>
      </c>
      <c r="C3825" s="2" t="s">
        <v>37994</v>
      </c>
      <c r="D3825" s="2" t="s">
        <v>37995</v>
      </c>
      <c r="E3825" s="2" t="s">
        <v>37996</v>
      </c>
      <c r="G3825" s="3" t="s">
        <v>65</v>
      </c>
      <c r="I3825" s="3" t="s">
        <v>65</v>
      </c>
      <c r="J3825" s="3" t="s">
        <v>65</v>
      </c>
      <c r="K3825" s="3" t="s">
        <v>66</v>
      </c>
      <c r="L3825" s="2" t="s">
        <v>37985</v>
      </c>
      <c r="M3825" s="2" t="s">
        <v>36612</v>
      </c>
      <c r="N3825" s="3" t="s">
        <v>126</v>
      </c>
      <c r="O3825" s="2" t="s">
        <v>365</v>
      </c>
      <c r="P3825" s="3" t="s">
        <v>140</v>
      </c>
      <c r="Q3825" s="2" t="s">
        <v>32206</v>
      </c>
      <c r="R3825" s="3" t="s">
        <v>71</v>
      </c>
      <c r="S3825" s="4">
        <v>2</v>
      </c>
      <c r="T3825" s="4">
        <v>2</v>
      </c>
      <c r="U3825" s="5" t="s">
        <v>4833</v>
      </c>
      <c r="V3825" s="5" t="s">
        <v>4833</v>
      </c>
      <c r="W3825" s="5" t="s">
        <v>72</v>
      </c>
      <c r="X3825" s="5" t="s">
        <v>72</v>
      </c>
      <c r="Y3825" s="4">
        <v>97</v>
      </c>
      <c r="Z3825" s="4">
        <v>12</v>
      </c>
      <c r="AA3825" s="4">
        <v>15</v>
      </c>
      <c r="AB3825" s="4">
        <v>2</v>
      </c>
      <c r="AC3825" s="4">
        <v>3</v>
      </c>
      <c r="AD3825" s="4">
        <v>51</v>
      </c>
      <c r="AE3825" s="4">
        <v>52</v>
      </c>
      <c r="AF3825" s="4">
        <v>0</v>
      </c>
      <c r="AG3825" s="4">
        <v>1</v>
      </c>
      <c r="AH3825" s="4">
        <v>49</v>
      </c>
      <c r="AI3825" s="4">
        <v>49</v>
      </c>
      <c r="AJ3825" s="4">
        <v>8</v>
      </c>
      <c r="AK3825" s="4">
        <v>9</v>
      </c>
      <c r="AL3825" s="4">
        <v>36</v>
      </c>
      <c r="AM3825" s="4">
        <v>36</v>
      </c>
      <c r="AN3825" s="4">
        <v>0</v>
      </c>
      <c r="AO3825" s="4">
        <v>0</v>
      </c>
      <c r="AP3825" s="4">
        <v>8</v>
      </c>
      <c r="AQ3825" s="4">
        <v>8</v>
      </c>
      <c r="AR3825" s="3" t="s">
        <v>65</v>
      </c>
      <c r="AS3825" s="3" t="s">
        <v>65</v>
      </c>
      <c r="AT3825" s="3" t="s">
        <v>65</v>
      </c>
      <c r="AV3825" s="6" t="str">
        <f>HYPERLINK("http://mcgill.on.worldcat.org/oclc/712111964","Catalog Record")</f>
        <v>Catalog Record</v>
      </c>
      <c r="AW3825" s="6" t="str">
        <f>HYPERLINK("http://www.worldcat.org/oclc/712111964","WorldCat Record")</f>
        <v>WorldCat Record</v>
      </c>
      <c r="AX3825" s="3" t="s">
        <v>37997</v>
      </c>
      <c r="AY3825" s="3" t="s">
        <v>37998</v>
      </c>
      <c r="AZ3825" s="3" t="s">
        <v>37999</v>
      </c>
      <c r="BA3825" s="3" t="s">
        <v>37999</v>
      </c>
      <c r="BB3825" s="3" t="s">
        <v>38000</v>
      </c>
      <c r="BC3825" s="3" t="s">
        <v>77</v>
      </c>
      <c r="BD3825" s="3" t="s">
        <v>78</v>
      </c>
      <c r="BE3825" s="3" t="s">
        <v>38001</v>
      </c>
      <c r="BF3825" s="3" t="s">
        <v>38000</v>
      </c>
      <c r="BG3825" s="3" t="s">
        <v>38002</v>
      </c>
    </row>
    <row r="3826" spans="1:59" ht="58" x14ac:dyDescent="0.35">
      <c r="A3826" s="2" t="s">
        <v>59</v>
      </c>
      <c r="B3826" s="2" t="s">
        <v>60</v>
      </c>
      <c r="C3826" s="2" t="s">
        <v>38003</v>
      </c>
      <c r="D3826" s="2" t="s">
        <v>38004</v>
      </c>
      <c r="E3826" s="2" t="s">
        <v>38005</v>
      </c>
      <c r="G3826" s="3" t="s">
        <v>65</v>
      </c>
      <c r="I3826" s="3" t="s">
        <v>65</v>
      </c>
      <c r="J3826" s="3" t="s">
        <v>65</v>
      </c>
      <c r="K3826" s="3" t="s">
        <v>66</v>
      </c>
      <c r="L3826" s="2" t="s">
        <v>38006</v>
      </c>
      <c r="M3826" s="2" t="s">
        <v>27338</v>
      </c>
      <c r="N3826" s="3" t="s">
        <v>139</v>
      </c>
      <c r="P3826" s="3" t="s">
        <v>140</v>
      </c>
      <c r="Q3826" s="2" t="s">
        <v>38007</v>
      </c>
      <c r="R3826" s="3" t="s">
        <v>71</v>
      </c>
      <c r="S3826" s="4">
        <v>0</v>
      </c>
      <c r="T3826" s="4">
        <v>0</v>
      </c>
      <c r="W3826" s="5" t="s">
        <v>72</v>
      </c>
      <c r="X3826" s="5" t="s">
        <v>72</v>
      </c>
      <c r="Y3826" s="4">
        <v>52</v>
      </c>
      <c r="Z3826" s="4">
        <v>4</v>
      </c>
      <c r="AA3826" s="4">
        <v>4</v>
      </c>
      <c r="AB3826" s="4">
        <v>1</v>
      </c>
      <c r="AC3826" s="4">
        <v>1</v>
      </c>
      <c r="AD3826" s="4">
        <v>35</v>
      </c>
      <c r="AE3826" s="4">
        <v>35</v>
      </c>
      <c r="AF3826" s="4">
        <v>0</v>
      </c>
      <c r="AG3826" s="4">
        <v>0</v>
      </c>
      <c r="AH3826" s="4">
        <v>34</v>
      </c>
      <c r="AI3826" s="4">
        <v>34</v>
      </c>
      <c r="AJ3826" s="4">
        <v>2</v>
      </c>
      <c r="AK3826" s="4">
        <v>2</v>
      </c>
      <c r="AL3826" s="4">
        <v>28</v>
      </c>
      <c r="AM3826" s="4">
        <v>28</v>
      </c>
      <c r="AN3826" s="4">
        <v>0</v>
      </c>
      <c r="AO3826" s="4">
        <v>0</v>
      </c>
      <c r="AP3826" s="4">
        <v>2</v>
      </c>
      <c r="AQ3826" s="4">
        <v>2</v>
      </c>
      <c r="AR3826" s="3" t="s">
        <v>65</v>
      </c>
      <c r="AS3826" s="3" t="s">
        <v>65</v>
      </c>
      <c r="AT3826" s="3" t="s">
        <v>65</v>
      </c>
      <c r="AV3826" s="6" t="str">
        <f>HYPERLINK("http://mcgill.on.worldcat.org/oclc/826786346","Catalog Record")</f>
        <v>Catalog Record</v>
      </c>
      <c r="AW3826" s="6" t="str">
        <f>HYPERLINK("http://www.worldcat.org/oclc/826786346","WorldCat Record")</f>
        <v>WorldCat Record</v>
      </c>
      <c r="AX3826" s="3" t="s">
        <v>38008</v>
      </c>
      <c r="AY3826" s="3" t="s">
        <v>38009</v>
      </c>
      <c r="AZ3826" s="3" t="s">
        <v>38010</v>
      </c>
      <c r="BA3826" s="3" t="s">
        <v>38010</v>
      </c>
      <c r="BB3826" s="3" t="s">
        <v>38011</v>
      </c>
      <c r="BC3826" s="3" t="s">
        <v>77</v>
      </c>
      <c r="BD3826" s="3" t="s">
        <v>78</v>
      </c>
      <c r="BE3826" s="3" t="s">
        <v>38012</v>
      </c>
      <c r="BF3826" s="3" t="s">
        <v>38011</v>
      </c>
      <c r="BG3826" s="3" t="s">
        <v>38013</v>
      </c>
    </row>
    <row r="3827" spans="1:59" ht="58" x14ac:dyDescent="0.35">
      <c r="A3827" s="2" t="s">
        <v>59</v>
      </c>
      <c r="B3827" s="2" t="s">
        <v>60</v>
      </c>
      <c r="C3827" s="2" t="s">
        <v>38014</v>
      </c>
      <c r="D3827" s="2" t="s">
        <v>38015</v>
      </c>
      <c r="E3827" s="2" t="s">
        <v>38016</v>
      </c>
      <c r="G3827" s="3" t="s">
        <v>65</v>
      </c>
      <c r="I3827" s="3" t="s">
        <v>65</v>
      </c>
      <c r="J3827" s="3" t="s">
        <v>65</v>
      </c>
      <c r="K3827" s="3" t="s">
        <v>66</v>
      </c>
      <c r="L3827" s="2" t="s">
        <v>38017</v>
      </c>
      <c r="M3827" s="2" t="s">
        <v>36408</v>
      </c>
      <c r="N3827" s="3" t="s">
        <v>139</v>
      </c>
      <c r="P3827" s="3" t="s">
        <v>140</v>
      </c>
      <c r="R3827" s="3" t="s">
        <v>71</v>
      </c>
      <c r="S3827" s="4">
        <v>0</v>
      </c>
      <c r="T3827" s="4">
        <v>0</v>
      </c>
      <c r="W3827" s="5" t="s">
        <v>72</v>
      </c>
      <c r="X3827" s="5" t="s">
        <v>72</v>
      </c>
      <c r="Y3827" s="4">
        <v>63</v>
      </c>
      <c r="Z3827" s="4">
        <v>5</v>
      </c>
      <c r="AA3827" s="4">
        <v>6</v>
      </c>
      <c r="AB3827" s="4">
        <v>2</v>
      </c>
      <c r="AC3827" s="4">
        <v>2</v>
      </c>
      <c r="AD3827" s="4">
        <v>35</v>
      </c>
      <c r="AE3827" s="4">
        <v>42</v>
      </c>
      <c r="AF3827" s="4">
        <v>0</v>
      </c>
      <c r="AG3827" s="4">
        <v>0</v>
      </c>
      <c r="AH3827" s="4">
        <v>34</v>
      </c>
      <c r="AI3827" s="4">
        <v>41</v>
      </c>
      <c r="AJ3827" s="4">
        <v>2</v>
      </c>
      <c r="AK3827" s="4">
        <v>3</v>
      </c>
      <c r="AL3827" s="4">
        <v>26</v>
      </c>
      <c r="AM3827" s="4">
        <v>30</v>
      </c>
      <c r="AN3827" s="4">
        <v>0</v>
      </c>
      <c r="AO3827" s="4">
        <v>0</v>
      </c>
      <c r="AP3827" s="4">
        <v>2</v>
      </c>
      <c r="AQ3827" s="4">
        <v>3</v>
      </c>
      <c r="AR3827" s="3" t="s">
        <v>65</v>
      </c>
      <c r="AS3827" s="3" t="s">
        <v>65</v>
      </c>
      <c r="AT3827" s="3" t="s">
        <v>65</v>
      </c>
      <c r="AV3827" s="6" t="str">
        <f>HYPERLINK("http://mcgill.on.worldcat.org/oclc/795168054","Catalog Record")</f>
        <v>Catalog Record</v>
      </c>
      <c r="AW3827" s="6" t="str">
        <f>HYPERLINK("http://www.worldcat.org/oclc/795168054","WorldCat Record")</f>
        <v>WorldCat Record</v>
      </c>
      <c r="AX3827" s="3" t="s">
        <v>38018</v>
      </c>
      <c r="AY3827" s="3" t="s">
        <v>38019</v>
      </c>
      <c r="AZ3827" s="3" t="s">
        <v>38020</v>
      </c>
      <c r="BA3827" s="3" t="s">
        <v>38020</v>
      </c>
      <c r="BB3827" s="3" t="s">
        <v>38021</v>
      </c>
      <c r="BC3827" s="3" t="s">
        <v>77</v>
      </c>
      <c r="BD3827" s="3" t="s">
        <v>78</v>
      </c>
      <c r="BE3827" s="3" t="s">
        <v>38022</v>
      </c>
      <c r="BF3827" s="3" t="s">
        <v>38021</v>
      </c>
      <c r="BG3827" s="3" t="s">
        <v>38023</v>
      </c>
    </row>
    <row r="3828" spans="1:59" ht="58" x14ac:dyDescent="0.35">
      <c r="A3828" s="2" t="s">
        <v>59</v>
      </c>
      <c r="B3828" s="2" t="s">
        <v>60</v>
      </c>
      <c r="C3828" s="2" t="s">
        <v>38024</v>
      </c>
      <c r="D3828" s="2" t="s">
        <v>38025</v>
      </c>
      <c r="E3828" s="2" t="s">
        <v>38026</v>
      </c>
      <c r="G3828" s="3" t="s">
        <v>65</v>
      </c>
      <c r="I3828" s="3" t="s">
        <v>65</v>
      </c>
      <c r="J3828" s="3" t="s">
        <v>65</v>
      </c>
      <c r="K3828" s="3" t="s">
        <v>66</v>
      </c>
      <c r="L3828" s="2" t="s">
        <v>38017</v>
      </c>
      <c r="M3828" s="2" t="s">
        <v>34904</v>
      </c>
      <c r="N3828" s="3" t="s">
        <v>164</v>
      </c>
      <c r="O3828" s="2" t="s">
        <v>22240</v>
      </c>
      <c r="P3828" s="3" t="s">
        <v>69</v>
      </c>
      <c r="R3828" s="3" t="s">
        <v>71</v>
      </c>
      <c r="S3828" s="4">
        <v>2</v>
      </c>
      <c r="T3828" s="4">
        <v>2</v>
      </c>
      <c r="U3828" s="5" t="s">
        <v>33515</v>
      </c>
      <c r="V3828" s="5" t="s">
        <v>33515</v>
      </c>
      <c r="W3828" s="5" t="s">
        <v>72</v>
      </c>
      <c r="X3828" s="5" t="s">
        <v>72</v>
      </c>
      <c r="Y3828" s="4">
        <v>476</v>
      </c>
      <c r="Z3828" s="4">
        <v>17</v>
      </c>
      <c r="AA3828" s="4">
        <v>22</v>
      </c>
      <c r="AB3828" s="4">
        <v>1</v>
      </c>
      <c r="AC3828" s="4">
        <v>2</v>
      </c>
      <c r="AD3828" s="4">
        <v>55</v>
      </c>
      <c r="AE3828" s="4">
        <v>55</v>
      </c>
      <c r="AF3828" s="4">
        <v>0</v>
      </c>
      <c r="AG3828" s="4">
        <v>0</v>
      </c>
      <c r="AH3828" s="4">
        <v>53</v>
      </c>
      <c r="AI3828" s="4">
        <v>53</v>
      </c>
      <c r="AJ3828" s="4">
        <v>6</v>
      </c>
      <c r="AK3828" s="4">
        <v>6</v>
      </c>
      <c r="AL3828" s="4">
        <v>32</v>
      </c>
      <c r="AM3828" s="4">
        <v>32</v>
      </c>
      <c r="AN3828" s="4">
        <v>0</v>
      </c>
      <c r="AO3828" s="4">
        <v>0</v>
      </c>
      <c r="AP3828" s="4">
        <v>6</v>
      </c>
      <c r="AQ3828" s="4">
        <v>6</v>
      </c>
      <c r="AR3828" s="3" t="s">
        <v>65</v>
      </c>
      <c r="AS3828" s="3" t="s">
        <v>65</v>
      </c>
      <c r="AT3828" s="3" t="s">
        <v>65</v>
      </c>
      <c r="AV3828" s="6" t="str">
        <f>HYPERLINK("http://mcgill.on.worldcat.org/oclc/869770412","Catalog Record")</f>
        <v>Catalog Record</v>
      </c>
      <c r="AW3828" s="6" t="str">
        <f>HYPERLINK("http://www.worldcat.org/oclc/869770412","WorldCat Record")</f>
        <v>WorldCat Record</v>
      </c>
      <c r="AX3828" s="3" t="s">
        <v>38027</v>
      </c>
      <c r="AY3828" s="3" t="s">
        <v>38028</v>
      </c>
      <c r="AZ3828" s="3" t="s">
        <v>38029</v>
      </c>
      <c r="BA3828" s="3" t="s">
        <v>38029</v>
      </c>
      <c r="BB3828" s="3" t="s">
        <v>38030</v>
      </c>
      <c r="BC3828" s="3" t="s">
        <v>77</v>
      </c>
      <c r="BD3828" s="3" t="s">
        <v>78</v>
      </c>
      <c r="BE3828" s="3" t="s">
        <v>38031</v>
      </c>
      <c r="BF3828" s="3" t="s">
        <v>38030</v>
      </c>
      <c r="BG3828" s="3" t="s">
        <v>38032</v>
      </c>
    </row>
    <row r="3829" spans="1:59" ht="58" x14ac:dyDescent="0.35">
      <c r="A3829" s="2" t="s">
        <v>59</v>
      </c>
      <c r="B3829" s="2" t="s">
        <v>60</v>
      </c>
      <c r="C3829" s="2" t="s">
        <v>38033</v>
      </c>
      <c r="D3829" s="2" t="s">
        <v>38034</v>
      </c>
      <c r="E3829" s="2" t="s">
        <v>38035</v>
      </c>
      <c r="G3829" s="3" t="s">
        <v>65</v>
      </c>
      <c r="I3829" s="3" t="s">
        <v>65</v>
      </c>
      <c r="J3829" s="3" t="s">
        <v>65</v>
      </c>
      <c r="K3829" s="3" t="s">
        <v>66</v>
      </c>
      <c r="L3829" s="2" t="s">
        <v>38006</v>
      </c>
      <c r="M3829" s="2" t="s">
        <v>38036</v>
      </c>
      <c r="N3829" s="3" t="s">
        <v>152</v>
      </c>
      <c r="P3829" s="3" t="s">
        <v>140</v>
      </c>
      <c r="Q3829" s="2" t="s">
        <v>38037</v>
      </c>
      <c r="R3829" s="3" t="s">
        <v>71</v>
      </c>
      <c r="S3829" s="4">
        <v>2</v>
      </c>
      <c r="T3829" s="4">
        <v>2</v>
      </c>
      <c r="U3829" s="5" t="s">
        <v>31076</v>
      </c>
      <c r="V3829" s="5" t="s">
        <v>31076</v>
      </c>
      <c r="W3829" s="5" t="s">
        <v>72</v>
      </c>
      <c r="X3829" s="5" t="s">
        <v>72</v>
      </c>
      <c r="Y3829" s="4">
        <v>64</v>
      </c>
      <c r="Z3829" s="4">
        <v>3</v>
      </c>
      <c r="AA3829" s="4">
        <v>4</v>
      </c>
      <c r="AB3829" s="4">
        <v>1</v>
      </c>
      <c r="AC3829" s="4">
        <v>2</v>
      </c>
      <c r="AD3829" s="4">
        <v>36</v>
      </c>
      <c r="AE3829" s="4">
        <v>36</v>
      </c>
      <c r="AF3829" s="4">
        <v>0</v>
      </c>
      <c r="AG3829" s="4">
        <v>0</v>
      </c>
      <c r="AH3829" s="4">
        <v>35</v>
      </c>
      <c r="AI3829" s="4">
        <v>35</v>
      </c>
      <c r="AJ3829" s="4">
        <v>1</v>
      </c>
      <c r="AK3829" s="4">
        <v>1</v>
      </c>
      <c r="AL3829" s="4">
        <v>29</v>
      </c>
      <c r="AM3829" s="4">
        <v>29</v>
      </c>
      <c r="AN3829" s="4">
        <v>0</v>
      </c>
      <c r="AO3829" s="4">
        <v>0</v>
      </c>
      <c r="AP3829" s="4">
        <v>1</v>
      </c>
      <c r="AQ3829" s="4">
        <v>1</v>
      </c>
      <c r="AR3829" s="3" t="s">
        <v>65</v>
      </c>
      <c r="AS3829" s="3" t="s">
        <v>65</v>
      </c>
      <c r="AT3829" s="3" t="s">
        <v>65</v>
      </c>
      <c r="AV3829" s="6" t="str">
        <f>HYPERLINK("http://mcgill.on.worldcat.org/oclc/862739536","Catalog Record")</f>
        <v>Catalog Record</v>
      </c>
      <c r="AW3829" s="6" t="str">
        <f>HYPERLINK("http://www.worldcat.org/oclc/862739536","WorldCat Record")</f>
        <v>WorldCat Record</v>
      </c>
      <c r="AX3829" s="3" t="s">
        <v>38038</v>
      </c>
      <c r="AY3829" s="3" t="s">
        <v>38039</v>
      </c>
      <c r="AZ3829" s="3" t="s">
        <v>38040</v>
      </c>
      <c r="BA3829" s="3" t="s">
        <v>38040</v>
      </c>
      <c r="BB3829" s="3" t="s">
        <v>38041</v>
      </c>
      <c r="BC3829" s="3" t="s">
        <v>77</v>
      </c>
      <c r="BD3829" s="3" t="s">
        <v>78</v>
      </c>
      <c r="BE3829" s="3" t="s">
        <v>38042</v>
      </c>
      <c r="BF3829" s="3" t="s">
        <v>38041</v>
      </c>
      <c r="BG3829" s="3" t="s">
        <v>38043</v>
      </c>
    </row>
    <row r="3830" spans="1:59" ht="58" x14ac:dyDescent="0.35">
      <c r="A3830" s="2" t="s">
        <v>59</v>
      </c>
      <c r="B3830" s="2" t="s">
        <v>60</v>
      </c>
      <c r="C3830" s="2" t="s">
        <v>38044</v>
      </c>
      <c r="D3830" s="2" t="s">
        <v>38045</v>
      </c>
      <c r="E3830" s="2" t="s">
        <v>38046</v>
      </c>
      <c r="G3830" s="3" t="s">
        <v>65</v>
      </c>
      <c r="I3830" s="3" t="s">
        <v>65</v>
      </c>
      <c r="J3830" s="3" t="s">
        <v>65</v>
      </c>
      <c r="K3830" s="3" t="s">
        <v>66</v>
      </c>
      <c r="L3830" s="2" t="s">
        <v>38006</v>
      </c>
      <c r="M3830" s="2" t="s">
        <v>36871</v>
      </c>
      <c r="N3830" s="3" t="s">
        <v>164</v>
      </c>
      <c r="P3830" s="3" t="s">
        <v>140</v>
      </c>
      <c r="Q3830" s="2" t="s">
        <v>25005</v>
      </c>
      <c r="R3830" s="3" t="s">
        <v>71</v>
      </c>
      <c r="S3830" s="4">
        <v>2</v>
      </c>
      <c r="T3830" s="4">
        <v>2</v>
      </c>
      <c r="U3830" s="5" t="s">
        <v>3629</v>
      </c>
      <c r="V3830" s="5" t="s">
        <v>3629</v>
      </c>
      <c r="W3830" s="5" t="s">
        <v>72</v>
      </c>
      <c r="X3830" s="5" t="s">
        <v>72</v>
      </c>
      <c r="Y3830" s="4">
        <v>11</v>
      </c>
      <c r="Z3830" s="4">
        <v>1</v>
      </c>
      <c r="AA3830" s="4">
        <v>13</v>
      </c>
      <c r="AB3830" s="4">
        <v>1</v>
      </c>
      <c r="AC3830" s="4">
        <v>4</v>
      </c>
      <c r="AD3830" s="4">
        <v>0</v>
      </c>
      <c r="AE3830" s="4">
        <v>44</v>
      </c>
      <c r="AF3830" s="4">
        <v>0</v>
      </c>
      <c r="AG3830" s="4">
        <v>2</v>
      </c>
      <c r="AH3830" s="4">
        <v>0</v>
      </c>
      <c r="AI3830" s="4">
        <v>41</v>
      </c>
      <c r="AJ3830" s="4">
        <v>0</v>
      </c>
      <c r="AK3830" s="4">
        <v>8</v>
      </c>
      <c r="AL3830" s="4">
        <v>0</v>
      </c>
      <c r="AM3830" s="4">
        <v>27</v>
      </c>
      <c r="AN3830" s="4">
        <v>0</v>
      </c>
      <c r="AO3830" s="4">
        <v>0</v>
      </c>
      <c r="AP3830" s="4">
        <v>0</v>
      </c>
      <c r="AQ3830" s="4">
        <v>7</v>
      </c>
      <c r="AR3830" s="3" t="s">
        <v>65</v>
      </c>
      <c r="AS3830" s="3" t="s">
        <v>65</v>
      </c>
      <c r="AT3830" s="3" t="s">
        <v>65</v>
      </c>
      <c r="AV3830" s="6" t="str">
        <f>HYPERLINK("http://mcgill.on.worldcat.org/oclc/899268636","Catalog Record")</f>
        <v>Catalog Record</v>
      </c>
      <c r="AW3830" s="6" t="str">
        <f>HYPERLINK("http://www.worldcat.org/oclc/899268636","WorldCat Record")</f>
        <v>WorldCat Record</v>
      </c>
      <c r="AX3830" s="3" t="s">
        <v>38047</v>
      </c>
      <c r="AY3830" s="3" t="s">
        <v>38048</v>
      </c>
      <c r="AZ3830" s="3" t="s">
        <v>38049</v>
      </c>
      <c r="BA3830" s="3" t="s">
        <v>38049</v>
      </c>
      <c r="BB3830" s="3" t="s">
        <v>38050</v>
      </c>
      <c r="BC3830" s="3" t="s">
        <v>77</v>
      </c>
      <c r="BD3830" s="3" t="s">
        <v>78</v>
      </c>
      <c r="BE3830" s="3" t="s">
        <v>38051</v>
      </c>
      <c r="BF3830" s="3" t="s">
        <v>38050</v>
      </c>
      <c r="BG3830" s="3" t="s">
        <v>38052</v>
      </c>
    </row>
    <row r="3831" spans="1:59" ht="72.5" x14ac:dyDescent="0.35">
      <c r="A3831" s="2" t="s">
        <v>59</v>
      </c>
      <c r="B3831" s="2" t="s">
        <v>60</v>
      </c>
      <c r="C3831" s="2" t="s">
        <v>38053</v>
      </c>
      <c r="D3831" s="2" t="s">
        <v>38054</v>
      </c>
      <c r="E3831" s="2" t="s">
        <v>38055</v>
      </c>
      <c r="G3831" s="3" t="s">
        <v>65</v>
      </c>
      <c r="I3831" s="3" t="s">
        <v>65</v>
      </c>
      <c r="J3831" s="3" t="s">
        <v>65</v>
      </c>
      <c r="K3831" s="3" t="s">
        <v>66</v>
      </c>
      <c r="L3831" s="2" t="s">
        <v>38017</v>
      </c>
      <c r="M3831" s="2" t="s">
        <v>38056</v>
      </c>
      <c r="N3831" s="3" t="s">
        <v>1196</v>
      </c>
      <c r="O3831" s="2" t="s">
        <v>526</v>
      </c>
      <c r="P3831" s="3" t="s">
        <v>69</v>
      </c>
      <c r="R3831" s="3" t="s">
        <v>71</v>
      </c>
      <c r="S3831" s="4">
        <v>6</v>
      </c>
      <c r="T3831" s="4">
        <v>6</v>
      </c>
      <c r="U3831" s="5" t="s">
        <v>31076</v>
      </c>
      <c r="V3831" s="5" t="s">
        <v>31076</v>
      </c>
      <c r="W3831" s="5" t="s">
        <v>72</v>
      </c>
      <c r="X3831" s="5" t="s">
        <v>72</v>
      </c>
      <c r="Y3831" s="4">
        <v>650</v>
      </c>
      <c r="Z3831" s="4">
        <v>10</v>
      </c>
      <c r="AA3831" s="4">
        <v>52</v>
      </c>
      <c r="AB3831" s="4">
        <v>1</v>
      </c>
      <c r="AC3831" s="4">
        <v>4</v>
      </c>
      <c r="AD3831" s="4">
        <v>79</v>
      </c>
      <c r="AE3831" s="4">
        <v>90</v>
      </c>
      <c r="AF3831" s="4">
        <v>0</v>
      </c>
      <c r="AG3831" s="4">
        <v>0</v>
      </c>
      <c r="AH3831" s="4">
        <v>73</v>
      </c>
      <c r="AI3831" s="4">
        <v>80</v>
      </c>
      <c r="AJ3831" s="4">
        <v>5</v>
      </c>
      <c r="AK3831" s="4">
        <v>10</v>
      </c>
      <c r="AL3831" s="4">
        <v>45</v>
      </c>
      <c r="AM3831" s="4">
        <v>47</v>
      </c>
      <c r="AN3831" s="4">
        <v>0</v>
      </c>
      <c r="AO3831" s="4">
        <v>0</v>
      </c>
      <c r="AP3831" s="4">
        <v>7</v>
      </c>
      <c r="AQ3831" s="4">
        <v>13</v>
      </c>
      <c r="AR3831" s="3" t="s">
        <v>65</v>
      </c>
      <c r="AS3831" s="3" t="s">
        <v>65</v>
      </c>
      <c r="AT3831" s="3" t="s">
        <v>65</v>
      </c>
      <c r="AV3831" s="6" t="str">
        <f>HYPERLINK("http://mcgill.on.worldcat.org/oclc/57530128","Catalog Record")</f>
        <v>Catalog Record</v>
      </c>
      <c r="AW3831" s="6" t="str">
        <f>HYPERLINK("http://www.worldcat.org/oclc/57530128","WorldCat Record")</f>
        <v>WorldCat Record</v>
      </c>
      <c r="AX3831" s="3" t="s">
        <v>38057</v>
      </c>
      <c r="AY3831" s="3" t="s">
        <v>38058</v>
      </c>
      <c r="AZ3831" s="3" t="s">
        <v>38059</v>
      </c>
      <c r="BA3831" s="3" t="s">
        <v>38059</v>
      </c>
      <c r="BB3831" s="3" t="s">
        <v>38060</v>
      </c>
      <c r="BC3831" s="3" t="s">
        <v>77</v>
      </c>
      <c r="BD3831" s="3" t="s">
        <v>78</v>
      </c>
      <c r="BE3831" s="3" t="s">
        <v>38061</v>
      </c>
      <c r="BF3831" s="3" t="s">
        <v>38060</v>
      </c>
      <c r="BG3831" s="3" t="s">
        <v>38062</v>
      </c>
    </row>
    <row r="3832" spans="1:59" ht="58" x14ac:dyDescent="0.35">
      <c r="A3832" s="2" t="s">
        <v>59</v>
      </c>
      <c r="B3832" s="2" t="s">
        <v>60</v>
      </c>
      <c r="C3832" s="2" t="s">
        <v>38063</v>
      </c>
      <c r="D3832" s="2" t="s">
        <v>38064</v>
      </c>
      <c r="E3832" s="2" t="s">
        <v>38065</v>
      </c>
      <c r="G3832" s="3" t="s">
        <v>65</v>
      </c>
      <c r="I3832" s="3" t="s">
        <v>65</v>
      </c>
      <c r="J3832" s="3" t="s">
        <v>65</v>
      </c>
      <c r="K3832" s="3" t="s">
        <v>66</v>
      </c>
      <c r="L3832" s="2" t="s">
        <v>38066</v>
      </c>
      <c r="M3832" s="2" t="s">
        <v>38067</v>
      </c>
      <c r="N3832" s="3" t="s">
        <v>68</v>
      </c>
      <c r="O3832" s="2" t="s">
        <v>379</v>
      </c>
      <c r="P3832" s="3" t="s">
        <v>140</v>
      </c>
      <c r="Q3832" s="2" t="s">
        <v>38068</v>
      </c>
      <c r="R3832" s="3" t="s">
        <v>71</v>
      </c>
      <c r="S3832" s="4">
        <v>0</v>
      </c>
      <c r="T3832" s="4">
        <v>0</v>
      </c>
      <c r="W3832" s="5" t="s">
        <v>72</v>
      </c>
      <c r="X3832" s="5" t="s">
        <v>72</v>
      </c>
      <c r="Y3832" s="4">
        <v>65</v>
      </c>
      <c r="Z3832" s="4">
        <v>5</v>
      </c>
      <c r="AA3832" s="4">
        <v>5</v>
      </c>
      <c r="AB3832" s="4">
        <v>1</v>
      </c>
      <c r="AC3832" s="4">
        <v>1</v>
      </c>
      <c r="AD3832" s="4">
        <v>40</v>
      </c>
      <c r="AE3832" s="4">
        <v>40</v>
      </c>
      <c r="AF3832" s="4">
        <v>0</v>
      </c>
      <c r="AG3832" s="4">
        <v>0</v>
      </c>
      <c r="AH3832" s="4">
        <v>39</v>
      </c>
      <c r="AI3832" s="4">
        <v>39</v>
      </c>
      <c r="AJ3832" s="4">
        <v>2</v>
      </c>
      <c r="AK3832" s="4">
        <v>2</v>
      </c>
      <c r="AL3832" s="4">
        <v>32</v>
      </c>
      <c r="AM3832" s="4">
        <v>32</v>
      </c>
      <c r="AN3832" s="4">
        <v>0</v>
      </c>
      <c r="AO3832" s="4">
        <v>0</v>
      </c>
      <c r="AP3832" s="4">
        <v>2</v>
      </c>
      <c r="AQ3832" s="4">
        <v>2</v>
      </c>
      <c r="AR3832" s="3" t="s">
        <v>65</v>
      </c>
      <c r="AS3832" s="3" t="s">
        <v>65</v>
      </c>
      <c r="AT3832" s="3" t="s">
        <v>65</v>
      </c>
      <c r="AV3832" s="6" t="str">
        <f>HYPERLINK("http://mcgill.on.worldcat.org/oclc/945659108","Catalog Record")</f>
        <v>Catalog Record</v>
      </c>
      <c r="AW3832" s="6" t="str">
        <f>HYPERLINK("http://www.worldcat.org/oclc/945659108","WorldCat Record")</f>
        <v>WorldCat Record</v>
      </c>
      <c r="AX3832" s="3" t="s">
        <v>38069</v>
      </c>
      <c r="AY3832" s="3" t="s">
        <v>38070</v>
      </c>
      <c r="AZ3832" s="3" t="s">
        <v>38071</v>
      </c>
      <c r="BA3832" s="3" t="s">
        <v>38071</v>
      </c>
      <c r="BB3832" s="3" t="s">
        <v>38072</v>
      </c>
      <c r="BC3832" s="3" t="s">
        <v>77</v>
      </c>
      <c r="BD3832" s="3" t="s">
        <v>78</v>
      </c>
      <c r="BE3832" s="3" t="s">
        <v>38073</v>
      </c>
      <c r="BF3832" s="3" t="s">
        <v>38072</v>
      </c>
      <c r="BG3832" s="3" t="s">
        <v>38074</v>
      </c>
    </row>
    <row r="3833" spans="1:59" ht="72.5" x14ac:dyDescent="0.35">
      <c r="A3833" s="2" t="s">
        <v>59</v>
      </c>
      <c r="B3833" s="2" t="s">
        <v>60</v>
      </c>
      <c r="C3833" s="2" t="s">
        <v>38075</v>
      </c>
      <c r="D3833" s="2" t="s">
        <v>38076</v>
      </c>
      <c r="E3833" s="2" t="s">
        <v>38077</v>
      </c>
      <c r="G3833" s="3" t="s">
        <v>65</v>
      </c>
      <c r="I3833" s="3" t="s">
        <v>65</v>
      </c>
      <c r="J3833" s="3" t="s">
        <v>65</v>
      </c>
      <c r="K3833" s="3" t="s">
        <v>66</v>
      </c>
      <c r="L3833" s="2" t="s">
        <v>38078</v>
      </c>
      <c r="M3833" s="2" t="s">
        <v>38079</v>
      </c>
      <c r="N3833" s="3" t="s">
        <v>99</v>
      </c>
      <c r="O3833" s="2" t="s">
        <v>6616</v>
      </c>
      <c r="P3833" s="3" t="s">
        <v>140</v>
      </c>
      <c r="Q3833" s="2" t="s">
        <v>6617</v>
      </c>
      <c r="R3833" s="3" t="s">
        <v>71</v>
      </c>
      <c r="S3833" s="4">
        <v>4</v>
      </c>
      <c r="T3833" s="4">
        <v>4</v>
      </c>
      <c r="U3833" s="5" t="s">
        <v>38080</v>
      </c>
      <c r="V3833" s="5" t="s">
        <v>38080</v>
      </c>
      <c r="W3833" s="5" t="s">
        <v>72</v>
      </c>
      <c r="X3833" s="5" t="s">
        <v>72</v>
      </c>
      <c r="Y3833" s="4">
        <v>61</v>
      </c>
      <c r="Z3833" s="4">
        <v>5</v>
      </c>
      <c r="AA3833" s="4">
        <v>6</v>
      </c>
      <c r="AB3833" s="4">
        <v>1</v>
      </c>
      <c r="AC3833" s="4">
        <v>1</v>
      </c>
      <c r="AD3833" s="4">
        <v>39</v>
      </c>
      <c r="AE3833" s="4">
        <v>42</v>
      </c>
      <c r="AF3833" s="4">
        <v>0</v>
      </c>
      <c r="AG3833" s="4">
        <v>0</v>
      </c>
      <c r="AH3833" s="4">
        <v>37</v>
      </c>
      <c r="AI3833" s="4">
        <v>40</v>
      </c>
      <c r="AJ3833" s="4">
        <v>3</v>
      </c>
      <c r="AK3833" s="4">
        <v>4</v>
      </c>
      <c r="AL3833" s="4">
        <v>29</v>
      </c>
      <c r="AM3833" s="4">
        <v>31</v>
      </c>
      <c r="AN3833" s="4">
        <v>0</v>
      </c>
      <c r="AO3833" s="4">
        <v>0</v>
      </c>
      <c r="AP3833" s="4">
        <v>3</v>
      </c>
      <c r="AQ3833" s="4">
        <v>4</v>
      </c>
      <c r="AR3833" s="3" t="s">
        <v>65</v>
      </c>
      <c r="AS3833" s="3" t="s">
        <v>65</v>
      </c>
      <c r="AT3833" s="3" t="s">
        <v>209</v>
      </c>
      <c r="AU3833" s="6" t="str">
        <f>HYPERLINK("http://catalog.hathitrust.org/Record/005403521","HathiTrust Record")</f>
        <v>HathiTrust Record</v>
      </c>
      <c r="AV3833" s="6" t="str">
        <f>HYPERLINK("http://mcgill.on.worldcat.org/oclc/78593772","Catalog Record")</f>
        <v>Catalog Record</v>
      </c>
      <c r="AW3833" s="6" t="str">
        <f>HYPERLINK("http://www.worldcat.org/oclc/78593772","WorldCat Record")</f>
        <v>WorldCat Record</v>
      </c>
      <c r="AX3833" s="3" t="s">
        <v>38081</v>
      </c>
      <c r="AY3833" s="3" t="s">
        <v>38082</v>
      </c>
      <c r="AZ3833" s="3" t="s">
        <v>38083</v>
      </c>
      <c r="BA3833" s="3" t="s">
        <v>38083</v>
      </c>
      <c r="BB3833" s="3" t="s">
        <v>38084</v>
      </c>
      <c r="BC3833" s="3" t="s">
        <v>77</v>
      </c>
      <c r="BD3833" s="3" t="s">
        <v>78</v>
      </c>
      <c r="BE3833" s="3" t="s">
        <v>38085</v>
      </c>
      <c r="BF3833" s="3" t="s">
        <v>38084</v>
      </c>
      <c r="BG3833" s="3" t="s">
        <v>38086</v>
      </c>
    </row>
    <row r="3834" spans="1:59" ht="72.5" x14ac:dyDescent="0.35">
      <c r="A3834" s="2" t="s">
        <v>59</v>
      </c>
      <c r="B3834" s="2" t="s">
        <v>60</v>
      </c>
      <c r="C3834" s="2" t="s">
        <v>38087</v>
      </c>
      <c r="D3834" s="2" t="s">
        <v>38088</v>
      </c>
      <c r="E3834" s="2" t="s">
        <v>38089</v>
      </c>
      <c r="G3834" s="3" t="s">
        <v>65</v>
      </c>
      <c r="I3834" s="3" t="s">
        <v>65</v>
      </c>
      <c r="J3834" s="3" t="s">
        <v>65</v>
      </c>
      <c r="K3834" s="3" t="s">
        <v>66</v>
      </c>
      <c r="L3834" s="2" t="s">
        <v>38078</v>
      </c>
      <c r="M3834" s="2" t="s">
        <v>38090</v>
      </c>
      <c r="N3834" s="3" t="s">
        <v>139</v>
      </c>
      <c r="P3834" s="3" t="s">
        <v>140</v>
      </c>
      <c r="Q3834" s="2" t="s">
        <v>36600</v>
      </c>
      <c r="R3834" s="3" t="s">
        <v>71</v>
      </c>
      <c r="S3834" s="4">
        <v>0</v>
      </c>
      <c r="T3834" s="4">
        <v>0</v>
      </c>
      <c r="W3834" s="5" t="s">
        <v>72</v>
      </c>
      <c r="X3834" s="5" t="s">
        <v>72</v>
      </c>
      <c r="Y3834" s="4">
        <v>9</v>
      </c>
      <c r="Z3834" s="4">
        <v>1</v>
      </c>
      <c r="AA3834" s="4">
        <v>1</v>
      </c>
      <c r="AB3834" s="4">
        <v>1</v>
      </c>
      <c r="AC3834" s="4">
        <v>1</v>
      </c>
      <c r="AD3834" s="4">
        <v>4</v>
      </c>
      <c r="AE3834" s="4">
        <v>15</v>
      </c>
      <c r="AF3834" s="4">
        <v>0</v>
      </c>
      <c r="AG3834" s="4">
        <v>0</v>
      </c>
      <c r="AH3834" s="4">
        <v>4</v>
      </c>
      <c r="AI3834" s="4">
        <v>15</v>
      </c>
      <c r="AJ3834" s="4">
        <v>0</v>
      </c>
      <c r="AK3834" s="4">
        <v>0</v>
      </c>
      <c r="AL3834" s="4">
        <v>4</v>
      </c>
      <c r="AM3834" s="4">
        <v>12</v>
      </c>
      <c r="AN3834" s="4">
        <v>0</v>
      </c>
      <c r="AO3834" s="4">
        <v>0</v>
      </c>
      <c r="AP3834" s="4">
        <v>0</v>
      </c>
      <c r="AQ3834" s="4">
        <v>0</v>
      </c>
      <c r="AR3834" s="3" t="s">
        <v>65</v>
      </c>
      <c r="AS3834" s="3" t="s">
        <v>65</v>
      </c>
      <c r="AT3834" s="3" t="s">
        <v>65</v>
      </c>
      <c r="AV3834" s="6" t="str">
        <f>HYPERLINK("http://mcgill.on.worldcat.org/oclc/794362225","Catalog Record")</f>
        <v>Catalog Record</v>
      </c>
      <c r="AW3834" s="6" t="str">
        <f>HYPERLINK("http://www.worldcat.org/oclc/794362225","WorldCat Record")</f>
        <v>WorldCat Record</v>
      </c>
      <c r="AX3834" s="3" t="s">
        <v>38091</v>
      </c>
      <c r="AY3834" s="3" t="s">
        <v>38092</v>
      </c>
      <c r="AZ3834" s="3" t="s">
        <v>38093</v>
      </c>
      <c r="BA3834" s="3" t="s">
        <v>38093</v>
      </c>
      <c r="BB3834" s="3" t="s">
        <v>38094</v>
      </c>
      <c r="BC3834" s="3" t="s">
        <v>77</v>
      </c>
      <c r="BD3834" s="3" t="s">
        <v>78</v>
      </c>
      <c r="BE3834" s="3" t="s">
        <v>38095</v>
      </c>
      <c r="BF3834" s="3" t="s">
        <v>38094</v>
      </c>
      <c r="BG3834" s="3" t="s">
        <v>38096</v>
      </c>
    </row>
    <row r="3835" spans="1:59" ht="72.5" x14ac:dyDescent="0.35">
      <c r="A3835" s="2" t="s">
        <v>59</v>
      </c>
      <c r="B3835" s="2" t="s">
        <v>60</v>
      </c>
      <c r="C3835" s="2" t="s">
        <v>38097</v>
      </c>
      <c r="D3835" s="2" t="s">
        <v>38098</v>
      </c>
      <c r="E3835" s="2" t="s">
        <v>38099</v>
      </c>
      <c r="G3835" s="3" t="s">
        <v>65</v>
      </c>
      <c r="I3835" s="3" t="s">
        <v>65</v>
      </c>
      <c r="J3835" s="3" t="s">
        <v>65</v>
      </c>
      <c r="K3835" s="3" t="s">
        <v>66</v>
      </c>
      <c r="L3835" s="2" t="s">
        <v>38078</v>
      </c>
      <c r="M3835" s="2" t="s">
        <v>38100</v>
      </c>
      <c r="N3835" s="3" t="s">
        <v>126</v>
      </c>
      <c r="P3835" s="3" t="s">
        <v>69</v>
      </c>
      <c r="Q3835" s="2" t="s">
        <v>9105</v>
      </c>
      <c r="R3835" s="3" t="s">
        <v>71</v>
      </c>
      <c r="S3835" s="4">
        <v>1</v>
      </c>
      <c r="T3835" s="4">
        <v>1</v>
      </c>
      <c r="U3835" s="5" t="s">
        <v>38101</v>
      </c>
      <c r="V3835" s="5" t="s">
        <v>38101</v>
      </c>
      <c r="W3835" s="5" t="s">
        <v>72</v>
      </c>
      <c r="X3835" s="5" t="s">
        <v>72</v>
      </c>
      <c r="Y3835" s="4">
        <v>91</v>
      </c>
      <c r="Z3835" s="4">
        <v>8</v>
      </c>
      <c r="AA3835" s="4">
        <v>8</v>
      </c>
      <c r="AB3835" s="4">
        <v>1</v>
      </c>
      <c r="AC3835" s="4">
        <v>1</v>
      </c>
      <c r="AD3835" s="4">
        <v>55</v>
      </c>
      <c r="AE3835" s="4">
        <v>55</v>
      </c>
      <c r="AF3835" s="4">
        <v>0</v>
      </c>
      <c r="AG3835" s="4">
        <v>0</v>
      </c>
      <c r="AH3835" s="4">
        <v>52</v>
      </c>
      <c r="AI3835" s="4">
        <v>52</v>
      </c>
      <c r="AJ3835" s="4">
        <v>5</v>
      </c>
      <c r="AK3835" s="4">
        <v>5</v>
      </c>
      <c r="AL3835" s="4">
        <v>39</v>
      </c>
      <c r="AM3835" s="4">
        <v>39</v>
      </c>
      <c r="AN3835" s="4">
        <v>0</v>
      </c>
      <c r="AO3835" s="4">
        <v>0</v>
      </c>
      <c r="AP3835" s="4">
        <v>5</v>
      </c>
      <c r="AQ3835" s="4">
        <v>5</v>
      </c>
      <c r="AR3835" s="3" t="s">
        <v>65</v>
      </c>
      <c r="AS3835" s="3" t="s">
        <v>65</v>
      </c>
      <c r="AT3835" s="3" t="s">
        <v>65</v>
      </c>
      <c r="AV3835" s="6" t="str">
        <f>HYPERLINK("http://mcgill.on.worldcat.org/oclc/705518878","Catalog Record")</f>
        <v>Catalog Record</v>
      </c>
      <c r="AW3835" s="6" t="str">
        <f>HYPERLINK("http://www.worldcat.org/oclc/705518878","WorldCat Record")</f>
        <v>WorldCat Record</v>
      </c>
      <c r="AX3835" s="3" t="s">
        <v>38102</v>
      </c>
      <c r="AY3835" s="3" t="s">
        <v>38103</v>
      </c>
      <c r="AZ3835" s="3" t="s">
        <v>38104</v>
      </c>
      <c r="BA3835" s="3" t="s">
        <v>38104</v>
      </c>
      <c r="BB3835" s="3" t="s">
        <v>38105</v>
      </c>
      <c r="BC3835" s="3" t="s">
        <v>77</v>
      </c>
      <c r="BD3835" s="3" t="s">
        <v>78</v>
      </c>
      <c r="BE3835" s="3" t="s">
        <v>38106</v>
      </c>
      <c r="BF3835" s="3" t="s">
        <v>38105</v>
      </c>
      <c r="BG3835" s="3" t="s">
        <v>38107</v>
      </c>
    </row>
    <row r="3836" spans="1:59" ht="87" x14ac:dyDescent="0.35">
      <c r="A3836" s="2" t="s">
        <v>59</v>
      </c>
      <c r="B3836" s="2" t="s">
        <v>60</v>
      </c>
      <c r="C3836" s="2" t="s">
        <v>38108</v>
      </c>
      <c r="D3836" s="2" t="s">
        <v>38109</v>
      </c>
      <c r="E3836" s="2" t="s">
        <v>38110</v>
      </c>
      <c r="G3836" s="3" t="s">
        <v>65</v>
      </c>
      <c r="I3836" s="3" t="s">
        <v>65</v>
      </c>
      <c r="J3836" s="3" t="s">
        <v>65</v>
      </c>
      <c r="K3836" s="3" t="s">
        <v>66</v>
      </c>
      <c r="L3836" s="2" t="s">
        <v>38111</v>
      </c>
      <c r="M3836" s="2" t="s">
        <v>38112</v>
      </c>
      <c r="N3836" s="3" t="s">
        <v>152</v>
      </c>
      <c r="P3836" s="3" t="s">
        <v>140</v>
      </c>
      <c r="Q3836" s="2" t="s">
        <v>38113</v>
      </c>
      <c r="R3836" s="3" t="s">
        <v>71</v>
      </c>
      <c r="S3836" s="4">
        <v>1</v>
      </c>
      <c r="T3836" s="4">
        <v>1</v>
      </c>
      <c r="U3836" s="5" t="s">
        <v>2341</v>
      </c>
      <c r="V3836" s="5" t="s">
        <v>2341</v>
      </c>
      <c r="W3836" s="5" t="s">
        <v>72</v>
      </c>
      <c r="X3836" s="5" t="s">
        <v>72</v>
      </c>
      <c r="Y3836" s="4">
        <v>37</v>
      </c>
      <c r="Z3836" s="4">
        <v>3</v>
      </c>
      <c r="AA3836" s="4">
        <v>3</v>
      </c>
      <c r="AB3836" s="4">
        <v>1</v>
      </c>
      <c r="AC3836" s="4">
        <v>1</v>
      </c>
      <c r="AD3836" s="4">
        <v>23</v>
      </c>
      <c r="AE3836" s="4">
        <v>25</v>
      </c>
      <c r="AF3836" s="4">
        <v>0</v>
      </c>
      <c r="AG3836" s="4">
        <v>0</v>
      </c>
      <c r="AH3836" s="4">
        <v>22</v>
      </c>
      <c r="AI3836" s="4">
        <v>24</v>
      </c>
      <c r="AJ3836" s="4">
        <v>1</v>
      </c>
      <c r="AK3836" s="4">
        <v>1</v>
      </c>
      <c r="AL3836" s="4">
        <v>18</v>
      </c>
      <c r="AM3836" s="4">
        <v>20</v>
      </c>
      <c r="AN3836" s="4">
        <v>0</v>
      </c>
      <c r="AO3836" s="4">
        <v>0</v>
      </c>
      <c r="AP3836" s="4">
        <v>1</v>
      </c>
      <c r="AQ3836" s="4">
        <v>1</v>
      </c>
      <c r="AR3836" s="3" t="s">
        <v>65</v>
      </c>
      <c r="AS3836" s="3" t="s">
        <v>65</v>
      </c>
      <c r="AT3836" s="3" t="s">
        <v>65</v>
      </c>
      <c r="AV3836" s="6" t="str">
        <f>HYPERLINK("http://mcgill.on.worldcat.org/oclc/850440278","Catalog Record")</f>
        <v>Catalog Record</v>
      </c>
      <c r="AW3836" s="6" t="str">
        <f>HYPERLINK("http://www.worldcat.org/oclc/850440278","WorldCat Record")</f>
        <v>WorldCat Record</v>
      </c>
      <c r="AX3836" s="3" t="s">
        <v>38114</v>
      </c>
      <c r="AY3836" s="3" t="s">
        <v>38115</v>
      </c>
      <c r="AZ3836" s="3" t="s">
        <v>38116</v>
      </c>
      <c r="BA3836" s="3" t="s">
        <v>38116</v>
      </c>
      <c r="BB3836" s="3" t="s">
        <v>38117</v>
      </c>
      <c r="BC3836" s="3" t="s">
        <v>77</v>
      </c>
      <c r="BD3836" s="3" t="s">
        <v>78</v>
      </c>
      <c r="BE3836" s="3" t="s">
        <v>38118</v>
      </c>
      <c r="BF3836" s="3" t="s">
        <v>38117</v>
      </c>
      <c r="BG3836" s="3" t="s">
        <v>38119</v>
      </c>
    </row>
    <row r="3837" spans="1:59" ht="58" x14ac:dyDescent="0.35">
      <c r="A3837" s="2" t="s">
        <v>59</v>
      </c>
      <c r="B3837" s="2" t="s">
        <v>60</v>
      </c>
      <c r="C3837" s="2" t="s">
        <v>38120</v>
      </c>
      <c r="D3837" s="2" t="s">
        <v>38121</v>
      </c>
      <c r="E3837" s="2" t="s">
        <v>38122</v>
      </c>
      <c r="G3837" s="3" t="s">
        <v>65</v>
      </c>
      <c r="I3837" s="3" t="s">
        <v>65</v>
      </c>
      <c r="J3837" s="3" t="s">
        <v>65</v>
      </c>
      <c r="K3837" s="3" t="s">
        <v>66</v>
      </c>
      <c r="L3837" s="2" t="s">
        <v>38123</v>
      </c>
      <c r="M3837" s="2" t="s">
        <v>38124</v>
      </c>
      <c r="N3837" s="3" t="s">
        <v>2750</v>
      </c>
      <c r="O3837" s="2" t="s">
        <v>235</v>
      </c>
      <c r="P3837" s="3" t="s">
        <v>140</v>
      </c>
      <c r="Q3837" s="2" t="s">
        <v>22005</v>
      </c>
      <c r="R3837" s="3" t="s">
        <v>71</v>
      </c>
      <c r="S3837" s="4">
        <v>3</v>
      </c>
      <c r="T3837" s="4">
        <v>3</v>
      </c>
      <c r="U3837" s="5" t="s">
        <v>2076</v>
      </c>
      <c r="V3837" s="5" t="s">
        <v>2076</v>
      </c>
      <c r="W3837" s="5" t="s">
        <v>72</v>
      </c>
      <c r="X3837" s="5" t="s">
        <v>72</v>
      </c>
      <c r="Y3837" s="4">
        <v>45</v>
      </c>
      <c r="Z3837" s="4">
        <v>2</v>
      </c>
      <c r="AA3837" s="4">
        <v>9</v>
      </c>
      <c r="AB3837" s="4">
        <v>1</v>
      </c>
      <c r="AC3837" s="4">
        <v>2</v>
      </c>
      <c r="AD3837" s="4">
        <v>18</v>
      </c>
      <c r="AE3837" s="4">
        <v>58</v>
      </c>
      <c r="AF3837" s="4">
        <v>0</v>
      </c>
      <c r="AG3837" s="4">
        <v>1</v>
      </c>
      <c r="AH3837" s="4">
        <v>17</v>
      </c>
      <c r="AI3837" s="4">
        <v>53</v>
      </c>
      <c r="AJ3837" s="4">
        <v>1</v>
      </c>
      <c r="AK3837" s="4">
        <v>7</v>
      </c>
      <c r="AL3837" s="4">
        <v>11</v>
      </c>
      <c r="AM3837" s="4">
        <v>39</v>
      </c>
      <c r="AN3837" s="4">
        <v>0</v>
      </c>
      <c r="AO3837" s="4">
        <v>0</v>
      </c>
      <c r="AP3837" s="4">
        <v>1</v>
      </c>
      <c r="AQ3837" s="4">
        <v>6</v>
      </c>
      <c r="AR3837" s="3" t="s">
        <v>65</v>
      </c>
      <c r="AS3837" s="3" t="s">
        <v>65</v>
      </c>
      <c r="AT3837" s="3" t="s">
        <v>65</v>
      </c>
      <c r="AV3837" s="6" t="str">
        <f>HYPERLINK("http://mcgill.on.worldcat.org/oclc/2815937","Catalog Record")</f>
        <v>Catalog Record</v>
      </c>
      <c r="AW3837" s="6" t="str">
        <f>HYPERLINK("http://www.worldcat.org/oclc/2815937","WorldCat Record")</f>
        <v>WorldCat Record</v>
      </c>
      <c r="AX3837" s="3" t="s">
        <v>38125</v>
      </c>
      <c r="AY3837" s="3" t="s">
        <v>38126</v>
      </c>
      <c r="AZ3837" s="3" t="s">
        <v>38127</v>
      </c>
      <c r="BA3837" s="3" t="s">
        <v>38127</v>
      </c>
      <c r="BB3837" s="3" t="s">
        <v>38128</v>
      </c>
      <c r="BC3837" s="3" t="s">
        <v>77</v>
      </c>
      <c r="BD3837" s="3" t="s">
        <v>78</v>
      </c>
      <c r="BF3837" s="3" t="s">
        <v>38128</v>
      </c>
      <c r="BG3837" s="3" t="s">
        <v>38129</v>
      </c>
    </row>
    <row r="3838" spans="1:59" ht="72.5" x14ac:dyDescent="0.35">
      <c r="A3838" s="2" t="s">
        <v>59</v>
      </c>
      <c r="B3838" s="2" t="s">
        <v>60</v>
      </c>
      <c r="C3838" s="2" t="s">
        <v>38130</v>
      </c>
      <c r="D3838" s="2" t="s">
        <v>38131</v>
      </c>
      <c r="E3838" s="2" t="s">
        <v>38132</v>
      </c>
      <c r="G3838" s="3" t="s">
        <v>65</v>
      </c>
      <c r="I3838" s="3" t="s">
        <v>65</v>
      </c>
      <c r="J3838" s="3" t="s">
        <v>65</v>
      </c>
      <c r="K3838" s="3" t="s">
        <v>66</v>
      </c>
      <c r="L3838" s="2" t="s">
        <v>38133</v>
      </c>
      <c r="M3838" s="2" t="s">
        <v>38134</v>
      </c>
      <c r="N3838" s="3" t="s">
        <v>113</v>
      </c>
      <c r="P3838" s="3" t="s">
        <v>140</v>
      </c>
      <c r="Q3838" s="2" t="s">
        <v>38135</v>
      </c>
      <c r="R3838" s="3" t="s">
        <v>71</v>
      </c>
      <c r="S3838" s="4">
        <v>0</v>
      </c>
      <c r="T3838" s="4">
        <v>0</v>
      </c>
      <c r="W3838" s="5" t="s">
        <v>72</v>
      </c>
      <c r="X3838" s="5" t="s">
        <v>72</v>
      </c>
      <c r="Y3838" s="4">
        <v>57</v>
      </c>
      <c r="Z3838" s="4">
        <v>6</v>
      </c>
      <c r="AA3838" s="4">
        <v>7</v>
      </c>
      <c r="AB3838" s="4">
        <v>2</v>
      </c>
      <c r="AC3838" s="4">
        <v>2</v>
      </c>
      <c r="AD3838" s="4">
        <v>36</v>
      </c>
      <c r="AE3838" s="4">
        <v>39</v>
      </c>
      <c r="AF3838" s="4">
        <v>0</v>
      </c>
      <c r="AG3838" s="4">
        <v>0</v>
      </c>
      <c r="AH3838" s="4">
        <v>34</v>
      </c>
      <c r="AI3838" s="4">
        <v>37</v>
      </c>
      <c r="AJ3838" s="4">
        <v>3</v>
      </c>
      <c r="AK3838" s="4">
        <v>4</v>
      </c>
      <c r="AL3838" s="4">
        <v>25</v>
      </c>
      <c r="AM3838" s="4">
        <v>26</v>
      </c>
      <c r="AN3838" s="4">
        <v>0</v>
      </c>
      <c r="AO3838" s="4">
        <v>0</v>
      </c>
      <c r="AP3838" s="4">
        <v>3</v>
      </c>
      <c r="AQ3838" s="4">
        <v>4</v>
      </c>
      <c r="AR3838" s="3" t="s">
        <v>65</v>
      </c>
      <c r="AS3838" s="3" t="s">
        <v>65</v>
      </c>
      <c r="AT3838" s="3" t="s">
        <v>65</v>
      </c>
      <c r="AV3838" s="6" t="str">
        <f>HYPERLINK("http://mcgill.on.worldcat.org/oclc/669907250","Catalog Record")</f>
        <v>Catalog Record</v>
      </c>
      <c r="AW3838" s="6" t="str">
        <f>HYPERLINK("http://www.worldcat.org/oclc/669907250","WorldCat Record")</f>
        <v>WorldCat Record</v>
      </c>
      <c r="AX3838" s="3" t="s">
        <v>38136</v>
      </c>
      <c r="AY3838" s="3" t="s">
        <v>38137</v>
      </c>
      <c r="AZ3838" s="3" t="s">
        <v>38138</v>
      </c>
      <c r="BA3838" s="3" t="s">
        <v>38138</v>
      </c>
      <c r="BB3838" s="3" t="s">
        <v>38139</v>
      </c>
      <c r="BC3838" s="3" t="s">
        <v>77</v>
      </c>
      <c r="BD3838" s="3" t="s">
        <v>78</v>
      </c>
      <c r="BE3838" s="3" t="s">
        <v>38140</v>
      </c>
      <c r="BF3838" s="3" t="s">
        <v>38139</v>
      </c>
      <c r="BG3838" s="3" t="s">
        <v>38141</v>
      </c>
    </row>
    <row r="3839" spans="1:59" ht="72.5" x14ac:dyDescent="0.35">
      <c r="A3839" s="2" t="s">
        <v>59</v>
      </c>
      <c r="B3839" s="2" t="s">
        <v>60</v>
      </c>
      <c r="C3839" s="2" t="s">
        <v>38142</v>
      </c>
      <c r="D3839" s="2" t="s">
        <v>38143</v>
      </c>
      <c r="E3839" s="2" t="s">
        <v>38144</v>
      </c>
      <c r="G3839" s="3" t="s">
        <v>65</v>
      </c>
      <c r="I3839" s="3" t="s">
        <v>65</v>
      </c>
      <c r="J3839" s="3" t="s">
        <v>65</v>
      </c>
      <c r="K3839" s="3" t="s">
        <v>66</v>
      </c>
      <c r="L3839" s="2" t="s">
        <v>38145</v>
      </c>
      <c r="M3839" s="2" t="s">
        <v>33925</v>
      </c>
      <c r="N3839" s="3" t="s">
        <v>126</v>
      </c>
      <c r="P3839" s="3" t="s">
        <v>140</v>
      </c>
      <c r="Q3839" s="2" t="s">
        <v>38146</v>
      </c>
      <c r="R3839" s="3" t="s">
        <v>71</v>
      </c>
      <c r="S3839" s="4">
        <v>0</v>
      </c>
      <c r="T3839" s="4">
        <v>0</v>
      </c>
      <c r="W3839" s="5" t="s">
        <v>72</v>
      </c>
      <c r="X3839" s="5" t="s">
        <v>72</v>
      </c>
      <c r="Y3839" s="4">
        <v>49</v>
      </c>
      <c r="Z3839" s="4">
        <v>5</v>
      </c>
      <c r="AA3839" s="4">
        <v>5</v>
      </c>
      <c r="AB3839" s="4">
        <v>1</v>
      </c>
      <c r="AC3839" s="4">
        <v>1</v>
      </c>
      <c r="AD3839" s="4">
        <v>36</v>
      </c>
      <c r="AE3839" s="4">
        <v>36</v>
      </c>
      <c r="AF3839" s="4">
        <v>0</v>
      </c>
      <c r="AG3839" s="4">
        <v>0</v>
      </c>
      <c r="AH3839" s="4">
        <v>35</v>
      </c>
      <c r="AI3839" s="4">
        <v>35</v>
      </c>
      <c r="AJ3839" s="4">
        <v>2</v>
      </c>
      <c r="AK3839" s="4">
        <v>2</v>
      </c>
      <c r="AL3839" s="4">
        <v>28</v>
      </c>
      <c r="AM3839" s="4">
        <v>28</v>
      </c>
      <c r="AN3839" s="4">
        <v>0</v>
      </c>
      <c r="AO3839" s="4">
        <v>0</v>
      </c>
      <c r="AP3839" s="4">
        <v>2</v>
      </c>
      <c r="AQ3839" s="4">
        <v>2</v>
      </c>
      <c r="AR3839" s="3" t="s">
        <v>65</v>
      </c>
      <c r="AS3839" s="3" t="s">
        <v>65</v>
      </c>
      <c r="AT3839" s="3" t="s">
        <v>65</v>
      </c>
      <c r="AV3839" s="6" t="str">
        <f>HYPERLINK("http://mcgill.on.worldcat.org/oclc/712111810","Catalog Record")</f>
        <v>Catalog Record</v>
      </c>
      <c r="AW3839" s="6" t="str">
        <f>HYPERLINK("http://www.worldcat.org/oclc/712111810","WorldCat Record")</f>
        <v>WorldCat Record</v>
      </c>
      <c r="AX3839" s="3" t="s">
        <v>38147</v>
      </c>
      <c r="AY3839" s="3" t="s">
        <v>38148</v>
      </c>
      <c r="AZ3839" s="3" t="s">
        <v>38149</v>
      </c>
      <c r="BA3839" s="3" t="s">
        <v>38149</v>
      </c>
      <c r="BB3839" s="3" t="s">
        <v>38150</v>
      </c>
      <c r="BC3839" s="3" t="s">
        <v>77</v>
      </c>
      <c r="BD3839" s="3" t="s">
        <v>78</v>
      </c>
      <c r="BE3839" s="3" t="s">
        <v>38151</v>
      </c>
      <c r="BF3839" s="3" t="s">
        <v>38150</v>
      </c>
      <c r="BG3839" s="3" t="s">
        <v>38152</v>
      </c>
    </row>
    <row r="3840" spans="1:59" ht="72.5" x14ac:dyDescent="0.35">
      <c r="A3840" s="2" t="s">
        <v>59</v>
      </c>
      <c r="B3840" s="2" t="s">
        <v>60</v>
      </c>
      <c r="C3840" s="2" t="s">
        <v>38153</v>
      </c>
      <c r="D3840" s="2" t="s">
        <v>38154</v>
      </c>
      <c r="E3840" s="2" t="s">
        <v>38155</v>
      </c>
      <c r="G3840" s="3" t="s">
        <v>65</v>
      </c>
      <c r="I3840" s="3" t="s">
        <v>65</v>
      </c>
      <c r="J3840" s="3" t="s">
        <v>65</v>
      </c>
      <c r="K3840" s="3" t="s">
        <v>66</v>
      </c>
      <c r="L3840" s="2" t="s">
        <v>38156</v>
      </c>
      <c r="M3840" s="2" t="s">
        <v>37841</v>
      </c>
      <c r="N3840" s="3" t="s">
        <v>126</v>
      </c>
      <c r="O3840" s="2" t="s">
        <v>365</v>
      </c>
      <c r="P3840" s="3" t="s">
        <v>140</v>
      </c>
      <c r="Q3840" s="2" t="s">
        <v>28692</v>
      </c>
      <c r="R3840" s="3" t="s">
        <v>71</v>
      </c>
      <c r="S3840" s="4">
        <v>0</v>
      </c>
      <c r="T3840" s="4">
        <v>0</v>
      </c>
      <c r="W3840" s="5" t="s">
        <v>72</v>
      </c>
      <c r="X3840" s="5" t="s">
        <v>72</v>
      </c>
      <c r="Y3840" s="4">
        <v>40</v>
      </c>
      <c r="Z3840" s="4">
        <v>5</v>
      </c>
      <c r="AA3840" s="4">
        <v>5</v>
      </c>
      <c r="AB3840" s="4">
        <v>1</v>
      </c>
      <c r="AC3840" s="4">
        <v>1</v>
      </c>
      <c r="AD3840" s="4">
        <v>32</v>
      </c>
      <c r="AE3840" s="4">
        <v>32</v>
      </c>
      <c r="AF3840" s="4">
        <v>0</v>
      </c>
      <c r="AG3840" s="4">
        <v>0</v>
      </c>
      <c r="AH3840" s="4">
        <v>31</v>
      </c>
      <c r="AI3840" s="4">
        <v>31</v>
      </c>
      <c r="AJ3840" s="4">
        <v>3</v>
      </c>
      <c r="AK3840" s="4">
        <v>3</v>
      </c>
      <c r="AL3840" s="4">
        <v>25</v>
      </c>
      <c r="AM3840" s="4">
        <v>25</v>
      </c>
      <c r="AN3840" s="4">
        <v>0</v>
      </c>
      <c r="AO3840" s="4">
        <v>0</v>
      </c>
      <c r="AP3840" s="4">
        <v>3</v>
      </c>
      <c r="AQ3840" s="4">
        <v>3</v>
      </c>
      <c r="AR3840" s="3" t="s">
        <v>65</v>
      </c>
      <c r="AS3840" s="3" t="s">
        <v>65</v>
      </c>
      <c r="AT3840" s="3" t="s">
        <v>65</v>
      </c>
      <c r="AV3840" s="6" t="str">
        <f>HYPERLINK("http://mcgill.on.worldcat.org/oclc/727704906","Catalog Record")</f>
        <v>Catalog Record</v>
      </c>
      <c r="AW3840" s="6" t="str">
        <f>HYPERLINK("http://www.worldcat.org/oclc/727704906","WorldCat Record")</f>
        <v>WorldCat Record</v>
      </c>
      <c r="AX3840" s="3" t="s">
        <v>38157</v>
      </c>
      <c r="AY3840" s="3" t="s">
        <v>38158</v>
      </c>
      <c r="AZ3840" s="3" t="s">
        <v>38159</v>
      </c>
      <c r="BA3840" s="3" t="s">
        <v>38159</v>
      </c>
      <c r="BB3840" s="3" t="s">
        <v>38160</v>
      </c>
      <c r="BC3840" s="3" t="s">
        <v>77</v>
      </c>
      <c r="BD3840" s="3" t="s">
        <v>78</v>
      </c>
      <c r="BE3840" s="3" t="s">
        <v>38161</v>
      </c>
      <c r="BF3840" s="3" t="s">
        <v>38160</v>
      </c>
      <c r="BG3840" s="3" t="s">
        <v>38162</v>
      </c>
    </row>
    <row r="3841" spans="1:59" ht="72.5" x14ac:dyDescent="0.35">
      <c r="A3841" s="2" t="s">
        <v>59</v>
      </c>
      <c r="B3841" s="2" t="s">
        <v>60</v>
      </c>
      <c r="C3841" s="2" t="s">
        <v>38163</v>
      </c>
      <c r="D3841" s="2" t="s">
        <v>38164</v>
      </c>
      <c r="E3841" s="2" t="s">
        <v>38165</v>
      </c>
      <c r="G3841" s="3" t="s">
        <v>65</v>
      </c>
      <c r="I3841" s="3" t="s">
        <v>65</v>
      </c>
      <c r="J3841" s="3" t="s">
        <v>65</v>
      </c>
      <c r="K3841" s="3" t="s">
        <v>66</v>
      </c>
      <c r="L3841" s="2" t="s">
        <v>38166</v>
      </c>
      <c r="M3841" s="2" t="s">
        <v>30389</v>
      </c>
      <c r="N3841" s="3" t="s">
        <v>113</v>
      </c>
      <c r="P3841" s="3" t="s">
        <v>140</v>
      </c>
      <c r="Q3841" s="2" t="s">
        <v>38167</v>
      </c>
      <c r="R3841" s="3" t="s">
        <v>71</v>
      </c>
      <c r="S3841" s="4">
        <v>0</v>
      </c>
      <c r="T3841" s="4">
        <v>0</v>
      </c>
      <c r="W3841" s="5" t="s">
        <v>72</v>
      </c>
      <c r="X3841" s="5" t="s">
        <v>72</v>
      </c>
      <c r="Y3841" s="4">
        <v>57</v>
      </c>
      <c r="Z3841" s="4">
        <v>4</v>
      </c>
      <c r="AA3841" s="4">
        <v>4</v>
      </c>
      <c r="AB3841" s="4">
        <v>1</v>
      </c>
      <c r="AC3841" s="4">
        <v>1</v>
      </c>
      <c r="AD3841" s="4">
        <v>42</v>
      </c>
      <c r="AE3841" s="4">
        <v>42</v>
      </c>
      <c r="AF3841" s="4">
        <v>0</v>
      </c>
      <c r="AG3841" s="4">
        <v>0</v>
      </c>
      <c r="AH3841" s="4">
        <v>41</v>
      </c>
      <c r="AI3841" s="4">
        <v>41</v>
      </c>
      <c r="AJ3841" s="4">
        <v>1</v>
      </c>
      <c r="AK3841" s="4">
        <v>1</v>
      </c>
      <c r="AL3841" s="4">
        <v>32</v>
      </c>
      <c r="AM3841" s="4">
        <v>32</v>
      </c>
      <c r="AN3841" s="4">
        <v>0</v>
      </c>
      <c r="AO3841" s="4">
        <v>0</v>
      </c>
      <c r="AP3841" s="4">
        <v>1</v>
      </c>
      <c r="AQ3841" s="4">
        <v>1</v>
      </c>
      <c r="AR3841" s="3" t="s">
        <v>65</v>
      </c>
      <c r="AS3841" s="3" t="s">
        <v>65</v>
      </c>
      <c r="AT3841" s="3" t="s">
        <v>65</v>
      </c>
      <c r="AV3841" s="6" t="str">
        <f>HYPERLINK("http://mcgill.on.worldcat.org/oclc/613309609","Catalog Record")</f>
        <v>Catalog Record</v>
      </c>
      <c r="AW3841" s="6" t="str">
        <f>HYPERLINK("http://www.worldcat.org/oclc/613309609","WorldCat Record")</f>
        <v>WorldCat Record</v>
      </c>
      <c r="AX3841" s="3" t="s">
        <v>38168</v>
      </c>
      <c r="AY3841" s="3" t="s">
        <v>38169</v>
      </c>
      <c r="AZ3841" s="3" t="s">
        <v>38170</v>
      </c>
      <c r="BA3841" s="3" t="s">
        <v>38170</v>
      </c>
      <c r="BB3841" s="3" t="s">
        <v>38171</v>
      </c>
      <c r="BC3841" s="3" t="s">
        <v>77</v>
      </c>
      <c r="BD3841" s="3" t="s">
        <v>78</v>
      </c>
      <c r="BE3841" s="3" t="s">
        <v>38172</v>
      </c>
      <c r="BF3841" s="3" t="s">
        <v>38171</v>
      </c>
      <c r="BG3841" s="3" t="s">
        <v>38173</v>
      </c>
    </row>
    <row r="3842" spans="1:59" ht="72.5" x14ac:dyDescent="0.35">
      <c r="A3842" s="2" t="s">
        <v>59</v>
      </c>
      <c r="B3842" s="2" t="s">
        <v>60</v>
      </c>
      <c r="C3842" s="2" t="s">
        <v>38174</v>
      </c>
      <c r="D3842" s="2" t="s">
        <v>38175</v>
      </c>
      <c r="E3842" s="2" t="s">
        <v>38176</v>
      </c>
      <c r="G3842" s="3" t="s">
        <v>65</v>
      </c>
      <c r="I3842" s="3" t="s">
        <v>65</v>
      </c>
      <c r="J3842" s="3" t="s">
        <v>65</v>
      </c>
      <c r="K3842" s="3" t="s">
        <v>66</v>
      </c>
      <c r="L3842" s="2" t="s">
        <v>38177</v>
      </c>
      <c r="M3842" s="2" t="s">
        <v>19980</v>
      </c>
      <c r="N3842" s="3" t="s">
        <v>1895</v>
      </c>
      <c r="O3842" s="2" t="s">
        <v>35367</v>
      </c>
      <c r="P3842" s="3" t="s">
        <v>140</v>
      </c>
      <c r="Q3842" s="2" t="s">
        <v>33536</v>
      </c>
      <c r="R3842" s="3" t="s">
        <v>71</v>
      </c>
      <c r="S3842" s="4">
        <v>1</v>
      </c>
      <c r="T3842" s="4">
        <v>1</v>
      </c>
      <c r="U3842" s="5" t="s">
        <v>36249</v>
      </c>
      <c r="V3842" s="5" t="s">
        <v>36249</v>
      </c>
      <c r="W3842" s="5" t="s">
        <v>72</v>
      </c>
      <c r="X3842" s="5" t="s">
        <v>72</v>
      </c>
      <c r="Y3842" s="4">
        <v>37</v>
      </c>
      <c r="Z3842" s="4">
        <v>3</v>
      </c>
      <c r="AA3842" s="4">
        <v>4</v>
      </c>
      <c r="AB3842" s="4">
        <v>1</v>
      </c>
      <c r="AC3842" s="4">
        <v>2</v>
      </c>
      <c r="AD3842" s="4">
        <v>25</v>
      </c>
      <c r="AE3842" s="4">
        <v>34</v>
      </c>
      <c r="AF3842" s="4">
        <v>0</v>
      </c>
      <c r="AG3842" s="4">
        <v>1</v>
      </c>
      <c r="AH3842" s="4">
        <v>24</v>
      </c>
      <c r="AI3842" s="4">
        <v>32</v>
      </c>
      <c r="AJ3842" s="4">
        <v>1</v>
      </c>
      <c r="AK3842" s="4">
        <v>2</v>
      </c>
      <c r="AL3842" s="4">
        <v>20</v>
      </c>
      <c r="AM3842" s="4">
        <v>24</v>
      </c>
      <c r="AN3842" s="4">
        <v>0</v>
      </c>
      <c r="AO3842" s="4">
        <v>0</v>
      </c>
      <c r="AP3842" s="4">
        <v>1</v>
      </c>
      <c r="AQ3842" s="4">
        <v>1</v>
      </c>
      <c r="AR3842" s="3" t="s">
        <v>65</v>
      </c>
      <c r="AS3842" s="3" t="s">
        <v>65</v>
      </c>
      <c r="AT3842" s="3" t="s">
        <v>65</v>
      </c>
      <c r="AV3842" s="6" t="str">
        <f>HYPERLINK("http://mcgill.on.worldcat.org/oclc/40408562","Catalog Record")</f>
        <v>Catalog Record</v>
      </c>
      <c r="AW3842" s="6" t="str">
        <f>HYPERLINK("http://www.worldcat.org/oclc/40408562","WorldCat Record")</f>
        <v>WorldCat Record</v>
      </c>
      <c r="AX3842" s="3" t="s">
        <v>38178</v>
      </c>
      <c r="AY3842" s="3" t="s">
        <v>38179</v>
      </c>
      <c r="AZ3842" s="3" t="s">
        <v>38180</v>
      </c>
      <c r="BA3842" s="3" t="s">
        <v>38180</v>
      </c>
      <c r="BB3842" s="3" t="s">
        <v>38181</v>
      </c>
      <c r="BC3842" s="3" t="s">
        <v>77</v>
      </c>
      <c r="BD3842" s="3" t="s">
        <v>78</v>
      </c>
      <c r="BE3842" s="3" t="s">
        <v>38182</v>
      </c>
      <c r="BF3842" s="3" t="s">
        <v>38181</v>
      </c>
      <c r="BG3842" s="3" t="s">
        <v>38183</v>
      </c>
    </row>
    <row r="3843" spans="1:59" ht="58" x14ac:dyDescent="0.35">
      <c r="A3843" s="2" t="s">
        <v>59</v>
      </c>
      <c r="B3843" s="2" t="s">
        <v>60</v>
      </c>
      <c r="C3843" s="2" t="s">
        <v>38184</v>
      </c>
      <c r="D3843" s="2" t="s">
        <v>38185</v>
      </c>
      <c r="E3843" s="2" t="s">
        <v>38186</v>
      </c>
      <c r="G3843" s="3" t="s">
        <v>65</v>
      </c>
      <c r="I3843" s="3" t="s">
        <v>65</v>
      </c>
      <c r="J3843" s="3" t="s">
        <v>65</v>
      </c>
      <c r="K3843" s="3" t="s">
        <v>66</v>
      </c>
      <c r="L3843" s="2" t="s">
        <v>38177</v>
      </c>
      <c r="M3843" s="2" t="s">
        <v>38187</v>
      </c>
      <c r="N3843" s="3" t="s">
        <v>552</v>
      </c>
      <c r="O3843" s="2" t="s">
        <v>365</v>
      </c>
      <c r="P3843" s="3" t="s">
        <v>140</v>
      </c>
      <c r="Q3843" s="2" t="s">
        <v>38188</v>
      </c>
      <c r="R3843" s="3" t="s">
        <v>71</v>
      </c>
      <c r="S3843" s="4">
        <v>1</v>
      </c>
      <c r="T3843" s="4">
        <v>1</v>
      </c>
      <c r="U3843" s="5" t="s">
        <v>38189</v>
      </c>
      <c r="V3843" s="5" t="s">
        <v>38189</v>
      </c>
      <c r="W3843" s="5" t="s">
        <v>72</v>
      </c>
      <c r="X3843" s="5" t="s">
        <v>72</v>
      </c>
      <c r="Y3843" s="4">
        <v>15</v>
      </c>
      <c r="Z3843" s="4">
        <v>3</v>
      </c>
      <c r="AA3843" s="4">
        <v>5</v>
      </c>
      <c r="AB3843" s="4">
        <v>1</v>
      </c>
      <c r="AC3843" s="4">
        <v>2</v>
      </c>
      <c r="AD3843" s="4">
        <v>9</v>
      </c>
      <c r="AE3843" s="4">
        <v>32</v>
      </c>
      <c r="AF3843" s="4">
        <v>0</v>
      </c>
      <c r="AG3843" s="4">
        <v>1</v>
      </c>
      <c r="AH3843" s="4">
        <v>8</v>
      </c>
      <c r="AI3843" s="4">
        <v>30</v>
      </c>
      <c r="AJ3843" s="4">
        <v>1</v>
      </c>
      <c r="AK3843" s="4">
        <v>3</v>
      </c>
      <c r="AL3843" s="4">
        <v>7</v>
      </c>
      <c r="AM3843" s="4">
        <v>24</v>
      </c>
      <c r="AN3843" s="4">
        <v>0</v>
      </c>
      <c r="AO3843" s="4">
        <v>0</v>
      </c>
      <c r="AP3843" s="4">
        <v>1</v>
      </c>
      <c r="AQ3843" s="4">
        <v>2</v>
      </c>
      <c r="AR3843" s="3" t="s">
        <v>65</v>
      </c>
      <c r="AS3843" s="3" t="s">
        <v>65</v>
      </c>
      <c r="AT3843" s="3" t="s">
        <v>209</v>
      </c>
      <c r="AU3843" s="6" t="str">
        <f>HYPERLINK("http://catalog.hathitrust.org/Record/003944207","HathiTrust Record")</f>
        <v>HathiTrust Record</v>
      </c>
      <c r="AV3843" s="6" t="str">
        <f>HYPERLINK("http://mcgill.on.worldcat.org/oclc/36768573","Catalog Record")</f>
        <v>Catalog Record</v>
      </c>
      <c r="AW3843" s="6" t="str">
        <f>HYPERLINK("http://www.worldcat.org/oclc/36768573","WorldCat Record")</f>
        <v>WorldCat Record</v>
      </c>
      <c r="AX3843" s="3" t="s">
        <v>38190</v>
      </c>
      <c r="AY3843" s="3" t="s">
        <v>38191</v>
      </c>
      <c r="AZ3843" s="3" t="s">
        <v>38192</v>
      </c>
      <c r="BA3843" s="3" t="s">
        <v>38192</v>
      </c>
      <c r="BB3843" s="3" t="s">
        <v>38193</v>
      </c>
      <c r="BC3843" s="3" t="s">
        <v>77</v>
      </c>
      <c r="BD3843" s="3" t="s">
        <v>78</v>
      </c>
      <c r="BE3843" s="3" t="s">
        <v>38194</v>
      </c>
      <c r="BF3843" s="3" t="s">
        <v>38193</v>
      </c>
      <c r="BG3843" s="3" t="s">
        <v>38195</v>
      </c>
    </row>
    <row r="3844" spans="1:59" ht="58" x14ac:dyDescent="0.35">
      <c r="A3844" s="2" t="s">
        <v>59</v>
      </c>
      <c r="B3844" s="2" t="s">
        <v>60</v>
      </c>
      <c r="C3844" s="2" t="s">
        <v>38196</v>
      </c>
      <c r="D3844" s="2" t="s">
        <v>38197</v>
      </c>
      <c r="E3844" s="2" t="s">
        <v>38198</v>
      </c>
      <c r="G3844" s="3" t="s">
        <v>65</v>
      </c>
      <c r="I3844" s="3" t="s">
        <v>65</v>
      </c>
      <c r="J3844" s="3" t="s">
        <v>65</v>
      </c>
      <c r="K3844" s="3" t="s">
        <v>66</v>
      </c>
      <c r="L3844" s="2" t="s">
        <v>38199</v>
      </c>
      <c r="M3844" s="2" t="s">
        <v>38200</v>
      </c>
      <c r="N3844" s="3" t="s">
        <v>164</v>
      </c>
      <c r="P3844" s="3" t="s">
        <v>69</v>
      </c>
      <c r="R3844" s="3" t="s">
        <v>71</v>
      </c>
      <c r="S3844" s="4">
        <v>0</v>
      </c>
      <c r="T3844" s="4">
        <v>0</v>
      </c>
      <c r="W3844" s="5" t="s">
        <v>72</v>
      </c>
      <c r="X3844" s="5" t="s">
        <v>72</v>
      </c>
      <c r="Y3844" s="4">
        <v>105</v>
      </c>
      <c r="Z3844" s="4">
        <v>11</v>
      </c>
      <c r="AA3844" s="4">
        <v>14</v>
      </c>
      <c r="AB3844" s="4">
        <v>1</v>
      </c>
      <c r="AC3844" s="4">
        <v>3</v>
      </c>
      <c r="AD3844" s="4">
        <v>44</v>
      </c>
      <c r="AE3844" s="4">
        <v>48</v>
      </c>
      <c r="AF3844" s="4">
        <v>0</v>
      </c>
      <c r="AG3844" s="4">
        <v>0</v>
      </c>
      <c r="AH3844" s="4">
        <v>41</v>
      </c>
      <c r="AI3844" s="4">
        <v>45</v>
      </c>
      <c r="AJ3844" s="4">
        <v>6</v>
      </c>
      <c r="AK3844" s="4">
        <v>7</v>
      </c>
      <c r="AL3844" s="4">
        <v>27</v>
      </c>
      <c r="AM3844" s="4">
        <v>30</v>
      </c>
      <c r="AN3844" s="4">
        <v>0</v>
      </c>
      <c r="AO3844" s="4">
        <v>0</v>
      </c>
      <c r="AP3844" s="4">
        <v>6</v>
      </c>
      <c r="AQ3844" s="4">
        <v>7</v>
      </c>
      <c r="AR3844" s="3" t="s">
        <v>65</v>
      </c>
      <c r="AS3844" s="3" t="s">
        <v>65</v>
      </c>
      <c r="AT3844" s="3" t="s">
        <v>65</v>
      </c>
      <c r="AV3844" s="6" t="str">
        <f>HYPERLINK("http://mcgill.on.worldcat.org/oclc/892869399","Catalog Record")</f>
        <v>Catalog Record</v>
      </c>
      <c r="AW3844" s="6" t="str">
        <f>HYPERLINK("http://www.worldcat.org/oclc/892869399","WorldCat Record")</f>
        <v>WorldCat Record</v>
      </c>
      <c r="AX3844" s="3" t="s">
        <v>38201</v>
      </c>
      <c r="AY3844" s="3" t="s">
        <v>38202</v>
      </c>
      <c r="AZ3844" s="3" t="s">
        <v>38203</v>
      </c>
      <c r="BA3844" s="3" t="s">
        <v>38203</v>
      </c>
      <c r="BB3844" s="3" t="s">
        <v>38204</v>
      </c>
      <c r="BC3844" s="3" t="s">
        <v>77</v>
      </c>
      <c r="BD3844" s="3" t="s">
        <v>78</v>
      </c>
      <c r="BE3844" s="3" t="s">
        <v>38205</v>
      </c>
      <c r="BF3844" s="3" t="s">
        <v>38204</v>
      </c>
      <c r="BG3844" s="3" t="s">
        <v>38206</v>
      </c>
    </row>
    <row r="3845" spans="1:59" ht="58" x14ac:dyDescent="0.35">
      <c r="A3845" s="2" t="s">
        <v>59</v>
      </c>
      <c r="B3845" s="2" t="s">
        <v>60</v>
      </c>
      <c r="C3845" s="2" t="s">
        <v>38207</v>
      </c>
      <c r="D3845" s="2" t="s">
        <v>38208</v>
      </c>
      <c r="E3845" s="2" t="s">
        <v>38209</v>
      </c>
      <c r="G3845" s="3" t="s">
        <v>65</v>
      </c>
      <c r="I3845" s="3" t="s">
        <v>65</v>
      </c>
      <c r="J3845" s="3" t="s">
        <v>65</v>
      </c>
      <c r="K3845" s="3" t="s">
        <v>66</v>
      </c>
      <c r="L3845" s="2" t="s">
        <v>38210</v>
      </c>
      <c r="M3845" s="2" t="s">
        <v>38211</v>
      </c>
      <c r="N3845" s="3" t="s">
        <v>139</v>
      </c>
      <c r="P3845" s="3" t="s">
        <v>69</v>
      </c>
      <c r="Q3845" s="2" t="s">
        <v>38212</v>
      </c>
      <c r="R3845" s="3" t="s">
        <v>71</v>
      </c>
      <c r="S3845" s="4">
        <v>1</v>
      </c>
      <c r="T3845" s="4">
        <v>1</v>
      </c>
      <c r="U3845" s="5" t="s">
        <v>38213</v>
      </c>
      <c r="V3845" s="5" t="s">
        <v>38213</v>
      </c>
      <c r="W3845" s="5" t="s">
        <v>72</v>
      </c>
      <c r="X3845" s="5" t="s">
        <v>72</v>
      </c>
      <c r="Y3845" s="4">
        <v>194</v>
      </c>
      <c r="Z3845" s="4">
        <v>24</v>
      </c>
      <c r="AA3845" s="4">
        <v>28</v>
      </c>
      <c r="AB3845" s="4">
        <v>2</v>
      </c>
      <c r="AC3845" s="4">
        <v>5</v>
      </c>
      <c r="AD3845" s="4">
        <v>71</v>
      </c>
      <c r="AE3845" s="4">
        <v>73</v>
      </c>
      <c r="AF3845" s="4">
        <v>1</v>
      </c>
      <c r="AG3845" s="4">
        <v>3</v>
      </c>
      <c r="AH3845" s="4">
        <v>61</v>
      </c>
      <c r="AI3845" s="4">
        <v>62</v>
      </c>
      <c r="AJ3845" s="4">
        <v>21</v>
      </c>
      <c r="AK3845" s="4">
        <v>23</v>
      </c>
      <c r="AL3845" s="4">
        <v>34</v>
      </c>
      <c r="AM3845" s="4">
        <v>34</v>
      </c>
      <c r="AN3845" s="4">
        <v>0</v>
      </c>
      <c r="AO3845" s="4">
        <v>0</v>
      </c>
      <c r="AP3845" s="4">
        <v>21</v>
      </c>
      <c r="AQ3845" s="4">
        <v>22</v>
      </c>
      <c r="AR3845" s="3" t="s">
        <v>65</v>
      </c>
      <c r="AS3845" s="3" t="s">
        <v>65</v>
      </c>
      <c r="AT3845" s="3" t="s">
        <v>65</v>
      </c>
      <c r="AV3845" s="6" t="str">
        <f>HYPERLINK("http://mcgill.on.worldcat.org/oclc/747534692","Catalog Record")</f>
        <v>Catalog Record</v>
      </c>
      <c r="AW3845" s="6" t="str">
        <f>HYPERLINK("http://www.worldcat.org/oclc/747534692","WorldCat Record")</f>
        <v>WorldCat Record</v>
      </c>
      <c r="AX3845" s="3" t="s">
        <v>38214</v>
      </c>
      <c r="AY3845" s="3" t="s">
        <v>38215</v>
      </c>
      <c r="AZ3845" s="3" t="s">
        <v>38216</v>
      </c>
      <c r="BA3845" s="3" t="s">
        <v>38216</v>
      </c>
      <c r="BB3845" s="3" t="s">
        <v>38217</v>
      </c>
      <c r="BC3845" s="3" t="s">
        <v>77</v>
      </c>
      <c r="BD3845" s="3" t="s">
        <v>78</v>
      </c>
      <c r="BE3845" s="3" t="s">
        <v>38218</v>
      </c>
      <c r="BF3845" s="3" t="s">
        <v>38217</v>
      </c>
      <c r="BG3845" s="3" t="s">
        <v>38219</v>
      </c>
    </row>
    <row r="3846" spans="1:59" ht="72.5" x14ac:dyDescent="0.35">
      <c r="A3846" s="2" t="s">
        <v>59</v>
      </c>
      <c r="B3846" s="2" t="s">
        <v>60</v>
      </c>
      <c r="C3846" s="2" t="s">
        <v>38220</v>
      </c>
      <c r="D3846" s="2" t="s">
        <v>38221</v>
      </c>
      <c r="E3846" s="2" t="s">
        <v>38222</v>
      </c>
      <c r="G3846" s="3" t="s">
        <v>65</v>
      </c>
      <c r="I3846" s="3" t="s">
        <v>65</v>
      </c>
      <c r="J3846" s="3" t="s">
        <v>65</v>
      </c>
      <c r="K3846" s="3" t="s">
        <v>66</v>
      </c>
      <c r="L3846" s="2" t="s">
        <v>38223</v>
      </c>
      <c r="M3846" s="2" t="s">
        <v>35310</v>
      </c>
      <c r="N3846" s="3" t="s">
        <v>139</v>
      </c>
      <c r="P3846" s="3" t="s">
        <v>140</v>
      </c>
      <c r="R3846" s="3" t="s">
        <v>71</v>
      </c>
      <c r="S3846" s="4">
        <v>1</v>
      </c>
      <c r="T3846" s="4">
        <v>1</v>
      </c>
      <c r="U3846" s="5" t="s">
        <v>32043</v>
      </c>
      <c r="V3846" s="5" t="s">
        <v>32043</v>
      </c>
      <c r="W3846" s="5" t="s">
        <v>72</v>
      </c>
      <c r="X3846" s="5" t="s">
        <v>72</v>
      </c>
      <c r="Y3846" s="4">
        <v>5</v>
      </c>
      <c r="Z3846" s="4">
        <v>1</v>
      </c>
      <c r="AA3846" s="4">
        <v>5</v>
      </c>
      <c r="AB3846" s="4">
        <v>1</v>
      </c>
      <c r="AC3846" s="4">
        <v>2</v>
      </c>
      <c r="AD3846" s="4">
        <v>2</v>
      </c>
      <c r="AE3846" s="4">
        <v>32</v>
      </c>
      <c r="AF3846" s="4">
        <v>0</v>
      </c>
      <c r="AG3846" s="4">
        <v>0</v>
      </c>
      <c r="AH3846" s="4">
        <v>2</v>
      </c>
      <c r="AI3846" s="4">
        <v>31</v>
      </c>
      <c r="AJ3846" s="4">
        <v>0</v>
      </c>
      <c r="AK3846" s="4">
        <v>2</v>
      </c>
      <c r="AL3846" s="4">
        <v>2</v>
      </c>
      <c r="AM3846" s="4">
        <v>25</v>
      </c>
      <c r="AN3846" s="4">
        <v>0</v>
      </c>
      <c r="AO3846" s="4">
        <v>0</v>
      </c>
      <c r="AP3846" s="4">
        <v>0</v>
      </c>
      <c r="AQ3846" s="4">
        <v>2</v>
      </c>
      <c r="AR3846" s="3" t="s">
        <v>65</v>
      </c>
      <c r="AS3846" s="3" t="s">
        <v>65</v>
      </c>
      <c r="AT3846" s="3" t="s">
        <v>65</v>
      </c>
      <c r="AV3846" s="6" t="str">
        <f>HYPERLINK("http://mcgill.on.worldcat.org/oclc/779818296","Catalog Record")</f>
        <v>Catalog Record</v>
      </c>
      <c r="AW3846" s="6" t="str">
        <f>HYPERLINK("http://www.worldcat.org/oclc/779818296","WorldCat Record")</f>
        <v>WorldCat Record</v>
      </c>
      <c r="AX3846" s="3" t="s">
        <v>38224</v>
      </c>
      <c r="AY3846" s="3" t="s">
        <v>38225</v>
      </c>
      <c r="AZ3846" s="3" t="s">
        <v>38226</v>
      </c>
      <c r="BA3846" s="3" t="s">
        <v>38226</v>
      </c>
      <c r="BB3846" s="3" t="s">
        <v>38227</v>
      </c>
      <c r="BC3846" s="3" t="s">
        <v>77</v>
      </c>
      <c r="BD3846" s="3" t="s">
        <v>78</v>
      </c>
      <c r="BE3846" s="3" t="s">
        <v>38228</v>
      </c>
      <c r="BF3846" s="3" t="s">
        <v>38227</v>
      </c>
      <c r="BG3846" s="3" t="s">
        <v>38229</v>
      </c>
    </row>
    <row r="3847" spans="1:59" ht="58" x14ac:dyDescent="0.35">
      <c r="A3847" s="2" t="s">
        <v>59</v>
      </c>
      <c r="B3847" s="2" t="s">
        <v>60</v>
      </c>
      <c r="C3847" s="2" t="s">
        <v>38230</v>
      </c>
      <c r="D3847" s="2" t="s">
        <v>38231</v>
      </c>
      <c r="E3847" s="2" t="s">
        <v>38232</v>
      </c>
      <c r="G3847" s="3" t="s">
        <v>65</v>
      </c>
      <c r="I3847" s="3" t="s">
        <v>65</v>
      </c>
      <c r="J3847" s="3" t="s">
        <v>65</v>
      </c>
      <c r="K3847" s="3" t="s">
        <v>66</v>
      </c>
      <c r="M3847" s="2" t="s">
        <v>1788</v>
      </c>
      <c r="N3847" s="3" t="s">
        <v>176</v>
      </c>
      <c r="P3847" s="3" t="s">
        <v>140</v>
      </c>
      <c r="Q3847" s="2" t="s">
        <v>38233</v>
      </c>
      <c r="R3847" s="3" t="s">
        <v>71</v>
      </c>
      <c r="S3847" s="4">
        <v>0</v>
      </c>
      <c r="T3847" s="4">
        <v>0</v>
      </c>
      <c r="W3847" s="5" t="s">
        <v>72</v>
      </c>
      <c r="X3847" s="5" t="s">
        <v>72</v>
      </c>
      <c r="Y3847" s="4">
        <v>17</v>
      </c>
      <c r="Z3847" s="4">
        <v>1</v>
      </c>
      <c r="AA3847" s="4">
        <v>1</v>
      </c>
      <c r="AB3847" s="4">
        <v>1</v>
      </c>
      <c r="AC3847" s="4">
        <v>1</v>
      </c>
      <c r="AD3847" s="4">
        <v>10</v>
      </c>
      <c r="AE3847" s="4">
        <v>10</v>
      </c>
      <c r="AF3847" s="4">
        <v>0</v>
      </c>
      <c r="AG3847" s="4">
        <v>0</v>
      </c>
      <c r="AH3847" s="4">
        <v>9</v>
      </c>
      <c r="AI3847" s="4">
        <v>9</v>
      </c>
      <c r="AJ3847" s="4">
        <v>0</v>
      </c>
      <c r="AK3847" s="4">
        <v>0</v>
      </c>
      <c r="AL3847" s="4">
        <v>7</v>
      </c>
      <c r="AM3847" s="4">
        <v>7</v>
      </c>
      <c r="AN3847" s="4">
        <v>0</v>
      </c>
      <c r="AO3847" s="4">
        <v>0</v>
      </c>
      <c r="AP3847" s="4">
        <v>0</v>
      </c>
      <c r="AQ3847" s="4">
        <v>0</v>
      </c>
      <c r="AR3847" s="3" t="s">
        <v>65</v>
      </c>
      <c r="AS3847" s="3" t="s">
        <v>65</v>
      </c>
      <c r="AT3847" s="3" t="s">
        <v>65</v>
      </c>
      <c r="AV3847" s="6" t="str">
        <f>HYPERLINK("http://mcgill.on.worldcat.org/oclc/909284902","Catalog Record")</f>
        <v>Catalog Record</v>
      </c>
      <c r="AW3847" s="6" t="str">
        <f>HYPERLINK("http://www.worldcat.org/oclc/909284902","WorldCat Record")</f>
        <v>WorldCat Record</v>
      </c>
      <c r="AX3847" s="3" t="s">
        <v>38234</v>
      </c>
      <c r="AY3847" s="3" t="s">
        <v>38235</v>
      </c>
      <c r="AZ3847" s="3" t="s">
        <v>38236</v>
      </c>
      <c r="BA3847" s="3" t="s">
        <v>38236</v>
      </c>
      <c r="BB3847" s="3" t="s">
        <v>38237</v>
      </c>
      <c r="BC3847" s="3" t="s">
        <v>77</v>
      </c>
      <c r="BD3847" s="3" t="s">
        <v>78</v>
      </c>
      <c r="BE3847" s="3" t="s">
        <v>38238</v>
      </c>
      <c r="BF3847" s="3" t="s">
        <v>38237</v>
      </c>
      <c r="BG3847" s="3" t="s">
        <v>38239</v>
      </c>
    </row>
    <row r="3848" spans="1:59" ht="58" x14ac:dyDescent="0.35">
      <c r="A3848" s="2" t="s">
        <v>59</v>
      </c>
      <c r="B3848" s="2" t="s">
        <v>60</v>
      </c>
      <c r="C3848" s="2" t="s">
        <v>38240</v>
      </c>
      <c r="D3848" s="2" t="s">
        <v>38241</v>
      </c>
      <c r="E3848" s="2" t="s">
        <v>38242</v>
      </c>
      <c r="G3848" s="3" t="s">
        <v>65</v>
      </c>
      <c r="I3848" s="3" t="s">
        <v>65</v>
      </c>
      <c r="J3848" s="3" t="s">
        <v>65</v>
      </c>
      <c r="K3848" s="3" t="s">
        <v>66</v>
      </c>
      <c r="L3848" s="2" t="s">
        <v>38243</v>
      </c>
      <c r="M3848" s="2" t="s">
        <v>38244</v>
      </c>
      <c r="N3848" s="3" t="s">
        <v>126</v>
      </c>
      <c r="O3848" s="2" t="s">
        <v>365</v>
      </c>
      <c r="P3848" s="3" t="s">
        <v>140</v>
      </c>
      <c r="R3848" s="3" t="s">
        <v>71</v>
      </c>
      <c r="S3848" s="4">
        <v>0</v>
      </c>
      <c r="T3848" s="4">
        <v>0</v>
      </c>
      <c r="W3848" s="5" t="s">
        <v>72</v>
      </c>
      <c r="X3848" s="5" t="s">
        <v>72</v>
      </c>
      <c r="Y3848" s="4">
        <v>46</v>
      </c>
      <c r="Z3848" s="4">
        <v>4</v>
      </c>
      <c r="AA3848" s="4">
        <v>4</v>
      </c>
      <c r="AB3848" s="4">
        <v>1</v>
      </c>
      <c r="AC3848" s="4">
        <v>1</v>
      </c>
      <c r="AD3848" s="4">
        <v>33</v>
      </c>
      <c r="AE3848" s="4">
        <v>33</v>
      </c>
      <c r="AF3848" s="4">
        <v>0</v>
      </c>
      <c r="AG3848" s="4">
        <v>0</v>
      </c>
      <c r="AH3848" s="4">
        <v>32</v>
      </c>
      <c r="AI3848" s="4">
        <v>32</v>
      </c>
      <c r="AJ3848" s="4">
        <v>2</v>
      </c>
      <c r="AK3848" s="4">
        <v>2</v>
      </c>
      <c r="AL3848" s="4">
        <v>24</v>
      </c>
      <c r="AM3848" s="4">
        <v>24</v>
      </c>
      <c r="AN3848" s="4">
        <v>0</v>
      </c>
      <c r="AO3848" s="4">
        <v>0</v>
      </c>
      <c r="AP3848" s="4">
        <v>2</v>
      </c>
      <c r="AQ3848" s="4">
        <v>2</v>
      </c>
      <c r="AR3848" s="3" t="s">
        <v>65</v>
      </c>
      <c r="AS3848" s="3" t="s">
        <v>65</v>
      </c>
      <c r="AT3848" s="3" t="s">
        <v>65</v>
      </c>
      <c r="AV3848" s="6" t="str">
        <f>HYPERLINK("http://mcgill.on.worldcat.org/oclc/761843502","Catalog Record")</f>
        <v>Catalog Record</v>
      </c>
      <c r="AW3848" s="6" t="str">
        <f>HYPERLINK("http://www.worldcat.org/oclc/761843502","WorldCat Record")</f>
        <v>WorldCat Record</v>
      </c>
      <c r="AX3848" s="3" t="s">
        <v>38245</v>
      </c>
      <c r="AY3848" s="3" t="s">
        <v>38246</v>
      </c>
      <c r="AZ3848" s="3" t="s">
        <v>38247</v>
      </c>
      <c r="BA3848" s="3" t="s">
        <v>38247</v>
      </c>
      <c r="BB3848" s="3" t="s">
        <v>38248</v>
      </c>
      <c r="BC3848" s="3" t="s">
        <v>77</v>
      </c>
      <c r="BD3848" s="3" t="s">
        <v>78</v>
      </c>
      <c r="BE3848" s="3" t="s">
        <v>38249</v>
      </c>
      <c r="BF3848" s="3" t="s">
        <v>38248</v>
      </c>
      <c r="BG3848" s="3" t="s">
        <v>38250</v>
      </c>
    </row>
    <row r="3849" spans="1:59" ht="58" x14ac:dyDescent="0.35">
      <c r="A3849" s="2" t="s">
        <v>59</v>
      </c>
      <c r="B3849" s="2" t="s">
        <v>60</v>
      </c>
      <c r="C3849" s="2" t="s">
        <v>38251</v>
      </c>
      <c r="D3849" s="2" t="s">
        <v>38252</v>
      </c>
      <c r="E3849" s="2" t="s">
        <v>38253</v>
      </c>
      <c r="G3849" s="3" t="s">
        <v>65</v>
      </c>
      <c r="I3849" s="3" t="s">
        <v>65</v>
      </c>
      <c r="J3849" s="3" t="s">
        <v>65</v>
      </c>
      <c r="K3849" s="3" t="s">
        <v>66</v>
      </c>
      <c r="M3849" s="2" t="s">
        <v>38254</v>
      </c>
      <c r="N3849" s="3" t="s">
        <v>126</v>
      </c>
      <c r="P3849" s="3" t="s">
        <v>140</v>
      </c>
      <c r="R3849" s="3" t="s">
        <v>71</v>
      </c>
      <c r="S3849" s="4">
        <v>0</v>
      </c>
      <c r="T3849" s="4">
        <v>0</v>
      </c>
      <c r="W3849" s="5" t="s">
        <v>72</v>
      </c>
      <c r="X3849" s="5" t="s">
        <v>72</v>
      </c>
      <c r="Y3849" s="4">
        <v>18</v>
      </c>
      <c r="Z3849" s="4">
        <v>2</v>
      </c>
      <c r="AA3849" s="4">
        <v>2</v>
      </c>
      <c r="AB3849" s="4">
        <v>1</v>
      </c>
      <c r="AC3849" s="4">
        <v>1</v>
      </c>
      <c r="AD3849" s="4">
        <v>13</v>
      </c>
      <c r="AE3849" s="4">
        <v>13</v>
      </c>
      <c r="AF3849" s="4">
        <v>0</v>
      </c>
      <c r="AG3849" s="4">
        <v>0</v>
      </c>
      <c r="AH3849" s="4">
        <v>13</v>
      </c>
      <c r="AI3849" s="4">
        <v>13</v>
      </c>
      <c r="AJ3849" s="4">
        <v>1</v>
      </c>
      <c r="AK3849" s="4">
        <v>1</v>
      </c>
      <c r="AL3849" s="4">
        <v>10</v>
      </c>
      <c r="AM3849" s="4">
        <v>10</v>
      </c>
      <c r="AN3849" s="4">
        <v>0</v>
      </c>
      <c r="AO3849" s="4">
        <v>0</v>
      </c>
      <c r="AP3849" s="4">
        <v>1</v>
      </c>
      <c r="AQ3849" s="4">
        <v>1</v>
      </c>
      <c r="AR3849" s="3" t="s">
        <v>65</v>
      </c>
      <c r="AS3849" s="3" t="s">
        <v>65</v>
      </c>
      <c r="AT3849" s="3" t="s">
        <v>65</v>
      </c>
      <c r="AV3849" s="6" t="str">
        <f>HYPERLINK("http://mcgill.on.worldcat.org/oclc/757462469","Catalog Record")</f>
        <v>Catalog Record</v>
      </c>
      <c r="AW3849" s="6" t="str">
        <f>HYPERLINK("http://www.worldcat.org/oclc/757462469","WorldCat Record")</f>
        <v>WorldCat Record</v>
      </c>
      <c r="AX3849" s="3" t="s">
        <v>38255</v>
      </c>
      <c r="AY3849" s="3" t="s">
        <v>38256</v>
      </c>
      <c r="AZ3849" s="3" t="s">
        <v>38257</v>
      </c>
      <c r="BA3849" s="3" t="s">
        <v>38257</v>
      </c>
      <c r="BB3849" s="3" t="s">
        <v>38258</v>
      </c>
      <c r="BC3849" s="3" t="s">
        <v>77</v>
      </c>
      <c r="BD3849" s="3" t="s">
        <v>78</v>
      </c>
      <c r="BE3849" s="3" t="s">
        <v>38259</v>
      </c>
      <c r="BF3849" s="3" t="s">
        <v>38258</v>
      </c>
      <c r="BG3849" s="3" t="s">
        <v>38260</v>
      </c>
    </row>
    <row r="3850" spans="1:59" ht="58" x14ac:dyDescent="0.35">
      <c r="A3850" s="2" t="s">
        <v>59</v>
      </c>
      <c r="B3850" s="2" t="s">
        <v>60</v>
      </c>
      <c r="C3850" s="2" t="s">
        <v>38261</v>
      </c>
      <c r="D3850" s="2" t="s">
        <v>38262</v>
      </c>
      <c r="E3850" s="2" t="s">
        <v>38263</v>
      </c>
      <c r="G3850" s="3" t="s">
        <v>65</v>
      </c>
      <c r="I3850" s="3" t="s">
        <v>65</v>
      </c>
      <c r="J3850" s="3" t="s">
        <v>65</v>
      </c>
      <c r="K3850" s="3" t="s">
        <v>66</v>
      </c>
      <c r="M3850" s="2" t="s">
        <v>38264</v>
      </c>
      <c r="N3850" s="3" t="s">
        <v>176</v>
      </c>
      <c r="P3850" s="3" t="s">
        <v>140</v>
      </c>
      <c r="Q3850" s="2" t="s">
        <v>38265</v>
      </c>
      <c r="R3850" s="3" t="s">
        <v>71</v>
      </c>
      <c r="S3850" s="4">
        <v>0</v>
      </c>
      <c r="T3850" s="4">
        <v>0</v>
      </c>
      <c r="W3850" s="5" t="s">
        <v>72</v>
      </c>
      <c r="X3850" s="5" t="s">
        <v>72</v>
      </c>
      <c r="Y3850" s="4">
        <v>33</v>
      </c>
      <c r="Z3850" s="4">
        <v>3</v>
      </c>
      <c r="AA3850" s="4">
        <v>3</v>
      </c>
      <c r="AB3850" s="4">
        <v>1</v>
      </c>
      <c r="AC3850" s="4">
        <v>1</v>
      </c>
      <c r="AD3850" s="4">
        <v>22</v>
      </c>
      <c r="AE3850" s="4">
        <v>23</v>
      </c>
      <c r="AF3850" s="4">
        <v>0</v>
      </c>
      <c r="AG3850" s="4">
        <v>0</v>
      </c>
      <c r="AH3850" s="4">
        <v>22</v>
      </c>
      <c r="AI3850" s="4">
        <v>23</v>
      </c>
      <c r="AJ3850" s="4">
        <v>1</v>
      </c>
      <c r="AK3850" s="4">
        <v>1</v>
      </c>
      <c r="AL3850" s="4">
        <v>18</v>
      </c>
      <c r="AM3850" s="4">
        <v>19</v>
      </c>
      <c r="AN3850" s="4">
        <v>0</v>
      </c>
      <c r="AO3850" s="4">
        <v>0</v>
      </c>
      <c r="AP3850" s="4">
        <v>1</v>
      </c>
      <c r="AQ3850" s="4">
        <v>1</v>
      </c>
      <c r="AR3850" s="3" t="s">
        <v>65</v>
      </c>
      <c r="AS3850" s="3" t="s">
        <v>65</v>
      </c>
      <c r="AT3850" s="3" t="s">
        <v>65</v>
      </c>
      <c r="AV3850" s="6" t="str">
        <f>HYPERLINK("http://mcgill.on.worldcat.org/oclc/935123458","Catalog Record")</f>
        <v>Catalog Record</v>
      </c>
      <c r="AW3850" s="6" t="str">
        <f>HYPERLINK("http://www.worldcat.org/oclc/935123458","WorldCat Record")</f>
        <v>WorldCat Record</v>
      </c>
      <c r="AX3850" s="3" t="s">
        <v>38266</v>
      </c>
      <c r="AY3850" s="3" t="s">
        <v>38267</v>
      </c>
      <c r="AZ3850" s="3" t="s">
        <v>38268</v>
      </c>
      <c r="BA3850" s="3" t="s">
        <v>38268</v>
      </c>
      <c r="BB3850" s="3" t="s">
        <v>38269</v>
      </c>
      <c r="BC3850" s="3" t="s">
        <v>77</v>
      </c>
      <c r="BD3850" s="3" t="s">
        <v>78</v>
      </c>
      <c r="BE3850" s="3" t="s">
        <v>38270</v>
      </c>
      <c r="BF3850" s="3" t="s">
        <v>38269</v>
      </c>
      <c r="BG3850" s="3" t="s">
        <v>38271</v>
      </c>
    </row>
    <row r="3851" spans="1:59" ht="58" x14ac:dyDescent="0.35">
      <c r="A3851" s="2" t="s">
        <v>59</v>
      </c>
      <c r="B3851" s="2" t="s">
        <v>60</v>
      </c>
      <c r="C3851" s="2" t="s">
        <v>38272</v>
      </c>
      <c r="D3851" s="2" t="s">
        <v>38273</v>
      </c>
      <c r="E3851" s="2" t="s">
        <v>38274</v>
      </c>
      <c r="G3851" s="3" t="s">
        <v>65</v>
      </c>
      <c r="I3851" s="3" t="s">
        <v>65</v>
      </c>
      <c r="J3851" s="3" t="s">
        <v>65</v>
      </c>
      <c r="K3851" s="3" t="s">
        <v>66</v>
      </c>
      <c r="L3851" s="2" t="s">
        <v>38275</v>
      </c>
      <c r="M3851" s="2" t="s">
        <v>38276</v>
      </c>
      <c r="N3851" s="3" t="s">
        <v>139</v>
      </c>
      <c r="O3851" s="2" t="s">
        <v>526</v>
      </c>
      <c r="P3851" s="3" t="s">
        <v>69</v>
      </c>
      <c r="R3851" s="3" t="s">
        <v>71</v>
      </c>
      <c r="S3851" s="4">
        <v>1</v>
      </c>
      <c r="T3851" s="4">
        <v>1</v>
      </c>
      <c r="U3851" s="5" t="s">
        <v>38277</v>
      </c>
      <c r="V3851" s="5" t="s">
        <v>38277</v>
      </c>
      <c r="W3851" s="5" t="s">
        <v>72</v>
      </c>
      <c r="X3851" s="5" t="s">
        <v>72</v>
      </c>
      <c r="Y3851" s="4">
        <v>73</v>
      </c>
      <c r="Z3851" s="4">
        <v>8</v>
      </c>
      <c r="AA3851" s="4">
        <v>20</v>
      </c>
      <c r="AB3851" s="4">
        <v>1</v>
      </c>
      <c r="AC3851" s="4">
        <v>3</v>
      </c>
      <c r="AD3851" s="4">
        <v>38</v>
      </c>
      <c r="AE3851" s="4">
        <v>41</v>
      </c>
      <c r="AF3851" s="4">
        <v>0</v>
      </c>
      <c r="AG3851" s="4">
        <v>0</v>
      </c>
      <c r="AH3851" s="4">
        <v>36</v>
      </c>
      <c r="AI3851" s="4">
        <v>38</v>
      </c>
      <c r="AJ3851" s="4">
        <v>5</v>
      </c>
      <c r="AK3851" s="4">
        <v>5</v>
      </c>
      <c r="AL3851" s="4">
        <v>21</v>
      </c>
      <c r="AM3851" s="4">
        <v>22</v>
      </c>
      <c r="AN3851" s="4">
        <v>0</v>
      </c>
      <c r="AO3851" s="4">
        <v>0</v>
      </c>
      <c r="AP3851" s="4">
        <v>5</v>
      </c>
      <c r="AQ3851" s="4">
        <v>6</v>
      </c>
      <c r="AR3851" s="3" t="s">
        <v>65</v>
      </c>
      <c r="AS3851" s="3" t="s">
        <v>65</v>
      </c>
      <c r="AT3851" s="3" t="s">
        <v>65</v>
      </c>
      <c r="AV3851" s="6" t="str">
        <f>HYPERLINK("http://mcgill.on.worldcat.org/oclc/767564359","Catalog Record")</f>
        <v>Catalog Record</v>
      </c>
      <c r="AW3851" s="6" t="str">
        <f>HYPERLINK("http://www.worldcat.org/oclc/767564359","WorldCat Record")</f>
        <v>WorldCat Record</v>
      </c>
      <c r="AX3851" s="3" t="s">
        <v>38278</v>
      </c>
      <c r="AY3851" s="3" t="s">
        <v>38279</v>
      </c>
      <c r="AZ3851" s="3" t="s">
        <v>38280</v>
      </c>
      <c r="BA3851" s="3" t="s">
        <v>38280</v>
      </c>
      <c r="BB3851" s="3" t="s">
        <v>38281</v>
      </c>
      <c r="BC3851" s="3" t="s">
        <v>77</v>
      </c>
      <c r="BD3851" s="3" t="s">
        <v>78</v>
      </c>
      <c r="BE3851" s="3" t="s">
        <v>38282</v>
      </c>
      <c r="BF3851" s="3" t="s">
        <v>38281</v>
      </c>
      <c r="BG3851" s="3" t="s">
        <v>38283</v>
      </c>
    </row>
    <row r="3852" spans="1:59" ht="58" x14ac:dyDescent="0.35">
      <c r="A3852" s="2" t="s">
        <v>59</v>
      </c>
      <c r="B3852" s="2" t="s">
        <v>60</v>
      </c>
      <c r="C3852" s="2" t="s">
        <v>38284</v>
      </c>
      <c r="D3852" s="2" t="s">
        <v>38285</v>
      </c>
      <c r="E3852" s="2" t="s">
        <v>38286</v>
      </c>
      <c r="F3852" s="3" t="s">
        <v>245</v>
      </c>
      <c r="G3852" s="3" t="s">
        <v>209</v>
      </c>
      <c r="I3852" s="3" t="s">
        <v>209</v>
      </c>
      <c r="J3852" s="3" t="s">
        <v>65</v>
      </c>
      <c r="K3852" s="3" t="s">
        <v>66</v>
      </c>
      <c r="L3852" s="2" t="s">
        <v>38287</v>
      </c>
      <c r="M3852" s="2" t="s">
        <v>38288</v>
      </c>
      <c r="N3852" s="3" t="s">
        <v>1932</v>
      </c>
      <c r="P3852" s="3" t="s">
        <v>69</v>
      </c>
      <c r="R3852" s="3" t="s">
        <v>71</v>
      </c>
      <c r="S3852" s="4">
        <v>2</v>
      </c>
      <c r="T3852" s="4">
        <v>4</v>
      </c>
      <c r="U3852" s="5" t="s">
        <v>38289</v>
      </c>
      <c r="V3852" s="5" t="s">
        <v>38289</v>
      </c>
      <c r="W3852" s="5" t="s">
        <v>72</v>
      </c>
      <c r="X3852" s="5" t="s">
        <v>72</v>
      </c>
      <c r="Y3852" s="4">
        <v>231</v>
      </c>
      <c r="Z3852" s="4">
        <v>11</v>
      </c>
      <c r="AA3852" s="4">
        <v>12</v>
      </c>
      <c r="AB3852" s="4">
        <v>1</v>
      </c>
      <c r="AC3852" s="4">
        <v>2</v>
      </c>
      <c r="AD3852" s="4">
        <v>71</v>
      </c>
      <c r="AE3852" s="4">
        <v>71</v>
      </c>
      <c r="AF3852" s="4">
        <v>0</v>
      </c>
      <c r="AG3852" s="4">
        <v>0</v>
      </c>
      <c r="AH3852" s="4">
        <v>65</v>
      </c>
      <c r="AI3852" s="4">
        <v>65</v>
      </c>
      <c r="AJ3852" s="4">
        <v>8</v>
      </c>
      <c r="AK3852" s="4">
        <v>8</v>
      </c>
      <c r="AL3852" s="4">
        <v>40</v>
      </c>
      <c r="AM3852" s="4">
        <v>40</v>
      </c>
      <c r="AN3852" s="4">
        <v>0</v>
      </c>
      <c r="AO3852" s="4">
        <v>0</v>
      </c>
      <c r="AP3852" s="4">
        <v>8</v>
      </c>
      <c r="AQ3852" s="4">
        <v>8</v>
      </c>
      <c r="AR3852" s="3" t="s">
        <v>65</v>
      </c>
      <c r="AS3852" s="3" t="s">
        <v>65</v>
      </c>
      <c r="AT3852" s="3" t="s">
        <v>209</v>
      </c>
      <c r="AU3852" s="6" t="str">
        <f>HYPERLINK("http://catalog.hathitrust.org/Record/002880705","HathiTrust Record")</f>
        <v>HathiTrust Record</v>
      </c>
      <c r="AV3852" s="6" t="str">
        <f>HYPERLINK("http://mcgill.on.worldcat.org/oclc/30078833","Catalog Record")</f>
        <v>Catalog Record</v>
      </c>
      <c r="AW3852" s="6" t="str">
        <f>HYPERLINK("http://www.worldcat.org/oclc/30078833","WorldCat Record")</f>
        <v>WorldCat Record</v>
      </c>
      <c r="AX3852" s="3" t="s">
        <v>38290</v>
      </c>
      <c r="AY3852" s="3" t="s">
        <v>38291</v>
      </c>
      <c r="AZ3852" s="3" t="s">
        <v>38292</v>
      </c>
      <c r="BA3852" s="3" t="s">
        <v>38292</v>
      </c>
      <c r="BB3852" s="3" t="s">
        <v>38293</v>
      </c>
      <c r="BC3852" s="3" t="s">
        <v>77</v>
      </c>
      <c r="BD3852" s="3" t="s">
        <v>78</v>
      </c>
      <c r="BE3852" s="3" t="s">
        <v>38294</v>
      </c>
      <c r="BF3852" s="3" t="s">
        <v>38293</v>
      </c>
      <c r="BG3852" s="3" t="s">
        <v>38295</v>
      </c>
    </row>
    <row r="3853" spans="1:59" ht="58" x14ac:dyDescent="0.35">
      <c r="A3853" s="2" t="s">
        <v>59</v>
      </c>
      <c r="B3853" s="2" t="s">
        <v>60</v>
      </c>
      <c r="C3853" s="2" t="s">
        <v>38284</v>
      </c>
      <c r="D3853" s="2" t="s">
        <v>38285</v>
      </c>
      <c r="E3853" s="2" t="s">
        <v>38286</v>
      </c>
      <c r="G3853" s="3" t="s">
        <v>209</v>
      </c>
      <c r="I3853" s="3" t="s">
        <v>209</v>
      </c>
      <c r="J3853" s="3" t="s">
        <v>65</v>
      </c>
      <c r="K3853" s="3" t="s">
        <v>66</v>
      </c>
      <c r="L3853" s="2" t="s">
        <v>38287</v>
      </c>
      <c r="M3853" s="2" t="s">
        <v>38288</v>
      </c>
      <c r="N3853" s="3" t="s">
        <v>1932</v>
      </c>
      <c r="P3853" s="3" t="s">
        <v>69</v>
      </c>
      <c r="R3853" s="3" t="s">
        <v>71</v>
      </c>
      <c r="S3853" s="4">
        <v>2</v>
      </c>
      <c r="T3853" s="4">
        <v>4</v>
      </c>
      <c r="U3853" s="5" t="s">
        <v>38296</v>
      </c>
      <c r="V3853" s="5" t="s">
        <v>38289</v>
      </c>
      <c r="W3853" s="5" t="s">
        <v>72</v>
      </c>
      <c r="X3853" s="5" t="s">
        <v>72</v>
      </c>
      <c r="Y3853" s="4">
        <v>231</v>
      </c>
      <c r="Z3853" s="4">
        <v>11</v>
      </c>
      <c r="AA3853" s="4">
        <v>12</v>
      </c>
      <c r="AB3853" s="4">
        <v>1</v>
      </c>
      <c r="AC3853" s="4">
        <v>2</v>
      </c>
      <c r="AD3853" s="4">
        <v>71</v>
      </c>
      <c r="AE3853" s="4">
        <v>71</v>
      </c>
      <c r="AF3853" s="4">
        <v>0</v>
      </c>
      <c r="AG3853" s="4">
        <v>0</v>
      </c>
      <c r="AH3853" s="4">
        <v>65</v>
      </c>
      <c r="AI3853" s="4">
        <v>65</v>
      </c>
      <c r="AJ3853" s="4">
        <v>8</v>
      </c>
      <c r="AK3853" s="4">
        <v>8</v>
      </c>
      <c r="AL3853" s="4">
        <v>40</v>
      </c>
      <c r="AM3853" s="4">
        <v>40</v>
      </c>
      <c r="AN3853" s="4">
        <v>0</v>
      </c>
      <c r="AO3853" s="4">
        <v>0</v>
      </c>
      <c r="AP3853" s="4">
        <v>8</v>
      </c>
      <c r="AQ3853" s="4">
        <v>8</v>
      </c>
      <c r="AR3853" s="3" t="s">
        <v>65</v>
      </c>
      <c r="AS3853" s="3" t="s">
        <v>65</v>
      </c>
      <c r="AT3853" s="3" t="s">
        <v>209</v>
      </c>
      <c r="AU3853" s="6" t="str">
        <f>HYPERLINK("http://catalog.hathitrust.org/Record/002880705","HathiTrust Record")</f>
        <v>HathiTrust Record</v>
      </c>
      <c r="AV3853" s="6" t="str">
        <f>HYPERLINK("http://mcgill.on.worldcat.org/oclc/30078833","Catalog Record")</f>
        <v>Catalog Record</v>
      </c>
      <c r="AW3853" s="6" t="str">
        <f>HYPERLINK("http://www.worldcat.org/oclc/30078833","WorldCat Record")</f>
        <v>WorldCat Record</v>
      </c>
      <c r="AX3853" s="3" t="s">
        <v>38290</v>
      </c>
      <c r="AY3853" s="3" t="s">
        <v>38291</v>
      </c>
      <c r="AZ3853" s="3" t="s">
        <v>38292</v>
      </c>
      <c r="BA3853" s="3" t="s">
        <v>38292</v>
      </c>
      <c r="BB3853" s="3" t="s">
        <v>38297</v>
      </c>
      <c r="BC3853" s="3" t="s">
        <v>77</v>
      </c>
      <c r="BD3853" s="3" t="s">
        <v>78</v>
      </c>
      <c r="BE3853" s="3" t="s">
        <v>38294</v>
      </c>
      <c r="BF3853" s="3" t="s">
        <v>38297</v>
      </c>
      <c r="BG3853" s="3" t="s">
        <v>38298</v>
      </c>
    </row>
    <row r="3854" spans="1:59" ht="58" x14ac:dyDescent="0.35">
      <c r="A3854" s="2" t="s">
        <v>59</v>
      </c>
      <c r="B3854" s="2" t="s">
        <v>60</v>
      </c>
      <c r="C3854" s="2" t="s">
        <v>38299</v>
      </c>
      <c r="D3854" s="2" t="s">
        <v>38300</v>
      </c>
      <c r="E3854" s="2" t="s">
        <v>38301</v>
      </c>
      <c r="F3854" s="3" t="s">
        <v>245</v>
      </c>
      <c r="G3854" s="3" t="s">
        <v>209</v>
      </c>
      <c r="I3854" s="3" t="s">
        <v>65</v>
      </c>
      <c r="J3854" s="3" t="s">
        <v>65</v>
      </c>
      <c r="K3854" s="3" t="s">
        <v>66</v>
      </c>
      <c r="L3854" s="2" t="s">
        <v>38287</v>
      </c>
      <c r="M3854" s="2" t="s">
        <v>38302</v>
      </c>
      <c r="N3854" s="3" t="s">
        <v>2210</v>
      </c>
      <c r="O3854" s="2" t="s">
        <v>26116</v>
      </c>
      <c r="P3854" s="3" t="s">
        <v>140</v>
      </c>
      <c r="Q3854" s="2" t="s">
        <v>38303</v>
      </c>
      <c r="R3854" s="3" t="s">
        <v>71</v>
      </c>
      <c r="S3854" s="4">
        <v>5</v>
      </c>
      <c r="T3854" s="4">
        <v>5</v>
      </c>
      <c r="U3854" s="5" t="s">
        <v>14842</v>
      </c>
      <c r="V3854" s="5" t="s">
        <v>14842</v>
      </c>
      <c r="W3854" s="5" t="s">
        <v>72</v>
      </c>
      <c r="X3854" s="5" t="s">
        <v>72</v>
      </c>
      <c r="Y3854" s="4">
        <v>69</v>
      </c>
      <c r="Z3854" s="4">
        <v>4</v>
      </c>
      <c r="AA3854" s="4">
        <v>4</v>
      </c>
      <c r="AB3854" s="4">
        <v>1</v>
      </c>
      <c r="AC3854" s="4">
        <v>1</v>
      </c>
      <c r="AD3854" s="4">
        <v>38</v>
      </c>
      <c r="AE3854" s="4">
        <v>39</v>
      </c>
      <c r="AF3854" s="4">
        <v>0</v>
      </c>
      <c r="AG3854" s="4">
        <v>0</v>
      </c>
      <c r="AH3854" s="4">
        <v>37</v>
      </c>
      <c r="AI3854" s="4">
        <v>38</v>
      </c>
      <c r="AJ3854" s="4">
        <v>2</v>
      </c>
      <c r="AK3854" s="4">
        <v>2</v>
      </c>
      <c r="AL3854" s="4">
        <v>27</v>
      </c>
      <c r="AM3854" s="4">
        <v>28</v>
      </c>
      <c r="AN3854" s="4">
        <v>0</v>
      </c>
      <c r="AO3854" s="4">
        <v>0</v>
      </c>
      <c r="AP3854" s="4">
        <v>2</v>
      </c>
      <c r="AQ3854" s="4">
        <v>2</v>
      </c>
      <c r="AR3854" s="3" t="s">
        <v>65</v>
      </c>
      <c r="AS3854" s="3" t="s">
        <v>65</v>
      </c>
      <c r="AT3854" s="3" t="s">
        <v>209</v>
      </c>
      <c r="AU3854" s="6" t="str">
        <f>HYPERLINK("http://catalog.hathitrust.org/Record/004304373","HathiTrust Record")</f>
        <v>HathiTrust Record</v>
      </c>
      <c r="AV3854" s="6" t="str">
        <f>HYPERLINK("http://mcgill.on.worldcat.org/oclc/51445091","Catalog Record")</f>
        <v>Catalog Record</v>
      </c>
      <c r="AW3854" s="6" t="str">
        <f>HYPERLINK("http://www.worldcat.org/oclc/51445091","WorldCat Record")</f>
        <v>WorldCat Record</v>
      </c>
      <c r="AX3854" s="3" t="s">
        <v>38304</v>
      </c>
      <c r="AY3854" s="3" t="s">
        <v>38305</v>
      </c>
      <c r="AZ3854" s="3" t="s">
        <v>38306</v>
      </c>
      <c r="BA3854" s="3" t="s">
        <v>38306</v>
      </c>
      <c r="BB3854" s="3" t="s">
        <v>38307</v>
      </c>
      <c r="BC3854" s="3" t="s">
        <v>77</v>
      </c>
      <c r="BD3854" s="3" t="s">
        <v>78</v>
      </c>
      <c r="BE3854" s="3" t="s">
        <v>38308</v>
      </c>
      <c r="BF3854" s="3" t="s">
        <v>38307</v>
      </c>
      <c r="BG3854" s="3" t="s">
        <v>38309</v>
      </c>
    </row>
    <row r="3855" spans="1:59" ht="58" x14ac:dyDescent="0.35">
      <c r="A3855" s="2" t="s">
        <v>59</v>
      </c>
      <c r="B3855" s="2" t="s">
        <v>60</v>
      </c>
      <c r="C3855" s="2" t="s">
        <v>38299</v>
      </c>
      <c r="D3855" s="2" t="s">
        <v>38300</v>
      </c>
      <c r="E3855" s="2" t="s">
        <v>38301</v>
      </c>
      <c r="F3855" s="3" t="s">
        <v>258</v>
      </c>
      <c r="G3855" s="3" t="s">
        <v>209</v>
      </c>
      <c r="I3855" s="3" t="s">
        <v>65</v>
      </c>
      <c r="J3855" s="3" t="s">
        <v>65</v>
      </c>
      <c r="K3855" s="3" t="s">
        <v>66</v>
      </c>
      <c r="L3855" s="2" t="s">
        <v>38287</v>
      </c>
      <c r="M3855" s="2" t="s">
        <v>38302</v>
      </c>
      <c r="N3855" s="3" t="s">
        <v>2210</v>
      </c>
      <c r="O3855" s="2" t="s">
        <v>26116</v>
      </c>
      <c r="P3855" s="3" t="s">
        <v>140</v>
      </c>
      <c r="Q3855" s="2" t="s">
        <v>38303</v>
      </c>
      <c r="R3855" s="3" t="s">
        <v>71</v>
      </c>
      <c r="S3855" s="4">
        <v>0</v>
      </c>
      <c r="T3855" s="4">
        <v>5</v>
      </c>
      <c r="V3855" s="5" t="s">
        <v>14842</v>
      </c>
      <c r="W3855" s="5" t="s">
        <v>72</v>
      </c>
      <c r="X3855" s="5" t="s">
        <v>72</v>
      </c>
      <c r="Y3855" s="4">
        <v>69</v>
      </c>
      <c r="Z3855" s="4">
        <v>4</v>
      </c>
      <c r="AA3855" s="4">
        <v>4</v>
      </c>
      <c r="AB3855" s="4">
        <v>1</v>
      </c>
      <c r="AC3855" s="4">
        <v>1</v>
      </c>
      <c r="AD3855" s="4">
        <v>38</v>
      </c>
      <c r="AE3855" s="4">
        <v>39</v>
      </c>
      <c r="AF3855" s="4">
        <v>0</v>
      </c>
      <c r="AG3855" s="4">
        <v>0</v>
      </c>
      <c r="AH3855" s="4">
        <v>37</v>
      </c>
      <c r="AI3855" s="4">
        <v>38</v>
      </c>
      <c r="AJ3855" s="4">
        <v>2</v>
      </c>
      <c r="AK3855" s="4">
        <v>2</v>
      </c>
      <c r="AL3855" s="4">
        <v>27</v>
      </c>
      <c r="AM3855" s="4">
        <v>28</v>
      </c>
      <c r="AN3855" s="4">
        <v>0</v>
      </c>
      <c r="AO3855" s="4">
        <v>0</v>
      </c>
      <c r="AP3855" s="4">
        <v>2</v>
      </c>
      <c r="AQ3855" s="4">
        <v>2</v>
      </c>
      <c r="AR3855" s="3" t="s">
        <v>65</v>
      </c>
      <c r="AS3855" s="3" t="s">
        <v>65</v>
      </c>
      <c r="AT3855" s="3" t="s">
        <v>209</v>
      </c>
      <c r="AU3855" s="6" t="str">
        <f>HYPERLINK("http://catalog.hathitrust.org/Record/004304373","HathiTrust Record")</f>
        <v>HathiTrust Record</v>
      </c>
      <c r="AV3855" s="6" t="str">
        <f>HYPERLINK("http://mcgill.on.worldcat.org/oclc/51445091","Catalog Record")</f>
        <v>Catalog Record</v>
      </c>
      <c r="AW3855" s="6" t="str">
        <f>HYPERLINK("http://www.worldcat.org/oclc/51445091","WorldCat Record")</f>
        <v>WorldCat Record</v>
      </c>
      <c r="AX3855" s="3" t="s">
        <v>38304</v>
      </c>
      <c r="AY3855" s="3" t="s">
        <v>38305</v>
      </c>
      <c r="AZ3855" s="3" t="s">
        <v>38306</v>
      </c>
      <c r="BA3855" s="3" t="s">
        <v>38306</v>
      </c>
      <c r="BB3855" s="3" t="s">
        <v>38310</v>
      </c>
      <c r="BC3855" s="3" t="s">
        <v>77</v>
      </c>
      <c r="BD3855" s="3" t="s">
        <v>78</v>
      </c>
      <c r="BE3855" s="3" t="s">
        <v>38308</v>
      </c>
      <c r="BF3855" s="3" t="s">
        <v>38310</v>
      </c>
      <c r="BG3855" s="3" t="s">
        <v>38311</v>
      </c>
    </row>
    <row r="3856" spans="1:59" ht="58" x14ac:dyDescent="0.35">
      <c r="A3856" s="2" t="s">
        <v>59</v>
      </c>
      <c r="B3856" s="2" t="s">
        <v>60</v>
      </c>
      <c r="C3856" s="2" t="s">
        <v>38312</v>
      </c>
      <c r="D3856" s="2" t="s">
        <v>38300</v>
      </c>
      <c r="E3856" s="2" t="s">
        <v>38301</v>
      </c>
      <c r="F3856" s="3" t="s">
        <v>15678</v>
      </c>
      <c r="G3856" s="3" t="s">
        <v>209</v>
      </c>
      <c r="I3856" s="3" t="s">
        <v>65</v>
      </c>
      <c r="J3856" s="3" t="s">
        <v>65</v>
      </c>
      <c r="K3856" s="3" t="s">
        <v>66</v>
      </c>
      <c r="L3856" s="2" t="s">
        <v>38287</v>
      </c>
      <c r="M3856" s="2" t="s">
        <v>38302</v>
      </c>
      <c r="N3856" s="3" t="s">
        <v>2210</v>
      </c>
      <c r="O3856" s="2" t="s">
        <v>26116</v>
      </c>
      <c r="P3856" s="3" t="s">
        <v>140</v>
      </c>
      <c r="Q3856" s="2" t="s">
        <v>38303</v>
      </c>
      <c r="R3856" s="3" t="s">
        <v>71</v>
      </c>
      <c r="S3856" s="4">
        <v>0</v>
      </c>
      <c r="T3856" s="4">
        <v>5</v>
      </c>
      <c r="V3856" s="5" t="s">
        <v>14842</v>
      </c>
      <c r="W3856" s="5" t="s">
        <v>72</v>
      </c>
      <c r="X3856" s="5" t="s">
        <v>72</v>
      </c>
      <c r="Y3856" s="4">
        <v>69</v>
      </c>
      <c r="Z3856" s="4">
        <v>4</v>
      </c>
      <c r="AA3856" s="4">
        <v>4</v>
      </c>
      <c r="AB3856" s="4">
        <v>1</v>
      </c>
      <c r="AC3856" s="4">
        <v>1</v>
      </c>
      <c r="AD3856" s="4">
        <v>38</v>
      </c>
      <c r="AE3856" s="4">
        <v>39</v>
      </c>
      <c r="AF3856" s="4">
        <v>0</v>
      </c>
      <c r="AG3856" s="4">
        <v>0</v>
      </c>
      <c r="AH3856" s="4">
        <v>37</v>
      </c>
      <c r="AI3856" s="4">
        <v>38</v>
      </c>
      <c r="AJ3856" s="4">
        <v>2</v>
      </c>
      <c r="AK3856" s="4">
        <v>2</v>
      </c>
      <c r="AL3856" s="4">
        <v>27</v>
      </c>
      <c r="AM3856" s="4">
        <v>28</v>
      </c>
      <c r="AN3856" s="4">
        <v>0</v>
      </c>
      <c r="AO3856" s="4">
        <v>0</v>
      </c>
      <c r="AP3856" s="4">
        <v>2</v>
      </c>
      <c r="AQ3856" s="4">
        <v>2</v>
      </c>
      <c r="AR3856" s="3" t="s">
        <v>65</v>
      </c>
      <c r="AS3856" s="3" t="s">
        <v>65</v>
      </c>
      <c r="AT3856" s="3" t="s">
        <v>209</v>
      </c>
      <c r="AU3856" s="6" t="str">
        <f>HYPERLINK("http://catalog.hathitrust.org/Record/004304373","HathiTrust Record")</f>
        <v>HathiTrust Record</v>
      </c>
      <c r="AV3856" s="6" t="str">
        <f>HYPERLINK("http://mcgill.on.worldcat.org/oclc/51445091","Catalog Record")</f>
        <v>Catalog Record</v>
      </c>
      <c r="AW3856" s="6" t="str">
        <f>HYPERLINK("http://www.worldcat.org/oclc/51445091","WorldCat Record")</f>
        <v>WorldCat Record</v>
      </c>
      <c r="AX3856" s="3" t="s">
        <v>38304</v>
      </c>
      <c r="AY3856" s="3" t="s">
        <v>38305</v>
      </c>
      <c r="AZ3856" s="3" t="s">
        <v>38306</v>
      </c>
      <c r="BA3856" s="3" t="s">
        <v>38306</v>
      </c>
      <c r="BB3856" s="3" t="s">
        <v>38313</v>
      </c>
      <c r="BC3856" s="3" t="s">
        <v>77</v>
      </c>
      <c r="BD3856" s="3" t="s">
        <v>78</v>
      </c>
      <c r="BE3856" s="3" t="s">
        <v>38308</v>
      </c>
      <c r="BF3856" s="3" t="s">
        <v>38313</v>
      </c>
      <c r="BG3856" s="3" t="s">
        <v>38314</v>
      </c>
    </row>
    <row r="3857" spans="1:59" ht="58" x14ac:dyDescent="0.35">
      <c r="A3857" s="2" t="s">
        <v>59</v>
      </c>
      <c r="B3857" s="2" t="s">
        <v>60</v>
      </c>
      <c r="C3857" s="2" t="s">
        <v>38315</v>
      </c>
      <c r="D3857" s="2" t="s">
        <v>38316</v>
      </c>
      <c r="E3857" s="2" t="s">
        <v>38317</v>
      </c>
      <c r="G3857" s="3" t="s">
        <v>65</v>
      </c>
      <c r="I3857" s="3" t="s">
        <v>65</v>
      </c>
      <c r="J3857" s="3" t="s">
        <v>65</v>
      </c>
      <c r="K3857" s="3" t="s">
        <v>66</v>
      </c>
      <c r="L3857" s="2" t="s">
        <v>38287</v>
      </c>
      <c r="M3857" s="2" t="s">
        <v>37566</v>
      </c>
      <c r="N3857" s="3" t="s">
        <v>552</v>
      </c>
      <c r="O3857" s="2" t="s">
        <v>365</v>
      </c>
      <c r="P3857" s="3" t="s">
        <v>140</v>
      </c>
      <c r="Q3857" s="2" t="s">
        <v>38318</v>
      </c>
      <c r="R3857" s="3" t="s">
        <v>71</v>
      </c>
      <c r="S3857" s="4">
        <v>3</v>
      </c>
      <c r="T3857" s="4">
        <v>3</v>
      </c>
      <c r="U3857" s="5" t="s">
        <v>38319</v>
      </c>
      <c r="V3857" s="5" t="s">
        <v>38319</v>
      </c>
      <c r="W3857" s="5" t="s">
        <v>72</v>
      </c>
      <c r="X3857" s="5" t="s">
        <v>72</v>
      </c>
      <c r="Y3857" s="4">
        <v>86</v>
      </c>
      <c r="Z3857" s="4">
        <v>7</v>
      </c>
      <c r="AA3857" s="4">
        <v>8</v>
      </c>
      <c r="AB3857" s="4">
        <v>1</v>
      </c>
      <c r="AC3857" s="4">
        <v>2</v>
      </c>
      <c r="AD3857" s="4">
        <v>40</v>
      </c>
      <c r="AE3857" s="4">
        <v>42</v>
      </c>
      <c r="AF3857" s="4">
        <v>0</v>
      </c>
      <c r="AG3857" s="4">
        <v>1</v>
      </c>
      <c r="AH3857" s="4">
        <v>37</v>
      </c>
      <c r="AI3857" s="4">
        <v>38</v>
      </c>
      <c r="AJ3857" s="4">
        <v>5</v>
      </c>
      <c r="AK3857" s="4">
        <v>6</v>
      </c>
      <c r="AL3857" s="4">
        <v>28</v>
      </c>
      <c r="AM3857" s="4">
        <v>29</v>
      </c>
      <c r="AN3857" s="4">
        <v>0</v>
      </c>
      <c r="AO3857" s="4">
        <v>0</v>
      </c>
      <c r="AP3857" s="4">
        <v>5</v>
      </c>
      <c r="AQ3857" s="4">
        <v>5</v>
      </c>
      <c r="AR3857" s="3" t="s">
        <v>65</v>
      </c>
      <c r="AS3857" s="3" t="s">
        <v>65</v>
      </c>
      <c r="AT3857" s="3" t="s">
        <v>209</v>
      </c>
      <c r="AU3857" s="6" t="str">
        <f>HYPERLINK("http://catalog.hathitrust.org/Record/003199003","HathiTrust Record")</f>
        <v>HathiTrust Record</v>
      </c>
      <c r="AV3857" s="6" t="str">
        <f>HYPERLINK("http://mcgill.on.worldcat.org/oclc/37206748","Catalog Record")</f>
        <v>Catalog Record</v>
      </c>
      <c r="AW3857" s="6" t="str">
        <f>HYPERLINK("http://www.worldcat.org/oclc/37206748","WorldCat Record")</f>
        <v>WorldCat Record</v>
      </c>
      <c r="AX3857" s="3" t="s">
        <v>38320</v>
      </c>
      <c r="AY3857" s="3" t="s">
        <v>38321</v>
      </c>
      <c r="AZ3857" s="3" t="s">
        <v>38322</v>
      </c>
      <c r="BA3857" s="3" t="s">
        <v>38322</v>
      </c>
      <c r="BB3857" s="3" t="s">
        <v>38323</v>
      </c>
      <c r="BC3857" s="3" t="s">
        <v>77</v>
      </c>
      <c r="BD3857" s="3" t="s">
        <v>78</v>
      </c>
      <c r="BE3857" s="3" t="s">
        <v>38324</v>
      </c>
      <c r="BF3857" s="3" t="s">
        <v>38323</v>
      </c>
      <c r="BG3857" s="3" t="s">
        <v>38325</v>
      </c>
    </row>
    <row r="3858" spans="1:59" ht="58" x14ac:dyDescent="0.35">
      <c r="A3858" s="2" t="s">
        <v>59</v>
      </c>
      <c r="B3858" s="2" t="s">
        <v>60</v>
      </c>
      <c r="C3858" s="2" t="s">
        <v>38326</v>
      </c>
      <c r="D3858" s="2" t="s">
        <v>38327</v>
      </c>
      <c r="E3858" s="2" t="s">
        <v>38328</v>
      </c>
      <c r="G3858" s="3" t="s">
        <v>65</v>
      </c>
      <c r="I3858" s="3" t="s">
        <v>65</v>
      </c>
      <c r="J3858" s="3" t="s">
        <v>65</v>
      </c>
      <c r="K3858" s="3" t="s">
        <v>66</v>
      </c>
      <c r="L3858" s="2" t="s">
        <v>38287</v>
      </c>
      <c r="M3858" s="2" t="s">
        <v>38329</v>
      </c>
      <c r="N3858" s="3" t="s">
        <v>577</v>
      </c>
      <c r="O3858" s="2" t="s">
        <v>365</v>
      </c>
      <c r="P3858" s="3" t="s">
        <v>140</v>
      </c>
      <c r="Q3858" s="2" t="s">
        <v>38330</v>
      </c>
      <c r="R3858" s="3" t="s">
        <v>71</v>
      </c>
      <c r="S3858" s="4">
        <v>6</v>
      </c>
      <c r="T3858" s="4">
        <v>6</v>
      </c>
      <c r="U3858" s="5" t="s">
        <v>38331</v>
      </c>
      <c r="V3858" s="5" t="s">
        <v>38331</v>
      </c>
      <c r="W3858" s="5" t="s">
        <v>72</v>
      </c>
      <c r="X3858" s="5" t="s">
        <v>72</v>
      </c>
      <c r="Y3858" s="4">
        <v>29</v>
      </c>
      <c r="Z3858" s="4">
        <v>3</v>
      </c>
      <c r="AA3858" s="4">
        <v>11</v>
      </c>
      <c r="AB3858" s="4">
        <v>1</v>
      </c>
      <c r="AC3858" s="4">
        <v>2</v>
      </c>
      <c r="AD3858" s="4">
        <v>15</v>
      </c>
      <c r="AE3858" s="4">
        <v>56</v>
      </c>
      <c r="AF3858" s="4">
        <v>0</v>
      </c>
      <c r="AG3858" s="4">
        <v>1</v>
      </c>
      <c r="AH3858" s="4">
        <v>14</v>
      </c>
      <c r="AI3858" s="4">
        <v>51</v>
      </c>
      <c r="AJ3858" s="4">
        <v>2</v>
      </c>
      <c r="AK3858" s="4">
        <v>7</v>
      </c>
      <c r="AL3858" s="4">
        <v>10</v>
      </c>
      <c r="AM3858" s="4">
        <v>36</v>
      </c>
      <c r="AN3858" s="4">
        <v>0</v>
      </c>
      <c r="AO3858" s="4">
        <v>0</v>
      </c>
      <c r="AP3858" s="4">
        <v>2</v>
      </c>
      <c r="AQ3858" s="4">
        <v>7</v>
      </c>
      <c r="AR3858" s="3" t="s">
        <v>65</v>
      </c>
      <c r="AS3858" s="3" t="s">
        <v>65</v>
      </c>
      <c r="AT3858" s="3" t="s">
        <v>65</v>
      </c>
      <c r="AV3858" s="6" t="str">
        <f>HYPERLINK("http://mcgill.on.worldcat.org/oclc/5416196","Catalog Record")</f>
        <v>Catalog Record</v>
      </c>
      <c r="AW3858" s="6" t="str">
        <f>HYPERLINK("http://www.worldcat.org/oclc/5416196","WorldCat Record")</f>
        <v>WorldCat Record</v>
      </c>
      <c r="AX3858" s="3" t="s">
        <v>38332</v>
      </c>
      <c r="AY3858" s="3" t="s">
        <v>38333</v>
      </c>
      <c r="AZ3858" s="3" t="s">
        <v>38334</v>
      </c>
      <c r="BA3858" s="3" t="s">
        <v>38334</v>
      </c>
      <c r="BB3858" s="3" t="s">
        <v>38335</v>
      </c>
      <c r="BC3858" s="3" t="s">
        <v>77</v>
      </c>
      <c r="BD3858" s="3" t="s">
        <v>78</v>
      </c>
      <c r="BF3858" s="3" t="s">
        <v>38335</v>
      </c>
      <c r="BG3858" s="3" t="s">
        <v>38336</v>
      </c>
    </row>
    <row r="3859" spans="1:59" ht="58" x14ac:dyDescent="0.35">
      <c r="A3859" s="2" t="s">
        <v>59</v>
      </c>
      <c r="B3859" s="2" t="s">
        <v>60</v>
      </c>
      <c r="C3859" s="2" t="s">
        <v>38337</v>
      </c>
      <c r="D3859" s="2" t="s">
        <v>38338</v>
      </c>
      <c r="E3859" s="2" t="s">
        <v>38339</v>
      </c>
      <c r="G3859" s="3" t="s">
        <v>65</v>
      </c>
      <c r="I3859" s="3" t="s">
        <v>65</v>
      </c>
      <c r="J3859" s="3" t="s">
        <v>65</v>
      </c>
      <c r="K3859" s="3" t="s">
        <v>66</v>
      </c>
      <c r="L3859" s="2" t="s">
        <v>38340</v>
      </c>
      <c r="M3859" s="2" t="s">
        <v>38341</v>
      </c>
      <c r="N3859" s="3" t="s">
        <v>176</v>
      </c>
      <c r="O3859" s="2" t="s">
        <v>235</v>
      </c>
      <c r="P3859" s="3" t="s">
        <v>140</v>
      </c>
      <c r="Q3859" s="2" t="s">
        <v>4334</v>
      </c>
      <c r="R3859" s="3" t="s">
        <v>71</v>
      </c>
      <c r="S3859" s="4">
        <v>0</v>
      </c>
      <c r="T3859" s="4">
        <v>0</v>
      </c>
      <c r="W3859" s="5" t="s">
        <v>72</v>
      </c>
      <c r="X3859" s="5" t="s">
        <v>72</v>
      </c>
      <c r="Y3859" s="4">
        <v>38</v>
      </c>
      <c r="Z3859" s="4">
        <v>5</v>
      </c>
      <c r="AA3859" s="4">
        <v>5</v>
      </c>
      <c r="AB3859" s="4">
        <v>1</v>
      </c>
      <c r="AC3859" s="4">
        <v>1</v>
      </c>
      <c r="AD3859" s="4">
        <v>28</v>
      </c>
      <c r="AE3859" s="4">
        <v>29</v>
      </c>
      <c r="AF3859" s="4">
        <v>0</v>
      </c>
      <c r="AG3859" s="4">
        <v>0</v>
      </c>
      <c r="AH3859" s="4">
        <v>28</v>
      </c>
      <c r="AI3859" s="4">
        <v>28</v>
      </c>
      <c r="AJ3859" s="4">
        <v>2</v>
      </c>
      <c r="AK3859" s="4">
        <v>2</v>
      </c>
      <c r="AL3859" s="4">
        <v>21</v>
      </c>
      <c r="AM3859" s="4">
        <v>22</v>
      </c>
      <c r="AN3859" s="4">
        <v>0</v>
      </c>
      <c r="AO3859" s="4">
        <v>0</v>
      </c>
      <c r="AP3859" s="4">
        <v>2</v>
      </c>
      <c r="AQ3859" s="4">
        <v>2</v>
      </c>
      <c r="AR3859" s="3" t="s">
        <v>65</v>
      </c>
      <c r="AS3859" s="3" t="s">
        <v>65</v>
      </c>
      <c r="AT3859" s="3" t="s">
        <v>65</v>
      </c>
      <c r="AV3859" s="6" t="str">
        <f>HYPERLINK("http://mcgill.on.worldcat.org/oclc/921144209","Catalog Record")</f>
        <v>Catalog Record</v>
      </c>
      <c r="AW3859" s="6" t="str">
        <f>HYPERLINK("http://www.worldcat.org/oclc/921144209","WorldCat Record")</f>
        <v>WorldCat Record</v>
      </c>
      <c r="AX3859" s="3" t="s">
        <v>38342</v>
      </c>
      <c r="AY3859" s="3" t="s">
        <v>38343</v>
      </c>
      <c r="AZ3859" s="3" t="s">
        <v>38344</v>
      </c>
      <c r="BA3859" s="3" t="s">
        <v>38344</v>
      </c>
      <c r="BB3859" s="3" t="s">
        <v>38345</v>
      </c>
      <c r="BC3859" s="3" t="s">
        <v>77</v>
      </c>
      <c r="BD3859" s="3" t="s">
        <v>78</v>
      </c>
      <c r="BE3859" s="3" t="s">
        <v>38346</v>
      </c>
      <c r="BF3859" s="3" t="s">
        <v>38345</v>
      </c>
      <c r="BG3859" s="3" t="s">
        <v>38347</v>
      </c>
    </row>
    <row r="3860" spans="1:59" ht="58" x14ac:dyDescent="0.35">
      <c r="A3860" s="2" t="s">
        <v>59</v>
      </c>
      <c r="B3860" s="2" t="s">
        <v>60</v>
      </c>
      <c r="C3860" s="2" t="s">
        <v>38348</v>
      </c>
      <c r="D3860" s="2" t="s">
        <v>38349</v>
      </c>
      <c r="E3860" s="2" t="s">
        <v>38350</v>
      </c>
      <c r="G3860" s="3" t="s">
        <v>65</v>
      </c>
      <c r="I3860" s="3" t="s">
        <v>65</v>
      </c>
      <c r="J3860" s="3" t="s">
        <v>65</v>
      </c>
      <c r="K3860" s="3" t="s">
        <v>66</v>
      </c>
      <c r="L3860" s="2" t="s">
        <v>38287</v>
      </c>
      <c r="M3860" s="2" t="s">
        <v>38351</v>
      </c>
      <c r="N3860" s="3" t="s">
        <v>906</v>
      </c>
      <c r="O3860" s="2" t="s">
        <v>365</v>
      </c>
      <c r="P3860" s="3" t="s">
        <v>140</v>
      </c>
      <c r="Q3860" s="2" t="s">
        <v>38352</v>
      </c>
      <c r="R3860" s="3" t="s">
        <v>71</v>
      </c>
      <c r="S3860" s="4">
        <v>5</v>
      </c>
      <c r="T3860" s="4">
        <v>5</v>
      </c>
      <c r="U3860" s="5" t="s">
        <v>38353</v>
      </c>
      <c r="V3860" s="5" t="s">
        <v>38353</v>
      </c>
      <c r="W3860" s="5" t="s">
        <v>72</v>
      </c>
      <c r="X3860" s="5" t="s">
        <v>72</v>
      </c>
      <c r="Y3860" s="4">
        <v>30</v>
      </c>
      <c r="Z3860" s="4">
        <v>1</v>
      </c>
      <c r="AA3860" s="4">
        <v>19</v>
      </c>
      <c r="AB3860" s="4">
        <v>1</v>
      </c>
      <c r="AC3860" s="4">
        <v>2</v>
      </c>
      <c r="AD3860" s="4">
        <v>16</v>
      </c>
      <c r="AE3860" s="4">
        <v>76</v>
      </c>
      <c r="AF3860" s="4">
        <v>0</v>
      </c>
      <c r="AG3860" s="4">
        <v>1</v>
      </c>
      <c r="AH3860" s="4">
        <v>15</v>
      </c>
      <c r="AI3860" s="4">
        <v>64</v>
      </c>
      <c r="AJ3860" s="4">
        <v>0</v>
      </c>
      <c r="AK3860" s="4">
        <v>12</v>
      </c>
      <c r="AL3860" s="4">
        <v>9</v>
      </c>
      <c r="AM3860" s="4">
        <v>44</v>
      </c>
      <c r="AN3860" s="4">
        <v>5</v>
      </c>
      <c r="AO3860" s="4">
        <v>8</v>
      </c>
      <c r="AP3860" s="4">
        <v>0</v>
      </c>
      <c r="AQ3860" s="4">
        <v>13</v>
      </c>
      <c r="AR3860" s="3" t="s">
        <v>65</v>
      </c>
      <c r="AS3860" s="3" t="s">
        <v>65</v>
      </c>
      <c r="AT3860" s="3" t="s">
        <v>209</v>
      </c>
      <c r="AU3860" s="6" t="str">
        <f>HYPERLINK("http://catalog.hathitrust.org/Record/007875469","HathiTrust Record")</f>
        <v>HathiTrust Record</v>
      </c>
      <c r="AV3860" s="6" t="str">
        <f>HYPERLINK("http://mcgill.on.worldcat.org/oclc/5619091","Catalog Record")</f>
        <v>Catalog Record</v>
      </c>
      <c r="AW3860" s="6" t="str">
        <f>HYPERLINK("http://www.worldcat.org/oclc/5619091","WorldCat Record")</f>
        <v>WorldCat Record</v>
      </c>
      <c r="AX3860" s="3" t="s">
        <v>38354</v>
      </c>
      <c r="AY3860" s="3" t="s">
        <v>38355</v>
      </c>
      <c r="AZ3860" s="3" t="s">
        <v>38356</v>
      </c>
      <c r="BA3860" s="3" t="s">
        <v>38356</v>
      </c>
      <c r="BB3860" s="3" t="s">
        <v>38357</v>
      </c>
      <c r="BC3860" s="3" t="s">
        <v>77</v>
      </c>
      <c r="BD3860" s="3" t="s">
        <v>106</v>
      </c>
      <c r="BF3860" s="3" t="s">
        <v>38357</v>
      </c>
      <c r="BG3860" s="3" t="s">
        <v>38358</v>
      </c>
    </row>
    <row r="3861" spans="1:59" ht="58" x14ac:dyDescent="0.35">
      <c r="A3861" s="2" t="s">
        <v>59</v>
      </c>
      <c r="B3861" s="2" t="s">
        <v>60</v>
      </c>
      <c r="C3861" s="2" t="s">
        <v>38359</v>
      </c>
      <c r="D3861" s="2" t="s">
        <v>38360</v>
      </c>
      <c r="E3861" s="2" t="s">
        <v>38361</v>
      </c>
      <c r="G3861" s="3" t="s">
        <v>65</v>
      </c>
      <c r="I3861" s="3" t="s">
        <v>65</v>
      </c>
      <c r="J3861" s="3" t="s">
        <v>65</v>
      </c>
      <c r="K3861" s="3" t="s">
        <v>66</v>
      </c>
      <c r="L3861" s="2" t="s">
        <v>38287</v>
      </c>
      <c r="M3861" s="2" t="s">
        <v>38362</v>
      </c>
      <c r="N3861" s="3" t="s">
        <v>113</v>
      </c>
      <c r="P3861" s="3" t="s">
        <v>140</v>
      </c>
      <c r="Q3861" s="2" t="s">
        <v>38363</v>
      </c>
      <c r="R3861" s="3" t="s">
        <v>71</v>
      </c>
      <c r="S3861" s="4">
        <v>0</v>
      </c>
      <c r="T3861" s="4">
        <v>0</v>
      </c>
      <c r="W3861" s="5" t="s">
        <v>72</v>
      </c>
      <c r="X3861" s="5" t="s">
        <v>72</v>
      </c>
      <c r="Y3861" s="4">
        <v>55</v>
      </c>
      <c r="Z3861" s="4">
        <v>3</v>
      </c>
      <c r="AA3861" s="4">
        <v>4</v>
      </c>
      <c r="AB3861" s="4">
        <v>1</v>
      </c>
      <c r="AC3861" s="4">
        <v>2</v>
      </c>
      <c r="AD3861" s="4">
        <v>38</v>
      </c>
      <c r="AE3861" s="4">
        <v>39</v>
      </c>
      <c r="AF3861" s="4">
        <v>0</v>
      </c>
      <c r="AG3861" s="4">
        <v>1</v>
      </c>
      <c r="AH3861" s="4">
        <v>37</v>
      </c>
      <c r="AI3861" s="4">
        <v>38</v>
      </c>
      <c r="AJ3861" s="4">
        <v>1</v>
      </c>
      <c r="AK3861" s="4">
        <v>2</v>
      </c>
      <c r="AL3861" s="4">
        <v>30</v>
      </c>
      <c r="AM3861" s="4">
        <v>30</v>
      </c>
      <c r="AN3861" s="4">
        <v>5</v>
      </c>
      <c r="AO3861" s="4">
        <v>5</v>
      </c>
      <c r="AP3861" s="4">
        <v>1</v>
      </c>
      <c r="AQ3861" s="4">
        <v>2</v>
      </c>
      <c r="AR3861" s="3" t="s">
        <v>65</v>
      </c>
      <c r="AS3861" s="3" t="s">
        <v>65</v>
      </c>
      <c r="AT3861" s="3" t="s">
        <v>209</v>
      </c>
      <c r="AU3861" s="6" t="str">
        <f>HYPERLINK("http://catalog.hathitrust.org/Record/011228882","HathiTrust Record")</f>
        <v>HathiTrust Record</v>
      </c>
      <c r="AV3861" s="6" t="str">
        <f>HYPERLINK("http://mcgill.on.worldcat.org/oclc/670470598","Catalog Record")</f>
        <v>Catalog Record</v>
      </c>
      <c r="AW3861" s="6" t="str">
        <f>HYPERLINK("http://www.worldcat.org/oclc/670470598","WorldCat Record")</f>
        <v>WorldCat Record</v>
      </c>
      <c r="AX3861" s="3" t="s">
        <v>38364</v>
      </c>
      <c r="AY3861" s="3" t="s">
        <v>38365</v>
      </c>
      <c r="AZ3861" s="3" t="s">
        <v>38366</v>
      </c>
      <c r="BA3861" s="3" t="s">
        <v>38366</v>
      </c>
      <c r="BB3861" s="3" t="s">
        <v>38367</v>
      </c>
      <c r="BC3861" s="3" t="s">
        <v>77</v>
      </c>
      <c r="BD3861" s="3" t="s">
        <v>78</v>
      </c>
      <c r="BE3861" s="3" t="s">
        <v>38368</v>
      </c>
      <c r="BF3861" s="3" t="s">
        <v>38367</v>
      </c>
      <c r="BG3861" s="3" t="s">
        <v>38369</v>
      </c>
    </row>
    <row r="3862" spans="1:59" ht="58" x14ac:dyDescent="0.35">
      <c r="A3862" s="2" t="s">
        <v>59</v>
      </c>
      <c r="B3862" s="2" t="s">
        <v>60</v>
      </c>
      <c r="C3862" s="2" t="s">
        <v>38370</v>
      </c>
      <c r="D3862" s="2" t="s">
        <v>38371</v>
      </c>
      <c r="E3862" s="2" t="s">
        <v>38372</v>
      </c>
      <c r="G3862" s="3" t="s">
        <v>65</v>
      </c>
      <c r="I3862" s="3" t="s">
        <v>65</v>
      </c>
      <c r="J3862" s="3" t="s">
        <v>65</v>
      </c>
      <c r="K3862" s="3" t="s">
        <v>66</v>
      </c>
      <c r="L3862" s="2" t="s">
        <v>38287</v>
      </c>
      <c r="M3862" s="2" t="s">
        <v>38373</v>
      </c>
      <c r="N3862" s="3" t="s">
        <v>364</v>
      </c>
      <c r="P3862" s="3" t="s">
        <v>140</v>
      </c>
      <c r="Q3862" s="2" t="s">
        <v>38374</v>
      </c>
      <c r="R3862" s="3" t="s">
        <v>71</v>
      </c>
      <c r="S3862" s="4">
        <v>1</v>
      </c>
      <c r="T3862" s="4">
        <v>1</v>
      </c>
      <c r="U3862" s="5" t="s">
        <v>38331</v>
      </c>
      <c r="V3862" s="5" t="s">
        <v>38331</v>
      </c>
      <c r="W3862" s="5" t="s">
        <v>72</v>
      </c>
      <c r="X3862" s="5" t="s">
        <v>72</v>
      </c>
      <c r="Y3862" s="4">
        <v>76</v>
      </c>
      <c r="Z3862" s="4">
        <v>5</v>
      </c>
      <c r="AA3862" s="4">
        <v>8</v>
      </c>
      <c r="AB3862" s="4">
        <v>2</v>
      </c>
      <c r="AC3862" s="4">
        <v>3</v>
      </c>
      <c r="AD3862" s="4">
        <v>39</v>
      </c>
      <c r="AE3862" s="4">
        <v>41</v>
      </c>
      <c r="AF3862" s="4">
        <v>0</v>
      </c>
      <c r="AG3862" s="4">
        <v>1</v>
      </c>
      <c r="AH3862" s="4">
        <v>37</v>
      </c>
      <c r="AI3862" s="4">
        <v>38</v>
      </c>
      <c r="AJ3862" s="4">
        <v>3</v>
      </c>
      <c r="AK3862" s="4">
        <v>5</v>
      </c>
      <c r="AL3862" s="4">
        <v>30</v>
      </c>
      <c r="AM3862" s="4">
        <v>31</v>
      </c>
      <c r="AN3862" s="4">
        <v>0</v>
      </c>
      <c r="AO3862" s="4">
        <v>0</v>
      </c>
      <c r="AP3862" s="4">
        <v>3</v>
      </c>
      <c r="AQ3862" s="4">
        <v>4</v>
      </c>
      <c r="AR3862" s="3" t="s">
        <v>65</v>
      </c>
      <c r="AS3862" s="3" t="s">
        <v>65</v>
      </c>
      <c r="AT3862" s="3" t="s">
        <v>209</v>
      </c>
      <c r="AU3862" s="6" t="str">
        <f>HYPERLINK("http://catalog.hathitrust.org/Record/004185419","HathiTrust Record")</f>
        <v>HathiTrust Record</v>
      </c>
      <c r="AV3862" s="6" t="str">
        <f>HYPERLINK("http://mcgill.on.worldcat.org/oclc/47752371","Catalog Record")</f>
        <v>Catalog Record</v>
      </c>
      <c r="AW3862" s="6" t="str">
        <f>HYPERLINK("http://www.worldcat.org/oclc/47752371","WorldCat Record")</f>
        <v>WorldCat Record</v>
      </c>
      <c r="AX3862" s="3" t="s">
        <v>38375</v>
      </c>
      <c r="AY3862" s="3" t="s">
        <v>38376</v>
      </c>
      <c r="AZ3862" s="3" t="s">
        <v>38377</v>
      </c>
      <c r="BA3862" s="3" t="s">
        <v>38377</v>
      </c>
      <c r="BB3862" s="3" t="s">
        <v>38378</v>
      </c>
      <c r="BC3862" s="3" t="s">
        <v>77</v>
      </c>
      <c r="BD3862" s="3" t="s">
        <v>78</v>
      </c>
      <c r="BE3862" s="3" t="s">
        <v>38379</v>
      </c>
      <c r="BF3862" s="3" t="s">
        <v>38378</v>
      </c>
      <c r="BG3862" s="3" t="s">
        <v>38380</v>
      </c>
    </row>
    <row r="3863" spans="1:59" ht="58" x14ac:dyDescent="0.35">
      <c r="A3863" s="2" t="s">
        <v>59</v>
      </c>
      <c r="B3863" s="2" t="s">
        <v>60</v>
      </c>
      <c r="C3863" s="2" t="s">
        <v>38381</v>
      </c>
      <c r="D3863" s="2" t="s">
        <v>38382</v>
      </c>
      <c r="E3863" s="2" t="s">
        <v>38383</v>
      </c>
      <c r="G3863" s="3" t="s">
        <v>65</v>
      </c>
      <c r="I3863" s="3" t="s">
        <v>65</v>
      </c>
      <c r="J3863" s="3" t="s">
        <v>209</v>
      </c>
      <c r="K3863" s="3" t="s">
        <v>66</v>
      </c>
      <c r="L3863" s="2" t="s">
        <v>38287</v>
      </c>
      <c r="M3863" s="2" t="s">
        <v>16150</v>
      </c>
      <c r="N3863" s="3" t="s">
        <v>1895</v>
      </c>
      <c r="P3863" s="3" t="s">
        <v>140</v>
      </c>
      <c r="Q3863" s="2" t="s">
        <v>38384</v>
      </c>
      <c r="R3863" s="3" t="s">
        <v>71</v>
      </c>
      <c r="S3863" s="4">
        <v>3</v>
      </c>
      <c r="T3863" s="4">
        <v>3</v>
      </c>
      <c r="U3863" s="5" t="s">
        <v>38289</v>
      </c>
      <c r="V3863" s="5" t="s">
        <v>38289</v>
      </c>
      <c r="W3863" s="5" t="s">
        <v>72</v>
      </c>
      <c r="X3863" s="5" t="s">
        <v>72</v>
      </c>
      <c r="Y3863" s="4">
        <v>82</v>
      </c>
      <c r="Z3863" s="4">
        <v>6</v>
      </c>
      <c r="AA3863" s="4">
        <v>12</v>
      </c>
      <c r="AB3863" s="4">
        <v>1</v>
      </c>
      <c r="AC3863" s="4">
        <v>3</v>
      </c>
      <c r="AD3863" s="4">
        <v>40</v>
      </c>
      <c r="AE3863" s="4">
        <v>57</v>
      </c>
      <c r="AF3863" s="4">
        <v>0</v>
      </c>
      <c r="AG3863" s="4">
        <v>2</v>
      </c>
      <c r="AH3863" s="4">
        <v>38</v>
      </c>
      <c r="AI3863" s="4">
        <v>51</v>
      </c>
      <c r="AJ3863" s="4">
        <v>4</v>
      </c>
      <c r="AK3863" s="4">
        <v>9</v>
      </c>
      <c r="AL3863" s="4">
        <v>32</v>
      </c>
      <c r="AM3863" s="4">
        <v>37</v>
      </c>
      <c r="AN3863" s="4">
        <v>0</v>
      </c>
      <c r="AO3863" s="4">
        <v>0</v>
      </c>
      <c r="AP3863" s="4">
        <v>4</v>
      </c>
      <c r="AQ3863" s="4">
        <v>8</v>
      </c>
      <c r="AR3863" s="3" t="s">
        <v>65</v>
      </c>
      <c r="AS3863" s="3" t="s">
        <v>65</v>
      </c>
      <c r="AT3863" s="3" t="s">
        <v>209</v>
      </c>
      <c r="AU3863" s="6" t="str">
        <f>HYPERLINK("http://catalog.hathitrust.org/Record/003291905","HathiTrust Record")</f>
        <v>HathiTrust Record</v>
      </c>
      <c r="AV3863" s="6" t="str">
        <f>HYPERLINK("http://mcgill.on.worldcat.org/oclc/39008873","Catalog Record")</f>
        <v>Catalog Record</v>
      </c>
      <c r="AW3863" s="6" t="str">
        <f>HYPERLINK("http://www.worldcat.org/oclc/39008873","WorldCat Record")</f>
        <v>WorldCat Record</v>
      </c>
      <c r="AX3863" s="3" t="s">
        <v>38385</v>
      </c>
      <c r="AY3863" s="3" t="s">
        <v>38386</v>
      </c>
      <c r="AZ3863" s="3" t="s">
        <v>38387</v>
      </c>
      <c r="BA3863" s="3" t="s">
        <v>38387</v>
      </c>
      <c r="BB3863" s="3" t="s">
        <v>38388</v>
      </c>
      <c r="BC3863" s="3" t="s">
        <v>77</v>
      </c>
      <c r="BD3863" s="3" t="s">
        <v>78</v>
      </c>
      <c r="BE3863" s="3" t="s">
        <v>38389</v>
      </c>
      <c r="BF3863" s="3" t="s">
        <v>38388</v>
      </c>
      <c r="BG3863" s="3" t="s">
        <v>38390</v>
      </c>
    </row>
    <row r="3864" spans="1:59" ht="58" x14ac:dyDescent="0.35">
      <c r="A3864" s="2" t="s">
        <v>59</v>
      </c>
      <c r="B3864" s="2" t="s">
        <v>60</v>
      </c>
      <c r="C3864" s="2" t="s">
        <v>38391</v>
      </c>
      <c r="D3864" s="2" t="s">
        <v>38392</v>
      </c>
      <c r="E3864" s="2" t="s">
        <v>38393</v>
      </c>
      <c r="G3864" s="3" t="s">
        <v>65</v>
      </c>
      <c r="I3864" s="3" t="s">
        <v>65</v>
      </c>
      <c r="J3864" s="3" t="s">
        <v>65</v>
      </c>
      <c r="K3864" s="3" t="s">
        <v>66</v>
      </c>
      <c r="L3864" s="2" t="s">
        <v>38287</v>
      </c>
      <c r="M3864" s="2" t="s">
        <v>38394</v>
      </c>
      <c r="N3864" s="3" t="s">
        <v>126</v>
      </c>
      <c r="P3864" s="3" t="s">
        <v>140</v>
      </c>
      <c r="R3864" s="3" t="s">
        <v>71</v>
      </c>
      <c r="S3864" s="4">
        <v>0</v>
      </c>
      <c r="T3864" s="4">
        <v>0</v>
      </c>
      <c r="W3864" s="5" t="s">
        <v>72</v>
      </c>
      <c r="X3864" s="5" t="s">
        <v>72</v>
      </c>
      <c r="Y3864" s="4">
        <v>39</v>
      </c>
      <c r="Z3864" s="4">
        <v>5</v>
      </c>
      <c r="AA3864" s="4">
        <v>5</v>
      </c>
      <c r="AB3864" s="4">
        <v>1</v>
      </c>
      <c r="AC3864" s="4">
        <v>1</v>
      </c>
      <c r="AD3864" s="4">
        <v>28</v>
      </c>
      <c r="AE3864" s="4">
        <v>28</v>
      </c>
      <c r="AF3864" s="4">
        <v>0</v>
      </c>
      <c r="AG3864" s="4">
        <v>0</v>
      </c>
      <c r="AH3864" s="4">
        <v>27</v>
      </c>
      <c r="AI3864" s="4">
        <v>27</v>
      </c>
      <c r="AJ3864" s="4">
        <v>2</v>
      </c>
      <c r="AK3864" s="4">
        <v>2</v>
      </c>
      <c r="AL3864" s="4">
        <v>22</v>
      </c>
      <c r="AM3864" s="4">
        <v>22</v>
      </c>
      <c r="AN3864" s="4">
        <v>0</v>
      </c>
      <c r="AO3864" s="4">
        <v>0</v>
      </c>
      <c r="AP3864" s="4">
        <v>2</v>
      </c>
      <c r="AQ3864" s="4">
        <v>2</v>
      </c>
      <c r="AR3864" s="3" t="s">
        <v>65</v>
      </c>
      <c r="AS3864" s="3" t="s">
        <v>65</v>
      </c>
      <c r="AT3864" s="3" t="s">
        <v>65</v>
      </c>
      <c r="AV3864" s="6" t="str">
        <f>HYPERLINK("http://mcgill.on.worldcat.org/oclc/727704521","Catalog Record")</f>
        <v>Catalog Record</v>
      </c>
      <c r="AW3864" s="6" t="str">
        <f>HYPERLINK("http://www.worldcat.org/oclc/727704521","WorldCat Record")</f>
        <v>WorldCat Record</v>
      </c>
      <c r="AX3864" s="3" t="s">
        <v>38395</v>
      </c>
      <c r="AY3864" s="3" t="s">
        <v>38396</v>
      </c>
      <c r="AZ3864" s="3" t="s">
        <v>38397</v>
      </c>
      <c r="BA3864" s="3" t="s">
        <v>38397</v>
      </c>
      <c r="BB3864" s="3" t="s">
        <v>38398</v>
      </c>
      <c r="BC3864" s="3" t="s">
        <v>77</v>
      </c>
      <c r="BD3864" s="3" t="s">
        <v>78</v>
      </c>
      <c r="BE3864" s="3" t="s">
        <v>38399</v>
      </c>
      <c r="BF3864" s="3" t="s">
        <v>38398</v>
      </c>
      <c r="BG3864" s="3" t="s">
        <v>38400</v>
      </c>
    </row>
    <row r="3865" spans="1:59" ht="58" x14ac:dyDescent="0.35">
      <c r="A3865" s="2" t="s">
        <v>59</v>
      </c>
      <c r="B3865" s="2" t="s">
        <v>60</v>
      </c>
      <c r="C3865" s="2" t="s">
        <v>38401</v>
      </c>
      <c r="D3865" s="2" t="s">
        <v>38402</v>
      </c>
      <c r="E3865" s="2" t="s">
        <v>38403</v>
      </c>
      <c r="G3865" s="3" t="s">
        <v>65</v>
      </c>
      <c r="I3865" s="3" t="s">
        <v>65</v>
      </c>
      <c r="J3865" s="3" t="s">
        <v>65</v>
      </c>
      <c r="K3865" s="3" t="s">
        <v>66</v>
      </c>
      <c r="M3865" s="2" t="s">
        <v>1611</v>
      </c>
      <c r="N3865" s="3" t="s">
        <v>176</v>
      </c>
      <c r="P3865" s="3" t="s">
        <v>69</v>
      </c>
      <c r="Q3865" s="2" t="s">
        <v>1197</v>
      </c>
      <c r="R3865" s="3" t="s">
        <v>71</v>
      </c>
      <c r="S3865" s="4">
        <v>0</v>
      </c>
      <c r="T3865" s="4">
        <v>0</v>
      </c>
      <c r="W3865" s="5" t="s">
        <v>72</v>
      </c>
      <c r="X3865" s="5" t="s">
        <v>72</v>
      </c>
      <c r="Y3865" s="4">
        <v>101</v>
      </c>
      <c r="Z3865" s="4">
        <v>14</v>
      </c>
      <c r="AA3865" s="4">
        <v>91</v>
      </c>
      <c r="AB3865" s="4">
        <v>2</v>
      </c>
      <c r="AC3865" s="4">
        <v>16</v>
      </c>
      <c r="AD3865" s="4">
        <v>60</v>
      </c>
      <c r="AE3865" s="4">
        <v>129</v>
      </c>
      <c r="AF3865" s="4">
        <v>1</v>
      </c>
      <c r="AG3865" s="4">
        <v>8</v>
      </c>
      <c r="AH3865" s="4">
        <v>52</v>
      </c>
      <c r="AI3865" s="4">
        <v>89</v>
      </c>
      <c r="AJ3865" s="4">
        <v>9</v>
      </c>
      <c r="AK3865" s="4">
        <v>26</v>
      </c>
      <c r="AL3865" s="4">
        <v>35</v>
      </c>
      <c r="AM3865" s="4">
        <v>47</v>
      </c>
      <c r="AN3865" s="4">
        <v>0</v>
      </c>
      <c r="AO3865" s="4">
        <v>0</v>
      </c>
      <c r="AP3865" s="4">
        <v>9</v>
      </c>
      <c r="AQ3865" s="4">
        <v>48</v>
      </c>
      <c r="AR3865" s="3" t="s">
        <v>209</v>
      </c>
      <c r="AS3865" s="3" t="s">
        <v>65</v>
      </c>
      <c r="AT3865" s="3" t="s">
        <v>65</v>
      </c>
      <c r="AV3865" s="6" t="str">
        <f>HYPERLINK("http://mcgill.on.worldcat.org/oclc/898087049","Catalog Record")</f>
        <v>Catalog Record</v>
      </c>
      <c r="AW3865" s="6" t="str">
        <f>HYPERLINK("http://www.worldcat.org/oclc/898087049","WorldCat Record")</f>
        <v>WorldCat Record</v>
      </c>
      <c r="AX3865" s="3" t="s">
        <v>38404</v>
      </c>
      <c r="AY3865" s="3" t="s">
        <v>38405</v>
      </c>
      <c r="AZ3865" s="3" t="s">
        <v>38406</v>
      </c>
      <c r="BA3865" s="3" t="s">
        <v>38406</v>
      </c>
      <c r="BB3865" s="3" t="s">
        <v>38407</v>
      </c>
      <c r="BC3865" s="3" t="s">
        <v>77</v>
      </c>
      <c r="BD3865" s="3" t="s">
        <v>78</v>
      </c>
      <c r="BE3865" s="3" t="s">
        <v>38408</v>
      </c>
      <c r="BF3865" s="3" t="s">
        <v>38407</v>
      </c>
      <c r="BG3865" s="3" t="s">
        <v>38409</v>
      </c>
    </row>
    <row r="3866" spans="1:59" ht="58" x14ac:dyDescent="0.35">
      <c r="A3866" s="2" t="s">
        <v>59</v>
      </c>
      <c r="B3866" s="2" t="s">
        <v>60</v>
      </c>
      <c r="C3866" s="2" t="s">
        <v>38410</v>
      </c>
      <c r="D3866" s="2" t="s">
        <v>38411</v>
      </c>
      <c r="E3866" s="2" t="s">
        <v>38412</v>
      </c>
      <c r="G3866" s="3" t="s">
        <v>65</v>
      </c>
      <c r="I3866" s="3" t="s">
        <v>65</v>
      </c>
      <c r="J3866" s="3" t="s">
        <v>65</v>
      </c>
      <c r="K3866" s="3" t="s">
        <v>66</v>
      </c>
      <c r="L3866" s="2" t="s">
        <v>38413</v>
      </c>
      <c r="M3866" s="2" t="s">
        <v>38414</v>
      </c>
      <c r="N3866" s="3" t="s">
        <v>113</v>
      </c>
      <c r="P3866" s="3" t="s">
        <v>140</v>
      </c>
      <c r="Q3866" s="2" t="s">
        <v>38415</v>
      </c>
      <c r="R3866" s="3" t="s">
        <v>71</v>
      </c>
      <c r="S3866" s="4">
        <v>0</v>
      </c>
      <c r="T3866" s="4">
        <v>0</v>
      </c>
      <c r="W3866" s="5" t="s">
        <v>72</v>
      </c>
      <c r="X3866" s="5" t="s">
        <v>72</v>
      </c>
      <c r="Y3866" s="4">
        <v>46</v>
      </c>
      <c r="Z3866" s="4">
        <v>4</v>
      </c>
      <c r="AA3866" s="4">
        <v>4</v>
      </c>
      <c r="AB3866" s="4">
        <v>1</v>
      </c>
      <c r="AC3866" s="4">
        <v>1</v>
      </c>
      <c r="AD3866" s="4">
        <v>31</v>
      </c>
      <c r="AE3866" s="4">
        <v>31</v>
      </c>
      <c r="AF3866" s="4">
        <v>0</v>
      </c>
      <c r="AG3866" s="4">
        <v>0</v>
      </c>
      <c r="AH3866" s="4">
        <v>30</v>
      </c>
      <c r="AI3866" s="4">
        <v>30</v>
      </c>
      <c r="AJ3866" s="4">
        <v>2</v>
      </c>
      <c r="AK3866" s="4">
        <v>2</v>
      </c>
      <c r="AL3866" s="4">
        <v>23</v>
      </c>
      <c r="AM3866" s="4">
        <v>23</v>
      </c>
      <c r="AN3866" s="4">
        <v>0</v>
      </c>
      <c r="AO3866" s="4">
        <v>0</v>
      </c>
      <c r="AP3866" s="4">
        <v>2</v>
      </c>
      <c r="AQ3866" s="4">
        <v>2</v>
      </c>
      <c r="AR3866" s="3" t="s">
        <v>65</v>
      </c>
      <c r="AS3866" s="3" t="s">
        <v>65</v>
      </c>
      <c r="AT3866" s="3" t="s">
        <v>65</v>
      </c>
      <c r="AV3866" s="6" t="str">
        <f>HYPERLINK("http://mcgill.on.worldcat.org/oclc/670470425","Catalog Record")</f>
        <v>Catalog Record</v>
      </c>
      <c r="AW3866" s="6" t="str">
        <f>HYPERLINK("http://www.worldcat.org/oclc/670470425","WorldCat Record")</f>
        <v>WorldCat Record</v>
      </c>
      <c r="AX3866" s="3" t="s">
        <v>38416</v>
      </c>
      <c r="AY3866" s="3" t="s">
        <v>38417</v>
      </c>
      <c r="AZ3866" s="3" t="s">
        <v>38418</v>
      </c>
      <c r="BA3866" s="3" t="s">
        <v>38418</v>
      </c>
      <c r="BB3866" s="3" t="s">
        <v>38419</v>
      </c>
      <c r="BC3866" s="3" t="s">
        <v>77</v>
      </c>
      <c r="BD3866" s="3" t="s">
        <v>78</v>
      </c>
      <c r="BE3866" s="3" t="s">
        <v>38420</v>
      </c>
      <c r="BF3866" s="3" t="s">
        <v>38419</v>
      </c>
      <c r="BG3866" s="3" t="s">
        <v>38421</v>
      </c>
    </row>
    <row r="3867" spans="1:59" ht="58" x14ac:dyDescent="0.35">
      <c r="A3867" s="2" t="s">
        <v>59</v>
      </c>
      <c r="B3867" s="2" t="s">
        <v>60</v>
      </c>
      <c r="C3867" s="2" t="s">
        <v>38422</v>
      </c>
      <c r="D3867" s="2" t="s">
        <v>38423</v>
      </c>
      <c r="E3867" s="2" t="s">
        <v>38424</v>
      </c>
      <c r="G3867" s="3" t="s">
        <v>65</v>
      </c>
      <c r="I3867" s="3" t="s">
        <v>65</v>
      </c>
      <c r="J3867" s="3" t="s">
        <v>209</v>
      </c>
      <c r="K3867" s="3" t="s">
        <v>66</v>
      </c>
      <c r="L3867" s="2" t="s">
        <v>38425</v>
      </c>
      <c r="M3867" s="2" t="s">
        <v>38426</v>
      </c>
      <c r="N3867" s="3" t="s">
        <v>3052</v>
      </c>
      <c r="O3867" s="2" t="s">
        <v>38427</v>
      </c>
      <c r="P3867" s="3" t="s">
        <v>140</v>
      </c>
      <c r="R3867" s="3" t="s">
        <v>71</v>
      </c>
      <c r="S3867" s="4">
        <v>5</v>
      </c>
      <c r="T3867" s="4">
        <v>5</v>
      </c>
      <c r="U3867" s="5" t="s">
        <v>9328</v>
      </c>
      <c r="V3867" s="5" t="s">
        <v>9328</v>
      </c>
      <c r="W3867" s="5" t="s">
        <v>72</v>
      </c>
      <c r="X3867" s="5" t="s">
        <v>72</v>
      </c>
      <c r="Y3867" s="4">
        <v>34</v>
      </c>
      <c r="Z3867" s="4">
        <v>1</v>
      </c>
      <c r="AA3867" s="4">
        <v>9</v>
      </c>
      <c r="AB3867" s="4">
        <v>1</v>
      </c>
      <c r="AC3867" s="4">
        <v>4</v>
      </c>
      <c r="AD3867" s="4">
        <v>16</v>
      </c>
      <c r="AE3867" s="4">
        <v>43</v>
      </c>
      <c r="AF3867" s="4">
        <v>0</v>
      </c>
      <c r="AG3867" s="4">
        <v>1</v>
      </c>
      <c r="AH3867" s="4">
        <v>14</v>
      </c>
      <c r="AI3867" s="4">
        <v>39</v>
      </c>
      <c r="AJ3867" s="4">
        <v>0</v>
      </c>
      <c r="AK3867" s="4">
        <v>4</v>
      </c>
      <c r="AL3867" s="4">
        <v>13</v>
      </c>
      <c r="AM3867" s="4">
        <v>28</v>
      </c>
      <c r="AN3867" s="4">
        <v>0</v>
      </c>
      <c r="AO3867" s="4">
        <v>0</v>
      </c>
      <c r="AP3867" s="4">
        <v>0</v>
      </c>
      <c r="AQ3867" s="4">
        <v>3</v>
      </c>
      <c r="AR3867" s="3" t="s">
        <v>65</v>
      </c>
      <c r="AS3867" s="3" t="s">
        <v>65</v>
      </c>
      <c r="AT3867" s="3" t="s">
        <v>65</v>
      </c>
      <c r="AV3867" s="6" t="str">
        <f>HYPERLINK("http://mcgill.on.worldcat.org/oclc/789454","Catalog Record")</f>
        <v>Catalog Record</v>
      </c>
      <c r="AW3867" s="6" t="str">
        <f>HYPERLINK("http://www.worldcat.org/oclc/789454","WorldCat Record")</f>
        <v>WorldCat Record</v>
      </c>
      <c r="AX3867" s="3" t="s">
        <v>38428</v>
      </c>
      <c r="AY3867" s="3" t="s">
        <v>38429</v>
      </c>
      <c r="AZ3867" s="3" t="s">
        <v>38430</v>
      </c>
      <c r="BA3867" s="3" t="s">
        <v>38430</v>
      </c>
      <c r="BB3867" s="3" t="s">
        <v>38431</v>
      </c>
      <c r="BC3867" s="3" t="s">
        <v>77</v>
      </c>
      <c r="BD3867" s="3" t="s">
        <v>78</v>
      </c>
      <c r="BF3867" s="3" t="s">
        <v>38431</v>
      </c>
      <c r="BG3867" s="3" t="s">
        <v>38432</v>
      </c>
    </row>
    <row r="3868" spans="1:59" ht="58" x14ac:dyDescent="0.35">
      <c r="A3868" s="2" t="s">
        <v>59</v>
      </c>
      <c r="B3868" s="2" t="s">
        <v>60</v>
      </c>
      <c r="C3868" s="2" t="s">
        <v>38433</v>
      </c>
      <c r="D3868" s="2" t="s">
        <v>38434</v>
      </c>
      <c r="E3868" s="2" t="s">
        <v>38435</v>
      </c>
      <c r="G3868" s="3" t="s">
        <v>65</v>
      </c>
      <c r="I3868" s="3" t="s">
        <v>65</v>
      </c>
      <c r="J3868" s="3" t="s">
        <v>65</v>
      </c>
      <c r="K3868" s="3" t="s">
        <v>66</v>
      </c>
      <c r="L3868" s="2" t="s">
        <v>38436</v>
      </c>
      <c r="M3868" s="2" t="s">
        <v>18312</v>
      </c>
      <c r="N3868" s="3" t="s">
        <v>126</v>
      </c>
      <c r="P3868" s="3" t="s">
        <v>140</v>
      </c>
      <c r="Q3868" s="2" t="s">
        <v>38437</v>
      </c>
      <c r="R3868" s="3" t="s">
        <v>71</v>
      </c>
      <c r="S3868" s="4">
        <v>0</v>
      </c>
      <c r="T3868" s="4">
        <v>0</v>
      </c>
      <c r="W3868" s="5" t="s">
        <v>72</v>
      </c>
      <c r="X3868" s="5" t="s">
        <v>72</v>
      </c>
      <c r="Y3868" s="4">
        <v>6</v>
      </c>
      <c r="Z3868" s="4">
        <v>1</v>
      </c>
      <c r="AA3868" s="4">
        <v>1</v>
      </c>
      <c r="AB3868" s="4">
        <v>1</v>
      </c>
      <c r="AC3868" s="4">
        <v>1</v>
      </c>
      <c r="AD3868" s="4">
        <v>3</v>
      </c>
      <c r="AE3868" s="4">
        <v>3</v>
      </c>
      <c r="AF3868" s="4">
        <v>0</v>
      </c>
      <c r="AG3868" s="4">
        <v>0</v>
      </c>
      <c r="AH3868" s="4">
        <v>3</v>
      </c>
      <c r="AI3868" s="4">
        <v>3</v>
      </c>
      <c r="AJ3868" s="4">
        <v>0</v>
      </c>
      <c r="AK3868" s="4">
        <v>0</v>
      </c>
      <c r="AL3868" s="4">
        <v>2</v>
      </c>
      <c r="AM3868" s="4">
        <v>2</v>
      </c>
      <c r="AN3868" s="4">
        <v>0</v>
      </c>
      <c r="AO3868" s="4">
        <v>0</v>
      </c>
      <c r="AP3868" s="4">
        <v>0</v>
      </c>
      <c r="AQ3868" s="4">
        <v>0</v>
      </c>
      <c r="AR3868" s="3" t="s">
        <v>65</v>
      </c>
      <c r="AS3868" s="3" t="s">
        <v>65</v>
      </c>
      <c r="AT3868" s="3" t="s">
        <v>65</v>
      </c>
      <c r="AV3868" s="6" t="str">
        <f>HYPERLINK("http://mcgill.on.worldcat.org/oclc/704509744","Catalog Record")</f>
        <v>Catalog Record</v>
      </c>
      <c r="AW3868" s="6" t="str">
        <f>HYPERLINK("http://www.worldcat.org/oclc/704509744","WorldCat Record")</f>
        <v>WorldCat Record</v>
      </c>
      <c r="AX3868" s="3" t="s">
        <v>38438</v>
      </c>
      <c r="AY3868" s="3" t="s">
        <v>38439</v>
      </c>
      <c r="AZ3868" s="3" t="s">
        <v>38440</v>
      </c>
      <c r="BA3868" s="3" t="s">
        <v>38440</v>
      </c>
      <c r="BB3868" s="3" t="s">
        <v>38441</v>
      </c>
      <c r="BC3868" s="3" t="s">
        <v>77</v>
      </c>
      <c r="BD3868" s="3" t="s">
        <v>78</v>
      </c>
      <c r="BE3868" s="3" t="s">
        <v>38442</v>
      </c>
      <c r="BF3868" s="3" t="s">
        <v>38441</v>
      </c>
      <c r="BG3868" s="3" t="s">
        <v>38443</v>
      </c>
    </row>
    <row r="3869" spans="1:59" ht="58" x14ac:dyDescent="0.35">
      <c r="A3869" s="2" t="s">
        <v>59</v>
      </c>
      <c r="B3869" s="2" t="s">
        <v>60</v>
      </c>
      <c r="C3869" s="2" t="s">
        <v>38444</v>
      </c>
      <c r="D3869" s="2" t="s">
        <v>38445</v>
      </c>
      <c r="E3869" s="2" t="s">
        <v>38446</v>
      </c>
      <c r="G3869" s="3" t="s">
        <v>65</v>
      </c>
      <c r="I3869" s="3" t="s">
        <v>65</v>
      </c>
      <c r="J3869" s="3" t="s">
        <v>65</v>
      </c>
      <c r="K3869" s="3" t="s">
        <v>66</v>
      </c>
      <c r="L3869" s="2" t="s">
        <v>38447</v>
      </c>
      <c r="M3869" s="2" t="s">
        <v>20129</v>
      </c>
      <c r="N3869" s="3" t="s">
        <v>126</v>
      </c>
      <c r="P3869" s="3" t="s">
        <v>140</v>
      </c>
      <c r="Q3869" s="2" t="s">
        <v>38448</v>
      </c>
      <c r="R3869" s="3" t="s">
        <v>71</v>
      </c>
      <c r="S3869" s="4">
        <v>0</v>
      </c>
      <c r="T3869" s="4">
        <v>0</v>
      </c>
      <c r="W3869" s="5" t="s">
        <v>72</v>
      </c>
      <c r="X3869" s="5" t="s">
        <v>72</v>
      </c>
      <c r="Y3869" s="4">
        <v>46</v>
      </c>
      <c r="Z3869" s="4">
        <v>4</v>
      </c>
      <c r="AA3869" s="4">
        <v>4</v>
      </c>
      <c r="AB3869" s="4">
        <v>1</v>
      </c>
      <c r="AC3869" s="4">
        <v>1</v>
      </c>
      <c r="AD3869" s="4">
        <v>31</v>
      </c>
      <c r="AE3869" s="4">
        <v>31</v>
      </c>
      <c r="AF3869" s="4">
        <v>0</v>
      </c>
      <c r="AG3869" s="4">
        <v>0</v>
      </c>
      <c r="AH3869" s="4">
        <v>30</v>
      </c>
      <c r="AI3869" s="4">
        <v>30</v>
      </c>
      <c r="AJ3869" s="4">
        <v>2</v>
      </c>
      <c r="AK3869" s="4">
        <v>2</v>
      </c>
      <c r="AL3869" s="4">
        <v>25</v>
      </c>
      <c r="AM3869" s="4">
        <v>25</v>
      </c>
      <c r="AN3869" s="4">
        <v>0</v>
      </c>
      <c r="AO3869" s="4">
        <v>0</v>
      </c>
      <c r="AP3869" s="4">
        <v>2</v>
      </c>
      <c r="AQ3869" s="4">
        <v>2</v>
      </c>
      <c r="AR3869" s="3" t="s">
        <v>65</v>
      </c>
      <c r="AS3869" s="3" t="s">
        <v>65</v>
      </c>
      <c r="AT3869" s="3" t="s">
        <v>65</v>
      </c>
      <c r="AV3869" s="6" t="str">
        <f>HYPERLINK("http://mcgill.on.worldcat.org/oclc/760988805","Catalog Record")</f>
        <v>Catalog Record</v>
      </c>
      <c r="AW3869" s="6" t="str">
        <f>HYPERLINK("http://www.worldcat.org/oclc/760988805","WorldCat Record")</f>
        <v>WorldCat Record</v>
      </c>
      <c r="AX3869" s="3" t="s">
        <v>38449</v>
      </c>
      <c r="AY3869" s="3" t="s">
        <v>38450</v>
      </c>
      <c r="AZ3869" s="3" t="s">
        <v>38451</v>
      </c>
      <c r="BA3869" s="3" t="s">
        <v>38451</v>
      </c>
      <c r="BB3869" s="3" t="s">
        <v>38452</v>
      </c>
      <c r="BC3869" s="3" t="s">
        <v>77</v>
      </c>
      <c r="BD3869" s="3" t="s">
        <v>78</v>
      </c>
      <c r="BE3869" s="3" t="s">
        <v>38453</v>
      </c>
      <c r="BF3869" s="3" t="s">
        <v>38452</v>
      </c>
      <c r="BG3869" s="3" t="s">
        <v>38454</v>
      </c>
    </row>
    <row r="3870" spans="1:59" ht="58" x14ac:dyDescent="0.35">
      <c r="A3870" s="2" t="s">
        <v>59</v>
      </c>
      <c r="B3870" s="2" t="s">
        <v>60</v>
      </c>
      <c r="C3870" s="2" t="s">
        <v>38455</v>
      </c>
      <c r="D3870" s="2" t="s">
        <v>38456</v>
      </c>
      <c r="E3870" s="2" t="s">
        <v>38457</v>
      </c>
      <c r="G3870" s="3" t="s">
        <v>65</v>
      </c>
      <c r="I3870" s="3" t="s">
        <v>65</v>
      </c>
      <c r="J3870" s="3" t="s">
        <v>65</v>
      </c>
      <c r="K3870" s="3" t="s">
        <v>66</v>
      </c>
      <c r="L3870" s="2" t="s">
        <v>38458</v>
      </c>
      <c r="M3870" s="2" t="s">
        <v>28530</v>
      </c>
      <c r="N3870" s="3" t="s">
        <v>113</v>
      </c>
      <c r="O3870" s="2" t="s">
        <v>27453</v>
      </c>
      <c r="P3870" s="3" t="s">
        <v>140</v>
      </c>
      <c r="Q3870" s="2" t="s">
        <v>34916</v>
      </c>
      <c r="R3870" s="3" t="s">
        <v>71</v>
      </c>
      <c r="S3870" s="4">
        <v>0</v>
      </c>
      <c r="T3870" s="4">
        <v>0</v>
      </c>
      <c r="W3870" s="5" t="s">
        <v>72</v>
      </c>
      <c r="X3870" s="5" t="s">
        <v>72</v>
      </c>
      <c r="Y3870" s="4">
        <v>46</v>
      </c>
      <c r="Z3870" s="4">
        <v>5</v>
      </c>
      <c r="AA3870" s="4">
        <v>5</v>
      </c>
      <c r="AB3870" s="4">
        <v>1</v>
      </c>
      <c r="AC3870" s="4">
        <v>1</v>
      </c>
      <c r="AD3870" s="4">
        <v>37</v>
      </c>
      <c r="AE3870" s="4">
        <v>37</v>
      </c>
      <c r="AF3870" s="4">
        <v>0</v>
      </c>
      <c r="AG3870" s="4">
        <v>0</v>
      </c>
      <c r="AH3870" s="4">
        <v>36</v>
      </c>
      <c r="AI3870" s="4">
        <v>36</v>
      </c>
      <c r="AJ3870" s="4">
        <v>3</v>
      </c>
      <c r="AK3870" s="4">
        <v>3</v>
      </c>
      <c r="AL3870" s="4">
        <v>27</v>
      </c>
      <c r="AM3870" s="4">
        <v>27</v>
      </c>
      <c r="AN3870" s="4">
        <v>0</v>
      </c>
      <c r="AO3870" s="4">
        <v>0</v>
      </c>
      <c r="AP3870" s="4">
        <v>3</v>
      </c>
      <c r="AQ3870" s="4">
        <v>3</v>
      </c>
      <c r="AR3870" s="3" t="s">
        <v>65</v>
      </c>
      <c r="AS3870" s="3" t="s">
        <v>65</v>
      </c>
      <c r="AT3870" s="3" t="s">
        <v>65</v>
      </c>
      <c r="AV3870" s="6" t="str">
        <f>HYPERLINK("http://mcgill.on.worldcat.org/oclc/610840589","Catalog Record")</f>
        <v>Catalog Record</v>
      </c>
      <c r="AW3870" s="6" t="str">
        <f>HYPERLINK("http://www.worldcat.org/oclc/610840589","WorldCat Record")</f>
        <v>WorldCat Record</v>
      </c>
      <c r="AX3870" s="3" t="s">
        <v>38459</v>
      </c>
      <c r="AY3870" s="3" t="s">
        <v>38460</v>
      </c>
      <c r="AZ3870" s="3" t="s">
        <v>38461</v>
      </c>
      <c r="BA3870" s="3" t="s">
        <v>38461</v>
      </c>
      <c r="BB3870" s="3" t="s">
        <v>38462</v>
      </c>
      <c r="BC3870" s="3" t="s">
        <v>77</v>
      </c>
      <c r="BD3870" s="3" t="s">
        <v>78</v>
      </c>
      <c r="BE3870" s="3" t="s">
        <v>38463</v>
      </c>
      <c r="BF3870" s="3" t="s">
        <v>38462</v>
      </c>
      <c r="BG3870" s="3" t="s">
        <v>38464</v>
      </c>
    </row>
    <row r="3871" spans="1:59" ht="58" x14ac:dyDescent="0.35">
      <c r="A3871" s="2" t="s">
        <v>59</v>
      </c>
      <c r="B3871" s="2" t="s">
        <v>60</v>
      </c>
      <c r="C3871" s="2" t="s">
        <v>38465</v>
      </c>
      <c r="D3871" s="2" t="s">
        <v>38466</v>
      </c>
      <c r="E3871" s="2" t="s">
        <v>38467</v>
      </c>
      <c r="G3871" s="3" t="s">
        <v>65</v>
      </c>
      <c r="I3871" s="3" t="s">
        <v>65</v>
      </c>
      <c r="J3871" s="3" t="s">
        <v>65</v>
      </c>
      <c r="K3871" s="3" t="s">
        <v>66</v>
      </c>
      <c r="L3871" s="2" t="s">
        <v>38468</v>
      </c>
      <c r="M3871" s="2" t="s">
        <v>38469</v>
      </c>
      <c r="N3871" s="3" t="s">
        <v>188</v>
      </c>
      <c r="O3871" s="2" t="s">
        <v>235</v>
      </c>
      <c r="P3871" s="3" t="s">
        <v>140</v>
      </c>
      <c r="Q3871" s="2" t="s">
        <v>33472</v>
      </c>
      <c r="R3871" s="3" t="s">
        <v>71</v>
      </c>
      <c r="S3871" s="4">
        <v>0</v>
      </c>
      <c r="T3871" s="4">
        <v>0</v>
      </c>
      <c r="W3871" s="5" t="s">
        <v>72</v>
      </c>
      <c r="X3871" s="5" t="s">
        <v>72</v>
      </c>
      <c r="Y3871" s="4">
        <v>46</v>
      </c>
      <c r="Z3871" s="4">
        <v>1</v>
      </c>
      <c r="AA3871" s="4">
        <v>1</v>
      </c>
      <c r="AB3871" s="4">
        <v>1</v>
      </c>
      <c r="AC3871" s="4">
        <v>1</v>
      </c>
      <c r="AD3871" s="4">
        <v>28</v>
      </c>
      <c r="AE3871" s="4">
        <v>28</v>
      </c>
      <c r="AF3871" s="4">
        <v>0</v>
      </c>
      <c r="AG3871" s="4">
        <v>0</v>
      </c>
      <c r="AH3871" s="4">
        <v>27</v>
      </c>
      <c r="AI3871" s="4">
        <v>27</v>
      </c>
      <c r="AJ3871" s="4">
        <v>0</v>
      </c>
      <c r="AK3871" s="4">
        <v>0</v>
      </c>
      <c r="AL3871" s="4">
        <v>23</v>
      </c>
      <c r="AM3871" s="4">
        <v>23</v>
      </c>
      <c r="AN3871" s="4">
        <v>0</v>
      </c>
      <c r="AO3871" s="4">
        <v>0</v>
      </c>
      <c r="AP3871" s="4">
        <v>0</v>
      </c>
      <c r="AQ3871" s="4">
        <v>0</v>
      </c>
      <c r="AR3871" s="3" t="s">
        <v>65</v>
      </c>
      <c r="AS3871" s="3" t="s">
        <v>65</v>
      </c>
      <c r="AT3871" s="3" t="s">
        <v>65</v>
      </c>
      <c r="AV3871" s="6" t="str">
        <f>HYPERLINK("http://mcgill.on.worldcat.org/oclc/1006417190","Catalog Record")</f>
        <v>Catalog Record</v>
      </c>
      <c r="AW3871" s="6" t="str">
        <f>HYPERLINK("http://www.worldcat.org/oclc/1006417190","WorldCat Record")</f>
        <v>WorldCat Record</v>
      </c>
      <c r="AX3871" s="3" t="s">
        <v>38470</v>
      </c>
      <c r="AY3871" s="3" t="s">
        <v>38471</v>
      </c>
      <c r="AZ3871" s="3" t="s">
        <v>38472</v>
      </c>
      <c r="BA3871" s="3" t="s">
        <v>38472</v>
      </c>
      <c r="BB3871" s="3" t="s">
        <v>38473</v>
      </c>
      <c r="BC3871" s="3" t="s">
        <v>77</v>
      </c>
      <c r="BD3871" s="3" t="s">
        <v>78</v>
      </c>
      <c r="BE3871" s="3" t="s">
        <v>38474</v>
      </c>
      <c r="BF3871" s="3" t="s">
        <v>38473</v>
      </c>
      <c r="BG3871" s="3" t="s">
        <v>38475</v>
      </c>
    </row>
    <row r="3872" spans="1:59" ht="58" x14ac:dyDescent="0.35">
      <c r="A3872" s="2" t="s">
        <v>59</v>
      </c>
      <c r="B3872" s="2" t="s">
        <v>60</v>
      </c>
      <c r="C3872" s="2" t="s">
        <v>38476</v>
      </c>
      <c r="D3872" s="2" t="s">
        <v>38477</v>
      </c>
      <c r="E3872" s="2" t="s">
        <v>38478</v>
      </c>
      <c r="G3872" s="3" t="s">
        <v>65</v>
      </c>
      <c r="I3872" s="3" t="s">
        <v>65</v>
      </c>
      <c r="J3872" s="3" t="s">
        <v>65</v>
      </c>
      <c r="K3872" s="3" t="s">
        <v>66</v>
      </c>
      <c r="M3872" s="2" t="s">
        <v>24810</v>
      </c>
      <c r="N3872" s="3" t="s">
        <v>113</v>
      </c>
      <c r="P3872" s="3" t="s">
        <v>140</v>
      </c>
      <c r="Q3872" s="2" t="s">
        <v>38479</v>
      </c>
      <c r="R3872" s="3" t="s">
        <v>71</v>
      </c>
      <c r="S3872" s="4">
        <v>0</v>
      </c>
      <c r="T3872" s="4">
        <v>0</v>
      </c>
      <c r="W3872" s="5" t="s">
        <v>72</v>
      </c>
      <c r="X3872" s="5" t="s">
        <v>72</v>
      </c>
      <c r="Y3872" s="4">
        <v>45</v>
      </c>
      <c r="Z3872" s="4">
        <v>3</v>
      </c>
      <c r="AA3872" s="4">
        <v>3</v>
      </c>
      <c r="AB3872" s="4">
        <v>1</v>
      </c>
      <c r="AC3872" s="4">
        <v>1</v>
      </c>
      <c r="AD3872" s="4">
        <v>28</v>
      </c>
      <c r="AE3872" s="4">
        <v>28</v>
      </c>
      <c r="AF3872" s="4">
        <v>0</v>
      </c>
      <c r="AG3872" s="4">
        <v>0</v>
      </c>
      <c r="AH3872" s="4">
        <v>27</v>
      </c>
      <c r="AI3872" s="4">
        <v>27</v>
      </c>
      <c r="AJ3872" s="4">
        <v>1</v>
      </c>
      <c r="AK3872" s="4">
        <v>1</v>
      </c>
      <c r="AL3872" s="4">
        <v>20</v>
      </c>
      <c r="AM3872" s="4">
        <v>20</v>
      </c>
      <c r="AN3872" s="4">
        <v>0</v>
      </c>
      <c r="AO3872" s="4">
        <v>0</v>
      </c>
      <c r="AP3872" s="4">
        <v>1</v>
      </c>
      <c r="AQ3872" s="4">
        <v>1</v>
      </c>
      <c r="AR3872" s="3" t="s">
        <v>65</v>
      </c>
      <c r="AS3872" s="3" t="s">
        <v>65</v>
      </c>
      <c r="AT3872" s="3" t="s">
        <v>65</v>
      </c>
      <c r="AV3872" s="6" t="str">
        <f>HYPERLINK("http://mcgill.on.worldcat.org/oclc/566955237","Catalog Record")</f>
        <v>Catalog Record</v>
      </c>
      <c r="AW3872" s="6" t="str">
        <f>HYPERLINK("http://www.worldcat.org/oclc/566955237","WorldCat Record")</f>
        <v>WorldCat Record</v>
      </c>
      <c r="AX3872" s="3" t="s">
        <v>38480</v>
      </c>
      <c r="AY3872" s="3" t="s">
        <v>38481</v>
      </c>
      <c r="AZ3872" s="3" t="s">
        <v>38482</v>
      </c>
      <c r="BA3872" s="3" t="s">
        <v>38482</v>
      </c>
      <c r="BB3872" s="3" t="s">
        <v>38483</v>
      </c>
      <c r="BC3872" s="3" t="s">
        <v>77</v>
      </c>
      <c r="BD3872" s="3" t="s">
        <v>78</v>
      </c>
      <c r="BE3872" s="3" t="s">
        <v>38484</v>
      </c>
      <c r="BF3872" s="3" t="s">
        <v>38483</v>
      </c>
      <c r="BG3872" s="3" t="s">
        <v>38485</v>
      </c>
    </row>
    <row r="3873" spans="1:59" ht="58" x14ac:dyDescent="0.35">
      <c r="A3873" s="2" t="s">
        <v>59</v>
      </c>
      <c r="B3873" s="2" t="s">
        <v>60</v>
      </c>
      <c r="C3873" s="2" t="s">
        <v>38486</v>
      </c>
      <c r="D3873" s="2" t="s">
        <v>38487</v>
      </c>
      <c r="E3873" s="2" t="s">
        <v>38488</v>
      </c>
      <c r="G3873" s="3" t="s">
        <v>65</v>
      </c>
      <c r="I3873" s="3" t="s">
        <v>65</v>
      </c>
      <c r="J3873" s="3" t="s">
        <v>65</v>
      </c>
      <c r="K3873" s="3" t="s">
        <v>66</v>
      </c>
      <c r="L3873" s="2" t="s">
        <v>38489</v>
      </c>
      <c r="M3873" s="2" t="s">
        <v>38490</v>
      </c>
      <c r="N3873" s="3" t="s">
        <v>188</v>
      </c>
      <c r="P3873" s="3" t="s">
        <v>140</v>
      </c>
      <c r="R3873" s="3" t="s">
        <v>71</v>
      </c>
      <c r="S3873" s="4">
        <v>0</v>
      </c>
      <c r="T3873" s="4">
        <v>0</v>
      </c>
      <c r="W3873" s="5" t="s">
        <v>72</v>
      </c>
      <c r="X3873" s="5" t="s">
        <v>72</v>
      </c>
      <c r="Y3873" s="4">
        <v>49</v>
      </c>
      <c r="Z3873" s="4">
        <v>2</v>
      </c>
      <c r="AA3873" s="4">
        <v>4</v>
      </c>
      <c r="AB3873" s="4">
        <v>1</v>
      </c>
      <c r="AC3873" s="4">
        <v>2</v>
      </c>
      <c r="AD3873" s="4">
        <v>27</v>
      </c>
      <c r="AE3873" s="4">
        <v>27</v>
      </c>
      <c r="AF3873" s="4">
        <v>0</v>
      </c>
      <c r="AG3873" s="4">
        <v>0</v>
      </c>
      <c r="AH3873" s="4">
        <v>26</v>
      </c>
      <c r="AI3873" s="4">
        <v>26</v>
      </c>
      <c r="AJ3873" s="4">
        <v>0</v>
      </c>
      <c r="AK3873" s="4">
        <v>0</v>
      </c>
      <c r="AL3873" s="4">
        <v>21</v>
      </c>
      <c r="AM3873" s="4">
        <v>21</v>
      </c>
      <c r="AN3873" s="4">
        <v>0</v>
      </c>
      <c r="AO3873" s="4">
        <v>0</v>
      </c>
      <c r="AP3873" s="4">
        <v>0</v>
      </c>
      <c r="AQ3873" s="4">
        <v>0</v>
      </c>
      <c r="AR3873" s="3" t="s">
        <v>65</v>
      </c>
      <c r="AS3873" s="3" t="s">
        <v>65</v>
      </c>
      <c r="AT3873" s="3" t="s">
        <v>65</v>
      </c>
      <c r="AV3873" s="6" t="str">
        <f>HYPERLINK("http://mcgill.on.worldcat.org/oclc/987024796","Catalog Record")</f>
        <v>Catalog Record</v>
      </c>
      <c r="AW3873" s="6" t="str">
        <f>HYPERLINK("http://www.worldcat.org/oclc/987024796","WorldCat Record")</f>
        <v>WorldCat Record</v>
      </c>
      <c r="AX3873" s="3" t="s">
        <v>38491</v>
      </c>
      <c r="AY3873" s="3" t="s">
        <v>38492</v>
      </c>
      <c r="AZ3873" s="3" t="s">
        <v>38493</v>
      </c>
      <c r="BA3873" s="3" t="s">
        <v>38493</v>
      </c>
      <c r="BB3873" s="3" t="s">
        <v>38494</v>
      </c>
      <c r="BC3873" s="3" t="s">
        <v>77</v>
      </c>
      <c r="BD3873" s="3" t="s">
        <v>78</v>
      </c>
      <c r="BE3873" s="3" t="s">
        <v>38495</v>
      </c>
      <c r="BF3873" s="3" t="s">
        <v>38494</v>
      </c>
      <c r="BG3873" s="3" t="s">
        <v>38496</v>
      </c>
    </row>
    <row r="3874" spans="1:59" ht="87" x14ac:dyDescent="0.35">
      <c r="A3874" s="2" t="s">
        <v>59</v>
      </c>
      <c r="B3874" s="2" t="s">
        <v>60</v>
      </c>
      <c r="C3874" s="2" t="s">
        <v>38497</v>
      </c>
      <c r="D3874" s="2" t="s">
        <v>38498</v>
      </c>
      <c r="E3874" s="2" t="s">
        <v>38499</v>
      </c>
      <c r="G3874" s="3" t="s">
        <v>65</v>
      </c>
      <c r="I3874" s="3" t="s">
        <v>65</v>
      </c>
      <c r="J3874" s="3" t="s">
        <v>65</v>
      </c>
      <c r="K3874" s="3" t="s">
        <v>66</v>
      </c>
      <c r="M3874" s="2" t="s">
        <v>13393</v>
      </c>
      <c r="N3874" s="3" t="s">
        <v>126</v>
      </c>
      <c r="P3874" s="3" t="s">
        <v>140</v>
      </c>
      <c r="Q3874" s="2" t="s">
        <v>38500</v>
      </c>
      <c r="R3874" s="3" t="s">
        <v>71</v>
      </c>
      <c r="S3874" s="4">
        <v>0</v>
      </c>
      <c r="T3874" s="4">
        <v>0</v>
      </c>
      <c r="W3874" s="5" t="s">
        <v>72</v>
      </c>
      <c r="X3874" s="5" t="s">
        <v>72</v>
      </c>
      <c r="Y3874" s="4">
        <v>28</v>
      </c>
      <c r="Z3874" s="4">
        <v>3</v>
      </c>
      <c r="AA3874" s="4">
        <v>3</v>
      </c>
      <c r="AB3874" s="4">
        <v>1</v>
      </c>
      <c r="AC3874" s="4">
        <v>1</v>
      </c>
      <c r="AD3874" s="4">
        <v>21</v>
      </c>
      <c r="AE3874" s="4">
        <v>21</v>
      </c>
      <c r="AF3874" s="4">
        <v>0</v>
      </c>
      <c r="AG3874" s="4">
        <v>0</v>
      </c>
      <c r="AH3874" s="4">
        <v>20</v>
      </c>
      <c r="AI3874" s="4">
        <v>20</v>
      </c>
      <c r="AJ3874" s="4">
        <v>1</v>
      </c>
      <c r="AK3874" s="4">
        <v>1</v>
      </c>
      <c r="AL3874" s="4">
        <v>17</v>
      </c>
      <c r="AM3874" s="4">
        <v>17</v>
      </c>
      <c r="AN3874" s="4">
        <v>0</v>
      </c>
      <c r="AO3874" s="4">
        <v>0</v>
      </c>
      <c r="AP3874" s="4">
        <v>1</v>
      </c>
      <c r="AQ3874" s="4">
        <v>1</v>
      </c>
      <c r="AR3874" s="3" t="s">
        <v>65</v>
      </c>
      <c r="AS3874" s="3" t="s">
        <v>65</v>
      </c>
      <c r="AT3874" s="3" t="s">
        <v>65</v>
      </c>
      <c r="AV3874" s="6" t="str">
        <f>HYPERLINK("http://mcgill.on.worldcat.org/oclc/778420028","Catalog Record")</f>
        <v>Catalog Record</v>
      </c>
      <c r="AW3874" s="6" t="str">
        <f>HYPERLINK("http://www.worldcat.org/oclc/778420028","WorldCat Record")</f>
        <v>WorldCat Record</v>
      </c>
      <c r="AX3874" s="3" t="s">
        <v>38501</v>
      </c>
      <c r="AY3874" s="3" t="s">
        <v>38502</v>
      </c>
      <c r="AZ3874" s="3" t="s">
        <v>38503</v>
      </c>
      <c r="BA3874" s="3" t="s">
        <v>38503</v>
      </c>
      <c r="BB3874" s="3" t="s">
        <v>38504</v>
      </c>
      <c r="BC3874" s="3" t="s">
        <v>77</v>
      </c>
      <c r="BD3874" s="3" t="s">
        <v>78</v>
      </c>
      <c r="BE3874" s="3" t="s">
        <v>38505</v>
      </c>
      <c r="BF3874" s="3" t="s">
        <v>38504</v>
      </c>
      <c r="BG3874" s="3" t="s">
        <v>38506</v>
      </c>
    </row>
    <row r="3875" spans="1:59" ht="58" x14ac:dyDescent="0.35">
      <c r="A3875" s="2" t="s">
        <v>59</v>
      </c>
      <c r="B3875" s="2" t="s">
        <v>60</v>
      </c>
      <c r="C3875" s="2" t="s">
        <v>38507</v>
      </c>
      <c r="D3875" s="2" t="s">
        <v>38508</v>
      </c>
      <c r="E3875" s="2" t="s">
        <v>38509</v>
      </c>
      <c r="G3875" s="3" t="s">
        <v>65</v>
      </c>
      <c r="I3875" s="3" t="s">
        <v>65</v>
      </c>
      <c r="J3875" s="3" t="s">
        <v>65</v>
      </c>
      <c r="K3875" s="3" t="s">
        <v>66</v>
      </c>
      <c r="L3875" s="2" t="s">
        <v>38510</v>
      </c>
      <c r="M3875" s="2" t="s">
        <v>35095</v>
      </c>
      <c r="N3875" s="3" t="s">
        <v>8188</v>
      </c>
      <c r="O3875" s="2" t="s">
        <v>654</v>
      </c>
      <c r="P3875" s="3" t="s">
        <v>140</v>
      </c>
      <c r="Q3875" s="2" t="s">
        <v>32206</v>
      </c>
      <c r="R3875" s="3" t="s">
        <v>71</v>
      </c>
      <c r="S3875" s="4">
        <v>4</v>
      </c>
      <c r="T3875" s="4">
        <v>4</v>
      </c>
      <c r="U3875" s="5" t="s">
        <v>38511</v>
      </c>
      <c r="V3875" s="5" t="s">
        <v>38511</v>
      </c>
      <c r="W3875" s="5" t="s">
        <v>72</v>
      </c>
      <c r="X3875" s="5" t="s">
        <v>72</v>
      </c>
      <c r="Y3875" s="4">
        <v>46</v>
      </c>
      <c r="Z3875" s="4">
        <v>6</v>
      </c>
      <c r="AA3875" s="4">
        <v>7</v>
      </c>
      <c r="AB3875" s="4">
        <v>2</v>
      </c>
      <c r="AC3875" s="4">
        <v>2</v>
      </c>
      <c r="AD3875" s="4">
        <v>20</v>
      </c>
      <c r="AE3875" s="4">
        <v>22</v>
      </c>
      <c r="AF3875" s="4">
        <v>0</v>
      </c>
      <c r="AG3875" s="4">
        <v>0</v>
      </c>
      <c r="AH3875" s="4">
        <v>17</v>
      </c>
      <c r="AI3875" s="4">
        <v>19</v>
      </c>
      <c r="AJ3875" s="4">
        <v>3</v>
      </c>
      <c r="AK3875" s="4">
        <v>4</v>
      </c>
      <c r="AL3875" s="4">
        <v>13</v>
      </c>
      <c r="AM3875" s="4">
        <v>14</v>
      </c>
      <c r="AN3875" s="4">
        <v>0</v>
      </c>
      <c r="AO3875" s="4">
        <v>0</v>
      </c>
      <c r="AP3875" s="4">
        <v>3</v>
      </c>
      <c r="AQ3875" s="4">
        <v>4</v>
      </c>
      <c r="AR3875" s="3" t="s">
        <v>65</v>
      </c>
      <c r="AS3875" s="3" t="s">
        <v>65</v>
      </c>
      <c r="AT3875" s="3" t="s">
        <v>65</v>
      </c>
      <c r="AV3875" s="6" t="str">
        <f>HYPERLINK("http://mcgill.on.worldcat.org/oclc/17691698","Catalog Record")</f>
        <v>Catalog Record</v>
      </c>
      <c r="AW3875" s="6" t="str">
        <f>HYPERLINK("http://www.worldcat.org/oclc/17691698","WorldCat Record")</f>
        <v>WorldCat Record</v>
      </c>
      <c r="AX3875" s="3" t="s">
        <v>38512</v>
      </c>
      <c r="AY3875" s="3" t="s">
        <v>38513</v>
      </c>
      <c r="AZ3875" s="3" t="s">
        <v>38514</v>
      </c>
      <c r="BA3875" s="3" t="s">
        <v>38514</v>
      </c>
      <c r="BB3875" s="3" t="s">
        <v>38515</v>
      </c>
      <c r="BC3875" s="3" t="s">
        <v>77</v>
      </c>
      <c r="BD3875" s="3" t="s">
        <v>78</v>
      </c>
      <c r="BE3875" s="3" t="s">
        <v>38516</v>
      </c>
      <c r="BF3875" s="3" t="s">
        <v>38515</v>
      </c>
      <c r="BG3875" s="3" t="s">
        <v>38517</v>
      </c>
    </row>
    <row r="3876" spans="1:59" ht="58" x14ac:dyDescent="0.35">
      <c r="A3876" s="2" t="s">
        <v>59</v>
      </c>
      <c r="B3876" s="2" t="s">
        <v>60</v>
      </c>
      <c r="C3876" s="2" t="s">
        <v>38518</v>
      </c>
      <c r="D3876" s="2" t="s">
        <v>38519</v>
      </c>
      <c r="E3876" s="2" t="s">
        <v>38520</v>
      </c>
      <c r="G3876" s="3" t="s">
        <v>65</v>
      </c>
      <c r="I3876" s="3" t="s">
        <v>65</v>
      </c>
      <c r="J3876" s="3" t="s">
        <v>65</v>
      </c>
      <c r="K3876" s="3" t="s">
        <v>66</v>
      </c>
      <c r="L3876" s="2" t="s">
        <v>38510</v>
      </c>
      <c r="M3876" s="2" t="s">
        <v>28370</v>
      </c>
      <c r="N3876" s="3" t="s">
        <v>2750</v>
      </c>
      <c r="O3876" s="2" t="s">
        <v>365</v>
      </c>
      <c r="P3876" s="3" t="s">
        <v>140</v>
      </c>
      <c r="Q3876" s="2" t="s">
        <v>22053</v>
      </c>
      <c r="R3876" s="3" t="s">
        <v>71</v>
      </c>
      <c r="S3876" s="4">
        <v>1</v>
      </c>
      <c r="T3876" s="4">
        <v>1</v>
      </c>
      <c r="U3876" s="5" t="s">
        <v>38511</v>
      </c>
      <c r="V3876" s="5" t="s">
        <v>38511</v>
      </c>
      <c r="W3876" s="5" t="s">
        <v>72</v>
      </c>
      <c r="X3876" s="5" t="s">
        <v>72</v>
      </c>
      <c r="Y3876" s="4">
        <v>38</v>
      </c>
      <c r="Z3876" s="4">
        <v>4</v>
      </c>
      <c r="AA3876" s="4">
        <v>6</v>
      </c>
      <c r="AB3876" s="4">
        <v>1</v>
      </c>
      <c r="AC3876" s="4">
        <v>2</v>
      </c>
      <c r="AD3876" s="4">
        <v>26</v>
      </c>
      <c r="AE3876" s="4">
        <v>31</v>
      </c>
      <c r="AF3876" s="4">
        <v>0</v>
      </c>
      <c r="AG3876" s="4">
        <v>0</v>
      </c>
      <c r="AH3876" s="4">
        <v>23</v>
      </c>
      <c r="AI3876" s="4">
        <v>28</v>
      </c>
      <c r="AJ3876" s="4">
        <v>2</v>
      </c>
      <c r="AK3876" s="4">
        <v>3</v>
      </c>
      <c r="AL3876" s="4">
        <v>19</v>
      </c>
      <c r="AM3876" s="4">
        <v>20</v>
      </c>
      <c r="AN3876" s="4">
        <v>0</v>
      </c>
      <c r="AO3876" s="4">
        <v>0</v>
      </c>
      <c r="AP3876" s="4">
        <v>2</v>
      </c>
      <c r="AQ3876" s="4">
        <v>3</v>
      </c>
      <c r="AR3876" s="3" t="s">
        <v>65</v>
      </c>
      <c r="AS3876" s="3" t="s">
        <v>65</v>
      </c>
      <c r="AT3876" s="3" t="s">
        <v>65</v>
      </c>
      <c r="AU3876" s="6" t="str">
        <f>HYPERLINK("http://catalog.hathitrust.org/Record/007862525","HathiTrust Record")</f>
        <v>HathiTrust Record</v>
      </c>
      <c r="AV3876" s="6" t="str">
        <f>HYPERLINK("http://mcgill.on.worldcat.org/oclc/1408740","Catalog Record")</f>
        <v>Catalog Record</v>
      </c>
      <c r="AW3876" s="6" t="str">
        <f>HYPERLINK("http://www.worldcat.org/oclc/1408740","WorldCat Record")</f>
        <v>WorldCat Record</v>
      </c>
      <c r="AX3876" s="3" t="s">
        <v>38521</v>
      </c>
      <c r="AY3876" s="3" t="s">
        <v>38522</v>
      </c>
      <c r="AZ3876" s="3" t="s">
        <v>38523</v>
      </c>
      <c r="BA3876" s="3" t="s">
        <v>38523</v>
      </c>
      <c r="BB3876" s="3" t="s">
        <v>38524</v>
      </c>
      <c r="BC3876" s="3" t="s">
        <v>77</v>
      </c>
      <c r="BD3876" s="3" t="s">
        <v>78</v>
      </c>
      <c r="BF3876" s="3" t="s">
        <v>38524</v>
      </c>
      <c r="BG3876" s="3" t="s">
        <v>38525</v>
      </c>
    </row>
    <row r="3877" spans="1:59" ht="58" x14ac:dyDescent="0.35">
      <c r="A3877" s="2" t="s">
        <v>59</v>
      </c>
      <c r="B3877" s="2" t="s">
        <v>60</v>
      </c>
      <c r="C3877" s="2" t="s">
        <v>38526</v>
      </c>
      <c r="D3877" s="2" t="s">
        <v>38527</v>
      </c>
      <c r="E3877" s="2" t="s">
        <v>38528</v>
      </c>
      <c r="G3877" s="3" t="s">
        <v>65</v>
      </c>
      <c r="I3877" s="3" t="s">
        <v>65</v>
      </c>
      <c r="J3877" s="3" t="s">
        <v>65</v>
      </c>
      <c r="K3877" s="3" t="s">
        <v>66</v>
      </c>
      <c r="L3877" s="2" t="s">
        <v>38529</v>
      </c>
      <c r="M3877" s="2" t="s">
        <v>38530</v>
      </c>
      <c r="N3877" s="3" t="s">
        <v>139</v>
      </c>
      <c r="O3877" s="2" t="s">
        <v>235</v>
      </c>
      <c r="P3877" s="3" t="s">
        <v>140</v>
      </c>
      <c r="Q3877" s="2" t="s">
        <v>34940</v>
      </c>
      <c r="R3877" s="3" t="s">
        <v>71</v>
      </c>
      <c r="S3877" s="4">
        <v>1</v>
      </c>
      <c r="T3877" s="4">
        <v>1</v>
      </c>
      <c r="U3877" s="5" t="s">
        <v>38531</v>
      </c>
      <c r="V3877" s="5" t="s">
        <v>38531</v>
      </c>
      <c r="W3877" s="5" t="s">
        <v>72</v>
      </c>
      <c r="X3877" s="5" t="s">
        <v>72</v>
      </c>
      <c r="Y3877" s="4">
        <v>46</v>
      </c>
      <c r="Z3877" s="4">
        <v>5</v>
      </c>
      <c r="AA3877" s="4">
        <v>5</v>
      </c>
      <c r="AB3877" s="4">
        <v>1</v>
      </c>
      <c r="AC3877" s="4">
        <v>1</v>
      </c>
      <c r="AD3877" s="4">
        <v>35</v>
      </c>
      <c r="AE3877" s="4">
        <v>35</v>
      </c>
      <c r="AF3877" s="4">
        <v>0</v>
      </c>
      <c r="AG3877" s="4">
        <v>0</v>
      </c>
      <c r="AH3877" s="4">
        <v>34</v>
      </c>
      <c r="AI3877" s="4">
        <v>34</v>
      </c>
      <c r="AJ3877" s="4">
        <v>3</v>
      </c>
      <c r="AK3877" s="4">
        <v>3</v>
      </c>
      <c r="AL3877" s="4">
        <v>25</v>
      </c>
      <c r="AM3877" s="4">
        <v>25</v>
      </c>
      <c r="AN3877" s="4">
        <v>0</v>
      </c>
      <c r="AO3877" s="4">
        <v>0</v>
      </c>
      <c r="AP3877" s="4">
        <v>3</v>
      </c>
      <c r="AQ3877" s="4">
        <v>3</v>
      </c>
      <c r="AR3877" s="3" t="s">
        <v>65</v>
      </c>
      <c r="AS3877" s="3" t="s">
        <v>65</v>
      </c>
      <c r="AT3877" s="3" t="s">
        <v>65</v>
      </c>
      <c r="AV3877" s="6" t="str">
        <f>HYPERLINK("http://mcgill.on.worldcat.org/oclc/812249907","Catalog Record")</f>
        <v>Catalog Record</v>
      </c>
      <c r="AW3877" s="6" t="str">
        <f>HYPERLINK("http://www.worldcat.org/oclc/812249907","WorldCat Record")</f>
        <v>WorldCat Record</v>
      </c>
      <c r="AX3877" s="3" t="s">
        <v>38532</v>
      </c>
      <c r="AY3877" s="3" t="s">
        <v>38533</v>
      </c>
      <c r="AZ3877" s="3" t="s">
        <v>38534</v>
      </c>
      <c r="BA3877" s="3" t="s">
        <v>38534</v>
      </c>
      <c r="BB3877" s="3" t="s">
        <v>38535</v>
      </c>
      <c r="BC3877" s="3" t="s">
        <v>77</v>
      </c>
      <c r="BD3877" s="3" t="s">
        <v>78</v>
      </c>
      <c r="BE3877" s="3" t="s">
        <v>38536</v>
      </c>
      <c r="BF3877" s="3" t="s">
        <v>38535</v>
      </c>
      <c r="BG3877" s="3" t="s">
        <v>38537</v>
      </c>
    </row>
    <row r="3878" spans="1:59" ht="58" x14ac:dyDescent="0.35">
      <c r="A3878" s="2" t="s">
        <v>59</v>
      </c>
      <c r="B3878" s="2" t="s">
        <v>60</v>
      </c>
      <c r="C3878" s="2" t="s">
        <v>38538</v>
      </c>
      <c r="D3878" s="2" t="s">
        <v>38539</v>
      </c>
      <c r="E3878" s="2" t="s">
        <v>38540</v>
      </c>
      <c r="G3878" s="3" t="s">
        <v>65</v>
      </c>
      <c r="I3878" s="3" t="s">
        <v>65</v>
      </c>
      <c r="J3878" s="3" t="s">
        <v>65</v>
      </c>
      <c r="K3878" s="3" t="s">
        <v>66</v>
      </c>
      <c r="L3878" s="2" t="s">
        <v>38529</v>
      </c>
      <c r="M3878" s="2" t="s">
        <v>38541</v>
      </c>
      <c r="N3878" s="3" t="s">
        <v>152</v>
      </c>
      <c r="O3878" s="2" t="s">
        <v>365</v>
      </c>
      <c r="P3878" s="3" t="s">
        <v>140</v>
      </c>
      <c r="Q3878" s="2" t="s">
        <v>38542</v>
      </c>
      <c r="R3878" s="3" t="s">
        <v>71</v>
      </c>
      <c r="S3878" s="4">
        <v>0</v>
      </c>
      <c r="T3878" s="4">
        <v>0</v>
      </c>
      <c r="W3878" s="5" t="s">
        <v>72</v>
      </c>
      <c r="X3878" s="5" t="s">
        <v>72</v>
      </c>
      <c r="Y3878" s="4">
        <v>25</v>
      </c>
      <c r="Z3878" s="4">
        <v>2</v>
      </c>
      <c r="AA3878" s="4">
        <v>2</v>
      </c>
      <c r="AB3878" s="4">
        <v>1</v>
      </c>
      <c r="AC3878" s="4">
        <v>1</v>
      </c>
      <c r="AD3878" s="4">
        <v>20</v>
      </c>
      <c r="AE3878" s="4">
        <v>20</v>
      </c>
      <c r="AF3878" s="4">
        <v>0</v>
      </c>
      <c r="AG3878" s="4">
        <v>0</v>
      </c>
      <c r="AH3878" s="4">
        <v>19</v>
      </c>
      <c r="AI3878" s="4">
        <v>19</v>
      </c>
      <c r="AJ3878" s="4">
        <v>1</v>
      </c>
      <c r="AK3878" s="4">
        <v>1</v>
      </c>
      <c r="AL3878" s="4">
        <v>16</v>
      </c>
      <c r="AM3878" s="4">
        <v>16</v>
      </c>
      <c r="AN3878" s="4">
        <v>0</v>
      </c>
      <c r="AO3878" s="4">
        <v>0</v>
      </c>
      <c r="AP3878" s="4">
        <v>1</v>
      </c>
      <c r="AQ3878" s="4">
        <v>1</v>
      </c>
      <c r="AR3878" s="3" t="s">
        <v>65</v>
      </c>
      <c r="AS3878" s="3" t="s">
        <v>65</v>
      </c>
      <c r="AT3878" s="3" t="s">
        <v>65</v>
      </c>
      <c r="AV3878" s="6" t="str">
        <f>HYPERLINK("http://mcgill.on.worldcat.org/oclc/852688738","Catalog Record")</f>
        <v>Catalog Record</v>
      </c>
      <c r="AW3878" s="6" t="str">
        <f>HYPERLINK("http://www.worldcat.org/oclc/852688738","WorldCat Record")</f>
        <v>WorldCat Record</v>
      </c>
      <c r="AX3878" s="3" t="s">
        <v>38543</v>
      </c>
      <c r="AY3878" s="3" t="s">
        <v>38544</v>
      </c>
      <c r="AZ3878" s="3" t="s">
        <v>38545</v>
      </c>
      <c r="BA3878" s="3" t="s">
        <v>38545</v>
      </c>
      <c r="BB3878" s="3" t="s">
        <v>38546</v>
      </c>
      <c r="BC3878" s="3" t="s">
        <v>77</v>
      </c>
      <c r="BD3878" s="3" t="s">
        <v>78</v>
      </c>
      <c r="BE3878" s="3" t="s">
        <v>38547</v>
      </c>
      <c r="BF3878" s="3" t="s">
        <v>38546</v>
      </c>
      <c r="BG3878" s="3" t="s">
        <v>38548</v>
      </c>
    </row>
    <row r="3879" spans="1:59" ht="58" x14ac:dyDescent="0.35">
      <c r="A3879" s="2" t="s">
        <v>59</v>
      </c>
      <c r="B3879" s="2" t="s">
        <v>60</v>
      </c>
      <c r="C3879" s="2" t="s">
        <v>38549</v>
      </c>
      <c r="D3879" s="2" t="s">
        <v>38550</v>
      </c>
      <c r="E3879" s="2" t="s">
        <v>38551</v>
      </c>
      <c r="G3879" s="3" t="s">
        <v>65</v>
      </c>
      <c r="I3879" s="3" t="s">
        <v>65</v>
      </c>
      <c r="J3879" s="3" t="s">
        <v>65</v>
      </c>
      <c r="K3879" s="3" t="s">
        <v>66</v>
      </c>
      <c r="L3879" s="2" t="s">
        <v>38529</v>
      </c>
      <c r="M3879" s="2" t="s">
        <v>38552</v>
      </c>
      <c r="N3879" s="3" t="s">
        <v>113</v>
      </c>
      <c r="P3879" s="3" t="s">
        <v>140</v>
      </c>
      <c r="Q3879" s="2" t="s">
        <v>38553</v>
      </c>
      <c r="R3879" s="3" t="s">
        <v>71</v>
      </c>
      <c r="S3879" s="4">
        <v>0</v>
      </c>
      <c r="T3879" s="4">
        <v>0</v>
      </c>
      <c r="W3879" s="5" t="s">
        <v>72</v>
      </c>
      <c r="X3879" s="5" t="s">
        <v>72</v>
      </c>
      <c r="Y3879" s="4">
        <v>43</v>
      </c>
      <c r="Z3879" s="4">
        <v>4</v>
      </c>
      <c r="AA3879" s="4">
        <v>4</v>
      </c>
      <c r="AB3879" s="4">
        <v>1</v>
      </c>
      <c r="AC3879" s="4">
        <v>1</v>
      </c>
      <c r="AD3879" s="4">
        <v>34</v>
      </c>
      <c r="AE3879" s="4">
        <v>34</v>
      </c>
      <c r="AF3879" s="4">
        <v>0</v>
      </c>
      <c r="AG3879" s="4">
        <v>0</v>
      </c>
      <c r="AH3879" s="4">
        <v>33</v>
      </c>
      <c r="AI3879" s="4">
        <v>33</v>
      </c>
      <c r="AJ3879" s="4">
        <v>2</v>
      </c>
      <c r="AK3879" s="4">
        <v>2</v>
      </c>
      <c r="AL3879" s="4">
        <v>26</v>
      </c>
      <c r="AM3879" s="4">
        <v>26</v>
      </c>
      <c r="AN3879" s="4">
        <v>0</v>
      </c>
      <c r="AO3879" s="4">
        <v>0</v>
      </c>
      <c r="AP3879" s="4">
        <v>2</v>
      </c>
      <c r="AQ3879" s="4">
        <v>2</v>
      </c>
      <c r="AR3879" s="3" t="s">
        <v>65</v>
      </c>
      <c r="AS3879" s="3" t="s">
        <v>65</v>
      </c>
      <c r="AT3879" s="3" t="s">
        <v>65</v>
      </c>
      <c r="AV3879" s="6" t="str">
        <f>HYPERLINK("http://mcgill.on.worldcat.org/oclc/694058192","Catalog Record")</f>
        <v>Catalog Record</v>
      </c>
      <c r="AW3879" s="6" t="str">
        <f>HYPERLINK("http://www.worldcat.org/oclc/694058192","WorldCat Record")</f>
        <v>WorldCat Record</v>
      </c>
      <c r="AX3879" s="3" t="s">
        <v>38554</v>
      </c>
      <c r="AY3879" s="3" t="s">
        <v>38555</v>
      </c>
      <c r="AZ3879" s="3" t="s">
        <v>38556</v>
      </c>
      <c r="BA3879" s="3" t="s">
        <v>38556</v>
      </c>
      <c r="BB3879" s="3" t="s">
        <v>38557</v>
      </c>
      <c r="BC3879" s="3" t="s">
        <v>77</v>
      </c>
      <c r="BD3879" s="3" t="s">
        <v>78</v>
      </c>
      <c r="BE3879" s="3" t="s">
        <v>38558</v>
      </c>
      <c r="BF3879" s="3" t="s">
        <v>38557</v>
      </c>
      <c r="BG3879" s="3" t="s">
        <v>38559</v>
      </c>
    </row>
    <row r="3880" spans="1:59" ht="72.5" x14ac:dyDescent="0.35">
      <c r="A3880" s="2" t="s">
        <v>59</v>
      </c>
      <c r="B3880" s="2" t="s">
        <v>60</v>
      </c>
      <c r="C3880" s="2" t="s">
        <v>38560</v>
      </c>
      <c r="D3880" s="2" t="s">
        <v>38561</v>
      </c>
      <c r="E3880" s="2" t="s">
        <v>38562</v>
      </c>
      <c r="G3880" s="3" t="s">
        <v>65</v>
      </c>
      <c r="I3880" s="3" t="s">
        <v>65</v>
      </c>
      <c r="J3880" s="3" t="s">
        <v>65</v>
      </c>
      <c r="K3880" s="3" t="s">
        <v>66</v>
      </c>
      <c r="L3880" s="2" t="s">
        <v>38563</v>
      </c>
      <c r="M3880" s="2" t="s">
        <v>38564</v>
      </c>
      <c r="N3880" s="3" t="s">
        <v>139</v>
      </c>
      <c r="P3880" s="3" t="s">
        <v>140</v>
      </c>
      <c r="R3880" s="3" t="s">
        <v>71</v>
      </c>
      <c r="S3880" s="4">
        <v>0</v>
      </c>
      <c r="T3880" s="4">
        <v>0</v>
      </c>
      <c r="W3880" s="5" t="s">
        <v>72</v>
      </c>
      <c r="X3880" s="5" t="s">
        <v>72</v>
      </c>
      <c r="Y3880" s="4">
        <v>9</v>
      </c>
      <c r="Z3880" s="4">
        <v>1</v>
      </c>
      <c r="AA3880" s="4">
        <v>1</v>
      </c>
      <c r="AB3880" s="4">
        <v>1</v>
      </c>
      <c r="AC3880" s="4">
        <v>1</v>
      </c>
      <c r="AD3880" s="4">
        <v>7</v>
      </c>
      <c r="AE3880" s="4">
        <v>7</v>
      </c>
      <c r="AF3880" s="4">
        <v>0</v>
      </c>
      <c r="AG3880" s="4">
        <v>0</v>
      </c>
      <c r="AH3880" s="4">
        <v>6</v>
      </c>
      <c r="AI3880" s="4">
        <v>6</v>
      </c>
      <c r="AJ3880" s="4">
        <v>0</v>
      </c>
      <c r="AK3880" s="4">
        <v>0</v>
      </c>
      <c r="AL3880" s="4">
        <v>6</v>
      </c>
      <c r="AM3880" s="4">
        <v>6</v>
      </c>
      <c r="AN3880" s="4">
        <v>0</v>
      </c>
      <c r="AO3880" s="4">
        <v>0</v>
      </c>
      <c r="AP3880" s="4">
        <v>0</v>
      </c>
      <c r="AQ3880" s="4">
        <v>0</v>
      </c>
      <c r="AR3880" s="3" t="s">
        <v>65</v>
      </c>
      <c r="AS3880" s="3" t="s">
        <v>65</v>
      </c>
      <c r="AT3880" s="3" t="s">
        <v>65</v>
      </c>
      <c r="AV3880" s="6" t="str">
        <f>HYPERLINK("http://mcgill.on.worldcat.org/oclc/842837379","Catalog Record")</f>
        <v>Catalog Record</v>
      </c>
      <c r="AW3880" s="6" t="str">
        <f>HYPERLINK("http://www.worldcat.org/oclc/842837379","WorldCat Record")</f>
        <v>WorldCat Record</v>
      </c>
      <c r="AX3880" s="3" t="s">
        <v>38565</v>
      </c>
      <c r="AY3880" s="3" t="s">
        <v>38566</v>
      </c>
      <c r="AZ3880" s="3" t="s">
        <v>38567</v>
      </c>
      <c r="BA3880" s="3" t="s">
        <v>38567</v>
      </c>
      <c r="BB3880" s="3" t="s">
        <v>38568</v>
      </c>
      <c r="BC3880" s="3" t="s">
        <v>77</v>
      </c>
      <c r="BD3880" s="3" t="s">
        <v>78</v>
      </c>
      <c r="BE3880" s="3" t="s">
        <v>38569</v>
      </c>
      <c r="BF3880" s="3" t="s">
        <v>38568</v>
      </c>
      <c r="BG3880" s="3" t="s">
        <v>38570</v>
      </c>
    </row>
    <row r="3881" spans="1:59" ht="72.5" x14ac:dyDescent="0.35">
      <c r="A3881" s="2" t="s">
        <v>59</v>
      </c>
      <c r="B3881" s="2" t="s">
        <v>60</v>
      </c>
      <c r="C3881" s="2" t="s">
        <v>38571</v>
      </c>
      <c r="D3881" s="2" t="s">
        <v>38572</v>
      </c>
      <c r="E3881" s="2" t="s">
        <v>38573</v>
      </c>
      <c r="G3881" s="3" t="s">
        <v>65</v>
      </c>
      <c r="I3881" s="3" t="s">
        <v>65</v>
      </c>
      <c r="J3881" s="3" t="s">
        <v>65</v>
      </c>
      <c r="K3881" s="3" t="s">
        <v>66</v>
      </c>
      <c r="L3881" s="2" t="s">
        <v>38563</v>
      </c>
      <c r="M3881" s="2" t="s">
        <v>38574</v>
      </c>
      <c r="N3881" s="3" t="s">
        <v>126</v>
      </c>
      <c r="O3881" s="2" t="s">
        <v>365</v>
      </c>
      <c r="P3881" s="3" t="s">
        <v>140</v>
      </c>
      <c r="Q3881" s="2" t="s">
        <v>38575</v>
      </c>
      <c r="R3881" s="3" t="s">
        <v>71</v>
      </c>
      <c r="S3881" s="4">
        <v>0</v>
      </c>
      <c r="T3881" s="4">
        <v>0</v>
      </c>
      <c r="W3881" s="5" t="s">
        <v>72</v>
      </c>
      <c r="X3881" s="5" t="s">
        <v>72</v>
      </c>
      <c r="Y3881" s="4">
        <v>16</v>
      </c>
      <c r="Z3881" s="4">
        <v>1</v>
      </c>
      <c r="AA3881" s="4">
        <v>1</v>
      </c>
      <c r="AB3881" s="4">
        <v>1</v>
      </c>
      <c r="AC3881" s="4">
        <v>1</v>
      </c>
      <c r="AD3881" s="4">
        <v>14</v>
      </c>
      <c r="AE3881" s="4">
        <v>14</v>
      </c>
      <c r="AF3881" s="4">
        <v>0</v>
      </c>
      <c r="AG3881" s="4">
        <v>0</v>
      </c>
      <c r="AH3881" s="4">
        <v>13</v>
      </c>
      <c r="AI3881" s="4">
        <v>13</v>
      </c>
      <c r="AJ3881" s="4">
        <v>0</v>
      </c>
      <c r="AK3881" s="4">
        <v>0</v>
      </c>
      <c r="AL3881" s="4">
        <v>11</v>
      </c>
      <c r="AM3881" s="4">
        <v>11</v>
      </c>
      <c r="AN3881" s="4">
        <v>0</v>
      </c>
      <c r="AO3881" s="4">
        <v>0</v>
      </c>
      <c r="AP3881" s="4">
        <v>0</v>
      </c>
      <c r="AQ3881" s="4">
        <v>0</v>
      </c>
      <c r="AR3881" s="3" t="s">
        <v>65</v>
      </c>
      <c r="AS3881" s="3" t="s">
        <v>65</v>
      </c>
      <c r="AT3881" s="3" t="s">
        <v>65</v>
      </c>
      <c r="AV3881" s="6" t="str">
        <f>HYPERLINK("http://mcgill.on.worldcat.org/oclc/724302674","Catalog Record")</f>
        <v>Catalog Record</v>
      </c>
      <c r="AW3881" s="6" t="str">
        <f>HYPERLINK("http://www.worldcat.org/oclc/724302674","WorldCat Record")</f>
        <v>WorldCat Record</v>
      </c>
      <c r="AX3881" s="3" t="s">
        <v>38576</v>
      </c>
      <c r="AY3881" s="3" t="s">
        <v>38577</v>
      </c>
      <c r="AZ3881" s="3" t="s">
        <v>38578</v>
      </c>
      <c r="BA3881" s="3" t="s">
        <v>38578</v>
      </c>
      <c r="BB3881" s="3" t="s">
        <v>38579</v>
      </c>
      <c r="BC3881" s="3" t="s">
        <v>77</v>
      </c>
      <c r="BD3881" s="3" t="s">
        <v>78</v>
      </c>
      <c r="BE3881" s="3" t="s">
        <v>38580</v>
      </c>
      <c r="BF3881" s="3" t="s">
        <v>38579</v>
      </c>
      <c r="BG3881" s="3" t="s">
        <v>38581</v>
      </c>
    </row>
    <row r="3882" spans="1:59" ht="58" x14ac:dyDescent="0.35">
      <c r="A3882" s="2" t="s">
        <v>59</v>
      </c>
      <c r="B3882" s="2" t="s">
        <v>60</v>
      </c>
      <c r="C3882" s="2" t="s">
        <v>38582</v>
      </c>
      <c r="D3882" s="2" t="s">
        <v>38583</v>
      </c>
      <c r="E3882" s="2" t="s">
        <v>38584</v>
      </c>
      <c r="G3882" s="3" t="s">
        <v>65</v>
      </c>
      <c r="I3882" s="3" t="s">
        <v>65</v>
      </c>
      <c r="J3882" s="3" t="s">
        <v>65</v>
      </c>
      <c r="K3882" s="3" t="s">
        <v>66</v>
      </c>
      <c r="L3882" s="2" t="s">
        <v>38563</v>
      </c>
      <c r="M3882" s="2" t="s">
        <v>38585</v>
      </c>
      <c r="N3882" s="3" t="s">
        <v>113</v>
      </c>
      <c r="P3882" s="3" t="s">
        <v>140</v>
      </c>
      <c r="Q3882" s="2" t="s">
        <v>38586</v>
      </c>
      <c r="R3882" s="3" t="s">
        <v>71</v>
      </c>
      <c r="S3882" s="4">
        <v>0</v>
      </c>
      <c r="T3882" s="4">
        <v>0</v>
      </c>
      <c r="W3882" s="5" t="s">
        <v>72</v>
      </c>
      <c r="X3882" s="5" t="s">
        <v>72</v>
      </c>
      <c r="Y3882" s="4">
        <v>21</v>
      </c>
      <c r="Z3882" s="4">
        <v>3</v>
      </c>
      <c r="AA3882" s="4">
        <v>3</v>
      </c>
      <c r="AB3882" s="4">
        <v>1</v>
      </c>
      <c r="AC3882" s="4">
        <v>1</v>
      </c>
      <c r="AD3882" s="4">
        <v>16</v>
      </c>
      <c r="AE3882" s="4">
        <v>16</v>
      </c>
      <c r="AF3882" s="4">
        <v>0</v>
      </c>
      <c r="AG3882" s="4">
        <v>0</v>
      </c>
      <c r="AH3882" s="4">
        <v>15</v>
      </c>
      <c r="AI3882" s="4">
        <v>15</v>
      </c>
      <c r="AJ3882" s="4">
        <v>1</v>
      </c>
      <c r="AK3882" s="4">
        <v>1</v>
      </c>
      <c r="AL3882" s="4">
        <v>14</v>
      </c>
      <c r="AM3882" s="4">
        <v>14</v>
      </c>
      <c r="AN3882" s="4">
        <v>0</v>
      </c>
      <c r="AO3882" s="4">
        <v>0</v>
      </c>
      <c r="AP3882" s="4">
        <v>1</v>
      </c>
      <c r="AQ3882" s="4">
        <v>1</v>
      </c>
      <c r="AR3882" s="3" t="s">
        <v>65</v>
      </c>
      <c r="AS3882" s="3" t="s">
        <v>65</v>
      </c>
      <c r="AT3882" s="3" t="s">
        <v>65</v>
      </c>
      <c r="AV3882" s="6" t="str">
        <f>HYPERLINK("http://mcgill.on.worldcat.org/oclc/668177842","Catalog Record")</f>
        <v>Catalog Record</v>
      </c>
      <c r="AW3882" s="6" t="str">
        <f>HYPERLINK("http://www.worldcat.org/oclc/668177842","WorldCat Record")</f>
        <v>WorldCat Record</v>
      </c>
      <c r="AX3882" s="3" t="s">
        <v>38587</v>
      </c>
      <c r="AY3882" s="3" t="s">
        <v>38588</v>
      </c>
      <c r="AZ3882" s="3" t="s">
        <v>38589</v>
      </c>
      <c r="BA3882" s="3" t="s">
        <v>38589</v>
      </c>
      <c r="BB3882" s="3" t="s">
        <v>38590</v>
      </c>
      <c r="BC3882" s="3" t="s">
        <v>77</v>
      </c>
      <c r="BD3882" s="3" t="s">
        <v>78</v>
      </c>
      <c r="BE3882" s="3" t="s">
        <v>38591</v>
      </c>
      <c r="BF3882" s="3" t="s">
        <v>38590</v>
      </c>
      <c r="BG3882" s="3" t="s">
        <v>38592</v>
      </c>
    </row>
    <row r="3883" spans="1:59" ht="58" x14ac:dyDescent="0.35">
      <c r="A3883" s="2" t="s">
        <v>59</v>
      </c>
      <c r="B3883" s="2" t="s">
        <v>60</v>
      </c>
      <c r="C3883" s="2" t="s">
        <v>38593</v>
      </c>
      <c r="D3883" s="2" t="s">
        <v>38594</v>
      </c>
      <c r="E3883" s="2" t="s">
        <v>38595</v>
      </c>
      <c r="G3883" s="3" t="s">
        <v>65</v>
      </c>
      <c r="I3883" s="3" t="s">
        <v>65</v>
      </c>
      <c r="J3883" s="3" t="s">
        <v>65</v>
      </c>
      <c r="K3883" s="3" t="s">
        <v>66</v>
      </c>
      <c r="L3883" s="2" t="s">
        <v>38596</v>
      </c>
      <c r="M3883" s="2" t="s">
        <v>34440</v>
      </c>
      <c r="N3883" s="3" t="s">
        <v>113</v>
      </c>
      <c r="O3883" s="2" t="s">
        <v>365</v>
      </c>
      <c r="P3883" s="3" t="s">
        <v>140</v>
      </c>
      <c r="Q3883" s="2" t="s">
        <v>32206</v>
      </c>
      <c r="R3883" s="3" t="s">
        <v>71</v>
      </c>
      <c r="S3883" s="4">
        <v>1</v>
      </c>
      <c r="T3883" s="4">
        <v>1</v>
      </c>
      <c r="U3883" s="5" t="s">
        <v>38597</v>
      </c>
      <c r="V3883" s="5" t="s">
        <v>38597</v>
      </c>
      <c r="W3883" s="5" t="s">
        <v>72</v>
      </c>
      <c r="X3883" s="5" t="s">
        <v>72</v>
      </c>
      <c r="Y3883" s="4">
        <v>91</v>
      </c>
      <c r="Z3883" s="4">
        <v>10</v>
      </c>
      <c r="AA3883" s="4">
        <v>12</v>
      </c>
      <c r="AB3883" s="4">
        <v>2</v>
      </c>
      <c r="AC3883" s="4">
        <v>4</v>
      </c>
      <c r="AD3883" s="4">
        <v>46</v>
      </c>
      <c r="AE3883" s="4">
        <v>50</v>
      </c>
      <c r="AF3883" s="4">
        <v>0</v>
      </c>
      <c r="AG3883" s="4">
        <v>2</v>
      </c>
      <c r="AH3883" s="4">
        <v>45</v>
      </c>
      <c r="AI3883" s="4">
        <v>48</v>
      </c>
      <c r="AJ3883" s="4">
        <v>5</v>
      </c>
      <c r="AK3883" s="4">
        <v>7</v>
      </c>
      <c r="AL3883" s="4">
        <v>31</v>
      </c>
      <c r="AM3883" s="4">
        <v>31</v>
      </c>
      <c r="AN3883" s="4">
        <v>0</v>
      </c>
      <c r="AO3883" s="4">
        <v>0</v>
      </c>
      <c r="AP3883" s="4">
        <v>5</v>
      </c>
      <c r="AQ3883" s="4">
        <v>6</v>
      </c>
      <c r="AR3883" s="3" t="s">
        <v>65</v>
      </c>
      <c r="AS3883" s="3" t="s">
        <v>65</v>
      </c>
      <c r="AT3883" s="3" t="s">
        <v>65</v>
      </c>
      <c r="AV3883" s="6" t="str">
        <f>HYPERLINK("http://mcgill.on.worldcat.org/oclc/603033251","Catalog Record")</f>
        <v>Catalog Record</v>
      </c>
      <c r="AW3883" s="6" t="str">
        <f>HYPERLINK("http://www.worldcat.org/oclc/603033251","WorldCat Record")</f>
        <v>WorldCat Record</v>
      </c>
      <c r="AX3883" s="3" t="s">
        <v>38598</v>
      </c>
      <c r="AY3883" s="3" t="s">
        <v>38599</v>
      </c>
      <c r="AZ3883" s="3" t="s">
        <v>38600</v>
      </c>
      <c r="BA3883" s="3" t="s">
        <v>38600</v>
      </c>
      <c r="BB3883" s="3" t="s">
        <v>38601</v>
      </c>
      <c r="BC3883" s="3" t="s">
        <v>77</v>
      </c>
      <c r="BD3883" s="3" t="s">
        <v>78</v>
      </c>
      <c r="BE3883" s="3" t="s">
        <v>38602</v>
      </c>
      <c r="BF3883" s="3" t="s">
        <v>38601</v>
      </c>
      <c r="BG3883" s="3" t="s">
        <v>38603</v>
      </c>
    </row>
    <row r="3884" spans="1:59" ht="72.5" x14ac:dyDescent="0.35">
      <c r="A3884" s="2" t="s">
        <v>59</v>
      </c>
      <c r="B3884" s="2" t="s">
        <v>60</v>
      </c>
      <c r="C3884" s="2" t="s">
        <v>38604</v>
      </c>
      <c r="D3884" s="2" t="s">
        <v>38605</v>
      </c>
      <c r="E3884" s="2" t="s">
        <v>38606</v>
      </c>
      <c r="G3884" s="3" t="s">
        <v>65</v>
      </c>
      <c r="I3884" s="3" t="s">
        <v>65</v>
      </c>
      <c r="J3884" s="3" t="s">
        <v>65</v>
      </c>
      <c r="K3884" s="3" t="s">
        <v>66</v>
      </c>
      <c r="L3884" s="2" t="s">
        <v>38607</v>
      </c>
      <c r="M3884" s="2" t="s">
        <v>38608</v>
      </c>
      <c r="N3884" s="3" t="s">
        <v>152</v>
      </c>
      <c r="P3884" s="3" t="s">
        <v>69</v>
      </c>
      <c r="Q3884" s="2" t="s">
        <v>38609</v>
      </c>
      <c r="R3884" s="3" t="s">
        <v>71</v>
      </c>
      <c r="S3884" s="4">
        <v>3</v>
      </c>
      <c r="T3884" s="4">
        <v>3</v>
      </c>
      <c r="U3884" s="5" t="s">
        <v>38610</v>
      </c>
      <c r="V3884" s="5" t="s">
        <v>38610</v>
      </c>
      <c r="W3884" s="5" t="s">
        <v>72</v>
      </c>
      <c r="X3884" s="5" t="s">
        <v>72</v>
      </c>
      <c r="Y3884" s="4">
        <v>67</v>
      </c>
      <c r="Z3884" s="4">
        <v>6</v>
      </c>
      <c r="AA3884" s="4">
        <v>8</v>
      </c>
      <c r="AB3884" s="4">
        <v>1</v>
      </c>
      <c r="AC3884" s="4">
        <v>3</v>
      </c>
      <c r="AD3884" s="4">
        <v>28</v>
      </c>
      <c r="AE3884" s="4">
        <v>28</v>
      </c>
      <c r="AF3884" s="4">
        <v>0</v>
      </c>
      <c r="AG3884" s="4">
        <v>0</v>
      </c>
      <c r="AH3884" s="4">
        <v>27</v>
      </c>
      <c r="AI3884" s="4">
        <v>27</v>
      </c>
      <c r="AJ3884" s="4">
        <v>4</v>
      </c>
      <c r="AK3884" s="4">
        <v>4</v>
      </c>
      <c r="AL3884" s="4">
        <v>20</v>
      </c>
      <c r="AM3884" s="4">
        <v>20</v>
      </c>
      <c r="AN3884" s="4">
        <v>0</v>
      </c>
      <c r="AO3884" s="4">
        <v>0</v>
      </c>
      <c r="AP3884" s="4">
        <v>4</v>
      </c>
      <c r="AQ3884" s="4">
        <v>4</v>
      </c>
      <c r="AR3884" s="3" t="s">
        <v>65</v>
      </c>
      <c r="AS3884" s="3" t="s">
        <v>65</v>
      </c>
      <c r="AT3884" s="3" t="s">
        <v>65</v>
      </c>
      <c r="AV3884" s="6" t="str">
        <f>HYPERLINK("http://mcgill.on.worldcat.org/oclc/817267540","Catalog Record")</f>
        <v>Catalog Record</v>
      </c>
      <c r="AW3884" s="6" t="str">
        <f>HYPERLINK("http://www.worldcat.org/oclc/817267540","WorldCat Record")</f>
        <v>WorldCat Record</v>
      </c>
      <c r="AX3884" s="3" t="s">
        <v>38611</v>
      </c>
      <c r="AY3884" s="3" t="s">
        <v>38612</v>
      </c>
      <c r="AZ3884" s="3" t="s">
        <v>38613</v>
      </c>
      <c r="BA3884" s="3" t="s">
        <v>38613</v>
      </c>
      <c r="BB3884" s="3" t="s">
        <v>38614</v>
      </c>
      <c r="BC3884" s="3" t="s">
        <v>77</v>
      </c>
      <c r="BD3884" s="3" t="s">
        <v>78</v>
      </c>
      <c r="BE3884" s="3" t="s">
        <v>38615</v>
      </c>
      <c r="BF3884" s="3" t="s">
        <v>38614</v>
      </c>
      <c r="BG3884" s="3" t="s">
        <v>38616</v>
      </c>
    </row>
    <row r="3885" spans="1:59" ht="72.5" x14ac:dyDescent="0.35">
      <c r="A3885" s="2" t="s">
        <v>59</v>
      </c>
      <c r="B3885" s="2" t="s">
        <v>60</v>
      </c>
      <c r="C3885" s="2" t="s">
        <v>38617</v>
      </c>
      <c r="D3885" s="2" t="s">
        <v>38618</v>
      </c>
      <c r="E3885" s="2" t="s">
        <v>38619</v>
      </c>
      <c r="G3885" s="3" t="s">
        <v>65</v>
      </c>
      <c r="I3885" s="3" t="s">
        <v>65</v>
      </c>
      <c r="J3885" s="3" t="s">
        <v>65</v>
      </c>
      <c r="K3885" s="3" t="s">
        <v>66</v>
      </c>
      <c r="L3885" s="2" t="s">
        <v>38596</v>
      </c>
      <c r="M3885" s="2" t="s">
        <v>38620</v>
      </c>
      <c r="N3885" s="3" t="s">
        <v>126</v>
      </c>
      <c r="P3885" s="3" t="s">
        <v>140</v>
      </c>
      <c r="Q3885" s="2" t="s">
        <v>34441</v>
      </c>
      <c r="R3885" s="3" t="s">
        <v>71</v>
      </c>
      <c r="S3885" s="4">
        <v>0</v>
      </c>
      <c r="T3885" s="4">
        <v>0</v>
      </c>
      <c r="W3885" s="5" t="s">
        <v>72</v>
      </c>
      <c r="X3885" s="5" t="s">
        <v>72</v>
      </c>
      <c r="Y3885" s="4">
        <v>20</v>
      </c>
      <c r="Z3885" s="4">
        <v>4</v>
      </c>
      <c r="AA3885" s="4">
        <v>8</v>
      </c>
      <c r="AB3885" s="4">
        <v>2</v>
      </c>
      <c r="AC3885" s="4">
        <v>3</v>
      </c>
      <c r="AD3885" s="4">
        <v>10</v>
      </c>
      <c r="AE3885" s="4">
        <v>21</v>
      </c>
      <c r="AF3885" s="4">
        <v>0</v>
      </c>
      <c r="AG3885" s="4">
        <v>1</v>
      </c>
      <c r="AH3885" s="4">
        <v>10</v>
      </c>
      <c r="AI3885" s="4">
        <v>19</v>
      </c>
      <c r="AJ3885" s="4">
        <v>1</v>
      </c>
      <c r="AK3885" s="4">
        <v>3</v>
      </c>
      <c r="AL3885" s="4">
        <v>6</v>
      </c>
      <c r="AM3885" s="4">
        <v>12</v>
      </c>
      <c r="AN3885" s="4">
        <v>0</v>
      </c>
      <c r="AO3885" s="4">
        <v>0</v>
      </c>
      <c r="AP3885" s="4">
        <v>1</v>
      </c>
      <c r="AQ3885" s="4">
        <v>2</v>
      </c>
      <c r="AR3885" s="3" t="s">
        <v>65</v>
      </c>
      <c r="AS3885" s="3" t="s">
        <v>65</v>
      </c>
      <c r="AT3885" s="3" t="s">
        <v>65</v>
      </c>
      <c r="AV3885" s="6" t="str">
        <f>HYPERLINK("http://mcgill.on.worldcat.org/oclc/704943041","Catalog Record")</f>
        <v>Catalog Record</v>
      </c>
      <c r="AW3885" s="6" t="str">
        <f>HYPERLINK("http://www.worldcat.org/oclc/704943041","WorldCat Record")</f>
        <v>WorldCat Record</v>
      </c>
      <c r="AX3885" s="3" t="s">
        <v>38621</v>
      </c>
      <c r="AY3885" s="3" t="s">
        <v>38622</v>
      </c>
      <c r="AZ3885" s="3" t="s">
        <v>38623</v>
      </c>
      <c r="BA3885" s="3" t="s">
        <v>38623</v>
      </c>
      <c r="BB3885" s="3" t="s">
        <v>38624</v>
      </c>
      <c r="BC3885" s="3" t="s">
        <v>77</v>
      </c>
      <c r="BD3885" s="3" t="s">
        <v>78</v>
      </c>
      <c r="BE3885" s="3" t="s">
        <v>38625</v>
      </c>
      <c r="BF3885" s="3" t="s">
        <v>38624</v>
      </c>
      <c r="BG3885" s="3" t="s">
        <v>38626</v>
      </c>
    </row>
    <row r="3886" spans="1:59" ht="58" x14ac:dyDescent="0.35">
      <c r="A3886" s="2" t="s">
        <v>59</v>
      </c>
      <c r="B3886" s="2" t="s">
        <v>60</v>
      </c>
      <c r="C3886" s="2" t="s">
        <v>38627</v>
      </c>
      <c r="D3886" s="2" t="s">
        <v>38628</v>
      </c>
      <c r="E3886" s="2" t="s">
        <v>38629</v>
      </c>
      <c r="G3886" s="3" t="s">
        <v>65</v>
      </c>
      <c r="I3886" s="3" t="s">
        <v>65</v>
      </c>
      <c r="J3886" s="3" t="s">
        <v>65</v>
      </c>
      <c r="K3886" s="3" t="s">
        <v>66</v>
      </c>
      <c r="L3886" s="2" t="s">
        <v>38630</v>
      </c>
      <c r="M3886" s="2" t="s">
        <v>38631</v>
      </c>
      <c r="N3886" s="3" t="s">
        <v>3385</v>
      </c>
      <c r="P3886" s="3" t="s">
        <v>69</v>
      </c>
      <c r="R3886" s="3" t="s">
        <v>71</v>
      </c>
      <c r="S3886" s="4">
        <v>4</v>
      </c>
      <c r="T3886" s="4">
        <v>4</v>
      </c>
      <c r="U3886" s="5" t="s">
        <v>19215</v>
      </c>
      <c r="V3886" s="5" t="s">
        <v>19215</v>
      </c>
      <c r="W3886" s="5" t="s">
        <v>72</v>
      </c>
      <c r="X3886" s="5" t="s">
        <v>72</v>
      </c>
      <c r="Y3886" s="4">
        <v>259</v>
      </c>
      <c r="Z3886" s="4">
        <v>11</v>
      </c>
      <c r="AA3886" s="4">
        <v>14</v>
      </c>
      <c r="AB3886" s="4">
        <v>1</v>
      </c>
      <c r="AC3886" s="4">
        <v>1</v>
      </c>
      <c r="AD3886" s="4">
        <v>65</v>
      </c>
      <c r="AE3886" s="4">
        <v>71</v>
      </c>
      <c r="AF3886" s="4">
        <v>0</v>
      </c>
      <c r="AG3886" s="4">
        <v>0</v>
      </c>
      <c r="AH3886" s="4">
        <v>62</v>
      </c>
      <c r="AI3886" s="4">
        <v>68</v>
      </c>
      <c r="AJ3886" s="4">
        <v>4</v>
      </c>
      <c r="AK3886" s="4">
        <v>5</v>
      </c>
      <c r="AL3886" s="4">
        <v>37</v>
      </c>
      <c r="AM3886" s="4">
        <v>42</v>
      </c>
      <c r="AN3886" s="4">
        <v>2</v>
      </c>
      <c r="AO3886" s="4">
        <v>2</v>
      </c>
      <c r="AP3886" s="4">
        <v>5</v>
      </c>
      <c r="AQ3886" s="4">
        <v>6</v>
      </c>
      <c r="AR3886" s="3" t="s">
        <v>65</v>
      </c>
      <c r="AS3886" s="3" t="s">
        <v>65</v>
      </c>
      <c r="AT3886" s="3" t="s">
        <v>209</v>
      </c>
      <c r="AU3886" s="6" t="str">
        <f>HYPERLINK("http://catalog.hathitrust.org/Record/004070410","HathiTrust Record")</f>
        <v>HathiTrust Record</v>
      </c>
      <c r="AV3886" s="6" t="str">
        <f>HYPERLINK("http://mcgill.on.worldcat.org/oclc/42639373","Catalog Record")</f>
        <v>Catalog Record</v>
      </c>
      <c r="AW3886" s="6" t="str">
        <f>HYPERLINK("http://www.worldcat.org/oclc/42639373","WorldCat Record")</f>
        <v>WorldCat Record</v>
      </c>
      <c r="AX3886" s="3" t="s">
        <v>38632</v>
      </c>
      <c r="AY3886" s="3" t="s">
        <v>38633</v>
      </c>
      <c r="AZ3886" s="3" t="s">
        <v>38634</v>
      </c>
      <c r="BA3886" s="3" t="s">
        <v>38634</v>
      </c>
      <c r="BB3886" s="3" t="s">
        <v>38635</v>
      </c>
      <c r="BC3886" s="3" t="s">
        <v>77</v>
      </c>
      <c r="BD3886" s="3" t="s">
        <v>78</v>
      </c>
      <c r="BE3886" s="3" t="s">
        <v>38636</v>
      </c>
      <c r="BF3886" s="3" t="s">
        <v>38635</v>
      </c>
      <c r="BG3886" s="3" t="s">
        <v>38637</v>
      </c>
    </row>
    <row r="3887" spans="1:59" ht="58" x14ac:dyDescent="0.35">
      <c r="A3887" s="2" t="s">
        <v>59</v>
      </c>
      <c r="B3887" s="2" t="s">
        <v>60</v>
      </c>
      <c r="C3887" s="2" t="s">
        <v>38638</v>
      </c>
      <c r="D3887" s="2" t="s">
        <v>38639</v>
      </c>
      <c r="E3887" s="2" t="s">
        <v>38640</v>
      </c>
      <c r="G3887" s="3" t="s">
        <v>65</v>
      </c>
      <c r="I3887" s="3" t="s">
        <v>65</v>
      </c>
      <c r="J3887" s="3" t="s">
        <v>65</v>
      </c>
      <c r="K3887" s="3" t="s">
        <v>66</v>
      </c>
      <c r="L3887" s="2" t="s">
        <v>38641</v>
      </c>
      <c r="M3887" s="2" t="s">
        <v>38642</v>
      </c>
      <c r="N3887" s="3" t="s">
        <v>126</v>
      </c>
      <c r="P3887" s="3" t="s">
        <v>140</v>
      </c>
      <c r="Q3887" s="2" t="s">
        <v>38643</v>
      </c>
      <c r="R3887" s="3" t="s">
        <v>71</v>
      </c>
      <c r="S3887" s="4">
        <v>0</v>
      </c>
      <c r="T3887" s="4">
        <v>0</v>
      </c>
      <c r="W3887" s="5" t="s">
        <v>72</v>
      </c>
      <c r="X3887" s="5" t="s">
        <v>72</v>
      </c>
      <c r="Y3887" s="4">
        <v>53</v>
      </c>
      <c r="Z3887" s="4">
        <v>6</v>
      </c>
      <c r="AA3887" s="4">
        <v>6</v>
      </c>
      <c r="AB3887" s="4">
        <v>1</v>
      </c>
      <c r="AC3887" s="4">
        <v>1</v>
      </c>
      <c r="AD3887" s="4">
        <v>36</v>
      </c>
      <c r="AE3887" s="4">
        <v>36</v>
      </c>
      <c r="AF3887" s="4">
        <v>0</v>
      </c>
      <c r="AG3887" s="4">
        <v>0</v>
      </c>
      <c r="AH3887" s="4">
        <v>34</v>
      </c>
      <c r="AI3887" s="4">
        <v>34</v>
      </c>
      <c r="AJ3887" s="4">
        <v>3</v>
      </c>
      <c r="AK3887" s="4">
        <v>3</v>
      </c>
      <c r="AL3887" s="4">
        <v>27</v>
      </c>
      <c r="AM3887" s="4">
        <v>27</v>
      </c>
      <c r="AN3887" s="4">
        <v>0</v>
      </c>
      <c r="AO3887" s="4">
        <v>0</v>
      </c>
      <c r="AP3887" s="4">
        <v>3</v>
      </c>
      <c r="AQ3887" s="4">
        <v>3</v>
      </c>
      <c r="AR3887" s="3" t="s">
        <v>65</v>
      </c>
      <c r="AS3887" s="3" t="s">
        <v>65</v>
      </c>
      <c r="AT3887" s="3" t="s">
        <v>65</v>
      </c>
      <c r="AV3887" s="6" t="str">
        <f>HYPERLINK("http://mcgill.on.worldcat.org/oclc/712111953","Catalog Record")</f>
        <v>Catalog Record</v>
      </c>
      <c r="AW3887" s="6" t="str">
        <f>HYPERLINK("http://www.worldcat.org/oclc/712111953","WorldCat Record")</f>
        <v>WorldCat Record</v>
      </c>
      <c r="AX3887" s="3" t="s">
        <v>38644</v>
      </c>
      <c r="AY3887" s="3" t="s">
        <v>38645</v>
      </c>
      <c r="AZ3887" s="3" t="s">
        <v>38646</v>
      </c>
      <c r="BA3887" s="3" t="s">
        <v>38646</v>
      </c>
      <c r="BB3887" s="3" t="s">
        <v>38647</v>
      </c>
      <c r="BC3887" s="3" t="s">
        <v>77</v>
      </c>
      <c r="BD3887" s="3" t="s">
        <v>78</v>
      </c>
      <c r="BE3887" s="3" t="s">
        <v>38648</v>
      </c>
      <c r="BF3887" s="3" t="s">
        <v>38647</v>
      </c>
      <c r="BG3887" s="3" t="s">
        <v>38649</v>
      </c>
    </row>
    <row r="3888" spans="1:59" ht="58" x14ac:dyDescent="0.35">
      <c r="A3888" s="2" t="s">
        <v>59</v>
      </c>
      <c r="B3888" s="2" t="s">
        <v>60</v>
      </c>
      <c r="C3888" s="2" t="s">
        <v>38650</v>
      </c>
      <c r="D3888" s="2" t="s">
        <v>38651</v>
      </c>
      <c r="E3888" s="2" t="s">
        <v>38652</v>
      </c>
      <c r="G3888" s="3" t="s">
        <v>65</v>
      </c>
      <c r="I3888" s="3" t="s">
        <v>65</v>
      </c>
      <c r="J3888" s="3" t="s">
        <v>65</v>
      </c>
      <c r="K3888" s="3" t="s">
        <v>66</v>
      </c>
      <c r="L3888" s="2" t="s">
        <v>25889</v>
      </c>
      <c r="M3888" s="2" t="s">
        <v>38653</v>
      </c>
      <c r="N3888" s="3" t="s">
        <v>139</v>
      </c>
      <c r="P3888" s="3" t="s">
        <v>140</v>
      </c>
      <c r="Q3888" s="2" t="s">
        <v>38654</v>
      </c>
      <c r="R3888" s="3" t="s">
        <v>71</v>
      </c>
      <c r="S3888" s="4">
        <v>0</v>
      </c>
      <c r="T3888" s="4">
        <v>0</v>
      </c>
      <c r="W3888" s="5" t="s">
        <v>72</v>
      </c>
      <c r="X3888" s="5" t="s">
        <v>72</v>
      </c>
      <c r="Y3888" s="4">
        <v>37</v>
      </c>
      <c r="Z3888" s="4">
        <v>4</v>
      </c>
      <c r="AA3888" s="4">
        <v>4</v>
      </c>
      <c r="AB3888" s="4">
        <v>1</v>
      </c>
      <c r="AC3888" s="4">
        <v>1</v>
      </c>
      <c r="AD3888" s="4">
        <v>24</v>
      </c>
      <c r="AE3888" s="4">
        <v>24</v>
      </c>
      <c r="AF3888" s="4">
        <v>0</v>
      </c>
      <c r="AG3888" s="4">
        <v>0</v>
      </c>
      <c r="AH3888" s="4">
        <v>24</v>
      </c>
      <c r="AI3888" s="4">
        <v>24</v>
      </c>
      <c r="AJ3888" s="4">
        <v>1</v>
      </c>
      <c r="AK3888" s="4">
        <v>1</v>
      </c>
      <c r="AL3888" s="4">
        <v>18</v>
      </c>
      <c r="AM3888" s="4">
        <v>18</v>
      </c>
      <c r="AN3888" s="4">
        <v>0</v>
      </c>
      <c r="AO3888" s="4">
        <v>0</v>
      </c>
      <c r="AP3888" s="4">
        <v>1</v>
      </c>
      <c r="AQ3888" s="4">
        <v>1</v>
      </c>
      <c r="AR3888" s="3" t="s">
        <v>65</v>
      </c>
      <c r="AS3888" s="3" t="s">
        <v>65</v>
      </c>
      <c r="AT3888" s="3" t="s">
        <v>65</v>
      </c>
      <c r="AV3888" s="6" t="str">
        <f>HYPERLINK("http://mcgill.on.worldcat.org/oclc/826681406","Catalog Record")</f>
        <v>Catalog Record</v>
      </c>
      <c r="AW3888" s="6" t="str">
        <f>HYPERLINK("http://www.worldcat.org/oclc/826681406","WorldCat Record")</f>
        <v>WorldCat Record</v>
      </c>
      <c r="AX3888" s="3" t="s">
        <v>38655</v>
      </c>
      <c r="AY3888" s="3" t="s">
        <v>38656</v>
      </c>
      <c r="AZ3888" s="3" t="s">
        <v>38657</v>
      </c>
      <c r="BA3888" s="3" t="s">
        <v>38657</v>
      </c>
      <c r="BB3888" s="3" t="s">
        <v>38658</v>
      </c>
      <c r="BC3888" s="3" t="s">
        <v>77</v>
      </c>
      <c r="BD3888" s="3" t="s">
        <v>78</v>
      </c>
      <c r="BE3888" s="3" t="s">
        <v>38659</v>
      </c>
      <c r="BF3888" s="3" t="s">
        <v>38658</v>
      </c>
      <c r="BG3888" s="3" t="s">
        <v>38660</v>
      </c>
    </row>
    <row r="3889" spans="1:59" ht="58" x14ac:dyDescent="0.35">
      <c r="A3889" s="2" t="s">
        <v>59</v>
      </c>
      <c r="B3889" s="2" t="s">
        <v>60</v>
      </c>
      <c r="C3889" s="2" t="s">
        <v>38661</v>
      </c>
      <c r="D3889" s="2" t="s">
        <v>38662</v>
      </c>
      <c r="E3889" s="2" t="s">
        <v>38663</v>
      </c>
      <c r="G3889" s="3" t="s">
        <v>65</v>
      </c>
      <c r="I3889" s="3" t="s">
        <v>65</v>
      </c>
      <c r="J3889" s="3" t="s">
        <v>65</v>
      </c>
      <c r="K3889" s="3" t="s">
        <v>66</v>
      </c>
      <c r="L3889" s="2" t="s">
        <v>38664</v>
      </c>
      <c r="M3889" s="2" t="s">
        <v>38665</v>
      </c>
      <c r="N3889" s="3" t="s">
        <v>352</v>
      </c>
      <c r="P3889" s="3" t="s">
        <v>140</v>
      </c>
      <c r="Q3889" s="2" t="s">
        <v>38666</v>
      </c>
      <c r="R3889" s="3" t="s">
        <v>71</v>
      </c>
      <c r="S3889" s="4">
        <v>1</v>
      </c>
      <c r="T3889" s="4">
        <v>1</v>
      </c>
      <c r="U3889" s="5" t="s">
        <v>8801</v>
      </c>
      <c r="V3889" s="5" t="s">
        <v>8801</v>
      </c>
      <c r="W3889" s="5" t="s">
        <v>72</v>
      </c>
      <c r="X3889" s="5" t="s">
        <v>72</v>
      </c>
      <c r="Y3889" s="4">
        <v>1</v>
      </c>
      <c r="Z3889" s="4">
        <v>1</v>
      </c>
      <c r="AA3889" s="4">
        <v>5</v>
      </c>
      <c r="AB3889" s="4">
        <v>1</v>
      </c>
      <c r="AC3889" s="4">
        <v>1</v>
      </c>
      <c r="AD3889" s="4">
        <v>0</v>
      </c>
      <c r="AE3889" s="4">
        <v>28</v>
      </c>
      <c r="AF3889" s="4">
        <v>0</v>
      </c>
      <c r="AG3889" s="4">
        <v>0</v>
      </c>
      <c r="AH3889" s="4">
        <v>0</v>
      </c>
      <c r="AI3889" s="4">
        <v>26</v>
      </c>
      <c r="AJ3889" s="4">
        <v>0</v>
      </c>
      <c r="AK3889" s="4">
        <v>2</v>
      </c>
      <c r="AL3889" s="4">
        <v>0</v>
      </c>
      <c r="AM3889" s="4">
        <v>21</v>
      </c>
      <c r="AN3889" s="4">
        <v>0</v>
      </c>
      <c r="AO3889" s="4">
        <v>0</v>
      </c>
      <c r="AP3889" s="4">
        <v>0</v>
      </c>
      <c r="AQ3889" s="4">
        <v>2</v>
      </c>
      <c r="AR3889" s="3" t="s">
        <v>65</v>
      </c>
      <c r="AS3889" s="3" t="s">
        <v>65</v>
      </c>
      <c r="AT3889" s="3" t="s">
        <v>65</v>
      </c>
      <c r="AV3889" s="6" t="str">
        <f>HYPERLINK("http://mcgill.on.worldcat.org/oclc/61609319","Catalog Record")</f>
        <v>Catalog Record</v>
      </c>
      <c r="AW3889" s="6" t="str">
        <f>HYPERLINK("http://www.worldcat.org/oclc/61609319","WorldCat Record")</f>
        <v>WorldCat Record</v>
      </c>
      <c r="AX3889" s="3" t="s">
        <v>38667</v>
      </c>
      <c r="AY3889" s="3" t="s">
        <v>38668</v>
      </c>
      <c r="AZ3889" s="3" t="s">
        <v>38669</v>
      </c>
      <c r="BA3889" s="3" t="s">
        <v>38669</v>
      </c>
      <c r="BB3889" s="3" t="s">
        <v>38670</v>
      </c>
      <c r="BC3889" s="3" t="s">
        <v>77</v>
      </c>
      <c r="BD3889" s="3" t="s">
        <v>78</v>
      </c>
      <c r="BF3889" s="3" t="s">
        <v>38670</v>
      </c>
      <c r="BG3889" s="3" t="s">
        <v>38671</v>
      </c>
    </row>
    <row r="3890" spans="1:59" ht="72.5" x14ac:dyDescent="0.35">
      <c r="A3890" s="2" t="s">
        <v>59</v>
      </c>
      <c r="B3890" s="2" t="s">
        <v>60</v>
      </c>
      <c r="C3890" s="2" t="s">
        <v>38672</v>
      </c>
      <c r="D3890" s="2" t="s">
        <v>38673</v>
      </c>
      <c r="E3890" s="2" t="s">
        <v>38674</v>
      </c>
      <c r="G3890" s="3" t="s">
        <v>65</v>
      </c>
      <c r="I3890" s="3" t="s">
        <v>65</v>
      </c>
      <c r="J3890" s="3" t="s">
        <v>65</v>
      </c>
      <c r="K3890" s="3" t="s">
        <v>66</v>
      </c>
      <c r="M3890" s="2" t="s">
        <v>16261</v>
      </c>
      <c r="N3890" s="3" t="s">
        <v>139</v>
      </c>
      <c r="P3890" s="3" t="s">
        <v>140</v>
      </c>
      <c r="Q3890" s="2" t="s">
        <v>38675</v>
      </c>
      <c r="R3890" s="3" t="s">
        <v>71</v>
      </c>
      <c r="S3890" s="4">
        <v>0</v>
      </c>
      <c r="T3890" s="4">
        <v>0</v>
      </c>
      <c r="W3890" s="5" t="s">
        <v>72</v>
      </c>
      <c r="X3890" s="5" t="s">
        <v>72</v>
      </c>
      <c r="Y3890" s="4">
        <v>34</v>
      </c>
      <c r="Z3890" s="4">
        <v>3</v>
      </c>
      <c r="AA3890" s="4">
        <v>3</v>
      </c>
      <c r="AB3890" s="4">
        <v>1</v>
      </c>
      <c r="AC3890" s="4">
        <v>1</v>
      </c>
      <c r="AD3890" s="4">
        <v>22</v>
      </c>
      <c r="AE3890" s="4">
        <v>22</v>
      </c>
      <c r="AF3890" s="4">
        <v>0</v>
      </c>
      <c r="AG3890" s="4">
        <v>0</v>
      </c>
      <c r="AH3890" s="4">
        <v>21</v>
      </c>
      <c r="AI3890" s="4">
        <v>21</v>
      </c>
      <c r="AJ3890" s="4">
        <v>1</v>
      </c>
      <c r="AK3890" s="4">
        <v>1</v>
      </c>
      <c r="AL3890" s="4">
        <v>19</v>
      </c>
      <c r="AM3890" s="4">
        <v>19</v>
      </c>
      <c r="AN3890" s="4">
        <v>0</v>
      </c>
      <c r="AO3890" s="4">
        <v>0</v>
      </c>
      <c r="AP3890" s="4">
        <v>1</v>
      </c>
      <c r="AQ3890" s="4">
        <v>1</v>
      </c>
      <c r="AR3890" s="3" t="s">
        <v>65</v>
      </c>
      <c r="AS3890" s="3" t="s">
        <v>65</v>
      </c>
      <c r="AT3890" s="3" t="s">
        <v>65</v>
      </c>
      <c r="AV3890" s="6" t="str">
        <f>HYPERLINK("http://mcgill.on.worldcat.org/oclc/811589205","Catalog Record")</f>
        <v>Catalog Record</v>
      </c>
      <c r="AW3890" s="6" t="str">
        <f>HYPERLINK("http://www.worldcat.org/oclc/811589205","WorldCat Record")</f>
        <v>WorldCat Record</v>
      </c>
      <c r="AX3890" s="3" t="s">
        <v>38676</v>
      </c>
      <c r="AY3890" s="3" t="s">
        <v>38677</v>
      </c>
      <c r="AZ3890" s="3" t="s">
        <v>38678</v>
      </c>
      <c r="BA3890" s="3" t="s">
        <v>38678</v>
      </c>
      <c r="BB3890" s="3" t="s">
        <v>38679</v>
      </c>
      <c r="BC3890" s="3" t="s">
        <v>77</v>
      </c>
      <c r="BD3890" s="3" t="s">
        <v>78</v>
      </c>
      <c r="BE3890" s="3" t="s">
        <v>38680</v>
      </c>
      <c r="BF3890" s="3" t="s">
        <v>38679</v>
      </c>
      <c r="BG3890" s="3" t="s">
        <v>38681</v>
      </c>
    </row>
    <row r="3891" spans="1:59" ht="58" x14ac:dyDescent="0.35">
      <c r="A3891" s="2" t="s">
        <v>59</v>
      </c>
      <c r="B3891" s="2" t="s">
        <v>60</v>
      </c>
      <c r="C3891" s="2" t="s">
        <v>38682</v>
      </c>
      <c r="D3891" s="2" t="s">
        <v>38683</v>
      </c>
      <c r="E3891" s="2" t="s">
        <v>38684</v>
      </c>
      <c r="G3891" s="3" t="s">
        <v>65</v>
      </c>
      <c r="I3891" s="3" t="s">
        <v>65</v>
      </c>
      <c r="J3891" s="3" t="s">
        <v>65</v>
      </c>
      <c r="K3891" s="3" t="s">
        <v>66</v>
      </c>
      <c r="L3891" s="2" t="s">
        <v>38685</v>
      </c>
      <c r="M3891" s="2" t="s">
        <v>35107</v>
      </c>
      <c r="N3891" s="3" t="s">
        <v>906</v>
      </c>
      <c r="O3891" s="2" t="s">
        <v>365</v>
      </c>
      <c r="P3891" s="3" t="s">
        <v>140</v>
      </c>
      <c r="Q3891" s="2" t="s">
        <v>32206</v>
      </c>
      <c r="R3891" s="3" t="s">
        <v>71</v>
      </c>
      <c r="S3891" s="4">
        <v>1</v>
      </c>
      <c r="T3891" s="4">
        <v>1</v>
      </c>
      <c r="U3891" s="5" t="s">
        <v>38686</v>
      </c>
      <c r="V3891" s="5" t="s">
        <v>38686</v>
      </c>
      <c r="W3891" s="5" t="s">
        <v>72</v>
      </c>
      <c r="X3891" s="5" t="s">
        <v>72</v>
      </c>
      <c r="Y3891" s="4">
        <v>45</v>
      </c>
      <c r="Z3891" s="4">
        <v>5</v>
      </c>
      <c r="AA3891" s="4">
        <v>6</v>
      </c>
      <c r="AB3891" s="4">
        <v>1</v>
      </c>
      <c r="AC3891" s="4">
        <v>1</v>
      </c>
      <c r="AD3891" s="4">
        <v>26</v>
      </c>
      <c r="AE3891" s="4">
        <v>39</v>
      </c>
      <c r="AF3891" s="4">
        <v>0</v>
      </c>
      <c r="AG3891" s="4">
        <v>0</v>
      </c>
      <c r="AH3891" s="4">
        <v>24</v>
      </c>
      <c r="AI3891" s="4">
        <v>37</v>
      </c>
      <c r="AJ3891" s="4">
        <v>2</v>
      </c>
      <c r="AK3891" s="4">
        <v>2</v>
      </c>
      <c r="AL3891" s="4">
        <v>18</v>
      </c>
      <c r="AM3891" s="4">
        <v>26</v>
      </c>
      <c r="AN3891" s="4">
        <v>0</v>
      </c>
      <c r="AO3891" s="4">
        <v>0</v>
      </c>
      <c r="AP3891" s="4">
        <v>2</v>
      </c>
      <c r="AQ3891" s="4">
        <v>2</v>
      </c>
      <c r="AR3891" s="3" t="s">
        <v>65</v>
      </c>
      <c r="AS3891" s="3" t="s">
        <v>65</v>
      </c>
      <c r="AT3891" s="3" t="s">
        <v>209</v>
      </c>
      <c r="AU3891" s="6" t="str">
        <f>HYPERLINK("http://catalog.hathitrust.org/Record/009494510","HathiTrust Record")</f>
        <v>HathiTrust Record</v>
      </c>
      <c r="AV3891" s="6" t="str">
        <f>HYPERLINK("http://mcgill.on.worldcat.org/oclc/5710703","Catalog Record")</f>
        <v>Catalog Record</v>
      </c>
      <c r="AW3891" s="6" t="str">
        <f>HYPERLINK("http://www.worldcat.org/oclc/5710703","WorldCat Record")</f>
        <v>WorldCat Record</v>
      </c>
      <c r="AX3891" s="3" t="s">
        <v>38687</v>
      </c>
      <c r="AY3891" s="3" t="s">
        <v>38688</v>
      </c>
      <c r="AZ3891" s="3" t="s">
        <v>38689</v>
      </c>
      <c r="BA3891" s="3" t="s">
        <v>38689</v>
      </c>
      <c r="BB3891" s="3" t="s">
        <v>38690</v>
      </c>
      <c r="BC3891" s="3" t="s">
        <v>77</v>
      </c>
      <c r="BD3891" s="3" t="s">
        <v>78</v>
      </c>
      <c r="BF3891" s="3" t="s">
        <v>38690</v>
      </c>
      <c r="BG3891" s="3" t="s">
        <v>38691</v>
      </c>
    </row>
    <row r="3892" spans="1:59" ht="58" x14ac:dyDescent="0.35">
      <c r="A3892" s="2" t="s">
        <v>59</v>
      </c>
      <c r="B3892" s="2" t="s">
        <v>60</v>
      </c>
      <c r="C3892" s="2" t="s">
        <v>38692</v>
      </c>
      <c r="D3892" s="2" t="s">
        <v>38693</v>
      </c>
      <c r="E3892" s="2" t="s">
        <v>38694</v>
      </c>
      <c r="G3892" s="3" t="s">
        <v>65</v>
      </c>
      <c r="I3892" s="3" t="s">
        <v>65</v>
      </c>
      <c r="J3892" s="3" t="s">
        <v>65</v>
      </c>
      <c r="K3892" s="3" t="s">
        <v>66</v>
      </c>
      <c r="L3892" s="2" t="s">
        <v>38695</v>
      </c>
      <c r="M3892" s="2" t="s">
        <v>38696</v>
      </c>
      <c r="N3892" s="3" t="s">
        <v>113</v>
      </c>
      <c r="P3892" s="3" t="s">
        <v>140</v>
      </c>
      <c r="Q3892" s="2" t="s">
        <v>38697</v>
      </c>
      <c r="R3892" s="3" t="s">
        <v>71</v>
      </c>
      <c r="S3892" s="4">
        <v>0</v>
      </c>
      <c r="T3892" s="4">
        <v>0</v>
      </c>
      <c r="W3892" s="5" t="s">
        <v>72</v>
      </c>
      <c r="X3892" s="5" t="s">
        <v>72</v>
      </c>
      <c r="Y3892" s="4">
        <v>42</v>
      </c>
      <c r="Z3892" s="4">
        <v>4</v>
      </c>
      <c r="AA3892" s="4">
        <v>4</v>
      </c>
      <c r="AB3892" s="4">
        <v>1</v>
      </c>
      <c r="AC3892" s="4">
        <v>1</v>
      </c>
      <c r="AD3892" s="4">
        <v>30</v>
      </c>
      <c r="AE3892" s="4">
        <v>30</v>
      </c>
      <c r="AF3892" s="4">
        <v>0</v>
      </c>
      <c r="AG3892" s="4">
        <v>0</v>
      </c>
      <c r="AH3892" s="4">
        <v>29</v>
      </c>
      <c r="AI3892" s="4">
        <v>29</v>
      </c>
      <c r="AJ3892" s="4">
        <v>2</v>
      </c>
      <c r="AK3892" s="4">
        <v>2</v>
      </c>
      <c r="AL3892" s="4">
        <v>22</v>
      </c>
      <c r="AM3892" s="4">
        <v>22</v>
      </c>
      <c r="AN3892" s="4">
        <v>0</v>
      </c>
      <c r="AO3892" s="4">
        <v>0</v>
      </c>
      <c r="AP3892" s="4">
        <v>2</v>
      </c>
      <c r="AQ3892" s="4">
        <v>2</v>
      </c>
      <c r="AR3892" s="3" t="s">
        <v>65</v>
      </c>
      <c r="AS3892" s="3" t="s">
        <v>65</v>
      </c>
      <c r="AT3892" s="3" t="s">
        <v>65</v>
      </c>
      <c r="AV3892" s="6" t="str">
        <f>HYPERLINK("http://mcgill.on.worldcat.org/oclc/677914535","Catalog Record")</f>
        <v>Catalog Record</v>
      </c>
      <c r="AW3892" s="6" t="str">
        <f>HYPERLINK("http://www.worldcat.org/oclc/677914535","WorldCat Record")</f>
        <v>WorldCat Record</v>
      </c>
      <c r="AX3892" s="3" t="s">
        <v>38698</v>
      </c>
      <c r="AY3892" s="3" t="s">
        <v>38699</v>
      </c>
      <c r="AZ3892" s="3" t="s">
        <v>38700</v>
      </c>
      <c r="BA3892" s="3" t="s">
        <v>38700</v>
      </c>
      <c r="BB3892" s="3" t="s">
        <v>38701</v>
      </c>
      <c r="BC3892" s="3" t="s">
        <v>77</v>
      </c>
      <c r="BD3892" s="3" t="s">
        <v>78</v>
      </c>
      <c r="BE3892" s="3" t="s">
        <v>38702</v>
      </c>
      <c r="BF3892" s="3" t="s">
        <v>38701</v>
      </c>
      <c r="BG3892" s="3" t="s">
        <v>38703</v>
      </c>
    </row>
    <row r="3893" spans="1:59" ht="58" x14ac:dyDescent="0.35">
      <c r="A3893" s="2" t="s">
        <v>59</v>
      </c>
      <c r="B3893" s="2" t="s">
        <v>60</v>
      </c>
      <c r="C3893" s="2" t="s">
        <v>38704</v>
      </c>
      <c r="D3893" s="2" t="s">
        <v>38705</v>
      </c>
      <c r="E3893" s="2" t="s">
        <v>38706</v>
      </c>
      <c r="G3893" s="3" t="s">
        <v>65</v>
      </c>
      <c r="I3893" s="3" t="s">
        <v>65</v>
      </c>
      <c r="J3893" s="3" t="s">
        <v>65</v>
      </c>
      <c r="K3893" s="3" t="s">
        <v>66</v>
      </c>
      <c r="M3893" s="2" t="s">
        <v>3305</v>
      </c>
      <c r="N3893" s="3" t="s">
        <v>139</v>
      </c>
      <c r="O3893" s="2" t="s">
        <v>365</v>
      </c>
      <c r="P3893" s="3" t="s">
        <v>140</v>
      </c>
      <c r="Q3893" s="2" t="s">
        <v>38707</v>
      </c>
      <c r="R3893" s="3" t="s">
        <v>71</v>
      </c>
      <c r="S3893" s="4">
        <v>0</v>
      </c>
      <c r="T3893" s="4">
        <v>0</v>
      </c>
      <c r="W3893" s="5" t="s">
        <v>72</v>
      </c>
      <c r="X3893" s="5" t="s">
        <v>72</v>
      </c>
      <c r="Y3893" s="4">
        <v>33</v>
      </c>
      <c r="Z3893" s="4">
        <v>3</v>
      </c>
      <c r="AA3893" s="4">
        <v>3</v>
      </c>
      <c r="AB3893" s="4">
        <v>1</v>
      </c>
      <c r="AC3893" s="4">
        <v>1</v>
      </c>
      <c r="AD3893" s="4">
        <v>21</v>
      </c>
      <c r="AE3893" s="4">
        <v>21</v>
      </c>
      <c r="AF3893" s="4">
        <v>0</v>
      </c>
      <c r="AG3893" s="4">
        <v>0</v>
      </c>
      <c r="AH3893" s="4">
        <v>20</v>
      </c>
      <c r="AI3893" s="4">
        <v>20</v>
      </c>
      <c r="AJ3893" s="4">
        <v>1</v>
      </c>
      <c r="AK3893" s="4">
        <v>1</v>
      </c>
      <c r="AL3893" s="4">
        <v>18</v>
      </c>
      <c r="AM3893" s="4">
        <v>18</v>
      </c>
      <c r="AN3893" s="4">
        <v>0</v>
      </c>
      <c r="AO3893" s="4">
        <v>0</v>
      </c>
      <c r="AP3893" s="4">
        <v>1</v>
      </c>
      <c r="AQ3893" s="4">
        <v>1</v>
      </c>
      <c r="AR3893" s="3" t="s">
        <v>65</v>
      </c>
      <c r="AS3893" s="3" t="s">
        <v>65</v>
      </c>
      <c r="AT3893" s="3" t="s">
        <v>65</v>
      </c>
      <c r="AV3893" s="6" t="str">
        <f>HYPERLINK("http://mcgill.on.worldcat.org/oclc/794703357","Catalog Record")</f>
        <v>Catalog Record</v>
      </c>
      <c r="AW3893" s="6" t="str">
        <f>HYPERLINK("http://www.worldcat.org/oclc/794703357","WorldCat Record")</f>
        <v>WorldCat Record</v>
      </c>
      <c r="AX3893" s="3" t="s">
        <v>38708</v>
      </c>
      <c r="AY3893" s="3" t="s">
        <v>38709</v>
      </c>
      <c r="AZ3893" s="3" t="s">
        <v>38710</v>
      </c>
      <c r="BA3893" s="3" t="s">
        <v>38710</v>
      </c>
      <c r="BB3893" s="3" t="s">
        <v>38711</v>
      </c>
      <c r="BC3893" s="3" t="s">
        <v>77</v>
      </c>
      <c r="BD3893" s="3" t="s">
        <v>78</v>
      </c>
      <c r="BE3893" s="3" t="s">
        <v>38712</v>
      </c>
      <c r="BF3893" s="3" t="s">
        <v>38711</v>
      </c>
      <c r="BG3893" s="3" t="s">
        <v>38713</v>
      </c>
    </row>
    <row r="3894" spans="1:59" ht="58" x14ac:dyDescent="0.35">
      <c r="A3894" s="2" t="s">
        <v>59</v>
      </c>
      <c r="B3894" s="2" t="s">
        <v>60</v>
      </c>
      <c r="C3894" s="2" t="s">
        <v>38714</v>
      </c>
      <c r="D3894" s="2" t="s">
        <v>38715</v>
      </c>
      <c r="E3894" s="2" t="s">
        <v>38716</v>
      </c>
      <c r="G3894" s="3" t="s">
        <v>65</v>
      </c>
      <c r="I3894" s="3" t="s">
        <v>65</v>
      </c>
      <c r="J3894" s="3" t="s">
        <v>65</v>
      </c>
      <c r="K3894" s="3" t="s">
        <v>66</v>
      </c>
      <c r="L3894" s="2" t="s">
        <v>38717</v>
      </c>
      <c r="M3894" s="2" t="s">
        <v>38718</v>
      </c>
      <c r="N3894" s="3" t="s">
        <v>139</v>
      </c>
      <c r="P3894" s="3" t="s">
        <v>140</v>
      </c>
      <c r="R3894" s="3" t="s">
        <v>71</v>
      </c>
      <c r="S3894" s="4">
        <v>1</v>
      </c>
      <c r="T3894" s="4">
        <v>1</v>
      </c>
      <c r="U3894" s="5" t="s">
        <v>34976</v>
      </c>
      <c r="V3894" s="5" t="s">
        <v>34976</v>
      </c>
      <c r="W3894" s="5" t="s">
        <v>72</v>
      </c>
      <c r="X3894" s="5" t="s">
        <v>72</v>
      </c>
      <c r="Y3894" s="4">
        <v>30</v>
      </c>
      <c r="Z3894" s="4">
        <v>3</v>
      </c>
      <c r="AA3894" s="4">
        <v>3</v>
      </c>
      <c r="AB3894" s="4">
        <v>1</v>
      </c>
      <c r="AC3894" s="4">
        <v>1</v>
      </c>
      <c r="AD3894" s="4">
        <v>24</v>
      </c>
      <c r="AE3894" s="4">
        <v>24</v>
      </c>
      <c r="AF3894" s="4">
        <v>0</v>
      </c>
      <c r="AG3894" s="4">
        <v>0</v>
      </c>
      <c r="AH3894" s="4">
        <v>23</v>
      </c>
      <c r="AI3894" s="4">
        <v>23</v>
      </c>
      <c r="AJ3894" s="4">
        <v>1</v>
      </c>
      <c r="AK3894" s="4">
        <v>1</v>
      </c>
      <c r="AL3894" s="4">
        <v>18</v>
      </c>
      <c r="AM3894" s="4">
        <v>18</v>
      </c>
      <c r="AN3894" s="4">
        <v>0</v>
      </c>
      <c r="AO3894" s="4">
        <v>0</v>
      </c>
      <c r="AP3894" s="4">
        <v>1</v>
      </c>
      <c r="AQ3894" s="4">
        <v>1</v>
      </c>
      <c r="AR3894" s="3" t="s">
        <v>65</v>
      </c>
      <c r="AS3894" s="3" t="s">
        <v>65</v>
      </c>
      <c r="AT3894" s="3" t="s">
        <v>65</v>
      </c>
      <c r="AV3894" s="6" t="str">
        <f>HYPERLINK("http://mcgill.on.worldcat.org/oclc/785335121","Catalog Record")</f>
        <v>Catalog Record</v>
      </c>
      <c r="AW3894" s="6" t="str">
        <f>HYPERLINK("http://www.worldcat.org/oclc/785335121","WorldCat Record")</f>
        <v>WorldCat Record</v>
      </c>
      <c r="AX3894" s="3" t="s">
        <v>38719</v>
      </c>
      <c r="AY3894" s="3" t="s">
        <v>38720</v>
      </c>
      <c r="AZ3894" s="3" t="s">
        <v>38721</v>
      </c>
      <c r="BA3894" s="3" t="s">
        <v>38721</v>
      </c>
      <c r="BB3894" s="3" t="s">
        <v>38722</v>
      </c>
      <c r="BC3894" s="3" t="s">
        <v>77</v>
      </c>
      <c r="BD3894" s="3" t="s">
        <v>78</v>
      </c>
      <c r="BE3894" s="3" t="s">
        <v>38723</v>
      </c>
      <c r="BF3894" s="3" t="s">
        <v>38722</v>
      </c>
      <c r="BG3894" s="3" t="s">
        <v>38724</v>
      </c>
    </row>
    <row r="3895" spans="1:59" ht="58" x14ac:dyDescent="0.35">
      <c r="A3895" s="2" t="s">
        <v>59</v>
      </c>
      <c r="B3895" s="2" t="s">
        <v>60</v>
      </c>
      <c r="C3895" s="2" t="s">
        <v>38725</v>
      </c>
      <c r="D3895" s="2" t="s">
        <v>38726</v>
      </c>
      <c r="E3895" s="2" t="s">
        <v>38727</v>
      </c>
      <c r="F3895" s="3" t="s">
        <v>245</v>
      </c>
      <c r="G3895" s="3" t="s">
        <v>209</v>
      </c>
      <c r="I3895" s="3" t="s">
        <v>65</v>
      </c>
      <c r="J3895" s="3" t="s">
        <v>65</v>
      </c>
      <c r="K3895" s="3" t="s">
        <v>66</v>
      </c>
      <c r="L3895" s="2" t="s">
        <v>38717</v>
      </c>
      <c r="M3895" s="2" t="s">
        <v>38728</v>
      </c>
      <c r="N3895" s="3" t="s">
        <v>126</v>
      </c>
      <c r="P3895" s="3" t="s">
        <v>140</v>
      </c>
      <c r="Q3895" s="2" t="s">
        <v>25892</v>
      </c>
      <c r="R3895" s="3" t="s">
        <v>71</v>
      </c>
      <c r="S3895" s="4">
        <v>0</v>
      </c>
      <c r="T3895" s="4">
        <v>0</v>
      </c>
      <c r="W3895" s="5" t="s">
        <v>72</v>
      </c>
      <c r="X3895" s="5" t="s">
        <v>72</v>
      </c>
      <c r="Y3895" s="4">
        <v>34</v>
      </c>
      <c r="Z3895" s="4">
        <v>4</v>
      </c>
      <c r="AA3895" s="4">
        <v>4</v>
      </c>
      <c r="AB3895" s="4">
        <v>1</v>
      </c>
      <c r="AC3895" s="4">
        <v>1</v>
      </c>
      <c r="AD3895" s="4">
        <v>25</v>
      </c>
      <c r="AE3895" s="4">
        <v>25</v>
      </c>
      <c r="AF3895" s="4">
        <v>0</v>
      </c>
      <c r="AG3895" s="4">
        <v>0</v>
      </c>
      <c r="AH3895" s="4">
        <v>24</v>
      </c>
      <c r="AI3895" s="4">
        <v>24</v>
      </c>
      <c r="AJ3895" s="4">
        <v>2</v>
      </c>
      <c r="AK3895" s="4">
        <v>2</v>
      </c>
      <c r="AL3895" s="4">
        <v>19</v>
      </c>
      <c r="AM3895" s="4">
        <v>19</v>
      </c>
      <c r="AN3895" s="4">
        <v>0</v>
      </c>
      <c r="AO3895" s="4">
        <v>0</v>
      </c>
      <c r="AP3895" s="4">
        <v>2</v>
      </c>
      <c r="AQ3895" s="4">
        <v>2</v>
      </c>
      <c r="AR3895" s="3" t="s">
        <v>65</v>
      </c>
      <c r="AS3895" s="3" t="s">
        <v>65</v>
      </c>
      <c r="AT3895" s="3" t="s">
        <v>65</v>
      </c>
      <c r="AV3895" s="6" t="str">
        <f>HYPERLINK("http://mcgill.on.worldcat.org/oclc/798053276","Catalog Record")</f>
        <v>Catalog Record</v>
      </c>
      <c r="AW3895" s="6" t="str">
        <f>HYPERLINK("http://www.worldcat.org/oclc/798053276","WorldCat Record")</f>
        <v>WorldCat Record</v>
      </c>
      <c r="AX3895" s="3" t="s">
        <v>38729</v>
      </c>
      <c r="AY3895" s="3" t="s">
        <v>38730</v>
      </c>
      <c r="AZ3895" s="3" t="s">
        <v>38731</v>
      </c>
      <c r="BA3895" s="3" t="s">
        <v>38731</v>
      </c>
      <c r="BB3895" s="3" t="s">
        <v>38732</v>
      </c>
      <c r="BC3895" s="3" t="s">
        <v>77</v>
      </c>
      <c r="BD3895" s="3" t="s">
        <v>78</v>
      </c>
      <c r="BE3895" s="3" t="s">
        <v>38733</v>
      </c>
      <c r="BF3895" s="3" t="s">
        <v>38732</v>
      </c>
      <c r="BG3895" s="3" t="s">
        <v>38734</v>
      </c>
    </row>
    <row r="3896" spans="1:59" ht="58" x14ac:dyDescent="0.35">
      <c r="A3896" s="2" t="s">
        <v>59</v>
      </c>
      <c r="B3896" s="2" t="s">
        <v>60</v>
      </c>
      <c r="C3896" s="2" t="s">
        <v>38725</v>
      </c>
      <c r="D3896" s="2" t="s">
        <v>38726</v>
      </c>
      <c r="E3896" s="2" t="s">
        <v>38727</v>
      </c>
      <c r="F3896" s="3" t="s">
        <v>258</v>
      </c>
      <c r="G3896" s="3" t="s">
        <v>209</v>
      </c>
      <c r="I3896" s="3" t="s">
        <v>65</v>
      </c>
      <c r="J3896" s="3" t="s">
        <v>65</v>
      </c>
      <c r="K3896" s="3" t="s">
        <v>66</v>
      </c>
      <c r="L3896" s="2" t="s">
        <v>38717</v>
      </c>
      <c r="M3896" s="2" t="s">
        <v>38728</v>
      </c>
      <c r="N3896" s="3" t="s">
        <v>126</v>
      </c>
      <c r="P3896" s="3" t="s">
        <v>140</v>
      </c>
      <c r="Q3896" s="2" t="s">
        <v>25892</v>
      </c>
      <c r="R3896" s="3" t="s">
        <v>71</v>
      </c>
      <c r="S3896" s="4">
        <v>0</v>
      </c>
      <c r="T3896" s="4">
        <v>0</v>
      </c>
      <c r="W3896" s="5" t="s">
        <v>72</v>
      </c>
      <c r="X3896" s="5" t="s">
        <v>72</v>
      </c>
      <c r="Y3896" s="4">
        <v>34</v>
      </c>
      <c r="Z3896" s="4">
        <v>4</v>
      </c>
      <c r="AA3896" s="4">
        <v>4</v>
      </c>
      <c r="AB3896" s="4">
        <v>1</v>
      </c>
      <c r="AC3896" s="4">
        <v>1</v>
      </c>
      <c r="AD3896" s="4">
        <v>25</v>
      </c>
      <c r="AE3896" s="4">
        <v>25</v>
      </c>
      <c r="AF3896" s="4">
        <v>0</v>
      </c>
      <c r="AG3896" s="4">
        <v>0</v>
      </c>
      <c r="AH3896" s="4">
        <v>24</v>
      </c>
      <c r="AI3896" s="4">
        <v>24</v>
      </c>
      <c r="AJ3896" s="4">
        <v>2</v>
      </c>
      <c r="AK3896" s="4">
        <v>2</v>
      </c>
      <c r="AL3896" s="4">
        <v>19</v>
      </c>
      <c r="AM3896" s="4">
        <v>19</v>
      </c>
      <c r="AN3896" s="4">
        <v>0</v>
      </c>
      <c r="AO3896" s="4">
        <v>0</v>
      </c>
      <c r="AP3896" s="4">
        <v>2</v>
      </c>
      <c r="AQ3896" s="4">
        <v>2</v>
      </c>
      <c r="AR3896" s="3" t="s">
        <v>65</v>
      </c>
      <c r="AS3896" s="3" t="s">
        <v>65</v>
      </c>
      <c r="AT3896" s="3" t="s">
        <v>65</v>
      </c>
      <c r="AV3896" s="6" t="str">
        <f>HYPERLINK("http://mcgill.on.worldcat.org/oclc/798053276","Catalog Record")</f>
        <v>Catalog Record</v>
      </c>
      <c r="AW3896" s="6" t="str">
        <f>HYPERLINK("http://www.worldcat.org/oclc/798053276","WorldCat Record")</f>
        <v>WorldCat Record</v>
      </c>
      <c r="AX3896" s="3" t="s">
        <v>38729</v>
      </c>
      <c r="AY3896" s="3" t="s">
        <v>38730</v>
      </c>
      <c r="AZ3896" s="3" t="s">
        <v>38731</v>
      </c>
      <c r="BA3896" s="3" t="s">
        <v>38731</v>
      </c>
      <c r="BB3896" s="3" t="s">
        <v>38735</v>
      </c>
      <c r="BC3896" s="3" t="s">
        <v>77</v>
      </c>
      <c r="BD3896" s="3" t="s">
        <v>78</v>
      </c>
      <c r="BE3896" s="3" t="s">
        <v>38733</v>
      </c>
      <c r="BF3896" s="3" t="s">
        <v>38735</v>
      </c>
      <c r="BG3896" s="3" t="s">
        <v>38736</v>
      </c>
    </row>
    <row r="3897" spans="1:59" ht="58" x14ac:dyDescent="0.35">
      <c r="A3897" s="2" t="s">
        <v>59</v>
      </c>
      <c r="B3897" s="2" t="s">
        <v>60</v>
      </c>
      <c r="C3897" s="2" t="s">
        <v>38737</v>
      </c>
      <c r="D3897" s="2" t="s">
        <v>38738</v>
      </c>
      <c r="E3897" s="2" t="s">
        <v>38739</v>
      </c>
      <c r="G3897" s="3" t="s">
        <v>65</v>
      </c>
      <c r="I3897" s="3" t="s">
        <v>65</v>
      </c>
      <c r="J3897" s="3" t="s">
        <v>65</v>
      </c>
      <c r="K3897" s="3" t="s">
        <v>66</v>
      </c>
      <c r="L3897" s="2" t="s">
        <v>38740</v>
      </c>
      <c r="M3897" s="2" t="s">
        <v>38741</v>
      </c>
      <c r="N3897" s="3" t="s">
        <v>152</v>
      </c>
      <c r="O3897" s="2" t="s">
        <v>27466</v>
      </c>
      <c r="P3897" s="3" t="s">
        <v>140</v>
      </c>
      <c r="Q3897" s="2" t="s">
        <v>33472</v>
      </c>
      <c r="R3897" s="3" t="s">
        <v>71</v>
      </c>
      <c r="S3897" s="4">
        <v>2</v>
      </c>
      <c r="T3897" s="4">
        <v>2</v>
      </c>
      <c r="U3897" s="5" t="s">
        <v>38742</v>
      </c>
      <c r="V3897" s="5" t="s">
        <v>38742</v>
      </c>
      <c r="W3897" s="5" t="s">
        <v>72</v>
      </c>
      <c r="X3897" s="5" t="s">
        <v>72</v>
      </c>
      <c r="Y3897" s="4">
        <v>44</v>
      </c>
      <c r="Z3897" s="4">
        <v>1</v>
      </c>
      <c r="AA3897" s="4">
        <v>1</v>
      </c>
      <c r="AB3897" s="4">
        <v>1</v>
      </c>
      <c r="AC3897" s="4">
        <v>1</v>
      </c>
      <c r="AD3897" s="4">
        <v>25</v>
      </c>
      <c r="AE3897" s="4">
        <v>25</v>
      </c>
      <c r="AF3897" s="4">
        <v>0</v>
      </c>
      <c r="AG3897" s="4">
        <v>0</v>
      </c>
      <c r="AH3897" s="4">
        <v>24</v>
      </c>
      <c r="AI3897" s="4">
        <v>24</v>
      </c>
      <c r="AJ3897" s="4">
        <v>0</v>
      </c>
      <c r="AK3897" s="4">
        <v>0</v>
      </c>
      <c r="AL3897" s="4">
        <v>24</v>
      </c>
      <c r="AM3897" s="4">
        <v>24</v>
      </c>
      <c r="AN3897" s="4">
        <v>0</v>
      </c>
      <c r="AO3897" s="4">
        <v>0</v>
      </c>
      <c r="AP3897" s="4">
        <v>0</v>
      </c>
      <c r="AQ3897" s="4">
        <v>0</v>
      </c>
      <c r="AR3897" s="3" t="s">
        <v>65</v>
      </c>
      <c r="AS3897" s="3" t="s">
        <v>65</v>
      </c>
      <c r="AT3897" s="3" t="s">
        <v>65</v>
      </c>
      <c r="AV3897" s="6" t="str">
        <f>HYPERLINK("http://mcgill.on.worldcat.org/oclc/850439078","Catalog Record")</f>
        <v>Catalog Record</v>
      </c>
      <c r="AW3897" s="6" t="str">
        <f>HYPERLINK("http://www.worldcat.org/oclc/850439078","WorldCat Record")</f>
        <v>WorldCat Record</v>
      </c>
      <c r="AX3897" s="3" t="s">
        <v>38743</v>
      </c>
      <c r="AY3897" s="3" t="s">
        <v>38744</v>
      </c>
      <c r="AZ3897" s="3" t="s">
        <v>38745</v>
      </c>
      <c r="BA3897" s="3" t="s">
        <v>38745</v>
      </c>
      <c r="BB3897" s="3" t="s">
        <v>38746</v>
      </c>
      <c r="BC3897" s="3" t="s">
        <v>77</v>
      </c>
      <c r="BD3897" s="3" t="s">
        <v>78</v>
      </c>
      <c r="BE3897" s="3" t="s">
        <v>38747</v>
      </c>
      <c r="BF3897" s="3" t="s">
        <v>38746</v>
      </c>
      <c r="BG3897" s="3" t="s">
        <v>38748</v>
      </c>
    </row>
    <row r="3898" spans="1:59" ht="58" x14ac:dyDescent="0.35">
      <c r="A3898" s="2" t="s">
        <v>59</v>
      </c>
      <c r="B3898" s="2" t="s">
        <v>60</v>
      </c>
      <c r="C3898" s="2" t="s">
        <v>38749</v>
      </c>
      <c r="D3898" s="2" t="s">
        <v>38750</v>
      </c>
      <c r="E3898" s="2" t="s">
        <v>38751</v>
      </c>
      <c r="G3898" s="3" t="s">
        <v>65</v>
      </c>
      <c r="I3898" s="3" t="s">
        <v>65</v>
      </c>
      <c r="J3898" s="3" t="s">
        <v>65</v>
      </c>
      <c r="K3898" s="3" t="s">
        <v>66</v>
      </c>
      <c r="L3898" s="2" t="s">
        <v>38752</v>
      </c>
      <c r="M3898" s="2" t="s">
        <v>38753</v>
      </c>
      <c r="N3898" s="3" t="s">
        <v>479</v>
      </c>
      <c r="O3898" s="2" t="s">
        <v>28531</v>
      </c>
      <c r="P3898" s="3" t="s">
        <v>140</v>
      </c>
      <c r="Q3898" s="2" t="s">
        <v>38754</v>
      </c>
      <c r="R3898" s="3" t="s">
        <v>71</v>
      </c>
      <c r="S3898" s="4">
        <v>1</v>
      </c>
      <c r="T3898" s="4">
        <v>1</v>
      </c>
      <c r="U3898" s="5" t="s">
        <v>19227</v>
      </c>
      <c r="V3898" s="5" t="s">
        <v>19227</v>
      </c>
      <c r="W3898" s="5" t="s">
        <v>72</v>
      </c>
      <c r="X3898" s="5" t="s">
        <v>72</v>
      </c>
      <c r="Y3898" s="4">
        <v>68</v>
      </c>
      <c r="Z3898" s="4">
        <v>8</v>
      </c>
      <c r="AA3898" s="4">
        <v>8</v>
      </c>
      <c r="AB3898" s="4">
        <v>2</v>
      </c>
      <c r="AC3898" s="4">
        <v>2</v>
      </c>
      <c r="AD3898" s="4">
        <v>42</v>
      </c>
      <c r="AE3898" s="4">
        <v>42</v>
      </c>
      <c r="AF3898" s="4">
        <v>0</v>
      </c>
      <c r="AG3898" s="4">
        <v>0</v>
      </c>
      <c r="AH3898" s="4">
        <v>39</v>
      </c>
      <c r="AI3898" s="4">
        <v>39</v>
      </c>
      <c r="AJ3898" s="4">
        <v>4</v>
      </c>
      <c r="AK3898" s="4">
        <v>4</v>
      </c>
      <c r="AL3898" s="4">
        <v>30</v>
      </c>
      <c r="AM3898" s="4">
        <v>30</v>
      </c>
      <c r="AN3898" s="4">
        <v>0</v>
      </c>
      <c r="AO3898" s="4">
        <v>0</v>
      </c>
      <c r="AP3898" s="4">
        <v>5</v>
      </c>
      <c r="AQ3898" s="4">
        <v>5</v>
      </c>
      <c r="AR3898" s="3" t="s">
        <v>65</v>
      </c>
      <c r="AS3898" s="3" t="s">
        <v>65</v>
      </c>
      <c r="AT3898" s="3" t="s">
        <v>209</v>
      </c>
      <c r="AU3898" s="6" t="str">
        <f>HYPERLINK("http://catalog.hathitrust.org/Record/005937110","HathiTrust Record")</f>
        <v>HathiTrust Record</v>
      </c>
      <c r="AV3898" s="6" t="str">
        <f>HYPERLINK("http://mcgill.on.worldcat.org/oclc/298777743","Catalog Record")</f>
        <v>Catalog Record</v>
      </c>
      <c r="AW3898" s="6" t="str">
        <f>HYPERLINK("http://www.worldcat.org/oclc/298777743","WorldCat Record")</f>
        <v>WorldCat Record</v>
      </c>
      <c r="AX3898" s="3" t="s">
        <v>38755</v>
      </c>
      <c r="AY3898" s="3" t="s">
        <v>38756</v>
      </c>
      <c r="AZ3898" s="3" t="s">
        <v>38757</v>
      </c>
      <c r="BA3898" s="3" t="s">
        <v>38757</v>
      </c>
      <c r="BB3898" s="3" t="s">
        <v>38758</v>
      </c>
      <c r="BC3898" s="3" t="s">
        <v>77</v>
      </c>
      <c r="BD3898" s="3" t="s">
        <v>78</v>
      </c>
      <c r="BE3898" s="3" t="s">
        <v>38759</v>
      </c>
      <c r="BF3898" s="3" t="s">
        <v>38758</v>
      </c>
      <c r="BG3898" s="3" t="s">
        <v>38760</v>
      </c>
    </row>
    <row r="3899" spans="1:59" ht="72.5" x14ac:dyDescent="0.35">
      <c r="A3899" s="2" t="s">
        <v>59</v>
      </c>
      <c r="B3899" s="2" t="s">
        <v>60</v>
      </c>
      <c r="C3899" s="2" t="s">
        <v>38761</v>
      </c>
      <c r="D3899" s="2" t="s">
        <v>38762</v>
      </c>
      <c r="E3899" s="2" t="s">
        <v>38763</v>
      </c>
      <c r="G3899" s="3" t="s">
        <v>65</v>
      </c>
      <c r="I3899" s="3" t="s">
        <v>65</v>
      </c>
      <c r="J3899" s="3" t="s">
        <v>65</v>
      </c>
      <c r="K3899" s="3" t="s">
        <v>66</v>
      </c>
      <c r="L3899" s="2" t="s">
        <v>38764</v>
      </c>
      <c r="M3899" s="2" t="s">
        <v>38765</v>
      </c>
      <c r="N3899" s="3" t="s">
        <v>577</v>
      </c>
      <c r="O3899" s="2" t="s">
        <v>365</v>
      </c>
      <c r="P3899" s="3" t="s">
        <v>140</v>
      </c>
      <c r="Q3899" s="2" t="s">
        <v>38766</v>
      </c>
      <c r="R3899" s="3" t="s">
        <v>71</v>
      </c>
      <c r="S3899" s="4">
        <v>1</v>
      </c>
      <c r="T3899" s="4">
        <v>1</v>
      </c>
      <c r="U3899" s="5" t="s">
        <v>25925</v>
      </c>
      <c r="V3899" s="5" t="s">
        <v>25925</v>
      </c>
      <c r="W3899" s="5" t="s">
        <v>72</v>
      </c>
      <c r="X3899" s="5" t="s">
        <v>72</v>
      </c>
      <c r="Y3899" s="4">
        <v>6</v>
      </c>
      <c r="Z3899" s="4">
        <v>1</v>
      </c>
      <c r="AA3899" s="4">
        <v>7</v>
      </c>
      <c r="AB3899" s="4">
        <v>1</v>
      </c>
      <c r="AC3899" s="4">
        <v>2</v>
      </c>
      <c r="AD3899" s="4">
        <v>3</v>
      </c>
      <c r="AE3899" s="4">
        <v>14</v>
      </c>
      <c r="AF3899" s="4">
        <v>0</v>
      </c>
      <c r="AG3899" s="4">
        <v>1</v>
      </c>
      <c r="AH3899" s="4">
        <v>3</v>
      </c>
      <c r="AI3899" s="4">
        <v>13</v>
      </c>
      <c r="AJ3899" s="4">
        <v>0</v>
      </c>
      <c r="AK3899" s="4">
        <v>5</v>
      </c>
      <c r="AL3899" s="4">
        <v>3</v>
      </c>
      <c r="AM3899" s="4">
        <v>7</v>
      </c>
      <c r="AN3899" s="4">
        <v>0</v>
      </c>
      <c r="AO3899" s="4">
        <v>0</v>
      </c>
      <c r="AP3899" s="4">
        <v>0</v>
      </c>
      <c r="AQ3899" s="4">
        <v>4</v>
      </c>
      <c r="AR3899" s="3" t="s">
        <v>65</v>
      </c>
      <c r="AS3899" s="3" t="s">
        <v>65</v>
      </c>
      <c r="AT3899" s="3" t="s">
        <v>65</v>
      </c>
      <c r="AV3899" s="6" t="str">
        <f>HYPERLINK("http://mcgill.on.worldcat.org/oclc/6504537","Catalog Record")</f>
        <v>Catalog Record</v>
      </c>
      <c r="AW3899" s="6" t="str">
        <f>HYPERLINK("http://www.worldcat.org/oclc/6504537","WorldCat Record")</f>
        <v>WorldCat Record</v>
      </c>
      <c r="AX3899" s="3" t="s">
        <v>38767</v>
      </c>
      <c r="AY3899" s="3" t="s">
        <v>38768</v>
      </c>
      <c r="AZ3899" s="3" t="s">
        <v>38769</v>
      </c>
      <c r="BA3899" s="3" t="s">
        <v>38769</v>
      </c>
      <c r="BB3899" s="3" t="s">
        <v>38770</v>
      </c>
      <c r="BC3899" s="3" t="s">
        <v>77</v>
      </c>
      <c r="BD3899" s="3" t="s">
        <v>78</v>
      </c>
      <c r="BF3899" s="3" t="s">
        <v>38770</v>
      </c>
      <c r="BG3899" s="3" t="s">
        <v>38771</v>
      </c>
    </row>
    <row r="3900" spans="1:59" ht="58" x14ac:dyDescent="0.35">
      <c r="A3900" s="2" t="s">
        <v>59</v>
      </c>
      <c r="B3900" s="2" t="s">
        <v>60</v>
      </c>
      <c r="C3900" s="2" t="s">
        <v>38772</v>
      </c>
      <c r="D3900" s="2" t="s">
        <v>38773</v>
      </c>
      <c r="E3900" s="2" t="s">
        <v>38774</v>
      </c>
      <c r="G3900" s="3" t="s">
        <v>65</v>
      </c>
      <c r="I3900" s="3" t="s">
        <v>65</v>
      </c>
      <c r="J3900" s="3" t="s">
        <v>65</v>
      </c>
      <c r="K3900" s="3" t="s">
        <v>66</v>
      </c>
      <c r="L3900" s="2" t="s">
        <v>38775</v>
      </c>
      <c r="M3900" s="2" t="s">
        <v>338</v>
      </c>
      <c r="N3900" s="3" t="s">
        <v>113</v>
      </c>
      <c r="O3900" s="2" t="s">
        <v>339</v>
      </c>
      <c r="P3900" s="3" t="s">
        <v>140</v>
      </c>
      <c r="Q3900" s="2" t="s">
        <v>32985</v>
      </c>
      <c r="R3900" s="3" t="s">
        <v>71</v>
      </c>
      <c r="S3900" s="4">
        <v>0</v>
      </c>
      <c r="T3900" s="4">
        <v>0</v>
      </c>
      <c r="W3900" s="5" t="s">
        <v>72</v>
      </c>
      <c r="X3900" s="5" t="s">
        <v>72</v>
      </c>
      <c r="Y3900" s="4">
        <v>32</v>
      </c>
      <c r="Z3900" s="4">
        <v>4</v>
      </c>
      <c r="AA3900" s="4">
        <v>4</v>
      </c>
      <c r="AB3900" s="4">
        <v>1</v>
      </c>
      <c r="AC3900" s="4">
        <v>1</v>
      </c>
      <c r="AD3900" s="4">
        <v>23</v>
      </c>
      <c r="AE3900" s="4">
        <v>23</v>
      </c>
      <c r="AF3900" s="4">
        <v>0</v>
      </c>
      <c r="AG3900" s="4">
        <v>0</v>
      </c>
      <c r="AH3900" s="4">
        <v>22</v>
      </c>
      <c r="AI3900" s="4">
        <v>22</v>
      </c>
      <c r="AJ3900" s="4">
        <v>1</v>
      </c>
      <c r="AK3900" s="4">
        <v>1</v>
      </c>
      <c r="AL3900" s="4">
        <v>19</v>
      </c>
      <c r="AM3900" s="4">
        <v>19</v>
      </c>
      <c r="AN3900" s="4">
        <v>0</v>
      </c>
      <c r="AO3900" s="4">
        <v>0</v>
      </c>
      <c r="AP3900" s="4">
        <v>1</v>
      </c>
      <c r="AQ3900" s="4">
        <v>1</v>
      </c>
      <c r="AR3900" s="3" t="s">
        <v>65</v>
      </c>
      <c r="AS3900" s="3" t="s">
        <v>65</v>
      </c>
      <c r="AT3900" s="3" t="s">
        <v>65</v>
      </c>
      <c r="AV3900" s="6" t="str">
        <f>HYPERLINK("http://mcgill.on.worldcat.org/oclc/729344766","Catalog Record")</f>
        <v>Catalog Record</v>
      </c>
      <c r="AW3900" s="6" t="str">
        <f>HYPERLINK("http://www.worldcat.org/oclc/729344766","WorldCat Record")</f>
        <v>WorldCat Record</v>
      </c>
      <c r="AX3900" s="3" t="s">
        <v>38776</v>
      </c>
      <c r="AY3900" s="3" t="s">
        <v>38777</v>
      </c>
      <c r="AZ3900" s="3" t="s">
        <v>38778</v>
      </c>
      <c r="BA3900" s="3" t="s">
        <v>38778</v>
      </c>
      <c r="BB3900" s="3" t="s">
        <v>38779</v>
      </c>
      <c r="BC3900" s="3" t="s">
        <v>77</v>
      </c>
      <c r="BD3900" s="3" t="s">
        <v>78</v>
      </c>
      <c r="BE3900" s="3" t="s">
        <v>38780</v>
      </c>
      <c r="BF3900" s="3" t="s">
        <v>38779</v>
      </c>
      <c r="BG3900" s="3" t="s">
        <v>38781</v>
      </c>
    </row>
    <row r="3901" spans="1:59" ht="72.5" x14ac:dyDescent="0.35">
      <c r="A3901" s="2" t="s">
        <v>59</v>
      </c>
      <c r="B3901" s="2" t="s">
        <v>60</v>
      </c>
      <c r="C3901" s="2" t="s">
        <v>38782</v>
      </c>
      <c r="D3901" s="2" t="s">
        <v>38783</v>
      </c>
      <c r="E3901" s="2" t="s">
        <v>38784</v>
      </c>
      <c r="G3901" s="3" t="s">
        <v>65</v>
      </c>
      <c r="I3901" s="3" t="s">
        <v>65</v>
      </c>
      <c r="J3901" s="3" t="s">
        <v>65</v>
      </c>
      <c r="K3901" s="3" t="s">
        <v>66</v>
      </c>
      <c r="L3901" s="2" t="s">
        <v>38785</v>
      </c>
      <c r="M3901" s="2" t="s">
        <v>23239</v>
      </c>
      <c r="N3901" s="3" t="s">
        <v>113</v>
      </c>
      <c r="P3901" s="3" t="s">
        <v>140</v>
      </c>
      <c r="Q3901" s="2" t="s">
        <v>38786</v>
      </c>
      <c r="R3901" s="3" t="s">
        <v>71</v>
      </c>
      <c r="S3901" s="4">
        <v>0</v>
      </c>
      <c r="T3901" s="4">
        <v>0</v>
      </c>
      <c r="W3901" s="5" t="s">
        <v>72</v>
      </c>
      <c r="X3901" s="5" t="s">
        <v>72</v>
      </c>
      <c r="Y3901" s="4">
        <v>26</v>
      </c>
      <c r="Z3901" s="4">
        <v>3</v>
      </c>
      <c r="AA3901" s="4">
        <v>3</v>
      </c>
      <c r="AB3901" s="4">
        <v>1</v>
      </c>
      <c r="AC3901" s="4">
        <v>1</v>
      </c>
      <c r="AD3901" s="4">
        <v>18</v>
      </c>
      <c r="AE3901" s="4">
        <v>20</v>
      </c>
      <c r="AF3901" s="4">
        <v>0</v>
      </c>
      <c r="AG3901" s="4">
        <v>0</v>
      </c>
      <c r="AH3901" s="4">
        <v>17</v>
      </c>
      <c r="AI3901" s="4">
        <v>19</v>
      </c>
      <c r="AJ3901" s="4">
        <v>1</v>
      </c>
      <c r="AK3901" s="4">
        <v>1</v>
      </c>
      <c r="AL3901" s="4">
        <v>16</v>
      </c>
      <c r="AM3901" s="4">
        <v>17</v>
      </c>
      <c r="AN3901" s="4">
        <v>0</v>
      </c>
      <c r="AO3901" s="4">
        <v>0</v>
      </c>
      <c r="AP3901" s="4">
        <v>1</v>
      </c>
      <c r="AQ3901" s="4">
        <v>1</v>
      </c>
      <c r="AR3901" s="3" t="s">
        <v>65</v>
      </c>
      <c r="AS3901" s="3" t="s">
        <v>65</v>
      </c>
      <c r="AT3901" s="3" t="s">
        <v>65</v>
      </c>
      <c r="AV3901" s="6" t="str">
        <f>HYPERLINK("http://mcgill.on.worldcat.org/oclc/707959975","Catalog Record")</f>
        <v>Catalog Record</v>
      </c>
      <c r="AW3901" s="6" t="str">
        <f>HYPERLINK("http://www.worldcat.org/oclc/707959975","WorldCat Record")</f>
        <v>WorldCat Record</v>
      </c>
      <c r="AX3901" s="3" t="s">
        <v>38787</v>
      </c>
      <c r="AY3901" s="3" t="s">
        <v>38788</v>
      </c>
      <c r="AZ3901" s="3" t="s">
        <v>38789</v>
      </c>
      <c r="BA3901" s="3" t="s">
        <v>38789</v>
      </c>
      <c r="BB3901" s="3" t="s">
        <v>38790</v>
      </c>
      <c r="BC3901" s="3" t="s">
        <v>77</v>
      </c>
      <c r="BD3901" s="3" t="s">
        <v>78</v>
      </c>
      <c r="BE3901" s="3" t="s">
        <v>38791</v>
      </c>
      <c r="BF3901" s="3" t="s">
        <v>38790</v>
      </c>
      <c r="BG3901" s="3" t="s">
        <v>38792</v>
      </c>
    </row>
    <row r="3902" spans="1:59" ht="58" x14ac:dyDescent="0.35">
      <c r="A3902" s="2" t="s">
        <v>59</v>
      </c>
      <c r="B3902" s="2" t="s">
        <v>60</v>
      </c>
      <c r="C3902" s="2" t="s">
        <v>38793</v>
      </c>
      <c r="D3902" s="2" t="s">
        <v>38794</v>
      </c>
      <c r="E3902" s="2" t="s">
        <v>38795</v>
      </c>
      <c r="G3902" s="3" t="s">
        <v>65</v>
      </c>
      <c r="I3902" s="3" t="s">
        <v>65</v>
      </c>
      <c r="J3902" s="3" t="s">
        <v>65</v>
      </c>
      <c r="K3902" s="3" t="s">
        <v>66</v>
      </c>
      <c r="L3902" s="2" t="s">
        <v>38796</v>
      </c>
      <c r="M3902" s="2" t="s">
        <v>38797</v>
      </c>
      <c r="N3902" s="3" t="s">
        <v>577</v>
      </c>
      <c r="P3902" s="3" t="s">
        <v>140</v>
      </c>
      <c r="R3902" s="3" t="s">
        <v>71</v>
      </c>
      <c r="S3902" s="4">
        <v>2</v>
      </c>
      <c r="T3902" s="4">
        <v>2</v>
      </c>
      <c r="U3902" s="5" t="s">
        <v>3853</v>
      </c>
      <c r="V3902" s="5" t="s">
        <v>3853</v>
      </c>
      <c r="W3902" s="5" t="s">
        <v>72</v>
      </c>
      <c r="X3902" s="5" t="s">
        <v>72</v>
      </c>
      <c r="Y3902" s="4">
        <v>20</v>
      </c>
      <c r="Z3902" s="4">
        <v>1</v>
      </c>
      <c r="AA3902" s="4">
        <v>1</v>
      </c>
      <c r="AB3902" s="4">
        <v>1</v>
      </c>
      <c r="AC3902" s="4">
        <v>1</v>
      </c>
      <c r="AD3902" s="4">
        <v>12</v>
      </c>
      <c r="AE3902" s="4">
        <v>12</v>
      </c>
      <c r="AF3902" s="4">
        <v>0</v>
      </c>
      <c r="AG3902" s="4">
        <v>0</v>
      </c>
      <c r="AH3902" s="4">
        <v>11</v>
      </c>
      <c r="AI3902" s="4">
        <v>11</v>
      </c>
      <c r="AJ3902" s="4">
        <v>0</v>
      </c>
      <c r="AK3902" s="4">
        <v>0</v>
      </c>
      <c r="AL3902" s="4">
        <v>7</v>
      </c>
      <c r="AM3902" s="4">
        <v>7</v>
      </c>
      <c r="AN3902" s="4">
        <v>0</v>
      </c>
      <c r="AO3902" s="4">
        <v>0</v>
      </c>
      <c r="AP3902" s="4">
        <v>0</v>
      </c>
      <c r="AQ3902" s="4">
        <v>0</v>
      </c>
      <c r="AR3902" s="3" t="s">
        <v>65</v>
      </c>
      <c r="AS3902" s="3" t="s">
        <v>65</v>
      </c>
      <c r="AT3902" s="3" t="s">
        <v>65</v>
      </c>
      <c r="AV3902" s="6" t="str">
        <f>HYPERLINK("http://mcgill.on.worldcat.org/oclc/5677225","Catalog Record")</f>
        <v>Catalog Record</v>
      </c>
      <c r="AW3902" s="6" t="str">
        <f>HYPERLINK("http://www.worldcat.org/oclc/5677225","WorldCat Record")</f>
        <v>WorldCat Record</v>
      </c>
      <c r="AX3902" s="3" t="s">
        <v>38798</v>
      </c>
      <c r="AY3902" s="3" t="s">
        <v>38799</v>
      </c>
      <c r="AZ3902" s="3" t="s">
        <v>38800</v>
      </c>
      <c r="BA3902" s="3" t="s">
        <v>38800</v>
      </c>
      <c r="BB3902" s="3" t="s">
        <v>38801</v>
      </c>
      <c r="BC3902" s="3" t="s">
        <v>77</v>
      </c>
      <c r="BD3902" s="3" t="s">
        <v>78</v>
      </c>
      <c r="BF3902" s="3" t="s">
        <v>38801</v>
      </c>
      <c r="BG3902" s="3" t="s">
        <v>38802</v>
      </c>
    </row>
    <row r="3903" spans="1:59" ht="58" x14ac:dyDescent="0.35">
      <c r="A3903" s="2" t="s">
        <v>59</v>
      </c>
      <c r="B3903" s="2" t="s">
        <v>60</v>
      </c>
      <c r="C3903" s="2" t="s">
        <v>38803</v>
      </c>
      <c r="D3903" s="2" t="s">
        <v>38804</v>
      </c>
      <c r="E3903" s="2" t="s">
        <v>38805</v>
      </c>
      <c r="G3903" s="3" t="s">
        <v>65</v>
      </c>
      <c r="I3903" s="3" t="s">
        <v>65</v>
      </c>
      <c r="J3903" s="3" t="s">
        <v>65</v>
      </c>
      <c r="K3903" s="3" t="s">
        <v>66</v>
      </c>
      <c r="L3903" s="2" t="s">
        <v>38806</v>
      </c>
      <c r="M3903" s="2" t="s">
        <v>38807</v>
      </c>
      <c r="N3903" s="3" t="s">
        <v>2210</v>
      </c>
      <c r="O3903" s="2" t="s">
        <v>26972</v>
      </c>
      <c r="P3903" s="3" t="s">
        <v>140</v>
      </c>
      <c r="Q3903" s="2" t="s">
        <v>4690</v>
      </c>
      <c r="R3903" s="3" t="s">
        <v>71</v>
      </c>
      <c r="S3903" s="4">
        <v>3</v>
      </c>
      <c r="T3903" s="4">
        <v>3</v>
      </c>
      <c r="U3903" s="5" t="s">
        <v>3450</v>
      </c>
      <c r="V3903" s="5" t="s">
        <v>3450</v>
      </c>
      <c r="W3903" s="5" t="s">
        <v>72</v>
      </c>
      <c r="X3903" s="5" t="s">
        <v>72</v>
      </c>
      <c r="Y3903" s="4">
        <v>1</v>
      </c>
      <c r="Z3903" s="4">
        <v>1</v>
      </c>
      <c r="AA3903" s="4">
        <v>1</v>
      </c>
      <c r="AB3903" s="4">
        <v>1</v>
      </c>
      <c r="AC3903" s="4">
        <v>1</v>
      </c>
      <c r="AD3903" s="4">
        <v>0</v>
      </c>
      <c r="AE3903" s="4">
        <v>0</v>
      </c>
      <c r="AF3903" s="4">
        <v>0</v>
      </c>
      <c r="AG3903" s="4">
        <v>0</v>
      </c>
      <c r="AH3903" s="4">
        <v>0</v>
      </c>
      <c r="AI3903" s="4">
        <v>0</v>
      </c>
      <c r="AJ3903" s="4">
        <v>0</v>
      </c>
      <c r="AK3903" s="4">
        <v>0</v>
      </c>
      <c r="AL3903" s="4">
        <v>0</v>
      </c>
      <c r="AM3903" s="4">
        <v>0</v>
      </c>
      <c r="AN3903" s="4">
        <v>0</v>
      </c>
      <c r="AO3903" s="4">
        <v>0</v>
      </c>
      <c r="AP3903" s="4">
        <v>0</v>
      </c>
      <c r="AQ3903" s="4">
        <v>0</v>
      </c>
      <c r="AR3903" s="3" t="s">
        <v>65</v>
      </c>
      <c r="AS3903" s="3" t="s">
        <v>65</v>
      </c>
      <c r="AT3903" s="3" t="s">
        <v>65</v>
      </c>
      <c r="AV3903" s="6" t="str">
        <f>HYPERLINK("http://mcgill.on.worldcat.org/oclc/427546643","Catalog Record")</f>
        <v>Catalog Record</v>
      </c>
      <c r="AW3903" s="6" t="str">
        <f>HYPERLINK("http://www.worldcat.org/oclc/427546643","WorldCat Record")</f>
        <v>WorldCat Record</v>
      </c>
      <c r="AX3903" s="3" t="s">
        <v>38808</v>
      </c>
      <c r="AY3903" s="3" t="s">
        <v>38809</v>
      </c>
      <c r="AZ3903" s="3" t="s">
        <v>38810</v>
      </c>
      <c r="BA3903" s="3" t="s">
        <v>38810</v>
      </c>
      <c r="BB3903" s="3" t="s">
        <v>38811</v>
      </c>
      <c r="BC3903" s="3" t="s">
        <v>77</v>
      </c>
      <c r="BD3903" s="3" t="s">
        <v>78</v>
      </c>
      <c r="BE3903" s="3" t="s">
        <v>38812</v>
      </c>
      <c r="BF3903" s="3" t="s">
        <v>38811</v>
      </c>
      <c r="BG3903" s="3" t="s">
        <v>38813</v>
      </c>
    </row>
    <row r="3904" spans="1:59" ht="72.5" x14ac:dyDescent="0.35">
      <c r="A3904" s="2" t="s">
        <v>59</v>
      </c>
      <c r="B3904" s="2" t="s">
        <v>60</v>
      </c>
      <c r="C3904" s="2" t="s">
        <v>38814</v>
      </c>
      <c r="D3904" s="2" t="s">
        <v>38815</v>
      </c>
      <c r="E3904" s="2" t="s">
        <v>38816</v>
      </c>
      <c r="G3904" s="3" t="s">
        <v>65</v>
      </c>
      <c r="I3904" s="3" t="s">
        <v>65</v>
      </c>
      <c r="J3904" s="3" t="s">
        <v>65</v>
      </c>
      <c r="K3904" s="3" t="s">
        <v>66</v>
      </c>
      <c r="L3904" s="2" t="s">
        <v>38817</v>
      </c>
      <c r="M3904" s="2" t="s">
        <v>38818</v>
      </c>
      <c r="N3904" s="3" t="s">
        <v>126</v>
      </c>
      <c r="P3904" s="3" t="s">
        <v>69</v>
      </c>
      <c r="R3904" s="3" t="s">
        <v>71</v>
      </c>
      <c r="S3904" s="4">
        <v>0</v>
      </c>
      <c r="T3904" s="4">
        <v>0</v>
      </c>
      <c r="W3904" s="5" t="s">
        <v>72</v>
      </c>
      <c r="X3904" s="5" t="s">
        <v>72</v>
      </c>
      <c r="Y3904" s="4">
        <v>125</v>
      </c>
      <c r="Z3904" s="4">
        <v>9</v>
      </c>
      <c r="AA3904" s="4">
        <v>10</v>
      </c>
      <c r="AB3904" s="4">
        <v>2</v>
      </c>
      <c r="AC3904" s="4">
        <v>3</v>
      </c>
      <c r="AD3904" s="4">
        <v>39</v>
      </c>
      <c r="AE3904" s="4">
        <v>40</v>
      </c>
      <c r="AF3904" s="4">
        <v>0</v>
      </c>
      <c r="AG3904" s="4">
        <v>0</v>
      </c>
      <c r="AH3904" s="4">
        <v>37</v>
      </c>
      <c r="AI3904" s="4">
        <v>38</v>
      </c>
      <c r="AJ3904" s="4">
        <v>4</v>
      </c>
      <c r="AK3904" s="4">
        <v>4</v>
      </c>
      <c r="AL3904" s="4">
        <v>24</v>
      </c>
      <c r="AM3904" s="4">
        <v>24</v>
      </c>
      <c r="AN3904" s="4">
        <v>0</v>
      </c>
      <c r="AO3904" s="4">
        <v>0</v>
      </c>
      <c r="AP3904" s="4">
        <v>4</v>
      </c>
      <c r="AQ3904" s="4">
        <v>4</v>
      </c>
      <c r="AR3904" s="3" t="s">
        <v>65</v>
      </c>
      <c r="AS3904" s="3" t="s">
        <v>65</v>
      </c>
      <c r="AT3904" s="3" t="s">
        <v>65</v>
      </c>
      <c r="AV3904" s="6" t="str">
        <f>HYPERLINK("http://mcgill.on.worldcat.org/oclc/701810333","Catalog Record")</f>
        <v>Catalog Record</v>
      </c>
      <c r="AW3904" s="6" t="str">
        <f>HYPERLINK("http://www.worldcat.org/oclc/701810333","WorldCat Record")</f>
        <v>WorldCat Record</v>
      </c>
      <c r="AX3904" s="3" t="s">
        <v>38819</v>
      </c>
      <c r="AY3904" s="3" t="s">
        <v>38820</v>
      </c>
      <c r="AZ3904" s="3" t="s">
        <v>38821</v>
      </c>
      <c r="BA3904" s="3" t="s">
        <v>38821</v>
      </c>
      <c r="BB3904" s="3" t="s">
        <v>38822</v>
      </c>
      <c r="BC3904" s="3" t="s">
        <v>77</v>
      </c>
      <c r="BD3904" s="3" t="s">
        <v>78</v>
      </c>
      <c r="BE3904" s="3" t="s">
        <v>38823</v>
      </c>
      <c r="BF3904" s="3" t="s">
        <v>38822</v>
      </c>
      <c r="BG3904" s="3" t="s">
        <v>38824</v>
      </c>
    </row>
    <row r="3905" spans="1:59" ht="72.5" x14ac:dyDescent="0.35">
      <c r="A3905" s="2" t="s">
        <v>59</v>
      </c>
      <c r="B3905" s="2" t="s">
        <v>60</v>
      </c>
      <c r="C3905" s="2" t="s">
        <v>38825</v>
      </c>
      <c r="D3905" s="2" t="s">
        <v>38826</v>
      </c>
      <c r="E3905" s="2" t="s">
        <v>38827</v>
      </c>
      <c r="G3905" s="3" t="s">
        <v>65</v>
      </c>
      <c r="I3905" s="3" t="s">
        <v>65</v>
      </c>
      <c r="J3905" s="3" t="s">
        <v>65</v>
      </c>
      <c r="K3905" s="3" t="s">
        <v>66</v>
      </c>
      <c r="L3905" s="2" t="s">
        <v>38828</v>
      </c>
      <c r="M3905" s="2" t="s">
        <v>2256</v>
      </c>
      <c r="N3905" s="3" t="s">
        <v>126</v>
      </c>
      <c r="P3905" s="3" t="s">
        <v>140</v>
      </c>
      <c r="Q3905" s="2" t="s">
        <v>2257</v>
      </c>
      <c r="R3905" s="3" t="s">
        <v>71</v>
      </c>
      <c r="S3905" s="4">
        <v>0</v>
      </c>
      <c r="T3905" s="4">
        <v>0</v>
      </c>
      <c r="W3905" s="5" t="s">
        <v>72</v>
      </c>
      <c r="X3905" s="5" t="s">
        <v>72</v>
      </c>
      <c r="Y3905" s="4">
        <v>25</v>
      </c>
      <c r="Z3905" s="4">
        <v>3</v>
      </c>
      <c r="AA3905" s="4">
        <v>3</v>
      </c>
      <c r="AB3905" s="4">
        <v>1</v>
      </c>
      <c r="AC3905" s="4">
        <v>1</v>
      </c>
      <c r="AD3905" s="4">
        <v>18</v>
      </c>
      <c r="AE3905" s="4">
        <v>18</v>
      </c>
      <c r="AF3905" s="4">
        <v>0</v>
      </c>
      <c r="AG3905" s="4">
        <v>0</v>
      </c>
      <c r="AH3905" s="4">
        <v>17</v>
      </c>
      <c r="AI3905" s="4">
        <v>17</v>
      </c>
      <c r="AJ3905" s="4">
        <v>1</v>
      </c>
      <c r="AK3905" s="4">
        <v>1</v>
      </c>
      <c r="AL3905" s="4">
        <v>15</v>
      </c>
      <c r="AM3905" s="4">
        <v>15</v>
      </c>
      <c r="AN3905" s="4">
        <v>0</v>
      </c>
      <c r="AO3905" s="4">
        <v>0</v>
      </c>
      <c r="AP3905" s="4">
        <v>1</v>
      </c>
      <c r="AQ3905" s="4">
        <v>1</v>
      </c>
      <c r="AR3905" s="3" t="s">
        <v>65</v>
      </c>
      <c r="AS3905" s="3" t="s">
        <v>65</v>
      </c>
      <c r="AT3905" s="3" t="s">
        <v>65</v>
      </c>
      <c r="AV3905" s="6" t="str">
        <f>HYPERLINK("http://mcgill.on.worldcat.org/oclc/707459730","Catalog Record")</f>
        <v>Catalog Record</v>
      </c>
      <c r="AW3905" s="6" t="str">
        <f>HYPERLINK("http://www.worldcat.org/oclc/707459730","WorldCat Record")</f>
        <v>WorldCat Record</v>
      </c>
      <c r="AX3905" s="3" t="s">
        <v>38829</v>
      </c>
      <c r="AY3905" s="3" t="s">
        <v>38830</v>
      </c>
      <c r="AZ3905" s="3" t="s">
        <v>38831</v>
      </c>
      <c r="BA3905" s="3" t="s">
        <v>38831</v>
      </c>
      <c r="BB3905" s="3" t="s">
        <v>38832</v>
      </c>
      <c r="BC3905" s="3" t="s">
        <v>77</v>
      </c>
      <c r="BD3905" s="3" t="s">
        <v>78</v>
      </c>
      <c r="BE3905" s="3" t="s">
        <v>38833</v>
      </c>
      <c r="BF3905" s="3" t="s">
        <v>38832</v>
      </c>
      <c r="BG3905" s="3" t="s">
        <v>38834</v>
      </c>
    </row>
    <row r="3906" spans="1:59" ht="58" x14ac:dyDescent="0.35">
      <c r="A3906" s="2" t="s">
        <v>59</v>
      </c>
      <c r="B3906" s="2" t="s">
        <v>60</v>
      </c>
      <c r="C3906" s="2" t="s">
        <v>38835</v>
      </c>
      <c r="D3906" s="2" t="s">
        <v>38836</v>
      </c>
      <c r="E3906" s="2" t="s">
        <v>38837</v>
      </c>
      <c r="G3906" s="3" t="s">
        <v>65</v>
      </c>
      <c r="I3906" s="3" t="s">
        <v>65</v>
      </c>
      <c r="J3906" s="3" t="s">
        <v>65</v>
      </c>
      <c r="K3906" s="3" t="s">
        <v>66</v>
      </c>
      <c r="L3906" s="2" t="s">
        <v>38838</v>
      </c>
      <c r="M3906" s="2" t="s">
        <v>38839</v>
      </c>
      <c r="N3906" s="3" t="s">
        <v>113</v>
      </c>
      <c r="P3906" s="3" t="s">
        <v>140</v>
      </c>
      <c r="Q3906" s="2" t="s">
        <v>38840</v>
      </c>
      <c r="R3906" s="3" t="s">
        <v>71</v>
      </c>
      <c r="S3906" s="4">
        <v>1</v>
      </c>
      <c r="T3906" s="4">
        <v>1</v>
      </c>
      <c r="U3906" s="5" t="s">
        <v>8583</v>
      </c>
      <c r="V3906" s="5" t="s">
        <v>8583</v>
      </c>
      <c r="W3906" s="5" t="s">
        <v>72</v>
      </c>
      <c r="X3906" s="5" t="s">
        <v>72</v>
      </c>
      <c r="Y3906" s="4">
        <v>7</v>
      </c>
      <c r="Z3906" s="4">
        <v>1</v>
      </c>
      <c r="AA3906" s="4">
        <v>3</v>
      </c>
      <c r="AB3906" s="4">
        <v>1</v>
      </c>
      <c r="AC3906" s="4">
        <v>1</v>
      </c>
      <c r="AD3906" s="4">
        <v>5</v>
      </c>
      <c r="AE3906" s="4">
        <v>26</v>
      </c>
      <c r="AF3906" s="4">
        <v>0</v>
      </c>
      <c r="AG3906" s="4">
        <v>0</v>
      </c>
      <c r="AH3906" s="4">
        <v>5</v>
      </c>
      <c r="AI3906" s="4">
        <v>25</v>
      </c>
      <c r="AJ3906" s="4">
        <v>0</v>
      </c>
      <c r="AK3906" s="4">
        <v>1</v>
      </c>
      <c r="AL3906" s="4">
        <v>4</v>
      </c>
      <c r="AM3906" s="4">
        <v>23</v>
      </c>
      <c r="AN3906" s="4">
        <v>0</v>
      </c>
      <c r="AO3906" s="4">
        <v>1</v>
      </c>
      <c r="AP3906" s="4">
        <v>0</v>
      </c>
      <c r="AQ3906" s="4">
        <v>1</v>
      </c>
      <c r="AR3906" s="3" t="s">
        <v>65</v>
      </c>
      <c r="AS3906" s="3" t="s">
        <v>65</v>
      </c>
      <c r="AT3906" s="3" t="s">
        <v>65</v>
      </c>
      <c r="AV3906" s="6" t="str">
        <f>HYPERLINK("http://mcgill.on.worldcat.org/oclc/682881835","Catalog Record")</f>
        <v>Catalog Record</v>
      </c>
      <c r="AW3906" s="6" t="str">
        <f>HYPERLINK("http://www.worldcat.org/oclc/682881835","WorldCat Record")</f>
        <v>WorldCat Record</v>
      </c>
      <c r="AX3906" s="3" t="s">
        <v>38841</v>
      </c>
      <c r="AY3906" s="3" t="s">
        <v>38842</v>
      </c>
      <c r="AZ3906" s="3" t="s">
        <v>38843</v>
      </c>
      <c r="BA3906" s="3" t="s">
        <v>38843</v>
      </c>
      <c r="BB3906" s="3" t="s">
        <v>38844</v>
      </c>
      <c r="BC3906" s="3" t="s">
        <v>77</v>
      </c>
      <c r="BD3906" s="3" t="s">
        <v>78</v>
      </c>
      <c r="BE3906" s="3" t="s">
        <v>38845</v>
      </c>
      <c r="BF3906" s="3" t="s">
        <v>38844</v>
      </c>
      <c r="BG3906" s="3" t="s">
        <v>38846</v>
      </c>
    </row>
    <row r="3907" spans="1:59" ht="58" x14ac:dyDescent="0.35">
      <c r="A3907" s="2" t="s">
        <v>59</v>
      </c>
      <c r="B3907" s="2" t="s">
        <v>60</v>
      </c>
      <c r="C3907" s="2" t="s">
        <v>38847</v>
      </c>
      <c r="D3907" s="2" t="s">
        <v>38848</v>
      </c>
      <c r="E3907" s="2" t="s">
        <v>38849</v>
      </c>
      <c r="G3907" s="3" t="s">
        <v>65</v>
      </c>
      <c r="I3907" s="3" t="s">
        <v>65</v>
      </c>
      <c r="J3907" s="3" t="s">
        <v>65</v>
      </c>
      <c r="K3907" s="3" t="s">
        <v>66</v>
      </c>
      <c r="L3907" s="2" t="s">
        <v>38838</v>
      </c>
      <c r="M3907" s="2" t="s">
        <v>38850</v>
      </c>
      <c r="N3907" s="3" t="s">
        <v>1835</v>
      </c>
      <c r="P3907" s="3" t="s">
        <v>140</v>
      </c>
      <c r="Q3907" s="2" t="s">
        <v>38851</v>
      </c>
      <c r="R3907" s="3" t="s">
        <v>71</v>
      </c>
      <c r="S3907" s="4">
        <v>4</v>
      </c>
      <c r="T3907" s="4">
        <v>4</v>
      </c>
      <c r="U3907" s="5" t="s">
        <v>3351</v>
      </c>
      <c r="V3907" s="5" t="s">
        <v>3351</v>
      </c>
      <c r="W3907" s="5" t="s">
        <v>72</v>
      </c>
      <c r="X3907" s="5" t="s">
        <v>72</v>
      </c>
      <c r="Y3907" s="4">
        <v>15</v>
      </c>
      <c r="Z3907" s="4">
        <v>3</v>
      </c>
      <c r="AA3907" s="4">
        <v>3</v>
      </c>
      <c r="AB3907" s="4">
        <v>1</v>
      </c>
      <c r="AC3907" s="4">
        <v>1</v>
      </c>
      <c r="AD3907" s="4">
        <v>6</v>
      </c>
      <c r="AE3907" s="4">
        <v>7</v>
      </c>
      <c r="AF3907" s="4">
        <v>0</v>
      </c>
      <c r="AG3907" s="4">
        <v>0</v>
      </c>
      <c r="AH3907" s="4">
        <v>5</v>
      </c>
      <c r="AI3907" s="4">
        <v>6</v>
      </c>
      <c r="AJ3907" s="4">
        <v>1</v>
      </c>
      <c r="AK3907" s="4">
        <v>1</v>
      </c>
      <c r="AL3907" s="4">
        <v>5</v>
      </c>
      <c r="AM3907" s="4">
        <v>6</v>
      </c>
      <c r="AN3907" s="4">
        <v>0</v>
      </c>
      <c r="AO3907" s="4">
        <v>0</v>
      </c>
      <c r="AP3907" s="4">
        <v>1</v>
      </c>
      <c r="AQ3907" s="4">
        <v>1</v>
      </c>
      <c r="AR3907" s="3" t="s">
        <v>65</v>
      </c>
      <c r="AS3907" s="3" t="s">
        <v>65</v>
      </c>
      <c r="AT3907" s="3" t="s">
        <v>65</v>
      </c>
      <c r="AV3907" s="6" t="str">
        <f>HYPERLINK("http://mcgill.on.worldcat.org/oclc/10967767","Catalog Record")</f>
        <v>Catalog Record</v>
      </c>
      <c r="AW3907" s="6" t="str">
        <f>HYPERLINK("http://www.worldcat.org/oclc/10967767","WorldCat Record")</f>
        <v>WorldCat Record</v>
      </c>
      <c r="AX3907" s="3" t="s">
        <v>38852</v>
      </c>
      <c r="AY3907" s="3" t="s">
        <v>38853</v>
      </c>
      <c r="AZ3907" s="3" t="s">
        <v>38854</v>
      </c>
      <c r="BA3907" s="3" t="s">
        <v>38854</v>
      </c>
      <c r="BB3907" s="3" t="s">
        <v>38855</v>
      </c>
      <c r="BC3907" s="3" t="s">
        <v>77</v>
      </c>
      <c r="BD3907" s="3" t="s">
        <v>78</v>
      </c>
      <c r="BE3907" s="3" t="s">
        <v>38856</v>
      </c>
      <c r="BF3907" s="3" t="s">
        <v>38855</v>
      </c>
      <c r="BG3907" s="3" t="s">
        <v>38857</v>
      </c>
    </row>
    <row r="3908" spans="1:59" ht="58" x14ac:dyDescent="0.35">
      <c r="A3908" s="2" t="s">
        <v>59</v>
      </c>
      <c r="B3908" s="2" t="s">
        <v>60</v>
      </c>
      <c r="C3908" s="2" t="s">
        <v>38858</v>
      </c>
      <c r="D3908" s="2" t="s">
        <v>38859</v>
      </c>
      <c r="E3908" s="2" t="s">
        <v>38860</v>
      </c>
      <c r="G3908" s="3" t="s">
        <v>65</v>
      </c>
      <c r="I3908" s="3" t="s">
        <v>65</v>
      </c>
      <c r="J3908" s="3" t="s">
        <v>65</v>
      </c>
      <c r="K3908" s="3" t="s">
        <v>66</v>
      </c>
      <c r="L3908" s="2" t="s">
        <v>38838</v>
      </c>
      <c r="M3908" s="2" t="s">
        <v>38861</v>
      </c>
      <c r="N3908" s="3" t="s">
        <v>139</v>
      </c>
      <c r="O3908" s="2" t="s">
        <v>14854</v>
      </c>
      <c r="P3908" s="3" t="s">
        <v>69</v>
      </c>
      <c r="R3908" s="3" t="s">
        <v>71</v>
      </c>
      <c r="S3908" s="4">
        <v>1</v>
      </c>
      <c r="T3908" s="4">
        <v>1</v>
      </c>
      <c r="U3908" s="5" t="s">
        <v>4404</v>
      </c>
      <c r="V3908" s="5" t="s">
        <v>4404</v>
      </c>
      <c r="W3908" s="5" t="s">
        <v>72</v>
      </c>
      <c r="X3908" s="5" t="s">
        <v>72</v>
      </c>
      <c r="Y3908" s="4">
        <v>146</v>
      </c>
      <c r="Z3908" s="4">
        <v>8</v>
      </c>
      <c r="AA3908" s="4">
        <v>11</v>
      </c>
      <c r="AB3908" s="4">
        <v>1</v>
      </c>
      <c r="AC3908" s="4">
        <v>2</v>
      </c>
      <c r="AD3908" s="4">
        <v>66</v>
      </c>
      <c r="AE3908" s="4">
        <v>69</v>
      </c>
      <c r="AF3908" s="4">
        <v>0</v>
      </c>
      <c r="AG3908" s="4">
        <v>1</v>
      </c>
      <c r="AH3908" s="4">
        <v>63</v>
      </c>
      <c r="AI3908" s="4">
        <v>66</v>
      </c>
      <c r="AJ3908" s="4">
        <v>6</v>
      </c>
      <c r="AK3908" s="4">
        <v>8</v>
      </c>
      <c r="AL3908" s="4">
        <v>42</v>
      </c>
      <c r="AM3908" s="4">
        <v>44</v>
      </c>
      <c r="AN3908" s="4">
        <v>0</v>
      </c>
      <c r="AO3908" s="4">
        <v>0</v>
      </c>
      <c r="AP3908" s="4">
        <v>6</v>
      </c>
      <c r="AQ3908" s="4">
        <v>8</v>
      </c>
      <c r="AR3908" s="3" t="s">
        <v>65</v>
      </c>
      <c r="AS3908" s="3" t="s">
        <v>65</v>
      </c>
      <c r="AT3908" s="3" t="s">
        <v>65</v>
      </c>
      <c r="AV3908" s="6" t="str">
        <f>HYPERLINK("http://mcgill.on.worldcat.org/oclc/747018923","Catalog Record")</f>
        <v>Catalog Record</v>
      </c>
      <c r="AW3908" s="6" t="str">
        <f>HYPERLINK("http://www.worldcat.org/oclc/747018923","WorldCat Record")</f>
        <v>WorldCat Record</v>
      </c>
      <c r="AX3908" s="3" t="s">
        <v>38862</v>
      </c>
      <c r="AY3908" s="3" t="s">
        <v>38863</v>
      </c>
      <c r="AZ3908" s="3" t="s">
        <v>38864</v>
      </c>
      <c r="BA3908" s="3" t="s">
        <v>38864</v>
      </c>
      <c r="BB3908" s="3" t="s">
        <v>38865</v>
      </c>
      <c r="BC3908" s="3" t="s">
        <v>77</v>
      </c>
      <c r="BD3908" s="3" t="s">
        <v>78</v>
      </c>
      <c r="BE3908" s="3" t="s">
        <v>38866</v>
      </c>
      <c r="BF3908" s="3" t="s">
        <v>38865</v>
      </c>
      <c r="BG3908" s="3" t="s">
        <v>38867</v>
      </c>
    </row>
    <row r="3909" spans="1:59" ht="58" x14ac:dyDescent="0.35">
      <c r="A3909" s="2" t="s">
        <v>59</v>
      </c>
      <c r="B3909" s="2" t="s">
        <v>60</v>
      </c>
      <c r="C3909" s="2" t="s">
        <v>38868</v>
      </c>
      <c r="D3909" s="2" t="s">
        <v>38869</v>
      </c>
      <c r="E3909" s="2" t="s">
        <v>38870</v>
      </c>
      <c r="G3909" s="3" t="s">
        <v>65</v>
      </c>
      <c r="I3909" s="3" t="s">
        <v>65</v>
      </c>
      <c r="J3909" s="3" t="s">
        <v>65</v>
      </c>
      <c r="K3909" s="3" t="s">
        <v>66</v>
      </c>
      <c r="L3909" s="2" t="s">
        <v>38838</v>
      </c>
      <c r="M3909" s="2" t="s">
        <v>38871</v>
      </c>
      <c r="N3909" s="3" t="s">
        <v>955</v>
      </c>
      <c r="P3909" s="3" t="s">
        <v>140</v>
      </c>
      <c r="Q3909" s="2" t="s">
        <v>38872</v>
      </c>
      <c r="R3909" s="3" t="s">
        <v>71</v>
      </c>
      <c r="S3909" s="4">
        <v>2</v>
      </c>
      <c r="T3909" s="4">
        <v>2</v>
      </c>
      <c r="U3909" s="5" t="s">
        <v>16795</v>
      </c>
      <c r="V3909" s="5" t="s">
        <v>16795</v>
      </c>
      <c r="W3909" s="5" t="s">
        <v>72</v>
      </c>
      <c r="X3909" s="5" t="s">
        <v>72</v>
      </c>
      <c r="Y3909" s="4">
        <v>16</v>
      </c>
      <c r="Z3909" s="4">
        <v>3</v>
      </c>
      <c r="AA3909" s="4">
        <v>3</v>
      </c>
      <c r="AB3909" s="4">
        <v>1</v>
      </c>
      <c r="AC3909" s="4">
        <v>1</v>
      </c>
      <c r="AD3909" s="4">
        <v>10</v>
      </c>
      <c r="AE3909" s="4">
        <v>10</v>
      </c>
      <c r="AF3909" s="4">
        <v>0</v>
      </c>
      <c r="AG3909" s="4">
        <v>0</v>
      </c>
      <c r="AH3909" s="4">
        <v>9</v>
      </c>
      <c r="AI3909" s="4">
        <v>9</v>
      </c>
      <c r="AJ3909" s="4">
        <v>1</v>
      </c>
      <c r="AK3909" s="4">
        <v>1</v>
      </c>
      <c r="AL3909" s="4">
        <v>8</v>
      </c>
      <c r="AM3909" s="4">
        <v>8</v>
      </c>
      <c r="AN3909" s="4">
        <v>0</v>
      </c>
      <c r="AO3909" s="4">
        <v>0</v>
      </c>
      <c r="AP3909" s="4">
        <v>1</v>
      </c>
      <c r="AQ3909" s="4">
        <v>1</v>
      </c>
      <c r="AR3909" s="3" t="s">
        <v>65</v>
      </c>
      <c r="AS3909" s="3" t="s">
        <v>65</v>
      </c>
      <c r="AT3909" s="3" t="s">
        <v>209</v>
      </c>
      <c r="AU3909" s="6" t="str">
        <f>HYPERLINK("http://catalog.hathitrust.org/Record/000486639","HathiTrust Record")</f>
        <v>HathiTrust Record</v>
      </c>
      <c r="AV3909" s="6" t="str">
        <f>HYPERLINK("http://mcgill.on.worldcat.org/oclc/20723445","Catalog Record")</f>
        <v>Catalog Record</v>
      </c>
      <c r="AW3909" s="6" t="str">
        <f>HYPERLINK("http://www.worldcat.org/oclc/20723445","WorldCat Record")</f>
        <v>WorldCat Record</v>
      </c>
      <c r="AX3909" s="3" t="s">
        <v>38873</v>
      </c>
      <c r="AY3909" s="3" t="s">
        <v>38874</v>
      </c>
      <c r="AZ3909" s="3" t="s">
        <v>38875</v>
      </c>
      <c r="BA3909" s="3" t="s">
        <v>38875</v>
      </c>
      <c r="BB3909" s="3" t="s">
        <v>38876</v>
      </c>
      <c r="BC3909" s="3" t="s">
        <v>77</v>
      </c>
      <c r="BD3909" s="3" t="s">
        <v>78</v>
      </c>
      <c r="BF3909" s="3" t="s">
        <v>38876</v>
      </c>
      <c r="BG3909" s="3" t="s">
        <v>38877</v>
      </c>
    </row>
    <row r="3910" spans="1:59" ht="58" x14ac:dyDescent="0.35">
      <c r="A3910" s="2" t="s">
        <v>59</v>
      </c>
      <c r="B3910" s="2" t="s">
        <v>60</v>
      </c>
      <c r="C3910" s="2" t="s">
        <v>38878</v>
      </c>
      <c r="D3910" s="2" t="s">
        <v>38879</v>
      </c>
      <c r="E3910" s="2" t="s">
        <v>38880</v>
      </c>
      <c r="G3910" s="3" t="s">
        <v>65</v>
      </c>
      <c r="I3910" s="3" t="s">
        <v>65</v>
      </c>
      <c r="J3910" s="3" t="s">
        <v>65</v>
      </c>
      <c r="K3910" s="3" t="s">
        <v>66</v>
      </c>
      <c r="L3910" s="2" t="s">
        <v>38838</v>
      </c>
      <c r="M3910" s="2" t="s">
        <v>38881</v>
      </c>
      <c r="N3910" s="3" t="s">
        <v>1967</v>
      </c>
      <c r="P3910" s="3" t="s">
        <v>140</v>
      </c>
      <c r="Q3910" s="2" t="s">
        <v>38851</v>
      </c>
      <c r="R3910" s="3" t="s">
        <v>71</v>
      </c>
      <c r="S3910" s="4">
        <v>2</v>
      </c>
      <c r="T3910" s="4">
        <v>2</v>
      </c>
      <c r="U3910" s="5" t="s">
        <v>38882</v>
      </c>
      <c r="V3910" s="5" t="s">
        <v>38882</v>
      </c>
      <c r="W3910" s="5" t="s">
        <v>72</v>
      </c>
      <c r="X3910" s="5" t="s">
        <v>72</v>
      </c>
      <c r="Y3910" s="4">
        <v>18</v>
      </c>
      <c r="Z3910" s="4">
        <v>3</v>
      </c>
      <c r="AA3910" s="4">
        <v>3</v>
      </c>
      <c r="AB3910" s="4">
        <v>1</v>
      </c>
      <c r="AC3910" s="4">
        <v>1</v>
      </c>
      <c r="AD3910" s="4">
        <v>9</v>
      </c>
      <c r="AE3910" s="4">
        <v>9</v>
      </c>
      <c r="AF3910" s="4">
        <v>0</v>
      </c>
      <c r="AG3910" s="4">
        <v>0</v>
      </c>
      <c r="AH3910" s="4">
        <v>9</v>
      </c>
      <c r="AI3910" s="4">
        <v>9</v>
      </c>
      <c r="AJ3910" s="4">
        <v>1</v>
      </c>
      <c r="AK3910" s="4">
        <v>1</v>
      </c>
      <c r="AL3910" s="4">
        <v>8</v>
      </c>
      <c r="AM3910" s="4">
        <v>8</v>
      </c>
      <c r="AN3910" s="4">
        <v>0</v>
      </c>
      <c r="AO3910" s="4">
        <v>0</v>
      </c>
      <c r="AP3910" s="4">
        <v>1</v>
      </c>
      <c r="AQ3910" s="4">
        <v>1</v>
      </c>
      <c r="AR3910" s="3" t="s">
        <v>65</v>
      </c>
      <c r="AS3910" s="3" t="s">
        <v>65</v>
      </c>
      <c r="AT3910" s="3" t="s">
        <v>65</v>
      </c>
      <c r="AV3910" s="6" t="str">
        <f>HYPERLINK("http://mcgill.on.worldcat.org/oclc/54473666","Catalog Record")</f>
        <v>Catalog Record</v>
      </c>
      <c r="AW3910" s="6" t="str">
        <f>HYPERLINK("http://www.worldcat.org/oclc/54473666","WorldCat Record")</f>
        <v>WorldCat Record</v>
      </c>
      <c r="AX3910" s="3" t="s">
        <v>38883</v>
      </c>
      <c r="AY3910" s="3" t="s">
        <v>38884</v>
      </c>
      <c r="AZ3910" s="3" t="s">
        <v>38885</v>
      </c>
      <c r="BA3910" s="3" t="s">
        <v>38885</v>
      </c>
      <c r="BB3910" s="3" t="s">
        <v>38886</v>
      </c>
      <c r="BC3910" s="3" t="s">
        <v>77</v>
      </c>
      <c r="BD3910" s="3" t="s">
        <v>78</v>
      </c>
      <c r="BE3910" s="3" t="s">
        <v>38887</v>
      </c>
      <c r="BF3910" s="3" t="s">
        <v>38886</v>
      </c>
      <c r="BG3910" s="3" t="s">
        <v>38888</v>
      </c>
    </row>
    <row r="3911" spans="1:59" ht="58" x14ac:dyDescent="0.35">
      <c r="A3911" s="2" t="s">
        <v>59</v>
      </c>
      <c r="B3911" s="2" t="s">
        <v>60</v>
      </c>
      <c r="C3911" s="2" t="s">
        <v>38889</v>
      </c>
      <c r="D3911" s="2" t="s">
        <v>38890</v>
      </c>
      <c r="E3911" s="2" t="s">
        <v>38891</v>
      </c>
      <c r="G3911" s="3" t="s">
        <v>65</v>
      </c>
      <c r="I3911" s="3" t="s">
        <v>65</v>
      </c>
      <c r="J3911" s="3" t="s">
        <v>65</v>
      </c>
      <c r="K3911" s="3" t="s">
        <v>66</v>
      </c>
      <c r="L3911" s="2" t="s">
        <v>38838</v>
      </c>
      <c r="M3911" s="2" t="s">
        <v>15181</v>
      </c>
      <c r="N3911" s="3" t="s">
        <v>113</v>
      </c>
      <c r="P3911" s="3" t="s">
        <v>140</v>
      </c>
      <c r="Q3911" s="2" t="s">
        <v>38892</v>
      </c>
      <c r="R3911" s="3" t="s">
        <v>71</v>
      </c>
      <c r="S3911" s="4">
        <v>1</v>
      </c>
      <c r="T3911" s="4">
        <v>1</v>
      </c>
      <c r="U3911" s="5" t="s">
        <v>4404</v>
      </c>
      <c r="V3911" s="5" t="s">
        <v>4404</v>
      </c>
      <c r="W3911" s="5" t="s">
        <v>72</v>
      </c>
      <c r="X3911" s="5" t="s">
        <v>72</v>
      </c>
      <c r="Y3911" s="4">
        <v>46</v>
      </c>
      <c r="Z3911" s="4">
        <v>4</v>
      </c>
      <c r="AA3911" s="4">
        <v>4</v>
      </c>
      <c r="AB3911" s="4">
        <v>1</v>
      </c>
      <c r="AC3911" s="4">
        <v>1</v>
      </c>
      <c r="AD3911" s="4">
        <v>32</v>
      </c>
      <c r="AE3911" s="4">
        <v>32</v>
      </c>
      <c r="AF3911" s="4">
        <v>0</v>
      </c>
      <c r="AG3911" s="4">
        <v>0</v>
      </c>
      <c r="AH3911" s="4">
        <v>31</v>
      </c>
      <c r="AI3911" s="4">
        <v>31</v>
      </c>
      <c r="AJ3911" s="4">
        <v>2</v>
      </c>
      <c r="AK3911" s="4">
        <v>2</v>
      </c>
      <c r="AL3911" s="4">
        <v>25</v>
      </c>
      <c r="AM3911" s="4">
        <v>25</v>
      </c>
      <c r="AN3911" s="4">
        <v>0</v>
      </c>
      <c r="AO3911" s="4">
        <v>0</v>
      </c>
      <c r="AP3911" s="4">
        <v>2</v>
      </c>
      <c r="AQ3911" s="4">
        <v>2</v>
      </c>
      <c r="AR3911" s="3" t="s">
        <v>65</v>
      </c>
      <c r="AS3911" s="3" t="s">
        <v>65</v>
      </c>
      <c r="AT3911" s="3" t="s">
        <v>65</v>
      </c>
      <c r="AV3911" s="6" t="str">
        <f>HYPERLINK("http://mcgill.on.worldcat.org/oclc/535487558","Catalog Record")</f>
        <v>Catalog Record</v>
      </c>
      <c r="AW3911" s="6" t="str">
        <f>HYPERLINK("http://www.worldcat.org/oclc/535487558","WorldCat Record")</f>
        <v>WorldCat Record</v>
      </c>
      <c r="AX3911" s="3" t="s">
        <v>38893</v>
      </c>
      <c r="AY3911" s="3" t="s">
        <v>38894</v>
      </c>
      <c r="AZ3911" s="3" t="s">
        <v>38895</v>
      </c>
      <c r="BA3911" s="3" t="s">
        <v>38895</v>
      </c>
      <c r="BB3911" s="3" t="s">
        <v>38896</v>
      </c>
      <c r="BC3911" s="3" t="s">
        <v>77</v>
      </c>
      <c r="BD3911" s="3" t="s">
        <v>78</v>
      </c>
      <c r="BE3911" s="3" t="s">
        <v>38897</v>
      </c>
      <c r="BF3911" s="3" t="s">
        <v>38896</v>
      </c>
      <c r="BG3911" s="3" t="s">
        <v>38898</v>
      </c>
    </row>
    <row r="3912" spans="1:59" ht="58" x14ac:dyDescent="0.35">
      <c r="A3912" s="2" t="s">
        <v>59</v>
      </c>
      <c r="B3912" s="2" t="s">
        <v>60</v>
      </c>
      <c r="C3912" s="2" t="s">
        <v>38899</v>
      </c>
      <c r="D3912" s="2" t="s">
        <v>38900</v>
      </c>
      <c r="E3912" s="2" t="s">
        <v>38901</v>
      </c>
      <c r="G3912" s="3" t="s">
        <v>65</v>
      </c>
      <c r="I3912" s="3" t="s">
        <v>65</v>
      </c>
      <c r="J3912" s="3" t="s">
        <v>65</v>
      </c>
      <c r="K3912" s="3" t="s">
        <v>66</v>
      </c>
      <c r="L3912" s="2" t="s">
        <v>38902</v>
      </c>
      <c r="M3912" s="2" t="s">
        <v>38903</v>
      </c>
      <c r="N3912" s="3" t="s">
        <v>176</v>
      </c>
      <c r="P3912" s="3" t="s">
        <v>140</v>
      </c>
      <c r="Q3912" s="2" t="s">
        <v>38904</v>
      </c>
      <c r="R3912" s="3" t="s">
        <v>71</v>
      </c>
      <c r="S3912" s="4">
        <v>0</v>
      </c>
      <c r="T3912" s="4">
        <v>0</v>
      </c>
      <c r="W3912" s="5" t="s">
        <v>72</v>
      </c>
      <c r="X3912" s="5" t="s">
        <v>72</v>
      </c>
      <c r="Y3912" s="4">
        <v>40</v>
      </c>
      <c r="Z3912" s="4">
        <v>4</v>
      </c>
      <c r="AA3912" s="4">
        <v>4</v>
      </c>
      <c r="AB3912" s="4">
        <v>1</v>
      </c>
      <c r="AC3912" s="4">
        <v>1</v>
      </c>
      <c r="AD3912" s="4">
        <v>30</v>
      </c>
      <c r="AE3912" s="4">
        <v>30</v>
      </c>
      <c r="AF3912" s="4">
        <v>0</v>
      </c>
      <c r="AG3912" s="4">
        <v>0</v>
      </c>
      <c r="AH3912" s="4">
        <v>30</v>
      </c>
      <c r="AI3912" s="4">
        <v>30</v>
      </c>
      <c r="AJ3912" s="4">
        <v>2</v>
      </c>
      <c r="AK3912" s="4">
        <v>2</v>
      </c>
      <c r="AL3912" s="4">
        <v>21</v>
      </c>
      <c r="AM3912" s="4">
        <v>21</v>
      </c>
      <c r="AN3912" s="4">
        <v>0</v>
      </c>
      <c r="AO3912" s="4">
        <v>0</v>
      </c>
      <c r="AP3912" s="4">
        <v>2</v>
      </c>
      <c r="AQ3912" s="4">
        <v>2</v>
      </c>
      <c r="AR3912" s="3" t="s">
        <v>65</v>
      </c>
      <c r="AS3912" s="3" t="s">
        <v>65</v>
      </c>
      <c r="AT3912" s="3" t="s">
        <v>65</v>
      </c>
      <c r="AV3912" s="6" t="str">
        <f>HYPERLINK("http://mcgill.on.worldcat.org/oclc/913217997","Catalog Record")</f>
        <v>Catalog Record</v>
      </c>
      <c r="AW3912" s="6" t="str">
        <f>HYPERLINK("http://www.worldcat.org/oclc/913217997","WorldCat Record")</f>
        <v>WorldCat Record</v>
      </c>
      <c r="AX3912" s="3" t="s">
        <v>38905</v>
      </c>
      <c r="AY3912" s="3" t="s">
        <v>38906</v>
      </c>
      <c r="AZ3912" s="3" t="s">
        <v>38907</v>
      </c>
      <c r="BA3912" s="3" t="s">
        <v>38907</v>
      </c>
      <c r="BB3912" s="3" t="s">
        <v>38908</v>
      </c>
      <c r="BC3912" s="3" t="s">
        <v>77</v>
      </c>
      <c r="BD3912" s="3" t="s">
        <v>78</v>
      </c>
      <c r="BE3912" s="3" t="s">
        <v>38909</v>
      </c>
      <c r="BF3912" s="3" t="s">
        <v>38908</v>
      </c>
      <c r="BG3912" s="3" t="s">
        <v>38910</v>
      </c>
    </row>
    <row r="3913" spans="1:59" ht="58" x14ac:dyDescent="0.35">
      <c r="A3913" s="2" t="s">
        <v>59</v>
      </c>
      <c r="B3913" s="2" t="s">
        <v>60</v>
      </c>
      <c r="C3913" s="2" t="s">
        <v>38911</v>
      </c>
      <c r="D3913" s="2" t="s">
        <v>38912</v>
      </c>
      <c r="E3913" s="2" t="s">
        <v>38913</v>
      </c>
      <c r="G3913" s="3" t="s">
        <v>65</v>
      </c>
      <c r="I3913" s="3" t="s">
        <v>65</v>
      </c>
      <c r="J3913" s="3" t="s">
        <v>65</v>
      </c>
      <c r="K3913" s="3" t="s">
        <v>66</v>
      </c>
      <c r="L3913" s="2" t="s">
        <v>38914</v>
      </c>
      <c r="M3913" s="2" t="s">
        <v>22333</v>
      </c>
      <c r="N3913" s="3" t="s">
        <v>221</v>
      </c>
      <c r="P3913" s="3" t="s">
        <v>140</v>
      </c>
      <c r="Q3913" s="2" t="s">
        <v>38915</v>
      </c>
      <c r="R3913" s="3" t="s">
        <v>71</v>
      </c>
      <c r="S3913" s="4">
        <v>1</v>
      </c>
      <c r="T3913" s="4">
        <v>1</v>
      </c>
      <c r="U3913" s="5" t="s">
        <v>4404</v>
      </c>
      <c r="V3913" s="5" t="s">
        <v>4404</v>
      </c>
      <c r="W3913" s="5" t="s">
        <v>72</v>
      </c>
      <c r="X3913" s="5" t="s">
        <v>72</v>
      </c>
      <c r="Y3913" s="4">
        <v>50</v>
      </c>
      <c r="Z3913" s="4">
        <v>6</v>
      </c>
      <c r="AA3913" s="4">
        <v>6</v>
      </c>
      <c r="AB3913" s="4">
        <v>1</v>
      </c>
      <c r="AC3913" s="4">
        <v>1</v>
      </c>
      <c r="AD3913" s="4">
        <v>30</v>
      </c>
      <c r="AE3913" s="4">
        <v>30</v>
      </c>
      <c r="AF3913" s="4">
        <v>0</v>
      </c>
      <c r="AG3913" s="4">
        <v>0</v>
      </c>
      <c r="AH3913" s="4">
        <v>28</v>
      </c>
      <c r="AI3913" s="4">
        <v>28</v>
      </c>
      <c r="AJ3913" s="4">
        <v>2</v>
      </c>
      <c r="AK3913" s="4">
        <v>2</v>
      </c>
      <c r="AL3913" s="4">
        <v>21</v>
      </c>
      <c r="AM3913" s="4">
        <v>21</v>
      </c>
      <c r="AN3913" s="4">
        <v>0</v>
      </c>
      <c r="AO3913" s="4">
        <v>0</v>
      </c>
      <c r="AP3913" s="4">
        <v>3</v>
      </c>
      <c r="AQ3913" s="4">
        <v>3</v>
      </c>
      <c r="AR3913" s="3" t="s">
        <v>65</v>
      </c>
      <c r="AS3913" s="3" t="s">
        <v>65</v>
      </c>
      <c r="AT3913" s="3" t="s">
        <v>209</v>
      </c>
      <c r="AU3913" s="6" t="str">
        <f>HYPERLINK("http://catalog.hathitrust.org/Record/005618852","HathiTrust Record")</f>
        <v>HathiTrust Record</v>
      </c>
      <c r="AV3913" s="6" t="str">
        <f>HYPERLINK("http://mcgill.on.worldcat.org/oclc/173622676","Catalog Record")</f>
        <v>Catalog Record</v>
      </c>
      <c r="AW3913" s="6" t="str">
        <f>HYPERLINK("http://www.worldcat.org/oclc/173622676","WorldCat Record")</f>
        <v>WorldCat Record</v>
      </c>
      <c r="AX3913" s="3" t="s">
        <v>38916</v>
      </c>
      <c r="AY3913" s="3" t="s">
        <v>38917</v>
      </c>
      <c r="AZ3913" s="3" t="s">
        <v>38918</v>
      </c>
      <c r="BA3913" s="3" t="s">
        <v>38918</v>
      </c>
      <c r="BB3913" s="3" t="s">
        <v>38919</v>
      </c>
      <c r="BC3913" s="3" t="s">
        <v>77</v>
      </c>
      <c r="BD3913" s="3" t="s">
        <v>78</v>
      </c>
      <c r="BE3913" s="3" t="s">
        <v>38920</v>
      </c>
      <c r="BF3913" s="3" t="s">
        <v>38919</v>
      </c>
      <c r="BG3913" s="3" t="s">
        <v>38921</v>
      </c>
    </row>
    <row r="3914" spans="1:59" ht="58" x14ac:dyDescent="0.35">
      <c r="A3914" s="2" t="s">
        <v>59</v>
      </c>
      <c r="B3914" s="2" t="s">
        <v>60</v>
      </c>
      <c r="C3914" s="2" t="s">
        <v>38922</v>
      </c>
      <c r="D3914" s="2" t="s">
        <v>38923</v>
      </c>
      <c r="E3914" s="2" t="s">
        <v>38924</v>
      </c>
      <c r="G3914" s="3" t="s">
        <v>65</v>
      </c>
      <c r="I3914" s="3" t="s">
        <v>65</v>
      </c>
      <c r="J3914" s="3" t="s">
        <v>65</v>
      </c>
      <c r="K3914" s="3" t="s">
        <v>66</v>
      </c>
      <c r="L3914" s="2" t="s">
        <v>38925</v>
      </c>
      <c r="M3914" s="2" t="s">
        <v>38926</v>
      </c>
      <c r="N3914" s="3" t="s">
        <v>99</v>
      </c>
      <c r="O3914" s="2" t="s">
        <v>365</v>
      </c>
      <c r="P3914" s="3" t="s">
        <v>140</v>
      </c>
      <c r="Q3914" s="2" t="s">
        <v>38927</v>
      </c>
      <c r="R3914" s="3" t="s">
        <v>71</v>
      </c>
      <c r="S3914" s="4">
        <v>1</v>
      </c>
      <c r="T3914" s="4">
        <v>1</v>
      </c>
      <c r="U3914" s="5" t="s">
        <v>4404</v>
      </c>
      <c r="V3914" s="5" t="s">
        <v>4404</v>
      </c>
      <c r="W3914" s="5" t="s">
        <v>72</v>
      </c>
      <c r="X3914" s="5" t="s">
        <v>72</v>
      </c>
      <c r="Y3914" s="4">
        <v>43</v>
      </c>
      <c r="Z3914" s="4">
        <v>3</v>
      </c>
      <c r="AA3914" s="4">
        <v>3</v>
      </c>
      <c r="AB3914" s="4">
        <v>1</v>
      </c>
      <c r="AC3914" s="4">
        <v>1</v>
      </c>
      <c r="AD3914" s="4">
        <v>22</v>
      </c>
      <c r="AE3914" s="4">
        <v>22</v>
      </c>
      <c r="AF3914" s="4">
        <v>0</v>
      </c>
      <c r="AG3914" s="4">
        <v>0</v>
      </c>
      <c r="AH3914" s="4">
        <v>21</v>
      </c>
      <c r="AI3914" s="4">
        <v>21</v>
      </c>
      <c r="AJ3914" s="4">
        <v>1</v>
      </c>
      <c r="AK3914" s="4">
        <v>1</v>
      </c>
      <c r="AL3914" s="4">
        <v>18</v>
      </c>
      <c r="AM3914" s="4">
        <v>18</v>
      </c>
      <c r="AN3914" s="4">
        <v>0</v>
      </c>
      <c r="AO3914" s="4">
        <v>0</v>
      </c>
      <c r="AP3914" s="4">
        <v>1</v>
      </c>
      <c r="AQ3914" s="4">
        <v>1</v>
      </c>
      <c r="AR3914" s="3" t="s">
        <v>65</v>
      </c>
      <c r="AS3914" s="3" t="s">
        <v>65</v>
      </c>
      <c r="AT3914" s="3" t="s">
        <v>209</v>
      </c>
      <c r="AU3914" s="6" t="str">
        <f>HYPERLINK("http://catalog.hathitrust.org/Record/007147233","HathiTrust Record")</f>
        <v>HathiTrust Record</v>
      </c>
      <c r="AV3914" s="6" t="str">
        <f>HYPERLINK("http://mcgill.on.worldcat.org/oclc/74311908","Catalog Record")</f>
        <v>Catalog Record</v>
      </c>
      <c r="AW3914" s="6" t="str">
        <f>HYPERLINK("http://www.worldcat.org/oclc/74311908","WorldCat Record")</f>
        <v>WorldCat Record</v>
      </c>
      <c r="AX3914" s="3" t="s">
        <v>38928</v>
      </c>
      <c r="AY3914" s="3" t="s">
        <v>38929</v>
      </c>
      <c r="AZ3914" s="3" t="s">
        <v>38930</v>
      </c>
      <c r="BA3914" s="3" t="s">
        <v>38930</v>
      </c>
      <c r="BB3914" s="3" t="s">
        <v>38931</v>
      </c>
      <c r="BC3914" s="3" t="s">
        <v>77</v>
      </c>
      <c r="BD3914" s="3" t="s">
        <v>78</v>
      </c>
      <c r="BE3914" s="3" t="s">
        <v>38932</v>
      </c>
      <c r="BF3914" s="3" t="s">
        <v>38931</v>
      </c>
      <c r="BG3914" s="3" t="s">
        <v>38933</v>
      </c>
    </row>
    <row r="3915" spans="1:59" ht="58" x14ac:dyDescent="0.35">
      <c r="A3915" s="2" t="s">
        <v>59</v>
      </c>
      <c r="B3915" s="2" t="s">
        <v>60</v>
      </c>
      <c r="C3915" s="2" t="s">
        <v>38934</v>
      </c>
      <c r="D3915" s="2" t="s">
        <v>38935</v>
      </c>
      <c r="E3915" s="2" t="s">
        <v>38936</v>
      </c>
      <c r="F3915" s="3" t="s">
        <v>38937</v>
      </c>
      <c r="G3915" s="3" t="s">
        <v>65</v>
      </c>
      <c r="I3915" s="3" t="s">
        <v>65</v>
      </c>
      <c r="J3915" s="3" t="s">
        <v>65</v>
      </c>
      <c r="K3915" s="3" t="s">
        <v>66</v>
      </c>
      <c r="M3915" s="2" t="s">
        <v>38938</v>
      </c>
      <c r="N3915" s="3" t="s">
        <v>221</v>
      </c>
      <c r="P3915" s="3" t="s">
        <v>140</v>
      </c>
      <c r="Q3915" s="2" t="s">
        <v>38939</v>
      </c>
      <c r="R3915" s="3" t="s">
        <v>71</v>
      </c>
      <c r="S3915" s="4">
        <v>1</v>
      </c>
      <c r="T3915" s="4">
        <v>1</v>
      </c>
      <c r="U3915" s="5" t="s">
        <v>4404</v>
      </c>
      <c r="V3915" s="5" t="s">
        <v>4404</v>
      </c>
      <c r="W3915" s="5" t="s">
        <v>72</v>
      </c>
      <c r="X3915" s="5" t="s">
        <v>72</v>
      </c>
      <c r="Y3915" s="4">
        <v>36</v>
      </c>
      <c r="Z3915" s="4">
        <v>1</v>
      </c>
      <c r="AA3915" s="4">
        <v>3</v>
      </c>
      <c r="AB3915" s="4">
        <v>1</v>
      </c>
      <c r="AC3915" s="4">
        <v>1</v>
      </c>
      <c r="AD3915" s="4">
        <v>24</v>
      </c>
      <c r="AE3915" s="4">
        <v>25</v>
      </c>
      <c r="AF3915" s="4">
        <v>0</v>
      </c>
      <c r="AG3915" s="4">
        <v>0</v>
      </c>
      <c r="AH3915" s="4">
        <v>22</v>
      </c>
      <c r="AI3915" s="4">
        <v>23</v>
      </c>
      <c r="AJ3915" s="4">
        <v>0</v>
      </c>
      <c r="AK3915" s="4">
        <v>1</v>
      </c>
      <c r="AL3915" s="4">
        <v>20</v>
      </c>
      <c r="AM3915" s="4">
        <v>21</v>
      </c>
      <c r="AN3915" s="4">
        <v>0</v>
      </c>
      <c r="AO3915" s="4">
        <v>0</v>
      </c>
      <c r="AP3915" s="4">
        <v>0</v>
      </c>
      <c r="AQ3915" s="4">
        <v>1</v>
      </c>
      <c r="AR3915" s="3" t="s">
        <v>65</v>
      </c>
      <c r="AS3915" s="3" t="s">
        <v>65</v>
      </c>
      <c r="AT3915" s="3" t="s">
        <v>209</v>
      </c>
      <c r="AU3915" s="6" t="str">
        <f>HYPERLINK("http://catalog.hathitrust.org/Record/005648646","HathiTrust Record")</f>
        <v>HathiTrust Record</v>
      </c>
      <c r="AV3915" s="6" t="str">
        <f>HYPERLINK("http://mcgill.on.worldcat.org/oclc/184820348","Catalog Record")</f>
        <v>Catalog Record</v>
      </c>
      <c r="AW3915" s="6" t="str">
        <f>HYPERLINK("http://www.worldcat.org/oclc/184820348","WorldCat Record")</f>
        <v>WorldCat Record</v>
      </c>
      <c r="AX3915" s="3" t="s">
        <v>38940</v>
      </c>
      <c r="AY3915" s="3" t="s">
        <v>38941</v>
      </c>
      <c r="AZ3915" s="3" t="s">
        <v>38942</v>
      </c>
      <c r="BA3915" s="3" t="s">
        <v>38942</v>
      </c>
      <c r="BB3915" s="3" t="s">
        <v>38943</v>
      </c>
      <c r="BC3915" s="3" t="s">
        <v>77</v>
      </c>
      <c r="BD3915" s="3" t="s">
        <v>78</v>
      </c>
      <c r="BE3915" s="3" t="s">
        <v>38944</v>
      </c>
      <c r="BF3915" s="3" t="s">
        <v>38943</v>
      </c>
      <c r="BG3915" s="3" t="s">
        <v>38945</v>
      </c>
    </row>
    <row r="3916" spans="1:59" ht="58" x14ac:dyDescent="0.35">
      <c r="A3916" s="2" t="s">
        <v>59</v>
      </c>
      <c r="B3916" s="2" t="s">
        <v>60</v>
      </c>
      <c r="C3916" s="2" t="s">
        <v>38946</v>
      </c>
      <c r="D3916" s="2" t="s">
        <v>38947</v>
      </c>
      <c r="E3916" s="2" t="s">
        <v>38948</v>
      </c>
      <c r="G3916" s="3" t="s">
        <v>65</v>
      </c>
      <c r="I3916" s="3" t="s">
        <v>65</v>
      </c>
      <c r="J3916" s="3" t="s">
        <v>65</v>
      </c>
      <c r="K3916" s="3" t="s">
        <v>66</v>
      </c>
      <c r="M3916" s="2" t="s">
        <v>38949</v>
      </c>
      <c r="N3916" s="3" t="s">
        <v>479</v>
      </c>
      <c r="P3916" s="3" t="s">
        <v>140</v>
      </c>
      <c r="Q3916" s="2" t="s">
        <v>38950</v>
      </c>
      <c r="R3916" s="3" t="s">
        <v>71</v>
      </c>
      <c r="S3916" s="4">
        <v>1</v>
      </c>
      <c r="T3916" s="4">
        <v>1</v>
      </c>
      <c r="U3916" s="5" t="s">
        <v>4404</v>
      </c>
      <c r="V3916" s="5" t="s">
        <v>4404</v>
      </c>
      <c r="W3916" s="5" t="s">
        <v>72</v>
      </c>
      <c r="X3916" s="5" t="s">
        <v>72</v>
      </c>
      <c r="Y3916" s="4">
        <v>42</v>
      </c>
      <c r="Z3916" s="4">
        <v>4</v>
      </c>
      <c r="AA3916" s="4">
        <v>4</v>
      </c>
      <c r="AB3916" s="4">
        <v>1</v>
      </c>
      <c r="AC3916" s="4">
        <v>1</v>
      </c>
      <c r="AD3916" s="4">
        <v>30</v>
      </c>
      <c r="AE3916" s="4">
        <v>30</v>
      </c>
      <c r="AF3916" s="4">
        <v>0</v>
      </c>
      <c r="AG3916" s="4">
        <v>0</v>
      </c>
      <c r="AH3916" s="4">
        <v>28</v>
      </c>
      <c r="AI3916" s="4">
        <v>28</v>
      </c>
      <c r="AJ3916" s="4">
        <v>1</v>
      </c>
      <c r="AK3916" s="4">
        <v>1</v>
      </c>
      <c r="AL3916" s="4">
        <v>24</v>
      </c>
      <c r="AM3916" s="4">
        <v>24</v>
      </c>
      <c r="AN3916" s="4">
        <v>0</v>
      </c>
      <c r="AO3916" s="4">
        <v>0</v>
      </c>
      <c r="AP3916" s="4">
        <v>2</v>
      </c>
      <c r="AQ3916" s="4">
        <v>2</v>
      </c>
      <c r="AR3916" s="3" t="s">
        <v>65</v>
      </c>
      <c r="AS3916" s="3" t="s">
        <v>65</v>
      </c>
      <c r="AT3916" s="3" t="s">
        <v>65</v>
      </c>
      <c r="AV3916" s="6" t="str">
        <f>HYPERLINK("http://mcgill.on.worldcat.org/oclc/272561379","Catalog Record")</f>
        <v>Catalog Record</v>
      </c>
      <c r="AW3916" s="6" t="str">
        <f>HYPERLINK("http://www.worldcat.org/oclc/272561379","WorldCat Record")</f>
        <v>WorldCat Record</v>
      </c>
      <c r="AX3916" s="3" t="s">
        <v>38951</v>
      </c>
      <c r="AY3916" s="3" t="s">
        <v>38952</v>
      </c>
      <c r="AZ3916" s="3" t="s">
        <v>38953</v>
      </c>
      <c r="BA3916" s="3" t="s">
        <v>38953</v>
      </c>
      <c r="BB3916" s="3" t="s">
        <v>38954</v>
      </c>
      <c r="BC3916" s="3" t="s">
        <v>77</v>
      </c>
      <c r="BD3916" s="3" t="s">
        <v>78</v>
      </c>
      <c r="BE3916" s="3" t="s">
        <v>38955</v>
      </c>
      <c r="BF3916" s="3" t="s">
        <v>38954</v>
      </c>
      <c r="BG3916" s="3" t="s">
        <v>38956</v>
      </c>
    </row>
    <row r="3917" spans="1:59" ht="72.5" x14ac:dyDescent="0.35">
      <c r="A3917" s="2" t="s">
        <v>59</v>
      </c>
      <c r="B3917" s="2" t="s">
        <v>60</v>
      </c>
      <c r="C3917" s="2" t="s">
        <v>38957</v>
      </c>
      <c r="D3917" s="2" t="s">
        <v>38958</v>
      </c>
      <c r="E3917" s="2" t="s">
        <v>38959</v>
      </c>
      <c r="G3917" s="3" t="s">
        <v>65</v>
      </c>
      <c r="I3917" s="3" t="s">
        <v>65</v>
      </c>
      <c r="J3917" s="3" t="s">
        <v>65</v>
      </c>
      <c r="K3917" s="3" t="s">
        <v>66</v>
      </c>
      <c r="L3917" s="2" t="s">
        <v>38960</v>
      </c>
      <c r="M3917" s="2" t="s">
        <v>38961</v>
      </c>
      <c r="N3917" s="3" t="s">
        <v>139</v>
      </c>
      <c r="O3917" s="2" t="s">
        <v>21416</v>
      </c>
      <c r="P3917" s="3" t="s">
        <v>140</v>
      </c>
      <c r="Q3917" s="2" t="s">
        <v>6617</v>
      </c>
      <c r="R3917" s="3" t="s">
        <v>71</v>
      </c>
      <c r="S3917" s="4">
        <v>1</v>
      </c>
      <c r="T3917" s="4">
        <v>1</v>
      </c>
      <c r="U3917" s="5" t="s">
        <v>26398</v>
      </c>
      <c r="V3917" s="5" t="s">
        <v>26398</v>
      </c>
      <c r="W3917" s="5" t="s">
        <v>72</v>
      </c>
      <c r="X3917" s="5" t="s">
        <v>72</v>
      </c>
      <c r="Y3917" s="4">
        <v>55</v>
      </c>
      <c r="Z3917" s="4">
        <v>5</v>
      </c>
      <c r="AA3917" s="4">
        <v>5</v>
      </c>
      <c r="AB3917" s="4">
        <v>1</v>
      </c>
      <c r="AC3917" s="4">
        <v>1</v>
      </c>
      <c r="AD3917" s="4">
        <v>32</v>
      </c>
      <c r="AE3917" s="4">
        <v>32</v>
      </c>
      <c r="AF3917" s="4">
        <v>0</v>
      </c>
      <c r="AG3917" s="4">
        <v>0</v>
      </c>
      <c r="AH3917" s="4">
        <v>31</v>
      </c>
      <c r="AI3917" s="4">
        <v>31</v>
      </c>
      <c r="AJ3917" s="4">
        <v>3</v>
      </c>
      <c r="AK3917" s="4">
        <v>3</v>
      </c>
      <c r="AL3917" s="4">
        <v>22</v>
      </c>
      <c r="AM3917" s="4">
        <v>22</v>
      </c>
      <c r="AN3917" s="4">
        <v>0</v>
      </c>
      <c r="AO3917" s="4">
        <v>0</v>
      </c>
      <c r="AP3917" s="4">
        <v>3</v>
      </c>
      <c r="AQ3917" s="4">
        <v>3</v>
      </c>
      <c r="AR3917" s="3" t="s">
        <v>65</v>
      </c>
      <c r="AS3917" s="3" t="s">
        <v>65</v>
      </c>
      <c r="AT3917" s="3" t="s">
        <v>65</v>
      </c>
      <c r="AV3917" s="6" t="str">
        <f>HYPERLINK("http://mcgill.on.worldcat.org/oclc/802322747","Catalog Record")</f>
        <v>Catalog Record</v>
      </c>
      <c r="AW3917" s="6" t="str">
        <f>HYPERLINK("http://www.worldcat.org/oclc/802322747","WorldCat Record")</f>
        <v>WorldCat Record</v>
      </c>
      <c r="AX3917" s="3" t="s">
        <v>38962</v>
      </c>
      <c r="AY3917" s="3" t="s">
        <v>38963</v>
      </c>
      <c r="AZ3917" s="3" t="s">
        <v>38964</v>
      </c>
      <c r="BA3917" s="3" t="s">
        <v>38964</v>
      </c>
      <c r="BB3917" s="3" t="s">
        <v>38965</v>
      </c>
      <c r="BC3917" s="3" t="s">
        <v>77</v>
      </c>
      <c r="BD3917" s="3" t="s">
        <v>78</v>
      </c>
      <c r="BE3917" s="3" t="s">
        <v>38966</v>
      </c>
      <c r="BF3917" s="3" t="s">
        <v>38965</v>
      </c>
      <c r="BG3917" s="3" t="s">
        <v>38967</v>
      </c>
    </row>
    <row r="3918" spans="1:59" ht="58" x14ac:dyDescent="0.35">
      <c r="A3918" s="2" t="s">
        <v>59</v>
      </c>
      <c r="B3918" s="2" t="s">
        <v>60</v>
      </c>
      <c r="C3918" s="2" t="s">
        <v>38968</v>
      </c>
      <c r="D3918" s="2" t="s">
        <v>38969</v>
      </c>
      <c r="E3918" s="2" t="s">
        <v>38970</v>
      </c>
      <c r="G3918" s="3" t="s">
        <v>65</v>
      </c>
      <c r="I3918" s="3" t="s">
        <v>65</v>
      </c>
      <c r="J3918" s="3" t="s">
        <v>65</v>
      </c>
      <c r="K3918" s="3" t="s">
        <v>66</v>
      </c>
      <c r="L3918" s="2" t="s">
        <v>38971</v>
      </c>
      <c r="M3918" s="2" t="s">
        <v>18312</v>
      </c>
      <c r="N3918" s="3" t="s">
        <v>126</v>
      </c>
      <c r="O3918" s="2" t="s">
        <v>365</v>
      </c>
      <c r="P3918" s="3" t="s">
        <v>140</v>
      </c>
      <c r="Q3918" s="2" t="s">
        <v>34040</v>
      </c>
      <c r="R3918" s="3" t="s">
        <v>71</v>
      </c>
      <c r="S3918" s="4">
        <v>0</v>
      </c>
      <c r="T3918" s="4">
        <v>0</v>
      </c>
      <c r="W3918" s="5" t="s">
        <v>72</v>
      </c>
      <c r="X3918" s="5" t="s">
        <v>72</v>
      </c>
      <c r="Y3918" s="4">
        <v>51</v>
      </c>
      <c r="Z3918" s="4">
        <v>3</v>
      </c>
      <c r="AA3918" s="4">
        <v>3</v>
      </c>
      <c r="AB3918" s="4">
        <v>1</v>
      </c>
      <c r="AC3918" s="4">
        <v>1</v>
      </c>
      <c r="AD3918" s="4">
        <v>38</v>
      </c>
      <c r="AE3918" s="4">
        <v>38</v>
      </c>
      <c r="AF3918" s="4">
        <v>0</v>
      </c>
      <c r="AG3918" s="4">
        <v>0</v>
      </c>
      <c r="AH3918" s="4">
        <v>37</v>
      </c>
      <c r="AI3918" s="4">
        <v>37</v>
      </c>
      <c r="AJ3918" s="4">
        <v>1</v>
      </c>
      <c r="AK3918" s="4">
        <v>1</v>
      </c>
      <c r="AL3918" s="4">
        <v>30</v>
      </c>
      <c r="AM3918" s="4">
        <v>30</v>
      </c>
      <c r="AN3918" s="4">
        <v>0</v>
      </c>
      <c r="AO3918" s="4">
        <v>0</v>
      </c>
      <c r="AP3918" s="4">
        <v>1</v>
      </c>
      <c r="AQ3918" s="4">
        <v>1</v>
      </c>
      <c r="AR3918" s="3" t="s">
        <v>65</v>
      </c>
      <c r="AS3918" s="3" t="s">
        <v>65</v>
      </c>
      <c r="AT3918" s="3" t="s">
        <v>65</v>
      </c>
      <c r="AV3918" s="6" t="str">
        <f>HYPERLINK("http://mcgill.on.worldcat.org/oclc/759152464","Catalog Record")</f>
        <v>Catalog Record</v>
      </c>
      <c r="AW3918" s="6" t="str">
        <f>HYPERLINK("http://www.worldcat.org/oclc/759152464","WorldCat Record")</f>
        <v>WorldCat Record</v>
      </c>
      <c r="AX3918" s="3" t="s">
        <v>38972</v>
      </c>
      <c r="AY3918" s="3" t="s">
        <v>38973</v>
      </c>
      <c r="AZ3918" s="3" t="s">
        <v>38974</v>
      </c>
      <c r="BA3918" s="3" t="s">
        <v>38974</v>
      </c>
      <c r="BB3918" s="3" t="s">
        <v>38975</v>
      </c>
      <c r="BC3918" s="3" t="s">
        <v>77</v>
      </c>
      <c r="BD3918" s="3" t="s">
        <v>78</v>
      </c>
      <c r="BE3918" s="3" t="s">
        <v>38976</v>
      </c>
      <c r="BF3918" s="3" t="s">
        <v>38975</v>
      </c>
      <c r="BG3918" s="3" t="s">
        <v>38977</v>
      </c>
    </row>
    <row r="3919" spans="1:59" ht="58" x14ac:dyDescent="0.35">
      <c r="A3919" s="2" t="s">
        <v>59</v>
      </c>
      <c r="B3919" s="2" t="s">
        <v>60</v>
      </c>
      <c r="C3919" s="2" t="s">
        <v>38978</v>
      </c>
      <c r="D3919" s="2" t="s">
        <v>38979</v>
      </c>
      <c r="E3919" s="2" t="s">
        <v>38980</v>
      </c>
      <c r="G3919" s="3" t="s">
        <v>65</v>
      </c>
      <c r="I3919" s="3" t="s">
        <v>65</v>
      </c>
      <c r="J3919" s="3" t="s">
        <v>65</v>
      </c>
      <c r="K3919" s="3" t="s">
        <v>66</v>
      </c>
      <c r="L3919" s="2" t="s">
        <v>38971</v>
      </c>
      <c r="M3919" s="2" t="s">
        <v>5746</v>
      </c>
      <c r="N3919" s="3" t="s">
        <v>139</v>
      </c>
      <c r="P3919" s="3" t="s">
        <v>140</v>
      </c>
      <c r="Q3919" s="2" t="s">
        <v>34040</v>
      </c>
      <c r="R3919" s="3" t="s">
        <v>71</v>
      </c>
      <c r="S3919" s="4">
        <v>0</v>
      </c>
      <c r="T3919" s="4">
        <v>0</v>
      </c>
      <c r="W3919" s="5" t="s">
        <v>72</v>
      </c>
      <c r="X3919" s="5" t="s">
        <v>72</v>
      </c>
      <c r="Y3919" s="4">
        <v>13</v>
      </c>
      <c r="Z3919" s="4">
        <v>1</v>
      </c>
      <c r="AA3919" s="4">
        <v>4</v>
      </c>
      <c r="AB3919" s="4">
        <v>1</v>
      </c>
      <c r="AC3919" s="4">
        <v>1</v>
      </c>
      <c r="AD3919" s="4">
        <v>5</v>
      </c>
      <c r="AE3919" s="4">
        <v>34</v>
      </c>
      <c r="AF3919" s="4">
        <v>0</v>
      </c>
      <c r="AG3919" s="4">
        <v>0</v>
      </c>
      <c r="AH3919" s="4">
        <v>5</v>
      </c>
      <c r="AI3919" s="4">
        <v>33</v>
      </c>
      <c r="AJ3919" s="4">
        <v>0</v>
      </c>
      <c r="AK3919" s="4">
        <v>2</v>
      </c>
      <c r="AL3919" s="4">
        <v>5</v>
      </c>
      <c r="AM3919" s="4">
        <v>27</v>
      </c>
      <c r="AN3919" s="4">
        <v>0</v>
      </c>
      <c r="AO3919" s="4">
        <v>0</v>
      </c>
      <c r="AP3919" s="4">
        <v>0</v>
      </c>
      <c r="AQ3919" s="4">
        <v>2</v>
      </c>
      <c r="AR3919" s="3" t="s">
        <v>65</v>
      </c>
      <c r="AS3919" s="3" t="s">
        <v>65</v>
      </c>
      <c r="AT3919" s="3" t="s">
        <v>65</v>
      </c>
      <c r="AV3919" s="6" t="str">
        <f>HYPERLINK("http://mcgill.on.worldcat.org/oclc/794362172","Catalog Record")</f>
        <v>Catalog Record</v>
      </c>
      <c r="AW3919" s="6" t="str">
        <f>HYPERLINK("http://www.worldcat.org/oclc/794362172","WorldCat Record")</f>
        <v>WorldCat Record</v>
      </c>
      <c r="AX3919" s="3" t="s">
        <v>38981</v>
      </c>
      <c r="AY3919" s="3" t="s">
        <v>38982</v>
      </c>
      <c r="AZ3919" s="3" t="s">
        <v>38983</v>
      </c>
      <c r="BA3919" s="3" t="s">
        <v>38983</v>
      </c>
      <c r="BB3919" s="3" t="s">
        <v>38984</v>
      </c>
      <c r="BC3919" s="3" t="s">
        <v>77</v>
      </c>
      <c r="BD3919" s="3" t="s">
        <v>78</v>
      </c>
      <c r="BE3919" s="3" t="s">
        <v>38985</v>
      </c>
      <c r="BF3919" s="3" t="s">
        <v>38984</v>
      </c>
      <c r="BG3919" s="3" t="s">
        <v>38986</v>
      </c>
    </row>
    <row r="3920" spans="1:59" ht="58" x14ac:dyDescent="0.35">
      <c r="A3920" s="2" t="s">
        <v>59</v>
      </c>
      <c r="B3920" s="2" t="s">
        <v>60</v>
      </c>
      <c r="C3920" s="2" t="s">
        <v>38987</v>
      </c>
      <c r="D3920" s="2" t="s">
        <v>38988</v>
      </c>
      <c r="E3920" s="2" t="s">
        <v>38989</v>
      </c>
      <c r="G3920" s="3" t="s">
        <v>65</v>
      </c>
      <c r="I3920" s="3" t="s">
        <v>65</v>
      </c>
      <c r="J3920" s="3" t="s">
        <v>65</v>
      </c>
      <c r="K3920" s="3" t="s">
        <v>66</v>
      </c>
      <c r="L3920" s="2" t="s">
        <v>38990</v>
      </c>
      <c r="M3920" s="2" t="s">
        <v>38991</v>
      </c>
      <c r="N3920" s="3" t="s">
        <v>126</v>
      </c>
      <c r="P3920" s="3" t="s">
        <v>140</v>
      </c>
      <c r="Q3920" s="2" t="s">
        <v>38992</v>
      </c>
      <c r="R3920" s="3" t="s">
        <v>71</v>
      </c>
      <c r="S3920" s="4">
        <v>0</v>
      </c>
      <c r="T3920" s="4">
        <v>0</v>
      </c>
      <c r="W3920" s="5" t="s">
        <v>72</v>
      </c>
      <c r="X3920" s="5" t="s">
        <v>72</v>
      </c>
      <c r="Y3920" s="4">
        <v>2</v>
      </c>
      <c r="Z3920" s="4">
        <v>1</v>
      </c>
      <c r="AA3920" s="4">
        <v>1</v>
      </c>
      <c r="AB3920" s="4">
        <v>1</v>
      </c>
      <c r="AC3920" s="4">
        <v>1</v>
      </c>
      <c r="AD3920" s="4">
        <v>1</v>
      </c>
      <c r="AE3920" s="4">
        <v>1</v>
      </c>
      <c r="AF3920" s="4">
        <v>0</v>
      </c>
      <c r="AG3920" s="4">
        <v>0</v>
      </c>
      <c r="AH3920" s="4">
        <v>1</v>
      </c>
      <c r="AI3920" s="4">
        <v>1</v>
      </c>
      <c r="AJ3920" s="4">
        <v>0</v>
      </c>
      <c r="AK3920" s="4">
        <v>0</v>
      </c>
      <c r="AL3920" s="4">
        <v>1</v>
      </c>
      <c r="AM3920" s="4">
        <v>1</v>
      </c>
      <c r="AN3920" s="4">
        <v>0</v>
      </c>
      <c r="AO3920" s="4">
        <v>0</v>
      </c>
      <c r="AP3920" s="4">
        <v>0</v>
      </c>
      <c r="AQ3920" s="4">
        <v>0</v>
      </c>
      <c r="AR3920" s="3" t="s">
        <v>65</v>
      </c>
      <c r="AS3920" s="3" t="s">
        <v>65</v>
      </c>
      <c r="AT3920" s="3" t="s">
        <v>65</v>
      </c>
      <c r="AV3920" s="6" t="str">
        <f>HYPERLINK("http://mcgill.on.worldcat.org/oclc/825098243","Catalog Record")</f>
        <v>Catalog Record</v>
      </c>
      <c r="AW3920" s="6" t="str">
        <f>HYPERLINK("http://www.worldcat.org/oclc/825098243","WorldCat Record")</f>
        <v>WorldCat Record</v>
      </c>
      <c r="AX3920" s="3" t="s">
        <v>38993</v>
      </c>
      <c r="AY3920" s="3" t="s">
        <v>38994</v>
      </c>
      <c r="AZ3920" s="3" t="s">
        <v>38995</v>
      </c>
      <c r="BA3920" s="3" t="s">
        <v>38995</v>
      </c>
      <c r="BB3920" s="3" t="s">
        <v>38996</v>
      </c>
      <c r="BC3920" s="3" t="s">
        <v>77</v>
      </c>
      <c r="BD3920" s="3" t="s">
        <v>78</v>
      </c>
      <c r="BE3920" s="3" t="s">
        <v>38997</v>
      </c>
      <c r="BF3920" s="3" t="s">
        <v>38996</v>
      </c>
      <c r="BG3920" s="3" t="s">
        <v>38998</v>
      </c>
    </row>
    <row r="3921" spans="1:59" ht="58" x14ac:dyDescent="0.35">
      <c r="A3921" s="2" t="s">
        <v>59</v>
      </c>
      <c r="B3921" s="2" t="s">
        <v>60</v>
      </c>
      <c r="C3921" s="2" t="s">
        <v>38999</v>
      </c>
      <c r="D3921" s="2" t="s">
        <v>39000</v>
      </c>
      <c r="E3921" s="2" t="s">
        <v>39001</v>
      </c>
      <c r="G3921" s="3" t="s">
        <v>65</v>
      </c>
      <c r="I3921" s="3" t="s">
        <v>65</v>
      </c>
      <c r="J3921" s="3" t="s">
        <v>65</v>
      </c>
      <c r="K3921" s="3" t="s">
        <v>66</v>
      </c>
      <c r="L3921" s="2" t="s">
        <v>39002</v>
      </c>
      <c r="M3921" s="2" t="s">
        <v>33051</v>
      </c>
      <c r="N3921" s="3" t="s">
        <v>113</v>
      </c>
      <c r="O3921" s="2" t="s">
        <v>39003</v>
      </c>
      <c r="P3921" s="3" t="s">
        <v>140</v>
      </c>
      <c r="Q3921" s="2" t="s">
        <v>39004</v>
      </c>
      <c r="R3921" s="3" t="s">
        <v>71</v>
      </c>
      <c r="S3921" s="4">
        <v>0</v>
      </c>
      <c r="T3921" s="4">
        <v>0</v>
      </c>
      <c r="W3921" s="5" t="s">
        <v>72</v>
      </c>
      <c r="X3921" s="5" t="s">
        <v>72</v>
      </c>
      <c r="Y3921" s="4">
        <v>67</v>
      </c>
      <c r="Z3921" s="4">
        <v>6</v>
      </c>
      <c r="AA3921" s="4">
        <v>6</v>
      </c>
      <c r="AB3921" s="4">
        <v>1</v>
      </c>
      <c r="AC3921" s="4">
        <v>1</v>
      </c>
      <c r="AD3921" s="4">
        <v>44</v>
      </c>
      <c r="AE3921" s="4">
        <v>45</v>
      </c>
      <c r="AF3921" s="4">
        <v>0</v>
      </c>
      <c r="AG3921" s="4">
        <v>0</v>
      </c>
      <c r="AH3921" s="4">
        <v>43</v>
      </c>
      <c r="AI3921" s="4">
        <v>44</v>
      </c>
      <c r="AJ3921" s="4">
        <v>4</v>
      </c>
      <c r="AK3921" s="4">
        <v>4</v>
      </c>
      <c r="AL3921" s="4">
        <v>32</v>
      </c>
      <c r="AM3921" s="4">
        <v>33</v>
      </c>
      <c r="AN3921" s="4">
        <v>0</v>
      </c>
      <c r="AO3921" s="4">
        <v>0</v>
      </c>
      <c r="AP3921" s="4">
        <v>4</v>
      </c>
      <c r="AQ3921" s="4">
        <v>4</v>
      </c>
      <c r="AR3921" s="3" t="s">
        <v>65</v>
      </c>
      <c r="AS3921" s="3" t="s">
        <v>65</v>
      </c>
      <c r="AT3921" s="3" t="s">
        <v>65</v>
      </c>
      <c r="AV3921" s="6" t="str">
        <f>HYPERLINK("http://mcgill.on.worldcat.org/oclc/688494805","Catalog Record")</f>
        <v>Catalog Record</v>
      </c>
      <c r="AW3921" s="6" t="str">
        <f>HYPERLINK("http://www.worldcat.org/oclc/688494805","WorldCat Record")</f>
        <v>WorldCat Record</v>
      </c>
      <c r="AX3921" s="3" t="s">
        <v>39005</v>
      </c>
      <c r="AY3921" s="3" t="s">
        <v>39006</v>
      </c>
      <c r="AZ3921" s="3" t="s">
        <v>39007</v>
      </c>
      <c r="BA3921" s="3" t="s">
        <v>39007</v>
      </c>
      <c r="BB3921" s="3" t="s">
        <v>39008</v>
      </c>
      <c r="BC3921" s="3" t="s">
        <v>77</v>
      </c>
      <c r="BD3921" s="3" t="s">
        <v>78</v>
      </c>
      <c r="BE3921" s="3" t="s">
        <v>39009</v>
      </c>
      <c r="BF3921" s="3" t="s">
        <v>39008</v>
      </c>
      <c r="BG3921" s="3" t="s">
        <v>39010</v>
      </c>
    </row>
    <row r="3922" spans="1:59" ht="58" x14ac:dyDescent="0.35">
      <c r="A3922" s="2" t="s">
        <v>59</v>
      </c>
      <c r="B3922" s="2" t="s">
        <v>60</v>
      </c>
      <c r="C3922" s="2" t="s">
        <v>39011</v>
      </c>
      <c r="D3922" s="2" t="s">
        <v>39012</v>
      </c>
      <c r="E3922" s="2" t="s">
        <v>39013</v>
      </c>
      <c r="G3922" s="3" t="s">
        <v>65</v>
      </c>
      <c r="I3922" s="3" t="s">
        <v>65</v>
      </c>
      <c r="J3922" s="3" t="s">
        <v>65</v>
      </c>
      <c r="K3922" s="3" t="s">
        <v>66</v>
      </c>
      <c r="L3922" s="2" t="s">
        <v>39014</v>
      </c>
      <c r="M3922" s="2" t="s">
        <v>39015</v>
      </c>
      <c r="N3922" s="3" t="s">
        <v>139</v>
      </c>
      <c r="P3922" s="3" t="s">
        <v>140</v>
      </c>
      <c r="Q3922" s="2" t="s">
        <v>39016</v>
      </c>
      <c r="R3922" s="3" t="s">
        <v>71</v>
      </c>
      <c r="S3922" s="4">
        <v>0</v>
      </c>
      <c r="T3922" s="4">
        <v>0</v>
      </c>
      <c r="W3922" s="5" t="s">
        <v>72</v>
      </c>
      <c r="X3922" s="5" t="s">
        <v>72</v>
      </c>
      <c r="Y3922" s="4">
        <v>36</v>
      </c>
      <c r="Z3922" s="4">
        <v>4</v>
      </c>
      <c r="AA3922" s="4">
        <v>4</v>
      </c>
      <c r="AB3922" s="4">
        <v>1</v>
      </c>
      <c r="AC3922" s="4">
        <v>1</v>
      </c>
      <c r="AD3922" s="4">
        <v>28</v>
      </c>
      <c r="AE3922" s="4">
        <v>30</v>
      </c>
      <c r="AF3922" s="4">
        <v>0</v>
      </c>
      <c r="AG3922" s="4">
        <v>0</v>
      </c>
      <c r="AH3922" s="4">
        <v>27</v>
      </c>
      <c r="AI3922" s="4">
        <v>29</v>
      </c>
      <c r="AJ3922" s="4">
        <v>2</v>
      </c>
      <c r="AK3922" s="4">
        <v>2</v>
      </c>
      <c r="AL3922" s="4">
        <v>21</v>
      </c>
      <c r="AM3922" s="4">
        <v>22</v>
      </c>
      <c r="AN3922" s="4">
        <v>0</v>
      </c>
      <c r="AO3922" s="4">
        <v>0</v>
      </c>
      <c r="AP3922" s="4">
        <v>2</v>
      </c>
      <c r="AQ3922" s="4">
        <v>2</v>
      </c>
      <c r="AR3922" s="3" t="s">
        <v>65</v>
      </c>
      <c r="AS3922" s="3" t="s">
        <v>65</v>
      </c>
      <c r="AT3922" s="3" t="s">
        <v>65</v>
      </c>
      <c r="AV3922" s="6" t="str">
        <f>HYPERLINK("http://mcgill.on.worldcat.org/oclc/816527548","Catalog Record")</f>
        <v>Catalog Record</v>
      </c>
      <c r="AW3922" s="6" t="str">
        <f>HYPERLINK("http://www.worldcat.org/oclc/816527548","WorldCat Record")</f>
        <v>WorldCat Record</v>
      </c>
      <c r="AX3922" s="3" t="s">
        <v>39017</v>
      </c>
      <c r="AY3922" s="3" t="s">
        <v>39018</v>
      </c>
      <c r="AZ3922" s="3" t="s">
        <v>39019</v>
      </c>
      <c r="BA3922" s="3" t="s">
        <v>39019</v>
      </c>
      <c r="BB3922" s="3" t="s">
        <v>39020</v>
      </c>
      <c r="BC3922" s="3" t="s">
        <v>77</v>
      </c>
      <c r="BD3922" s="3" t="s">
        <v>78</v>
      </c>
      <c r="BE3922" s="3" t="s">
        <v>39021</v>
      </c>
      <c r="BF3922" s="3" t="s">
        <v>39020</v>
      </c>
      <c r="BG3922" s="3" t="s">
        <v>39022</v>
      </c>
    </row>
    <row r="3923" spans="1:59" ht="58" x14ac:dyDescent="0.35">
      <c r="A3923" s="2" t="s">
        <v>59</v>
      </c>
      <c r="B3923" s="2" t="s">
        <v>60</v>
      </c>
      <c r="C3923" s="2" t="s">
        <v>39023</v>
      </c>
      <c r="D3923" s="2" t="s">
        <v>39024</v>
      </c>
      <c r="E3923" s="2" t="s">
        <v>39025</v>
      </c>
      <c r="G3923" s="3" t="s">
        <v>65</v>
      </c>
      <c r="I3923" s="3" t="s">
        <v>65</v>
      </c>
      <c r="J3923" s="3" t="s">
        <v>65</v>
      </c>
      <c r="K3923" s="3" t="s">
        <v>66</v>
      </c>
      <c r="L3923" s="2" t="s">
        <v>39026</v>
      </c>
      <c r="M3923" s="2" t="s">
        <v>39027</v>
      </c>
      <c r="N3923" s="3" t="s">
        <v>188</v>
      </c>
      <c r="P3923" s="3" t="s">
        <v>140</v>
      </c>
      <c r="Q3923" s="2" t="s">
        <v>39028</v>
      </c>
      <c r="R3923" s="3" t="s">
        <v>71</v>
      </c>
      <c r="S3923" s="4">
        <v>0</v>
      </c>
      <c r="T3923" s="4">
        <v>0</v>
      </c>
      <c r="W3923" s="5" t="s">
        <v>72</v>
      </c>
      <c r="X3923" s="5" t="s">
        <v>72</v>
      </c>
      <c r="Y3923" s="4">
        <v>29</v>
      </c>
      <c r="Z3923" s="4">
        <v>2</v>
      </c>
      <c r="AA3923" s="4">
        <v>2</v>
      </c>
      <c r="AB3923" s="4">
        <v>1</v>
      </c>
      <c r="AC3923" s="4">
        <v>1</v>
      </c>
      <c r="AD3923" s="4">
        <v>20</v>
      </c>
      <c r="AE3923" s="4">
        <v>20</v>
      </c>
      <c r="AF3923" s="4">
        <v>0</v>
      </c>
      <c r="AG3923" s="4">
        <v>0</v>
      </c>
      <c r="AH3923" s="4">
        <v>19</v>
      </c>
      <c r="AI3923" s="4">
        <v>19</v>
      </c>
      <c r="AJ3923" s="4">
        <v>1</v>
      </c>
      <c r="AK3923" s="4">
        <v>1</v>
      </c>
      <c r="AL3923" s="4">
        <v>14</v>
      </c>
      <c r="AM3923" s="4">
        <v>14</v>
      </c>
      <c r="AN3923" s="4">
        <v>0</v>
      </c>
      <c r="AO3923" s="4">
        <v>0</v>
      </c>
      <c r="AP3923" s="4">
        <v>1</v>
      </c>
      <c r="AQ3923" s="4">
        <v>1</v>
      </c>
      <c r="AR3923" s="3" t="s">
        <v>65</v>
      </c>
      <c r="AS3923" s="3" t="s">
        <v>65</v>
      </c>
      <c r="AT3923" s="3" t="s">
        <v>65</v>
      </c>
      <c r="AV3923" s="6" t="str">
        <f>HYPERLINK("http://mcgill.on.worldcat.org/oclc/987269990","Catalog Record")</f>
        <v>Catalog Record</v>
      </c>
      <c r="AW3923" s="6" t="str">
        <f>HYPERLINK("http://www.worldcat.org/oclc/987269990","WorldCat Record")</f>
        <v>WorldCat Record</v>
      </c>
      <c r="AX3923" s="3" t="s">
        <v>39029</v>
      </c>
      <c r="AY3923" s="3" t="s">
        <v>39030</v>
      </c>
      <c r="AZ3923" s="3" t="s">
        <v>39031</v>
      </c>
      <c r="BA3923" s="3" t="s">
        <v>39031</v>
      </c>
      <c r="BB3923" s="3" t="s">
        <v>39032</v>
      </c>
      <c r="BC3923" s="3" t="s">
        <v>77</v>
      </c>
      <c r="BD3923" s="3" t="s">
        <v>78</v>
      </c>
      <c r="BE3923" s="3" t="s">
        <v>39033</v>
      </c>
      <c r="BF3923" s="3" t="s">
        <v>39032</v>
      </c>
      <c r="BG3923" s="3" t="s">
        <v>39034</v>
      </c>
    </row>
    <row r="3924" spans="1:59" ht="58" x14ac:dyDescent="0.35">
      <c r="A3924" s="2" t="s">
        <v>59</v>
      </c>
      <c r="B3924" s="2" t="s">
        <v>60</v>
      </c>
      <c r="C3924" s="2" t="s">
        <v>39035</v>
      </c>
      <c r="D3924" s="2" t="s">
        <v>39036</v>
      </c>
      <c r="E3924" s="2" t="s">
        <v>39037</v>
      </c>
      <c r="G3924" s="3" t="s">
        <v>65</v>
      </c>
      <c r="I3924" s="3" t="s">
        <v>65</v>
      </c>
      <c r="J3924" s="3" t="s">
        <v>65</v>
      </c>
      <c r="K3924" s="3" t="s">
        <v>66</v>
      </c>
      <c r="L3924" s="2" t="s">
        <v>39038</v>
      </c>
      <c r="M3924" s="2" t="s">
        <v>17840</v>
      </c>
      <c r="N3924" s="3" t="s">
        <v>126</v>
      </c>
      <c r="O3924" s="2" t="s">
        <v>365</v>
      </c>
      <c r="P3924" s="3" t="s">
        <v>140</v>
      </c>
      <c r="R3924" s="3" t="s">
        <v>71</v>
      </c>
      <c r="S3924" s="4">
        <v>0</v>
      </c>
      <c r="T3924" s="4">
        <v>0</v>
      </c>
      <c r="W3924" s="5" t="s">
        <v>72</v>
      </c>
      <c r="X3924" s="5" t="s">
        <v>72</v>
      </c>
      <c r="Y3924" s="4">
        <v>35</v>
      </c>
      <c r="Z3924" s="4">
        <v>1</v>
      </c>
      <c r="AA3924" s="4">
        <v>1</v>
      </c>
      <c r="AB3924" s="4">
        <v>1</v>
      </c>
      <c r="AC3924" s="4">
        <v>1</v>
      </c>
      <c r="AD3924" s="4">
        <v>26</v>
      </c>
      <c r="AE3924" s="4">
        <v>26</v>
      </c>
      <c r="AF3924" s="4">
        <v>0</v>
      </c>
      <c r="AG3924" s="4">
        <v>0</v>
      </c>
      <c r="AH3924" s="4">
        <v>25</v>
      </c>
      <c r="AI3924" s="4">
        <v>25</v>
      </c>
      <c r="AJ3924" s="4">
        <v>0</v>
      </c>
      <c r="AK3924" s="4">
        <v>0</v>
      </c>
      <c r="AL3924" s="4">
        <v>21</v>
      </c>
      <c r="AM3924" s="4">
        <v>21</v>
      </c>
      <c r="AN3924" s="4">
        <v>0</v>
      </c>
      <c r="AO3924" s="4">
        <v>0</v>
      </c>
      <c r="AP3924" s="4">
        <v>0</v>
      </c>
      <c r="AQ3924" s="4">
        <v>0</v>
      </c>
      <c r="AR3924" s="3" t="s">
        <v>65</v>
      </c>
      <c r="AS3924" s="3" t="s">
        <v>65</v>
      </c>
      <c r="AT3924" s="3" t="s">
        <v>65</v>
      </c>
      <c r="AV3924" s="6" t="str">
        <f>HYPERLINK("http://mcgill.on.worldcat.org/oclc/745969676","Catalog Record")</f>
        <v>Catalog Record</v>
      </c>
      <c r="AW3924" s="6" t="str">
        <f>HYPERLINK("http://www.worldcat.org/oclc/745969676","WorldCat Record")</f>
        <v>WorldCat Record</v>
      </c>
      <c r="AX3924" s="3" t="s">
        <v>39039</v>
      </c>
      <c r="AY3924" s="3" t="s">
        <v>39040</v>
      </c>
      <c r="AZ3924" s="3" t="s">
        <v>39041</v>
      </c>
      <c r="BA3924" s="3" t="s">
        <v>39041</v>
      </c>
      <c r="BB3924" s="3" t="s">
        <v>39042</v>
      </c>
      <c r="BC3924" s="3" t="s">
        <v>77</v>
      </c>
      <c r="BD3924" s="3" t="s">
        <v>78</v>
      </c>
      <c r="BE3924" s="3" t="s">
        <v>39043</v>
      </c>
      <c r="BF3924" s="3" t="s">
        <v>39042</v>
      </c>
      <c r="BG3924" s="3" t="s">
        <v>39044</v>
      </c>
    </row>
    <row r="3925" spans="1:59" ht="58" x14ac:dyDescent="0.35">
      <c r="A3925" s="2" t="s">
        <v>59</v>
      </c>
      <c r="B3925" s="2" t="s">
        <v>60</v>
      </c>
      <c r="C3925" s="2" t="s">
        <v>39035</v>
      </c>
      <c r="D3925" s="2" t="s">
        <v>39036</v>
      </c>
      <c r="E3925" s="2" t="s">
        <v>39045</v>
      </c>
      <c r="G3925" s="3" t="s">
        <v>65</v>
      </c>
      <c r="I3925" s="3" t="s">
        <v>65</v>
      </c>
      <c r="J3925" s="3" t="s">
        <v>65</v>
      </c>
      <c r="K3925" s="3" t="s">
        <v>66</v>
      </c>
      <c r="L3925" s="2" t="s">
        <v>39046</v>
      </c>
      <c r="M3925" s="2" t="s">
        <v>200</v>
      </c>
      <c r="N3925" s="3" t="s">
        <v>139</v>
      </c>
      <c r="P3925" s="3" t="s">
        <v>140</v>
      </c>
      <c r="Q3925" s="2" t="s">
        <v>39047</v>
      </c>
      <c r="R3925" s="3" t="s">
        <v>71</v>
      </c>
      <c r="S3925" s="4">
        <v>0</v>
      </c>
      <c r="T3925" s="4">
        <v>0</v>
      </c>
      <c r="W3925" s="5" t="s">
        <v>72</v>
      </c>
      <c r="X3925" s="5" t="s">
        <v>72</v>
      </c>
      <c r="Y3925" s="4">
        <v>38</v>
      </c>
      <c r="Z3925" s="4">
        <v>3</v>
      </c>
      <c r="AA3925" s="4">
        <v>3</v>
      </c>
      <c r="AB3925" s="4">
        <v>1</v>
      </c>
      <c r="AC3925" s="4">
        <v>1</v>
      </c>
      <c r="AD3925" s="4">
        <v>23</v>
      </c>
      <c r="AE3925" s="4">
        <v>23</v>
      </c>
      <c r="AF3925" s="4">
        <v>0</v>
      </c>
      <c r="AG3925" s="4">
        <v>0</v>
      </c>
      <c r="AH3925" s="4">
        <v>22</v>
      </c>
      <c r="AI3925" s="4">
        <v>22</v>
      </c>
      <c r="AJ3925" s="4">
        <v>1</v>
      </c>
      <c r="AK3925" s="4">
        <v>1</v>
      </c>
      <c r="AL3925" s="4">
        <v>18</v>
      </c>
      <c r="AM3925" s="4">
        <v>18</v>
      </c>
      <c r="AN3925" s="4">
        <v>0</v>
      </c>
      <c r="AO3925" s="4">
        <v>0</v>
      </c>
      <c r="AP3925" s="4">
        <v>1</v>
      </c>
      <c r="AQ3925" s="4">
        <v>1</v>
      </c>
      <c r="AR3925" s="3" t="s">
        <v>65</v>
      </c>
      <c r="AS3925" s="3" t="s">
        <v>65</v>
      </c>
      <c r="AT3925" s="3" t="s">
        <v>65</v>
      </c>
      <c r="AV3925" s="6" t="str">
        <f>HYPERLINK("http://mcgill.on.worldcat.org/oclc/824728003","Catalog Record")</f>
        <v>Catalog Record</v>
      </c>
      <c r="AW3925" s="6" t="str">
        <f>HYPERLINK("http://www.worldcat.org/oclc/824728003","WorldCat Record")</f>
        <v>WorldCat Record</v>
      </c>
      <c r="AX3925" s="3" t="s">
        <v>39048</v>
      </c>
      <c r="AY3925" s="3" t="s">
        <v>39049</v>
      </c>
      <c r="AZ3925" s="3" t="s">
        <v>39050</v>
      </c>
      <c r="BA3925" s="3" t="s">
        <v>39050</v>
      </c>
      <c r="BB3925" s="3" t="s">
        <v>39051</v>
      </c>
      <c r="BC3925" s="3" t="s">
        <v>77</v>
      </c>
      <c r="BD3925" s="3" t="s">
        <v>78</v>
      </c>
      <c r="BE3925" s="3" t="s">
        <v>39052</v>
      </c>
      <c r="BF3925" s="3" t="s">
        <v>39051</v>
      </c>
      <c r="BG3925" s="3" t="s">
        <v>39053</v>
      </c>
    </row>
    <row r="3926" spans="1:59" ht="58" x14ac:dyDescent="0.35">
      <c r="A3926" s="2" t="s">
        <v>59</v>
      </c>
      <c r="B3926" s="2" t="s">
        <v>60</v>
      </c>
      <c r="C3926" s="2" t="s">
        <v>39054</v>
      </c>
      <c r="D3926" s="2" t="s">
        <v>39055</v>
      </c>
      <c r="E3926" s="2" t="s">
        <v>39056</v>
      </c>
      <c r="G3926" s="3" t="s">
        <v>65</v>
      </c>
      <c r="I3926" s="3" t="s">
        <v>65</v>
      </c>
      <c r="J3926" s="3" t="s">
        <v>65</v>
      </c>
      <c r="K3926" s="3" t="s">
        <v>66</v>
      </c>
      <c r="L3926" s="2" t="s">
        <v>4676</v>
      </c>
      <c r="M3926" s="2" t="s">
        <v>20541</v>
      </c>
      <c r="N3926" s="3" t="s">
        <v>126</v>
      </c>
      <c r="P3926" s="3" t="s">
        <v>140</v>
      </c>
      <c r="Q3926" s="2" t="s">
        <v>39057</v>
      </c>
      <c r="R3926" s="3" t="s">
        <v>71</v>
      </c>
      <c r="S3926" s="4">
        <v>0</v>
      </c>
      <c r="T3926" s="4">
        <v>0</v>
      </c>
      <c r="W3926" s="5" t="s">
        <v>72</v>
      </c>
      <c r="X3926" s="5" t="s">
        <v>72</v>
      </c>
      <c r="Y3926" s="4">
        <v>51</v>
      </c>
      <c r="Z3926" s="4">
        <v>4</v>
      </c>
      <c r="AA3926" s="4">
        <v>4</v>
      </c>
      <c r="AB3926" s="4">
        <v>1</v>
      </c>
      <c r="AC3926" s="4">
        <v>1</v>
      </c>
      <c r="AD3926" s="4">
        <v>36</v>
      </c>
      <c r="AE3926" s="4">
        <v>36</v>
      </c>
      <c r="AF3926" s="4">
        <v>0</v>
      </c>
      <c r="AG3926" s="4">
        <v>0</v>
      </c>
      <c r="AH3926" s="4">
        <v>35</v>
      </c>
      <c r="AI3926" s="4">
        <v>35</v>
      </c>
      <c r="AJ3926" s="4">
        <v>2</v>
      </c>
      <c r="AK3926" s="4">
        <v>2</v>
      </c>
      <c r="AL3926" s="4">
        <v>28</v>
      </c>
      <c r="AM3926" s="4">
        <v>28</v>
      </c>
      <c r="AN3926" s="4">
        <v>0</v>
      </c>
      <c r="AO3926" s="4">
        <v>0</v>
      </c>
      <c r="AP3926" s="4">
        <v>2</v>
      </c>
      <c r="AQ3926" s="4">
        <v>2</v>
      </c>
      <c r="AR3926" s="3" t="s">
        <v>65</v>
      </c>
      <c r="AS3926" s="3" t="s">
        <v>65</v>
      </c>
      <c r="AT3926" s="3" t="s">
        <v>65</v>
      </c>
      <c r="AV3926" s="6" t="str">
        <f>HYPERLINK("http://mcgill.on.worldcat.org/oclc/761177474","Catalog Record")</f>
        <v>Catalog Record</v>
      </c>
      <c r="AW3926" s="6" t="str">
        <f>HYPERLINK("http://www.worldcat.org/oclc/761177474","WorldCat Record")</f>
        <v>WorldCat Record</v>
      </c>
      <c r="AX3926" s="3" t="s">
        <v>39058</v>
      </c>
      <c r="AY3926" s="3" t="s">
        <v>39059</v>
      </c>
      <c r="AZ3926" s="3" t="s">
        <v>39060</v>
      </c>
      <c r="BA3926" s="3" t="s">
        <v>39060</v>
      </c>
      <c r="BB3926" s="3" t="s">
        <v>39061</v>
      </c>
      <c r="BC3926" s="3" t="s">
        <v>77</v>
      </c>
      <c r="BD3926" s="3" t="s">
        <v>78</v>
      </c>
      <c r="BE3926" s="3" t="s">
        <v>39062</v>
      </c>
      <c r="BF3926" s="3" t="s">
        <v>39061</v>
      </c>
      <c r="BG3926" s="3" t="s">
        <v>39063</v>
      </c>
    </row>
    <row r="3927" spans="1:59" ht="58" x14ac:dyDescent="0.35">
      <c r="A3927" s="2" t="s">
        <v>59</v>
      </c>
      <c r="B3927" s="2" t="s">
        <v>60</v>
      </c>
      <c r="C3927" s="2" t="s">
        <v>39064</v>
      </c>
      <c r="D3927" s="2" t="s">
        <v>39065</v>
      </c>
      <c r="E3927" s="2" t="s">
        <v>39066</v>
      </c>
      <c r="G3927" s="3" t="s">
        <v>65</v>
      </c>
      <c r="I3927" s="3" t="s">
        <v>65</v>
      </c>
      <c r="J3927" s="3" t="s">
        <v>65</v>
      </c>
      <c r="K3927" s="3" t="s">
        <v>66</v>
      </c>
      <c r="M3927" s="2" t="s">
        <v>39067</v>
      </c>
      <c r="N3927" s="3" t="s">
        <v>152</v>
      </c>
      <c r="P3927" s="3" t="s">
        <v>69</v>
      </c>
      <c r="Q3927" s="2" t="s">
        <v>39068</v>
      </c>
      <c r="R3927" s="3" t="s">
        <v>71</v>
      </c>
      <c r="S3927" s="4">
        <v>1</v>
      </c>
      <c r="T3927" s="4">
        <v>1</v>
      </c>
      <c r="U3927" s="5" t="s">
        <v>39069</v>
      </c>
      <c r="V3927" s="5" t="s">
        <v>39069</v>
      </c>
      <c r="W3927" s="5" t="s">
        <v>72</v>
      </c>
      <c r="X3927" s="5" t="s">
        <v>72</v>
      </c>
      <c r="Y3927" s="4">
        <v>82</v>
      </c>
      <c r="Z3927" s="4">
        <v>14</v>
      </c>
      <c r="AA3927" s="4">
        <v>19</v>
      </c>
      <c r="AB3927" s="4">
        <v>1</v>
      </c>
      <c r="AC3927" s="4">
        <v>4</v>
      </c>
      <c r="AD3927" s="4">
        <v>47</v>
      </c>
      <c r="AE3927" s="4">
        <v>52</v>
      </c>
      <c r="AF3927" s="4">
        <v>0</v>
      </c>
      <c r="AG3927" s="4">
        <v>0</v>
      </c>
      <c r="AH3927" s="4">
        <v>43</v>
      </c>
      <c r="AI3927" s="4">
        <v>47</v>
      </c>
      <c r="AJ3927" s="4">
        <v>10</v>
      </c>
      <c r="AK3927" s="4">
        <v>12</v>
      </c>
      <c r="AL3927" s="4">
        <v>28</v>
      </c>
      <c r="AM3927" s="4">
        <v>31</v>
      </c>
      <c r="AN3927" s="4">
        <v>0</v>
      </c>
      <c r="AO3927" s="4">
        <v>0</v>
      </c>
      <c r="AP3927" s="4">
        <v>10</v>
      </c>
      <c r="AQ3927" s="4">
        <v>12</v>
      </c>
      <c r="AR3927" s="3" t="s">
        <v>65</v>
      </c>
      <c r="AS3927" s="3" t="s">
        <v>65</v>
      </c>
      <c r="AT3927" s="3" t="s">
        <v>65</v>
      </c>
      <c r="AV3927" s="6" t="str">
        <f>HYPERLINK("http://mcgill.on.worldcat.org/oclc/844873111","Catalog Record")</f>
        <v>Catalog Record</v>
      </c>
      <c r="AW3927" s="6" t="str">
        <f>HYPERLINK("http://www.worldcat.org/oclc/844873111","WorldCat Record")</f>
        <v>WorldCat Record</v>
      </c>
      <c r="AX3927" s="3" t="s">
        <v>39070</v>
      </c>
      <c r="AY3927" s="3" t="s">
        <v>39071</v>
      </c>
      <c r="AZ3927" s="3" t="s">
        <v>39072</v>
      </c>
      <c r="BA3927" s="3" t="s">
        <v>39072</v>
      </c>
      <c r="BB3927" s="3" t="s">
        <v>39073</v>
      </c>
      <c r="BC3927" s="3" t="s">
        <v>77</v>
      </c>
      <c r="BD3927" s="3" t="s">
        <v>78</v>
      </c>
      <c r="BE3927" s="3" t="s">
        <v>39074</v>
      </c>
      <c r="BF3927" s="3" t="s">
        <v>39073</v>
      </c>
      <c r="BG3927" s="3" t="s">
        <v>39075</v>
      </c>
    </row>
    <row r="3928" spans="1:59" ht="58" x14ac:dyDescent="0.35">
      <c r="A3928" s="2" t="s">
        <v>59</v>
      </c>
      <c r="B3928" s="2" t="s">
        <v>60</v>
      </c>
      <c r="C3928" s="2" t="s">
        <v>39076</v>
      </c>
      <c r="D3928" s="2" t="s">
        <v>39077</v>
      </c>
      <c r="E3928" s="2" t="s">
        <v>39078</v>
      </c>
      <c r="F3928" s="3" t="s">
        <v>39079</v>
      </c>
      <c r="G3928" s="3" t="s">
        <v>65</v>
      </c>
      <c r="I3928" s="3" t="s">
        <v>65</v>
      </c>
      <c r="J3928" s="3" t="s">
        <v>65</v>
      </c>
      <c r="K3928" s="3" t="s">
        <v>66</v>
      </c>
      <c r="M3928" s="2" t="s">
        <v>39080</v>
      </c>
      <c r="N3928" s="3" t="s">
        <v>126</v>
      </c>
      <c r="O3928" s="2" t="s">
        <v>365</v>
      </c>
      <c r="P3928" s="3" t="s">
        <v>140</v>
      </c>
      <c r="Q3928" s="2" t="s">
        <v>39081</v>
      </c>
      <c r="R3928" s="3" t="s">
        <v>71</v>
      </c>
      <c r="S3928" s="4">
        <v>0</v>
      </c>
      <c r="T3928" s="4">
        <v>0</v>
      </c>
      <c r="W3928" s="5" t="s">
        <v>72</v>
      </c>
      <c r="X3928" s="5" t="s">
        <v>72</v>
      </c>
      <c r="Y3928" s="4">
        <v>26</v>
      </c>
      <c r="Z3928" s="4">
        <v>2</v>
      </c>
      <c r="AA3928" s="4">
        <v>2</v>
      </c>
      <c r="AB3928" s="4">
        <v>1</v>
      </c>
      <c r="AC3928" s="4">
        <v>1</v>
      </c>
      <c r="AD3928" s="4">
        <v>19</v>
      </c>
      <c r="AE3928" s="4">
        <v>19</v>
      </c>
      <c r="AF3928" s="4">
        <v>0</v>
      </c>
      <c r="AG3928" s="4">
        <v>0</v>
      </c>
      <c r="AH3928" s="4">
        <v>19</v>
      </c>
      <c r="AI3928" s="4">
        <v>19</v>
      </c>
      <c r="AJ3928" s="4">
        <v>1</v>
      </c>
      <c r="AK3928" s="4">
        <v>1</v>
      </c>
      <c r="AL3928" s="4">
        <v>14</v>
      </c>
      <c r="AM3928" s="4">
        <v>14</v>
      </c>
      <c r="AN3928" s="4">
        <v>0</v>
      </c>
      <c r="AO3928" s="4">
        <v>0</v>
      </c>
      <c r="AP3928" s="4">
        <v>1</v>
      </c>
      <c r="AQ3928" s="4">
        <v>1</v>
      </c>
      <c r="AR3928" s="3" t="s">
        <v>65</v>
      </c>
      <c r="AS3928" s="3" t="s">
        <v>65</v>
      </c>
      <c r="AT3928" s="3" t="s">
        <v>65</v>
      </c>
      <c r="AV3928" s="6" t="str">
        <f>HYPERLINK("http://mcgill.on.worldcat.org/oclc/740627384","Catalog Record")</f>
        <v>Catalog Record</v>
      </c>
      <c r="AW3928" s="6" t="str">
        <f>HYPERLINK("http://www.worldcat.org/oclc/740627384","WorldCat Record")</f>
        <v>WorldCat Record</v>
      </c>
      <c r="AX3928" s="3" t="s">
        <v>39082</v>
      </c>
      <c r="AY3928" s="3" t="s">
        <v>39083</v>
      </c>
      <c r="AZ3928" s="3" t="s">
        <v>39084</v>
      </c>
      <c r="BA3928" s="3" t="s">
        <v>39084</v>
      </c>
      <c r="BB3928" s="3" t="s">
        <v>39085</v>
      </c>
      <c r="BC3928" s="3" t="s">
        <v>77</v>
      </c>
      <c r="BD3928" s="3" t="s">
        <v>78</v>
      </c>
      <c r="BE3928" s="3" t="s">
        <v>39086</v>
      </c>
      <c r="BF3928" s="3" t="s">
        <v>39085</v>
      </c>
      <c r="BG3928" s="3" t="s">
        <v>39087</v>
      </c>
    </row>
    <row r="3929" spans="1:59" ht="58" x14ac:dyDescent="0.35">
      <c r="A3929" s="2" t="s">
        <v>59</v>
      </c>
      <c r="B3929" s="2" t="s">
        <v>60</v>
      </c>
      <c r="C3929" s="2" t="s">
        <v>39088</v>
      </c>
      <c r="D3929" s="2" t="s">
        <v>39089</v>
      </c>
      <c r="E3929" s="2" t="s">
        <v>39090</v>
      </c>
      <c r="G3929" s="3" t="s">
        <v>65</v>
      </c>
      <c r="I3929" s="3" t="s">
        <v>65</v>
      </c>
      <c r="J3929" s="3" t="s">
        <v>65</v>
      </c>
      <c r="K3929" s="3" t="s">
        <v>66</v>
      </c>
      <c r="L3929" s="2" t="s">
        <v>39091</v>
      </c>
      <c r="M3929" s="2" t="s">
        <v>4617</v>
      </c>
      <c r="N3929" s="3" t="s">
        <v>126</v>
      </c>
      <c r="P3929" s="3" t="s">
        <v>140</v>
      </c>
      <c r="Q3929" s="2" t="s">
        <v>39092</v>
      </c>
      <c r="R3929" s="3" t="s">
        <v>71</v>
      </c>
      <c r="S3929" s="4">
        <v>0</v>
      </c>
      <c r="T3929" s="4">
        <v>0</v>
      </c>
      <c r="W3929" s="5" t="s">
        <v>72</v>
      </c>
      <c r="X3929" s="5" t="s">
        <v>72</v>
      </c>
      <c r="Y3929" s="4">
        <v>40</v>
      </c>
      <c r="Z3929" s="4">
        <v>2</v>
      </c>
      <c r="AA3929" s="4">
        <v>2</v>
      </c>
      <c r="AB3929" s="4">
        <v>1</v>
      </c>
      <c r="AC3929" s="4">
        <v>1</v>
      </c>
      <c r="AD3929" s="4">
        <v>31</v>
      </c>
      <c r="AE3929" s="4">
        <v>31</v>
      </c>
      <c r="AF3929" s="4">
        <v>0</v>
      </c>
      <c r="AG3929" s="4">
        <v>0</v>
      </c>
      <c r="AH3929" s="4">
        <v>30</v>
      </c>
      <c r="AI3929" s="4">
        <v>30</v>
      </c>
      <c r="AJ3929" s="4">
        <v>1</v>
      </c>
      <c r="AK3929" s="4">
        <v>1</v>
      </c>
      <c r="AL3929" s="4">
        <v>23</v>
      </c>
      <c r="AM3929" s="4">
        <v>23</v>
      </c>
      <c r="AN3929" s="4">
        <v>0</v>
      </c>
      <c r="AO3929" s="4">
        <v>0</v>
      </c>
      <c r="AP3929" s="4">
        <v>1</v>
      </c>
      <c r="AQ3929" s="4">
        <v>1</v>
      </c>
      <c r="AR3929" s="3" t="s">
        <v>65</v>
      </c>
      <c r="AS3929" s="3" t="s">
        <v>65</v>
      </c>
      <c r="AT3929" s="3" t="s">
        <v>65</v>
      </c>
      <c r="AV3929" s="6" t="str">
        <f>HYPERLINK("http://mcgill.on.worldcat.org/oclc/755700734","Catalog Record")</f>
        <v>Catalog Record</v>
      </c>
      <c r="AW3929" s="6" t="str">
        <f>HYPERLINK("http://www.worldcat.org/oclc/755700734","WorldCat Record")</f>
        <v>WorldCat Record</v>
      </c>
      <c r="AX3929" s="3" t="s">
        <v>39093</v>
      </c>
      <c r="AY3929" s="3" t="s">
        <v>39094</v>
      </c>
      <c r="AZ3929" s="3" t="s">
        <v>39095</v>
      </c>
      <c r="BA3929" s="3" t="s">
        <v>39095</v>
      </c>
      <c r="BB3929" s="3" t="s">
        <v>39096</v>
      </c>
      <c r="BC3929" s="3" t="s">
        <v>77</v>
      </c>
      <c r="BD3929" s="3" t="s">
        <v>78</v>
      </c>
      <c r="BE3929" s="3" t="s">
        <v>39097</v>
      </c>
      <c r="BF3929" s="3" t="s">
        <v>39096</v>
      </c>
      <c r="BG3929" s="3" t="s">
        <v>39098</v>
      </c>
    </row>
    <row r="3930" spans="1:59" ht="72.5" x14ac:dyDescent="0.35">
      <c r="A3930" s="2" t="s">
        <v>59</v>
      </c>
      <c r="B3930" s="2" t="s">
        <v>60</v>
      </c>
      <c r="C3930" s="2" t="s">
        <v>39099</v>
      </c>
      <c r="D3930" s="2" t="s">
        <v>39100</v>
      </c>
      <c r="E3930" s="2" t="s">
        <v>39101</v>
      </c>
      <c r="G3930" s="3" t="s">
        <v>65</v>
      </c>
      <c r="I3930" s="3" t="s">
        <v>65</v>
      </c>
      <c r="J3930" s="3" t="s">
        <v>65</v>
      </c>
      <c r="K3930" s="3" t="s">
        <v>66</v>
      </c>
      <c r="L3930" s="2" t="s">
        <v>39102</v>
      </c>
      <c r="M3930" s="2" t="s">
        <v>34915</v>
      </c>
      <c r="N3930" s="3" t="s">
        <v>139</v>
      </c>
      <c r="P3930" s="3" t="s">
        <v>140</v>
      </c>
      <c r="R3930" s="3" t="s">
        <v>71</v>
      </c>
      <c r="S3930" s="4">
        <v>0</v>
      </c>
      <c r="T3930" s="4">
        <v>0</v>
      </c>
      <c r="W3930" s="5" t="s">
        <v>72</v>
      </c>
      <c r="X3930" s="5" t="s">
        <v>72</v>
      </c>
      <c r="Y3930" s="4">
        <v>5</v>
      </c>
      <c r="Z3930" s="4">
        <v>1</v>
      </c>
      <c r="AA3930" s="4">
        <v>7</v>
      </c>
      <c r="AB3930" s="4">
        <v>1</v>
      </c>
      <c r="AC3930" s="4">
        <v>1</v>
      </c>
      <c r="AD3930" s="4">
        <v>2</v>
      </c>
      <c r="AE3930" s="4">
        <v>33</v>
      </c>
      <c r="AF3930" s="4">
        <v>0</v>
      </c>
      <c r="AG3930" s="4">
        <v>0</v>
      </c>
      <c r="AH3930" s="4">
        <v>2</v>
      </c>
      <c r="AI3930" s="4">
        <v>32</v>
      </c>
      <c r="AJ3930" s="4">
        <v>0</v>
      </c>
      <c r="AK3930" s="4">
        <v>3</v>
      </c>
      <c r="AL3930" s="4">
        <v>2</v>
      </c>
      <c r="AM3930" s="4">
        <v>24</v>
      </c>
      <c r="AN3930" s="4">
        <v>0</v>
      </c>
      <c r="AO3930" s="4">
        <v>0</v>
      </c>
      <c r="AP3930" s="4">
        <v>0</v>
      </c>
      <c r="AQ3930" s="4">
        <v>3</v>
      </c>
      <c r="AR3930" s="3" t="s">
        <v>65</v>
      </c>
      <c r="AS3930" s="3" t="s">
        <v>65</v>
      </c>
      <c r="AT3930" s="3" t="s">
        <v>65</v>
      </c>
      <c r="AV3930" s="6" t="str">
        <f>HYPERLINK("http://mcgill.on.worldcat.org/oclc/781254037","Catalog Record")</f>
        <v>Catalog Record</v>
      </c>
      <c r="AW3930" s="6" t="str">
        <f>HYPERLINK("http://www.worldcat.org/oclc/781254037","WorldCat Record")</f>
        <v>WorldCat Record</v>
      </c>
      <c r="AX3930" s="3" t="s">
        <v>39103</v>
      </c>
      <c r="AY3930" s="3" t="s">
        <v>39104</v>
      </c>
      <c r="AZ3930" s="3" t="s">
        <v>39105</v>
      </c>
      <c r="BA3930" s="3" t="s">
        <v>39105</v>
      </c>
      <c r="BB3930" s="3" t="s">
        <v>39106</v>
      </c>
      <c r="BC3930" s="3" t="s">
        <v>77</v>
      </c>
      <c r="BD3930" s="3" t="s">
        <v>78</v>
      </c>
      <c r="BE3930" s="3" t="s">
        <v>39107</v>
      </c>
      <c r="BF3930" s="3" t="s">
        <v>39106</v>
      </c>
      <c r="BG3930" s="3" t="s">
        <v>39108</v>
      </c>
    </row>
    <row r="3931" spans="1:59" ht="72.5" x14ac:dyDescent="0.35">
      <c r="A3931" s="2" t="s">
        <v>59</v>
      </c>
      <c r="B3931" s="2" t="s">
        <v>60</v>
      </c>
      <c r="C3931" s="2" t="s">
        <v>39109</v>
      </c>
      <c r="D3931" s="2" t="s">
        <v>39110</v>
      </c>
      <c r="E3931" s="2" t="s">
        <v>39111</v>
      </c>
      <c r="G3931" s="3" t="s">
        <v>65</v>
      </c>
      <c r="I3931" s="3" t="s">
        <v>65</v>
      </c>
      <c r="J3931" s="3" t="s">
        <v>65</v>
      </c>
      <c r="K3931" s="3" t="s">
        <v>66</v>
      </c>
      <c r="L3931" s="2" t="s">
        <v>39112</v>
      </c>
      <c r="M3931" s="2" t="s">
        <v>33915</v>
      </c>
      <c r="N3931" s="3" t="s">
        <v>176</v>
      </c>
      <c r="O3931" s="2" t="s">
        <v>379</v>
      </c>
      <c r="P3931" s="3" t="s">
        <v>140</v>
      </c>
      <c r="Q3931" s="2" t="s">
        <v>32206</v>
      </c>
      <c r="R3931" s="3" t="s">
        <v>71</v>
      </c>
      <c r="S3931" s="4">
        <v>0</v>
      </c>
      <c r="T3931" s="4">
        <v>0</v>
      </c>
      <c r="W3931" s="5" t="s">
        <v>72</v>
      </c>
      <c r="X3931" s="5" t="s">
        <v>72</v>
      </c>
      <c r="Y3931" s="4">
        <v>40</v>
      </c>
      <c r="Z3931" s="4">
        <v>5</v>
      </c>
      <c r="AA3931" s="4">
        <v>5</v>
      </c>
      <c r="AB3931" s="4">
        <v>1</v>
      </c>
      <c r="AC3931" s="4">
        <v>1</v>
      </c>
      <c r="AD3931" s="4">
        <v>30</v>
      </c>
      <c r="AE3931" s="4">
        <v>30</v>
      </c>
      <c r="AF3931" s="4">
        <v>0</v>
      </c>
      <c r="AG3931" s="4">
        <v>0</v>
      </c>
      <c r="AH3931" s="4">
        <v>28</v>
      </c>
      <c r="AI3931" s="4">
        <v>28</v>
      </c>
      <c r="AJ3931" s="4">
        <v>3</v>
      </c>
      <c r="AK3931" s="4">
        <v>3</v>
      </c>
      <c r="AL3931" s="4">
        <v>20</v>
      </c>
      <c r="AM3931" s="4">
        <v>20</v>
      </c>
      <c r="AN3931" s="4">
        <v>0</v>
      </c>
      <c r="AO3931" s="4">
        <v>0</v>
      </c>
      <c r="AP3931" s="4">
        <v>3</v>
      </c>
      <c r="AQ3931" s="4">
        <v>3</v>
      </c>
      <c r="AR3931" s="3" t="s">
        <v>65</v>
      </c>
      <c r="AS3931" s="3" t="s">
        <v>65</v>
      </c>
      <c r="AT3931" s="3" t="s">
        <v>65</v>
      </c>
      <c r="AV3931" s="6" t="str">
        <f>HYPERLINK("http://mcgill.on.worldcat.org/oclc/905086308","Catalog Record")</f>
        <v>Catalog Record</v>
      </c>
      <c r="AW3931" s="6" t="str">
        <f>HYPERLINK("http://www.worldcat.org/oclc/905086308","WorldCat Record")</f>
        <v>WorldCat Record</v>
      </c>
      <c r="AX3931" s="3" t="s">
        <v>39113</v>
      </c>
      <c r="AY3931" s="3" t="s">
        <v>39114</v>
      </c>
      <c r="AZ3931" s="3" t="s">
        <v>39115</v>
      </c>
      <c r="BA3931" s="3" t="s">
        <v>39115</v>
      </c>
      <c r="BB3931" s="3" t="s">
        <v>39116</v>
      </c>
      <c r="BC3931" s="3" t="s">
        <v>77</v>
      </c>
      <c r="BD3931" s="3" t="s">
        <v>78</v>
      </c>
      <c r="BE3931" s="3" t="s">
        <v>39117</v>
      </c>
      <c r="BF3931" s="3" t="s">
        <v>39116</v>
      </c>
      <c r="BG3931" s="3" t="s">
        <v>39118</v>
      </c>
    </row>
    <row r="3932" spans="1:59" ht="72.5" x14ac:dyDescent="0.35">
      <c r="A3932" s="2" t="s">
        <v>59</v>
      </c>
      <c r="B3932" s="2" t="s">
        <v>60</v>
      </c>
      <c r="C3932" s="2" t="s">
        <v>39119</v>
      </c>
      <c r="D3932" s="2" t="s">
        <v>39120</v>
      </c>
      <c r="E3932" s="2" t="s">
        <v>39121</v>
      </c>
      <c r="G3932" s="3" t="s">
        <v>65</v>
      </c>
      <c r="I3932" s="3" t="s">
        <v>65</v>
      </c>
      <c r="J3932" s="3" t="s">
        <v>65</v>
      </c>
      <c r="K3932" s="3" t="s">
        <v>66</v>
      </c>
      <c r="L3932" s="2" t="s">
        <v>39122</v>
      </c>
      <c r="M3932" s="2" t="s">
        <v>39123</v>
      </c>
      <c r="N3932" s="3" t="s">
        <v>139</v>
      </c>
      <c r="P3932" s="3" t="s">
        <v>140</v>
      </c>
      <c r="Q3932" s="2" t="s">
        <v>2269</v>
      </c>
      <c r="R3932" s="3" t="s">
        <v>71</v>
      </c>
      <c r="S3932" s="4">
        <v>0</v>
      </c>
      <c r="T3932" s="4">
        <v>0</v>
      </c>
      <c r="W3932" s="5" t="s">
        <v>72</v>
      </c>
      <c r="X3932" s="5" t="s">
        <v>72</v>
      </c>
      <c r="Y3932" s="4">
        <v>36</v>
      </c>
      <c r="Z3932" s="4">
        <v>4</v>
      </c>
      <c r="AA3932" s="4">
        <v>4</v>
      </c>
      <c r="AB3932" s="4">
        <v>1</v>
      </c>
      <c r="AC3932" s="4">
        <v>1</v>
      </c>
      <c r="AD3932" s="4">
        <v>26</v>
      </c>
      <c r="AE3932" s="4">
        <v>26</v>
      </c>
      <c r="AF3932" s="4">
        <v>0</v>
      </c>
      <c r="AG3932" s="4">
        <v>0</v>
      </c>
      <c r="AH3932" s="4">
        <v>25</v>
      </c>
      <c r="AI3932" s="4">
        <v>25</v>
      </c>
      <c r="AJ3932" s="4">
        <v>2</v>
      </c>
      <c r="AK3932" s="4">
        <v>2</v>
      </c>
      <c r="AL3932" s="4">
        <v>19</v>
      </c>
      <c r="AM3932" s="4">
        <v>19</v>
      </c>
      <c r="AN3932" s="4">
        <v>0</v>
      </c>
      <c r="AO3932" s="4">
        <v>0</v>
      </c>
      <c r="AP3932" s="4">
        <v>2</v>
      </c>
      <c r="AQ3932" s="4">
        <v>2</v>
      </c>
      <c r="AR3932" s="3" t="s">
        <v>65</v>
      </c>
      <c r="AS3932" s="3" t="s">
        <v>65</v>
      </c>
      <c r="AT3932" s="3" t="s">
        <v>65</v>
      </c>
      <c r="AV3932" s="6" t="str">
        <f>HYPERLINK("http://mcgill.on.worldcat.org/oclc/822016256","Catalog Record")</f>
        <v>Catalog Record</v>
      </c>
      <c r="AW3932" s="6" t="str">
        <f>HYPERLINK("http://www.worldcat.org/oclc/822016256","WorldCat Record")</f>
        <v>WorldCat Record</v>
      </c>
      <c r="AX3932" s="3" t="s">
        <v>39124</v>
      </c>
      <c r="AY3932" s="3" t="s">
        <v>39125</v>
      </c>
      <c r="AZ3932" s="3" t="s">
        <v>39126</v>
      </c>
      <c r="BA3932" s="3" t="s">
        <v>39126</v>
      </c>
      <c r="BB3932" s="3" t="s">
        <v>39127</v>
      </c>
      <c r="BC3932" s="3" t="s">
        <v>77</v>
      </c>
      <c r="BD3932" s="3" t="s">
        <v>78</v>
      </c>
      <c r="BE3932" s="3" t="s">
        <v>39128</v>
      </c>
      <c r="BF3932" s="3" t="s">
        <v>39127</v>
      </c>
      <c r="BG3932" s="3" t="s">
        <v>39129</v>
      </c>
    </row>
    <row r="3933" spans="1:59" ht="72.5" x14ac:dyDescent="0.35">
      <c r="A3933" s="2" t="s">
        <v>59</v>
      </c>
      <c r="B3933" s="2" t="s">
        <v>60</v>
      </c>
      <c r="C3933" s="2" t="s">
        <v>39130</v>
      </c>
      <c r="D3933" s="2" t="s">
        <v>39131</v>
      </c>
      <c r="E3933" s="2" t="s">
        <v>39132</v>
      </c>
      <c r="G3933" s="3" t="s">
        <v>65</v>
      </c>
      <c r="I3933" s="3" t="s">
        <v>65</v>
      </c>
      <c r="J3933" s="3" t="s">
        <v>65</v>
      </c>
      <c r="K3933" s="3" t="s">
        <v>66</v>
      </c>
      <c r="L3933" s="2" t="s">
        <v>39133</v>
      </c>
      <c r="M3933" s="2" t="s">
        <v>39134</v>
      </c>
      <c r="N3933" s="3" t="s">
        <v>152</v>
      </c>
      <c r="O3933" s="2" t="s">
        <v>22240</v>
      </c>
      <c r="P3933" s="3" t="s">
        <v>69</v>
      </c>
      <c r="R3933" s="3" t="s">
        <v>71</v>
      </c>
      <c r="S3933" s="4">
        <v>0</v>
      </c>
      <c r="T3933" s="4">
        <v>0</v>
      </c>
      <c r="W3933" s="5" t="s">
        <v>72</v>
      </c>
      <c r="X3933" s="5" t="s">
        <v>72</v>
      </c>
      <c r="Y3933" s="4">
        <v>371</v>
      </c>
      <c r="Z3933" s="4">
        <v>14</v>
      </c>
      <c r="AA3933" s="4">
        <v>18</v>
      </c>
      <c r="AB3933" s="4">
        <v>2</v>
      </c>
      <c r="AC3933" s="4">
        <v>3</v>
      </c>
      <c r="AD3933" s="4">
        <v>54</v>
      </c>
      <c r="AE3933" s="4">
        <v>57</v>
      </c>
      <c r="AF3933" s="4">
        <v>0</v>
      </c>
      <c r="AG3933" s="4">
        <v>0</v>
      </c>
      <c r="AH3933" s="4">
        <v>53</v>
      </c>
      <c r="AI3933" s="4">
        <v>55</v>
      </c>
      <c r="AJ3933" s="4">
        <v>5</v>
      </c>
      <c r="AK3933" s="4">
        <v>6</v>
      </c>
      <c r="AL3933" s="4">
        <v>33</v>
      </c>
      <c r="AM3933" s="4">
        <v>35</v>
      </c>
      <c r="AN3933" s="4">
        <v>0</v>
      </c>
      <c r="AO3933" s="4">
        <v>0</v>
      </c>
      <c r="AP3933" s="4">
        <v>5</v>
      </c>
      <c r="AQ3933" s="4">
        <v>6</v>
      </c>
      <c r="AR3933" s="3" t="s">
        <v>65</v>
      </c>
      <c r="AS3933" s="3" t="s">
        <v>65</v>
      </c>
      <c r="AT3933" s="3" t="s">
        <v>65</v>
      </c>
      <c r="AV3933" s="6" t="str">
        <f>HYPERLINK("http://mcgill.on.worldcat.org/oclc/829239495","Catalog Record")</f>
        <v>Catalog Record</v>
      </c>
      <c r="AW3933" s="6" t="str">
        <f>HYPERLINK("http://www.worldcat.org/oclc/829239495","WorldCat Record")</f>
        <v>WorldCat Record</v>
      </c>
      <c r="AX3933" s="3" t="s">
        <v>39135</v>
      </c>
      <c r="AY3933" s="3" t="s">
        <v>39136</v>
      </c>
      <c r="AZ3933" s="3" t="s">
        <v>39137</v>
      </c>
      <c r="BA3933" s="3" t="s">
        <v>39137</v>
      </c>
      <c r="BB3933" s="3" t="s">
        <v>39138</v>
      </c>
      <c r="BC3933" s="3" t="s">
        <v>77</v>
      </c>
      <c r="BD3933" s="3" t="s">
        <v>78</v>
      </c>
      <c r="BE3933" s="3" t="s">
        <v>39139</v>
      </c>
      <c r="BF3933" s="3" t="s">
        <v>39138</v>
      </c>
      <c r="BG3933" s="3" t="s">
        <v>39140</v>
      </c>
    </row>
    <row r="3934" spans="1:59" ht="58" x14ac:dyDescent="0.35">
      <c r="A3934" s="2" t="s">
        <v>59</v>
      </c>
      <c r="B3934" s="2" t="s">
        <v>60</v>
      </c>
      <c r="C3934" s="2" t="s">
        <v>39141</v>
      </c>
      <c r="D3934" s="2" t="s">
        <v>39142</v>
      </c>
      <c r="E3934" s="2" t="s">
        <v>39143</v>
      </c>
      <c r="G3934" s="3" t="s">
        <v>65</v>
      </c>
      <c r="I3934" s="3" t="s">
        <v>65</v>
      </c>
      <c r="J3934" s="3" t="s">
        <v>65</v>
      </c>
      <c r="K3934" s="3" t="s">
        <v>66</v>
      </c>
      <c r="L3934" s="2" t="s">
        <v>39133</v>
      </c>
      <c r="M3934" s="2" t="s">
        <v>39144</v>
      </c>
      <c r="N3934" s="3" t="s">
        <v>152</v>
      </c>
      <c r="O3934" s="2" t="s">
        <v>365</v>
      </c>
      <c r="P3934" s="3" t="s">
        <v>140</v>
      </c>
      <c r="Q3934" s="2" t="s">
        <v>39145</v>
      </c>
      <c r="R3934" s="3" t="s">
        <v>71</v>
      </c>
      <c r="S3934" s="4">
        <v>0</v>
      </c>
      <c r="T3934" s="4">
        <v>0</v>
      </c>
      <c r="W3934" s="5" t="s">
        <v>72</v>
      </c>
      <c r="X3934" s="5" t="s">
        <v>72</v>
      </c>
      <c r="Y3934" s="4">
        <v>24</v>
      </c>
      <c r="Z3934" s="4">
        <v>3</v>
      </c>
      <c r="AA3934" s="4">
        <v>3</v>
      </c>
      <c r="AB3934" s="4">
        <v>1</v>
      </c>
      <c r="AC3934" s="4">
        <v>1</v>
      </c>
      <c r="AD3934" s="4">
        <v>13</v>
      </c>
      <c r="AE3934" s="4">
        <v>13</v>
      </c>
      <c r="AF3934" s="4">
        <v>0</v>
      </c>
      <c r="AG3934" s="4">
        <v>0</v>
      </c>
      <c r="AH3934" s="4">
        <v>12</v>
      </c>
      <c r="AI3934" s="4">
        <v>12</v>
      </c>
      <c r="AJ3934" s="4">
        <v>1</v>
      </c>
      <c r="AK3934" s="4">
        <v>1</v>
      </c>
      <c r="AL3934" s="4">
        <v>11</v>
      </c>
      <c r="AM3934" s="4">
        <v>11</v>
      </c>
      <c r="AN3934" s="4">
        <v>0</v>
      </c>
      <c r="AO3934" s="4">
        <v>0</v>
      </c>
      <c r="AP3934" s="4">
        <v>1</v>
      </c>
      <c r="AQ3934" s="4">
        <v>1</v>
      </c>
      <c r="AR3934" s="3" t="s">
        <v>65</v>
      </c>
      <c r="AS3934" s="3" t="s">
        <v>65</v>
      </c>
      <c r="AT3934" s="3" t="s">
        <v>65</v>
      </c>
      <c r="AV3934" s="6" t="str">
        <f>HYPERLINK("http://mcgill.on.worldcat.org/oclc/847585286","Catalog Record")</f>
        <v>Catalog Record</v>
      </c>
      <c r="AW3934" s="6" t="str">
        <f>HYPERLINK("http://www.worldcat.org/oclc/847585286","WorldCat Record")</f>
        <v>WorldCat Record</v>
      </c>
      <c r="AX3934" s="3" t="s">
        <v>39146</v>
      </c>
      <c r="AY3934" s="3" t="s">
        <v>39147</v>
      </c>
      <c r="AZ3934" s="3" t="s">
        <v>39148</v>
      </c>
      <c r="BA3934" s="3" t="s">
        <v>39148</v>
      </c>
      <c r="BB3934" s="3" t="s">
        <v>39149</v>
      </c>
      <c r="BC3934" s="3" t="s">
        <v>77</v>
      </c>
      <c r="BD3934" s="3" t="s">
        <v>78</v>
      </c>
      <c r="BE3934" s="3" t="s">
        <v>39150</v>
      </c>
      <c r="BF3934" s="3" t="s">
        <v>39149</v>
      </c>
      <c r="BG3934" s="3" t="s">
        <v>39151</v>
      </c>
    </row>
    <row r="3935" spans="1:59" ht="58" x14ac:dyDescent="0.35">
      <c r="A3935" s="2" t="s">
        <v>59</v>
      </c>
      <c r="B3935" s="2" t="s">
        <v>60</v>
      </c>
      <c r="C3935" s="2" t="s">
        <v>39152</v>
      </c>
      <c r="D3935" s="2" t="s">
        <v>39153</v>
      </c>
      <c r="E3935" s="2" t="s">
        <v>39154</v>
      </c>
      <c r="G3935" s="3" t="s">
        <v>65</v>
      </c>
      <c r="I3935" s="3" t="s">
        <v>65</v>
      </c>
      <c r="J3935" s="3" t="s">
        <v>65</v>
      </c>
      <c r="K3935" s="3" t="s">
        <v>66</v>
      </c>
      <c r="L3935" s="2" t="s">
        <v>39133</v>
      </c>
      <c r="M3935" s="2" t="s">
        <v>33204</v>
      </c>
      <c r="N3935" s="3" t="s">
        <v>113</v>
      </c>
      <c r="P3935" s="3" t="s">
        <v>140</v>
      </c>
      <c r="R3935" s="3" t="s">
        <v>71</v>
      </c>
      <c r="S3935" s="4">
        <v>0</v>
      </c>
      <c r="T3935" s="4">
        <v>0</v>
      </c>
      <c r="W3935" s="5" t="s">
        <v>72</v>
      </c>
      <c r="X3935" s="5" t="s">
        <v>72</v>
      </c>
      <c r="Y3935" s="4">
        <v>47</v>
      </c>
      <c r="Z3935" s="4">
        <v>4</v>
      </c>
      <c r="AA3935" s="4">
        <v>4</v>
      </c>
      <c r="AB3935" s="4">
        <v>1</v>
      </c>
      <c r="AC3935" s="4">
        <v>1</v>
      </c>
      <c r="AD3935" s="4">
        <v>29</v>
      </c>
      <c r="AE3935" s="4">
        <v>32</v>
      </c>
      <c r="AF3935" s="4">
        <v>0</v>
      </c>
      <c r="AG3935" s="4">
        <v>0</v>
      </c>
      <c r="AH3935" s="4">
        <v>28</v>
      </c>
      <c r="AI3935" s="4">
        <v>31</v>
      </c>
      <c r="AJ3935" s="4">
        <v>1</v>
      </c>
      <c r="AK3935" s="4">
        <v>1</v>
      </c>
      <c r="AL3935" s="4">
        <v>22</v>
      </c>
      <c r="AM3935" s="4">
        <v>25</v>
      </c>
      <c r="AN3935" s="4">
        <v>0</v>
      </c>
      <c r="AO3935" s="4">
        <v>0</v>
      </c>
      <c r="AP3935" s="4">
        <v>1</v>
      </c>
      <c r="AQ3935" s="4">
        <v>1</v>
      </c>
      <c r="AR3935" s="3" t="s">
        <v>65</v>
      </c>
      <c r="AS3935" s="3" t="s">
        <v>65</v>
      </c>
      <c r="AT3935" s="3" t="s">
        <v>65</v>
      </c>
      <c r="AV3935" s="6" t="str">
        <f>HYPERLINK("http://mcgill.on.worldcat.org/oclc/613214643","Catalog Record")</f>
        <v>Catalog Record</v>
      </c>
      <c r="AW3935" s="6" t="str">
        <f>HYPERLINK("http://www.worldcat.org/oclc/613214643","WorldCat Record")</f>
        <v>WorldCat Record</v>
      </c>
      <c r="AX3935" s="3" t="s">
        <v>39155</v>
      </c>
      <c r="AY3935" s="3" t="s">
        <v>39156</v>
      </c>
      <c r="AZ3935" s="3" t="s">
        <v>39157</v>
      </c>
      <c r="BA3935" s="3" t="s">
        <v>39157</v>
      </c>
      <c r="BB3935" s="3" t="s">
        <v>39158</v>
      </c>
      <c r="BC3935" s="3" t="s">
        <v>77</v>
      </c>
      <c r="BD3935" s="3" t="s">
        <v>78</v>
      </c>
      <c r="BE3935" s="3" t="s">
        <v>39159</v>
      </c>
      <c r="BF3935" s="3" t="s">
        <v>39158</v>
      </c>
      <c r="BG3935" s="3" t="s">
        <v>39160</v>
      </c>
    </row>
    <row r="3936" spans="1:59" ht="72.5" x14ac:dyDescent="0.35">
      <c r="A3936" s="2" t="s">
        <v>59</v>
      </c>
      <c r="B3936" s="2" t="s">
        <v>60</v>
      </c>
      <c r="C3936" s="2" t="s">
        <v>39161</v>
      </c>
      <c r="D3936" s="2" t="s">
        <v>39162</v>
      </c>
      <c r="E3936" s="2" t="s">
        <v>39163</v>
      </c>
      <c r="G3936" s="3" t="s">
        <v>65</v>
      </c>
      <c r="I3936" s="3" t="s">
        <v>65</v>
      </c>
      <c r="J3936" s="3" t="s">
        <v>65</v>
      </c>
      <c r="K3936" s="3" t="s">
        <v>66</v>
      </c>
      <c r="L3936" s="2" t="s">
        <v>39133</v>
      </c>
      <c r="M3936" s="2" t="s">
        <v>35354</v>
      </c>
      <c r="N3936" s="3" t="s">
        <v>152</v>
      </c>
      <c r="P3936" s="3" t="s">
        <v>140</v>
      </c>
      <c r="R3936" s="3" t="s">
        <v>71</v>
      </c>
      <c r="S3936" s="4">
        <v>0</v>
      </c>
      <c r="T3936" s="4">
        <v>0</v>
      </c>
      <c r="W3936" s="5" t="s">
        <v>72</v>
      </c>
      <c r="X3936" s="5" t="s">
        <v>72</v>
      </c>
      <c r="Y3936" s="4">
        <v>35</v>
      </c>
      <c r="Z3936" s="4">
        <v>5</v>
      </c>
      <c r="AA3936" s="4">
        <v>5</v>
      </c>
      <c r="AB3936" s="4">
        <v>1</v>
      </c>
      <c r="AC3936" s="4">
        <v>1</v>
      </c>
      <c r="AD3936" s="4">
        <v>24</v>
      </c>
      <c r="AE3936" s="4">
        <v>24</v>
      </c>
      <c r="AF3936" s="4">
        <v>0</v>
      </c>
      <c r="AG3936" s="4">
        <v>0</v>
      </c>
      <c r="AH3936" s="4">
        <v>23</v>
      </c>
      <c r="AI3936" s="4">
        <v>23</v>
      </c>
      <c r="AJ3936" s="4">
        <v>2</v>
      </c>
      <c r="AK3936" s="4">
        <v>2</v>
      </c>
      <c r="AL3936" s="4">
        <v>17</v>
      </c>
      <c r="AM3936" s="4">
        <v>17</v>
      </c>
      <c r="AN3936" s="4">
        <v>0</v>
      </c>
      <c r="AO3936" s="4">
        <v>0</v>
      </c>
      <c r="AP3936" s="4">
        <v>2</v>
      </c>
      <c r="AQ3936" s="4">
        <v>2</v>
      </c>
      <c r="AR3936" s="3" t="s">
        <v>65</v>
      </c>
      <c r="AS3936" s="3" t="s">
        <v>65</v>
      </c>
      <c r="AT3936" s="3" t="s">
        <v>65</v>
      </c>
      <c r="AV3936" s="6" t="str">
        <f>HYPERLINK("http://mcgill.on.worldcat.org/oclc/864432034","Catalog Record")</f>
        <v>Catalog Record</v>
      </c>
      <c r="AW3936" s="6" t="str">
        <f>HYPERLINK("http://www.worldcat.org/oclc/864432034","WorldCat Record")</f>
        <v>WorldCat Record</v>
      </c>
      <c r="AX3936" s="3" t="s">
        <v>39164</v>
      </c>
      <c r="AY3936" s="3" t="s">
        <v>39165</v>
      </c>
      <c r="AZ3936" s="3" t="s">
        <v>39166</v>
      </c>
      <c r="BA3936" s="3" t="s">
        <v>39166</v>
      </c>
      <c r="BB3936" s="3" t="s">
        <v>39167</v>
      </c>
      <c r="BC3936" s="3" t="s">
        <v>77</v>
      </c>
      <c r="BD3936" s="3" t="s">
        <v>78</v>
      </c>
      <c r="BE3936" s="3" t="s">
        <v>39168</v>
      </c>
      <c r="BF3936" s="3" t="s">
        <v>39167</v>
      </c>
      <c r="BG3936" s="3" t="s">
        <v>39169</v>
      </c>
    </row>
    <row r="3937" spans="1:59" ht="58" x14ac:dyDescent="0.35">
      <c r="A3937" s="2" t="s">
        <v>59</v>
      </c>
      <c r="B3937" s="2" t="s">
        <v>60</v>
      </c>
      <c r="C3937" s="2" t="s">
        <v>39170</v>
      </c>
      <c r="D3937" s="2" t="s">
        <v>39171</v>
      </c>
      <c r="E3937" s="2" t="s">
        <v>39172</v>
      </c>
      <c r="G3937" s="3" t="s">
        <v>65</v>
      </c>
      <c r="I3937" s="3" t="s">
        <v>65</v>
      </c>
      <c r="J3937" s="3" t="s">
        <v>65</v>
      </c>
      <c r="K3937" s="3" t="s">
        <v>66</v>
      </c>
      <c r="L3937" s="2" t="s">
        <v>39133</v>
      </c>
      <c r="M3937" s="2" t="s">
        <v>36949</v>
      </c>
      <c r="N3937" s="3" t="s">
        <v>126</v>
      </c>
      <c r="P3937" s="3" t="s">
        <v>140</v>
      </c>
      <c r="R3937" s="3" t="s">
        <v>71</v>
      </c>
      <c r="S3937" s="4">
        <v>0</v>
      </c>
      <c r="T3937" s="4">
        <v>0</v>
      </c>
      <c r="W3937" s="5" t="s">
        <v>72</v>
      </c>
      <c r="X3937" s="5" t="s">
        <v>72</v>
      </c>
      <c r="Y3937" s="4">
        <v>24</v>
      </c>
      <c r="Z3937" s="4">
        <v>3</v>
      </c>
      <c r="AA3937" s="4">
        <v>3</v>
      </c>
      <c r="AB3937" s="4">
        <v>1</v>
      </c>
      <c r="AC3937" s="4">
        <v>1</v>
      </c>
      <c r="AD3937" s="4">
        <v>12</v>
      </c>
      <c r="AE3937" s="4">
        <v>12</v>
      </c>
      <c r="AF3937" s="4">
        <v>0</v>
      </c>
      <c r="AG3937" s="4">
        <v>0</v>
      </c>
      <c r="AH3937" s="4">
        <v>11</v>
      </c>
      <c r="AI3937" s="4">
        <v>11</v>
      </c>
      <c r="AJ3937" s="4">
        <v>1</v>
      </c>
      <c r="AK3937" s="4">
        <v>1</v>
      </c>
      <c r="AL3937" s="4">
        <v>9</v>
      </c>
      <c r="AM3937" s="4">
        <v>9</v>
      </c>
      <c r="AN3937" s="4">
        <v>0</v>
      </c>
      <c r="AO3937" s="4">
        <v>0</v>
      </c>
      <c r="AP3937" s="4">
        <v>1</v>
      </c>
      <c r="AQ3937" s="4">
        <v>1</v>
      </c>
      <c r="AR3937" s="3" t="s">
        <v>65</v>
      </c>
      <c r="AS3937" s="3" t="s">
        <v>65</v>
      </c>
      <c r="AT3937" s="3" t="s">
        <v>65</v>
      </c>
      <c r="AV3937" s="6" t="str">
        <f>HYPERLINK("http://mcgill.on.worldcat.org/oclc/773667733","Catalog Record")</f>
        <v>Catalog Record</v>
      </c>
      <c r="AW3937" s="6" t="str">
        <f>HYPERLINK("http://www.worldcat.org/oclc/773667733","WorldCat Record")</f>
        <v>WorldCat Record</v>
      </c>
      <c r="AX3937" s="3" t="s">
        <v>39173</v>
      </c>
      <c r="AY3937" s="3" t="s">
        <v>39174</v>
      </c>
      <c r="AZ3937" s="3" t="s">
        <v>39175</v>
      </c>
      <c r="BA3937" s="3" t="s">
        <v>39175</v>
      </c>
      <c r="BB3937" s="3" t="s">
        <v>39176</v>
      </c>
      <c r="BC3937" s="3" t="s">
        <v>77</v>
      </c>
      <c r="BD3937" s="3" t="s">
        <v>78</v>
      </c>
      <c r="BE3937" s="3" t="s">
        <v>39177</v>
      </c>
      <c r="BF3937" s="3" t="s">
        <v>39176</v>
      </c>
      <c r="BG3937" s="3" t="s">
        <v>39178</v>
      </c>
    </row>
    <row r="3938" spans="1:59" ht="58" x14ac:dyDescent="0.35">
      <c r="A3938" s="2" t="s">
        <v>59</v>
      </c>
      <c r="B3938" s="2" t="s">
        <v>60</v>
      </c>
      <c r="C3938" s="2" t="s">
        <v>39179</v>
      </c>
      <c r="D3938" s="2" t="s">
        <v>39180</v>
      </c>
      <c r="E3938" s="2" t="s">
        <v>39181</v>
      </c>
      <c r="G3938" s="3" t="s">
        <v>65</v>
      </c>
      <c r="I3938" s="3" t="s">
        <v>65</v>
      </c>
      <c r="J3938" s="3" t="s">
        <v>65</v>
      </c>
      <c r="K3938" s="3" t="s">
        <v>66</v>
      </c>
      <c r="L3938" s="2" t="s">
        <v>39182</v>
      </c>
      <c r="M3938" s="2" t="s">
        <v>39183</v>
      </c>
      <c r="N3938" s="3" t="s">
        <v>86</v>
      </c>
      <c r="P3938" s="3" t="s">
        <v>69</v>
      </c>
      <c r="Q3938" s="2" t="s">
        <v>39184</v>
      </c>
      <c r="R3938" s="3" t="s">
        <v>71</v>
      </c>
      <c r="S3938" s="4">
        <v>4</v>
      </c>
      <c r="T3938" s="4">
        <v>4</v>
      </c>
      <c r="U3938" s="5" t="s">
        <v>35868</v>
      </c>
      <c r="V3938" s="5" t="s">
        <v>35868</v>
      </c>
      <c r="W3938" s="5" t="s">
        <v>72</v>
      </c>
      <c r="X3938" s="5" t="s">
        <v>72</v>
      </c>
      <c r="Y3938" s="4">
        <v>30</v>
      </c>
      <c r="Z3938" s="4">
        <v>2</v>
      </c>
      <c r="AA3938" s="4">
        <v>5</v>
      </c>
      <c r="AB3938" s="4">
        <v>1</v>
      </c>
      <c r="AC3938" s="4">
        <v>4</v>
      </c>
      <c r="AD3938" s="4">
        <v>16</v>
      </c>
      <c r="AE3938" s="4">
        <v>19</v>
      </c>
      <c r="AF3938" s="4">
        <v>0</v>
      </c>
      <c r="AG3938" s="4">
        <v>1</v>
      </c>
      <c r="AH3938" s="4">
        <v>16</v>
      </c>
      <c r="AI3938" s="4">
        <v>17</v>
      </c>
      <c r="AJ3938" s="4">
        <v>1</v>
      </c>
      <c r="AK3938" s="4">
        <v>2</v>
      </c>
      <c r="AL3938" s="4">
        <v>11</v>
      </c>
      <c r="AM3938" s="4">
        <v>12</v>
      </c>
      <c r="AN3938" s="4">
        <v>0</v>
      </c>
      <c r="AO3938" s="4">
        <v>0</v>
      </c>
      <c r="AP3938" s="4">
        <v>1</v>
      </c>
      <c r="AQ3938" s="4">
        <v>2</v>
      </c>
      <c r="AR3938" s="3" t="s">
        <v>65</v>
      </c>
      <c r="AS3938" s="3" t="s">
        <v>65</v>
      </c>
      <c r="AT3938" s="3" t="s">
        <v>65</v>
      </c>
      <c r="AV3938" s="6" t="str">
        <f>HYPERLINK("http://mcgill.on.worldcat.org/oclc/993601766","Catalog Record")</f>
        <v>Catalog Record</v>
      </c>
      <c r="AW3938" s="6" t="str">
        <f>HYPERLINK("http://www.worldcat.org/oclc/993601766","WorldCat Record")</f>
        <v>WorldCat Record</v>
      </c>
      <c r="AX3938" s="3" t="s">
        <v>39185</v>
      </c>
      <c r="AY3938" s="3" t="s">
        <v>39186</v>
      </c>
      <c r="AZ3938" s="3" t="s">
        <v>39187</v>
      </c>
      <c r="BA3938" s="3" t="s">
        <v>39187</v>
      </c>
      <c r="BB3938" s="3" t="s">
        <v>39188</v>
      </c>
      <c r="BC3938" s="3" t="s">
        <v>77</v>
      </c>
      <c r="BD3938" s="3" t="s">
        <v>78</v>
      </c>
      <c r="BE3938" s="3" t="s">
        <v>39189</v>
      </c>
      <c r="BF3938" s="3" t="s">
        <v>39188</v>
      </c>
      <c r="BG3938" s="3" t="s">
        <v>39190</v>
      </c>
    </row>
    <row r="3939" spans="1:59" ht="58" x14ac:dyDescent="0.35">
      <c r="A3939" s="2" t="s">
        <v>59</v>
      </c>
      <c r="B3939" s="2" t="s">
        <v>60</v>
      </c>
      <c r="C3939" s="2" t="s">
        <v>39191</v>
      </c>
      <c r="D3939" s="2" t="s">
        <v>39192</v>
      </c>
      <c r="E3939" s="2" t="s">
        <v>39193</v>
      </c>
      <c r="G3939" s="3" t="s">
        <v>65</v>
      </c>
      <c r="I3939" s="3" t="s">
        <v>65</v>
      </c>
      <c r="J3939" s="3" t="s">
        <v>65</v>
      </c>
      <c r="K3939" s="3" t="s">
        <v>66</v>
      </c>
      <c r="L3939" s="2" t="s">
        <v>39194</v>
      </c>
      <c r="M3939" s="2" t="s">
        <v>39195</v>
      </c>
      <c r="N3939" s="3" t="s">
        <v>99</v>
      </c>
      <c r="O3939" s="2" t="s">
        <v>365</v>
      </c>
      <c r="P3939" s="3" t="s">
        <v>140</v>
      </c>
      <c r="Q3939" s="2" t="s">
        <v>39196</v>
      </c>
      <c r="R3939" s="3" t="s">
        <v>71</v>
      </c>
      <c r="S3939" s="4">
        <v>1</v>
      </c>
      <c r="T3939" s="4">
        <v>1</v>
      </c>
      <c r="U3939" s="5" t="s">
        <v>39197</v>
      </c>
      <c r="V3939" s="5" t="s">
        <v>39197</v>
      </c>
      <c r="W3939" s="5" t="s">
        <v>72</v>
      </c>
      <c r="X3939" s="5" t="s">
        <v>72</v>
      </c>
      <c r="Y3939" s="4">
        <v>15</v>
      </c>
      <c r="Z3939" s="4">
        <v>2</v>
      </c>
      <c r="AA3939" s="4">
        <v>3</v>
      </c>
      <c r="AB3939" s="4">
        <v>1</v>
      </c>
      <c r="AC3939" s="4">
        <v>2</v>
      </c>
      <c r="AD3939" s="4">
        <v>11</v>
      </c>
      <c r="AE3939" s="4">
        <v>12</v>
      </c>
      <c r="AF3939" s="4">
        <v>0</v>
      </c>
      <c r="AG3939" s="4">
        <v>1</v>
      </c>
      <c r="AH3939" s="4">
        <v>11</v>
      </c>
      <c r="AI3939" s="4">
        <v>11</v>
      </c>
      <c r="AJ3939" s="4">
        <v>1</v>
      </c>
      <c r="AK3939" s="4">
        <v>2</v>
      </c>
      <c r="AL3939" s="4">
        <v>7</v>
      </c>
      <c r="AM3939" s="4">
        <v>7</v>
      </c>
      <c r="AN3939" s="4">
        <v>0</v>
      </c>
      <c r="AO3939" s="4">
        <v>0</v>
      </c>
      <c r="AP3939" s="4">
        <v>1</v>
      </c>
      <c r="AQ3939" s="4">
        <v>1</v>
      </c>
      <c r="AR3939" s="3" t="s">
        <v>65</v>
      </c>
      <c r="AS3939" s="3" t="s">
        <v>65</v>
      </c>
      <c r="AT3939" s="3" t="s">
        <v>65</v>
      </c>
      <c r="AV3939" s="6" t="str">
        <f>HYPERLINK("http://mcgill.on.worldcat.org/oclc/69169819","Catalog Record")</f>
        <v>Catalog Record</v>
      </c>
      <c r="AW3939" s="6" t="str">
        <f>HYPERLINK("http://www.worldcat.org/oclc/69169819","WorldCat Record")</f>
        <v>WorldCat Record</v>
      </c>
      <c r="AX3939" s="3" t="s">
        <v>39198</v>
      </c>
      <c r="AY3939" s="3" t="s">
        <v>39199</v>
      </c>
      <c r="AZ3939" s="3" t="s">
        <v>39200</v>
      </c>
      <c r="BA3939" s="3" t="s">
        <v>39200</v>
      </c>
      <c r="BB3939" s="3" t="s">
        <v>39201</v>
      </c>
      <c r="BC3939" s="3" t="s">
        <v>77</v>
      </c>
      <c r="BD3939" s="3" t="s">
        <v>78</v>
      </c>
      <c r="BE3939" s="3" t="s">
        <v>39202</v>
      </c>
      <c r="BF3939" s="3" t="s">
        <v>39201</v>
      </c>
      <c r="BG3939" s="3" t="s">
        <v>39203</v>
      </c>
    </row>
    <row r="3940" spans="1:59" ht="58" x14ac:dyDescent="0.35">
      <c r="A3940" s="2" t="s">
        <v>59</v>
      </c>
      <c r="B3940" s="2" t="s">
        <v>60</v>
      </c>
      <c r="C3940" s="2" t="s">
        <v>39204</v>
      </c>
      <c r="D3940" s="2" t="s">
        <v>39205</v>
      </c>
      <c r="E3940" s="2" t="s">
        <v>39206</v>
      </c>
      <c r="G3940" s="3" t="s">
        <v>65</v>
      </c>
      <c r="I3940" s="3" t="s">
        <v>65</v>
      </c>
      <c r="J3940" s="3" t="s">
        <v>65</v>
      </c>
      <c r="K3940" s="3" t="s">
        <v>66</v>
      </c>
      <c r="L3940" s="2" t="s">
        <v>39194</v>
      </c>
      <c r="M3940" s="2" t="s">
        <v>39207</v>
      </c>
      <c r="N3940" s="3" t="s">
        <v>525</v>
      </c>
      <c r="P3940" s="3" t="s">
        <v>140</v>
      </c>
      <c r="Q3940" s="2" t="s">
        <v>39208</v>
      </c>
      <c r="R3940" s="3" t="s">
        <v>71</v>
      </c>
      <c r="S3940" s="4">
        <v>1</v>
      </c>
      <c r="T3940" s="4">
        <v>1</v>
      </c>
      <c r="U3940" s="5" t="s">
        <v>39209</v>
      </c>
      <c r="V3940" s="5" t="s">
        <v>39209</v>
      </c>
      <c r="W3940" s="5" t="s">
        <v>72</v>
      </c>
      <c r="X3940" s="5" t="s">
        <v>72</v>
      </c>
      <c r="Y3940" s="4">
        <v>39</v>
      </c>
      <c r="Z3940" s="4">
        <v>5</v>
      </c>
      <c r="AA3940" s="4">
        <v>5</v>
      </c>
      <c r="AB3940" s="4">
        <v>1</v>
      </c>
      <c r="AC3940" s="4">
        <v>1</v>
      </c>
      <c r="AD3940" s="4">
        <v>29</v>
      </c>
      <c r="AE3940" s="4">
        <v>29</v>
      </c>
      <c r="AF3940" s="4">
        <v>0</v>
      </c>
      <c r="AG3940" s="4">
        <v>0</v>
      </c>
      <c r="AH3940" s="4">
        <v>28</v>
      </c>
      <c r="AI3940" s="4">
        <v>28</v>
      </c>
      <c r="AJ3940" s="4">
        <v>3</v>
      </c>
      <c r="AK3940" s="4">
        <v>3</v>
      </c>
      <c r="AL3940" s="4">
        <v>21</v>
      </c>
      <c r="AM3940" s="4">
        <v>21</v>
      </c>
      <c r="AN3940" s="4">
        <v>0</v>
      </c>
      <c r="AO3940" s="4">
        <v>0</v>
      </c>
      <c r="AP3940" s="4">
        <v>3</v>
      </c>
      <c r="AQ3940" s="4">
        <v>3</v>
      </c>
      <c r="AR3940" s="3" t="s">
        <v>65</v>
      </c>
      <c r="AS3940" s="3" t="s">
        <v>65</v>
      </c>
      <c r="AT3940" s="3" t="s">
        <v>65</v>
      </c>
      <c r="AV3940" s="6" t="str">
        <f>HYPERLINK("http://mcgill.on.worldcat.org/oclc/55947390","Catalog Record")</f>
        <v>Catalog Record</v>
      </c>
      <c r="AW3940" s="6" t="str">
        <f>HYPERLINK("http://www.worldcat.org/oclc/55947390","WorldCat Record")</f>
        <v>WorldCat Record</v>
      </c>
      <c r="AX3940" s="3" t="s">
        <v>39210</v>
      </c>
      <c r="AY3940" s="3" t="s">
        <v>39211</v>
      </c>
      <c r="AZ3940" s="3" t="s">
        <v>39212</v>
      </c>
      <c r="BA3940" s="3" t="s">
        <v>39212</v>
      </c>
      <c r="BB3940" s="3" t="s">
        <v>39213</v>
      </c>
      <c r="BC3940" s="3" t="s">
        <v>77</v>
      </c>
      <c r="BD3940" s="3" t="s">
        <v>78</v>
      </c>
      <c r="BE3940" s="3" t="s">
        <v>39214</v>
      </c>
      <c r="BF3940" s="3" t="s">
        <v>39213</v>
      </c>
      <c r="BG3940" s="3" t="s">
        <v>39215</v>
      </c>
    </row>
    <row r="3941" spans="1:59" ht="58" x14ac:dyDescent="0.35">
      <c r="A3941" s="2" t="s">
        <v>59</v>
      </c>
      <c r="B3941" s="2" t="s">
        <v>60</v>
      </c>
      <c r="C3941" s="2" t="s">
        <v>39216</v>
      </c>
      <c r="D3941" s="2" t="s">
        <v>39217</v>
      </c>
      <c r="E3941" s="2" t="s">
        <v>39218</v>
      </c>
      <c r="G3941" s="3" t="s">
        <v>65</v>
      </c>
      <c r="I3941" s="3" t="s">
        <v>65</v>
      </c>
      <c r="J3941" s="3" t="s">
        <v>65</v>
      </c>
      <c r="K3941" s="3" t="s">
        <v>66</v>
      </c>
      <c r="L3941" s="2" t="s">
        <v>39194</v>
      </c>
      <c r="M3941" s="2" t="s">
        <v>33204</v>
      </c>
      <c r="N3941" s="3" t="s">
        <v>113</v>
      </c>
      <c r="P3941" s="3" t="s">
        <v>140</v>
      </c>
      <c r="R3941" s="3" t="s">
        <v>71</v>
      </c>
      <c r="S3941" s="4">
        <v>2</v>
      </c>
      <c r="T3941" s="4">
        <v>2</v>
      </c>
      <c r="U3941" s="5" t="s">
        <v>39209</v>
      </c>
      <c r="V3941" s="5" t="s">
        <v>39209</v>
      </c>
      <c r="W3941" s="5" t="s">
        <v>72</v>
      </c>
      <c r="X3941" s="5" t="s">
        <v>72</v>
      </c>
      <c r="Y3941" s="4">
        <v>54</v>
      </c>
      <c r="Z3941" s="4">
        <v>7</v>
      </c>
      <c r="AA3941" s="4">
        <v>8</v>
      </c>
      <c r="AB3941" s="4">
        <v>1</v>
      </c>
      <c r="AC3941" s="4">
        <v>2</v>
      </c>
      <c r="AD3941" s="4">
        <v>40</v>
      </c>
      <c r="AE3941" s="4">
        <v>41</v>
      </c>
      <c r="AF3941" s="4">
        <v>0</v>
      </c>
      <c r="AG3941" s="4">
        <v>1</v>
      </c>
      <c r="AH3941" s="4">
        <v>39</v>
      </c>
      <c r="AI3941" s="4">
        <v>39</v>
      </c>
      <c r="AJ3941" s="4">
        <v>4</v>
      </c>
      <c r="AK3941" s="4">
        <v>5</v>
      </c>
      <c r="AL3941" s="4">
        <v>27</v>
      </c>
      <c r="AM3941" s="4">
        <v>27</v>
      </c>
      <c r="AN3941" s="4">
        <v>0</v>
      </c>
      <c r="AO3941" s="4">
        <v>0</v>
      </c>
      <c r="AP3941" s="4">
        <v>4</v>
      </c>
      <c r="AQ3941" s="4">
        <v>4</v>
      </c>
      <c r="AR3941" s="3" t="s">
        <v>65</v>
      </c>
      <c r="AS3941" s="3" t="s">
        <v>65</v>
      </c>
      <c r="AT3941" s="3" t="s">
        <v>65</v>
      </c>
      <c r="AV3941" s="6" t="str">
        <f>HYPERLINK("http://mcgill.on.worldcat.org/oclc/644522558","Catalog Record")</f>
        <v>Catalog Record</v>
      </c>
      <c r="AW3941" s="6" t="str">
        <f>HYPERLINK("http://www.worldcat.org/oclc/644522558","WorldCat Record")</f>
        <v>WorldCat Record</v>
      </c>
      <c r="AX3941" s="3" t="s">
        <v>39219</v>
      </c>
      <c r="AY3941" s="3" t="s">
        <v>39220</v>
      </c>
      <c r="AZ3941" s="3" t="s">
        <v>39221</v>
      </c>
      <c r="BA3941" s="3" t="s">
        <v>39221</v>
      </c>
      <c r="BB3941" s="3" t="s">
        <v>39222</v>
      </c>
      <c r="BC3941" s="3" t="s">
        <v>77</v>
      </c>
      <c r="BD3941" s="3" t="s">
        <v>78</v>
      </c>
      <c r="BE3941" s="3" t="s">
        <v>39223</v>
      </c>
      <c r="BF3941" s="3" t="s">
        <v>39222</v>
      </c>
      <c r="BG3941" s="3" t="s">
        <v>39224</v>
      </c>
    </row>
    <row r="3942" spans="1:59" ht="58" x14ac:dyDescent="0.35">
      <c r="A3942" s="2" t="s">
        <v>59</v>
      </c>
      <c r="B3942" s="2" t="s">
        <v>60</v>
      </c>
      <c r="C3942" s="2" t="s">
        <v>39225</v>
      </c>
      <c r="D3942" s="2" t="s">
        <v>39226</v>
      </c>
      <c r="E3942" s="2" t="s">
        <v>39227</v>
      </c>
      <c r="G3942" s="3" t="s">
        <v>65</v>
      </c>
      <c r="I3942" s="3" t="s">
        <v>65</v>
      </c>
      <c r="J3942" s="3" t="s">
        <v>65</v>
      </c>
      <c r="K3942" s="3" t="s">
        <v>66</v>
      </c>
      <c r="L3942" s="2" t="s">
        <v>39194</v>
      </c>
      <c r="M3942" s="2" t="s">
        <v>39228</v>
      </c>
      <c r="N3942" s="3" t="s">
        <v>1967</v>
      </c>
      <c r="O3942" s="2" t="s">
        <v>365</v>
      </c>
      <c r="P3942" s="3" t="s">
        <v>140</v>
      </c>
      <c r="Q3942" s="2" t="s">
        <v>39229</v>
      </c>
      <c r="R3942" s="3" t="s">
        <v>71</v>
      </c>
      <c r="S3942" s="4">
        <v>5</v>
      </c>
      <c r="T3942" s="4">
        <v>5</v>
      </c>
      <c r="U3942" s="5" t="s">
        <v>39209</v>
      </c>
      <c r="V3942" s="5" t="s">
        <v>39209</v>
      </c>
      <c r="W3942" s="5" t="s">
        <v>72</v>
      </c>
      <c r="X3942" s="5" t="s">
        <v>72</v>
      </c>
      <c r="Y3942" s="4">
        <v>47</v>
      </c>
      <c r="Z3942" s="4">
        <v>1</v>
      </c>
      <c r="AA3942" s="4">
        <v>1</v>
      </c>
      <c r="AB3942" s="4">
        <v>1</v>
      </c>
      <c r="AC3942" s="4">
        <v>1</v>
      </c>
      <c r="AD3942" s="4">
        <v>30</v>
      </c>
      <c r="AE3942" s="4">
        <v>30</v>
      </c>
      <c r="AF3942" s="4">
        <v>0</v>
      </c>
      <c r="AG3942" s="4">
        <v>0</v>
      </c>
      <c r="AH3942" s="4">
        <v>29</v>
      </c>
      <c r="AI3942" s="4">
        <v>29</v>
      </c>
      <c r="AJ3942" s="4">
        <v>0</v>
      </c>
      <c r="AK3942" s="4">
        <v>0</v>
      </c>
      <c r="AL3942" s="4">
        <v>22</v>
      </c>
      <c r="AM3942" s="4">
        <v>22</v>
      </c>
      <c r="AN3942" s="4">
        <v>0</v>
      </c>
      <c r="AO3942" s="4">
        <v>0</v>
      </c>
      <c r="AP3942" s="4">
        <v>0</v>
      </c>
      <c r="AQ3942" s="4">
        <v>0</v>
      </c>
      <c r="AR3942" s="3" t="s">
        <v>65</v>
      </c>
      <c r="AS3942" s="3" t="s">
        <v>65</v>
      </c>
      <c r="AT3942" s="3" t="s">
        <v>209</v>
      </c>
      <c r="AU3942" s="6" t="str">
        <f>HYPERLINK("http://catalog.hathitrust.org/Record/004364635","HathiTrust Record")</f>
        <v>HathiTrust Record</v>
      </c>
      <c r="AV3942" s="6" t="str">
        <f>HYPERLINK("http://mcgill.on.worldcat.org/oclc/53340490","Catalog Record")</f>
        <v>Catalog Record</v>
      </c>
      <c r="AW3942" s="6" t="str">
        <f>HYPERLINK("http://www.worldcat.org/oclc/53340490","WorldCat Record")</f>
        <v>WorldCat Record</v>
      </c>
      <c r="AX3942" s="3" t="s">
        <v>39230</v>
      </c>
      <c r="AY3942" s="3" t="s">
        <v>39231</v>
      </c>
      <c r="AZ3942" s="3" t="s">
        <v>39232</v>
      </c>
      <c r="BA3942" s="3" t="s">
        <v>39232</v>
      </c>
      <c r="BB3942" s="3" t="s">
        <v>39233</v>
      </c>
      <c r="BC3942" s="3" t="s">
        <v>77</v>
      </c>
      <c r="BD3942" s="3" t="s">
        <v>78</v>
      </c>
      <c r="BE3942" s="3" t="s">
        <v>39234</v>
      </c>
      <c r="BF3942" s="3" t="s">
        <v>39233</v>
      </c>
      <c r="BG3942" s="3" t="s">
        <v>39235</v>
      </c>
    </row>
    <row r="3943" spans="1:59" ht="58" x14ac:dyDescent="0.35">
      <c r="A3943" s="2" t="s">
        <v>59</v>
      </c>
      <c r="B3943" s="2" t="s">
        <v>60</v>
      </c>
      <c r="C3943" s="2" t="s">
        <v>39236</v>
      </c>
      <c r="D3943" s="2" t="s">
        <v>39237</v>
      </c>
      <c r="E3943" s="2" t="s">
        <v>39238</v>
      </c>
      <c r="F3943" s="3" t="s">
        <v>255</v>
      </c>
      <c r="G3943" s="3" t="s">
        <v>209</v>
      </c>
      <c r="I3943" s="3" t="s">
        <v>65</v>
      </c>
      <c r="J3943" s="3" t="s">
        <v>65</v>
      </c>
      <c r="K3943" s="3" t="s">
        <v>66</v>
      </c>
      <c r="L3943" s="2" t="s">
        <v>30765</v>
      </c>
      <c r="M3943" s="2" t="s">
        <v>39239</v>
      </c>
      <c r="N3943" s="3" t="s">
        <v>392</v>
      </c>
      <c r="O3943" s="2" t="s">
        <v>39240</v>
      </c>
      <c r="P3943" s="3" t="s">
        <v>140</v>
      </c>
      <c r="Q3943" s="2" t="s">
        <v>29691</v>
      </c>
      <c r="R3943" s="3" t="s">
        <v>71</v>
      </c>
      <c r="S3943" s="4">
        <v>0</v>
      </c>
      <c r="T3943" s="4">
        <v>11</v>
      </c>
      <c r="V3943" s="5" t="s">
        <v>18725</v>
      </c>
      <c r="W3943" s="5" t="s">
        <v>72</v>
      </c>
      <c r="X3943" s="5" t="s">
        <v>72</v>
      </c>
      <c r="Y3943" s="4">
        <v>6</v>
      </c>
      <c r="Z3943" s="4">
        <v>1</v>
      </c>
      <c r="AA3943" s="4">
        <v>10</v>
      </c>
      <c r="AB3943" s="4">
        <v>1</v>
      </c>
      <c r="AC3943" s="4">
        <v>3</v>
      </c>
      <c r="AD3943" s="4">
        <v>3</v>
      </c>
      <c r="AE3943" s="4">
        <v>55</v>
      </c>
      <c r="AF3943" s="4">
        <v>0</v>
      </c>
      <c r="AG3943" s="4">
        <v>2</v>
      </c>
      <c r="AH3943" s="4">
        <v>3</v>
      </c>
      <c r="AI3943" s="4">
        <v>49</v>
      </c>
      <c r="AJ3943" s="4">
        <v>0</v>
      </c>
      <c r="AK3943" s="4">
        <v>6</v>
      </c>
      <c r="AL3943" s="4">
        <v>3</v>
      </c>
      <c r="AM3943" s="4">
        <v>38</v>
      </c>
      <c r="AN3943" s="4">
        <v>0</v>
      </c>
      <c r="AO3943" s="4">
        <v>0</v>
      </c>
      <c r="AP3943" s="4">
        <v>0</v>
      </c>
      <c r="AQ3943" s="4">
        <v>6</v>
      </c>
      <c r="AR3943" s="3" t="s">
        <v>65</v>
      </c>
      <c r="AS3943" s="3" t="s">
        <v>65</v>
      </c>
      <c r="AT3943" s="3" t="s">
        <v>209</v>
      </c>
      <c r="AU3943" s="6" t="str">
        <f>HYPERLINK("http://catalog.hathitrust.org/Record/102194488","HathiTrust Record")</f>
        <v>HathiTrust Record</v>
      </c>
      <c r="AV3943" s="6" t="str">
        <f>HYPERLINK("http://mcgill.on.worldcat.org/oclc/233898232","Catalog Record")</f>
        <v>Catalog Record</v>
      </c>
      <c r="AW3943" s="6" t="str">
        <f>HYPERLINK("http://www.worldcat.org/oclc/233898232","WorldCat Record")</f>
        <v>WorldCat Record</v>
      </c>
      <c r="AX3943" s="3" t="s">
        <v>39241</v>
      </c>
      <c r="AY3943" s="3" t="s">
        <v>39242</v>
      </c>
      <c r="AZ3943" s="3" t="s">
        <v>39243</v>
      </c>
      <c r="BA3943" s="3" t="s">
        <v>39243</v>
      </c>
      <c r="BB3943" s="3" t="s">
        <v>39244</v>
      </c>
      <c r="BC3943" s="3" t="s">
        <v>77</v>
      </c>
      <c r="BD3943" s="3" t="s">
        <v>78</v>
      </c>
      <c r="BE3943" s="3" t="s">
        <v>39245</v>
      </c>
      <c r="BF3943" s="3" t="s">
        <v>39244</v>
      </c>
      <c r="BG3943" s="3" t="s">
        <v>39246</v>
      </c>
    </row>
    <row r="3944" spans="1:59" ht="58" x14ac:dyDescent="0.35">
      <c r="A3944" s="2" t="s">
        <v>59</v>
      </c>
      <c r="B3944" s="2" t="s">
        <v>60</v>
      </c>
      <c r="C3944" s="2" t="s">
        <v>39236</v>
      </c>
      <c r="D3944" s="2" t="s">
        <v>39237</v>
      </c>
      <c r="E3944" s="2" t="s">
        <v>39238</v>
      </c>
      <c r="F3944" s="3" t="s">
        <v>8361</v>
      </c>
      <c r="G3944" s="3" t="s">
        <v>209</v>
      </c>
      <c r="I3944" s="3" t="s">
        <v>65</v>
      </c>
      <c r="J3944" s="3" t="s">
        <v>65</v>
      </c>
      <c r="K3944" s="3" t="s">
        <v>66</v>
      </c>
      <c r="L3944" s="2" t="s">
        <v>30765</v>
      </c>
      <c r="M3944" s="2" t="s">
        <v>39239</v>
      </c>
      <c r="N3944" s="3" t="s">
        <v>392</v>
      </c>
      <c r="O3944" s="2" t="s">
        <v>39240</v>
      </c>
      <c r="P3944" s="3" t="s">
        <v>140</v>
      </c>
      <c r="Q3944" s="2" t="s">
        <v>29691</v>
      </c>
      <c r="R3944" s="3" t="s">
        <v>71</v>
      </c>
      <c r="S3944" s="4">
        <v>4</v>
      </c>
      <c r="T3944" s="4">
        <v>11</v>
      </c>
      <c r="U3944" s="5" t="s">
        <v>39247</v>
      </c>
      <c r="V3944" s="5" t="s">
        <v>18725</v>
      </c>
      <c r="W3944" s="5" t="s">
        <v>72</v>
      </c>
      <c r="X3944" s="5" t="s">
        <v>72</v>
      </c>
      <c r="Y3944" s="4">
        <v>6</v>
      </c>
      <c r="Z3944" s="4">
        <v>1</v>
      </c>
      <c r="AA3944" s="4">
        <v>10</v>
      </c>
      <c r="AB3944" s="4">
        <v>1</v>
      </c>
      <c r="AC3944" s="4">
        <v>3</v>
      </c>
      <c r="AD3944" s="4">
        <v>3</v>
      </c>
      <c r="AE3944" s="4">
        <v>55</v>
      </c>
      <c r="AF3944" s="4">
        <v>0</v>
      </c>
      <c r="AG3944" s="4">
        <v>2</v>
      </c>
      <c r="AH3944" s="4">
        <v>3</v>
      </c>
      <c r="AI3944" s="4">
        <v>49</v>
      </c>
      <c r="AJ3944" s="4">
        <v>0</v>
      </c>
      <c r="AK3944" s="4">
        <v>6</v>
      </c>
      <c r="AL3944" s="4">
        <v>3</v>
      </c>
      <c r="AM3944" s="4">
        <v>38</v>
      </c>
      <c r="AN3944" s="4">
        <v>0</v>
      </c>
      <c r="AO3944" s="4">
        <v>0</v>
      </c>
      <c r="AP3944" s="4">
        <v>0</v>
      </c>
      <c r="AQ3944" s="4">
        <v>6</v>
      </c>
      <c r="AR3944" s="3" t="s">
        <v>65</v>
      </c>
      <c r="AS3944" s="3" t="s">
        <v>65</v>
      </c>
      <c r="AT3944" s="3" t="s">
        <v>209</v>
      </c>
      <c r="AU3944" s="6" t="str">
        <f>HYPERLINK("http://catalog.hathitrust.org/Record/102194488","HathiTrust Record")</f>
        <v>HathiTrust Record</v>
      </c>
      <c r="AV3944" s="6" t="str">
        <f>HYPERLINK("http://mcgill.on.worldcat.org/oclc/233898232","Catalog Record")</f>
        <v>Catalog Record</v>
      </c>
      <c r="AW3944" s="6" t="str">
        <f>HYPERLINK("http://www.worldcat.org/oclc/233898232","WorldCat Record")</f>
        <v>WorldCat Record</v>
      </c>
      <c r="AX3944" s="3" t="s">
        <v>39241</v>
      </c>
      <c r="AY3944" s="3" t="s">
        <v>39242</v>
      </c>
      <c r="AZ3944" s="3" t="s">
        <v>39243</v>
      </c>
      <c r="BA3944" s="3" t="s">
        <v>39243</v>
      </c>
      <c r="BB3944" s="3" t="s">
        <v>39248</v>
      </c>
      <c r="BC3944" s="3" t="s">
        <v>77</v>
      </c>
      <c r="BD3944" s="3" t="s">
        <v>78</v>
      </c>
      <c r="BE3944" s="3" t="s">
        <v>39245</v>
      </c>
      <c r="BF3944" s="3" t="s">
        <v>39248</v>
      </c>
      <c r="BG3944" s="3" t="s">
        <v>39249</v>
      </c>
    </row>
    <row r="3945" spans="1:59" ht="58" x14ac:dyDescent="0.35">
      <c r="A3945" s="2" t="s">
        <v>59</v>
      </c>
      <c r="B3945" s="2" t="s">
        <v>60</v>
      </c>
      <c r="C3945" s="2" t="s">
        <v>39236</v>
      </c>
      <c r="D3945" s="2" t="s">
        <v>39237</v>
      </c>
      <c r="E3945" s="2" t="s">
        <v>39238</v>
      </c>
      <c r="F3945" s="3" t="s">
        <v>245</v>
      </c>
      <c r="G3945" s="3" t="s">
        <v>209</v>
      </c>
      <c r="I3945" s="3" t="s">
        <v>65</v>
      </c>
      <c r="J3945" s="3" t="s">
        <v>65</v>
      </c>
      <c r="K3945" s="3" t="s">
        <v>66</v>
      </c>
      <c r="L3945" s="2" t="s">
        <v>30765</v>
      </c>
      <c r="M3945" s="2" t="s">
        <v>39239</v>
      </c>
      <c r="N3945" s="3" t="s">
        <v>392</v>
      </c>
      <c r="O3945" s="2" t="s">
        <v>39240</v>
      </c>
      <c r="P3945" s="3" t="s">
        <v>140</v>
      </c>
      <c r="Q3945" s="2" t="s">
        <v>29691</v>
      </c>
      <c r="R3945" s="3" t="s">
        <v>71</v>
      </c>
      <c r="S3945" s="4">
        <v>7</v>
      </c>
      <c r="T3945" s="4">
        <v>11</v>
      </c>
      <c r="U3945" s="5" t="s">
        <v>18725</v>
      </c>
      <c r="V3945" s="5" t="s">
        <v>18725</v>
      </c>
      <c r="W3945" s="5" t="s">
        <v>72</v>
      </c>
      <c r="X3945" s="5" t="s">
        <v>72</v>
      </c>
      <c r="Y3945" s="4">
        <v>6</v>
      </c>
      <c r="Z3945" s="4">
        <v>1</v>
      </c>
      <c r="AA3945" s="4">
        <v>10</v>
      </c>
      <c r="AB3945" s="4">
        <v>1</v>
      </c>
      <c r="AC3945" s="4">
        <v>3</v>
      </c>
      <c r="AD3945" s="4">
        <v>3</v>
      </c>
      <c r="AE3945" s="4">
        <v>55</v>
      </c>
      <c r="AF3945" s="4">
        <v>0</v>
      </c>
      <c r="AG3945" s="4">
        <v>2</v>
      </c>
      <c r="AH3945" s="4">
        <v>3</v>
      </c>
      <c r="AI3945" s="4">
        <v>49</v>
      </c>
      <c r="AJ3945" s="4">
        <v>0</v>
      </c>
      <c r="AK3945" s="4">
        <v>6</v>
      </c>
      <c r="AL3945" s="4">
        <v>3</v>
      </c>
      <c r="AM3945" s="4">
        <v>38</v>
      </c>
      <c r="AN3945" s="4">
        <v>0</v>
      </c>
      <c r="AO3945" s="4">
        <v>0</v>
      </c>
      <c r="AP3945" s="4">
        <v>0</v>
      </c>
      <c r="AQ3945" s="4">
        <v>6</v>
      </c>
      <c r="AR3945" s="3" t="s">
        <v>65</v>
      </c>
      <c r="AS3945" s="3" t="s">
        <v>65</v>
      </c>
      <c r="AT3945" s="3" t="s">
        <v>209</v>
      </c>
      <c r="AU3945" s="6" t="str">
        <f>HYPERLINK("http://catalog.hathitrust.org/Record/102194488","HathiTrust Record")</f>
        <v>HathiTrust Record</v>
      </c>
      <c r="AV3945" s="6" t="str">
        <f>HYPERLINK("http://mcgill.on.worldcat.org/oclc/233898232","Catalog Record")</f>
        <v>Catalog Record</v>
      </c>
      <c r="AW3945" s="6" t="str">
        <f>HYPERLINK("http://www.worldcat.org/oclc/233898232","WorldCat Record")</f>
        <v>WorldCat Record</v>
      </c>
      <c r="AX3945" s="3" t="s">
        <v>39241</v>
      </c>
      <c r="AY3945" s="3" t="s">
        <v>39242</v>
      </c>
      <c r="AZ3945" s="3" t="s">
        <v>39243</v>
      </c>
      <c r="BA3945" s="3" t="s">
        <v>39243</v>
      </c>
      <c r="BB3945" s="3" t="s">
        <v>39250</v>
      </c>
      <c r="BC3945" s="3" t="s">
        <v>77</v>
      </c>
      <c r="BD3945" s="3" t="s">
        <v>78</v>
      </c>
      <c r="BE3945" s="3" t="s">
        <v>39245</v>
      </c>
      <c r="BF3945" s="3" t="s">
        <v>39250</v>
      </c>
      <c r="BG3945" s="3" t="s">
        <v>39251</v>
      </c>
    </row>
    <row r="3946" spans="1:59" ht="58" x14ac:dyDescent="0.35">
      <c r="A3946" s="2" t="s">
        <v>59</v>
      </c>
      <c r="B3946" s="2" t="s">
        <v>60</v>
      </c>
      <c r="C3946" s="2" t="s">
        <v>39252</v>
      </c>
      <c r="D3946" s="2" t="s">
        <v>39253</v>
      </c>
      <c r="E3946" s="2" t="s">
        <v>39254</v>
      </c>
      <c r="G3946" s="3" t="s">
        <v>65</v>
      </c>
      <c r="I3946" s="3" t="s">
        <v>65</v>
      </c>
      <c r="J3946" s="3" t="s">
        <v>65</v>
      </c>
      <c r="K3946" s="3" t="s">
        <v>66</v>
      </c>
      <c r="L3946" s="2" t="s">
        <v>30765</v>
      </c>
      <c r="M3946" s="2" t="s">
        <v>39255</v>
      </c>
      <c r="N3946" s="3" t="s">
        <v>1967</v>
      </c>
      <c r="P3946" s="3" t="s">
        <v>140</v>
      </c>
      <c r="Q3946" s="2" t="s">
        <v>39256</v>
      </c>
      <c r="R3946" s="3" t="s">
        <v>71</v>
      </c>
      <c r="S3946" s="4">
        <v>2</v>
      </c>
      <c r="T3946" s="4">
        <v>2</v>
      </c>
      <c r="U3946" s="5" t="s">
        <v>39257</v>
      </c>
      <c r="V3946" s="5" t="s">
        <v>39257</v>
      </c>
      <c r="W3946" s="5" t="s">
        <v>72</v>
      </c>
      <c r="X3946" s="5" t="s">
        <v>72</v>
      </c>
      <c r="Y3946" s="4">
        <v>51</v>
      </c>
      <c r="Z3946" s="4">
        <v>4</v>
      </c>
      <c r="AA3946" s="4">
        <v>4</v>
      </c>
      <c r="AB3946" s="4">
        <v>1</v>
      </c>
      <c r="AC3946" s="4">
        <v>1</v>
      </c>
      <c r="AD3946" s="4">
        <v>33</v>
      </c>
      <c r="AE3946" s="4">
        <v>33</v>
      </c>
      <c r="AF3946" s="4">
        <v>0</v>
      </c>
      <c r="AG3946" s="4">
        <v>0</v>
      </c>
      <c r="AH3946" s="4">
        <v>32</v>
      </c>
      <c r="AI3946" s="4">
        <v>32</v>
      </c>
      <c r="AJ3946" s="4">
        <v>2</v>
      </c>
      <c r="AK3946" s="4">
        <v>2</v>
      </c>
      <c r="AL3946" s="4">
        <v>26</v>
      </c>
      <c r="AM3946" s="4">
        <v>26</v>
      </c>
      <c r="AN3946" s="4">
        <v>0</v>
      </c>
      <c r="AO3946" s="4">
        <v>0</v>
      </c>
      <c r="AP3946" s="4">
        <v>2</v>
      </c>
      <c r="AQ3946" s="4">
        <v>2</v>
      </c>
      <c r="AR3946" s="3" t="s">
        <v>65</v>
      </c>
      <c r="AS3946" s="3" t="s">
        <v>65</v>
      </c>
      <c r="AT3946" s="3" t="s">
        <v>209</v>
      </c>
      <c r="AU3946" s="6" t="str">
        <f>HYPERLINK("http://catalog.hathitrust.org/Record/003896213","HathiTrust Record")</f>
        <v>HathiTrust Record</v>
      </c>
      <c r="AV3946" s="6" t="str">
        <f>HYPERLINK("http://mcgill.on.worldcat.org/oclc/53461904","Catalog Record")</f>
        <v>Catalog Record</v>
      </c>
      <c r="AW3946" s="6" t="str">
        <f>HYPERLINK("http://www.worldcat.org/oclc/53461904","WorldCat Record")</f>
        <v>WorldCat Record</v>
      </c>
      <c r="AX3946" s="3" t="s">
        <v>39258</v>
      </c>
      <c r="AY3946" s="3" t="s">
        <v>39259</v>
      </c>
      <c r="AZ3946" s="3" t="s">
        <v>39260</v>
      </c>
      <c r="BA3946" s="3" t="s">
        <v>39260</v>
      </c>
      <c r="BB3946" s="3" t="s">
        <v>39261</v>
      </c>
      <c r="BC3946" s="3" t="s">
        <v>77</v>
      </c>
      <c r="BD3946" s="3" t="s">
        <v>78</v>
      </c>
      <c r="BE3946" s="3" t="s">
        <v>39262</v>
      </c>
      <c r="BF3946" s="3" t="s">
        <v>39261</v>
      </c>
      <c r="BG3946" s="3" t="s">
        <v>39263</v>
      </c>
    </row>
    <row r="3947" spans="1:59" ht="58" x14ac:dyDescent="0.35">
      <c r="A3947" s="2" t="s">
        <v>59</v>
      </c>
      <c r="B3947" s="2" t="s">
        <v>60</v>
      </c>
      <c r="C3947" s="2" t="s">
        <v>39264</v>
      </c>
      <c r="D3947" s="2" t="s">
        <v>39265</v>
      </c>
      <c r="E3947" s="2" t="s">
        <v>39266</v>
      </c>
      <c r="G3947" s="3" t="s">
        <v>65</v>
      </c>
      <c r="I3947" s="3" t="s">
        <v>65</v>
      </c>
      <c r="J3947" s="3" t="s">
        <v>65</v>
      </c>
      <c r="K3947" s="3" t="s">
        <v>66</v>
      </c>
      <c r="L3947" s="2" t="s">
        <v>39267</v>
      </c>
      <c r="M3947" s="2" t="s">
        <v>39268</v>
      </c>
      <c r="N3947" s="3" t="s">
        <v>68</v>
      </c>
      <c r="P3947" s="3" t="s">
        <v>140</v>
      </c>
      <c r="Q3947" s="2" t="s">
        <v>39269</v>
      </c>
      <c r="R3947" s="3" t="s">
        <v>71</v>
      </c>
      <c r="S3947" s="4">
        <v>1</v>
      </c>
      <c r="T3947" s="4">
        <v>1</v>
      </c>
      <c r="U3947" s="5" t="s">
        <v>29138</v>
      </c>
      <c r="V3947" s="5" t="s">
        <v>29138</v>
      </c>
      <c r="W3947" s="5" t="s">
        <v>72</v>
      </c>
      <c r="X3947" s="5" t="s">
        <v>72</v>
      </c>
      <c r="Y3947" s="4">
        <v>39</v>
      </c>
      <c r="Z3947" s="4">
        <v>5</v>
      </c>
      <c r="AA3947" s="4">
        <v>5</v>
      </c>
      <c r="AB3947" s="4">
        <v>1</v>
      </c>
      <c r="AC3947" s="4">
        <v>1</v>
      </c>
      <c r="AD3947" s="4">
        <v>24</v>
      </c>
      <c r="AE3947" s="4">
        <v>24</v>
      </c>
      <c r="AF3947" s="4">
        <v>0</v>
      </c>
      <c r="AG3947" s="4">
        <v>0</v>
      </c>
      <c r="AH3947" s="4">
        <v>23</v>
      </c>
      <c r="AI3947" s="4">
        <v>23</v>
      </c>
      <c r="AJ3947" s="4">
        <v>3</v>
      </c>
      <c r="AK3947" s="4">
        <v>3</v>
      </c>
      <c r="AL3947" s="4">
        <v>20</v>
      </c>
      <c r="AM3947" s="4">
        <v>20</v>
      </c>
      <c r="AN3947" s="4">
        <v>0</v>
      </c>
      <c r="AO3947" s="4">
        <v>0</v>
      </c>
      <c r="AP3947" s="4">
        <v>3</v>
      </c>
      <c r="AQ3947" s="4">
        <v>3</v>
      </c>
      <c r="AR3947" s="3" t="s">
        <v>65</v>
      </c>
      <c r="AS3947" s="3" t="s">
        <v>65</v>
      </c>
      <c r="AT3947" s="3" t="s">
        <v>65</v>
      </c>
      <c r="AV3947" s="6" t="str">
        <f>HYPERLINK("http://mcgill.on.worldcat.org/oclc/945914102","Catalog Record")</f>
        <v>Catalog Record</v>
      </c>
      <c r="AW3947" s="6" t="str">
        <f>HYPERLINK("http://www.worldcat.org/oclc/945914102","WorldCat Record")</f>
        <v>WorldCat Record</v>
      </c>
      <c r="AX3947" s="3" t="s">
        <v>39270</v>
      </c>
      <c r="AY3947" s="3" t="s">
        <v>39271</v>
      </c>
      <c r="AZ3947" s="3" t="s">
        <v>39272</v>
      </c>
      <c r="BA3947" s="3" t="s">
        <v>39272</v>
      </c>
      <c r="BB3947" s="3" t="s">
        <v>39273</v>
      </c>
      <c r="BC3947" s="3" t="s">
        <v>77</v>
      </c>
      <c r="BD3947" s="3" t="s">
        <v>78</v>
      </c>
      <c r="BE3947" s="3" t="s">
        <v>39274</v>
      </c>
      <c r="BF3947" s="3" t="s">
        <v>39273</v>
      </c>
      <c r="BG3947" s="3" t="s">
        <v>39275</v>
      </c>
    </row>
    <row r="3948" spans="1:59" ht="58" x14ac:dyDescent="0.35">
      <c r="A3948" s="2" t="s">
        <v>59</v>
      </c>
      <c r="B3948" s="2" t="s">
        <v>60</v>
      </c>
      <c r="C3948" s="2" t="s">
        <v>39276</v>
      </c>
      <c r="D3948" s="2" t="s">
        <v>39277</v>
      </c>
      <c r="E3948" s="2" t="s">
        <v>39278</v>
      </c>
      <c r="G3948" s="3" t="s">
        <v>65</v>
      </c>
      <c r="I3948" s="3" t="s">
        <v>65</v>
      </c>
      <c r="J3948" s="3" t="s">
        <v>209</v>
      </c>
      <c r="K3948" s="3" t="s">
        <v>66</v>
      </c>
      <c r="L3948" s="2" t="s">
        <v>30765</v>
      </c>
      <c r="M3948" s="2" t="s">
        <v>39279</v>
      </c>
      <c r="N3948" s="3" t="s">
        <v>1151</v>
      </c>
      <c r="O3948" s="2" t="s">
        <v>3829</v>
      </c>
      <c r="P3948" s="3" t="s">
        <v>140</v>
      </c>
      <c r="Q3948" s="2" t="s">
        <v>39280</v>
      </c>
      <c r="R3948" s="3" t="s">
        <v>71</v>
      </c>
      <c r="S3948" s="4">
        <v>9</v>
      </c>
      <c r="T3948" s="4">
        <v>9</v>
      </c>
      <c r="U3948" s="5" t="s">
        <v>22787</v>
      </c>
      <c r="V3948" s="5" t="s">
        <v>22787</v>
      </c>
      <c r="W3948" s="5" t="s">
        <v>72</v>
      </c>
      <c r="X3948" s="5" t="s">
        <v>72</v>
      </c>
      <c r="Y3948" s="4">
        <v>7</v>
      </c>
      <c r="Z3948" s="4">
        <v>1</v>
      </c>
      <c r="AA3948" s="4">
        <v>27</v>
      </c>
      <c r="AB3948" s="4">
        <v>1</v>
      </c>
      <c r="AC3948" s="4">
        <v>4</v>
      </c>
      <c r="AD3948" s="4">
        <v>0</v>
      </c>
      <c r="AE3948" s="4">
        <v>98</v>
      </c>
      <c r="AF3948" s="4">
        <v>0</v>
      </c>
      <c r="AG3948" s="4">
        <v>2</v>
      </c>
      <c r="AH3948" s="4">
        <v>0</v>
      </c>
      <c r="AI3948" s="4">
        <v>88</v>
      </c>
      <c r="AJ3948" s="4">
        <v>0</v>
      </c>
      <c r="AK3948" s="4">
        <v>18</v>
      </c>
      <c r="AL3948" s="4">
        <v>0</v>
      </c>
      <c r="AM3948" s="4">
        <v>53</v>
      </c>
      <c r="AN3948" s="4">
        <v>0</v>
      </c>
      <c r="AO3948" s="4">
        <v>3</v>
      </c>
      <c r="AP3948" s="4">
        <v>0</v>
      </c>
      <c r="AQ3948" s="4">
        <v>17</v>
      </c>
      <c r="AR3948" s="3" t="s">
        <v>65</v>
      </c>
      <c r="AS3948" s="3" t="s">
        <v>65</v>
      </c>
      <c r="AT3948" s="3" t="s">
        <v>65</v>
      </c>
      <c r="AV3948" s="6" t="str">
        <f>HYPERLINK("http://mcgill.on.worldcat.org/oclc/3875490","Catalog Record")</f>
        <v>Catalog Record</v>
      </c>
      <c r="AW3948" s="6" t="str">
        <f>HYPERLINK("http://www.worldcat.org/oclc/3875490","WorldCat Record")</f>
        <v>WorldCat Record</v>
      </c>
      <c r="AX3948" s="3" t="s">
        <v>39281</v>
      </c>
      <c r="AY3948" s="3" t="s">
        <v>39282</v>
      </c>
      <c r="AZ3948" s="3" t="s">
        <v>39283</v>
      </c>
      <c r="BA3948" s="3" t="s">
        <v>39283</v>
      </c>
      <c r="BB3948" s="3" t="s">
        <v>39284</v>
      </c>
      <c r="BC3948" s="3" t="s">
        <v>77</v>
      </c>
      <c r="BD3948" s="3" t="s">
        <v>78</v>
      </c>
      <c r="BE3948" s="3" t="s">
        <v>39285</v>
      </c>
      <c r="BF3948" s="3" t="s">
        <v>39284</v>
      </c>
      <c r="BG3948" s="3" t="s">
        <v>39286</v>
      </c>
    </row>
    <row r="3949" spans="1:59" ht="58" x14ac:dyDescent="0.35">
      <c r="A3949" s="2" t="s">
        <v>59</v>
      </c>
      <c r="B3949" s="2" t="s">
        <v>60</v>
      </c>
      <c r="C3949" s="2" t="s">
        <v>39287</v>
      </c>
      <c r="D3949" s="2" t="s">
        <v>39288</v>
      </c>
      <c r="E3949" s="2" t="s">
        <v>39289</v>
      </c>
      <c r="G3949" s="3" t="s">
        <v>65</v>
      </c>
      <c r="I3949" s="3" t="s">
        <v>65</v>
      </c>
      <c r="J3949" s="3" t="s">
        <v>209</v>
      </c>
      <c r="K3949" s="3" t="s">
        <v>66</v>
      </c>
      <c r="L3949" s="2" t="s">
        <v>30765</v>
      </c>
      <c r="M3949" s="2" t="s">
        <v>39290</v>
      </c>
      <c r="N3949" s="3" t="s">
        <v>392</v>
      </c>
      <c r="P3949" s="3" t="s">
        <v>69</v>
      </c>
      <c r="R3949" s="3" t="s">
        <v>71</v>
      </c>
      <c r="S3949" s="4">
        <v>25</v>
      </c>
      <c r="T3949" s="4">
        <v>25</v>
      </c>
      <c r="U3949" s="5" t="s">
        <v>2498</v>
      </c>
      <c r="V3949" s="5" t="s">
        <v>2498</v>
      </c>
      <c r="W3949" s="5" t="s">
        <v>72</v>
      </c>
      <c r="X3949" s="5" t="s">
        <v>72</v>
      </c>
      <c r="Y3949" s="4">
        <v>111</v>
      </c>
      <c r="Z3949" s="4">
        <v>9</v>
      </c>
      <c r="AA3949" s="4">
        <v>25</v>
      </c>
      <c r="AB3949" s="4">
        <v>2</v>
      </c>
      <c r="AC3949" s="4">
        <v>4</v>
      </c>
      <c r="AD3949" s="4">
        <v>46</v>
      </c>
      <c r="AE3949" s="4">
        <v>101</v>
      </c>
      <c r="AF3949" s="4">
        <v>1</v>
      </c>
      <c r="AG3949" s="4">
        <v>2</v>
      </c>
      <c r="AH3949" s="4">
        <v>44</v>
      </c>
      <c r="AI3949" s="4">
        <v>89</v>
      </c>
      <c r="AJ3949" s="4">
        <v>5</v>
      </c>
      <c r="AK3949" s="4">
        <v>14</v>
      </c>
      <c r="AL3949" s="4">
        <v>31</v>
      </c>
      <c r="AM3949" s="4">
        <v>52</v>
      </c>
      <c r="AN3949" s="4">
        <v>0</v>
      </c>
      <c r="AO3949" s="4">
        <v>0</v>
      </c>
      <c r="AP3949" s="4">
        <v>6</v>
      </c>
      <c r="AQ3949" s="4">
        <v>17</v>
      </c>
      <c r="AR3949" s="3" t="s">
        <v>65</v>
      </c>
      <c r="AS3949" s="3" t="s">
        <v>65</v>
      </c>
      <c r="AT3949" s="3" t="s">
        <v>209</v>
      </c>
      <c r="AU3949" s="6" t="str">
        <f>HYPERLINK("http://catalog.hathitrust.org/Record/001824920","HathiTrust Record")</f>
        <v>HathiTrust Record</v>
      </c>
      <c r="AV3949" s="6" t="str">
        <f>HYPERLINK("http://mcgill.on.worldcat.org/oclc/18626076","Catalog Record")</f>
        <v>Catalog Record</v>
      </c>
      <c r="AW3949" s="6" t="str">
        <f>HYPERLINK("http://www.worldcat.org/oclc/18626076","WorldCat Record")</f>
        <v>WorldCat Record</v>
      </c>
      <c r="AX3949" s="3" t="s">
        <v>39291</v>
      </c>
      <c r="AY3949" s="3" t="s">
        <v>39292</v>
      </c>
      <c r="AZ3949" s="3" t="s">
        <v>39293</v>
      </c>
      <c r="BA3949" s="3" t="s">
        <v>39293</v>
      </c>
      <c r="BB3949" s="3" t="s">
        <v>39294</v>
      </c>
      <c r="BC3949" s="3" t="s">
        <v>77</v>
      </c>
      <c r="BD3949" s="3" t="s">
        <v>78</v>
      </c>
      <c r="BE3949" s="3" t="s">
        <v>39295</v>
      </c>
      <c r="BF3949" s="3" t="s">
        <v>39294</v>
      </c>
      <c r="BG3949" s="3" t="s">
        <v>39296</v>
      </c>
    </row>
    <row r="3950" spans="1:59" ht="58" x14ac:dyDescent="0.35">
      <c r="A3950" s="2" t="s">
        <v>59</v>
      </c>
      <c r="B3950" s="2" t="s">
        <v>60</v>
      </c>
      <c r="C3950" s="2" t="s">
        <v>39297</v>
      </c>
      <c r="D3950" s="2" t="s">
        <v>39298</v>
      </c>
      <c r="E3950" s="2" t="s">
        <v>39299</v>
      </c>
      <c r="G3950" s="3" t="s">
        <v>65</v>
      </c>
      <c r="I3950" s="3" t="s">
        <v>65</v>
      </c>
      <c r="J3950" s="3" t="s">
        <v>65</v>
      </c>
      <c r="K3950" s="3" t="s">
        <v>66</v>
      </c>
      <c r="L3950" s="2" t="s">
        <v>30765</v>
      </c>
      <c r="M3950" s="2" t="s">
        <v>39300</v>
      </c>
      <c r="N3950" s="3" t="s">
        <v>7187</v>
      </c>
      <c r="P3950" s="3" t="s">
        <v>140</v>
      </c>
      <c r="Q3950" s="2" t="s">
        <v>39301</v>
      </c>
      <c r="R3950" s="3" t="s">
        <v>71</v>
      </c>
      <c r="S3950" s="4">
        <v>7</v>
      </c>
      <c r="T3950" s="4">
        <v>7</v>
      </c>
      <c r="U3950" s="5" t="s">
        <v>34578</v>
      </c>
      <c r="V3950" s="5" t="s">
        <v>34578</v>
      </c>
      <c r="W3950" s="5" t="s">
        <v>72</v>
      </c>
      <c r="X3950" s="5" t="s">
        <v>72</v>
      </c>
      <c r="Y3950" s="4">
        <v>167</v>
      </c>
      <c r="Z3950" s="4">
        <v>12</v>
      </c>
      <c r="AA3950" s="4">
        <v>14</v>
      </c>
      <c r="AB3950" s="4">
        <v>1</v>
      </c>
      <c r="AC3950" s="4">
        <v>3</v>
      </c>
      <c r="AD3950" s="4">
        <v>63</v>
      </c>
      <c r="AE3950" s="4">
        <v>68</v>
      </c>
      <c r="AF3950" s="4">
        <v>0</v>
      </c>
      <c r="AG3950" s="4">
        <v>2</v>
      </c>
      <c r="AH3950" s="4">
        <v>58</v>
      </c>
      <c r="AI3950" s="4">
        <v>61</v>
      </c>
      <c r="AJ3950" s="4">
        <v>7</v>
      </c>
      <c r="AK3950" s="4">
        <v>9</v>
      </c>
      <c r="AL3950" s="4">
        <v>39</v>
      </c>
      <c r="AM3950" s="4">
        <v>41</v>
      </c>
      <c r="AN3950" s="4">
        <v>0</v>
      </c>
      <c r="AO3950" s="4">
        <v>0</v>
      </c>
      <c r="AP3950" s="4">
        <v>7</v>
      </c>
      <c r="AQ3950" s="4">
        <v>8</v>
      </c>
      <c r="AR3950" s="3" t="s">
        <v>65</v>
      </c>
      <c r="AS3950" s="3" t="s">
        <v>65</v>
      </c>
      <c r="AT3950" s="3" t="s">
        <v>209</v>
      </c>
      <c r="AU3950" s="6" t="str">
        <f>HYPERLINK("http://catalog.hathitrust.org/Record/006118678","HathiTrust Record")</f>
        <v>HathiTrust Record</v>
      </c>
      <c r="AV3950" s="6" t="str">
        <f>HYPERLINK("http://mcgill.on.worldcat.org/oclc/4002084","Catalog Record")</f>
        <v>Catalog Record</v>
      </c>
      <c r="AW3950" s="6" t="str">
        <f>HYPERLINK("http://www.worldcat.org/oclc/4002084","WorldCat Record")</f>
        <v>WorldCat Record</v>
      </c>
      <c r="AX3950" s="3" t="s">
        <v>39302</v>
      </c>
      <c r="AY3950" s="3" t="s">
        <v>39303</v>
      </c>
      <c r="AZ3950" s="3" t="s">
        <v>39304</v>
      </c>
      <c r="BA3950" s="3" t="s">
        <v>39304</v>
      </c>
      <c r="BB3950" s="3" t="s">
        <v>39305</v>
      </c>
      <c r="BC3950" s="3" t="s">
        <v>77</v>
      </c>
      <c r="BD3950" s="3" t="s">
        <v>78</v>
      </c>
      <c r="BF3950" s="3" t="s">
        <v>39305</v>
      </c>
      <c r="BG3950" s="3" t="s">
        <v>39306</v>
      </c>
    </row>
    <row r="3951" spans="1:59" ht="58" x14ac:dyDescent="0.35">
      <c r="A3951" s="2" t="s">
        <v>59</v>
      </c>
      <c r="B3951" s="2" t="s">
        <v>60</v>
      </c>
      <c r="C3951" s="2" t="s">
        <v>39307</v>
      </c>
      <c r="D3951" s="2" t="s">
        <v>39308</v>
      </c>
      <c r="E3951" s="2" t="s">
        <v>39309</v>
      </c>
      <c r="G3951" s="3" t="s">
        <v>65</v>
      </c>
      <c r="I3951" s="3" t="s">
        <v>65</v>
      </c>
      <c r="J3951" s="3" t="s">
        <v>65</v>
      </c>
      <c r="K3951" s="3" t="s">
        <v>66</v>
      </c>
      <c r="L3951" s="2" t="s">
        <v>39267</v>
      </c>
      <c r="M3951" s="2" t="s">
        <v>39310</v>
      </c>
      <c r="N3951" s="3" t="s">
        <v>906</v>
      </c>
      <c r="O3951" s="2" t="s">
        <v>2438</v>
      </c>
      <c r="P3951" s="3" t="s">
        <v>69</v>
      </c>
      <c r="R3951" s="3" t="s">
        <v>71</v>
      </c>
      <c r="S3951" s="4">
        <v>4</v>
      </c>
      <c r="T3951" s="4">
        <v>4</v>
      </c>
      <c r="U3951" s="5" t="s">
        <v>1184</v>
      </c>
      <c r="V3951" s="5" t="s">
        <v>1184</v>
      </c>
      <c r="W3951" s="5" t="s">
        <v>72</v>
      </c>
      <c r="X3951" s="5" t="s">
        <v>72</v>
      </c>
      <c r="Y3951" s="4">
        <v>284</v>
      </c>
      <c r="Z3951" s="4">
        <v>15</v>
      </c>
      <c r="AA3951" s="4">
        <v>20</v>
      </c>
      <c r="AB3951" s="4">
        <v>3</v>
      </c>
      <c r="AC3951" s="4">
        <v>3</v>
      </c>
      <c r="AD3951" s="4">
        <v>79</v>
      </c>
      <c r="AE3951" s="4">
        <v>87</v>
      </c>
      <c r="AF3951" s="4">
        <v>1</v>
      </c>
      <c r="AG3951" s="4">
        <v>1</v>
      </c>
      <c r="AH3951" s="4">
        <v>70</v>
      </c>
      <c r="AI3951" s="4">
        <v>77</v>
      </c>
      <c r="AJ3951" s="4">
        <v>10</v>
      </c>
      <c r="AK3951" s="4">
        <v>14</v>
      </c>
      <c r="AL3951" s="4">
        <v>38</v>
      </c>
      <c r="AM3951" s="4">
        <v>43</v>
      </c>
      <c r="AN3951" s="4">
        <v>0</v>
      </c>
      <c r="AO3951" s="4">
        <v>1</v>
      </c>
      <c r="AP3951" s="4">
        <v>12</v>
      </c>
      <c r="AQ3951" s="4">
        <v>15</v>
      </c>
      <c r="AR3951" s="3" t="s">
        <v>65</v>
      </c>
      <c r="AS3951" s="3" t="s">
        <v>65</v>
      </c>
      <c r="AT3951" s="3" t="s">
        <v>209</v>
      </c>
      <c r="AU3951" s="6" t="str">
        <f>HYPERLINK("http://catalog.hathitrust.org/Record/000300848","HathiTrust Record")</f>
        <v>HathiTrust Record</v>
      </c>
      <c r="AV3951" s="6" t="str">
        <f>HYPERLINK("http://mcgill.on.worldcat.org/oclc/4933246","Catalog Record")</f>
        <v>Catalog Record</v>
      </c>
      <c r="AW3951" s="6" t="str">
        <f>HYPERLINK("http://www.worldcat.org/oclc/4933246","WorldCat Record")</f>
        <v>WorldCat Record</v>
      </c>
      <c r="AX3951" s="3" t="s">
        <v>39311</v>
      </c>
      <c r="AY3951" s="3" t="s">
        <v>39312</v>
      </c>
      <c r="AZ3951" s="3" t="s">
        <v>39313</v>
      </c>
      <c r="BA3951" s="3" t="s">
        <v>39313</v>
      </c>
      <c r="BB3951" s="3" t="s">
        <v>39314</v>
      </c>
      <c r="BC3951" s="3" t="s">
        <v>77</v>
      </c>
      <c r="BD3951" s="3" t="s">
        <v>78</v>
      </c>
      <c r="BE3951" s="3" t="s">
        <v>39315</v>
      </c>
      <c r="BF3951" s="3" t="s">
        <v>39314</v>
      </c>
      <c r="BG3951" s="3" t="s">
        <v>39316</v>
      </c>
    </row>
    <row r="3952" spans="1:59" ht="58" x14ac:dyDescent="0.35">
      <c r="A3952" s="2" t="s">
        <v>59</v>
      </c>
      <c r="B3952" s="2" t="s">
        <v>60</v>
      </c>
      <c r="C3952" s="2" t="s">
        <v>39317</v>
      </c>
      <c r="D3952" s="2" t="s">
        <v>39318</v>
      </c>
      <c r="E3952" s="2" t="s">
        <v>39319</v>
      </c>
      <c r="G3952" s="3" t="s">
        <v>65</v>
      </c>
      <c r="I3952" s="3" t="s">
        <v>65</v>
      </c>
      <c r="J3952" s="3" t="s">
        <v>65</v>
      </c>
      <c r="K3952" s="3" t="s">
        <v>66</v>
      </c>
      <c r="L3952" s="2" t="s">
        <v>30765</v>
      </c>
      <c r="M3952" s="2" t="s">
        <v>39320</v>
      </c>
      <c r="N3952" s="3" t="s">
        <v>113</v>
      </c>
      <c r="P3952" s="3" t="s">
        <v>140</v>
      </c>
      <c r="Q3952" s="2" t="s">
        <v>39321</v>
      </c>
      <c r="R3952" s="3" t="s">
        <v>71</v>
      </c>
      <c r="S3952" s="4">
        <v>1</v>
      </c>
      <c r="T3952" s="4">
        <v>1</v>
      </c>
      <c r="U3952" s="5" t="s">
        <v>34578</v>
      </c>
      <c r="V3952" s="5" t="s">
        <v>34578</v>
      </c>
      <c r="W3952" s="5" t="s">
        <v>72</v>
      </c>
      <c r="X3952" s="5" t="s">
        <v>72</v>
      </c>
      <c r="Y3952" s="4">
        <v>70</v>
      </c>
      <c r="Z3952" s="4">
        <v>5</v>
      </c>
      <c r="AA3952" s="4">
        <v>5</v>
      </c>
      <c r="AB3952" s="4">
        <v>1</v>
      </c>
      <c r="AC3952" s="4">
        <v>1</v>
      </c>
      <c r="AD3952" s="4">
        <v>45</v>
      </c>
      <c r="AE3952" s="4">
        <v>45</v>
      </c>
      <c r="AF3952" s="4">
        <v>0</v>
      </c>
      <c r="AG3952" s="4">
        <v>0</v>
      </c>
      <c r="AH3952" s="4">
        <v>43</v>
      </c>
      <c r="AI3952" s="4">
        <v>43</v>
      </c>
      <c r="AJ3952" s="4">
        <v>3</v>
      </c>
      <c r="AK3952" s="4">
        <v>3</v>
      </c>
      <c r="AL3952" s="4">
        <v>33</v>
      </c>
      <c r="AM3952" s="4">
        <v>33</v>
      </c>
      <c r="AN3952" s="4">
        <v>0</v>
      </c>
      <c r="AO3952" s="4">
        <v>0</v>
      </c>
      <c r="AP3952" s="4">
        <v>3</v>
      </c>
      <c r="AQ3952" s="4">
        <v>3</v>
      </c>
      <c r="AR3952" s="3" t="s">
        <v>65</v>
      </c>
      <c r="AS3952" s="3" t="s">
        <v>65</v>
      </c>
      <c r="AT3952" s="3" t="s">
        <v>65</v>
      </c>
      <c r="AV3952" s="6" t="str">
        <f>HYPERLINK("http://mcgill.on.worldcat.org/oclc/641458956","Catalog Record")</f>
        <v>Catalog Record</v>
      </c>
      <c r="AW3952" s="6" t="str">
        <f>HYPERLINK("http://www.worldcat.org/oclc/641458956","WorldCat Record")</f>
        <v>WorldCat Record</v>
      </c>
      <c r="AX3952" s="3" t="s">
        <v>39322</v>
      </c>
      <c r="AY3952" s="3" t="s">
        <v>39323</v>
      </c>
      <c r="AZ3952" s="3" t="s">
        <v>39324</v>
      </c>
      <c r="BA3952" s="3" t="s">
        <v>39324</v>
      </c>
      <c r="BB3952" s="3" t="s">
        <v>39325</v>
      </c>
      <c r="BC3952" s="3" t="s">
        <v>77</v>
      </c>
      <c r="BD3952" s="3" t="s">
        <v>78</v>
      </c>
      <c r="BE3952" s="3" t="s">
        <v>39326</v>
      </c>
      <c r="BF3952" s="3" t="s">
        <v>39325</v>
      </c>
      <c r="BG3952" s="3" t="s">
        <v>39327</v>
      </c>
    </row>
    <row r="3953" spans="1:59" ht="58" x14ac:dyDescent="0.35">
      <c r="A3953" s="2" t="s">
        <v>59</v>
      </c>
      <c r="B3953" s="2" t="s">
        <v>60</v>
      </c>
      <c r="C3953" s="2" t="s">
        <v>39328</v>
      </c>
      <c r="D3953" s="2" t="s">
        <v>39329</v>
      </c>
      <c r="E3953" s="2" t="s">
        <v>39330</v>
      </c>
      <c r="G3953" s="3" t="s">
        <v>65</v>
      </c>
      <c r="I3953" s="3" t="s">
        <v>65</v>
      </c>
      <c r="J3953" s="3" t="s">
        <v>209</v>
      </c>
      <c r="K3953" s="3" t="s">
        <v>66</v>
      </c>
      <c r="L3953" s="2" t="s">
        <v>30765</v>
      </c>
      <c r="M3953" s="2" t="s">
        <v>39331</v>
      </c>
      <c r="N3953" s="3" t="s">
        <v>7039</v>
      </c>
      <c r="O3953" s="2" t="s">
        <v>29398</v>
      </c>
      <c r="P3953" s="3" t="s">
        <v>140</v>
      </c>
      <c r="Q3953" s="2" t="s">
        <v>39332</v>
      </c>
      <c r="R3953" s="3" t="s">
        <v>71</v>
      </c>
      <c r="S3953" s="4">
        <v>12</v>
      </c>
      <c r="T3953" s="4">
        <v>12</v>
      </c>
      <c r="U3953" s="5" t="s">
        <v>34578</v>
      </c>
      <c r="V3953" s="5" t="s">
        <v>34578</v>
      </c>
      <c r="W3953" s="5" t="s">
        <v>72</v>
      </c>
      <c r="X3953" s="5" t="s">
        <v>72</v>
      </c>
      <c r="Y3953" s="4">
        <v>15</v>
      </c>
      <c r="Z3953" s="4">
        <v>3</v>
      </c>
      <c r="AA3953" s="4">
        <v>27</v>
      </c>
      <c r="AB3953" s="4">
        <v>1</v>
      </c>
      <c r="AC3953" s="4">
        <v>5</v>
      </c>
      <c r="AD3953" s="4">
        <v>4</v>
      </c>
      <c r="AE3953" s="4">
        <v>104</v>
      </c>
      <c r="AF3953" s="4">
        <v>0</v>
      </c>
      <c r="AG3953" s="4">
        <v>2</v>
      </c>
      <c r="AH3953" s="4">
        <v>4</v>
      </c>
      <c r="AI3953" s="4">
        <v>94</v>
      </c>
      <c r="AJ3953" s="4">
        <v>1</v>
      </c>
      <c r="AK3953" s="4">
        <v>16</v>
      </c>
      <c r="AL3953" s="4">
        <v>3</v>
      </c>
      <c r="AM3953" s="4">
        <v>56</v>
      </c>
      <c r="AN3953" s="4">
        <v>0</v>
      </c>
      <c r="AO3953" s="4">
        <v>2</v>
      </c>
      <c r="AP3953" s="4">
        <v>1</v>
      </c>
      <c r="AQ3953" s="4">
        <v>16</v>
      </c>
      <c r="AR3953" s="3" t="s">
        <v>65</v>
      </c>
      <c r="AS3953" s="3" t="s">
        <v>65</v>
      </c>
      <c r="AT3953" s="3" t="s">
        <v>65</v>
      </c>
      <c r="AV3953" s="6" t="str">
        <f>HYPERLINK("http://mcgill.on.worldcat.org/oclc/11748057","Catalog Record")</f>
        <v>Catalog Record</v>
      </c>
      <c r="AW3953" s="6" t="str">
        <f>HYPERLINK("http://www.worldcat.org/oclc/11748057","WorldCat Record")</f>
        <v>WorldCat Record</v>
      </c>
      <c r="AX3953" s="3" t="s">
        <v>39333</v>
      </c>
      <c r="AY3953" s="3" t="s">
        <v>39334</v>
      </c>
      <c r="AZ3953" s="3" t="s">
        <v>39335</v>
      </c>
      <c r="BA3953" s="3" t="s">
        <v>39335</v>
      </c>
      <c r="BB3953" s="3" t="s">
        <v>39336</v>
      </c>
      <c r="BC3953" s="3" t="s">
        <v>77</v>
      </c>
      <c r="BD3953" s="3" t="s">
        <v>78</v>
      </c>
      <c r="BF3953" s="3" t="s">
        <v>39336</v>
      </c>
      <c r="BG3953" s="3" t="s">
        <v>39337</v>
      </c>
    </row>
    <row r="3954" spans="1:59" ht="58" x14ac:dyDescent="0.35">
      <c r="A3954" s="2" t="s">
        <v>59</v>
      </c>
      <c r="B3954" s="2" t="s">
        <v>60</v>
      </c>
      <c r="C3954" s="2" t="s">
        <v>39338</v>
      </c>
      <c r="D3954" s="2" t="s">
        <v>39339</v>
      </c>
      <c r="E3954" s="2" t="s">
        <v>39330</v>
      </c>
      <c r="G3954" s="3" t="s">
        <v>65</v>
      </c>
      <c r="I3954" s="3" t="s">
        <v>65</v>
      </c>
      <c r="J3954" s="3" t="s">
        <v>209</v>
      </c>
      <c r="K3954" s="3" t="s">
        <v>66</v>
      </c>
      <c r="L3954" s="2" t="s">
        <v>30765</v>
      </c>
      <c r="M3954" s="2" t="s">
        <v>24959</v>
      </c>
      <c r="N3954" s="3" t="s">
        <v>3994</v>
      </c>
      <c r="O3954" s="2" t="s">
        <v>39340</v>
      </c>
      <c r="P3954" s="3" t="s">
        <v>140</v>
      </c>
      <c r="Q3954" s="2" t="s">
        <v>39341</v>
      </c>
      <c r="R3954" s="3" t="s">
        <v>71</v>
      </c>
      <c r="S3954" s="4">
        <v>14</v>
      </c>
      <c r="T3954" s="4">
        <v>14</v>
      </c>
      <c r="U3954" s="5" t="s">
        <v>19203</v>
      </c>
      <c r="V3954" s="5" t="s">
        <v>19203</v>
      </c>
      <c r="W3954" s="5" t="s">
        <v>72</v>
      </c>
      <c r="X3954" s="5" t="s">
        <v>72</v>
      </c>
      <c r="Y3954" s="4">
        <v>42</v>
      </c>
      <c r="Z3954" s="4">
        <v>6</v>
      </c>
      <c r="AA3954" s="4">
        <v>27</v>
      </c>
      <c r="AB3954" s="4">
        <v>1</v>
      </c>
      <c r="AC3954" s="4">
        <v>5</v>
      </c>
      <c r="AD3954" s="4">
        <v>15</v>
      </c>
      <c r="AE3954" s="4">
        <v>104</v>
      </c>
      <c r="AF3954" s="4">
        <v>0</v>
      </c>
      <c r="AG3954" s="4">
        <v>2</v>
      </c>
      <c r="AH3954" s="4">
        <v>15</v>
      </c>
      <c r="AI3954" s="4">
        <v>94</v>
      </c>
      <c r="AJ3954" s="4">
        <v>1</v>
      </c>
      <c r="AK3954" s="4">
        <v>16</v>
      </c>
      <c r="AL3954" s="4">
        <v>11</v>
      </c>
      <c r="AM3954" s="4">
        <v>56</v>
      </c>
      <c r="AN3954" s="4">
        <v>0</v>
      </c>
      <c r="AO3954" s="4">
        <v>2</v>
      </c>
      <c r="AP3954" s="4">
        <v>1</v>
      </c>
      <c r="AQ3954" s="4">
        <v>16</v>
      </c>
      <c r="AR3954" s="3" t="s">
        <v>65</v>
      </c>
      <c r="AS3954" s="3" t="s">
        <v>65</v>
      </c>
      <c r="AT3954" s="3" t="s">
        <v>65</v>
      </c>
      <c r="AV3954" s="6" t="str">
        <f>HYPERLINK("http://mcgill.on.worldcat.org/oclc/3473389","Catalog Record")</f>
        <v>Catalog Record</v>
      </c>
      <c r="AW3954" s="6" t="str">
        <f>HYPERLINK("http://www.worldcat.org/oclc/3473389","WorldCat Record")</f>
        <v>WorldCat Record</v>
      </c>
      <c r="AX3954" s="3" t="s">
        <v>39333</v>
      </c>
      <c r="AY3954" s="3" t="s">
        <v>39342</v>
      </c>
      <c r="AZ3954" s="3" t="s">
        <v>39343</v>
      </c>
      <c r="BA3954" s="3" t="s">
        <v>39343</v>
      </c>
      <c r="BB3954" s="3" t="s">
        <v>39344</v>
      </c>
      <c r="BC3954" s="3" t="s">
        <v>77</v>
      </c>
      <c r="BD3954" s="3" t="s">
        <v>78</v>
      </c>
      <c r="BF3954" s="3" t="s">
        <v>39344</v>
      </c>
      <c r="BG3954" s="3" t="s">
        <v>39345</v>
      </c>
    </row>
    <row r="3955" spans="1:59" ht="58" x14ac:dyDescent="0.35">
      <c r="A3955" s="2" t="s">
        <v>59</v>
      </c>
      <c r="B3955" s="2" t="s">
        <v>60</v>
      </c>
      <c r="C3955" s="2" t="s">
        <v>39346</v>
      </c>
      <c r="D3955" s="2" t="s">
        <v>39347</v>
      </c>
      <c r="E3955" s="2" t="s">
        <v>39348</v>
      </c>
      <c r="G3955" s="3" t="s">
        <v>65</v>
      </c>
      <c r="I3955" s="3" t="s">
        <v>65</v>
      </c>
      <c r="J3955" s="3" t="s">
        <v>209</v>
      </c>
      <c r="K3955" s="3" t="s">
        <v>66</v>
      </c>
      <c r="L3955" s="2" t="s">
        <v>30765</v>
      </c>
      <c r="M3955" s="2" t="s">
        <v>39349</v>
      </c>
      <c r="N3955" s="3" t="s">
        <v>1895</v>
      </c>
      <c r="P3955" s="3" t="s">
        <v>140</v>
      </c>
      <c r="Q3955" s="2" t="s">
        <v>13719</v>
      </c>
      <c r="R3955" s="3" t="s">
        <v>71</v>
      </c>
      <c r="S3955" s="4">
        <v>17</v>
      </c>
      <c r="T3955" s="4">
        <v>17</v>
      </c>
      <c r="U3955" s="5" t="s">
        <v>19203</v>
      </c>
      <c r="V3955" s="5" t="s">
        <v>19203</v>
      </c>
      <c r="W3955" s="5" t="s">
        <v>72</v>
      </c>
      <c r="X3955" s="5" t="s">
        <v>72</v>
      </c>
      <c r="Y3955" s="4">
        <v>92</v>
      </c>
      <c r="Z3955" s="4">
        <v>4</v>
      </c>
      <c r="AA3955" s="4">
        <v>27</v>
      </c>
      <c r="AB3955" s="4">
        <v>1</v>
      </c>
      <c r="AC3955" s="4">
        <v>5</v>
      </c>
      <c r="AD3955" s="4">
        <v>45</v>
      </c>
      <c r="AE3955" s="4">
        <v>104</v>
      </c>
      <c r="AF3955" s="4">
        <v>0</v>
      </c>
      <c r="AG3955" s="4">
        <v>2</v>
      </c>
      <c r="AH3955" s="4">
        <v>42</v>
      </c>
      <c r="AI3955" s="4">
        <v>94</v>
      </c>
      <c r="AJ3955" s="4">
        <v>2</v>
      </c>
      <c r="AK3955" s="4">
        <v>16</v>
      </c>
      <c r="AL3955" s="4">
        <v>33</v>
      </c>
      <c r="AM3955" s="4">
        <v>56</v>
      </c>
      <c r="AN3955" s="4">
        <v>0</v>
      </c>
      <c r="AO3955" s="4">
        <v>2</v>
      </c>
      <c r="AP3955" s="4">
        <v>3</v>
      </c>
      <c r="AQ3955" s="4">
        <v>16</v>
      </c>
      <c r="AR3955" s="3" t="s">
        <v>65</v>
      </c>
      <c r="AS3955" s="3" t="s">
        <v>65</v>
      </c>
      <c r="AT3955" s="3" t="s">
        <v>209</v>
      </c>
      <c r="AU3955" s="6" t="str">
        <f>HYPERLINK("http://catalog.hathitrust.org/Record/008324262","HathiTrust Record")</f>
        <v>HathiTrust Record</v>
      </c>
      <c r="AV3955" s="6" t="str">
        <f>HYPERLINK("http://mcgill.on.worldcat.org/oclc/39698645","Catalog Record")</f>
        <v>Catalog Record</v>
      </c>
      <c r="AW3955" s="6" t="str">
        <f>HYPERLINK("http://www.worldcat.org/oclc/39698645","WorldCat Record")</f>
        <v>WorldCat Record</v>
      </c>
      <c r="AX3955" s="3" t="s">
        <v>39333</v>
      </c>
      <c r="AY3955" s="3" t="s">
        <v>39350</v>
      </c>
      <c r="AZ3955" s="3" t="s">
        <v>39351</v>
      </c>
      <c r="BA3955" s="3" t="s">
        <v>39351</v>
      </c>
      <c r="BB3955" s="3" t="s">
        <v>39352</v>
      </c>
      <c r="BC3955" s="3" t="s">
        <v>77</v>
      </c>
      <c r="BD3955" s="3" t="s">
        <v>78</v>
      </c>
      <c r="BE3955" s="3" t="s">
        <v>39353</v>
      </c>
      <c r="BF3955" s="3" t="s">
        <v>39352</v>
      </c>
      <c r="BG3955" s="3" t="s">
        <v>39354</v>
      </c>
    </row>
    <row r="3956" spans="1:59" ht="58" x14ac:dyDescent="0.35">
      <c r="A3956" s="2" t="s">
        <v>59</v>
      </c>
      <c r="B3956" s="2" t="s">
        <v>60</v>
      </c>
      <c r="C3956" s="2" t="s">
        <v>39355</v>
      </c>
      <c r="D3956" s="2" t="s">
        <v>39356</v>
      </c>
      <c r="E3956" s="2" t="s">
        <v>39357</v>
      </c>
      <c r="G3956" s="3" t="s">
        <v>65</v>
      </c>
      <c r="I3956" s="3" t="s">
        <v>65</v>
      </c>
      <c r="J3956" s="3" t="s">
        <v>65</v>
      </c>
      <c r="K3956" s="3" t="s">
        <v>66</v>
      </c>
      <c r="L3956" s="2" t="s">
        <v>30765</v>
      </c>
      <c r="M3956" s="2" t="s">
        <v>39358</v>
      </c>
      <c r="N3956" s="3" t="s">
        <v>615</v>
      </c>
      <c r="P3956" s="3" t="s">
        <v>69</v>
      </c>
      <c r="R3956" s="3" t="s">
        <v>71</v>
      </c>
      <c r="S3956" s="4">
        <v>25</v>
      </c>
      <c r="T3956" s="4">
        <v>25</v>
      </c>
      <c r="U3956" s="5" t="s">
        <v>9389</v>
      </c>
      <c r="V3956" s="5" t="s">
        <v>9389</v>
      </c>
      <c r="W3956" s="5" t="s">
        <v>72</v>
      </c>
      <c r="X3956" s="5" t="s">
        <v>72</v>
      </c>
      <c r="Y3956" s="4">
        <v>71</v>
      </c>
      <c r="Z3956" s="4">
        <v>10</v>
      </c>
      <c r="AA3956" s="4">
        <v>15</v>
      </c>
      <c r="AB3956" s="4">
        <v>1</v>
      </c>
      <c r="AC3956" s="4">
        <v>2</v>
      </c>
      <c r="AD3956" s="4">
        <v>27</v>
      </c>
      <c r="AE3956" s="4">
        <v>70</v>
      </c>
      <c r="AF3956" s="4">
        <v>0</v>
      </c>
      <c r="AG3956" s="4">
        <v>1</v>
      </c>
      <c r="AH3956" s="4">
        <v>23</v>
      </c>
      <c r="AI3956" s="4">
        <v>62</v>
      </c>
      <c r="AJ3956" s="4">
        <v>7</v>
      </c>
      <c r="AK3956" s="4">
        <v>9</v>
      </c>
      <c r="AL3956" s="4">
        <v>17</v>
      </c>
      <c r="AM3956" s="4">
        <v>44</v>
      </c>
      <c r="AN3956" s="4">
        <v>5</v>
      </c>
      <c r="AO3956" s="4">
        <v>5</v>
      </c>
      <c r="AP3956" s="4">
        <v>6</v>
      </c>
      <c r="AQ3956" s="4">
        <v>10</v>
      </c>
      <c r="AR3956" s="3" t="s">
        <v>65</v>
      </c>
      <c r="AS3956" s="3" t="s">
        <v>65</v>
      </c>
      <c r="AT3956" s="3" t="s">
        <v>209</v>
      </c>
      <c r="AU3956" s="6" t="str">
        <f>HYPERLINK("http://catalog.hathitrust.org/Record/011229002","HathiTrust Record")</f>
        <v>HathiTrust Record</v>
      </c>
      <c r="AV3956" s="6" t="str">
        <f>HYPERLINK("http://mcgill.on.worldcat.org/oclc/14167740","Catalog Record")</f>
        <v>Catalog Record</v>
      </c>
      <c r="AW3956" s="6" t="str">
        <f>HYPERLINK("http://www.worldcat.org/oclc/14167740","WorldCat Record")</f>
        <v>WorldCat Record</v>
      </c>
      <c r="AX3956" s="3" t="s">
        <v>39359</v>
      </c>
      <c r="AY3956" s="3" t="s">
        <v>39360</v>
      </c>
      <c r="AZ3956" s="3" t="s">
        <v>39361</v>
      </c>
      <c r="BA3956" s="3" t="s">
        <v>39361</v>
      </c>
      <c r="BB3956" s="3" t="s">
        <v>39362</v>
      </c>
      <c r="BC3956" s="3" t="s">
        <v>77</v>
      </c>
      <c r="BD3956" s="3" t="s">
        <v>78</v>
      </c>
      <c r="BE3956" s="3" t="s">
        <v>39363</v>
      </c>
      <c r="BF3956" s="3" t="s">
        <v>39362</v>
      </c>
      <c r="BG3956" s="3" t="s">
        <v>39364</v>
      </c>
    </row>
    <row r="3957" spans="1:59" ht="58" x14ac:dyDescent="0.35">
      <c r="A3957" s="2" t="s">
        <v>59</v>
      </c>
      <c r="B3957" s="2" t="s">
        <v>60</v>
      </c>
      <c r="C3957" s="2" t="s">
        <v>39365</v>
      </c>
      <c r="D3957" s="2" t="s">
        <v>39366</v>
      </c>
      <c r="E3957" s="2" t="s">
        <v>39367</v>
      </c>
      <c r="G3957" s="3" t="s">
        <v>65</v>
      </c>
      <c r="I3957" s="3" t="s">
        <v>65</v>
      </c>
      <c r="J3957" s="3" t="s">
        <v>65</v>
      </c>
      <c r="K3957" s="3" t="s">
        <v>66</v>
      </c>
      <c r="L3957" s="2" t="s">
        <v>30765</v>
      </c>
      <c r="M3957" s="2" t="s">
        <v>39368</v>
      </c>
      <c r="N3957" s="3" t="s">
        <v>1967</v>
      </c>
      <c r="P3957" s="3" t="s">
        <v>69</v>
      </c>
      <c r="Q3957" s="2" t="s">
        <v>25392</v>
      </c>
      <c r="R3957" s="3" t="s">
        <v>71</v>
      </c>
      <c r="S3957" s="4">
        <v>13</v>
      </c>
      <c r="T3957" s="4">
        <v>13</v>
      </c>
      <c r="U3957" s="5" t="s">
        <v>31982</v>
      </c>
      <c r="V3957" s="5" t="s">
        <v>31982</v>
      </c>
      <c r="W3957" s="5" t="s">
        <v>72</v>
      </c>
      <c r="X3957" s="5" t="s">
        <v>72</v>
      </c>
      <c r="Y3957" s="4">
        <v>199</v>
      </c>
      <c r="Z3957" s="4">
        <v>10</v>
      </c>
      <c r="AA3957" s="4">
        <v>20</v>
      </c>
      <c r="AB3957" s="4">
        <v>2</v>
      </c>
      <c r="AC3957" s="4">
        <v>2</v>
      </c>
      <c r="AD3957" s="4">
        <v>31</v>
      </c>
      <c r="AE3957" s="4">
        <v>82</v>
      </c>
      <c r="AF3957" s="4">
        <v>0</v>
      </c>
      <c r="AG3957" s="4">
        <v>0</v>
      </c>
      <c r="AH3957" s="4">
        <v>28</v>
      </c>
      <c r="AI3957" s="4">
        <v>73</v>
      </c>
      <c r="AJ3957" s="4">
        <v>5</v>
      </c>
      <c r="AK3957" s="4">
        <v>12</v>
      </c>
      <c r="AL3957" s="4">
        <v>16</v>
      </c>
      <c r="AM3957" s="4">
        <v>43</v>
      </c>
      <c r="AN3957" s="4">
        <v>0</v>
      </c>
      <c r="AO3957" s="4">
        <v>5</v>
      </c>
      <c r="AP3957" s="4">
        <v>5</v>
      </c>
      <c r="AQ3957" s="4">
        <v>12</v>
      </c>
      <c r="AR3957" s="3" t="s">
        <v>65</v>
      </c>
      <c r="AS3957" s="3" t="s">
        <v>65</v>
      </c>
      <c r="AT3957" s="3" t="s">
        <v>65</v>
      </c>
      <c r="AV3957" s="6" t="str">
        <f>HYPERLINK("http://mcgill.on.worldcat.org/oclc/52814277","Catalog Record")</f>
        <v>Catalog Record</v>
      </c>
      <c r="AW3957" s="6" t="str">
        <f>HYPERLINK("http://www.worldcat.org/oclc/52814277","WorldCat Record")</f>
        <v>WorldCat Record</v>
      </c>
      <c r="AX3957" s="3" t="s">
        <v>39369</v>
      </c>
      <c r="AY3957" s="3" t="s">
        <v>39370</v>
      </c>
      <c r="AZ3957" s="3" t="s">
        <v>39371</v>
      </c>
      <c r="BA3957" s="3" t="s">
        <v>39371</v>
      </c>
      <c r="BB3957" s="3" t="s">
        <v>39372</v>
      </c>
      <c r="BC3957" s="3" t="s">
        <v>77</v>
      </c>
      <c r="BD3957" s="3" t="s">
        <v>78</v>
      </c>
      <c r="BE3957" s="3" t="s">
        <v>39373</v>
      </c>
      <c r="BF3957" s="3" t="s">
        <v>39372</v>
      </c>
      <c r="BG3957" s="3" t="s">
        <v>39374</v>
      </c>
    </row>
    <row r="3958" spans="1:59" ht="58" x14ac:dyDescent="0.35">
      <c r="A3958" s="2" t="s">
        <v>59</v>
      </c>
      <c r="B3958" s="2" t="s">
        <v>60</v>
      </c>
      <c r="C3958" s="2" t="s">
        <v>39375</v>
      </c>
      <c r="D3958" s="2" t="s">
        <v>39376</v>
      </c>
      <c r="E3958" s="2" t="s">
        <v>39377</v>
      </c>
      <c r="G3958" s="3" t="s">
        <v>65</v>
      </c>
      <c r="I3958" s="3" t="s">
        <v>65</v>
      </c>
      <c r="J3958" s="3" t="s">
        <v>65</v>
      </c>
      <c r="K3958" s="3" t="s">
        <v>66</v>
      </c>
      <c r="L3958" s="2" t="s">
        <v>30765</v>
      </c>
      <c r="M3958" s="2" t="s">
        <v>29157</v>
      </c>
      <c r="N3958" s="3" t="s">
        <v>5130</v>
      </c>
      <c r="P3958" s="3" t="s">
        <v>140</v>
      </c>
      <c r="Q3958" s="2" t="s">
        <v>39378</v>
      </c>
      <c r="R3958" s="3" t="s">
        <v>71</v>
      </c>
      <c r="S3958" s="4">
        <v>9</v>
      </c>
      <c r="T3958" s="4">
        <v>9</v>
      </c>
      <c r="U3958" s="5" t="s">
        <v>3629</v>
      </c>
      <c r="V3958" s="5" t="s">
        <v>3629</v>
      </c>
      <c r="W3958" s="5" t="s">
        <v>72</v>
      </c>
      <c r="X3958" s="5" t="s">
        <v>72</v>
      </c>
      <c r="Y3958" s="4">
        <v>144</v>
      </c>
      <c r="Z3958" s="4">
        <v>12</v>
      </c>
      <c r="AA3958" s="4">
        <v>16</v>
      </c>
      <c r="AB3958" s="4">
        <v>1</v>
      </c>
      <c r="AC3958" s="4">
        <v>1</v>
      </c>
      <c r="AD3958" s="4">
        <v>52</v>
      </c>
      <c r="AE3958" s="4">
        <v>73</v>
      </c>
      <c r="AF3958" s="4">
        <v>0</v>
      </c>
      <c r="AG3958" s="4">
        <v>0</v>
      </c>
      <c r="AH3958" s="4">
        <v>47</v>
      </c>
      <c r="AI3958" s="4">
        <v>68</v>
      </c>
      <c r="AJ3958" s="4">
        <v>9</v>
      </c>
      <c r="AK3958" s="4">
        <v>10</v>
      </c>
      <c r="AL3958" s="4">
        <v>30</v>
      </c>
      <c r="AM3958" s="4">
        <v>41</v>
      </c>
      <c r="AN3958" s="4">
        <v>0</v>
      </c>
      <c r="AO3958" s="4">
        <v>0</v>
      </c>
      <c r="AP3958" s="4">
        <v>9</v>
      </c>
      <c r="AQ3958" s="4">
        <v>10</v>
      </c>
      <c r="AR3958" s="3" t="s">
        <v>65</v>
      </c>
      <c r="AS3958" s="3" t="s">
        <v>65</v>
      </c>
      <c r="AT3958" s="3" t="s">
        <v>209</v>
      </c>
      <c r="AU3958" s="6" t="str">
        <f>HYPERLINK("http://catalog.hathitrust.org/Record/001219980","HathiTrust Record")</f>
        <v>HathiTrust Record</v>
      </c>
      <c r="AV3958" s="6" t="str">
        <f>HYPERLINK("http://mcgill.on.worldcat.org/oclc/837527","Catalog Record")</f>
        <v>Catalog Record</v>
      </c>
      <c r="AW3958" s="6" t="str">
        <f>HYPERLINK("http://www.worldcat.org/oclc/837527","WorldCat Record")</f>
        <v>WorldCat Record</v>
      </c>
      <c r="AX3958" s="3" t="s">
        <v>39379</v>
      </c>
      <c r="AY3958" s="3" t="s">
        <v>39380</v>
      </c>
      <c r="AZ3958" s="3" t="s">
        <v>39381</v>
      </c>
      <c r="BA3958" s="3" t="s">
        <v>39381</v>
      </c>
      <c r="BB3958" s="3" t="s">
        <v>39382</v>
      </c>
      <c r="BC3958" s="3" t="s">
        <v>77</v>
      </c>
      <c r="BD3958" s="3" t="s">
        <v>78</v>
      </c>
      <c r="BF3958" s="3" t="s">
        <v>39382</v>
      </c>
      <c r="BG3958" s="3" t="s">
        <v>39383</v>
      </c>
    </row>
    <row r="3959" spans="1:59" ht="58" x14ac:dyDescent="0.35">
      <c r="A3959" s="2" t="s">
        <v>59</v>
      </c>
      <c r="B3959" s="2" t="s">
        <v>60</v>
      </c>
      <c r="C3959" s="2" t="s">
        <v>39384</v>
      </c>
      <c r="D3959" s="2" t="s">
        <v>39385</v>
      </c>
      <c r="E3959" s="2" t="s">
        <v>39386</v>
      </c>
      <c r="G3959" s="3" t="s">
        <v>65</v>
      </c>
      <c r="I3959" s="3" t="s">
        <v>65</v>
      </c>
      <c r="J3959" s="3" t="s">
        <v>65</v>
      </c>
      <c r="K3959" s="3" t="s">
        <v>66</v>
      </c>
      <c r="L3959" s="2" t="s">
        <v>30765</v>
      </c>
      <c r="M3959" s="2" t="s">
        <v>39387</v>
      </c>
      <c r="N3959" s="3" t="s">
        <v>906</v>
      </c>
      <c r="O3959" s="2" t="s">
        <v>39388</v>
      </c>
      <c r="P3959" s="3" t="s">
        <v>140</v>
      </c>
      <c r="Q3959" s="2" t="s">
        <v>39389</v>
      </c>
      <c r="R3959" s="3" t="s">
        <v>71</v>
      </c>
      <c r="S3959" s="4">
        <v>4</v>
      </c>
      <c r="T3959" s="4">
        <v>4</v>
      </c>
      <c r="U3959" s="5" t="s">
        <v>34578</v>
      </c>
      <c r="V3959" s="5" t="s">
        <v>34578</v>
      </c>
      <c r="W3959" s="5" t="s">
        <v>72</v>
      </c>
      <c r="X3959" s="5" t="s">
        <v>72</v>
      </c>
      <c r="Y3959" s="4">
        <v>153</v>
      </c>
      <c r="Z3959" s="4">
        <v>13</v>
      </c>
      <c r="AA3959" s="4">
        <v>15</v>
      </c>
      <c r="AB3959" s="4">
        <v>2</v>
      </c>
      <c r="AC3959" s="4">
        <v>4</v>
      </c>
      <c r="AD3959" s="4">
        <v>62</v>
      </c>
      <c r="AE3959" s="4">
        <v>72</v>
      </c>
      <c r="AF3959" s="4">
        <v>1</v>
      </c>
      <c r="AG3959" s="4">
        <v>3</v>
      </c>
      <c r="AH3959" s="4">
        <v>57</v>
      </c>
      <c r="AI3959" s="4">
        <v>66</v>
      </c>
      <c r="AJ3959" s="4">
        <v>10</v>
      </c>
      <c r="AK3959" s="4">
        <v>12</v>
      </c>
      <c r="AL3959" s="4">
        <v>37</v>
      </c>
      <c r="AM3959" s="4">
        <v>44</v>
      </c>
      <c r="AN3959" s="4">
        <v>0</v>
      </c>
      <c r="AO3959" s="4">
        <v>0</v>
      </c>
      <c r="AP3959" s="4">
        <v>10</v>
      </c>
      <c r="AQ3959" s="4">
        <v>11</v>
      </c>
      <c r="AR3959" s="3" t="s">
        <v>65</v>
      </c>
      <c r="AS3959" s="3" t="s">
        <v>65</v>
      </c>
      <c r="AT3959" s="3" t="s">
        <v>209</v>
      </c>
      <c r="AU3959" s="6" t="str">
        <f>HYPERLINK("http://catalog.hathitrust.org/Record/000632050","HathiTrust Record")</f>
        <v>HathiTrust Record</v>
      </c>
      <c r="AV3959" s="6" t="str">
        <f>HYPERLINK("http://mcgill.on.worldcat.org/oclc/6091520","Catalog Record")</f>
        <v>Catalog Record</v>
      </c>
      <c r="AW3959" s="6" t="str">
        <f>HYPERLINK("http://www.worldcat.org/oclc/6091520","WorldCat Record")</f>
        <v>WorldCat Record</v>
      </c>
      <c r="AX3959" s="3" t="s">
        <v>39390</v>
      </c>
      <c r="AY3959" s="3" t="s">
        <v>39391</v>
      </c>
      <c r="AZ3959" s="3" t="s">
        <v>39392</v>
      </c>
      <c r="BA3959" s="3" t="s">
        <v>39392</v>
      </c>
      <c r="BB3959" s="3" t="s">
        <v>39393</v>
      </c>
      <c r="BC3959" s="3" t="s">
        <v>77</v>
      </c>
      <c r="BD3959" s="3" t="s">
        <v>78</v>
      </c>
      <c r="BF3959" s="3" t="s">
        <v>39393</v>
      </c>
      <c r="BG3959" s="3" t="s">
        <v>39394</v>
      </c>
    </row>
    <row r="3960" spans="1:59" ht="58" x14ac:dyDescent="0.35">
      <c r="A3960" s="2" t="s">
        <v>59</v>
      </c>
      <c r="B3960" s="2" t="s">
        <v>60</v>
      </c>
      <c r="C3960" s="2" t="s">
        <v>39395</v>
      </c>
      <c r="D3960" s="2" t="s">
        <v>39396</v>
      </c>
      <c r="E3960" s="2" t="s">
        <v>39397</v>
      </c>
      <c r="G3960" s="3" t="s">
        <v>65</v>
      </c>
      <c r="I3960" s="3" t="s">
        <v>65</v>
      </c>
      <c r="J3960" s="3" t="s">
        <v>65</v>
      </c>
      <c r="K3960" s="3" t="s">
        <v>66</v>
      </c>
      <c r="L3960" s="2" t="s">
        <v>30765</v>
      </c>
      <c r="M3960" s="2" t="s">
        <v>39398</v>
      </c>
      <c r="N3960" s="3" t="s">
        <v>311</v>
      </c>
      <c r="P3960" s="3" t="s">
        <v>140</v>
      </c>
      <c r="Q3960" s="2" t="s">
        <v>39399</v>
      </c>
      <c r="R3960" s="3" t="s">
        <v>71</v>
      </c>
      <c r="S3960" s="4">
        <v>6</v>
      </c>
      <c r="T3960" s="4">
        <v>6</v>
      </c>
      <c r="U3960" s="5" t="s">
        <v>39257</v>
      </c>
      <c r="V3960" s="5" t="s">
        <v>39257</v>
      </c>
      <c r="W3960" s="5" t="s">
        <v>72</v>
      </c>
      <c r="X3960" s="5" t="s">
        <v>72</v>
      </c>
      <c r="Y3960" s="4">
        <v>46</v>
      </c>
      <c r="Z3960" s="4">
        <v>5</v>
      </c>
      <c r="AA3960" s="4">
        <v>9</v>
      </c>
      <c r="AB3960" s="4">
        <v>1</v>
      </c>
      <c r="AC3960" s="4">
        <v>1</v>
      </c>
      <c r="AD3960" s="4">
        <v>20</v>
      </c>
      <c r="AE3960" s="4">
        <v>49</v>
      </c>
      <c r="AF3960" s="4">
        <v>0</v>
      </c>
      <c r="AG3960" s="4">
        <v>0</v>
      </c>
      <c r="AH3960" s="4">
        <v>20</v>
      </c>
      <c r="AI3960" s="4">
        <v>48</v>
      </c>
      <c r="AJ3960" s="4">
        <v>2</v>
      </c>
      <c r="AK3960" s="4">
        <v>6</v>
      </c>
      <c r="AL3960" s="4">
        <v>12</v>
      </c>
      <c r="AM3960" s="4">
        <v>25</v>
      </c>
      <c r="AN3960" s="4">
        <v>0</v>
      </c>
      <c r="AO3960" s="4">
        <v>5</v>
      </c>
      <c r="AP3960" s="4">
        <v>2</v>
      </c>
      <c r="AQ3960" s="4">
        <v>6</v>
      </c>
      <c r="AR3960" s="3" t="s">
        <v>65</v>
      </c>
      <c r="AS3960" s="3" t="s">
        <v>65</v>
      </c>
      <c r="AT3960" s="3" t="s">
        <v>209</v>
      </c>
      <c r="AU3960" s="6" t="str">
        <f>HYPERLINK("http://catalog.hathitrust.org/Record/001219981","HathiTrust Record")</f>
        <v>HathiTrust Record</v>
      </c>
      <c r="AV3960" s="6" t="str">
        <f>HYPERLINK("http://mcgill.on.worldcat.org/oclc/6475532","Catalog Record")</f>
        <v>Catalog Record</v>
      </c>
      <c r="AW3960" s="6" t="str">
        <f>HYPERLINK("http://www.worldcat.org/oclc/6475532","WorldCat Record")</f>
        <v>WorldCat Record</v>
      </c>
      <c r="AX3960" s="3" t="s">
        <v>39400</v>
      </c>
      <c r="AY3960" s="3" t="s">
        <v>39401</v>
      </c>
      <c r="AZ3960" s="3" t="s">
        <v>39402</v>
      </c>
      <c r="BA3960" s="3" t="s">
        <v>39402</v>
      </c>
      <c r="BB3960" s="3" t="s">
        <v>39403</v>
      </c>
      <c r="BC3960" s="3" t="s">
        <v>77</v>
      </c>
      <c r="BD3960" s="3" t="s">
        <v>78</v>
      </c>
      <c r="BF3960" s="3" t="s">
        <v>39403</v>
      </c>
      <c r="BG3960" s="3" t="s">
        <v>39404</v>
      </c>
    </row>
    <row r="3961" spans="1:59" ht="58" x14ac:dyDescent="0.35">
      <c r="A3961" s="2" t="s">
        <v>59</v>
      </c>
      <c r="B3961" s="2" t="s">
        <v>60</v>
      </c>
      <c r="C3961" s="2" t="s">
        <v>39405</v>
      </c>
      <c r="D3961" s="2" t="s">
        <v>39406</v>
      </c>
      <c r="E3961" s="2" t="s">
        <v>39407</v>
      </c>
      <c r="G3961" s="3" t="s">
        <v>65</v>
      </c>
      <c r="I3961" s="3" t="s">
        <v>65</v>
      </c>
      <c r="J3961" s="3" t="s">
        <v>65</v>
      </c>
      <c r="K3961" s="3" t="s">
        <v>66</v>
      </c>
      <c r="L3961" s="2" t="s">
        <v>30765</v>
      </c>
      <c r="M3961" s="2" t="s">
        <v>39408</v>
      </c>
      <c r="N3961" s="3" t="s">
        <v>113</v>
      </c>
      <c r="P3961" s="3" t="s">
        <v>69</v>
      </c>
      <c r="Q3961" s="2" t="s">
        <v>25016</v>
      </c>
      <c r="R3961" s="3" t="s">
        <v>71</v>
      </c>
      <c r="S3961" s="4">
        <v>3</v>
      </c>
      <c r="T3961" s="4">
        <v>3</v>
      </c>
      <c r="U3961" s="5" t="s">
        <v>16795</v>
      </c>
      <c r="V3961" s="5" t="s">
        <v>16795</v>
      </c>
      <c r="W3961" s="5" t="s">
        <v>72</v>
      </c>
      <c r="X3961" s="5" t="s">
        <v>72</v>
      </c>
      <c r="Y3961" s="4">
        <v>63</v>
      </c>
      <c r="Z3961" s="4">
        <v>3</v>
      </c>
      <c r="AA3961" s="4">
        <v>3</v>
      </c>
      <c r="AB3961" s="4">
        <v>1</v>
      </c>
      <c r="AC3961" s="4">
        <v>1</v>
      </c>
      <c r="AD3961" s="4">
        <v>34</v>
      </c>
      <c r="AE3961" s="4">
        <v>34</v>
      </c>
      <c r="AF3961" s="4">
        <v>0</v>
      </c>
      <c r="AG3961" s="4">
        <v>0</v>
      </c>
      <c r="AH3961" s="4">
        <v>32</v>
      </c>
      <c r="AI3961" s="4">
        <v>32</v>
      </c>
      <c r="AJ3961" s="4">
        <v>2</v>
      </c>
      <c r="AK3961" s="4">
        <v>2</v>
      </c>
      <c r="AL3961" s="4">
        <v>25</v>
      </c>
      <c r="AM3961" s="4">
        <v>25</v>
      </c>
      <c r="AN3961" s="4">
        <v>0</v>
      </c>
      <c r="AO3961" s="4">
        <v>0</v>
      </c>
      <c r="AP3961" s="4">
        <v>2</v>
      </c>
      <c r="AQ3961" s="4">
        <v>2</v>
      </c>
      <c r="AR3961" s="3" t="s">
        <v>65</v>
      </c>
      <c r="AS3961" s="3" t="s">
        <v>65</v>
      </c>
      <c r="AT3961" s="3" t="s">
        <v>65</v>
      </c>
      <c r="AV3961" s="6" t="str">
        <f>HYPERLINK("http://mcgill.on.worldcat.org/oclc/693519375","Catalog Record")</f>
        <v>Catalog Record</v>
      </c>
      <c r="AW3961" s="6" t="str">
        <f>HYPERLINK("http://www.worldcat.org/oclc/693519375","WorldCat Record")</f>
        <v>WorldCat Record</v>
      </c>
      <c r="AX3961" s="3" t="s">
        <v>39409</v>
      </c>
      <c r="AY3961" s="3" t="s">
        <v>39410</v>
      </c>
      <c r="AZ3961" s="3" t="s">
        <v>39411</v>
      </c>
      <c r="BA3961" s="3" t="s">
        <v>39411</v>
      </c>
      <c r="BB3961" s="3" t="s">
        <v>39412</v>
      </c>
      <c r="BC3961" s="3" t="s">
        <v>77</v>
      </c>
      <c r="BD3961" s="3" t="s">
        <v>78</v>
      </c>
      <c r="BE3961" s="3" t="s">
        <v>39413</v>
      </c>
      <c r="BF3961" s="3" t="s">
        <v>39412</v>
      </c>
      <c r="BG3961" s="3" t="s">
        <v>39414</v>
      </c>
    </row>
    <row r="3962" spans="1:59" ht="58" x14ac:dyDescent="0.35">
      <c r="A3962" s="2" t="s">
        <v>59</v>
      </c>
      <c r="B3962" s="2" t="s">
        <v>60</v>
      </c>
      <c r="C3962" s="2" t="s">
        <v>39415</v>
      </c>
      <c r="D3962" s="2" t="s">
        <v>39416</v>
      </c>
      <c r="E3962" s="2" t="s">
        <v>39417</v>
      </c>
      <c r="G3962" s="3" t="s">
        <v>65</v>
      </c>
      <c r="I3962" s="3" t="s">
        <v>65</v>
      </c>
      <c r="J3962" s="3" t="s">
        <v>65</v>
      </c>
      <c r="K3962" s="3" t="s">
        <v>66</v>
      </c>
      <c r="L3962" s="2" t="s">
        <v>30765</v>
      </c>
      <c r="M3962" s="2" t="s">
        <v>23331</v>
      </c>
      <c r="N3962" s="3" t="s">
        <v>1109</v>
      </c>
      <c r="P3962" s="3" t="s">
        <v>140</v>
      </c>
      <c r="Q3962" s="2" t="s">
        <v>39418</v>
      </c>
      <c r="R3962" s="3" t="s">
        <v>71</v>
      </c>
      <c r="S3962" s="4">
        <v>7</v>
      </c>
      <c r="T3962" s="4">
        <v>7</v>
      </c>
      <c r="U3962" s="5" t="s">
        <v>17511</v>
      </c>
      <c r="V3962" s="5" t="s">
        <v>17511</v>
      </c>
      <c r="W3962" s="5" t="s">
        <v>72</v>
      </c>
      <c r="X3962" s="5" t="s">
        <v>72</v>
      </c>
      <c r="Y3962" s="4">
        <v>140</v>
      </c>
      <c r="Z3962" s="4">
        <v>10</v>
      </c>
      <c r="AA3962" s="4">
        <v>15</v>
      </c>
      <c r="AB3962" s="4">
        <v>1</v>
      </c>
      <c r="AC3962" s="4">
        <v>2</v>
      </c>
      <c r="AD3962" s="4">
        <v>53</v>
      </c>
      <c r="AE3962" s="4">
        <v>85</v>
      </c>
      <c r="AF3962" s="4">
        <v>0</v>
      </c>
      <c r="AG3962" s="4">
        <v>1</v>
      </c>
      <c r="AH3962" s="4">
        <v>48</v>
      </c>
      <c r="AI3962" s="4">
        <v>79</v>
      </c>
      <c r="AJ3962" s="4">
        <v>8</v>
      </c>
      <c r="AK3962" s="4">
        <v>11</v>
      </c>
      <c r="AL3962" s="4">
        <v>32</v>
      </c>
      <c r="AM3962" s="4">
        <v>50</v>
      </c>
      <c r="AN3962" s="4">
        <v>0</v>
      </c>
      <c r="AO3962" s="4">
        <v>0</v>
      </c>
      <c r="AP3962" s="4">
        <v>8</v>
      </c>
      <c r="AQ3962" s="4">
        <v>11</v>
      </c>
      <c r="AR3962" s="3" t="s">
        <v>65</v>
      </c>
      <c r="AS3962" s="3" t="s">
        <v>65</v>
      </c>
      <c r="AT3962" s="3" t="s">
        <v>209</v>
      </c>
      <c r="AU3962" s="6" t="str">
        <f>HYPERLINK("http://catalog.hathitrust.org/Record/000025397","HathiTrust Record")</f>
        <v>HathiTrust Record</v>
      </c>
      <c r="AV3962" s="6" t="str">
        <f>HYPERLINK("http://mcgill.on.worldcat.org/oclc/1428731","Catalog Record")</f>
        <v>Catalog Record</v>
      </c>
      <c r="AW3962" s="6" t="str">
        <f>HYPERLINK("http://www.worldcat.org/oclc/1428731","WorldCat Record")</f>
        <v>WorldCat Record</v>
      </c>
      <c r="AX3962" s="3" t="s">
        <v>39419</v>
      </c>
      <c r="AY3962" s="3" t="s">
        <v>39420</v>
      </c>
      <c r="AZ3962" s="3" t="s">
        <v>39421</v>
      </c>
      <c r="BA3962" s="3" t="s">
        <v>39421</v>
      </c>
      <c r="BB3962" s="3" t="s">
        <v>39422</v>
      </c>
      <c r="BC3962" s="3" t="s">
        <v>77</v>
      </c>
      <c r="BD3962" s="3" t="s">
        <v>78</v>
      </c>
      <c r="BF3962" s="3" t="s">
        <v>39422</v>
      </c>
      <c r="BG3962" s="3" t="s">
        <v>39423</v>
      </c>
    </row>
    <row r="3963" spans="1:59" ht="58" x14ac:dyDescent="0.35">
      <c r="A3963" s="2" t="s">
        <v>59</v>
      </c>
      <c r="B3963" s="2" t="s">
        <v>60</v>
      </c>
      <c r="C3963" s="2" t="s">
        <v>39424</v>
      </c>
      <c r="D3963" s="2" t="s">
        <v>39425</v>
      </c>
      <c r="E3963" s="2" t="s">
        <v>39426</v>
      </c>
      <c r="G3963" s="3" t="s">
        <v>65</v>
      </c>
      <c r="I3963" s="3" t="s">
        <v>209</v>
      </c>
      <c r="J3963" s="3" t="s">
        <v>65</v>
      </c>
      <c r="K3963" s="3" t="s">
        <v>66</v>
      </c>
      <c r="L3963" s="2" t="s">
        <v>30765</v>
      </c>
      <c r="M3963" s="2" t="s">
        <v>39427</v>
      </c>
      <c r="N3963" s="3" t="s">
        <v>5961</v>
      </c>
      <c r="P3963" s="3" t="s">
        <v>69</v>
      </c>
      <c r="R3963" s="3" t="s">
        <v>71</v>
      </c>
      <c r="S3963" s="4">
        <v>6</v>
      </c>
      <c r="T3963" s="4">
        <v>12</v>
      </c>
      <c r="U3963" s="5" t="s">
        <v>16795</v>
      </c>
      <c r="V3963" s="5" t="s">
        <v>16795</v>
      </c>
      <c r="W3963" s="5" t="s">
        <v>72</v>
      </c>
      <c r="X3963" s="5" t="s">
        <v>72</v>
      </c>
      <c r="Y3963" s="4">
        <v>390</v>
      </c>
      <c r="Z3963" s="4">
        <v>17</v>
      </c>
      <c r="AA3963" s="4">
        <v>19</v>
      </c>
      <c r="AB3963" s="4">
        <v>1</v>
      </c>
      <c r="AC3963" s="4">
        <v>1</v>
      </c>
      <c r="AD3963" s="4">
        <v>88</v>
      </c>
      <c r="AE3963" s="4">
        <v>94</v>
      </c>
      <c r="AF3963" s="4">
        <v>0</v>
      </c>
      <c r="AG3963" s="4">
        <v>0</v>
      </c>
      <c r="AH3963" s="4">
        <v>78</v>
      </c>
      <c r="AI3963" s="4">
        <v>82</v>
      </c>
      <c r="AJ3963" s="4">
        <v>10</v>
      </c>
      <c r="AK3963" s="4">
        <v>12</v>
      </c>
      <c r="AL3963" s="4">
        <v>49</v>
      </c>
      <c r="AM3963" s="4">
        <v>52</v>
      </c>
      <c r="AN3963" s="4">
        <v>0</v>
      </c>
      <c r="AO3963" s="4">
        <v>0</v>
      </c>
      <c r="AP3963" s="4">
        <v>10</v>
      </c>
      <c r="AQ3963" s="4">
        <v>12</v>
      </c>
      <c r="AR3963" s="3" t="s">
        <v>65</v>
      </c>
      <c r="AS3963" s="3" t="s">
        <v>65</v>
      </c>
      <c r="AT3963" s="3" t="s">
        <v>65</v>
      </c>
      <c r="AV3963" s="6" t="str">
        <f>HYPERLINK("http://mcgill.on.worldcat.org/oclc/18292156","Catalog Record")</f>
        <v>Catalog Record</v>
      </c>
      <c r="AW3963" s="6" t="str">
        <f>HYPERLINK("http://www.worldcat.org/oclc/18292156","WorldCat Record")</f>
        <v>WorldCat Record</v>
      </c>
      <c r="AX3963" s="3" t="s">
        <v>39428</v>
      </c>
      <c r="AY3963" s="3" t="s">
        <v>39429</v>
      </c>
      <c r="AZ3963" s="3" t="s">
        <v>39430</v>
      </c>
      <c r="BA3963" s="3" t="s">
        <v>39430</v>
      </c>
      <c r="BB3963" s="3" t="s">
        <v>39431</v>
      </c>
      <c r="BC3963" s="3" t="s">
        <v>77</v>
      </c>
      <c r="BD3963" s="3" t="s">
        <v>78</v>
      </c>
      <c r="BE3963" s="3" t="s">
        <v>39432</v>
      </c>
      <c r="BF3963" s="3" t="s">
        <v>39431</v>
      </c>
      <c r="BG3963" s="3" t="s">
        <v>39433</v>
      </c>
    </row>
    <row r="3964" spans="1:59" ht="58" x14ac:dyDescent="0.35">
      <c r="A3964" s="2" t="s">
        <v>59</v>
      </c>
      <c r="B3964" s="2" t="s">
        <v>60</v>
      </c>
      <c r="C3964" s="2" t="s">
        <v>39424</v>
      </c>
      <c r="D3964" s="2" t="s">
        <v>39425</v>
      </c>
      <c r="E3964" s="2" t="s">
        <v>39426</v>
      </c>
      <c r="G3964" s="3" t="s">
        <v>65</v>
      </c>
      <c r="I3964" s="3" t="s">
        <v>209</v>
      </c>
      <c r="J3964" s="3" t="s">
        <v>65</v>
      </c>
      <c r="K3964" s="3" t="s">
        <v>66</v>
      </c>
      <c r="L3964" s="2" t="s">
        <v>30765</v>
      </c>
      <c r="M3964" s="2" t="s">
        <v>39427</v>
      </c>
      <c r="N3964" s="3" t="s">
        <v>5961</v>
      </c>
      <c r="P3964" s="3" t="s">
        <v>69</v>
      </c>
      <c r="R3964" s="3" t="s">
        <v>71</v>
      </c>
      <c r="S3964" s="4">
        <v>6</v>
      </c>
      <c r="T3964" s="4">
        <v>12</v>
      </c>
      <c r="U3964" s="5" t="s">
        <v>39434</v>
      </c>
      <c r="V3964" s="5" t="s">
        <v>16795</v>
      </c>
      <c r="W3964" s="5" t="s">
        <v>72</v>
      </c>
      <c r="X3964" s="5" t="s">
        <v>72</v>
      </c>
      <c r="Y3964" s="4">
        <v>390</v>
      </c>
      <c r="Z3964" s="4">
        <v>17</v>
      </c>
      <c r="AA3964" s="4">
        <v>19</v>
      </c>
      <c r="AB3964" s="4">
        <v>1</v>
      </c>
      <c r="AC3964" s="4">
        <v>1</v>
      </c>
      <c r="AD3964" s="4">
        <v>88</v>
      </c>
      <c r="AE3964" s="4">
        <v>94</v>
      </c>
      <c r="AF3964" s="4">
        <v>0</v>
      </c>
      <c r="AG3964" s="4">
        <v>0</v>
      </c>
      <c r="AH3964" s="4">
        <v>78</v>
      </c>
      <c r="AI3964" s="4">
        <v>82</v>
      </c>
      <c r="AJ3964" s="4">
        <v>10</v>
      </c>
      <c r="AK3964" s="4">
        <v>12</v>
      </c>
      <c r="AL3964" s="4">
        <v>49</v>
      </c>
      <c r="AM3964" s="4">
        <v>52</v>
      </c>
      <c r="AN3964" s="4">
        <v>0</v>
      </c>
      <c r="AO3964" s="4">
        <v>0</v>
      </c>
      <c r="AP3964" s="4">
        <v>10</v>
      </c>
      <c r="AQ3964" s="4">
        <v>12</v>
      </c>
      <c r="AR3964" s="3" t="s">
        <v>65</v>
      </c>
      <c r="AS3964" s="3" t="s">
        <v>65</v>
      </c>
      <c r="AT3964" s="3" t="s">
        <v>65</v>
      </c>
      <c r="AV3964" s="6" t="str">
        <f>HYPERLINK("http://mcgill.on.worldcat.org/oclc/18292156","Catalog Record")</f>
        <v>Catalog Record</v>
      </c>
      <c r="AW3964" s="6" t="str">
        <f>HYPERLINK("http://www.worldcat.org/oclc/18292156","WorldCat Record")</f>
        <v>WorldCat Record</v>
      </c>
      <c r="AX3964" s="3" t="s">
        <v>39428</v>
      </c>
      <c r="AY3964" s="3" t="s">
        <v>39429</v>
      </c>
      <c r="AZ3964" s="3" t="s">
        <v>39430</v>
      </c>
      <c r="BA3964" s="3" t="s">
        <v>39430</v>
      </c>
      <c r="BB3964" s="3" t="s">
        <v>39435</v>
      </c>
      <c r="BC3964" s="3" t="s">
        <v>77</v>
      </c>
      <c r="BD3964" s="3" t="s">
        <v>78</v>
      </c>
      <c r="BE3964" s="3" t="s">
        <v>39432</v>
      </c>
      <c r="BF3964" s="3" t="s">
        <v>39435</v>
      </c>
      <c r="BG3964" s="3" t="s">
        <v>39436</v>
      </c>
    </row>
    <row r="3965" spans="1:59" ht="72.5" x14ac:dyDescent="0.35">
      <c r="A3965" s="2" t="s">
        <v>59</v>
      </c>
      <c r="B3965" s="2" t="s">
        <v>60</v>
      </c>
      <c r="C3965" s="2" t="s">
        <v>39437</v>
      </c>
      <c r="D3965" s="2" t="s">
        <v>39438</v>
      </c>
      <c r="E3965" s="2" t="s">
        <v>39439</v>
      </c>
      <c r="G3965" s="3" t="s">
        <v>65</v>
      </c>
      <c r="I3965" s="3" t="s">
        <v>65</v>
      </c>
      <c r="J3965" s="3" t="s">
        <v>65</v>
      </c>
      <c r="K3965" s="3" t="s">
        <v>66</v>
      </c>
      <c r="L3965" s="2" t="s">
        <v>30388</v>
      </c>
      <c r="M3965" s="2" t="s">
        <v>39440</v>
      </c>
      <c r="N3965" s="3" t="s">
        <v>152</v>
      </c>
      <c r="P3965" s="3" t="s">
        <v>616</v>
      </c>
      <c r="R3965" s="3" t="s">
        <v>71</v>
      </c>
      <c r="S3965" s="4">
        <v>0</v>
      </c>
      <c r="T3965" s="4">
        <v>0</v>
      </c>
      <c r="W3965" s="5" t="s">
        <v>72</v>
      </c>
      <c r="X3965" s="5" t="s">
        <v>72</v>
      </c>
      <c r="Y3965" s="4">
        <v>2</v>
      </c>
      <c r="Z3965" s="4">
        <v>2</v>
      </c>
      <c r="AA3965" s="4">
        <v>3</v>
      </c>
      <c r="AB3965" s="4">
        <v>2</v>
      </c>
      <c r="AC3965" s="4">
        <v>3</v>
      </c>
      <c r="AD3965" s="4">
        <v>1</v>
      </c>
      <c r="AE3965" s="4">
        <v>1</v>
      </c>
      <c r="AF3965" s="4">
        <v>1</v>
      </c>
      <c r="AG3965" s="4">
        <v>1</v>
      </c>
      <c r="AH3965" s="4">
        <v>0</v>
      </c>
      <c r="AI3965" s="4">
        <v>0</v>
      </c>
      <c r="AJ3965" s="4">
        <v>1</v>
      </c>
      <c r="AK3965" s="4">
        <v>1</v>
      </c>
      <c r="AL3965" s="4">
        <v>0</v>
      </c>
      <c r="AM3965" s="4">
        <v>0</v>
      </c>
      <c r="AN3965" s="4">
        <v>0</v>
      </c>
      <c r="AO3965" s="4">
        <v>0</v>
      </c>
      <c r="AP3965" s="4">
        <v>1</v>
      </c>
      <c r="AQ3965" s="4">
        <v>1</v>
      </c>
      <c r="AR3965" s="3" t="s">
        <v>65</v>
      </c>
      <c r="AS3965" s="3" t="s">
        <v>65</v>
      </c>
      <c r="AT3965" s="3" t="s">
        <v>65</v>
      </c>
      <c r="AV3965" s="6" t="str">
        <f>HYPERLINK("http://mcgill.on.worldcat.org/oclc/829087816","Catalog Record")</f>
        <v>Catalog Record</v>
      </c>
      <c r="AW3965" s="6" t="str">
        <f>HYPERLINK("http://www.worldcat.org/oclc/829087816","WorldCat Record")</f>
        <v>WorldCat Record</v>
      </c>
      <c r="AX3965" s="3" t="s">
        <v>39441</v>
      </c>
      <c r="AY3965" s="3" t="s">
        <v>39442</v>
      </c>
      <c r="AZ3965" s="3" t="s">
        <v>39443</v>
      </c>
      <c r="BA3965" s="3" t="s">
        <v>39443</v>
      </c>
      <c r="BB3965" s="3" t="s">
        <v>39444</v>
      </c>
      <c r="BC3965" s="3" t="s">
        <v>77</v>
      </c>
      <c r="BD3965" s="3" t="s">
        <v>78</v>
      </c>
      <c r="BE3965" s="3" t="s">
        <v>39445</v>
      </c>
      <c r="BF3965" s="3" t="s">
        <v>39444</v>
      </c>
      <c r="BG3965" s="3" t="s">
        <v>39446</v>
      </c>
    </row>
    <row r="3966" spans="1:59" ht="58" x14ac:dyDescent="0.35">
      <c r="A3966" s="2" t="s">
        <v>59</v>
      </c>
      <c r="B3966" s="2" t="s">
        <v>60</v>
      </c>
      <c r="C3966" s="2" t="s">
        <v>39447</v>
      </c>
      <c r="D3966" s="2" t="s">
        <v>39448</v>
      </c>
      <c r="E3966" s="2" t="s">
        <v>39449</v>
      </c>
      <c r="G3966" s="3" t="s">
        <v>65</v>
      </c>
      <c r="I3966" s="3" t="s">
        <v>65</v>
      </c>
      <c r="J3966" s="3" t="s">
        <v>65</v>
      </c>
      <c r="K3966" s="3" t="s">
        <v>66</v>
      </c>
      <c r="M3966" s="2" t="s">
        <v>21232</v>
      </c>
      <c r="N3966" s="3" t="s">
        <v>139</v>
      </c>
      <c r="P3966" s="3" t="s">
        <v>140</v>
      </c>
      <c r="Q3966" s="2" t="s">
        <v>39450</v>
      </c>
      <c r="R3966" s="3" t="s">
        <v>71</v>
      </c>
      <c r="S3966" s="4">
        <v>0</v>
      </c>
      <c r="T3966" s="4">
        <v>0</v>
      </c>
      <c r="U3966" s="5" t="s">
        <v>2061</v>
      </c>
      <c r="V3966" s="5" t="s">
        <v>2061</v>
      </c>
      <c r="W3966" s="5" t="s">
        <v>72</v>
      </c>
      <c r="X3966" s="5" t="s">
        <v>72</v>
      </c>
      <c r="Y3966" s="4">
        <v>27</v>
      </c>
      <c r="Z3966" s="4">
        <v>2</v>
      </c>
      <c r="AA3966" s="4">
        <v>2</v>
      </c>
      <c r="AB3966" s="4">
        <v>1</v>
      </c>
      <c r="AC3966" s="4">
        <v>1</v>
      </c>
      <c r="AD3966" s="4">
        <v>14</v>
      </c>
      <c r="AE3966" s="4">
        <v>14</v>
      </c>
      <c r="AF3966" s="4">
        <v>0</v>
      </c>
      <c r="AG3966" s="4">
        <v>0</v>
      </c>
      <c r="AH3966" s="4">
        <v>13</v>
      </c>
      <c r="AI3966" s="4">
        <v>13</v>
      </c>
      <c r="AJ3966" s="4">
        <v>1</v>
      </c>
      <c r="AK3966" s="4">
        <v>1</v>
      </c>
      <c r="AL3966" s="4">
        <v>10</v>
      </c>
      <c r="AM3966" s="4">
        <v>10</v>
      </c>
      <c r="AN3966" s="4">
        <v>0</v>
      </c>
      <c r="AO3966" s="4">
        <v>0</v>
      </c>
      <c r="AP3966" s="4">
        <v>1</v>
      </c>
      <c r="AQ3966" s="4">
        <v>1</v>
      </c>
      <c r="AR3966" s="3" t="s">
        <v>65</v>
      </c>
      <c r="AS3966" s="3" t="s">
        <v>65</v>
      </c>
      <c r="AT3966" s="3" t="s">
        <v>65</v>
      </c>
      <c r="AV3966" s="6" t="str">
        <f>HYPERLINK("http://mcgill.on.worldcat.org/oclc/846460188","Catalog Record")</f>
        <v>Catalog Record</v>
      </c>
      <c r="AW3966" s="6" t="str">
        <f>HYPERLINK("http://www.worldcat.org/oclc/846460188","WorldCat Record")</f>
        <v>WorldCat Record</v>
      </c>
      <c r="AX3966" s="3" t="s">
        <v>39451</v>
      </c>
      <c r="AY3966" s="3" t="s">
        <v>39452</v>
      </c>
      <c r="AZ3966" s="3" t="s">
        <v>39453</v>
      </c>
      <c r="BA3966" s="3" t="s">
        <v>39453</v>
      </c>
      <c r="BB3966" s="3" t="s">
        <v>39454</v>
      </c>
      <c r="BC3966" s="3" t="s">
        <v>77</v>
      </c>
      <c r="BD3966" s="3" t="s">
        <v>78</v>
      </c>
      <c r="BE3966" s="3" t="s">
        <v>39455</v>
      </c>
      <c r="BF3966" s="3" t="s">
        <v>39454</v>
      </c>
      <c r="BG3966" s="3" t="s">
        <v>39456</v>
      </c>
    </row>
    <row r="3967" spans="1:59" ht="58" x14ac:dyDescent="0.35">
      <c r="A3967" s="2" t="s">
        <v>59</v>
      </c>
      <c r="B3967" s="2" t="s">
        <v>60</v>
      </c>
      <c r="C3967" s="2" t="s">
        <v>39457</v>
      </c>
      <c r="D3967" s="2" t="s">
        <v>39458</v>
      </c>
      <c r="E3967" s="2" t="s">
        <v>39459</v>
      </c>
      <c r="G3967" s="3" t="s">
        <v>65</v>
      </c>
      <c r="I3967" s="3" t="s">
        <v>65</v>
      </c>
      <c r="J3967" s="3" t="s">
        <v>65</v>
      </c>
      <c r="K3967" s="3" t="s">
        <v>66</v>
      </c>
      <c r="L3967" s="2" t="s">
        <v>39460</v>
      </c>
      <c r="M3967" s="2" t="s">
        <v>32338</v>
      </c>
      <c r="N3967" s="3" t="s">
        <v>1085</v>
      </c>
      <c r="P3967" s="3" t="s">
        <v>69</v>
      </c>
      <c r="Q3967" s="2" t="s">
        <v>26653</v>
      </c>
      <c r="R3967" s="3" t="s">
        <v>71</v>
      </c>
      <c r="S3967" s="4">
        <v>5</v>
      </c>
      <c r="T3967" s="4">
        <v>5</v>
      </c>
      <c r="U3967" s="5" t="s">
        <v>6227</v>
      </c>
      <c r="V3967" s="5" t="s">
        <v>6227</v>
      </c>
      <c r="W3967" s="5" t="s">
        <v>72</v>
      </c>
      <c r="X3967" s="5" t="s">
        <v>72</v>
      </c>
      <c r="Y3967" s="4">
        <v>61</v>
      </c>
      <c r="Z3967" s="4">
        <v>6</v>
      </c>
      <c r="AA3967" s="4">
        <v>6</v>
      </c>
      <c r="AB3967" s="4">
        <v>2</v>
      </c>
      <c r="AC3967" s="4">
        <v>2</v>
      </c>
      <c r="AD3967" s="4">
        <v>17</v>
      </c>
      <c r="AE3967" s="4">
        <v>17</v>
      </c>
      <c r="AF3967" s="4">
        <v>0</v>
      </c>
      <c r="AG3967" s="4">
        <v>0</v>
      </c>
      <c r="AH3967" s="4">
        <v>15</v>
      </c>
      <c r="AI3967" s="4">
        <v>15</v>
      </c>
      <c r="AJ3967" s="4">
        <v>3</v>
      </c>
      <c r="AK3967" s="4">
        <v>3</v>
      </c>
      <c r="AL3967" s="4">
        <v>12</v>
      </c>
      <c r="AM3967" s="4">
        <v>12</v>
      </c>
      <c r="AN3967" s="4">
        <v>0</v>
      </c>
      <c r="AO3967" s="4">
        <v>0</v>
      </c>
      <c r="AP3967" s="4">
        <v>3</v>
      </c>
      <c r="AQ3967" s="4">
        <v>3</v>
      </c>
      <c r="AR3967" s="3" t="s">
        <v>65</v>
      </c>
      <c r="AS3967" s="3" t="s">
        <v>65</v>
      </c>
      <c r="AT3967" s="3" t="s">
        <v>65</v>
      </c>
      <c r="AV3967" s="6" t="str">
        <f>HYPERLINK("http://mcgill.on.worldcat.org/oclc/35318590","Catalog Record")</f>
        <v>Catalog Record</v>
      </c>
      <c r="AW3967" s="6" t="str">
        <f>HYPERLINK("http://www.worldcat.org/oclc/35318590","WorldCat Record")</f>
        <v>WorldCat Record</v>
      </c>
      <c r="AX3967" s="3" t="s">
        <v>39461</v>
      </c>
      <c r="AY3967" s="3" t="s">
        <v>39462</v>
      </c>
      <c r="AZ3967" s="3" t="s">
        <v>39463</v>
      </c>
      <c r="BA3967" s="3" t="s">
        <v>39463</v>
      </c>
      <c r="BB3967" s="3" t="s">
        <v>39464</v>
      </c>
      <c r="BC3967" s="3" t="s">
        <v>77</v>
      </c>
      <c r="BD3967" s="3" t="s">
        <v>78</v>
      </c>
      <c r="BE3967" s="3" t="s">
        <v>39465</v>
      </c>
      <c r="BF3967" s="3" t="s">
        <v>39464</v>
      </c>
      <c r="BG3967" s="3" t="s">
        <v>39466</v>
      </c>
    </row>
    <row r="3968" spans="1:59" ht="58" x14ac:dyDescent="0.35">
      <c r="A3968" s="2" t="s">
        <v>59</v>
      </c>
      <c r="B3968" s="2" t="s">
        <v>60</v>
      </c>
      <c r="C3968" s="2" t="s">
        <v>39467</v>
      </c>
      <c r="D3968" s="2" t="s">
        <v>39468</v>
      </c>
      <c r="E3968" s="2" t="s">
        <v>39469</v>
      </c>
      <c r="G3968" s="3" t="s">
        <v>65</v>
      </c>
      <c r="I3968" s="3" t="s">
        <v>65</v>
      </c>
      <c r="J3968" s="3" t="s">
        <v>65</v>
      </c>
      <c r="K3968" s="3" t="s">
        <v>66</v>
      </c>
      <c r="L3968" s="2" t="s">
        <v>39470</v>
      </c>
      <c r="M3968" s="2" t="s">
        <v>39471</v>
      </c>
      <c r="N3968" s="3" t="s">
        <v>176</v>
      </c>
      <c r="O3968" s="2" t="s">
        <v>379</v>
      </c>
      <c r="P3968" s="3" t="s">
        <v>140</v>
      </c>
      <c r="Q3968" s="2" t="s">
        <v>39472</v>
      </c>
      <c r="R3968" s="3" t="s">
        <v>71</v>
      </c>
      <c r="S3968" s="4">
        <v>0</v>
      </c>
      <c r="T3968" s="4">
        <v>0</v>
      </c>
      <c r="W3968" s="5" t="s">
        <v>72</v>
      </c>
      <c r="X3968" s="5" t="s">
        <v>72</v>
      </c>
      <c r="Y3968" s="4">
        <v>31</v>
      </c>
      <c r="Z3968" s="4">
        <v>5</v>
      </c>
      <c r="AA3968" s="4">
        <v>5</v>
      </c>
      <c r="AB3968" s="4">
        <v>1</v>
      </c>
      <c r="AC3968" s="4">
        <v>1</v>
      </c>
      <c r="AD3968" s="4">
        <v>22</v>
      </c>
      <c r="AE3968" s="4">
        <v>22</v>
      </c>
      <c r="AF3968" s="4">
        <v>0</v>
      </c>
      <c r="AG3968" s="4">
        <v>0</v>
      </c>
      <c r="AH3968" s="4">
        <v>21</v>
      </c>
      <c r="AI3968" s="4">
        <v>21</v>
      </c>
      <c r="AJ3968" s="4">
        <v>3</v>
      </c>
      <c r="AK3968" s="4">
        <v>3</v>
      </c>
      <c r="AL3968" s="4">
        <v>16</v>
      </c>
      <c r="AM3968" s="4">
        <v>16</v>
      </c>
      <c r="AN3968" s="4">
        <v>0</v>
      </c>
      <c r="AO3968" s="4">
        <v>0</v>
      </c>
      <c r="AP3968" s="4">
        <v>3</v>
      </c>
      <c r="AQ3968" s="4">
        <v>3</v>
      </c>
      <c r="AR3968" s="3" t="s">
        <v>65</v>
      </c>
      <c r="AS3968" s="3" t="s">
        <v>65</v>
      </c>
      <c r="AT3968" s="3" t="s">
        <v>65</v>
      </c>
      <c r="AV3968" s="6" t="str">
        <f>HYPERLINK("http://mcgill.on.worldcat.org/oclc/934408027","Catalog Record")</f>
        <v>Catalog Record</v>
      </c>
      <c r="AW3968" s="6" t="str">
        <f>HYPERLINK("http://www.worldcat.org/oclc/934408027","WorldCat Record")</f>
        <v>WorldCat Record</v>
      </c>
      <c r="AX3968" s="3" t="s">
        <v>39473</v>
      </c>
      <c r="AY3968" s="3" t="s">
        <v>39474</v>
      </c>
      <c r="AZ3968" s="3" t="s">
        <v>39475</v>
      </c>
      <c r="BA3968" s="3" t="s">
        <v>39475</v>
      </c>
      <c r="BB3968" s="3" t="s">
        <v>39476</v>
      </c>
      <c r="BC3968" s="3" t="s">
        <v>77</v>
      </c>
      <c r="BD3968" s="3" t="s">
        <v>78</v>
      </c>
      <c r="BE3968" s="3" t="s">
        <v>39477</v>
      </c>
      <c r="BF3968" s="3" t="s">
        <v>39476</v>
      </c>
      <c r="BG3968" s="3" t="s">
        <v>39478</v>
      </c>
    </row>
    <row r="3969" spans="1:59" ht="58" x14ac:dyDescent="0.35">
      <c r="A3969" s="2" t="s">
        <v>59</v>
      </c>
      <c r="B3969" s="2" t="s">
        <v>60</v>
      </c>
      <c r="C3969" s="2" t="s">
        <v>39479</v>
      </c>
      <c r="D3969" s="2" t="s">
        <v>39480</v>
      </c>
      <c r="E3969" s="2" t="s">
        <v>39481</v>
      </c>
      <c r="G3969" s="3" t="s">
        <v>65</v>
      </c>
      <c r="I3969" s="3" t="s">
        <v>65</v>
      </c>
      <c r="J3969" s="3" t="s">
        <v>65</v>
      </c>
      <c r="K3969" s="3" t="s">
        <v>66</v>
      </c>
      <c r="L3969" s="2" t="s">
        <v>39482</v>
      </c>
      <c r="M3969" s="2" t="s">
        <v>39483</v>
      </c>
      <c r="N3969" s="3" t="s">
        <v>113</v>
      </c>
      <c r="P3969" s="3" t="s">
        <v>140</v>
      </c>
      <c r="R3969" s="3" t="s">
        <v>71</v>
      </c>
      <c r="S3969" s="4">
        <v>0</v>
      </c>
      <c r="T3969" s="4">
        <v>0</v>
      </c>
      <c r="W3969" s="5" t="s">
        <v>72</v>
      </c>
      <c r="X3969" s="5" t="s">
        <v>72</v>
      </c>
      <c r="Y3969" s="4">
        <v>29</v>
      </c>
      <c r="Z3969" s="4">
        <v>4</v>
      </c>
      <c r="AA3969" s="4">
        <v>4</v>
      </c>
      <c r="AB3969" s="4">
        <v>1</v>
      </c>
      <c r="AC3969" s="4">
        <v>1</v>
      </c>
      <c r="AD3969" s="4">
        <v>21</v>
      </c>
      <c r="AE3969" s="4">
        <v>21</v>
      </c>
      <c r="AF3969" s="4">
        <v>0</v>
      </c>
      <c r="AG3969" s="4">
        <v>0</v>
      </c>
      <c r="AH3969" s="4">
        <v>20</v>
      </c>
      <c r="AI3969" s="4">
        <v>20</v>
      </c>
      <c r="AJ3969" s="4">
        <v>2</v>
      </c>
      <c r="AK3969" s="4">
        <v>2</v>
      </c>
      <c r="AL3969" s="4">
        <v>15</v>
      </c>
      <c r="AM3969" s="4">
        <v>15</v>
      </c>
      <c r="AN3969" s="4">
        <v>0</v>
      </c>
      <c r="AO3969" s="4">
        <v>0</v>
      </c>
      <c r="AP3969" s="4">
        <v>2</v>
      </c>
      <c r="AQ3969" s="4">
        <v>2</v>
      </c>
      <c r="AR3969" s="3" t="s">
        <v>65</v>
      </c>
      <c r="AS3969" s="3" t="s">
        <v>65</v>
      </c>
      <c r="AT3969" s="3" t="s">
        <v>65</v>
      </c>
      <c r="AV3969" s="6" t="str">
        <f>HYPERLINK("http://mcgill.on.worldcat.org/oclc/707959197","Catalog Record")</f>
        <v>Catalog Record</v>
      </c>
      <c r="AW3969" s="6" t="str">
        <f>HYPERLINK("http://www.worldcat.org/oclc/707959197","WorldCat Record")</f>
        <v>WorldCat Record</v>
      </c>
      <c r="AX3969" s="3" t="s">
        <v>39484</v>
      </c>
      <c r="AY3969" s="3" t="s">
        <v>39485</v>
      </c>
      <c r="AZ3969" s="3" t="s">
        <v>39486</v>
      </c>
      <c r="BA3969" s="3" t="s">
        <v>39486</v>
      </c>
      <c r="BB3969" s="3" t="s">
        <v>39487</v>
      </c>
      <c r="BC3969" s="3" t="s">
        <v>77</v>
      </c>
      <c r="BD3969" s="3" t="s">
        <v>78</v>
      </c>
      <c r="BE3969" s="3" t="s">
        <v>39488</v>
      </c>
      <c r="BF3969" s="3" t="s">
        <v>39487</v>
      </c>
      <c r="BG3969" s="3" t="s">
        <v>39489</v>
      </c>
    </row>
    <row r="3970" spans="1:59" ht="58" x14ac:dyDescent="0.35">
      <c r="A3970" s="2" t="s">
        <v>59</v>
      </c>
      <c r="B3970" s="2" t="s">
        <v>60</v>
      </c>
      <c r="C3970" s="2" t="s">
        <v>39490</v>
      </c>
      <c r="D3970" s="2" t="s">
        <v>39491</v>
      </c>
      <c r="E3970" s="2" t="s">
        <v>39492</v>
      </c>
      <c r="G3970" s="3" t="s">
        <v>65</v>
      </c>
      <c r="I3970" s="3" t="s">
        <v>65</v>
      </c>
      <c r="J3970" s="3" t="s">
        <v>65</v>
      </c>
      <c r="K3970" s="3" t="s">
        <v>66</v>
      </c>
      <c r="L3970" s="2" t="s">
        <v>39493</v>
      </c>
      <c r="M3970" s="2" t="s">
        <v>39494</v>
      </c>
      <c r="N3970" s="3" t="s">
        <v>1032</v>
      </c>
      <c r="P3970" s="3" t="s">
        <v>69</v>
      </c>
      <c r="Q3970" s="2" t="s">
        <v>5996</v>
      </c>
      <c r="R3970" s="3" t="s">
        <v>71</v>
      </c>
      <c r="S3970" s="4">
        <v>11</v>
      </c>
      <c r="T3970" s="4">
        <v>11</v>
      </c>
      <c r="U3970" s="5" t="s">
        <v>30639</v>
      </c>
      <c r="V3970" s="5" t="s">
        <v>30639</v>
      </c>
      <c r="W3970" s="5" t="s">
        <v>72</v>
      </c>
      <c r="X3970" s="5" t="s">
        <v>72</v>
      </c>
      <c r="Y3970" s="4">
        <v>228</v>
      </c>
      <c r="Z3970" s="4">
        <v>14</v>
      </c>
      <c r="AA3970" s="4">
        <v>16</v>
      </c>
      <c r="AB3970" s="4">
        <v>2</v>
      </c>
      <c r="AC3970" s="4">
        <v>3</v>
      </c>
      <c r="AD3970" s="4">
        <v>86</v>
      </c>
      <c r="AE3970" s="4">
        <v>88</v>
      </c>
      <c r="AF3970" s="4">
        <v>1</v>
      </c>
      <c r="AG3970" s="4">
        <v>2</v>
      </c>
      <c r="AH3970" s="4">
        <v>81</v>
      </c>
      <c r="AI3970" s="4">
        <v>82</v>
      </c>
      <c r="AJ3970" s="4">
        <v>10</v>
      </c>
      <c r="AK3970" s="4">
        <v>11</v>
      </c>
      <c r="AL3970" s="4">
        <v>48</v>
      </c>
      <c r="AM3970" s="4">
        <v>48</v>
      </c>
      <c r="AN3970" s="4">
        <v>0</v>
      </c>
      <c r="AO3970" s="4">
        <v>0</v>
      </c>
      <c r="AP3970" s="4">
        <v>11</v>
      </c>
      <c r="AQ3970" s="4">
        <v>12</v>
      </c>
      <c r="AR3970" s="3" t="s">
        <v>65</v>
      </c>
      <c r="AS3970" s="3" t="s">
        <v>65</v>
      </c>
      <c r="AT3970" s="3" t="s">
        <v>209</v>
      </c>
      <c r="AU3970" s="6" t="str">
        <f>HYPERLINK("http://catalog.hathitrust.org/Record/003002713","HathiTrust Record")</f>
        <v>HathiTrust Record</v>
      </c>
      <c r="AV3970" s="6" t="str">
        <f>HYPERLINK("http://mcgill.on.worldcat.org/oclc/32466390","Catalog Record")</f>
        <v>Catalog Record</v>
      </c>
      <c r="AW3970" s="6" t="str">
        <f>HYPERLINK("http://www.worldcat.org/oclc/32466390","WorldCat Record")</f>
        <v>WorldCat Record</v>
      </c>
      <c r="AX3970" s="3" t="s">
        <v>39495</v>
      </c>
      <c r="AY3970" s="3" t="s">
        <v>39496</v>
      </c>
      <c r="AZ3970" s="3" t="s">
        <v>39497</v>
      </c>
      <c r="BA3970" s="3" t="s">
        <v>39497</v>
      </c>
      <c r="BB3970" s="3" t="s">
        <v>39498</v>
      </c>
      <c r="BC3970" s="3" t="s">
        <v>77</v>
      </c>
      <c r="BD3970" s="3" t="s">
        <v>78</v>
      </c>
      <c r="BE3970" s="3" t="s">
        <v>39499</v>
      </c>
      <c r="BF3970" s="3" t="s">
        <v>39498</v>
      </c>
      <c r="BG3970" s="3" t="s">
        <v>39500</v>
      </c>
    </row>
    <row r="3971" spans="1:59" ht="58" x14ac:dyDescent="0.35">
      <c r="A3971" s="2" t="s">
        <v>59</v>
      </c>
      <c r="B3971" s="2" t="s">
        <v>60</v>
      </c>
      <c r="C3971" s="2" t="s">
        <v>39501</v>
      </c>
      <c r="D3971" s="2" t="s">
        <v>39502</v>
      </c>
      <c r="E3971" s="2" t="s">
        <v>39503</v>
      </c>
      <c r="G3971" s="3" t="s">
        <v>65</v>
      </c>
      <c r="I3971" s="3" t="s">
        <v>65</v>
      </c>
      <c r="J3971" s="3" t="s">
        <v>65</v>
      </c>
      <c r="K3971" s="3" t="s">
        <v>66</v>
      </c>
      <c r="L3971" s="2" t="s">
        <v>39504</v>
      </c>
      <c r="M3971" s="2" t="s">
        <v>39505</v>
      </c>
      <c r="N3971" s="3" t="s">
        <v>139</v>
      </c>
      <c r="P3971" s="3" t="s">
        <v>140</v>
      </c>
      <c r="Q3971" s="2" t="s">
        <v>39506</v>
      </c>
      <c r="R3971" s="3" t="s">
        <v>71</v>
      </c>
      <c r="S3971" s="4">
        <v>1</v>
      </c>
      <c r="T3971" s="4">
        <v>1</v>
      </c>
      <c r="U3971" s="5" t="s">
        <v>3065</v>
      </c>
      <c r="V3971" s="5" t="s">
        <v>3065</v>
      </c>
      <c r="W3971" s="5" t="s">
        <v>72</v>
      </c>
      <c r="X3971" s="5" t="s">
        <v>72</v>
      </c>
      <c r="Y3971" s="4">
        <v>53</v>
      </c>
      <c r="Z3971" s="4">
        <v>6</v>
      </c>
      <c r="AA3971" s="4">
        <v>9</v>
      </c>
      <c r="AB3971" s="4">
        <v>1</v>
      </c>
      <c r="AC3971" s="4">
        <v>3</v>
      </c>
      <c r="AD3971" s="4">
        <v>35</v>
      </c>
      <c r="AE3971" s="4">
        <v>39</v>
      </c>
      <c r="AF3971" s="4">
        <v>0</v>
      </c>
      <c r="AG3971" s="4">
        <v>1</v>
      </c>
      <c r="AH3971" s="4">
        <v>34</v>
      </c>
      <c r="AI3971" s="4">
        <v>37</v>
      </c>
      <c r="AJ3971" s="4">
        <v>4</v>
      </c>
      <c r="AK3971" s="4">
        <v>6</v>
      </c>
      <c r="AL3971" s="4">
        <v>21</v>
      </c>
      <c r="AM3971" s="4">
        <v>23</v>
      </c>
      <c r="AN3971" s="4">
        <v>0</v>
      </c>
      <c r="AO3971" s="4">
        <v>0</v>
      </c>
      <c r="AP3971" s="4">
        <v>4</v>
      </c>
      <c r="AQ3971" s="4">
        <v>5</v>
      </c>
      <c r="AR3971" s="3" t="s">
        <v>65</v>
      </c>
      <c r="AS3971" s="3" t="s">
        <v>65</v>
      </c>
      <c r="AT3971" s="3" t="s">
        <v>65</v>
      </c>
      <c r="AV3971" s="6" t="str">
        <f>HYPERLINK("http://mcgill.on.worldcat.org/oclc/802322998","Catalog Record")</f>
        <v>Catalog Record</v>
      </c>
      <c r="AW3971" s="6" t="str">
        <f>HYPERLINK("http://www.worldcat.org/oclc/802322998","WorldCat Record")</f>
        <v>WorldCat Record</v>
      </c>
      <c r="AX3971" s="3" t="s">
        <v>39507</v>
      </c>
      <c r="AY3971" s="3" t="s">
        <v>39508</v>
      </c>
      <c r="AZ3971" s="3" t="s">
        <v>39509</v>
      </c>
      <c r="BA3971" s="3" t="s">
        <v>39509</v>
      </c>
      <c r="BB3971" s="3" t="s">
        <v>39510</v>
      </c>
      <c r="BC3971" s="3" t="s">
        <v>77</v>
      </c>
      <c r="BD3971" s="3" t="s">
        <v>78</v>
      </c>
      <c r="BE3971" s="3" t="s">
        <v>39511</v>
      </c>
      <c r="BF3971" s="3" t="s">
        <v>39510</v>
      </c>
      <c r="BG3971" s="3" t="s">
        <v>39512</v>
      </c>
    </row>
    <row r="3972" spans="1:59" ht="72.5" x14ac:dyDescent="0.35">
      <c r="A3972" s="2" t="s">
        <v>59</v>
      </c>
      <c r="B3972" s="2" t="s">
        <v>60</v>
      </c>
      <c r="C3972" s="2" t="s">
        <v>39513</v>
      </c>
      <c r="D3972" s="2" t="s">
        <v>39514</v>
      </c>
      <c r="E3972" s="2" t="s">
        <v>39515</v>
      </c>
      <c r="G3972" s="3" t="s">
        <v>65</v>
      </c>
      <c r="I3972" s="3" t="s">
        <v>65</v>
      </c>
      <c r="J3972" s="3" t="s">
        <v>65</v>
      </c>
      <c r="K3972" s="3" t="s">
        <v>66</v>
      </c>
      <c r="M3972" s="2" t="s">
        <v>39516</v>
      </c>
      <c r="N3972" s="3" t="s">
        <v>1122</v>
      </c>
      <c r="P3972" s="3" t="s">
        <v>140</v>
      </c>
      <c r="Q3972" s="2" t="s">
        <v>39517</v>
      </c>
      <c r="R3972" s="3" t="s">
        <v>71</v>
      </c>
      <c r="S3972" s="4">
        <v>1</v>
      </c>
      <c r="T3972" s="4">
        <v>1</v>
      </c>
      <c r="U3972" s="5" t="s">
        <v>30639</v>
      </c>
      <c r="V3972" s="5" t="s">
        <v>30639</v>
      </c>
      <c r="W3972" s="5" t="s">
        <v>72</v>
      </c>
      <c r="X3972" s="5" t="s">
        <v>72</v>
      </c>
      <c r="Y3972" s="4">
        <v>54</v>
      </c>
      <c r="Z3972" s="4">
        <v>4</v>
      </c>
      <c r="AA3972" s="4">
        <v>4</v>
      </c>
      <c r="AB3972" s="4">
        <v>1</v>
      </c>
      <c r="AC3972" s="4">
        <v>1</v>
      </c>
      <c r="AD3972" s="4">
        <v>35</v>
      </c>
      <c r="AE3972" s="4">
        <v>35</v>
      </c>
      <c r="AF3972" s="4">
        <v>0</v>
      </c>
      <c r="AG3972" s="4">
        <v>0</v>
      </c>
      <c r="AH3972" s="4">
        <v>34</v>
      </c>
      <c r="AI3972" s="4">
        <v>34</v>
      </c>
      <c r="AJ3972" s="4">
        <v>2</v>
      </c>
      <c r="AK3972" s="4">
        <v>2</v>
      </c>
      <c r="AL3972" s="4">
        <v>25</v>
      </c>
      <c r="AM3972" s="4">
        <v>25</v>
      </c>
      <c r="AN3972" s="4">
        <v>0</v>
      </c>
      <c r="AO3972" s="4">
        <v>0</v>
      </c>
      <c r="AP3972" s="4">
        <v>2</v>
      </c>
      <c r="AQ3972" s="4">
        <v>2</v>
      </c>
      <c r="AR3972" s="3" t="s">
        <v>65</v>
      </c>
      <c r="AS3972" s="3" t="s">
        <v>65</v>
      </c>
      <c r="AT3972" s="3" t="s">
        <v>65</v>
      </c>
      <c r="AV3972" s="6" t="str">
        <f>HYPERLINK("http://mcgill.on.worldcat.org/oclc/549140022","Catalog Record")</f>
        <v>Catalog Record</v>
      </c>
      <c r="AW3972" s="6" t="str">
        <f>HYPERLINK("http://www.worldcat.org/oclc/549140022","WorldCat Record")</f>
        <v>WorldCat Record</v>
      </c>
      <c r="AX3972" s="3" t="s">
        <v>39518</v>
      </c>
      <c r="AY3972" s="3" t="s">
        <v>39519</v>
      </c>
      <c r="AZ3972" s="3" t="s">
        <v>39520</v>
      </c>
      <c r="BA3972" s="3" t="s">
        <v>39520</v>
      </c>
      <c r="BB3972" s="3" t="s">
        <v>39521</v>
      </c>
      <c r="BC3972" s="3" t="s">
        <v>77</v>
      </c>
      <c r="BD3972" s="3" t="s">
        <v>78</v>
      </c>
      <c r="BE3972" s="3" t="s">
        <v>39522</v>
      </c>
      <c r="BF3972" s="3" t="s">
        <v>39521</v>
      </c>
      <c r="BG3972" s="3" t="s">
        <v>39523</v>
      </c>
    </row>
    <row r="3973" spans="1:59" ht="72.5" x14ac:dyDescent="0.35">
      <c r="A3973" s="2" t="s">
        <v>59</v>
      </c>
      <c r="B3973" s="2" t="s">
        <v>60</v>
      </c>
      <c r="C3973" s="2" t="s">
        <v>39524</v>
      </c>
      <c r="D3973" s="2" t="s">
        <v>39525</v>
      </c>
      <c r="E3973" s="2" t="s">
        <v>39526</v>
      </c>
      <c r="G3973" s="3" t="s">
        <v>65</v>
      </c>
      <c r="I3973" s="3" t="s">
        <v>65</v>
      </c>
      <c r="J3973" s="3" t="s">
        <v>65</v>
      </c>
      <c r="K3973" s="3" t="s">
        <v>66</v>
      </c>
      <c r="M3973" s="2" t="s">
        <v>12373</v>
      </c>
      <c r="N3973" s="3" t="s">
        <v>176</v>
      </c>
      <c r="P3973" s="3" t="s">
        <v>140</v>
      </c>
      <c r="Q3973" s="2" t="s">
        <v>39527</v>
      </c>
      <c r="R3973" s="3" t="s">
        <v>71</v>
      </c>
      <c r="S3973" s="4">
        <v>0</v>
      </c>
      <c r="T3973" s="4">
        <v>0</v>
      </c>
      <c r="W3973" s="5" t="s">
        <v>72</v>
      </c>
      <c r="X3973" s="5" t="s">
        <v>72</v>
      </c>
      <c r="Y3973" s="4">
        <v>37</v>
      </c>
      <c r="Z3973" s="4">
        <v>4</v>
      </c>
      <c r="AA3973" s="4">
        <v>4</v>
      </c>
      <c r="AB3973" s="4">
        <v>1</v>
      </c>
      <c r="AC3973" s="4">
        <v>1</v>
      </c>
      <c r="AD3973" s="4">
        <v>29</v>
      </c>
      <c r="AE3973" s="4">
        <v>29</v>
      </c>
      <c r="AF3973" s="4">
        <v>0</v>
      </c>
      <c r="AG3973" s="4">
        <v>0</v>
      </c>
      <c r="AH3973" s="4">
        <v>28</v>
      </c>
      <c r="AI3973" s="4">
        <v>28</v>
      </c>
      <c r="AJ3973" s="4">
        <v>2</v>
      </c>
      <c r="AK3973" s="4">
        <v>2</v>
      </c>
      <c r="AL3973" s="4">
        <v>21</v>
      </c>
      <c r="AM3973" s="4">
        <v>21</v>
      </c>
      <c r="AN3973" s="4">
        <v>0</v>
      </c>
      <c r="AO3973" s="4">
        <v>0</v>
      </c>
      <c r="AP3973" s="4">
        <v>2</v>
      </c>
      <c r="AQ3973" s="4">
        <v>2</v>
      </c>
      <c r="AR3973" s="3" t="s">
        <v>65</v>
      </c>
      <c r="AS3973" s="3" t="s">
        <v>65</v>
      </c>
      <c r="AT3973" s="3" t="s">
        <v>65</v>
      </c>
      <c r="AV3973" s="6" t="str">
        <f>HYPERLINK("http://mcgill.on.worldcat.org/oclc/913829674","Catalog Record")</f>
        <v>Catalog Record</v>
      </c>
      <c r="AW3973" s="6" t="str">
        <f>HYPERLINK("http://www.worldcat.org/oclc/913829674","WorldCat Record")</f>
        <v>WorldCat Record</v>
      </c>
      <c r="AX3973" s="3" t="s">
        <v>39528</v>
      </c>
      <c r="AY3973" s="3" t="s">
        <v>39529</v>
      </c>
      <c r="AZ3973" s="3" t="s">
        <v>39530</v>
      </c>
      <c r="BA3973" s="3" t="s">
        <v>39530</v>
      </c>
      <c r="BB3973" s="3" t="s">
        <v>39531</v>
      </c>
      <c r="BC3973" s="3" t="s">
        <v>77</v>
      </c>
      <c r="BD3973" s="3" t="s">
        <v>78</v>
      </c>
      <c r="BE3973" s="3" t="s">
        <v>39532</v>
      </c>
      <c r="BF3973" s="3" t="s">
        <v>39531</v>
      </c>
      <c r="BG3973" s="3" t="s">
        <v>39533</v>
      </c>
    </row>
    <row r="3974" spans="1:59" ht="58" x14ac:dyDescent="0.35">
      <c r="A3974" s="2" t="s">
        <v>59</v>
      </c>
      <c r="B3974" s="2" t="s">
        <v>60</v>
      </c>
      <c r="C3974" s="2" t="s">
        <v>39534</v>
      </c>
      <c r="D3974" s="2" t="s">
        <v>39535</v>
      </c>
      <c r="E3974" s="2" t="s">
        <v>39536</v>
      </c>
      <c r="G3974" s="3" t="s">
        <v>65</v>
      </c>
      <c r="I3974" s="3" t="s">
        <v>65</v>
      </c>
      <c r="J3974" s="3" t="s">
        <v>65</v>
      </c>
      <c r="K3974" s="3" t="s">
        <v>66</v>
      </c>
      <c r="M3974" s="2" t="s">
        <v>39537</v>
      </c>
      <c r="N3974" s="3" t="s">
        <v>1944</v>
      </c>
      <c r="P3974" s="3" t="s">
        <v>140</v>
      </c>
      <c r="Q3974" s="2" t="s">
        <v>39538</v>
      </c>
      <c r="R3974" s="3" t="s">
        <v>71</v>
      </c>
      <c r="S3974" s="4">
        <v>2</v>
      </c>
      <c r="T3974" s="4">
        <v>2</v>
      </c>
      <c r="U3974" s="5" t="s">
        <v>6227</v>
      </c>
      <c r="V3974" s="5" t="s">
        <v>6227</v>
      </c>
      <c r="W3974" s="5" t="s">
        <v>72</v>
      </c>
      <c r="X3974" s="5" t="s">
        <v>72</v>
      </c>
      <c r="Y3974" s="4">
        <v>12</v>
      </c>
      <c r="Z3974" s="4">
        <v>4</v>
      </c>
      <c r="AA3974" s="4">
        <v>4</v>
      </c>
      <c r="AB3974" s="4">
        <v>2</v>
      </c>
      <c r="AC3974" s="4">
        <v>2</v>
      </c>
      <c r="AD3974" s="4">
        <v>7</v>
      </c>
      <c r="AE3974" s="4">
        <v>34</v>
      </c>
      <c r="AF3974" s="4">
        <v>1</v>
      </c>
      <c r="AG3974" s="4">
        <v>1</v>
      </c>
      <c r="AH3974" s="4">
        <v>6</v>
      </c>
      <c r="AI3974" s="4">
        <v>32</v>
      </c>
      <c r="AJ3974" s="4">
        <v>2</v>
      </c>
      <c r="AK3974" s="4">
        <v>2</v>
      </c>
      <c r="AL3974" s="4">
        <v>4</v>
      </c>
      <c r="AM3974" s="4">
        <v>27</v>
      </c>
      <c r="AN3974" s="4">
        <v>0</v>
      </c>
      <c r="AO3974" s="4">
        <v>0</v>
      </c>
      <c r="AP3974" s="4">
        <v>2</v>
      </c>
      <c r="AQ3974" s="4">
        <v>2</v>
      </c>
      <c r="AR3974" s="3" t="s">
        <v>65</v>
      </c>
      <c r="AS3974" s="3" t="s">
        <v>65</v>
      </c>
      <c r="AT3974" s="3" t="s">
        <v>209</v>
      </c>
      <c r="AU3974" s="6" t="str">
        <f>HYPERLINK("http://catalog.hathitrust.org/Record/004153862","HathiTrust Record")</f>
        <v>HathiTrust Record</v>
      </c>
      <c r="AV3974" s="6" t="str">
        <f>HYPERLINK("http://mcgill.on.worldcat.org/oclc/428157762","Catalog Record")</f>
        <v>Catalog Record</v>
      </c>
      <c r="AW3974" s="6" t="str">
        <f>HYPERLINK("http://www.worldcat.org/oclc/428157762","WorldCat Record")</f>
        <v>WorldCat Record</v>
      </c>
      <c r="AX3974" s="3" t="s">
        <v>39539</v>
      </c>
      <c r="AY3974" s="3" t="s">
        <v>39540</v>
      </c>
      <c r="AZ3974" s="3" t="s">
        <v>39541</v>
      </c>
      <c r="BA3974" s="3" t="s">
        <v>39541</v>
      </c>
      <c r="BB3974" s="3" t="s">
        <v>39542</v>
      </c>
      <c r="BC3974" s="3" t="s">
        <v>77</v>
      </c>
      <c r="BD3974" s="3" t="s">
        <v>78</v>
      </c>
      <c r="BE3974" s="3" t="s">
        <v>39543</v>
      </c>
      <c r="BF3974" s="3" t="s">
        <v>39542</v>
      </c>
      <c r="BG3974" s="3" t="s">
        <v>39544</v>
      </c>
    </row>
    <row r="3975" spans="1:59" ht="58" x14ac:dyDescent="0.35">
      <c r="A3975" s="2" t="s">
        <v>59</v>
      </c>
      <c r="B3975" s="2" t="s">
        <v>60</v>
      </c>
      <c r="C3975" s="2" t="s">
        <v>39545</v>
      </c>
      <c r="D3975" s="2" t="s">
        <v>39546</v>
      </c>
      <c r="E3975" s="2" t="s">
        <v>39547</v>
      </c>
      <c r="G3975" s="3" t="s">
        <v>65</v>
      </c>
      <c r="I3975" s="3" t="s">
        <v>65</v>
      </c>
      <c r="J3975" s="3" t="s">
        <v>65</v>
      </c>
      <c r="K3975" s="3" t="s">
        <v>66</v>
      </c>
      <c r="L3975" s="2" t="s">
        <v>39548</v>
      </c>
      <c r="M3975" s="2" t="s">
        <v>39549</v>
      </c>
      <c r="N3975" s="3" t="s">
        <v>2460</v>
      </c>
      <c r="P3975" s="3" t="s">
        <v>140</v>
      </c>
      <c r="Q3975" s="2" t="s">
        <v>39550</v>
      </c>
      <c r="R3975" s="3" t="s">
        <v>71</v>
      </c>
      <c r="S3975" s="4">
        <v>7</v>
      </c>
      <c r="T3975" s="4">
        <v>7</v>
      </c>
      <c r="U3975" s="5" t="s">
        <v>6227</v>
      </c>
      <c r="V3975" s="5" t="s">
        <v>6227</v>
      </c>
      <c r="W3975" s="5" t="s">
        <v>72</v>
      </c>
      <c r="X3975" s="5" t="s">
        <v>72</v>
      </c>
      <c r="Y3975" s="4">
        <v>78</v>
      </c>
      <c r="Z3975" s="4">
        <v>10</v>
      </c>
      <c r="AA3975" s="4">
        <v>10</v>
      </c>
      <c r="AB3975" s="4">
        <v>1</v>
      </c>
      <c r="AC3975" s="4">
        <v>1</v>
      </c>
      <c r="AD3975" s="4">
        <v>40</v>
      </c>
      <c r="AE3975" s="4">
        <v>40</v>
      </c>
      <c r="AF3975" s="4">
        <v>0</v>
      </c>
      <c r="AG3975" s="4">
        <v>0</v>
      </c>
      <c r="AH3975" s="4">
        <v>37</v>
      </c>
      <c r="AI3975" s="4">
        <v>37</v>
      </c>
      <c r="AJ3975" s="4">
        <v>7</v>
      </c>
      <c r="AK3975" s="4">
        <v>7</v>
      </c>
      <c r="AL3975" s="4">
        <v>29</v>
      </c>
      <c r="AM3975" s="4">
        <v>29</v>
      </c>
      <c r="AN3975" s="4">
        <v>0</v>
      </c>
      <c r="AO3975" s="4">
        <v>0</v>
      </c>
      <c r="AP3975" s="4">
        <v>7</v>
      </c>
      <c r="AQ3975" s="4">
        <v>7</v>
      </c>
      <c r="AR3975" s="3" t="s">
        <v>65</v>
      </c>
      <c r="AS3975" s="3" t="s">
        <v>65</v>
      </c>
      <c r="AT3975" s="3" t="s">
        <v>209</v>
      </c>
      <c r="AU3975" s="6" t="str">
        <f>HYPERLINK("http://catalog.hathitrust.org/Record/000924190","HathiTrust Record")</f>
        <v>HathiTrust Record</v>
      </c>
      <c r="AV3975" s="6" t="str">
        <f>HYPERLINK("http://mcgill.on.worldcat.org/oclc/18656057","Catalog Record")</f>
        <v>Catalog Record</v>
      </c>
      <c r="AW3975" s="6" t="str">
        <f>HYPERLINK("http://www.worldcat.org/oclc/18656057","WorldCat Record")</f>
        <v>WorldCat Record</v>
      </c>
      <c r="AX3975" s="3" t="s">
        <v>39551</v>
      </c>
      <c r="AY3975" s="3" t="s">
        <v>39552</v>
      </c>
      <c r="AZ3975" s="3" t="s">
        <v>39553</v>
      </c>
      <c r="BA3975" s="3" t="s">
        <v>39553</v>
      </c>
      <c r="BB3975" s="3" t="s">
        <v>39554</v>
      </c>
      <c r="BC3975" s="3" t="s">
        <v>77</v>
      </c>
      <c r="BD3975" s="3" t="s">
        <v>78</v>
      </c>
      <c r="BF3975" s="3" t="s">
        <v>39554</v>
      </c>
      <c r="BG3975" s="3" t="s">
        <v>39555</v>
      </c>
    </row>
    <row r="3976" spans="1:59" ht="58" x14ac:dyDescent="0.35">
      <c r="A3976" s="2" t="s">
        <v>59</v>
      </c>
      <c r="B3976" s="2" t="s">
        <v>60</v>
      </c>
      <c r="C3976" s="2" t="s">
        <v>39556</v>
      </c>
      <c r="D3976" s="2" t="s">
        <v>39557</v>
      </c>
      <c r="E3976" s="2" t="s">
        <v>39558</v>
      </c>
      <c r="G3976" s="3" t="s">
        <v>65</v>
      </c>
      <c r="I3976" s="3" t="s">
        <v>65</v>
      </c>
      <c r="J3976" s="3" t="s">
        <v>65</v>
      </c>
      <c r="K3976" s="3" t="s">
        <v>66</v>
      </c>
      <c r="L3976" s="2" t="s">
        <v>30637</v>
      </c>
      <c r="M3976" s="2" t="s">
        <v>39559</v>
      </c>
      <c r="N3976" s="3" t="s">
        <v>126</v>
      </c>
      <c r="P3976" s="3" t="s">
        <v>140</v>
      </c>
      <c r="Q3976" s="2" t="s">
        <v>39560</v>
      </c>
      <c r="R3976" s="3" t="s">
        <v>71</v>
      </c>
      <c r="S3976" s="4">
        <v>0</v>
      </c>
      <c r="T3976" s="4">
        <v>0</v>
      </c>
      <c r="W3976" s="5" t="s">
        <v>72</v>
      </c>
      <c r="X3976" s="5" t="s">
        <v>72</v>
      </c>
      <c r="Y3976" s="4">
        <v>49</v>
      </c>
      <c r="Z3976" s="4">
        <v>4</v>
      </c>
      <c r="AA3976" s="4">
        <v>4</v>
      </c>
      <c r="AB3976" s="4">
        <v>1</v>
      </c>
      <c r="AC3976" s="4">
        <v>1</v>
      </c>
      <c r="AD3976" s="4">
        <v>33</v>
      </c>
      <c r="AE3976" s="4">
        <v>33</v>
      </c>
      <c r="AF3976" s="4">
        <v>0</v>
      </c>
      <c r="AG3976" s="4">
        <v>0</v>
      </c>
      <c r="AH3976" s="4">
        <v>32</v>
      </c>
      <c r="AI3976" s="4">
        <v>32</v>
      </c>
      <c r="AJ3976" s="4">
        <v>2</v>
      </c>
      <c r="AK3976" s="4">
        <v>2</v>
      </c>
      <c r="AL3976" s="4">
        <v>25</v>
      </c>
      <c r="AM3976" s="4">
        <v>25</v>
      </c>
      <c r="AN3976" s="4">
        <v>0</v>
      </c>
      <c r="AO3976" s="4">
        <v>0</v>
      </c>
      <c r="AP3976" s="4">
        <v>2</v>
      </c>
      <c r="AQ3976" s="4">
        <v>2</v>
      </c>
      <c r="AR3976" s="3" t="s">
        <v>65</v>
      </c>
      <c r="AS3976" s="3" t="s">
        <v>65</v>
      </c>
      <c r="AT3976" s="3" t="s">
        <v>65</v>
      </c>
      <c r="AV3976" s="6" t="str">
        <f>HYPERLINK("http://mcgill.on.worldcat.org/oclc/745970875","Catalog Record")</f>
        <v>Catalog Record</v>
      </c>
      <c r="AW3976" s="6" t="str">
        <f>HYPERLINK("http://www.worldcat.org/oclc/745970875","WorldCat Record")</f>
        <v>WorldCat Record</v>
      </c>
      <c r="AX3976" s="3" t="s">
        <v>39561</v>
      </c>
      <c r="AY3976" s="3" t="s">
        <v>39562</v>
      </c>
      <c r="AZ3976" s="3" t="s">
        <v>39563</v>
      </c>
      <c r="BA3976" s="3" t="s">
        <v>39563</v>
      </c>
      <c r="BB3976" s="3" t="s">
        <v>39564</v>
      </c>
      <c r="BC3976" s="3" t="s">
        <v>77</v>
      </c>
      <c r="BD3976" s="3" t="s">
        <v>78</v>
      </c>
      <c r="BE3976" s="3" t="s">
        <v>39565</v>
      </c>
      <c r="BF3976" s="3" t="s">
        <v>39564</v>
      </c>
      <c r="BG3976" s="3" t="s">
        <v>39566</v>
      </c>
    </row>
    <row r="3977" spans="1:59" ht="58" x14ac:dyDescent="0.35">
      <c r="A3977" s="2" t="s">
        <v>59</v>
      </c>
      <c r="B3977" s="2" t="s">
        <v>60</v>
      </c>
      <c r="C3977" s="2" t="s">
        <v>39567</v>
      </c>
      <c r="D3977" s="2" t="s">
        <v>39568</v>
      </c>
      <c r="E3977" s="2" t="s">
        <v>39569</v>
      </c>
      <c r="G3977" s="3" t="s">
        <v>65</v>
      </c>
      <c r="I3977" s="3" t="s">
        <v>65</v>
      </c>
      <c r="J3977" s="3" t="s">
        <v>65</v>
      </c>
      <c r="K3977" s="3" t="s">
        <v>66</v>
      </c>
      <c r="L3977" s="2" t="s">
        <v>39570</v>
      </c>
      <c r="M3977" s="2" t="s">
        <v>39571</v>
      </c>
      <c r="N3977" s="3" t="s">
        <v>1085</v>
      </c>
      <c r="P3977" s="3" t="s">
        <v>140</v>
      </c>
      <c r="Q3977" s="2" t="s">
        <v>39572</v>
      </c>
      <c r="R3977" s="3" t="s">
        <v>71</v>
      </c>
      <c r="S3977" s="4">
        <v>4</v>
      </c>
      <c r="T3977" s="4">
        <v>4</v>
      </c>
      <c r="U3977" s="5" t="s">
        <v>6227</v>
      </c>
      <c r="V3977" s="5" t="s">
        <v>6227</v>
      </c>
      <c r="W3977" s="5" t="s">
        <v>72</v>
      </c>
      <c r="X3977" s="5" t="s">
        <v>72</v>
      </c>
      <c r="Y3977" s="4">
        <v>29</v>
      </c>
      <c r="Z3977" s="4">
        <v>4</v>
      </c>
      <c r="AA3977" s="4">
        <v>4</v>
      </c>
      <c r="AB3977" s="4">
        <v>2</v>
      </c>
      <c r="AC3977" s="4">
        <v>2</v>
      </c>
      <c r="AD3977" s="4">
        <v>17</v>
      </c>
      <c r="AE3977" s="4">
        <v>17</v>
      </c>
      <c r="AF3977" s="4">
        <v>1</v>
      </c>
      <c r="AG3977" s="4">
        <v>1</v>
      </c>
      <c r="AH3977" s="4">
        <v>15</v>
      </c>
      <c r="AI3977" s="4">
        <v>15</v>
      </c>
      <c r="AJ3977" s="4">
        <v>2</v>
      </c>
      <c r="AK3977" s="4">
        <v>2</v>
      </c>
      <c r="AL3977" s="4">
        <v>13</v>
      </c>
      <c r="AM3977" s="4">
        <v>13</v>
      </c>
      <c r="AN3977" s="4">
        <v>0</v>
      </c>
      <c r="AO3977" s="4">
        <v>0</v>
      </c>
      <c r="AP3977" s="4">
        <v>2</v>
      </c>
      <c r="AQ3977" s="4">
        <v>2</v>
      </c>
      <c r="AR3977" s="3" t="s">
        <v>65</v>
      </c>
      <c r="AS3977" s="3" t="s">
        <v>65</v>
      </c>
      <c r="AT3977" s="3" t="s">
        <v>65</v>
      </c>
      <c r="AV3977" s="6" t="str">
        <f>HYPERLINK("http://mcgill.on.worldcat.org/oclc/40233077","Catalog Record")</f>
        <v>Catalog Record</v>
      </c>
      <c r="AW3977" s="6" t="str">
        <f>HYPERLINK("http://www.worldcat.org/oclc/40233077","WorldCat Record")</f>
        <v>WorldCat Record</v>
      </c>
      <c r="AX3977" s="3" t="s">
        <v>39573</v>
      </c>
      <c r="AY3977" s="3" t="s">
        <v>39574</v>
      </c>
      <c r="AZ3977" s="3" t="s">
        <v>39575</v>
      </c>
      <c r="BA3977" s="3" t="s">
        <v>39575</v>
      </c>
      <c r="BB3977" s="3" t="s">
        <v>39576</v>
      </c>
      <c r="BC3977" s="3" t="s">
        <v>77</v>
      </c>
      <c r="BD3977" s="3" t="s">
        <v>78</v>
      </c>
      <c r="BE3977" s="3" t="s">
        <v>39577</v>
      </c>
      <c r="BF3977" s="3" t="s">
        <v>39576</v>
      </c>
      <c r="BG3977" s="3" t="s">
        <v>39578</v>
      </c>
    </row>
    <row r="3978" spans="1:59" ht="58" x14ac:dyDescent="0.35">
      <c r="A3978" s="2" t="s">
        <v>59</v>
      </c>
      <c r="B3978" s="2" t="s">
        <v>60</v>
      </c>
      <c r="C3978" s="2" t="s">
        <v>39579</v>
      </c>
      <c r="D3978" s="2" t="s">
        <v>39580</v>
      </c>
      <c r="E3978" s="2" t="s">
        <v>39581</v>
      </c>
      <c r="G3978" s="3" t="s">
        <v>65</v>
      </c>
      <c r="I3978" s="3" t="s">
        <v>65</v>
      </c>
      <c r="J3978" s="3" t="s">
        <v>65</v>
      </c>
      <c r="K3978" s="3" t="s">
        <v>66</v>
      </c>
      <c r="L3978" s="2" t="s">
        <v>39582</v>
      </c>
      <c r="M3978" s="2" t="s">
        <v>39583</v>
      </c>
      <c r="N3978" s="3" t="s">
        <v>176</v>
      </c>
      <c r="P3978" s="3" t="s">
        <v>140</v>
      </c>
      <c r="Q3978" s="2" t="s">
        <v>39584</v>
      </c>
      <c r="R3978" s="3" t="s">
        <v>71</v>
      </c>
      <c r="S3978" s="4">
        <v>0</v>
      </c>
      <c r="T3978" s="4">
        <v>0</v>
      </c>
      <c r="W3978" s="5" t="s">
        <v>72</v>
      </c>
      <c r="X3978" s="5" t="s">
        <v>72</v>
      </c>
      <c r="Y3978" s="4">
        <v>38</v>
      </c>
      <c r="Z3978" s="4">
        <v>3</v>
      </c>
      <c r="AA3978" s="4">
        <v>3</v>
      </c>
      <c r="AB3978" s="4">
        <v>1</v>
      </c>
      <c r="AC3978" s="4">
        <v>1</v>
      </c>
      <c r="AD3978" s="4">
        <v>24</v>
      </c>
      <c r="AE3978" s="4">
        <v>24</v>
      </c>
      <c r="AF3978" s="4">
        <v>0</v>
      </c>
      <c r="AG3978" s="4">
        <v>0</v>
      </c>
      <c r="AH3978" s="4">
        <v>23</v>
      </c>
      <c r="AI3978" s="4">
        <v>23</v>
      </c>
      <c r="AJ3978" s="4">
        <v>1</v>
      </c>
      <c r="AK3978" s="4">
        <v>1</v>
      </c>
      <c r="AL3978" s="4">
        <v>18</v>
      </c>
      <c r="AM3978" s="4">
        <v>18</v>
      </c>
      <c r="AN3978" s="4">
        <v>0</v>
      </c>
      <c r="AO3978" s="4">
        <v>0</v>
      </c>
      <c r="AP3978" s="4">
        <v>1</v>
      </c>
      <c r="AQ3978" s="4">
        <v>1</v>
      </c>
      <c r="AR3978" s="3" t="s">
        <v>65</v>
      </c>
      <c r="AS3978" s="3" t="s">
        <v>65</v>
      </c>
      <c r="AT3978" s="3" t="s">
        <v>65</v>
      </c>
      <c r="AV3978" s="6" t="str">
        <f>HYPERLINK("http://mcgill.on.worldcat.org/oclc/904251319","Catalog Record")</f>
        <v>Catalog Record</v>
      </c>
      <c r="AW3978" s="6" t="str">
        <f>HYPERLINK("http://www.worldcat.org/oclc/904251319","WorldCat Record")</f>
        <v>WorldCat Record</v>
      </c>
      <c r="AX3978" s="3" t="s">
        <v>39585</v>
      </c>
      <c r="AY3978" s="3" t="s">
        <v>39586</v>
      </c>
      <c r="AZ3978" s="3" t="s">
        <v>39587</v>
      </c>
      <c r="BA3978" s="3" t="s">
        <v>39587</v>
      </c>
      <c r="BB3978" s="3" t="s">
        <v>39588</v>
      </c>
      <c r="BC3978" s="3" t="s">
        <v>77</v>
      </c>
      <c r="BD3978" s="3" t="s">
        <v>78</v>
      </c>
      <c r="BE3978" s="3" t="s">
        <v>39589</v>
      </c>
      <c r="BF3978" s="3" t="s">
        <v>39588</v>
      </c>
      <c r="BG3978" s="3" t="s">
        <v>39590</v>
      </c>
    </row>
    <row r="3979" spans="1:59" ht="58" x14ac:dyDescent="0.35">
      <c r="A3979" s="2" t="s">
        <v>59</v>
      </c>
      <c r="B3979" s="2" t="s">
        <v>60</v>
      </c>
      <c r="C3979" s="2" t="s">
        <v>39591</v>
      </c>
      <c r="D3979" s="2" t="s">
        <v>39592</v>
      </c>
      <c r="E3979" s="2" t="s">
        <v>39593</v>
      </c>
      <c r="G3979" s="3" t="s">
        <v>65</v>
      </c>
      <c r="I3979" s="3" t="s">
        <v>65</v>
      </c>
      <c r="J3979" s="3" t="s">
        <v>65</v>
      </c>
      <c r="K3979" s="3" t="s">
        <v>66</v>
      </c>
      <c r="L3979" s="2" t="s">
        <v>39594</v>
      </c>
      <c r="M3979" s="2" t="s">
        <v>2964</v>
      </c>
      <c r="N3979" s="3" t="s">
        <v>126</v>
      </c>
      <c r="P3979" s="3" t="s">
        <v>140</v>
      </c>
      <c r="Q3979" s="2" t="s">
        <v>39595</v>
      </c>
      <c r="R3979" s="3" t="s">
        <v>71</v>
      </c>
      <c r="S3979" s="4">
        <v>0</v>
      </c>
      <c r="T3979" s="4">
        <v>0</v>
      </c>
      <c r="W3979" s="5" t="s">
        <v>72</v>
      </c>
      <c r="X3979" s="5" t="s">
        <v>72</v>
      </c>
      <c r="Y3979" s="4">
        <v>41</v>
      </c>
      <c r="Z3979" s="4">
        <v>4</v>
      </c>
      <c r="AA3979" s="4">
        <v>4</v>
      </c>
      <c r="AB3979" s="4">
        <v>1</v>
      </c>
      <c r="AC3979" s="4">
        <v>1</v>
      </c>
      <c r="AD3979" s="4">
        <v>32</v>
      </c>
      <c r="AE3979" s="4">
        <v>32</v>
      </c>
      <c r="AF3979" s="4">
        <v>0</v>
      </c>
      <c r="AG3979" s="4">
        <v>0</v>
      </c>
      <c r="AH3979" s="4">
        <v>31</v>
      </c>
      <c r="AI3979" s="4">
        <v>31</v>
      </c>
      <c r="AJ3979" s="4">
        <v>2</v>
      </c>
      <c r="AK3979" s="4">
        <v>2</v>
      </c>
      <c r="AL3979" s="4">
        <v>25</v>
      </c>
      <c r="AM3979" s="4">
        <v>25</v>
      </c>
      <c r="AN3979" s="4">
        <v>0</v>
      </c>
      <c r="AO3979" s="4">
        <v>0</v>
      </c>
      <c r="AP3979" s="4">
        <v>2</v>
      </c>
      <c r="AQ3979" s="4">
        <v>2</v>
      </c>
      <c r="AR3979" s="3" t="s">
        <v>65</v>
      </c>
      <c r="AS3979" s="3" t="s">
        <v>65</v>
      </c>
      <c r="AT3979" s="3" t="s">
        <v>65</v>
      </c>
      <c r="AV3979" s="6" t="str">
        <f>HYPERLINK("http://mcgill.on.worldcat.org/oclc/712112085","Catalog Record")</f>
        <v>Catalog Record</v>
      </c>
      <c r="AW3979" s="6" t="str">
        <f>HYPERLINK("http://www.worldcat.org/oclc/712112085","WorldCat Record")</f>
        <v>WorldCat Record</v>
      </c>
      <c r="AX3979" s="3" t="s">
        <v>39596</v>
      </c>
      <c r="AY3979" s="3" t="s">
        <v>39597</v>
      </c>
      <c r="AZ3979" s="3" t="s">
        <v>39598</v>
      </c>
      <c r="BA3979" s="3" t="s">
        <v>39598</v>
      </c>
      <c r="BB3979" s="3" t="s">
        <v>39599</v>
      </c>
      <c r="BC3979" s="3" t="s">
        <v>77</v>
      </c>
      <c r="BD3979" s="3" t="s">
        <v>78</v>
      </c>
      <c r="BE3979" s="3" t="s">
        <v>39600</v>
      </c>
      <c r="BF3979" s="3" t="s">
        <v>39599</v>
      </c>
      <c r="BG3979" s="3" t="s">
        <v>39601</v>
      </c>
    </row>
    <row r="3980" spans="1:59" ht="58" x14ac:dyDescent="0.35">
      <c r="A3980" s="2" t="s">
        <v>59</v>
      </c>
      <c r="B3980" s="2" t="s">
        <v>60</v>
      </c>
      <c r="C3980" s="2" t="s">
        <v>39602</v>
      </c>
      <c r="D3980" s="2" t="s">
        <v>39603</v>
      </c>
      <c r="E3980" s="2" t="s">
        <v>39604</v>
      </c>
      <c r="G3980" s="3" t="s">
        <v>65</v>
      </c>
      <c r="I3980" s="3" t="s">
        <v>65</v>
      </c>
      <c r="J3980" s="3" t="s">
        <v>65</v>
      </c>
      <c r="K3980" s="3" t="s">
        <v>66</v>
      </c>
      <c r="L3980" s="2" t="s">
        <v>39594</v>
      </c>
      <c r="M3980" s="2" t="s">
        <v>19485</v>
      </c>
      <c r="N3980" s="3" t="s">
        <v>126</v>
      </c>
      <c r="P3980" s="3" t="s">
        <v>140</v>
      </c>
      <c r="Q3980" s="2" t="s">
        <v>39605</v>
      </c>
      <c r="R3980" s="3" t="s">
        <v>71</v>
      </c>
      <c r="S3980" s="4">
        <v>0</v>
      </c>
      <c r="T3980" s="4">
        <v>0</v>
      </c>
      <c r="W3980" s="5" t="s">
        <v>72</v>
      </c>
      <c r="X3980" s="5" t="s">
        <v>72</v>
      </c>
      <c r="Y3980" s="4">
        <v>36</v>
      </c>
      <c r="Z3980" s="4">
        <v>2</v>
      </c>
      <c r="AA3980" s="4">
        <v>2</v>
      </c>
      <c r="AB3980" s="4">
        <v>1</v>
      </c>
      <c r="AC3980" s="4">
        <v>1</v>
      </c>
      <c r="AD3980" s="4">
        <v>28</v>
      </c>
      <c r="AE3980" s="4">
        <v>28</v>
      </c>
      <c r="AF3980" s="4">
        <v>0</v>
      </c>
      <c r="AG3980" s="4">
        <v>0</v>
      </c>
      <c r="AH3980" s="4">
        <v>27</v>
      </c>
      <c r="AI3980" s="4">
        <v>27</v>
      </c>
      <c r="AJ3980" s="4">
        <v>1</v>
      </c>
      <c r="AK3980" s="4">
        <v>1</v>
      </c>
      <c r="AL3980" s="4">
        <v>21</v>
      </c>
      <c r="AM3980" s="4">
        <v>21</v>
      </c>
      <c r="AN3980" s="4">
        <v>0</v>
      </c>
      <c r="AO3980" s="4">
        <v>0</v>
      </c>
      <c r="AP3980" s="4">
        <v>1</v>
      </c>
      <c r="AQ3980" s="4">
        <v>1</v>
      </c>
      <c r="AR3980" s="3" t="s">
        <v>65</v>
      </c>
      <c r="AS3980" s="3" t="s">
        <v>65</v>
      </c>
      <c r="AT3980" s="3" t="s">
        <v>65</v>
      </c>
      <c r="AV3980" s="6" t="str">
        <f>HYPERLINK("http://mcgill.on.worldcat.org/oclc/741557395","Catalog Record")</f>
        <v>Catalog Record</v>
      </c>
      <c r="AW3980" s="6" t="str">
        <f>HYPERLINK("http://www.worldcat.org/oclc/741557395","WorldCat Record")</f>
        <v>WorldCat Record</v>
      </c>
      <c r="AX3980" s="3" t="s">
        <v>39606</v>
      </c>
      <c r="AY3980" s="3" t="s">
        <v>39607</v>
      </c>
      <c r="AZ3980" s="3" t="s">
        <v>39608</v>
      </c>
      <c r="BA3980" s="3" t="s">
        <v>39608</v>
      </c>
      <c r="BB3980" s="3" t="s">
        <v>39609</v>
      </c>
      <c r="BC3980" s="3" t="s">
        <v>77</v>
      </c>
      <c r="BD3980" s="3" t="s">
        <v>78</v>
      </c>
      <c r="BE3980" s="3" t="s">
        <v>39610</v>
      </c>
      <c r="BF3980" s="3" t="s">
        <v>39609</v>
      </c>
      <c r="BG3980" s="3" t="s">
        <v>39611</v>
      </c>
    </row>
    <row r="3981" spans="1:59" ht="58" x14ac:dyDescent="0.35">
      <c r="A3981" s="2" t="s">
        <v>59</v>
      </c>
      <c r="B3981" s="2" t="s">
        <v>60</v>
      </c>
      <c r="C3981" s="2" t="s">
        <v>39612</v>
      </c>
      <c r="D3981" s="2" t="s">
        <v>39613</v>
      </c>
      <c r="E3981" s="2" t="s">
        <v>39614</v>
      </c>
      <c r="G3981" s="3" t="s">
        <v>65</v>
      </c>
      <c r="I3981" s="3" t="s">
        <v>65</v>
      </c>
      <c r="J3981" s="3" t="s">
        <v>65</v>
      </c>
      <c r="K3981" s="3" t="s">
        <v>66</v>
      </c>
      <c r="L3981" s="2" t="s">
        <v>39615</v>
      </c>
      <c r="M3981" s="2" t="s">
        <v>32437</v>
      </c>
      <c r="N3981" s="3" t="s">
        <v>113</v>
      </c>
      <c r="P3981" s="3" t="s">
        <v>140</v>
      </c>
      <c r="Q3981" s="2" t="s">
        <v>39616</v>
      </c>
      <c r="R3981" s="3" t="s">
        <v>71</v>
      </c>
      <c r="S3981" s="4">
        <v>0</v>
      </c>
      <c r="T3981" s="4">
        <v>0</v>
      </c>
      <c r="W3981" s="5" t="s">
        <v>72</v>
      </c>
      <c r="X3981" s="5" t="s">
        <v>72</v>
      </c>
      <c r="Y3981" s="4">
        <v>42</v>
      </c>
      <c r="Z3981" s="4">
        <v>4</v>
      </c>
      <c r="AA3981" s="4">
        <v>4</v>
      </c>
      <c r="AB3981" s="4">
        <v>1</v>
      </c>
      <c r="AC3981" s="4">
        <v>1</v>
      </c>
      <c r="AD3981" s="4">
        <v>29</v>
      </c>
      <c r="AE3981" s="4">
        <v>29</v>
      </c>
      <c r="AF3981" s="4">
        <v>0</v>
      </c>
      <c r="AG3981" s="4">
        <v>0</v>
      </c>
      <c r="AH3981" s="4">
        <v>28</v>
      </c>
      <c r="AI3981" s="4">
        <v>28</v>
      </c>
      <c r="AJ3981" s="4">
        <v>2</v>
      </c>
      <c r="AK3981" s="4">
        <v>2</v>
      </c>
      <c r="AL3981" s="4">
        <v>20</v>
      </c>
      <c r="AM3981" s="4">
        <v>20</v>
      </c>
      <c r="AN3981" s="4">
        <v>0</v>
      </c>
      <c r="AO3981" s="4">
        <v>0</v>
      </c>
      <c r="AP3981" s="4">
        <v>2</v>
      </c>
      <c r="AQ3981" s="4">
        <v>2</v>
      </c>
      <c r="AR3981" s="3" t="s">
        <v>65</v>
      </c>
      <c r="AS3981" s="3" t="s">
        <v>65</v>
      </c>
      <c r="AT3981" s="3" t="s">
        <v>65</v>
      </c>
      <c r="AV3981" s="6" t="str">
        <f>HYPERLINK("http://mcgill.on.worldcat.org/oclc/701206836","Catalog Record")</f>
        <v>Catalog Record</v>
      </c>
      <c r="AW3981" s="6" t="str">
        <f>HYPERLINK("http://www.worldcat.org/oclc/701206836","WorldCat Record")</f>
        <v>WorldCat Record</v>
      </c>
      <c r="AX3981" s="3" t="s">
        <v>39617</v>
      </c>
      <c r="AY3981" s="3" t="s">
        <v>39618</v>
      </c>
      <c r="AZ3981" s="3" t="s">
        <v>39619</v>
      </c>
      <c r="BA3981" s="3" t="s">
        <v>39619</v>
      </c>
      <c r="BB3981" s="3" t="s">
        <v>39620</v>
      </c>
      <c r="BC3981" s="3" t="s">
        <v>77</v>
      </c>
      <c r="BD3981" s="3" t="s">
        <v>78</v>
      </c>
      <c r="BE3981" s="3" t="s">
        <v>39621</v>
      </c>
      <c r="BF3981" s="3" t="s">
        <v>39620</v>
      </c>
      <c r="BG3981" s="3" t="s">
        <v>39622</v>
      </c>
    </row>
    <row r="3982" spans="1:59" ht="58" x14ac:dyDescent="0.35">
      <c r="A3982" s="2" t="s">
        <v>59</v>
      </c>
      <c r="B3982" s="2" t="s">
        <v>60</v>
      </c>
      <c r="C3982" s="2" t="s">
        <v>39623</v>
      </c>
      <c r="D3982" s="2" t="s">
        <v>39624</v>
      </c>
      <c r="E3982" s="2" t="s">
        <v>39625</v>
      </c>
      <c r="G3982" s="3" t="s">
        <v>65</v>
      </c>
      <c r="I3982" s="3" t="s">
        <v>65</v>
      </c>
      <c r="J3982" s="3" t="s">
        <v>65</v>
      </c>
      <c r="K3982" s="3" t="s">
        <v>66</v>
      </c>
      <c r="L3982" s="2" t="s">
        <v>31429</v>
      </c>
      <c r="M3982" s="2" t="s">
        <v>39626</v>
      </c>
      <c r="N3982" s="3" t="s">
        <v>139</v>
      </c>
      <c r="P3982" s="3" t="s">
        <v>140</v>
      </c>
      <c r="Q3982" s="2" t="s">
        <v>39627</v>
      </c>
      <c r="R3982" s="3" t="s">
        <v>71</v>
      </c>
      <c r="S3982" s="4">
        <v>0</v>
      </c>
      <c r="T3982" s="4">
        <v>0</v>
      </c>
      <c r="W3982" s="5" t="s">
        <v>72</v>
      </c>
      <c r="X3982" s="5" t="s">
        <v>72</v>
      </c>
      <c r="Y3982" s="4">
        <v>40</v>
      </c>
      <c r="Z3982" s="4">
        <v>4</v>
      </c>
      <c r="AA3982" s="4">
        <v>4</v>
      </c>
      <c r="AB3982" s="4">
        <v>1</v>
      </c>
      <c r="AC3982" s="4">
        <v>1</v>
      </c>
      <c r="AD3982" s="4">
        <v>29</v>
      </c>
      <c r="AE3982" s="4">
        <v>29</v>
      </c>
      <c r="AF3982" s="4">
        <v>0</v>
      </c>
      <c r="AG3982" s="4">
        <v>0</v>
      </c>
      <c r="AH3982" s="4">
        <v>28</v>
      </c>
      <c r="AI3982" s="4">
        <v>28</v>
      </c>
      <c r="AJ3982" s="4">
        <v>2</v>
      </c>
      <c r="AK3982" s="4">
        <v>2</v>
      </c>
      <c r="AL3982" s="4">
        <v>22</v>
      </c>
      <c r="AM3982" s="4">
        <v>22</v>
      </c>
      <c r="AN3982" s="4">
        <v>0</v>
      </c>
      <c r="AO3982" s="4">
        <v>0</v>
      </c>
      <c r="AP3982" s="4">
        <v>2</v>
      </c>
      <c r="AQ3982" s="4">
        <v>2</v>
      </c>
      <c r="AR3982" s="3" t="s">
        <v>65</v>
      </c>
      <c r="AS3982" s="3" t="s">
        <v>65</v>
      </c>
      <c r="AT3982" s="3" t="s">
        <v>65</v>
      </c>
      <c r="AV3982" s="6" t="str">
        <f>HYPERLINK("http://mcgill.on.worldcat.org/oclc/811589252","Catalog Record")</f>
        <v>Catalog Record</v>
      </c>
      <c r="AW3982" s="6" t="str">
        <f>HYPERLINK("http://www.worldcat.org/oclc/811589252","WorldCat Record")</f>
        <v>WorldCat Record</v>
      </c>
      <c r="AX3982" s="3" t="s">
        <v>39628</v>
      </c>
      <c r="AY3982" s="3" t="s">
        <v>39629</v>
      </c>
      <c r="AZ3982" s="3" t="s">
        <v>39630</v>
      </c>
      <c r="BA3982" s="3" t="s">
        <v>39630</v>
      </c>
      <c r="BB3982" s="3" t="s">
        <v>39631</v>
      </c>
      <c r="BC3982" s="3" t="s">
        <v>77</v>
      </c>
      <c r="BD3982" s="3" t="s">
        <v>78</v>
      </c>
      <c r="BE3982" s="3" t="s">
        <v>39632</v>
      </c>
      <c r="BF3982" s="3" t="s">
        <v>39631</v>
      </c>
      <c r="BG3982" s="3" t="s">
        <v>39633</v>
      </c>
    </row>
    <row r="3983" spans="1:59" ht="58" x14ac:dyDescent="0.35">
      <c r="A3983" s="2" t="s">
        <v>59</v>
      </c>
      <c r="B3983" s="2" t="s">
        <v>60</v>
      </c>
      <c r="C3983" s="2" t="s">
        <v>39634</v>
      </c>
      <c r="D3983" s="2" t="s">
        <v>39635</v>
      </c>
      <c r="E3983" s="2" t="s">
        <v>39636</v>
      </c>
      <c r="G3983" s="3" t="s">
        <v>65</v>
      </c>
      <c r="I3983" s="3" t="s">
        <v>65</v>
      </c>
      <c r="J3983" s="3" t="s">
        <v>65</v>
      </c>
      <c r="K3983" s="3" t="s">
        <v>66</v>
      </c>
      <c r="L3983" s="2" t="s">
        <v>39637</v>
      </c>
      <c r="M3983" s="2" t="s">
        <v>8033</v>
      </c>
      <c r="N3983" s="3" t="s">
        <v>1122</v>
      </c>
      <c r="O3983" s="2" t="s">
        <v>365</v>
      </c>
      <c r="P3983" s="3" t="s">
        <v>140</v>
      </c>
      <c r="Q3983" s="2" t="s">
        <v>39638</v>
      </c>
      <c r="R3983" s="3" t="s">
        <v>71</v>
      </c>
      <c r="S3983" s="4">
        <v>1</v>
      </c>
      <c r="T3983" s="4">
        <v>1</v>
      </c>
      <c r="U3983" s="5" t="s">
        <v>6227</v>
      </c>
      <c r="V3983" s="5" t="s">
        <v>6227</v>
      </c>
      <c r="W3983" s="5" t="s">
        <v>72</v>
      </c>
      <c r="X3983" s="5" t="s">
        <v>72</v>
      </c>
      <c r="Y3983" s="4">
        <v>28</v>
      </c>
      <c r="Z3983" s="4">
        <v>3</v>
      </c>
      <c r="AA3983" s="4">
        <v>4</v>
      </c>
      <c r="AB3983" s="4">
        <v>1</v>
      </c>
      <c r="AC3983" s="4">
        <v>2</v>
      </c>
      <c r="AD3983" s="4">
        <v>17</v>
      </c>
      <c r="AE3983" s="4">
        <v>18</v>
      </c>
      <c r="AF3983" s="4">
        <v>0</v>
      </c>
      <c r="AG3983" s="4">
        <v>1</v>
      </c>
      <c r="AH3983" s="4">
        <v>16</v>
      </c>
      <c r="AI3983" s="4">
        <v>16</v>
      </c>
      <c r="AJ3983" s="4">
        <v>1</v>
      </c>
      <c r="AK3983" s="4">
        <v>2</v>
      </c>
      <c r="AL3983" s="4">
        <v>15</v>
      </c>
      <c r="AM3983" s="4">
        <v>15</v>
      </c>
      <c r="AN3983" s="4">
        <v>0</v>
      </c>
      <c r="AO3983" s="4">
        <v>0</v>
      </c>
      <c r="AP3983" s="4">
        <v>1</v>
      </c>
      <c r="AQ3983" s="4">
        <v>1</v>
      </c>
      <c r="AR3983" s="3" t="s">
        <v>65</v>
      </c>
      <c r="AS3983" s="3" t="s">
        <v>65</v>
      </c>
      <c r="AT3983" s="3" t="s">
        <v>65</v>
      </c>
      <c r="AV3983" s="6" t="str">
        <f>HYPERLINK("http://mcgill.on.worldcat.org/oclc/441149535","Catalog Record")</f>
        <v>Catalog Record</v>
      </c>
      <c r="AW3983" s="6" t="str">
        <f>HYPERLINK("http://www.worldcat.org/oclc/441149535","WorldCat Record")</f>
        <v>WorldCat Record</v>
      </c>
      <c r="AX3983" s="3" t="s">
        <v>39639</v>
      </c>
      <c r="AY3983" s="3" t="s">
        <v>39640</v>
      </c>
      <c r="AZ3983" s="3" t="s">
        <v>39641</v>
      </c>
      <c r="BA3983" s="3" t="s">
        <v>39641</v>
      </c>
      <c r="BB3983" s="3" t="s">
        <v>39642</v>
      </c>
      <c r="BC3983" s="3" t="s">
        <v>77</v>
      </c>
      <c r="BD3983" s="3" t="s">
        <v>78</v>
      </c>
      <c r="BE3983" s="3" t="s">
        <v>39643</v>
      </c>
      <c r="BF3983" s="3" t="s">
        <v>39642</v>
      </c>
      <c r="BG3983" s="3" t="s">
        <v>39644</v>
      </c>
    </row>
    <row r="3984" spans="1:59" ht="58" x14ac:dyDescent="0.35">
      <c r="A3984" s="2" t="s">
        <v>59</v>
      </c>
      <c r="B3984" s="2" t="s">
        <v>60</v>
      </c>
      <c r="C3984" s="2" t="s">
        <v>39645</v>
      </c>
      <c r="D3984" s="2" t="s">
        <v>39646</v>
      </c>
      <c r="E3984" s="2" t="s">
        <v>39647</v>
      </c>
      <c r="F3984" s="3" t="s">
        <v>39648</v>
      </c>
      <c r="G3984" s="3" t="s">
        <v>65</v>
      </c>
      <c r="I3984" s="3" t="s">
        <v>65</v>
      </c>
      <c r="J3984" s="3" t="s">
        <v>65</v>
      </c>
      <c r="K3984" s="3" t="s">
        <v>66</v>
      </c>
      <c r="M3984" s="2" t="s">
        <v>4727</v>
      </c>
      <c r="N3984" s="3" t="s">
        <v>126</v>
      </c>
      <c r="P3984" s="3" t="s">
        <v>140</v>
      </c>
      <c r="Q3984" s="2" t="s">
        <v>39649</v>
      </c>
      <c r="R3984" s="3" t="s">
        <v>71</v>
      </c>
      <c r="S3984" s="4">
        <v>0</v>
      </c>
      <c r="T3984" s="4">
        <v>0</v>
      </c>
      <c r="W3984" s="5" t="s">
        <v>72</v>
      </c>
      <c r="X3984" s="5" t="s">
        <v>72</v>
      </c>
      <c r="Y3984" s="4">
        <v>36</v>
      </c>
      <c r="Z3984" s="4">
        <v>4</v>
      </c>
      <c r="AA3984" s="4">
        <v>4</v>
      </c>
      <c r="AB3984" s="4">
        <v>1</v>
      </c>
      <c r="AC3984" s="4">
        <v>1</v>
      </c>
      <c r="AD3984" s="4">
        <v>25</v>
      </c>
      <c r="AE3984" s="4">
        <v>29</v>
      </c>
      <c r="AF3984" s="4">
        <v>0</v>
      </c>
      <c r="AG3984" s="4">
        <v>0</v>
      </c>
      <c r="AH3984" s="4">
        <v>24</v>
      </c>
      <c r="AI3984" s="4">
        <v>28</v>
      </c>
      <c r="AJ3984" s="4">
        <v>2</v>
      </c>
      <c r="AK3984" s="4">
        <v>2</v>
      </c>
      <c r="AL3984" s="4">
        <v>20</v>
      </c>
      <c r="AM3984" s="4">
        <v>24</v>
      </c>
      <c r="AN3984" s="4">
        <v>0</v>
      </c>
      <c r="AO3984" s="4">
        <v>0</v>
      </c>
      <c r="AP3984" s="4">
        <v>2</v>
      </c>
      <c r="AQ3984" s="4">
        <v>2</v>
      </c>
      <c r="AR3984" s="3" t="s">
        <v>65</v>
      </c>
      <c r="AS3984" s="3" t="s">
        <v>65</v>
      </c>
      <c r="AT3984" s="3" t="s">
        <v>65</v>
      </c>
      <c r="AV3984" s="6" t="str">
        <f>HYPERLINK("http://mcgill.on.worldcat.org/oclc/713180277","Catalog Record")</f>
        <v>Catalog Record</v>
      </c>
      <c r="AW3984" s="6" t="str">
        <f>HYPERLINK("http://www.worldcat.org/oclc/713180277","WorldCat Record")</f>
        <v>WorldCat Record</v>
      </c>
      <c r="AX3984" s="3" t="s">
        <v>39650</v>
      </c>
      <c r="AY3984" s="3" t="s">
        <v>39651</v>
      </c>
      <c r="AZ3984" s="3" t="s">
        <v>39652</v>
      </c>
      <c r="BA3984" s="3" t="s">
        <v>39652</v>
      </c>
      <c r="BB3984" s="3" t="s">
        <v>39653</v>
      </c>
      <c r="BC3984" s="3" t="s">
        <v>77</v>
      </c>
      <c r="BD3984" s="3" t="s">
        <v>78</v>
      </c>
      <c r="BE3984" s="3" t="s">
        <v>39654</v>
      </c>
      <c r="BF3984" s="3" t="s">
        <v>39653</v>
      </c>
      <c r="BG3984" s="3" t="s">
        <v>39655</v>
      </c>
    </row>
    <row r="3985" spans="1:59" ht="58" x14ac:dyDescent="0.35">
      <c r="A3985" s="2" t="s">
        <v>59</v>
      </c>
      <c r="B3985" s="2" t="s">
        <v>60</v>
      </c>
      <c r="C3985" s="2" t="s">
        <v>39656</v>
      </c>
      <c r="D3985" s="2" t="s">
        <v>39657</v>
      </c>
      <c r="E3985" s="2" t="s">
        <v>39658</v>
      </c>
      <c r="G3985" s="3" t="s">
        <v>65</v>
      </c>
      <c r="I3985" s="3" t="s">
        <v>65</v>
      </c>
      <c r="J3985" s="3" t="s">
        <v>65</v>
      </c>
      <c r="K3985" s="3" t="s">
        <v>66</v>
      </c>
      <c r="L3985" s="2" t="s">
        <v>39659</v>
      </c>
      <c r="M3985" s="2" t="s">
        <v>39660</v>
      </c>
      <c r="N3985" s="3" t="s">
        <v>1967</v>
      </c>
      <c r="P3985" s="3" t="s">
        <v>140</v>
      </c>
      <c r="Q3985" s="2" t="s">
        <v>39661</v>
      </c>
      <c r="R3985" s="3" t="s">
        <v>71</v>
      </c>
      <c r="S3985" s="4">
        <v>1</v>
      </c>
      <c r="T3985" s="4">
        <v>1</v>
      </c>
      <c r="U3985" s="5" t="s">
        <v>6227</v>
      </c>
      <c r="V3985" s="5" t="s">
        <v>6227</v>
      </c>
      <c r="W3985" s="5" t="s">
        <v>72</v>
      </c>
      <c r="X3985" s="5" t="s">
        <v>72</v>
      </c>
      <c r="Y3985" s="4">
        <v>48</v>
      </c>
      <c r="Z3985" s="4">
        <v>5</v>
      </c>
      <c r="AA3985" s="4">
        <v>5</v>
      </c>
      <c r="AB3985" s="4">
        <v>1</v>
      </c>
      <c r="AC3985" s="4">
        <v>1</v>
      </c>
      <c r="AD3985" s="4">
        <v>30</v>
      </c>
      <c r="AE3985" s="4">
        <v>30</v>
      </c>
      <c r="AF3985" s="4">
        <v>0</v>
      </c>
      <c r="AG3985" s="4">
        <v>0</v>
      </c>
      <c r="AH3985" s="4">
        <v>29</v>
      </c>
      <c r="AI3985" s="4">
        <v>29</v>
      </c>
      <c r="AJ3985" s="4">
        <v>3</v>
      </c>
      <c r="AK3985" s="4">
        <v>3</v>
      </c>
      <c r="AL3985" s="4">
        <v>22</v>
      </c>
      <c r="AM3985" s="4">
        <v>22</v>
      </c>
      <c r="AN3985" s="4">
        <v>0</v>
      </c>
      <c r="AO3985" s="4">
        <v>0</v>
      </c>
      <c r="AP3985" s="4">
        <v>3</v>
      </c>
      <c r="AQ3985" s="4">
        <v>3</v>
      </c>
      <c r="AR3985" s="3" t="s">
        <v>65</v>
      </c>
      <c r="AS3985" s="3" t="s">
        <v>65</v>
      </c>
      <c r="AT3985" s="3" t="s">
        <v>209</v>
      </c>
      <c r="AU3985" s="6" t="str">
        <f>HYPERLINK("http://catalog.hathitrust.org/Record/004929414","HathiTrust Record")</f>
        <v>HathiTrust Record</v>
      </c>
      <c r="AV3985" s="6" t="str">
        <f>HYPERLINK("http://mcgill.on.worldcat.org/oclc/56701680","Catalog Record")</f>
        <v>Catalog Record</v>
      </c>
      <c r="AW3985" s="6" t="str">
        <f>HYPERLINK("http://www.worldcat.org/oclc/56701680","WorldCat Record")</f>
        <v>WorldCat Record</v>
      </c>
      <c r="AX3985" s="3" t="s">
        <v>39662</v>
      </c>
      <c r="AY3985" s="3" t="s">
        <v>39663</v>
      </c>
      <c r="AZ3985" s="3" t="s">
        <v>39664</v>
      </c>
      <c r="BA3985" s="3" t="s">
        <v>39664</v>
      </c>
      <c r="BB3985" s="3" t="s">
        <v>39665</v>
      </c>
      <c r="BC3985" s="3" t="s">
        <v>77</v>
      </c>
      <c r="BD3985" s="3" t="s">
        <v>78</v>
      </c>
      <c r="BE3985" s="3" t="s">
        <v>39666</v>
      </c>
      <c r="BF3985" s="3" t="s">
        <v>39665</v>
      </c>
      <c r="BG3985" s="3" t="s">
        <v>39667</v>
      </c>
    </row>
    <row r="3986" spans="1:59" ht="58" x14ac:dyDescent="0.35">
      <c r="A3986" s="2" t="s">
        <v>59</v>
      </c>
      <c r="B3986" s="2" t="s">
        <v>60</v>
      </c>
      <c r="C3986" s="2" t="s">
        <v>39668</v>
      </c>
      <c r="D3986" s="2" t="s">
        <v>39669</v>
      </c>
      <c r="E3986" s="2" t="s">
        <v>39670</v>
      </c>
      <c r="G3986" s="3" t="s">
        <v>65</v>
      </c>
      <c r="I3986" s="3" t="s">
        <v>65</v>
      </c>
      <c r="J3986" s="3" t="s">
        <v>65</v>
      </c>
      <c r="K3986" s="3" t="s">
        <v>66</v>
      </c>
      <c r="L3986" s="2" t="s">
        <v>39671</v>
      </c>
      <c r="M3986" s="2" t="s">
        <v>32425</v>
      </c>
      <c r="N3986" s="3" t="s">
        <v>139</v>
      </c>
      <c r="P3986" s="3" t="s">
        <v>140</v>
      </c>
      <c r="Q3986" s="2" t="s">
        <v>39672</v>
      </c>
      <c r="R3986" s="3" t="s">
        <v>71</v>
      </c>
      <c r="S3986" s="4">
        <v>0</v>
      </c>
      <c r="T3986" s="4">
        <v>0</v>
      </c>
      <c r="W3986" s="5" t="s">
        <v>72</v>
      </c>
      <c r="X3986" s="5" t="s">
        <v>72</v>
      </c>
      <c r="Y3986" s="4">
        <v>32</v>
      </c>
      <c r="Z3986" s="4">
        <v>4</v>
      </c>
      <c r="AA3986" s="4">
        <v>4</v>
      </c>
      <c r="AB3986" s="4">
        <v>1</v>
      </c>
      <c r="AC3986" s="4">
        <v>1</v>
      </c>
      <c r="AD3986" s="4">
        <v>23</v>
      </c>
      <c r="AE3986" s="4">
        <v>23</v>
      </c>
      <c r="AF3986" s="4">
        <v>0</v>
      </c>
      <c r="AG3986" s="4">
        <v>0</v>
      </c>
      <c r="AH3986" s="4">
        <v>22</v>
      </c>
      <c r="AI3986" s="4">
        <v>22</v>
      </c>
      <c r="AJ3986" s="4">
        <v>2</v>
      </c>
      <c r="AK3986" s="4">
        <v>2</v>
      </c>
      <c r="AL3986" s="4">
        <v>18</v>
      </c>
      <c r="AM3986" s="4">
        <v>18</v>
      </c>
      <c r="AN3986" s="4">
        <v>0</v>
      </c>
      <c r="AO3986" s="4">
        <v>0</v>
      </c>
      <c r="AP3986" s="4">
        <v>2</v>
      </c>
      <c r="AQ3986" s="4">
        <v>2</v>
      </c>
      <c r="AR3986" s="3" t="s">
        <v>65</v>
      </c>
      <c r="AS3986" s="3" t="s">
        <v>65</v>
      </c>
      <c r="AT3986" s="3" t="s">
        <v>65</v>
      </c>
      <c r="AV3986" s="6" t="str">
        <f>HYPERLINK("http://mcgill.on.worldcat.org/oclc/799998772","Catalog Record")</f>
        <v>Catalog Record</v>
      </c>
      <c r="AW3986" s="6" t="str">
        <f>HYPERLINK("http://www.worldcat.org/oclc/799998772","WorldCat Record")</f>
        <v>WorldCat Record</v>
      </c>
      <c r="AX3986" s="3" t="s">
        <v>39673</v>
      </c>
      <c r="AY3986" s="3" t="s">
        <v>39674</v>
      </c>
      <c r="AZ3986" s="3" t="s">
        <v>39675</v>
      </c>
      <c r="BA3986" s="3" t="s">
        <v>39675</v>
      </c>
      <c r="BB3986" s="3" t="s">
        <v>39676</v>
      </c>
      <c r="BC3986" s="3" t="s">
        <v>77</v>
      </c>
      <c r="BD3986" s="3" t="s">
        <v>78</v>
      </c>
      <c r="BE3986" s="3" t="s">
        <v>39677</v>
      </c>
      <c r="BF3986" s="3" t="s">
        <v>39676</v>
      </c>
      <c r="BG3986" s="3" t="s">
        <v>39678</v>
      </c>
    </row>
    <row r="3987" spans="1:59" ht="58" x14ac:dyDescent="0.35">
      <c r="A3987" s="2" t="s">
        <v>59</v>
      </c>
      <c r="B3987" s="2" t="s">
        <v>60</v>
      </c>
      <c r="C3987" s="2" t="s">
        <v>39679</v>
      </c>
      <c r="D3987" s="2" t="s">
        <v>39680</v>
      </c>
      <c r="E3987" s="2" t="s">
        <v>39681</v>
      </c>
      <c r="G3987" s="3" t="s">
        <v>65</v>
      </c>
      <c r="I3987" s="3" t="s">
        <v>65</v>
      </c>
      <c r="J3987" s="3" t="s">
        <v>65</v>
      </c>
      <c r="K3987" s="3" t="s">
        <v>66</v>
      </c>
      <c r="L3987" s="2" t="s">
        <v>39682</v>
      </c>
      <c r="M3987" s="2" t="s">
        <v>39683</v>
      </c>
      <c r="N3987" s="3" t="s">
        <v>86</v>
      </c>
      <c r="O3987" s="2" t="s">
        <v>235</v>
      </c>
      <c r="P3987" s="3" t="s">
        <v>140</v>
      </c>
      <c r="Q3987" s="2" t="s">
        <v>33472</v>
      </c>
      <c r="R3987" s="3" t="s">
        <v>71</v>
      </c>
      <c r="S3987" s="4">
        <v>0</v>
      </c>
      <c r="T3987" s="4">
        <v>0</v>
      </c>
      <c r="W3987" s="5" t="s">
        <v>4229</v>
      </c>
      <c r="X3987" s="5" t="s">
        <v>4229</v>
      </c>
      <c r="Y3987" s="4">
        <v>14</v>
      </c>
      <c r="Z3987" s="4">
        <v>1</v>
      </c>
      <c r="AA3987" s="4">
        <v>1</v>
      </c>
      <c r="AB3987" s="4">
        <v>1</v>
      </c>
      <c r="AC3987" s="4">
        <v>1</v>
      </c>
      <c r="AD3987" s="4">
        <v>8</v>
      </c>
      <c r="AE3987" s="4">
        <v>8</v>
      </c>
      <c r="AF3987" s="4">
        <v>0</v>
      </c>
      <c r="AG3987" s="4">
        <v>0</v>
      </c>
      <c r="AH3987" s="4">
        <v>7</v>
      </c>
      <c r="AI3987" s="4">
        <v>7</v>
      </c>
      <c r="AJ3987" s="4">
        <v>0</v>
      </c>
      <c r="AK3987" s="4">
        <v>0</v>
      </c>
      <c r="AL3987" s="4">
        <v>7</v>
      </c>
      <c r="AM3987" s="4">
        <v>7</v>
      </c>
      <c r="AN3987" s="4">
        <v>0</v>
      </c>
      <c r="AO3987" s="4">
        <v>0</v>
      </c>
      <c r="AP3987" s="4">
        <v>0</v>
      </c>
      <c r="AQ3987" s="4">
        <v>0</v>
      </c>
      <c r="AR3987" s="3" t="s">
        <v>65</v>
      </c>
      <c r="AS3987" s="3" t="s">
        <v>65</v>
      </c>
      <c r="AT3987" s="3" t="s">
        <v>65</v>
      </c>
      <c r="AV3987" s="6" t="str">
        <f>HYPERLINK("http://mcgill.on.worldcat.org/oclc/1020278835","Catalog Record")</f>
        <v>Catalog Record</v>
      </c>
      <c r="AW3987" s="6" t="str">
        <f>HYPERLINK("http://www.worldcat.org/oclc/1020278835","WorldCat Record")</f>
        <v>WorldCat Record</v>
      </c>
      <c r="AX3987" s="3" t="s">
        <v>39684</v>
      </c>
      <c r="AY3987" s="3" t="s">
        <v>39685</v>
      </c>
      <c r="AZ3987" s="3" t="s">
        <v>39686</v>
      </c>
      <c r="BA3987" s="3" t="s">
        <v>39686</v>
      </c>
      <c r="BB3987" s="3" t="s">
        <v>39687</v>
      </c>
      <c r="BC3987" s="3" t="s">
        <v>77</v>
      </c>
      <c r="BD3987" s="3" t="s">
        <v>78</v>
      </c>
      <c r="BE3987" s="3" t="s">
        <v>39688</v>
      </c>
      <c r="BF3987" s="3" t="s">
        <v>39687</v>
      </c>
      <c r="BG3987" s="3" t="s">
        <v>39689</v>
      </c>
    </row>
    <row r="3988" spans="1:59" ht="58" x14ac:dyDescent="0.35">
      <c r="A3988" s="2" t="s">
        <v>59</v>
      </c>
      <c r="B3988" s="2" t="s">
        <v>60</v>
      </c>
      <c r="C3988" s="2" t="s">
        <v>39690</v>
      </c>
      <c r="D3988" s="2" t="s">
        <v>39691</v>
      </c>
      <c r="E3988" s="2" t="s">
        <v>39692</v>
      </c>
      <c r="G3988" s="3" t="s">
        <v>65</v>
      </c>
      <c r="I3988" s="3" t="s">
        <v>65</v>
      </c>
      <c r="J3988" s="3" t="s">
        <v>65</v>
      </c>
      <c r="K3988" s="3" t="s">
        <v>66</v>
      </c>
      <c r="L3988" s="2" t="s">
        <v>39693</v>
      </c>
      <c r="M3988" s="2" t="s">
        <v>36058</v>
      </c>
      <c r="N3988" s="3" t="s">
        <v>139</v>
      </c>
      <c r="P3988" s="3" t="s">
        <v>140</v>
      </c>
      <c r="Q3988" s="2" t="s">
        <v>22005</v>
      </c>
      <c r="R3988" s="3" t="s">
        <v>71</v>
      </c>
      <c r="S3988" s="4">
        <v>0</v>
      </c>
      <c r="T3988" s="4">
        <v>0</v>
      </c>
      <c r="W3988" s="5" t="s">
        <v>72</v>
      </c>
      <c r="X3988" s="5" t="s">
        <v>72</v>
      </c>
      <c r="Y3988" s="4">
        <v>14</v>
      </c>
      <c r="Z3988" s="4">
        <v>1</v>
      </c>
      <c r="AA3988" s="4">
        <v>5</v>
      </c>
      <c r="AB3988" s="4">
        <v>1</v>
      </c>
      <c r="AC3988" s="4">
        <v>1</v>
      </c>
      <c r="AD3988" s="4">
        <v>3</v>
      </c>
      <c r="AE3988" s="4">
        <v>32</v>
      </c>
      <c r="AF3988" s="4">
        <v>0</v>
      </c>
      <c r="AG3988" s="4">
        <v>0</v>
      </c>
      <c r="AH3988" s="4">
        <v>3</v>
      </c>
      <c r="AI3988" s="4">
        <v>31</v>
      </c>
      <c r="AJ3988" s="4">
        <v>0</v>
      </c>
      <c r="AK3988" s="4">
        <v>3</v>
      </c>
      <c r="AL3988" s="4">
        <v>3</v>
      </c>
      <c r="AM3988" s="4">
        <v>24</v>
      </c>
      <c r="AN3988" s="4">
        <v>0</v>
      </c>
      <c r="AO3988" s="4">
        <v>0</v>
      </c>
      <c r="AP3988" s="4">
        <v>0</v>
      </c>
      <c r="AQ3988" s="4">
        <v>3</v>
      </c>
      <c r="AR3988" s="3" t="s">
        <v>65</v>
      </c>
      <c r="AS3988" s="3" t="s">
        <v>65</v>
      </c>
      <c r="AT3988" s="3" t="s">
        <v>65</v>
      </c>
      <c r="AV3988" s="6" t="str">
        <f>HYPERLINK("http://mcgill.on.worldcat.org/oclc/793040236","Catalog Record")</f>
        <v>Catalog Record</v>
      </c>
      <c r="AW3988" s="6" t="str">
        <f>HYPERLINK("http://www.worldcat.org/oclc/793040236","WorldCat Record")</f>
        <v>WorldCat Record</v>
      </c>
      <c r="AX3988" s="3" t="s">
        <v>39694</v>
      </c>
      <c r="AY3988" s="3" t="s">
        <v>39695</v>
      </c>
      <c r="AZ3988" s="3" t="s">
        <v>39696</v>
      </c>
      <c r="BA3988" s="3" t="s">
        <v>39696</v>
      </c>
      <c r="BB3988" s="3" t="s">
        <v>39697</v>
      </c>
      <c r="BC3988" s="3" t="s">
        <v>77</v>
      </c>
      <c r="BD3988" s="3" t="s">
        <v>78</v>
      </c>
      <c r="BE3988" s="3" t="s">
        <v>39698</v>
      </c>
      <c r="BF3988" s="3" t="s">
        <v>39697</v>
      </c>
      <c r="BG3988" s="3" t="s">
        <v>39699</v>
      </c>
    </row>
    <row r="3989" spans="1:59" ht="58" x14ac:dyDescent="0.35">
      <c r="A3989" s="2" t="s">
        <v>59</v>
      </c>
      <c r="B3989" s="2" t="s">
        <v>60</v>
      </c>
      <c r="C3989" s="2" t="s">
        <v>39700</v>
      </c>
      <c r="D3989" s="2" t="s">
        <v>39701</v>
      </c>
      <c r="E3989" s="2" t="s">
        <v>39702</v>
      </c>
      <c r="G3989" s="3" t="s">
        <v>65</v>
      </c>
      <c r="I3989" s="3" t="s">
        <v>65</v>
      </c>
      <c r="J3989" s="3" t="s">
        <v>65</v>
      </c>
      <c r="K3989" s="3" t="s">
        <v>66</v>
      </c>
      <c r="L3989" s="2" t="s">
        <v>39703</v>
      </c>
      <c r="M3989" s="2" t="s">
        <v>39704</v>
      </c>
      <c r="N3989" s="3" t="s">
        <v>176</v>
      </c>
      <c r="O3989" s="2" t="s">
        <v>235</v>
      </c>
      <c r="P3989" s="3" t="s">
        <v>140</v>
      </c>
      <c r="Q3989" s="2" t="s">
        <v>34928</v>
      </c>
      <c r="R3989" s="3" t="s">
        <v>71</v>
      </c>
      <c r="S3989" s="4">
        <v>0</v>
      </c>
      <c r="T3989" s="4">
        <v>0</v>
      </c>
      <c r="W3989" s="5" t="s">
        <v>72</v>
      </c>
      <c r="X3989" s="5" t="s">
        <v>72</v>
      </c>
      <c r="Y3989" s="4">
        <v>46</v>
      </c>
      <c r="Z3989" s="4">
        <v>5</v>
      </c>
      <c r="AA3989" s="4">
        <v>6</v>
      </c>
      <c r="AB3989" s="4">
        <v>1</v>
      </c>
      <c r="AC3989" s="4">
        <v>2</v>
      </c>
      <c r="AD3989" s="4">
        <v>30</v>
      </c>
      <c r="AE3989" s="4">
        <v>30</v>
      </c>
      <c r="AF3989" s="4">
        <v>0</v>
      </c>
      <c r="AG3989" s="4">
        <v>0</v>
      </c>
      <c r="AH3989" s="4">
        <v>28</v>
      </c>
      <c r="AI3989" s="4">
        <v>28</v>
      </c>
      <c r="AJ3989" s="4">
        <v>2</v>
      </c>
      <c r="AK3989" s="4">
        <v>2</v>
      </c>
      <c r="AL3989" s="4">
        <v>23</v>
      </c>
      <c r="AM3989" s="4">
        <v>23</v>
      </c>
      <c r="AN3989" s="4">
        <v>0</v>
      </c>
      <c r="AO3989" s="4">
        <v>0</v>
      </c>
      <c r="AP3989" s="4">
        <v>2</v>
      </c>
      <c r="AQ3989" s="4">
        <v>2</v>
      </c>
      <c r="AR3989" s="3" t="s">
        <v>65</v>
      </c>
      <c r="AS3989" s="3" t="s">
        <v>65</v>
      </c>
      <c r="AT3989" s="3" t="s">
        <v>65</v>
      </c>
      <c r="AV3989" s="6" t="str">
        <f>HYPERLINK("http://mcgill.on.worldcat.org/oclc/904746688","Catalog Record")</f>
        <v>Catalog Record</v>
      </c>
      <c r="AW3989" s="6" t="str">
        <f>HYPERLINK("http://www.worldcat.org/oclc/904746688","WorldCat Record")</f>
        <v>WorldCat Record</v>
      </c>
      <c r="AX3989" s="3" t="s">
        <v>39705</v>
      </c>
      <c r="AY3989" s="3" t="s">
        <v>39706</v>
      </c>
      <c r="AZ3989" s="3" t="s">
        <v>39707</v>
      </c>
      <c r="BA3989" s="3" t="s">
        <v>39707</v>
      </c>
      <c r="BB3989" s="3" t="s">
        <v>39708</v>
      </c>
      <c r="BC3989" s="3" t="s">
        <v>77</v>
      </c>
      <c r="BD3989" s="3" t="s">
        <v>78</v>
      </c>
      <c r="BE3989" s="3" t="s">
        <v>39709</v>
      </c>
      <c r="BF3989" s="3" t="s">
        <v>39708</v>
      </c>
      <c r="BG3989" s="3" t="s">
        <v>39710</v>
      </c>
    </row>
    <row r="3990" spans="1:59" ht="58" x14ac:dyDescent="0.35">
      <c r="A3990" s="2" t="s">
        <v>59</v>
      </c>
      <c r="B3990" s="2" t="s">
        <v>60</v>
      </c>
      <c r="C3990" s="2" t="s">
        <v>39711</v>
      </c>
      <c r="D3990" s="2" t="s">
        <v>39712</v>
      </c>
      <c r="E3990" s="2" t="s">
        <v>39713</v>
      </c>
      <c r="G3990" s="3" t="s">
        <v>65</v>
      </c>
      <c r="I3990" s="3" t="s">
        <v>65</v>
      </c>
      <c r="J3990" s="3" t="s">
        <v>65</v>
      </c>
      <c r="K3990" s="3" t="s">
        <v>66</v>
      </c>
      <c r="L3990" s="2" t="s">
        <v>39714</v>
      </c>
      <c r="M3990" s="2" t="s">
        <v>200</v>
      </c>
      <c r="N3990" s="3" t="s">
        <v>139</v>
      </c>
      <c r="P3990" s="3" t="s">
        <v>140</v>
      </c>
      <c r="Q3990" s="2" t="s">
        <v>39715</v>
      </c>
      <c r="R3990" s="3" t="s">
        <v>71</v>
      </c>
      <c r="S3990" s="4">
        <v>0</v>
      </c>
      <c r="T3990" s="4">
        <v>0</v>
      </c>
      <c r="W3990" s="5" t="s">
        <v>72</v>
      </c>
      <c r="X3990" s="5" t="s">
        <v>72</v>
      </c>
      <c r="Y3990" s="4">
        <v>37</v>
      </c>
      <c r="Z3990" s="4">
        <v>3</v>
      </c>
      <c r="AA3990" s="4">
        <v>3</v>
      </c>
      <c r="AB3990" s="4">
        <v>1</v>
      </c>
      <c r="AC3990" s="4">
        <v>1</v>
      </c>
      <c r="AD3990" s="4">
        <v>25</v>
      </c>
      <c r="AE3990" s="4">
        <v>25</v>
      </c>
      <c r="AF3990" s="4">
        <v>0</v>
      </c>
      <c r="AG3990" s="4">
        <v>0</v>
      </c>
      <c r="AH3990" s="4">
        <v>24</v>
      </c>
      <c r="AI3990" s="4">
        <v>24</v>
      </c>
      <c r="AJ3990" s="4">
        <v>1</v>
      </c>
      <c r="AK3990" s="4">
        <v>1</v>
      </c>
      <c r="AL3990" s="4">
        <v>19</v>
      </c>
      <c r="AM3990" s="4">
        <v>19</v>
      </c>
      <c r="AN3990" s="4">
        <v>0</v>
      </c>
      <c r="AO3990" s="4">
        <v>0</v>
      </c>
      <c r="AP3990" s="4">
        <v>1</v>
      </c>
      <c r="AQ3990" s="4">
        <v>1</v>
      </c>
      <c r="AR3990" s="3" t="s">
        <v>65</v>
      </c>
      <c r="AS3990" s="3" t="s">
        <v>65</v>
      </c>
      <c r="AT3990" s="3" t="s">
        <v>65</v>
      </c>
      <c r="AV3990" s="6" t="str">
        <f>HYPERLINK("http://mcgill.on.worldcat.org/oclc/780946813","Catalog Record")</f>
        <v>Catalog Record</v>
      </c>
      <c r="AW3990" s="6" t="str">
        <f>HYPERLINK("http://www.worldcat.org/oclc/780946813","WorldCat Record")</f>
        <v>WorldCat Record</v>
      </c>
      <c r="AX3990" s="3" t="s">
        <v>39716</v>
      </c>
      <c r="AY3990" s="3" t="s">
        <v>39717</v>
      </c>
      <c r="AZ3990" s="3" t="s">
        <v>39718</v>
      </c>
      <c r="BA3990" s="3" t="s">
        <v>39718</v>
      </c>
      <c r="BB3990" s="3" t="s">
        <v>39719</v>
      </c>
      <c r="BC3990" s="3" t="s">
        <v>77</v>
      </c>
      <c r="BD3990" s="3" t="s">
        <v>78</v>
      </c>
      <c r="BE3990" s="3" t="s">
        <v>39720</v>
      </c>
      <c r="BF3990" s="3" t="s">
        <v>39719</v>
      </c>
      <c r="BG3990" s="3" t="s">
        <v>39721</v>
      </c>
    </row>
    <row r="3991" spans="1:59" ht="58" x14ac:dyDescent="0.35">
      <c r="A3991" s="2" t="s">
        <v>59</v>
      </c>
      <c r="B3991" s="2" t="s">
        <v>60</v>
      </c>
      <c r="C3991" s="2" t="s">
        <v>39722</v>
      </c>
      <c r="D3991" s="2" t="s">
        <v>39723</v>
      </c>
      <c r="E3991" s="2" t="s">
        <v>39724</v>
      </c>
      <c r="G3991" s="3" t="s">
        <v>65</v>
      </c>
      <c r="I3991" s="3" t="s">
        <v>65</v>
      </c>
      <c r="J3991" s="3" t="s">
        <v>65</v>
      </c>
      <c r="K3991" s="3" t="s">
        <v>66</v>
      </c>
      <c r="L3991" s="2" t="s">
        <v>39725</v>
      </c>
      <c r="M3991" s="2" t="s">
        <v>1138</v>
      </c>
      <c r="N3991" s="3" t="s">
        <v>139</v>
      </c>
      <c r="P3991" s="3" t="s">
        <v>69</v>
      </c>
      <c r="Q3991" s="2" t="s">
        <v>2473</v>
      </c>
      <c r="R3991" s="3" t="s">
        <v>71</v>
      </c>
      <c r="S3991" s="4">
        <v>0</v>
      </c>
      <c r="T3991" s="4">
        <v>0</v>
      </c>
      <c r="W3991" s="5" t="s">
        <v>72</v>
      </c>
      <c r="X3991" s="5" t="s">
        <v>72</v>
      </c>
      <c r="Y3991" s="4">
        <v>104</v>
      </c>
      <c r="Z3991" s="4">
        <v>15</v>
      </c>
      <c r="AA3991" s="4">
        <v>24</v>
      </c>
      <c r="AB3991" s="4">
        <v>1</v>
      </c>
      <c r="AC3991" s="4">
        <v>3</v>
      </c>
      <c r="AD3991" s="4">
        <v>64</v>
      </c>
      <c r="AE3991" s="4">
        <v>77</v>
      </c>
      <c r="AF3991" s="4">
        <v>0</v>
      </c>
      <c r="AG3991" s="4">
        <v>1</v>
      </c>
      <c r="AH3991" s="4">
        <v>61</v>
      </c>
      <c r="AI3991" s="4">
        <v>68</v>
      </c>
      <c r="AJ3991" s="4">
        <v>12</v>
      </c>
      <c r="AK3991" s="4">
        <v>15</v>
      </c>
      <c r="AL3991" s="4">
        <v>34</v>
      </c>
      <c r="AM3991" s="4">
        <v>37</v>
      </c>
      <c r="AN3991" s="4">
        <v>0</v>
      </c>
      <c r="AO3991" s="4">
        <v>0</v>
      </c>
      <c r="AP3991" s="4">
        <v>12</v>
      </c>
      <c r="AQ3991" s="4">
        <v>20</v>
      </c>
      <c r="AR3991" s="3" t="s">
        <v>65</v>
      </c>
      <c r="AS3991" s="3" t="s">
        <v>65</v>
      </c>
      <c r="AT3991" s="3" t="s">
        <v>65</v>
      </c>
      <c r="AV3991" s="6" t="str">
        <f>HYPERLINK("http://mcgill.on.worldcat.org/oclc/742512018","Catalog Record")</f>
        <v>Catalog Record</v>
      </c>
      <c r="AW3991" s="6" t="str">
        <f>HYPERLINK("http://www.worldcat.org/oclc/742512018","WorldCat Record")</f>
        <v>WorldCat Record</v>
      </c>
      <c r="AX3991" s="3" t="s">
        <v>39726</v>
      </c>
      <c r="AY3991" s="3" t="s">
        <v>39727</v>
      </c>
      <c r="AZ3991" s="3" t="s">
        <v>39728</v>
      </c>
      <c r="BA3991" s="3" t="s">
        <v>39728</v>
      </c>
      <c r="BB3991" s="3" t="s">
        <v>39729</v>
      </c>
      <c r="BC3991" s="3" t="s">
        <v>77</v>
      </c>
      <c r="BD3991" s="3" t="s">
        <v>78</v>
      </c>
      <c r="BE3991" s="3" t="s">
        <v>39730</v>
      </c>
      <c r="BF3991" s="3" t="s">
        <v>39729</v>
      </c>
      <c r="BG3991" s="3" t="s">
        <v>39731</v>
      </c>
    </row>
    <row r="3992" spans="1:59" ht="58" x14ac:dyDescent="0.35">
      <c r="A3992" s="2" t="s">
        <v>59</v>
      </c>
      <c r="B3992" s="2" t="s">
        <v>60</v>
      </c>
      <c r="C3992" s="2" t="s">
        <v>39732</v>
      </c>
      <c r="D3992" s="2" t="s">
        <v>39733</v>
      </c>
      <c r="E3992" s="2" t="s">
        <v>39734</v>
      </c>
      <c r="G3992" s="3" t="s">
        <v>65</v>
      </c>
      <c r="I3992" s="3" t="s">
        <v>65</v>
      </c>
      <c r="J3992" s="3" t="s">
        <v>65</v>
      </c>
      <c r="K3992" s="3" t="s">
        <v>66</v>
      </c>
      <c r="M3992" s="2" t="s">
        <v>39735</v>
      </c>
      <c r="N3992" s="3" t="s">
        <v>113</v>
      </c>
      <c r="P3992" s="3" t="s">
        <v>140</v>
      </c>
      <c r="R3992" s="3" t="s">
        <v>71</v>
      </c>
      <c r="S3992" s="4">
        <v>0</v>
      </c>
      <c r="T3992" s="4">
        <v>0</v>
      </c>
      <c r="W3992" s="5" t="s">
        <v>72</v>
      </c>
      <c r="X3992" s="5" t="s">
        <v>72</v>
      </c>
      <c r="Y3992" s="4">
        <v>20</v>
      </c>
      <c r="Z3992" s="4">
        <v>1</v>
      </c>
      <c r="AA3992" s="4">
        <v>3</v>
      </c>
      <c r="AB3992" s="4">
        <v>1</v>
      </c>
      <c r="AC3992" s="4">
        <v>1</v>
      </c>
      <c r="AD3992" s="4">
        <v>13</v>
      </c>
      <c r="AE3992" s="4">
        <v>14</v>
      </c>
      <c r="AF3992" s="4">
        <v>0</v>
      </c>
      <c r="AG3992" s="4">
        <v>0</v>
      </c>
      <c r="AH3992" s="4">
        <v>12</v>
      </c>
      <c r="AI3992" s="4">
        <v>13</v>
      </c>
      <c r="AJ3992" s="4">
        <v>0</v>
      </c>
      <c r="AK3992" s="4">
        <v>1</v>
      </c>
      <c r="AL3992" s="4">
        <v>9</v>
      </c>
      <c r="AM3992" s="4">
        <v>10</v>
      </c>
      <c r="AN3992" s="4">
        <v>0</v>
      </c>
      <c r="AO3992" s="4">
        <v>0</v>
      </c>
      <c r="AP3992" s="4">
        <v>0</v>
      </c>
      <c r="AQ3992" s="4">
        <v>1</v>
      </c>
      <c r="AR3992" s="3" t="s">
        <v>65</v>
      </c>
      <c r="AS3992" s="3" t="s">
        <v>65</v>
      </c>
      <c r="AT3992" s="3" t="s">
        <v>65</v>
      </c>
      <c r="AV3992" s="6" t="str">
        <f>HYPERLINK("http://mcgill.on.worldcat.org/oclc/620103899","Catalog Record")</f>
        <v>Catalog Record</v>
      </c>
      <c r="AW3992" s="6" t="str">
        <f>HYPERLINK("http://www.worldcat.org/oclc/620103899","WorldCat Record")</f>
        <v>WorldCat Record</v>
      </c>
      <c r="AX3992" s="3" t="s">
        <v>39736</v>
      </c>
      <c r="AY3992" s="3" t="s">
        <v>39737</v>
      </c>
      <c r="AZ3992" s="3" t="s">
        <v>39738</v>
      </c>
      <c r="BA3992" s="3" t="s">
        <v>39738</v>
      </c>
      <c r="BB3992" s="3" t="s">
        <v>39739</v>
      </c>
      <c r="BC3992" s="3" t="s">
        <v>77</v>
      </c>
      <c r="BD3992" s="3" t="s">
        <v>78</v>
      </c>
      <c r="BE3992" s="3" t="s">
        <v>39740</v>
      </c>
      <c r="BF3992" s="3" t="s">
        <v>39739</v>
      </c>
      <c r="BG3992" s="3" t="s">
        <v>39741</v>
      </c>
    </row>
    <row r="3993" spans="1:59" ht="58" x14ac:dyDescent="0.35">
      <c r="A3993" s="2" t="s">
        <v>59</v>
      </c>
      <c r="B3993" s="2" t="s">
        <v>60</v>
      </c>
      <c r="C3993" s="2" t="s">
        <v>39742</v>
      </c>
      <c r="D3993" s="2" t="s">
        <v>39743</v>
      </c>
      <c r="E3993" s="2" t="s">
        <v>39744</v>
      </c>
      <c r="G3993" s="3" t="s">
        <v>65</v>
      </c>
      <c r="I3993" s="3" t="s">
        <v>65</v>
      </c>
      <c r="J3993" s="3" t="s">
        <v>65</v>
      </c>
      <c r="K3993" s="3" t="s">
        <v>66</v>
      </c>
      <c r="L3993" s="2" t="s">
        <v>39745</v>
      </c>
      <c r="M3993" s="2" t="s">
        <v>39746</v>
      </c>
      <c r="N3993" s="3" t="s">
        <v>68</v>
      </c>
      <c r="O3993" s="2" t="s">
        <v>39747</v>
      </c>
      <c r="P3993" s="3" t="s">
        <v>140</v>
      </c>
      <c r="Q3993" s="2" t="s">
        <v>37420</v>
      </c>
      <c r="R3993" s="3" t="s">
        <v>71</v>
      </c>
      <c r="S3993" s="4">
        <v>0</v>
      </c>
      <c r="T3993" s="4">
        <v>0</v>
      </c>
      <c r="W3993" s="5" t="s">
        <v>72</v>
      </c>
      <c r="X3993" s="5" t="s">
        <v>72</v>
      </c>
      <c r="Y3993" s="4">
        <v>59</v>
      </c>
      <c r="Z3993" s="4">
        <v>5</v>
      </c>
      <c r="AA3993" s="4">
        <v>6</v>
      </c>
      <c r="AB3993" s="4">
        <v>1</v>
      </c>
      <c r="AC3993" s="4">
        <v>1</v>
      </c>
      <c r="AD3993" s="4">
        <v>38</v>
      </c>
      <c r="AE3993" s="4">
        <v>39</v>
      </c>
      <c r="AF3993" s="4">
        <v>0</v>
      </c>
      <c r="AG3993" s="4">
        <v>0</v>
      </c>
      <c r="AH3993" s="4">
        <v>37</v>
      </c>
      <c r="AI3993" s="4">
        <v>38</v>
      </c>
      <c r="AJ3993" s="4">
        <v>2</v>
      </c>
      <c r="AK3993" s="4">
        <v>3</v>
      </c>
      <c r="AL3993" s="4">
        <v>30</v>
      </c>
      <c r="AM3993" s="4">
        <v>30</v>
      </c>
      <c r="AN3993" s="4">
        <v>0</v>
      </c>
      <c r="AO3993" s="4">
        <v>0</v>
      </c>
      <c r="AP3993" s="4">
        <v>2</v>
      </c>
      <c r="AQ3993" s="4">
        <v>3</v>
      </c>
      <c r="AR3993" s="3" t="s">
        <v>65</v>
      </c>
      <c r="AS3993" s="3" t="s">
        <v>65</v>
      </c>
      <c r="AT3993" s="3" t="s">
        <v>65</v>
      </c>
      <c r="AV3993" s="6" t="str">
        <f>HYPERLINK("http://mcgill.on.worldcat.org/oclc/946879128","Catalog Record")</f>
        <v>Catalog Record</v>
      </c>
      <c r="AW3993" s="6" t="str">
        <f>HYPERLINK("http://www.worldcat.org/oclc/946879128","WorldCat Record")</f>
        <v>WorldCat Record</v>
      </c>
      <c r="AX3993" s="3" t="s">
        <v>39748</v>
      </c>
      <c r="AY3993" s="3" t="s">
        <v>39749</v>
      </c>
      <c r="AZ3993" s="3" t="s">
        <v>39750</v>
      </c>
      <c r="BA3993" s="3" t="s">
        <v>39750</v>
      </c>
      <c r="BB3993" s="3" t="s">
        <v>39751</v>
      </c>
      <c r="BC3993" s="3" t="s">
        <v>77</v>
      </c>
      <c r="BD3993" s="3" t="s">
        <v>78</v>
      </c>
      <c r="BE3993" s="3" t="s">
        <v>39752</v>
      </c>
      <c r="BF3993" s="3" t="s">
        <v>39751</v>
      </c>
      <c r="BG3993" s="3" t="s">
        <v>39753</v>
      </c>
    </row>
    <row r="3994" spans="1:59" ht="58" x14ac:dyDescent="0.35">
      <c r="A3994" s="2" t="s">
        <v>59</v>
      </c>
      <c r="B3994" s="2" t="s">
        <v>60</v>
      </c>
      <c r="C3994" s="2" t="s">
        <v>39754</v>
      </c>
      <c r="D3994" s="2" t="s">
        <v>39755</v>
      </c>
      <c r="E3994" s="2" t="s">
        <v>39756</v>
      </c>
      <c r="G3994" s="3" t="s">
        <v>65</v>
      </c>
      <c r="I3994" s="3" t="s">
        <v>65</v>
      </c>
      <c r="J3994" s="3" t="s">
        <v>65</v>
      </c>
      <c r="K3994" s="3" t="s">
        <v>66</v>
      </c>
      <c r="L3994" s="2" t="s">
        <v>39757</v>
      </c>
      <c r="M3994" s="2" t="s">
        <v>39758</v>
      </c>
      <c r="N3994" s="3" t="s">
        <v>164</v>
      </c>
      <c r="O3994" s="2" t="s">
        <v>235</v>
      </c>
      <c r="P3994" s="3" t="s">
        <v>140</v>
      </c>
      <c r="Q3994" s="2" t="s">
        <v>39759</v>
      </c>
      <c r="R3994" s="3" t="s">
        <v>71</v>
      </c>
      <c r="S3994" s="4">
        <v>0</v>
      </c>
      <c r="T3994" s="4">
        <v>0</v>
      </c>
      <c r="W3994" s="5" t="s">
        <v>72</v>
      </c>
      <c r="X3994" s="5" t="s">
        <v>72</v>
      </c>
      <c r="Y3994" s="4">
        <v>32</v>
      </c>
      <c r="Z3994" s="4">
        <v>5</v>
      </c>
      <c r="AA3994" s="4">
        <v>6</v>
      </c>
      <c r="AB3994" s="4">
        <v>1</v>
      </c>
      <c r="AC3994" s="4">
        <v>2</v>
      </c>
      <c r="AD3994" s="4">
        <v>18</v>
      </c>
      <c r="AE3994" s="4">
        <v>18</v>
      </c>
      <c r="AF3994" s="4">
        <v>0</v>
      </c>
      <c r="AG3994" s="4">
        <v>0</v>
      </c>
      <c r="AH3994" s="4">
        <v>18</v>
      </c>
      <c r="AI3994" s="4">
        <v>18</v>
      </c>
      <c r="AJ3994" s="4">
        <v>2</v>
      </c>
      <c r="AK3994" s="4">
        <v>2</v>
      </c>
      <c r="AL3994" s="4">
        <v>15</v>
      </c>
      <c r="AM3994" s="4">
        <v>15</v>
      </c>
      <c r="AN3994" s="4">
        <v>0</v>
      </c>
      <c r="AO3994" s="4">
        <v>0</v>
      </c>
      <c r="AP3994" s="4">
        <v>2</v>
      </c>
      <c r="AQ3994" s="4">
        <v>2</v>
      </c>
      <c r="AR3994" s="3" t="s">
        <v>65</v>
      </c>
      <c r="AS3994" s="3" t="s">
        <v>65</v>
      </c>
      <c r="AT3994" s="3" t="s">
        <v>65</v>
      </c>
      <c r="AV3994" s="6" t="str">
        <f>HYPERLINK("http://mcgill.on.worldcat.org/oclc/874146731","Catalog Record")</f>
        <v>Catalog Record</v>
      </c>
      <c r="AW3994" s="6" t="str">
        <f>HYPERLINK("http://www.worldcat.org/oclc/874146731","WorldCat Record")</f>
        <v>WorldCat Record</v>
      </c>
      <c r="AX3994" s="3" t="s">
        <v>39760</v>
      </c>
      <c r="AY3994" s="3" t="s">
        <v>39761</v>
      </c>
      <c r="AZ3994" s="3" t="s">
        <v>39762</v>
      </c>
      <c r="BA3994" s="3" t="s">
        <v>39762</v>
      </c>
      <c r="BB3994" s="3" t="s">
        <v>39763</v>
      </c>
      <c r="BC3994" s="3" t="s">
        <v>77</v>
      </c>
      <c r="BD3994" s="3" t="s">
        <v>78</v>
      </c>
      <c r="BE3994" s="3" t="s">
        <v>39764</v>
      </c>
      <c r="BF3994" s="3" t="s">
        <v>39763</v>
      </c>
      <c r="BG3994" s="3" t="s">
        <v>39765</v>
      </c>
    </row>
    <row r="3995" spans="1:59" ht="58" x14ac:dyDescent="0.35">
      <c r="A3995" s="2" t="s">
        <v>59</v>
      </c>
      <c r="B3995" s="2" t="s">
        <v>60</v>
      </c>
      <c r="C3995" s="2" t="s">
        <v>39766</v>
      </c>
      <c r="D3995" s="2" t="s">
        <v>39767</v>
      </c>
      <c r="E3995" s="2" t="s">
        <v>39768</v>
      </c>
      <c r="G3995" s="3" t="s">
        <v>65</v>
      </c>
      <c r="I3995" s="3" t="s">
        <v>65</v>
      </c>
      <c r="J3995" s="3" t="s">
        <v>65</v>
      </c>
      <c r="K3995" s="3" t="s">
        <v>66</v>
      </c>
      <c r="L3995" s="2" t="s">
        <v>39769</v>
      </c>
      <c r="M3995" s="2" t="s">
        <v>19580</v>
      </c>
      <c r="N3995" s="3" t="s">
        <v>113</v>
      </c>
      <c r="O3995" s="2" t="s">
        <v>365</v>
      </c>
      <c r="P3995" s="3" t="s">
        <v>140</v>
      </c>
      <c r="Q3995" s="2" t="s">
        <v>32206</v>
      </c>
      <c r="R3995" s="3" t="s">
        <v>71</v>
      </c>
      <c r="S3995" s="4">
        <v>0</v>
      </c>
      <c r="T3995" s="4">
        <v>0</v>
      </c>
      <c r="W3995" s="5" t="s">
        <v>72</v>
      </c>
      <c r="X3995" s="5" t="s">
        <v>72</v>
      </c>
      <c r="Y3995" s="4">
        <v>61</v>
      </c>
      <c r="Z3995" s="4">
        <v>4</v>
      </c>
      <c r="AA3995" s="4">
        <v>4</v>
      </c>
      <c r="AB3995" s="4">
        <v>1</v>
      </c>
      <c r="AC3995" s="4">
        <v>1</v>
      </c>
      <c r="AD3995" s="4">
        <v>42</v>
      </c>
      <c r="AE3995" s="4">
        <v>42</v>
      </c>
      <c r="AF3995" s="4">
        <v>0</v>
      </c>
      <c r="AG3995" s="4">
        <v>0</v>
      </c>
      <c r="AH3995" s="4">
        <v>41</v>
      </c>
      <c r="AI3995" s="4">
        <v>41</v>
      </c>
      <c r="AJ3995" s="4">
        <v>2</v>
      </c>
      <c r="AK3995" s="4">
        <v>2</v>
      </c>
      <c r="AL3995" s="4">
        <v>31</v>
      </c>
      <c r="AM3995" s="4">
        <v>31</v>
      </c>
      <c r="AN3995" s="4">
        <v>0</v>
      </c>
      <c r="AO3995" s="4">
        <v>0</v>
      </c>
      <c r="AP3995" s="4">
        <v>2</v>
      </c>
      <c r="AQ3995" s="4">
        <v>2</v>
      </c>
      <c r="AR3995" s="3" t="s">
        <v>65</v>
      </c>
      <c r="AS3995" s="3" t="s">
        <v>65</v>
      </c>
      <c r="AT3995" s="3" t="s">
        <v>65</v>
      </c>
      <c r="AV3995" s="6" t="str">
        <f>HYPERLINK("http://mcgill.on.worldcat.org/oclc/555635434","Catalog Record")</f>
        <v>Catalog Record</v>
      </c>
      <c r="AW3995" s="6" t="str">
        <f>HYPERLINK("http://www.worldcat.org/oclc/555635434","WorldCat Record")</f>
        <v>WorldCat Record</v>
      </c>
      <c r="AX3995" s="3" t="s">
        <v>39770</v>
      </c>
      <c r="AY3995" s="3" t="s">
        <v>39771</v>
      </c>
      <c r="AZ3995" s="3" t="s">
        <v>39772</v>
      </c>
      <c r="BA3995" s="3" t="s">
        <v>39772</v>
      </c>
      <c r="BB3995" s="3" t="s">
        <v>39773</v>
      </c>
      <c r="BC3995" s="3" t="s">
        <v>77</v>
      </c>
      <c r="BD3995" s="3" t="s">
        <v>78</v>
      </c>
      <c r="BE3995" s="3" t="s">
        <v>39774</v>
      </c>
      <c r="BF3995" s="3" t="s">
        <v>39773</v>
      </c>
      <c r="BG3995" s="3" t="s">
        <v>39775</v>
      </c>
    </row>
    <row r="3996" spans="1:59" ht="58" x14ac:dyDescent="0.35">
      <c r="A3996" s="2" t="s">
        <v>59</v>
      </c>
      <c r="B3996" s="2" t="s">
        <v>60</v>
      </c>
      <c r="C3996" s="2" t="s">
        <v>39776</v>
      </c>
      <c r="D3996" s="2" t="s">
        <v>39777</v>
      </c>
      <c r="E3996" s="2" t="s">
        <v>39778</v>
      </c>
      <c r="G3996" s="3" t="s">
        <v>65</v>
      </c>
      <c r="I3996" s="3" t="s">
        <v>65</v>
      </c>
      <c r="J3996" s="3" t="s">
        <v>65</v>
      </c>
      <c r="K3996" s="3" t="s">
        <v>66</v>
      </c>
      <c r="L3996" s="2" t="s">
        <v>39769</v>
      </c>
      <c r="M3996" s="2" t="s">
        <v>39779</v>
      </c>
      <c r="N3996" s="3" t="s">
        <v>113</v>
      </c>
      <c r="P3996" s="3" t="s">
        <v>140</v>
      </c>
      <c r="R3996" s="3" t="s">
        <v>71</v>
      </c>
      <c r="S3996" s="4">
        <v>0</v>
      </c>
      <c r="T3996" s="4">
        <v>0</v>
      </c>
      <c r="W3996" s="5" t="s">
        <v>72</v>
      </c>
      <c r="X3996" s="5" t="s">
        <v>72</v>
      </c>
      <c r="Y3996" s="4">
        <v>14</v>
      </c>
      <c r="Z3996" s="4">
        <v>1</v>
      </c>
      <c r="AA3996" s="4">
        <v>1</v>
      </c>
      <c r="AB3996" s="4">
        <v>1</v>
      </c>
      <c r="AC3996" s="4">
        <v>1</v>
      </c>
      <c r="AD3996" s="4">
        <v>9</v>
      </c>
      <c r="AE3996" s="4">
        <v>9</v>
      </c>
      <c r="AF3996" s="4">
        <v>0</v>
      </c>
      <c r="AG3996" s="4">
        <v>0</v>
      </c>
      <c r="AH3996" s="4">
        <v>8</v>
      </c>
      <c r="AI3996" s="4">
        <v>8</v>
      </c>
      <c r="AJ3996" s="4">
        <v>0</v>
      </c>
      <c r="AK3996" s="4">
        <v>0</v>
      </c>
      <c r="AL3996" s="4">
        <v>7</v>
      </c>
      <c r="AM3996" s="4">
        <v>7</v>
      </c>
      <c r="AN3996" s="4">
        <v>0</v>
      </c>
      <c r="AO3996" s="4">
        <v>0</v>
      </c>
      <c r="AP3996" s="4">
        <v>0</v>
      </c>
      <c r="AQ3996" s="4">
        <v>0</v>
      </c>
      <c r="AR3996" s="3" t="s">
        <v>65</v>
      </c>
      <c r="AS3996" s="3" t="s">
        <v>65</v>
      </c>
      <c r="AT3996" s="3" t="s">
        <v>65</v>
      </c>
      <c r="AV3996" s="6" t="str">
        <f>HYPERLINK("http://mcgill.on.worldcat.org/oclc/730397669","Catalog Record")</f>
        <v>Catalog Record</v>
      </c>
      <c r="AW3996" s="6" t="str">
        <f>HYPERLINK("http://www.worldcat.org/oclc/730397669","WorldCat Record")</f>
        <v>WorldCat Record</v>
      </c>
      <c r="AX3996" s="3" t="s">
        <v>39780</v>
      </c>
      <c r="AY3996" s="3" t="s">
        <v>39781</v>
      </c>
      <c r="AZ3996" s="3" t="s">
        <v>39782</v>
      </c>
      <c r="BA3996" s="3" t="s">
        <v>39782</v>
      </c>
      <c r="BB3996" s="3" t="s">
        <v>39783</v>
      </c>
      <c r="BC3996" s="3" t="s">
        <v>77</v>
      </c>
      <c r="BD3996" s="3" t="s">
        <v>78</v>
      </c>
      <c r="BE3996" s="3" t="s">
        <v>39784</v>
      </c>
      <c r="BF3996" s="3" t="s">
        <v>39783</v>
      </c>
      <c r="BG3996" s="3" t="s">
        <v>39785</v>
      </c>
    </row>
    <row r="3997" spans="1:59" ht="58" x14ac:dyDescent="0.35">
      <c r="A3997" s="2" t="s">
        <v>59</v>
      </c>
      <c r="B3997" s="2" t="s">
        <v>60</v>
      </c>
      <c r="C3997" s="2" t="s">
        <v>39786</v>
      </c>
      <c r="D3997" s="2" t="s">
        <v>39787</v>
      </c>
      <c r="E3997" s="2" t="s">
        <v>39788</v>
      </c>
      <c r="G3997" s="3" t="s">
        <v>65</v>
      </c>
      <c r="I3997" s="3" t="s">
        <v>65</v>
      </c>
      <c r="J3997" s="3" t="s">
        <v>65</v>
      </c>
      <c r="K3997" s="3" t="s">
        <v>66</v>
      </c>
      <c r="L3997" s="2" t="s">
        <v>39789</v>
      </c>
      <c r="M3997" s="2" t="s">
        <v>24507</v>
      </c>
      <c r="N3997" s="3" t="s">
        <v>126</v>
      </c>
      <c r="P3997" s="3" t="s">
        <v>140</v>
      </c>
      <c r="Q3997" s="2" t="s">
        <v>7116</v>
      </c>
      <c r="R3997" s="3" t="s">
        <v>71</v>
      </c>
      <c r="S3997" s="4">
        <v>0</v>
      </c>
      <c r="T3997" s="4">
        <v>0</v>
      </c>
      <c r="W3997" s="5" t="s">
        <v>72</v>
      </c>
      <c r="X3997" s="5" t="s">
        <v>72</v>
      </c>
      <c r="Y3997" s="4">
        <v>25</v>
      </c>
      <c r="Z3997" s="4">
        <v>1</v>
      </c>
      <c r="AA3997" s="4">
        <v>3</v>
      </c>
      <c r="AB3997" s="4">
        <v>1</v>
      </c>
      <c r="AC3997" s="4">
        <v>1</v>
      </c>
      <c r="AD3997" s="4">
        <v>7</v>
      </c>
      <c r="AE3997" s="4">
        <v>38</v>
      </c>
      <c r="AF3997" s="4">
        <v>0</v>
      </c>
      <c r="AG3997" s="4">
        <v>0</v>
      </c>
      <c r="AH3997" s="4">
        <v>7</v>
      </c>
      <c r="AI3997" s="4">
        <v>37</v>
      </c>
      <c r="AJ3997" s="4">
        <v>0</v>
      </c>
      <c r="AK3997" s="4">
        <v>1</v>
      </c>
      <c r="AL3997" s="4">
        <v>4</v>
      </c>
      <c r="AM3997" s="4">
        <v>30</v>
      </c>
      <c r="AN3997" s="4">
        <v>0</v>
      </c>
      <c r="AO3997" s="4">
        <v>0</v>
      </c>
      <c r="AP3997" s="4">
        <v>0</v>
      </c>
      <c r="AQ3997" s="4">
        <v>1</v>
      </c>
      <c r="AR3997" s="3" t="s">
        <v>65</v>
      </c>
      <c r="AS3997" s="3" t="s">
        <v>65</v>
      </c>
      <c r="AT3997" s="3" t="s">
        <v>65</v>
      </c>
      <c r="AV3997" s="6" t="str">
        <f>HYPERLINK("http://mcgill.on.worldcat.org/oclc/732291363","Catalog Record")</f>
        <v>Catalog Record</v>
      </c>
      <c r="AW3997" s="6" t="str">
        <f>HYPERLINK("http://www.worldcat.org/oclc/732291363","WorldCat Record")</f>
        <v>WorldCat Record</v>
      </c>
      <c r="AX3997" s="3" t="s">
        <v>39790</v>
      </c>
      <c r="AY3997" s="3" t="s">
        <v>39791</v>
      </c>
      <c r="AZ3997" s="3" t="s">
        <v>39792</v>
      </c>
      <c r="BA3997" s="3" t="s">
        <v>39792</v>
      </c>
      <c r="BB3997" s="3" t="s">
        <v>39793</v>
      </c>
      <c r="BC3997" s="3" t="s">
        <v>77</v>
      </c>
      <c r="BD3997" s="3" t="s">
        <v>78</v>
      </c>
      <c r="BE3997" s="3" t="s">
        <v>39794</v>
      </c>
      <c r="BF3997" s="3" t="s">
        <v>39793</v>
      </c>
      <c r="BG3997" s="3" t="s">
        <v>39795</v>
      </c>
    </row>
    <row r="3998" spans="1:59" ht="58" x14ac:dyDescent="0.35">
      <c r="A3998" s="2" t="s">
        <v>59</v>
      </c>
      <c r="B3998" s="2" t="s">
        <v>60</v>
      </c>
      <c r="C3998" s="2" t="s">
        <v>39796</v>
      </c>
      <c r="D3998" s="2" t="s">
        <v>39797</v>
      </c>
      <c r="E3998" s="2" t="s">
        <v>39798</v>
      </c>
      <c r="G3998" s="3" t="s">
        <v>65</v>
      </c>
      <c r="I3998" s="3" t="s">
        <v>65</v>
      </c>
      <c r="J3998" s="3" t="s">
        <v>65</v>
      </c>
      <c r="K3998" s="3" t="s">
        <v>66</v>
      </c>
      <c r="L3998" s="2" t="s">
        <v>28874</v>
      </c>
      <c r="M3998" s="2" t="s">
        <v>39799</v>
      </c>
      <c r="N3998" s="3" t="s">
        <v>552</v>
      </c>
      <c r="O3998" s="2" t="s">
        <v>365</v>
      </c>
      <c r="P3998" s="3" t="s">
        <v>140</v>
      </c>
      <c r="Q3998" s="2" t="s">
        <v>29924</v>
      </c>
      <c r="R3998" s="3" t="s">
        <v>71</v>
      </c>
      <c r="S3998" s="4">
        <v>2</v>
      </c>
      <c r="T3998" s="4">
        <v>2</v>
      </c>
      <c r="U3998" s="5" t="s">
        <v>5404</v>
      </c>
      <c r="V3998" s="5" t="s">
        <v>5404</v>
      </c>
      <c r="W3998" s="5" t="s">
        <v>72</v>
      </c>
      <c r="X3998" s="5" t="s">
        <v>72</v>
      </c>
      <c r="Y3998" s="4">
        <v>53</v>
      </c>
      <c r="Z3998" s="4">
        <v>6</v>
      </c>
      <c r="AA3998" s="4">
        <v>6</v>
      </c>
      <c r="AB3998" s="4">
        <v>1</v>
      </c>
      <c r="AC3998" s="4">
        <v>1</v>
      </c>
      <c r="AD3998" s="4">
        <v>33</v>
      </c>
      <c r="AE3998" s="4">
        <v>39</v>
      </c>
      <c r="AF3998" s="4">
        <v>0</v>
      </c>
      <c r="AG3998" s="4">
        <v>0</v>
      </c>
      <c r="AH3998" s="4">
        <v>32</v>
      </c>
      <c r="AI3998" s="4">
        <v>38</v>
      </c>
      <c r="AJ3998" s="4">
        <v>4</v>
      </c>
      <c r="AK3998" s="4">
        <v>4</v>
      </c>
      <c r="AL3998" s="4">
        <v>25</v>
      </c>
      <c r="AM3998" s="4">
        <v>30</v>
      </c>
      <c r="AN3998" s="4">
        <v>0</v>
      </c>
      <c r="AO3998" s="4">
        <v>4</v>
      </c>
      <c r="AP3998" s="4">
        <v>4</v>
      </c>
      <c r="AQ3998" s="4">
        <v>4</v>
      </c>
      <c r="AR3998" s="3" t="s">
        <v>65</v>
      </c>
      <c r="AS3998" s="3" t="s">
        <v>65</v>
      </c>
      <c r="AT3998" s="3" t="s">
        <v>209</v>
      </c>
      <c r="AU3998" s="6" t="str">
        <f>HYPERLINK("http://catalog.hathitrust.org/Record/003974681","HathiTrust Record")</f>
        <v>HathiTrust Record</v>
      </c>
      <c r="AV3998" s="6" t="str">
        <f>HYPERLINK("http://mcgill.on.worldcat.org/oclc/38370338","Catalog Record")</f>
        <v>Catalog Record</v>
      </c>
      <c r="AW3998" s="6" t="str">
        <f>HYPERLINK("http://www.worldcat.org/oclc/38370338","WorldCat Record")</f>
        <v>WorldCat Record</v>
      </c>
      <c r="AX3998" s="3" t="s">
        <v>39800</v>
      </c>
      <c r="AY3998" s="3" t="s">
        <v>39801</v>
      </c>
      <c r="AZ3998" s="3" t="s">
        <v>39802</v>
      </c>
      <c r="BA3998" s="3" t="s">
        <v>39802</v>
      </c>
      <c r="BB3998" s="3" t="s">
        <v>39803</v>
      </c>
      <c r="BC3998" s="3" t="s">
        <v>77</v>
      </c>
      <c r="BD3998" s="3" t="s">
        <v>78</v>
      </c>
      <c r="BE3998" s="3" t="s">
        <v>39804</v>
      </c>
      <c r="BF3998" s="3" t="s">
        <v>39803</v>
      </c>
      <c r="BG3998" s="3" t="s">
        <v>39805</v>
      </c>
    </row>
    <row r="3999" spans="1:59" ht="58" x14ac:dyDescent="0.35">
      <c r="A3999" s="2" t="s">
        <v>59</v>
      </c>
      <c r="B3999" s="2" t="s">
        <v>60</v>
      </c>
      <c r="C3999" s="2" t="s">
        <v>39806</v>
      </c>
      <c r="D3999" s="2" t="s">
        <v>39807</v>
      </c>
      <c r="E3999" s="2" t="s">
        <v>39808</v>
      </c>
      <c r="F3999" s="3" t="s">
        <v>39648</v>
      </c>
      <c r="G3999" s="3" t="s">
        <v>65</v>
      </c>
      <c r="I3999" s="3" t="s">
        <v>65</v>
      </c>
      <c r="J3999" s="3" t="s">
        <v>65</v>
      </c>
      <c r="K3999" s="3" t="s">
        <v>66</v>
      </c>
      <c r="M3999" s="2" t="s">
        <v>39809</v>
      </c>
      <c r="N3999" s="3" t="s">
        <v>113</v>
      </c>
      <c r="P3999" s="3" t="s">
        <v>140</v>
      </c>
      <c r="Q3999" s="2" t="s">
        <v>39810</v>
      </c>
      <c r="R3999" s="3" t="s">
        <v>71</v>
      </c>
      <c r="S3999" s="4">
        <v>0</v>
      </c>
      <c r="T3999" s="4">
        <v>0</v>
      </c>
      <c r="W3999" s="5" t="s">
        <v>72</v>
      </c>
      <c r="X3999" s="5" t="s">
        <v>72</v>
      </c>
      <c r="Y3999" s="4">
        <v>9</v>
      </c>
      <c r="Z3999" s="4">
        <v>1</v>
      </c>
      <c r="AA3999" s="4">
        <v>1</v>
      </c>
      <c r="AB3999" s="4">
        <v>1</v>
      </c>
      <c r="AC3999" s="4">
        <v>1</v>
      </c>
      <c r="AD3999" s="4">
        <v>6</v>
      </c>
      <c r="AE3999" s="4">
        <v>6</v>
      </c>
      <c r="AF3999" s="4">
        <v>0</v>
      </c>
      <c r="AG3999" s="4">
        <v>0</v>
      </c>
      <c r="AH3999" s="4">
        <v>6</v>
      </c>
      <c r="AI3999" s="4">
        <v>6</v>
      </c>
      <c r="AJ3999" s="4">
        <v>0</v>
      </c>
      <c r="AK3999" s="4">
        <v>0</v>
      </c>
      <c r="AL3999" s="4">
        <v>5</v>
      </c>
      <c r="AM3999" s="4">
        <v>5</v>
      </c>
      <c r="AN3999" s="4">
        <v>0</v>
      </c>
      <c r="AO3999" s="4">
        <v>0</v>
      </c>
      <c r="AP3999" s="4">
        <v>0</v>
      </c>
      <c r="AQ3999" s="4">
        <v>0</v>
      </c>
      <c r="AR3999" s="3" t="s">
        <v>65</v>
      </c>
      <c r="AS3999" s="3" t="s">
        <v>65</v>
      </c>
      <c r="AT3999" s="3" t="s">
        <v>65</v>
      </c>
      <c r="AV3999" s="6" t="str">
        <f>HYPERLINK("http://mcgill.on.worldcat.org/oclc/712111925","Catalog Record")</f>
        <v>Catalog Record</v>
      </c>
      <c r="AW3999" s="6" t="str">
        <f>HYPERLINK("http://www.worldcat.org/oclc/712111925","WorldCat Record")</f>
        <v>WorldCat Record</v>
      </c>
      <c r="AX3999" s="3" t="s">
        <v>39811</v>
      </c>
      <c r="AY3999" s="3" t="s">
        <v>39812</v>
      </c>
      <c r="AZ3999" s="3" t="s">
        <v>39813</v>
      </c>
      <c r="BA3999" s="3" t="s">
        <v>39813</v>
      </c>
      <c r="BB3999" s="3" t="s">
        <v>39814</v>
      </c>
      <c r="BC3999" s="3" t="s">
        <v>77</v>
      </c>
      <c r="BD3999" s="3" t="s">
        <v>78</v>
      </c>
      <c r="BE3999" s="3" t="s">
        <v>39815</v>
      </c>
      <c r="BF3999" s="3" t="s">
        <v>39814</v>
      </c>
      <c r="BG3999" s="3" t="s">
        <v>39816</v>
      </c>
    </row>
    <row r="4000" spans="1:59" ht="58" x14ac:dyDescent="0.35">
      <c r="A4000" s="2" t="s">
        <v>59</v>
      </c>
      <c r="B4000" s="2" t="s">
        <v>60</v>
      </c>
      <c r="C4000" s="2" t="s">
        <v>39817</v>
      </c>
      <c r="D4000" s="2" t="s">
        <v>39818</v>
      </c>
      <c r="E4000" s="2" t="s">
        <v>39819</v>
      </c>
      <c r="G4000" s="3" t="s">
        <v>65</v>
      </c>
      <c r="I4000" s="3" t="s">
        <v>65</v>
      </c>
      <c r="J4000" s="3" t="s">
        <v>65</v>
      </c>
      <c r="K4000" s="3" t="s">
        <v>66</v>
      </c>
      <c r="L4000" s="2" t="s">
        <v>39820</v>
      </c>
      <c r="M4000" s="2" t="s">
        <v>39821</v>
      </c>
      <c r="N4000" s="3" t="s">
        <v>188</v>
      </c>
      <c r="O4000" s="2" t="s">
        <v>235</v>
      </c>
      <c r="P4000" s="3" t="s">
        <v>140</v>
      </c>
      <c r="Q4000" s="2" t="s">
        <v>28692</v>
      </c>
      <c r="R4000" s="3" t="s">
        <v>71</v>
      </c>
      <c r="S4000" s="4">
        <v>0</v>
      </c>
      <c r="T4000" s="4">
        <v>0</v>
      </c>
      <c r="W4000" s="5" t="s">
        <v>72</v>
      </c>
      <c r="X4000" s="5" t="s">
        <v>72</v>
      </c>
      <c r="Y4000" s="4">
        <v>50</v>
      </c>
      <c r="Z4000" s="4">
        <v>1</v>
      </c>
      <c r="AA4000" s="4">
        <v>1</v>
      </c>
      <c r="AB4000" s="4">
        <v>1</v>
      </c>
      <c r="AC4000" s="4">
        <v>1</v>
      </c>
      <c r="AD4000" s="4">
        <v>27</v>
      </c>
      <c r="AE4000" s="4">
        <v>27</v>
      </c>
      <c r="AF4000" s="4">
        <v>0</v>
      </c>
      <c r="AG4000" s="4">
        <v>0</v>
      </c>
      <c r="AH4000" s="4">
        <v>26</v>
      </c>
      <c r="AI4000" s="4">
        <v>26</v>
      </c>
      <c r="AJ4000" s="4">
        <v>0</v>
      </c>
      <c r="AK4000" s="4">
        <v>0</v>
      </c>
      <c r="AL4000" s="4">
        <v>22</v>
      </c>
      <c r="AM4000" s="4">
        <v>22</v>
      </c>
      <c r="AN4000" s="4">
        <v>0</v>
      </c>
      <c r="AO4000" s="4">
        <v>0</v>
      </c>
      <c r="AP4000" s="4">
        <v>0</v>
      </c>
      <c r="AQ4000" s="4">
        <v>0</v>
      </c>
      <c r="AR4000" s="3" t="s">
        <v>65</v>
      </c>
      <c r="AS4000" s="3" t="s">
        <v>65</v>
      </c>
      <c r="AT4000" s="3" t="s">
        <v>65</v>
      </c>
      <c r="AV4000" s="6" t="str">
        <f>HYPERLINK("http://mcgill.on.worldcat.org/oclc/987270028","Catalog Record")</f>
        <v>Catalog Record</v>
      </c>
      <c r="AW4000" s="6" t="str">
        <f>HYPERLINK("http://www.worldcat.org/oclc/987270028","WorldCat Record")</f>
        <v>WorldCat Record</v>
      </c>
      <c r="AX4000" s="3" t="s">
        <v>39822</v>
      </c>
      <c r="AY4000" s="3" t="s">
        <v>39823</v>
      </c>
      <c r="AZ4000" s="3" t="s">
        <v>39824</v>
      </c>
      <c r="BA4000" s="3" t="s">
        <v>39824</v>
      </c>
      <c r="BB4000" s="3" t="s">
        <v>39825</v>
      </c>
      <c r="BC4000" s="3" t="s">
        <v>77</v>
      </c>
      <c r="BD4000" s="3" t="s">
        <v>78</v>
      </c>
      <c r="BE4000" s="3" t="s">
        <v>39826</v>
      </c>
      <c r="BF4000" s="3" t="s">
        <v>39825</v>
      </c>
      <c r="BG4000" s="3" t="s">
        <v>39827</v>
      </c>
    </row>
    <row r="4001" spans="1:59" ht="58" x14ac:dyDescent="0.35">
      <c r="A4001" s="2" t="s">
        <v>59</v>
      </c>
      <c r="B4001" s="2" t="s">
        <v>60</v>
      </c>
      <c r="C4001" s="2" t="s">
        <v>39828</v>
      </c>
      <c r="D4001" s="2" t="s">
        <v>39829</v>
      </c>
      <c r="E4001" s="2" t="s">
        <v>39830</v>
      </c>
      <c r="G4001" s="3" t="s">
        <v>65</v>
      </c>
      <c r="I4001" s="3" t="s">
        <v>65</v>
      </c>
      <c r="J4001" s="3" t="s">
        <v>65</v>
      </c>
      <c r="K4001" s="3" t="s">
        <v>66</v>
      </c>
      <c r="L4001" s="2" t="s">
        <v>39831</v>
      </c>
      <c r="M4001" s="2" t="s">
        <v>36587</v>
      </c>
      <c r="N4001" s="3" t="s">
        <v>126</v>
      </c>
      <c r="P4001" s="3" t="s">
        <v>140</v>
      </c>
      <c r="R4001" s="3" t="s">
        <v>71</v>
      </c>
      <c r="S4001" s="4">
        <v>0</v>
      </c>
      <c r="T4001" s="4">
        <v>0</v>
      </c>
      <c r="W4001" s="5" t="s">
        <v>72</v>
      </c>
      <c r="X4001" s="5" t="s">
        <v>72</v>
      </c>
      <c r="Y4001" s="4">
        <v>5</v>
      </c>
      <c r="Z4001" s="4">
        <v>1</v>
      </c>
      <c r="AA4001" s="4">
        <v>1</v>
      </c>
      <c r="AB4001" s="4">
        <v>1</v>
      </c>
      <c r="AC4001" s="4">
        <v>1</v>
      </c>
      <c r="AD4001" s="4">
        <v>3</v>
      </c>
      <c r="AE4001" s="4">
        <v>3</v>
      </c>
      <c r="AF4001" s="4">
        <v>0</v>
      </c>
      <c r="AG4001" s="4">
        <v>0</v>
      </c>
      <c r="AH4001" s="4">
        <v>3</v>
      </c>
      <c r="AI4001" s="4">
        <v>3</v>
      </c>
      <c r="AJ4001" s="4">
        <v>0</v>
      </c>
      <c r="AK4001" s="4">
        <v>0</v>
      </c>
      <c r="AL4001" s="4">
        <v>2</v>
      </c>
      <c r="AM4001" s="4">
        <v>2</v>
      </c>
      <c r="AN4001" s="4">
        <v>0</v>
      </c>
      <c r="AO4001" s="4">
        <v>0</v>
      </c>
      <c r="AP4001" s="4">
        <v>0</v>
      </c>
      <c r="AQ4001" s="4">
        <v>0</v>
      </c>
      <c r="AR4001" s="3" t="s">
        <v>65</v>
      </c>
      <c r="AS4001" s="3" t="s">
        <v>65</v>
      </c>
      <c r="AT4001" s="3" t="s">
        <v>65</v>
      </c>
      <c r="AV4001" s="6" t="str">
        <f>HYPERLINK("http://mcgill.on.worldcat.org/oclc/756578505","Catalog Record")</f>
        <v>Catalog Record</v>
      </c>
      <c r="AW4001" s="6" t="str">
        <f>HYPERLINK("http://www.worldcat.org/oclc/756578505","WorldCat Record")</f>
        <v>WorldCat Record</v>
      </c>
      <c r="AX4001" s="3" t="s">
        <v>39832</v>
      </c>
      <c r="AY4001" s="3" t="s">
        <v>39833</v>
      </c>
      <c r="AZ4001" s="3" t="s">
        <v>39834</v>
      </c>
      <c r="BA4001" s="3" t="s">
        <v>39834</v>
      </c>
      <c r="BB4001" s="3" t="s">
        <v>39835</v>
      </c>
      <c r="BC4001" s="3" t="s">
        <v>77</v>
      </c>
      <c r="BD4001" s="3" t="s">
        <v>78</v>
      </c>
      <c r="BE4001" s="3" t="s">
        <v>39836</v>
      </c>
      <c r="BF4001" s="3" t="s">
        <v>39835</v>
      </c>
      <c r="BG4001" s="3" t="s">
        <v>39837</v>
      </c>
    </row>
    <row r="4002" spans="1:59" ht="58" x14ac:dyDescent="0.35">
      <c r="A4002" s="2" t="s">
        <v>59</v>
      </c>
      <c r="B4002" s="2" t="s">
        <v>60</v>
      </c>
      <c r="C4002" s="2" t="s">
        <v>39838</v>
      </c>
      <c r="D4002" s="2" t="s">
        <v>39839</v>
      </c>
      <c r="E4002" s="2" t="s">
        <v>39840</v>
      </c>
      <c r="G4002" s="3" t="s">
        <v>65</v>
      </c>
      <c r="I4002" s="3" t="s">
        <v>65</v>
      </c>
      <c r="J4002" s="3" t="s">
        <v>65</v>
      </c>
      <c r="K4002" s="3" t="s">
        <v>66</v>
      </c>
      <c r="L4002" s="2" t="s">
        <v>39841</v>
      </c>
      <c r="M4002" s="2" t="s">
        <v>39842</v>
      </c>
      <c r="N4002" s="3" t="s">
        <v>68</v>
      </c>
      <c r="O4002" s="2" t="s">
        <v>35638</v>
      </c>
      <c r="P4002" s="3" t="s">
        <v>140</v>
      </c>
      <c r="Q4002" s="2" t="s">
        <v>39843</v>
      </c>
      <c r="R4002" s="3" t="s">
        <v>71</v>
      </c>
      <c r="S4002" s="4">
        <v>0</v>
      </c>
      <c r="T4002" s="4">
        <v>0</v>
      </c>
      <c r="W4002" s="5" t="s">
        <v>72</v>
      </c>
      <c r="X4002" s="5" t="s">
        <v>72</v>
      </c>
      <c r="Y4002" s="4">
        <v>62</v>
      </c>
      <c r="Z4002" s="4">
        <v>6</v>
      </c>
      <c r="AA4002" s="4">
        <v>7</v>
      </c>
      <c r="AB4002" s="4">
        <v>1</v>
      </c>
      <c r="AC4002" s="4">
        <v>2</v>
      </c>
      <c r="AD4002" s="4">
        <v>38</v>
      </c>
      <c r="AE4002" s="4">
        <v>38</v>
      </c>
      <c r="AF4002" s="4">
        <v>0</v>
      </c>
      <c r="AG4002" s="4">
        <v>0</v>
      </c>
      <c r="AH4002" s="4">
        <v>37</v>
      </c>
      <c r="AI4002" s="4">
        <v>37</v>
      </c>
      <c r="AJ4002" s="4">
        <v>3</v>
      </c>
      <c r="AK4002" s="4">
        <v>3</v>
      </c>
      <c r="AL4002" s="4">
        <v>30</v>
      </c>
      <c r="AM4002" s="4">
        <v>30</v>
      </c>
      <c r="AN4002" s="4">
        <v>0</v>
      </c>
      <c r="AO4002" s="4">
        <v>0</v>
      </c>
      <c r="AP4002" s="4">
        <v>3</v>
      </c>
      <c r="AQ4002" s="4">
        <v>3</v>
      </c>
      <c r="AR4002" s="3" t="s">
        <v>65</v>
      </c>
      <c r="AS4002" s="3" t="s">
        <v>65</v>
      </c>
      <c r="AT4002" s="3" t="s">
        <v>65</v>
      </c>
      <c r="AV4002" s="6" t="str">
        <f>HYPERLINK("http://mcgill.on.worldcat.org/oclc/939396434","Catalog Record")</f>
        <v>Catalog Record</v>
      </c>
      <c r="AW4002" s="6" t="str">
        <f>HYPERLINK("http://www.worldcat.org/oclc/939396434","WorldCat Record")</f>
        <v>WorldCat Record</v>
      </c>
      <c r="AX4002" s="3" t="s">
        <v>39844</v>
      </c>
      <c r="AY4002" s="3" t="s">
        <v>39845</v>
      </c>
      <c r="AZ4002" s="3" t="s">
        <v>39846</v>
      </c>
      <c r="BA4002" s="3" t="s">
        <v>39846</v>
      </c>
      <c r="BB4002" s="3" t="s">
        <v>39847</v>
      </c>
      <c r="BC4002" s="3" t="s">
        <v>77</v>
      </c>
      <c r="BD4002" s="3" t="s">
        <v>78</v>
      </c>
      <c r="BE4002" s="3" t="s">
        <v>39848</v>
      </c>
      <c r="BF4002" s="3" t="s">
        <v>39847</v>
      </c>
      <c r="BG4002" s="3" t="s">
        <v>39849</v>
      </c>
    </row>
    <row r="4003" spans="1:59" ht="58" x14ac:dyDescent="0.35">
      <c r="A4003" s="2" t="s">
        <v>59</v>
      </c>
      <c r="B4003" s="2" t="s">
        <v>60</v>
      </c>
      <c r="C4003" s="2" t="s">
        <v>39850</v>
      </c>
      <c r="D4003" s="2" t="s">
        <v>39851</v>
      </c>
      <c r="E4003" s="2" t="s">
        <v>39852</v>
      </c>
      <c r="G4003" s="3" t="s">
        <v>65</v>
      </c>
      <c r="I4003" s="3" t="s">
        <v>65</v>
      </c>
      <c r="J4003" s="3" t="s">
        <v>65</v>
      </c>
      <c r="K4003" s="3" t="s">
        <v>66</v>
      </c>
      <c r="M4003" s="2" t="s">
        <v>403</v>
      </c>
      <c r="N4003" s="3" t="s">
        <v>139</v>
      </c>
      <c r="P4003" s="3" t="s">
        <v>140</v>
      </c>
      <c r="Q4003" s="2" t="s">
        <v>39853</v>
      </c>
      <c r="R4003" s="3" t="s">
        <v>71</v>
      </c>
      <c r="S4003" s="4">
        <v>0</v>
      </c>
      <c r="T4003" s="4">
        <v>0</v>
      </c>
      <c r="W4003" s="5" t="s">
        <v>72</v>
      </c>
      <c r="X4003" s="5" t="s">
        <v>72</v>
      </c>
      <c r="Y4003" s="4">
        <v>25</v>
      </c>
      <c r="Z4003" s="4">
        <v>3</v>
      </c>
      <c r="AA4003" s="4">
        <v>3</v>
      </c>
      <c r="AB4003" s="4">
        <v>1</v>
      </c>
      <c r="AC4003" s="4">
        <v>1</v>
      </c>
      <c r="AD4003" s="4">
        <v>14</v>
      </c>
      <c r="AE4003" s="4">
        <v>14</v>
      </c>
      <c r="AF4003" s="4">
        <v>0</v>
      </c>
      <c r="AG4003" s="4">
        <v>0</v>
      </c>
      <c r="AH4003" s="4">
        <v>13</v>
      </c>
      <c r="AI4003" s="4">
        <v>13</v>
      </c>
      <c r="AJ4003" s="4">
        <v>1</v>
      </c>
      <c r="AK4003" s="4">
        <v>1</v>
      </c>
      <c r="AL4003" s="4">
        <v>12</v>
      </c>
      <c r="AM4003" s="4">
        <v>12</v>
      </c>
      <c r="AN4003" s="4">
        <v>0</v>
      </c>
      <c r="AO4003" s="4">
        <v>0</v>
      </c>
      <c r="AP4003" s="4">
        <v>1</v>
      </c>
      <c r="AQ4003" s="4">
        <v>1</v>
      </c>
      <c r="AR4003" s="3" t="s">
        <v>65</v>
      </c>
      <c r="AS4003" s="3" t="s">
        <v>65</v>
      </c>
      <c r="AT4003" s="3" t="s">
        <v>65</v>
      </c>
      <c r="AV4003" s="6" t="str">
        <f>HYPERLINK("http://mcgill.on.worldcat.org/oclc/823206903","Catalog Record")</f>
        <v>Catalog Record</v>
      </c>
      <c r="AW4003" s="6" t="str">
        <f>HYPERLINK("http://www.worldcat.org/oclc/823206903","WorldCat Record")</f>
        <v>WorldCat Record</v>
      </c>
      <c r="AX4003" s="3" t="s">
        <v>39854</v>
      </c>
      <c r="AY4003" s="3" t="s">
        <v>39855</v>
      </c>
      <c r="AZ4003" s="3" t="s">
        <v>39856</v>
      </c>
      <c r="BA4003" s="3" t="s">
        <v>39856</v>
      </c>
      <c r="BB4003" s="3" t="s">
        <v>39857</v>
      </c>
      <c r="BC4003" s="3" t="s">
        <v>77</v>
      </c>
      <c r="BD4003" s="3" t="s">
        <v>78</v>
      </c>
      <c r="BE4003" s="3" t="s">
        <v>39858</v>
      </c>
      <c r="BF4003" s="3" t="s">
        <v>39857</v>
      </c>
      <c r="BG4003" s="3" t="s">
        <v>39859</v>
      </c>
    </row>
    <row r="4004" spans="1:59" ht="58" x14ac:dyDescent="0.35">
      <c r="A4004" s="2" t="s">
        <v>59</v>
      </c>
      <c r="B4004" s="2" t="s">
        <v>60</v>
      </c>
      <c r="C4004" s="2" t="s">
        <v>39860</v>
      </c>
      <c r="D4004" s="2" t="s">
        <v>39861</v>
      </c>
      <c r="E4004" s="2" t="s">
        <v>39862</v>
      </c>
      <c r="G4004" s="3" t="s">
        <v>65</v>
      </c>
      <c r="I4004" s="3" t="s">
        <v>65</v>
      </c>
      <c r="J4004" s="3" t="s">
        <v>65</v>
      </c>
      <c r="K4004" s="3" t="s">
        <v>66</v>
      </c>
      <c r="L4004" s="2" t="s">
        <v>39863</v>
      </c>
      <c r="M4004" s="2" t="s">
        <v>39864</v>
      </c>
      <c r="N4004" s="3" t="s">
        <v>126</v>
      </c>
      <c r="P4004" s="3" t="s">
        <v>140</v>
      </c>
      <c r="Q4004" s="2" t="s">
        <v>39865</v>
      </c>
      <c r="R4004" s="3" t="s">
        <v>71</v>
      </c>
      <c r="S4004" s="4">
        <v>0</v>
      </c>
      <c r="T4004" s="4">
        <v>0</v>
      </c>
      <c r="W4004" s="5" t="s">
        <v>72</v>
      </c>
      <c r="X4004" s="5" t="s">
        <v>72</v>
      </c>
      <c r="Y4004" s="4">
        <v>23</v>
      </c>
      <c r="Z4004" s="4">
        <v>2</v>
      </c>
      <c r="AA4004" s="4">
        <v>2</v>
      </c>
      <c r="AB4004" s="4">
        <v>1</v>
      </c>
      <c r="AC4004" s="4">
        <v>1</v>
      </c>
      <c r="AD4004" s="4">
        <v>18</v>
      </c>
      <c r="AE4004" s="4">
        <v>18</v>
      </c>
      <c r="AF4004" s="4">
        <v>0</v>
      </c>
      <c r="AG4004" s="4">
        <v>0</v>
      </c>
      <c r="AH4004" s="4">
        <v>17</v>
      </c>
      <c r="AI4004" s="4">
        <v>17</v>
      </c>
      <c r="AJ4004" s="4">
        <v>1</v>
      </c>
      <c r="AK4004" s="4">
        <v>1</v>
      </c>
      <c r="AL4004" s="4">
        <v>14</v>
      </c>
      <c r="AM4004" s="4">
        <v>14</v>
      </c>
      <c r="AN4004" s="4">
        <v>0</v>
      </c>
      <c r="AO4004" s="4">
        <v>0</v>
      </c>
      <c r="AP4004" s="4">
        <v>1</v>
      </c>
      <c r="AQ4004" s="4">
        <v>1</v>
      </c>
      <c r="AR4004" s="3" t="s">
        <v>65</v>
      </c>
      <c r="AS4004" s="3" t="s">
        <v>65</v>
      </c>
      <c r="AT4004" s="3" t="s">
        <v>65</v>
      </c>
      <c r="AV4004" s="6" t="str">
        <f>HYPERLINK("http://mcgill.on.worldcat.org/oclc/747530726","Catalog Record")</f>
        <v>Catalog Record</v>
      </c>
      <c r="AW4004" s="6" t="str">
        <f>HYPERLINK("http://www.worldcat.org/oclc/747530726","WorldCat Record")</f>
        <v>WorldCat Record</v>
      </c>
      <c r="AX4004" s="3" t="s">
        <v>39866</v>
      </c>
      <c r="AY4004" s="3" t="s">
        <v>39867</v>
      </c>
      <c r="AZ4004" s="3" t="s">
        <v>39868</v>
      </c>
      <c r="BA4004" s="3" t="s">
        <v>39868</v>
      </c>
      <c r="BB4004" s="3" t="s">
        <v>39869</v>
      </c>
      <c r="BC4004" s="3" t="s">
        <v>77</v>
      </c>
      <c r="BD4004" s="3" t="s">
        <v>78</v>
      </c>
      <c r="BE4004" s="3" t="s">
        <v>39870</v>
      </c>
      <c r="BF4004" s="3" t="s">
        <v>39869</v>
      </c>
      <c r="BG4004" s="3" t="s">
        <v>39871</v>
      </c>
    </row>
    <row r="4005" spans="1:59" ht="58" x14ac:dyDescent="0.35">
      <c r="A4005" s="2" t="s">
        <v>59</v>
      </c>
      <c r="B4005" s="2" t="s">
        <v>60</v>
      </c>
      <c r="C4005" s="2" t="s">
        <v>39872</v>
      </c>
      <c r="D4005" s="2" t="s">
        <v>39873</v>
      </c>
      <c r="E4005" s="2" t="s">
        <v>39874</v>
      </c>
      <c r="G4005" s="3" t="s">
        <v>65</v>
      </c>
      <c r="I4005" s="3" t="s">
        <v>65</v>
      </c>
      <c r="J4005" s="3" t="s">
        <v>65</v>
      </c>
      <c r="K4005" s="3" t="s">
        <v>66</v>
      </c>
      <c r="L4005" s="2" t="s">
        <v>39875</v>
      </c>
      <c r="M4005" s="2" t="s">
        <v>39876</v>
      </c>
      <c r="N4005" s="3" t="s">
        <v>1835</v>
      </c>
      <c r="O4005" s="2" t="s">
        <v>654</v>
      </c>
      <c r="P4005" s="3" t="s">
        <v>140</v>
      </c>
      <c r="Q4005" s="2" t="s">
        <v>39877</v>
      </c>
      <c r="R4005" s="3" t="s">
        <v>71</v>
      </c>
      <c r="S4005" s="4">
        <v>20</v>
      </c>
      <c r="T4005" s="4">
        <v>20</v>
      </c>
      <c r="U4005" s="5" t="s">
        <v>39878</v>
      </c>
      <c r="V4005" s="5" t="s">
        <v>39878</v>
      </c>
      <c r="W4005" s="5" t="s">
        <v>72</v>
      </c>
      <c r="X4005" s="5" t="s">
        <v>72</v>
      </c>
      <c r="Y4005" s="4">
        <v>9</v>
      </c>
      <c r="Z4005" s="4">
        <v>2</v>
      </c>
      <c r="AA4005" s="4">
        <v>9</v>
      </c>
      <c r="AB4005" s="4">
        <v>1</v>
      </c>
      <c r="AC4005" s="4">
        <v>3</v>
      </c>
      <c r="AD4005" s="4">
        <v>5</v>
      </c>
      <c r="AE4005" s="4">
        <v>44</v>
      </c>
      <c r="AF4005" s="4">
        <v>0</v>
      </c>
      <c r="AG4005" s="4">
        <v>2</v>
      </c>
      <c r="AH4005" s="4">
        <v>5</v>
      </c>
      <c r="AI4005" s="4">
        <v>40</v>
      </c>
      <c r="AJ4005" s="4">
        <v>1</v>
      </c>
      <c r="AK4005" s="4">
        <v>7</v>
      </c>
      <c r="AL4005" s="4">
        <v>3</v>
      </c>
      <c r="AM4005" s="4">
        <v>28</v>
      </c>
      <c r="AN4005" s="4">
        <v>0</v>
      </c>
      <c r="AO4005" s="4">
        <v>0</v>
      </c>
      <c r="AP4005" s="4">
        <v>1</v>
      </c>
      <c r="AQ4005" s="4">
        <v>6</v>
      </c>
      <c r="AR4005" s="3" t="s">
        <v>65</v>
      </c>
      <c r="AS4005" s="3" t="s">
        <v>65</v>
      </c>
      <c r="AT4005" s="3" t="s">
        <v>65</v>
      </c>
      <c r="AV4005" s="6" t="str">
        <f>HYPERLINK("http://mcgill.on.worldcat.org/oclc/10657823","Catalog Record")</f>
        <v>Catalog Record</v>
      </c>
      <c r="AW4005" s="6" t="str">
        <f>HYPERLINK("http://www.worldcat.org/oclc/10657823","WorldCat Record")</f>
        <v>WorldCat Record</v>
      </c>
      <c r="AX4005" s="3" t="s">
        <v>39879</v>
      </c>
      <c r="AY4005" s="3" t="s">
        <v>39880</v>
      </c>
      <c r="AZ4005" s="3" t="s">
        <v>39881</v>
      </c>
      <c r="BA4005" s="3" t="s">
        <v>39881</v>
      </c>
      <c r="BB4005" s="3" t="s">
        <v>39882</v>
      </c>
      <c r="BC4005" s="3" t="s">
        <v>77</v>
      </c>
      <c r="BD4005" s="3" t="s">
        <v>78</v>
      </c>
      <c r="BF4005" s="3" t="s">
        <v>39882</v>
      </c>
      <c r="BG4005" s="3" t="s">
        <v>39883</v>
      </c>
    </row>
    <row r="4006" spans="1:59" ht="58" x14ac:dyDescent="0.35">
      <c r="A4006" s="2" t="s">
        <v>59</v>
      </c>
      <c r="B4006" s="2" t="s">
        <v>60</v>
      </c>
      <c r="C4006" s="2" t="s">
        <v>39884</v>
      </c>
      <c r="D4006" s="2" t="s">
        <v>39885</v>
      </c>
      <c r="E4006" s="2" t="s">
        <v>39886</v>
      </c>
      <c r="G4006" s="3" t="s">
        <v>65</v>
      </c>
      <c r="I4006" s="3" t="s">
        <v>65</v>
      </c>
      <c r="J4006" s="3" t="s">
        <v>65</v>
      </c>
      <c r="K4006" s="3" t="s">
        <v>66</v>
      </c>
      <c r="L4006" s="2" t="s">
        <v>39875</v>
      </c>
      <c r="M4006" s="2" t="s">
        <v>39887</v>
      </c>
      <c r="N4006" s="3" t="s">
        <v>152</v>
      </c>
      <c r="P4006" s="3" t="s">
        <v>140</v>
      </c>
      <c r="Q4006" s="2" t="s">
        <v>22154</v>
      </c>
      <c r="R4006" s="3" t="s">
        <v>71</v>
      </c>
      <c r="S4006" s="4">
        <v>2</v>
      </c>
      <c r="T4006" s="4">
        <v>2</v>
      </c>
      <c r="U4006" s="5" t="s">
        <v>39888</v>
      </c>
      <c r="V4006" s="5" t="s">
        <v>39888</v>
      </c>
      <c r="W4006" s="5" t="s">
        <v>72</v>
      </c>
      <c r="X4006" s="5" t="s">
        <v>72</v>
      </c>
      <c r="Y4006" s="4">
        <v>50</v>
      </c>
      <c r="Z4006" s="4">
        <v>4</v>
      </c>
      <c r="AA4006" s="4">
        <v>6</v>
      </c>
      <c r="AB4006" s="4">
        <v>1</v>
      </c>
      <c r="AC4006" s="4">
        <v>3</v>
      </c>
      <c r="AD4006" s="4">
        <v>24</v>
      </c>
      <c r="AE4006" s="4">
        <v>25</v>
      </c>
      <c r="AF4006" s="4">
        <v>0</v>
      </c>
      <c r="AG4006" s="4">
        <v>1</v>
      </c>
      <c r="AH4006" s="4">
        <v>23</v>
      </c>
      <c r="AI4006" s="4">
        <v>23</v>
      </c>
      <c r="AJ4006" s="4">
        <v>1</v>
      </c>
      <c r="AK4006" s="4">
        <v>2</v>
      </c>
      <c r="AL4006" s="4">
        <v>17</v>
      </c>
      <c r="AM4006" s="4">
        <v>17</v>
      </c>
      <c r="AN4006" s="4">
        <v>0</v>
      </c>
      <c r="AO4006" s="4">
        <v>0</v>
      </c>
      <c r="AP4006" s="4">
        <v>1</v>
      </c>
      <c r="AQ4006" s="4">
        <v>1</v>
      </c>
      <c r="AR4006" s="3" t="s">
        <v>65</v>
      </c>
      <c r="AS4006" s="3" t="s">
        <v>65</v>
      </c>
      <c r="AT4006" s="3" t="s">
        <v>65</v>
      </c>
      <c r="AV4006" s="6" t="str">
        <f>HYPERLINK("http://mcgill.on.worldcat.org/oclc/816040780","Catalog Record")</f>
        <v>Catalog Record</v>
      </c>
      <c r="AW4006" s="6" t="str">
        <f>HYPERLINK("http://www.worldcat.org/oclc/816040780","WorldCat Record")</f>
        <v>WorldCat Record</v>
      </c>
      <c r="AX4006" s="3" t="s">
        <v>39889</v>
      </c>
      <c r="AY4006" s="3" t="s">
        <v>39890</v>
      </c>
      <c r="AZ4006" s="3" t="s">
        <v>39891</v>
      </c>
      <c r="BA4006" s="3" t="s">
        <v>39891</v>
      </c>
      <c r="BB4006" s="3" t="s">
        <v>39892</v>
      </c>
      <c r="BC4006" s="3" t="s">
        <v>77</v>
      </c>
      <c r="BD4006" s="3" t="s">
        <v>78</v>
      </c>
      <c r="BE4006" s="3" t="s">
        <v>39893</v>
      </c>
      <c r="BF4006" s="3" t="s">
        <v>39892</v>
      </c>
      <c r="BG4006" s="3" t="s">
        <v>39894</v>
      </c>
    </row>
    <row r="4007" spans="1:59" ht="58" x14ac:dyDescent="0.35">
      <c r="A4007" s="2" t="s">
        <v>59</v>
      </c>
      <c r="B4007" s="2" t="s">
        <v>60</v>
      </c>
      <c r="C4007" s="2" t="s">
        <v>39895</v>
      </c>
      <c r="D4007" s="2" t="s">
        <v>39896</v>
      </c>
      <c r="E4007" s="2" t="s">
        <v>39897</v>
      </c>
      <c r="G4007" s="3" t="s">
        <v>65</v>
      </c>
      <c r="I4007" s="3" t="s">
        <v>65</v>
      </c>
      <c r="J4007" s="3" t="s">
        <v>65</v>
      </c>
      <c r="K4007" s="3" t="s">
        <v>66</v>
      </c>
      <c r="L4007" s="2" t="s">
        <v>39875</v>
      </c>
      <c r="M4007" s="2" t="s">
        <v>39898</v>
      </c>
      <c r="N4007" s="3" t="s">
        <v>214</v>
      </c>
      <c r="P4007" s="3" t="s">
        <v>140</v>
      </c>
      <c r="Q4007" s="2" t="s">
        <v>39899</v>
      </c>
      <c r="R4007" s="3" t="s">
        <v>71</v>
      </c>
      <c r="S4007" s="4">
        <v>11</v>
      </c>
      <c r="T4007" s="4">
        <v>11</v>
      </c>
      <c r="U4007" s="5" t="s">
        <v>840</v>
      </c>
      <c r="V4007" s="5" t="s">
        <v>840</v>
      </c>
      <c r="W4007" s="5" t="s">
        <v>72</v>
      </c>
      <c r="X4007" s="5" t="s">
        <v>72</v>
      </c>
      <c r="Y4007" s="4">
        <v>67</v>
      </c>
      <c r="Z4007" s="4">
        <v>4</v>
      </c>
      <c r="AA4007" s="4">
        <v>9</v>
      </c>
      <c r="AB4007" s="4">
        <v>1</v>
      </c>
      <c r="AC4007" s="4">
        <v>2</v>
      </c>
      <c r="AD4007" s="4">
        <v>32</v>
      </c>
      <c r="AE4007" s="4">
        <v>59</v>
      </c>
      <c r="AF4007" s="4">
        <v>0</v>
      </c>
      <c r="AG4007" s="4">
        <v>1</v>
      </c>
      <c r="AH4007" s="4">
        <v>29</v>
      </c>
      <c r="AI4007" s="4">
        <v>54</v>
      </c>
      <c r="AJ4007" s="4">
        <v>2</v>
      </c>
      <c r="AK4007" s="4">
        <v>7</v>
      </c>
      <c r="AL4007" s="4">
        <v>21</v>
      </c>
      <c r="AM4007" s="4">
        <v>34</v>
      </c>
      <c r="AN4007" s="4">
        <v>0</v>
      </c>
      <c r="AO4007" s="4">
        <v>0</v>
      </c>
      <c r="AP4007" s="4">
        <v>2</v>
      </c>
      <c r="AQ4007" s="4">
        <v>6</v>
      </c>
      <c r="AR4007" s="3" t="s">
        <v>65</v>
      </c>
      <c r="AS4007" s="3" t="s">
        <v>65</v>
      </c>
      <c r="AT4007" s="3" t="s">
        <v>65</v>
      </c>
      <c r="AV4007" s="6" t="str">
        <f>HYPERLINK("http://mcgill.on.worldcat.org/oclc/12436943","Catalog Record")</f>
        <v>Catalog Record</v>
      </c>
      <c r="AW4007" s="6" t="str">
        <f>HYPERLINK("http://www.worldcat.org/oclc/12436943","WorldCat Record")</f>
        <v>WorldCat Record</v>
      </c>
      <c r="AX4007" s="3" t="s">
        <v>39900</v>
      </c>
      <c r="AY4007" s="3" t="s">
        <v>39901</v>
      </c>
      <c r="AZ4007" s="3" t="s">
        <v>39902</v>
      </c>
      <c r="BA4007" s="3" t="s">
        <v>39902</v>
      </c>
      <c r="BB4007" s="3" t="s">
        <v>39903</v>
      </c>
      <c r="BC4007" s="3" t="s">
        <v>77</v>
      </c>
      <c r="BD4007" s="3" t="s">
        <v>78</v>
      </c>
      <c r="BF4007" s="3" t="s">
        <v>39903</v>
      </c>
      <c r="BG4007" s="3" t="s">
        <v>39904</v>
      </c>
    </row>
    <row r="4008" spans="1:59" ht="58" x14ac:dyDescent="0.35">
      <c r="A4008" s="2" t="s">
        <v>59</v>
      </c>
      <c r="B4008" s="2" t="s">
        <v>60</v>
      </c>
      <c r="C4008" s="2" t="s">
        <v>39905</v>
      </c>
      <c r="D4008" s="2" t="s">
        <v>39906</v>
      </c>
      <c r="E4008" s="2" t="s">
        <v>39907</v>
      </c>
      <c r="G4008" s="3" t="s">
        <v>65</v>
      </c>
      <c r="I4008" s="3" t="s">
        <v>65</v>
      </c>
      <c r="J4008" s="3" t="s">
        <v>65</v>
      </c>
      <c r="K4008" s="3" t="s">
        <v>66</v>
      </c>
      <c r="L4008" s="2" t="s">
        <v>39875</v>
      </c>
      <c r="M4008" s="2" t="s">
        <v>39908</v>
      </c>
      <c r="N4008" s="3" t="s">
        <v>2377</v>
      </c>
      <c r="P4008" s="3" t="s">
        <v>69</v>
      </c>
      <c r="R4008" s="3" t="s">
        <v>71</v>
      </c>
      <c r="S4008" s="4">
        <v>9</v>
      </c>
      <c r="T4008" s="4">
        <v>9</v>
      </c>
      <c r="U4008" s="5" t="s">
        <v>39909</v>
      </c>
      <c r="V4008" s="5" t="s">
        <v>39909</v>
      </c>
      <c r="W4008" s="5" t="s">
        <v>72</v>
      </c>
      <c r="X4008" s="5" t="s">
        <v>72</v>
      </c>
      <c r="Y4008" s="4">
        <v>110</v>
      </c>
      <c r="Z4008" s="4">
        <v>10</v>
      </c>
      <c r="AA4008" s="4">
        <v>10</v>
      </c>
      <c r="AB4008" s="4">
        <v>1</v>
      </c>
      <c r="AC4008" s="4">
        <v>1</v>
      </c>
      <c r="AD4008" s="4">
        <v>48</v>
      </c>
      <c r="AE4008" s="4">
        <v>49</v>
      </c>
      <c r="AF4008" s="4">
        <v>0</v>
      </c>
      <c r="AG4008" s="4">
        <v>0</v>
      </c>
      <c r="AH4008" s="4">
        <v>46</v>
      </c>
      <c r="AI4008" s="4">
        <v>47</v>
      </c>
      <c r="AJ4008" s="4">
        <v>5</v>
      </c>
      <c r="AK4008" s="4">
        <v>5</v>
      </c>
      <c r="AL4008" s="4">
        <v>31</v>
      </c>
      <c r="AM4008" s="4">
        <v>31</v>
      </c>
      <c r="AN4008" s="4">
        <v>0</v>
      </c>
      <c r="AO4008" s="4">
        <v>0</v>
      </c>
      <c r="AP4008" s="4">
        <v>5</v>
      </c>
      <c r="AQ4008" s="4">
        <v>5</v>
      </c>
      <c r="AR4008" s="3" t="s">
        <v>65</v>
      </c>
      <c r="AS4008" s="3" t="s">
        <v>65</v>
      </c>
      <c r="AT4008" s="3" t="s">
        <v>209</v>
      </c>
      <c r="AU4008" s="6" t="str">
        <f>HYPERLINK("http://catalog.hathitrust.org/Record/009495893","HathiTrust Record")</f>
        <v>HathiTrust Record</v>
      </c>
      <c r="AV4008" s="6" t="str">
        <f>HYPERLINK("http://mcgill.on.worldcat.org/oclc/20219625","Catalog Record")</f>
        <v>Catalog Record</v>
      </c>
      <c r="AW4008" s="6" t="str">
        <f>HYPERLINK("http://www.worldcat.org/oclc/20219625","WorldCat Record")</f>
        <v>WorldCat Record</v>
      </c>
      <c r="AX4008" s="3" t="s">
        <v>39910</v>
      </c>
      <c r="AY4008" s="3" t="s">
        <v>39911</v>
      </c>
      <c r="AZ4008" s="3" t="s">
        <v>39912</v>
      </c>
      <c r="BA4008" s="3" t="s">
        <v>39912</v>
      </c>
      <c r="BB4008" s="3" t="s">
        <v>39913</v>
      </c>
      <c r="BC4008" s="3" t="s">
        <v>77</v>
      </c>
      <c r="BD4008" s="3" t="s">
        <v>78</v>
      </c>
      <c r="BE4008" s="3" t="s">
        <v>39914</v>
      </c>
      <c r="BF4008" s="3" t="s">
        <v>39913</v>
      </c>
      <c r="BG4008" s="3" t="s">
        <v>39915</v>
      </c>
    </row>
    <row r="4009" spans="1:59" ht="58" x14ac:dyDescent="0.35">
      <c r="A4009" s="2" t="s">
        <v>59</v>
      </c>
      <c r="B4009" s="2" t="s">
        <v>60</v>
      </c>
      <c r="C4009" s="2" t="s">
        <v>39916</v>
      </c>
      <c r="D4009" s="2" t="s">
        <v>39917</v>
      </c>
      <c r="E4009" s="2" t="s">
        <v>39918</v>
      </c>
      <c r="G4009" s="3" t="s">
        <v>65</v>
      </c>
      <c r="I4009" s="3" t="s">
        <v>65</v>
      </c>
      <c r="J4009" s="3" t="s">
        <v>65</v>
      </c>
      <c r="K4009" s="3" t="s">
        <v>66</v>
      </c>
      <c r="L4009" s="2" t="s">
        <v>39875</v>
      </c>
      <c r="M4009" s="2" t="s">
        <v>39919</v>
      </c>
      <c r="N4009" s="3" t="s">
        <v>392</v>
      </c>
      <c r="P4009" s="3" t="s">
        <v>69</v>
      </c>
      <c r="Q4009" s="2" t="s">
        <v>39920</v>
      </c>
      <c r="R4009" s="3" t="s">
        <v>71</v>
      </c>
      <c r="S4009" s="4">
        <v>13</v>
      </c>
      <c r="T4009" s="4">
        <v>13</v>
      </c>
      <c r="U4009" s="5" t="s">
        <v>39921</v>
      </c>
      <c r="V4009" s="5" t="s">
        <v>39921</v>
      </c>
      <c r="W4009" s="5" t="s">
        <v>72</v>
      </c>
      <c r="X4009" s="5" t="s">
        <v>72</v>
      </c>
      <c r="Y4009" s="4">
        <v>131</v>
      </c>
      <c r="Z4009" s="4">
        <v>7</v>
      </c>
      <c r="AA4009" s="4">
        <v>16</v>
      </c>
      <c r="AB4009" s="4">
        <v>2</v>
      </c>
      <c r="AC4009" s="4">
        <v>3</v>
      </c>
      <c r="AD4009" s="4">
        <v>43</v>
      </c>
      <c r="AE4009" s="4">
        <v>68</v>
      </c>
      <c r="AF4009" s="4">
        <v>1</v>
      </c>
      <c r="AG4009" s="4">
        <v>1</v>
      </c>
      <c r="AH4009" s="4">
        <v>40</v>
      </c>
      <c r="AI4009" s="4">
        <v>63</v>
      </c>
      <c r="AJ4009" s="4">
        <v>3</v>
      </c>
      <c r="AK4009" s="4">
        <v>9</v>
      </c>
      <c r="AL4009" s="4">
        <v>24</v>
      </c>
      <c r="AM4009" s="4">
        <v>39</v>
      </c>
      <c r="AN4009" s="4">
        <v>0</v>
      </c>
      <c r="AO4009" s="4">
        <v>0</v>
      </c>
      <c r="AP4009" s="4">
        <v>4</v>
      </c>
      <c r="AQ4009" s="4">
        <v>10</v>
      </c>
      <c r="AR4009" s="3" t="s">
        <v>65</v>
      </c>
      <c r="AS4009" s="3" t="s">
        <v>65</v>
      </c>
      <c r="AT4009" s="3" t="s">
        <v>65</v>
      </c>
      <c r="AV4009" s="6" t="str">
        <f>HYPERLINK("http://mcgill.on.worldcat.org/oclc/17621532","Catalog Record")</f>
        <v>Catalog Record</v>
      </c>
      <c r="AW4009" s="6" t="str">
        <f>HYPERLINK("http://www.worldcat.org/oclc/17621532","WorldCat Record")</f>
        <v>WorldCat Record</v>
      </c>
      <c r="AX4009" s="3" t="s">
        <v>39922</v>
      </c>
      <c r="AY4009" s="3" t="s">
        <v>39923</v>
      </c>
      <c r="AZ4009" s="3" t="s">
        <v>39924</v>
      </c>
      <c r="BA4009" s="3" t="s">
        <v>39924</v>
      </c>
      <c r="BB4009" s="3" t="s">
        <v>39925</v>
      </c>
      <c r="BC4009" s="3" t="s">
        <v>77</v>
      </c>
      <c r="BD4009" s="3" t="s">
        <v>78</v>
      </c>
      <c r="BE4009" s="3" t="s">
        <v>39926</v>
      </c>
      <c r="BF4009" s="3" t="s">
        <v>39925</v>
      </c>
      <c r="BG4009" s="3" t="s">
        <v>39927</v>
      </c>
    </row>
    <row r="4010" spans="1:59" ht="58" x14ac:dyDescent="0.35">
      <c r="A4010" s="2" t="s">
        <v>59</v>
      </c>
      <c r="B4010" s="2" t="s">
        <v>60</v>
      </c>
      <c r="C4010" s="2" t="s">
        <v>39928</v>
      </c>
      <c r="D4010" s="2" t="s">
        <v>39929</v>
      </c>
      <c r="E4010" s="2" t="s">
        <v>39930</v>
      </c>
      <c r="G4010" s="3" t="s">
        <v>65</v>
      </c>
      <c r="I4010" s="3" t="s">
        <v>65</v>
      </c>
      <c r="J4010" s="3" t="s">
        <v>65</v>
      </c>
      <c r="K4010" s="3" t="s">
        <v>66</v>
      </c>
      <c r="L4010" s="2" t="s">
        <v>39931</v>
      </c>
      <c r="M4010" s="2" t="s">
        <v>39932</v>
      </c>
      <c r="N4010" s="3" t="s">
        <v>188</v>
      </c>
      <c r="O4010" s="2" t="s">
        <v>39933</v>
      </c>
      <c r="P4010" s="3" t="s">
        <v>69</v>
      </c>
      <c r="R4010" s="3" t="s">
        <v>71</v>
      </c>
      <c r="S4010" s="4">
        <v>0</v>
      </c>
      <c r="T4010" s="4">
        <v>0</v>
      </c>
      <c r="W4010" s="5" t="s">
        <v>72</v>
      </c>
      <c r="X4010" s="5" t="s">
        <v>72</v>
      </c>
      <c r="Y4010" s="4">
        <v>201</v>
      </c>
      <c r="Z4010" s="4">
        <v>3</v>
      </c>
      <c r="AA4010" s="4">
        <v>6</v>
      </c>
      <c r="AB4010" s="4">
        <v>1</v>
      </c>
      <c r="AC4010" s="4">
        <v>3</v>
      </c>
      <c r="AD4010" s="4">
        <v>39</v>
      </c>
      <c r="AE4010" s="4">
        <v>39</v>
      </c>
      <c r="AF4010" s="4">
        <v>0</v>
      </c>
      <c r="AG4010" s="4">
        <v>0</v>
      </c>
      <c r="AH4010" s="4">
        <v>38</v>
      </c>
      <c r="AI4010" s="4">
        <v>38</v>
      </c>
      <c r="AJ4010" s="4">
        <v>1</v>
      </c>
      <c r="AK4010" s="4">
        <v>1</v>
      </c>
      <c r="AL4010" s="4">
        <v>27</v>
      </c>
      <c r="AM4010" s="4">
        <v>27</v>
      </c>
      <c r="AN4010" s="4">
        <v>0</v>
      </c>
      <c r="AO4010" s="4">
        <v>0</v>
      </c>
      <c r="AP4010" s="4">
        <v>1</v>
      </c>
      <c r="AQ4010" s="4">
        <v>1</v>
      </c>
      <c r="AR4010" s="3" t="s">
        <v>65</v>
      </c>
      <c r="AS4010" s="3" t="s">
        <v>65</v>
      </c>
      <c r="AT4010" s="3" t="s">
        <v>65</v>
      </c>
      <c r="AV4010" s="6" t="str">
        <f>HYPERLINK("http://mcgill.on.worldcat.org/oclc/965922235","Catalog Record")</f>
        <v>Catalog Record</v>
      </c>
      <c r="AW4010" s="6" t="str">
        <f>HYPERLINK("http://www.worldcat.org/oclc/965922235","WorldCat Record")</f>
        <v>WorldCat Record</v>
      </c>
      <c r="AX4010" s="3" t="s">
        <v>39934</v>
      </c>
      <c r="AY4010" s="3" t="s">
        <v>39935</v>
      </c>
      <c r="AZ4010" s="3" t="s">
        <v>39936</v>
      </c>
      <c r="BA4010" s="3" t="s">
        <v>39936</v>
      </c>
      <c r="BB4010" s="3" t="s">
        <v>39937</v>
      </c>
      <c r="BC4010" s="3" t="s">
        <v>77</v>
      </c>
      <c r="BD4010" s="3" t="s">
        <v>78</v>
      </c>
      <c r="BE4010" s="3" t="s">
        <v>39938</v>
      </c>
      <c r="BF4010" s="3" t="s">
        <v>39937</v>
      </c>
      <c r="BG4010" s="3" t="s">
        <v>39939</v>
      </c>
    </row>
    <row r="4011" spans="1:59" ht="58" x14ac:dyDescent="0.35">
      <c r="A4011" s="2" t="s">
        <v>59</v>
      </c>
      <c r="B4011" s="2" t="s">
        <v>60</v>
      </c>
      <c r="C4011" s="2" t="s">
        <v>39940</v>
      </c>
      <c r="D4011" s="2" t="s">
        <v>39941</v>
      </c>
      <c r="E4011" s="2" t="s">
        <v>39942</v>
      </c>
      <c r="G4011" s="3" t="s">
        <v>65</v>
      </c>
      <c r="I4011" s="3" t="s">
        <v>65</v>
      </c>
      <c r="J4011" s="3" t="s">
        <v>65</v>
      </c>
      <c r="K4011" s="3" t="s">
        <v>66</v>
      </c>
      <c r="L4011" s="2" t="s">
        <v>39875</v>
      </c>
      <c r="M4011" s="2" t="s">
        <v>39943</v>
      </c>
      <c r="N4011" s="3" t="s">
        <v>4688</v>
      </c>
      <c r="O4011" s="2" t="s">
        <v>39944</v>
      </c>
      <c r="P4011" s="3" t="s">
        <v>140</v>
      </c>
      <c r="Q4011" s="2" t="s">
        <v>36796</v>
      </c>
      <c r="R4011" s="3" t="s">
        <v>71</v>
      </c>
      <c r="S4011" s="4">
        <v>13</v>
      </c>
      <c r="T4011" s="4">
        <v>13</v>
      </c>
      <c r="U4011" s="5" t="s">
        <v>39257</v>
      </c>
      <c r="V4011" s="5" t="s">
        <v>39257</v>
      </c>
      <c r="W4011" s="5" t="s">
        <v>72</v>
      </c>
      <c r="X4011" s="5" t="s">
        <v>72</v>
      </c>
      <c r="Y4011" s="4">
        <v>91</v>
      </c>
      <c r="Z4011" s="4">
        <v>9</v>
      </c>
      <c r="AA4011" s="4">
        <v>15</v>
      </c>
      <c r="AB4011" s="4">
        <v>2</v>
      </c>
      <c r="AC4011" s="4">
        <v>4</v>
      </c>
      <c r="AD4011" s="4">
        <v>43</v>
      </c>
      <c r="AE4011" s="4">
        <v>65</v>
      </c>
      <c r="AF4011" s="4">
        <v>0</v>
      </c>
      <c r="AG4011" s="4">
        <v>2</v>
      </c>
      <c r="AH4011" s="4">
        <v>40</v>
      </c>
      <c r="AI4011" s="4">
        <v>57</v>
      </c>
      <c r="AJ4011" s="4">
        <v>4</v>
      </c>
      <c r="AK4011" s="4">
        <v>9</v>
      </c>
      <c r="AL4011" s="4">
        <v>30</v>
      </c>
      <c r="AM4011" s="4">
        <v>39</v>
      </c>
      <c r="AN4011" s="4">
        <v>0</v>
      </c>
      <c r="AO4011" s="4">
        <v>2</v>
      </c>
      <c r="AP4011" s="4">
        <v>4</v>
      </c>
      <c r="AQ4011" s="4">
        <v>9</v>
      </c>
      <c r="AR4011" s="3" t="s">
        <v>65</v>
      </c>
      <c r="AS4011" s="3" t="s">
        <v>65</v>
      </c>
      <c r="AT4011" s="3" t="s">
        <v>209</v>
      </c>
      <c r="AU4011" s="6" t="str">
        <f>HYPERLINK("http://catalog.hathitrust.org/Record/000847175","HathiTrust Record")</f>
        <v>HathiTrust Record</v>
      </c>
      <c r="AV4011" s="6" t="str">
        <f>HYPERLINK("http://mcgill.on.worldcat.org/oclc/13321923","Catalog Record")</f>
        <v>Catalog Record</v>
      </c>
      <c r="AW4011" s="6" t="str">
        <f>HYPERLINK("http://www.worldcat.org/oclc/13321923","WorldCat Record")</f>
        <v>WorldCat Record</v>
      </c>
      <c r="AX4011" s="3" t="s">
        <v>39945</v>
      </c>
      <c r="AY4011" s="3" t="s">
        <v>39946</v>
      </c>
      <c r="AZ4011" s="3" t="s">
        <v>39947</v>
      </c>
      <c r="BA4011" s="3" t="s">
        <v>39947</v>
      </c>
      <c r="BB4011" s="3" t="s">
        <v>39948</v>
      </c>
      <c r="BC4011" s="3" t="s">
        <v>77</v>
      </c>
      <c r="BD4011" s="3" t="s">
        <v>78</v>
      </c>
      <c r="BE4011" s="3" t="s">
        <v>39949</v>
      </c>
      <c r="BF4011" s="3" t="s">
        <v>39948</v>
      </c>
      <c r="BG4011" s="3" t="s">
        <v>39950</v>
      </c>
    </row>
    <row r="4012" spans="1:59" ht="58" x14ac:dyDescent="0.35">
      <c r="A4012" s="2" t="s">
        <v>59</v>
      </c>
      <c r="B4012" s="2" t="s">
        <v>60</v>
      </c>
      <c r="C4012" s="2" t="s">
        <v>39951</v>
      </c>
      <c r="D4012" s="2" t="s">
        <v>39952</v>
      </c>
      <c r="E4012" s="2" t="s">
        <v>39953</v>
      </c>
      <c r="G4012" s="3" t="s">
        <v>65</v>
      </c>
      <c r="I4012" s="3" t="s">
        <v>65</v>
      </c>
      <c r="J4012" s="3" t="s">
        <v>65</v>
      </c>
      <c r="K4012" s="3" t="s">
        <v>66</v>
      </c>
      <c r="L4012" s="2" t="s">
        <v>39875</v>
      </c>
      <c r="M4012" s="2" t="s">
        <v>39954</v>
      </c>
      <c r="N4012" s="3" t="s">
        <v>8188</v>
      </c>
      <c r="P4012" s="3" t="s">
        <v>69</v>
      </c>
      <c r="R4012" s="3" t="s">
        <v>71</v>
      </c>
      <c r="S4012" s="4">
        <v>8</v>
      </c>
      <c r="T4012" s="4">
        <v>8</v>
      </c>
      <c r="U4012" s="5" t="s">
        <v>39921</v>
      </c>
      <c r="V4012" s="5" t="s">
        <v>39921</v>
      </c>
      <c r="W4012" s="5" t="s">
        <v>72</v>
      </c>
      <c r="X4012" s="5" t="s">
        <v>72</v>
      </c>
      <c r="Y4012" s="4">
        <v>274</v>
      </c>
      <c r="Z4012" s="4">
        <v>15</v>
      </c>
      <c r="AA4012" s="4">
        <v>18</v>
      </c>
      <c r="AB4012" s="4">
        <v>2</v>
      </c>
      <c r="AC4012" s="4">
        <v>2</v>
      </c>
      <c r="AD4012" s="4">
        <v>81</v>
      </c>
      <c r="AE4012" s="4">
        <v>82</v>
      </c>
      <c r="AF4012" s="4">
        <v>0</v>
      </c>
      <c r="AG4012" s="4">
        <v>0</v>
      </c>
      <c r="AH4012" s="4">
        <v>74</v>
      </c>
      <c r="AI4012" s="4">
        <v>75</v>
      </c>
      <c r="AJ4012" s="4">
        <v>10</v>
      </c>
      <c r="AK4012" s="4">
        <v>11</v>
      </c>
      <c r="AL4012" s="4">
        <v>46</v>
      </c>
      <c r="AM4012" s="4">
        <v>46</v>
      </c>
      <c r="AN4012" s="4">
        <v>0</v>
      </c>
      <c r="AO4012" s="4">
        <v>0</v>
      </c>
      <c r="AP4012" s="4">
        <v>10</v>
      </c>
      <c r="AQ4012" s="4">
        <v>11</v>
      </c>
      <c r="AR4012" s="3" t="s">
        <v>65</v>
      </c>
      <c r="AS4012" s="3" t="s">
        <v>65</v>
      </c>
      <c r="AT4012" s="3" t="s">
        <v>65</v>
      </c>
      <c r="AV4012" s="6" t="str">
        <f>HYPERLINK("http://mcgill.on.worldcat.org/oclc/15164656","Catalog Record")</f>
        <v>Catalog Record</v>
      </c>
      <c r="AW4012" s="6" t="str">
        <f>HYPERLINK("http://www.worldcat.org/oclc/15164656","WorldCat Record")</f>
        <v>WorldCat Record</v>
      </c>
      <c r="AX4012" s="3" t="s">
        <v>39955</v>
      </c>
      <c r="AY4012" s="3" t="s">
        <v>39956</v>
      </c>
      <c r="AZ4012" s="3" t="s">
        <v>39957</v>
      </c>
      <c r="BA4012" s="3" t="s">
        <v>39957</v>
      </c>
      <c r="BB4012" s="3" t="s">
        <v>39958</v>
      </c>
      <c r="BC4012" s="3" t="s">
        <v>77</v>
      </c>
      <c r="BD4012" s="3" t="s">
        <v>78</v>
      </c>
      <c r="BE4012" s="3" t="s">
        <v>39959</v>
      </c>
      <c r="BF4012" s="3" t="s">
        <v>39958</v>
      </c>
      <c r="BG4012" s="3" t="s">
        <v>39960</v>
      </c>
    </row>
    <row r="4013" spans="1:59" ht="58" x14ac:dyDescent="0.35">
      <c r="A4013" s="2" t="s">
        <v>59</v>
      </c>
      <c r="B4013" s="2" t="s">
        <v>60</v>
      </c>
      <c r="C4013" s="2" t="s">
        <v>39961</v>
      </c>
      <c r="D4013" s="2" t="s">
        <v>39962</v>
      </c>
      <c r="E4013" s="2" t="s">
        <v>39963</v>
      </c>
      <c r="G4013" s="3" t="s">
        <v>65</v>
      </c>
      <c r="I4013" s="3" t="s">
        <v>65</v>
      </c>
      <c r="J4013" s="3" t="s">
        <v>65</v>
      </c>
      <c r="K4013" s="3" t="s">
        <v>66</v>
      </c>
      <c r="L4013" s="2" t="s">
        <v>39875</v>
      </c>
      <c r="M4013" s="2" t="s">
        <v>27358</v>
      </c>
      <c r="N4013" s="3" t="s">
        <v>126</v>
      </c>
      <c r="P4013" s="3" t="s">
        <v>140</v>
      </c>
      <c r="Q4013" s="2" t="s">
        <v>39964</v>
      </c>
      <c r="R4013" s="3" t="s">
        <v>71</v>
      </c>
      <c r="S4013" s="4">
        <v>4</v>
      </c>
      <c r="T4013" s="4">
        <v>4</v>
      </c>
      <c r="U4013" s="5" t="s">
        <v>39965</v>
      </c>
      <c r="V4013" s="5" t="s">
        <v>39965</v>
      </c>
      <c r="W4013" s="5" t="s">
        <v>72</v>
      </c>
      <c r="X4013" s="5" t="s">
        <v>72</v>
      </c>
      <c r="Y4013" s="4">
        <v>72</v>
      </c>
      <c r="Z4013" s="4">
        <v>6</v>
      </c>
      <c r="AA4013" s="4">
        <v>8</v>
      </c>
      <c r="AB4013" s="4">
        <v>1</v>
      </c>
      <c r="AC4013" s="4">
        <v>3</v>
      </c>
      <c r="AD4013" s="4">
        <v>51</v>
      </c>
      <c r="AE4013" s="4">
        <v>52</v>
      </c>
      <c r="AF4013" s="4">
        <v>0</v>
      </c>
      <c r="AG4013" s="4">
        <v>1</v>
      </c>
      <c r="AH4013" s="4">
        <v>50</v>
      </c>
      <c r="AI4013" s="4">
        <v>50</v>
      </c>
      <c r="AJ4013" s="4">
        <v>3</v>
      </c>
      <c r="AK4013" s="4">
        <v>4</v>
      </c>
      <c r="AL4013" s="4">
        <v>39</v>
      </c>
      <c r="AM4013" s="4">
        <v>39</v>
      </c>
      <c r="AN4013" s="4">
        <v>0</v>
      </c>
      <c r="AO4013" s="4">
        <v>0</v>
      </c>
      <c r="AP4013" s="4">
        <v>3</v>
      </c>
      <c r="AQ4013" s="4">
        <v>3</v>
      </c>
      <c r="AR4013" s="3" t="s">
        <v>65</v>
      </c>
      <c r="AS4013" s="3" t="s">
        <v>65</v>
      </c>
      <c r="AT4013" s="3" t="s">
        <v>65</v>
      </c>
      <c r="AV4013" s="6" t="str">
        <f>HYPERLINK("http://mcgill.on.worldcat.org/oclc/721863133","Catalog Record")</f>
        <v>Catalog Record</v>
      </c>
      <c r="AW4013" s="6" t="str">
        <f>HYPERLINK("http://www.worldcat.org/oclc/721863133","WorldCat Record")</f>
        <v>WorldCat Record</v>
      </c>
      <c r="AX4013" s="3" t="s">
        <v>39966</v>
      </c>
      <c r="AY4013" s="3" t="s">
        <v>39967</v>
      </c>
      <c r="AZ4013" s="3" t="s">
        <v>39968</v>
      </c>
      <c r="BA4013" s="3" t="s">
        <v>39968</v>
      </c>
      <c r="BB4013" s="3" t="s">
        <v>39969</v>
      </c>
      <c r="BC4013" s="3" t="s">
        <v>77</v>
      </c>
      <c r="BD4013" s="3" t="s">
        <v>78</v>
      </c>
      <c r="BE4013" s="3" t="s">
        <v>39970</v>
      </c>
      <c r="BF4013" s="3" t="s">
        <v>39969</v>
      </c>
      <c r="BG4013" s="3" t="s">
        <v>39971</v>
      </c>
    </row>
    <row r="4014" spans="1:59" ht="72.5" x14ac:dyDescent="0.35">
      <c r="A4014" s="2" t="s">
        <v>59</v>
      </c>
      <c r="B4014" s="2" t="s">
        <v>60</v>
      </c>
      <c r="C4014" s="2" t="s">
        <v>39972</v>
      </c>
      <c r="D4014" s="2" t="s">
        <v>39973</v>
      </c>
      <c r="E4014" s="2" t="s">
        <v>39974</v>
      </c>
      <c r="G4014" s="3" t="s">
        <v>65</v>
      </c>
      <c r="I4014" s="3" t="s">
        <v>65</v>
      </c>
      <c r="J4014" s="3" t="s">
        <v>65</v>
      </c>
      <c r="K4014" s="3" t="s">
        <v>66</v>
      </c>
      <c r="L4014" s="2" t="s">
        <v>39875</v>
      </c>
      <c r="M4014" s="2" t="s">
        <v>39975</v>
      </c>
      <c r="N4014" s="3" t="s">
        <v>1932</v>
      </c>
      <c r="P4014" s="3" t="s">
        <v>69</v>
      </c>
      <c r="R4014" s="3" t="s">
        <v>71</v>
      </c>
      <c r="S4014" s="4">
        <v>9</v>
      </c>
      <c r="T4014" s="4">
        <v>9</v>
      </c>
      <c r="U4014" s="5" t="s">
        <v>35322</v>
      </c>
      <c r="V4014" s="5" t="s">
        <v>35322</v>
      </c>
      <c r="W4014" s="5" t="s">
        <v>72</v>
      </c>
      <c r="X4014" s="5" t="s">
        <v>72</v>
      </c>
      <c r="Y4014" s="4">
        <v>244</v>
      </c>
      <c r="Z4014" s="4">
        <v>13</v>
      </c>
      <c r="AA4014" s="4">
        <v>18</v>
      </c>
      <c r="AB4014" s="4">
        <v>1</v>
      </c>
      <c r="AC4014" s="4">
        <v>2</v>
      </c>
      <c r="AD4014" s="4">
        <v>68</v>
      </c>
      <c r="AE4014" s="4">
        <v>84</v>
      </c>
      <c r="AF4014" s="4">
        <v>0</v>
      </c>
      <c r="AG4014" s="4">
        <v>0</v>
      </c>
      <c r="AH4014" s="4">
        <v>65</v>
      </c>
      <c r="AI4014" s="4">
        <v>78</v>
      </c>
      <c r="AJ4014" s="4">
        <v>7</v>
      </c>
      <c r="AK4014" s="4">
        <v>10</v>
      </c>
      <c r="AL4014" s="4">
        <v>37</v>
      </c>
      <c r="AM4014" s="4">
        <v>47</v>
      </c>
      <c r="AN4014" s="4">
        <v>0</v>
      </c>
      <c r="AO4014" s="4">
        <v>0</v>
      </c>
      <c r="AP4014" s="4">
        <v>7</v>
      </c>
      <c r="AQ4014" s="4">
        <v>10</v>
      </c>
      <c r="AR4014" s="3" t="s">
        <v>65</v>
      </c>
      <c r="AS4014" s="3" t="s">
        <v>65</v>
      </c>
      <c r="AT4014" s="3" t="s">
        <v>65</v>
      </c>
      <c r="AV4014" s="6" t="str">
        <f>HYPERLINK("http://mcgill.on.worldcat.org/oclc/29548470","Catalog Record")</f>
        <v>Catalog Record</v>
      </c>
      <c r="AW4014" s="6" t="str">
        <f>HYPERLINK("http://www.worldcat.org/oclc/29548470","WorldCat Record")</f>
        <v>WorldCat Record</v>
      </c>
      <c r="AX4014" s="3" t="s">
        <v>39976</v>
      </c>
      <c r="AY4014" s="3" t="s">
        <v>39977</v>
      </c>
      <c r="AZ4014" s="3" t="s">
        <v>39978</v>
      </c>
      <c r="BA4014" s="3" t="s">
        <v>39978</v>
      </c>
      <c r="BB4014" s="3" t="s">
        <v>39979</v>
      </c>
      <c r="BC4014" s="3" t="s">
        <v>77</v>
      </c>
      <c r="BD4014" s="3" t="s">
        <v>78</v>
      </c>
      <c r="BE4014" s="3" t="s">
        <v>39980</v>
      </c>
      <c r="BF4014" s="3" t="s">
        <v>39979</v>
      </c>
      <c r="BG4014" s="3" t="s">
        <v>39981</v>
      </c>
    </row>
    <row r="4015" spans="1:59" ht="58" x14ac:dyDescent="0.35">
      <c r="A4015" s="2" t="s">
        <v>59</v>
      </c>
      <c r="B4015" s="2" t="s">
        <v>60</v>
      </c>
      <c r="C4015" s="2" t="s">
        <v>39982</v>
      </c>
      <c r="D4015" s="2" t="s">
        <v>39983</v>
      </c>
      <c r="E4015" s="2" t="s">
        <v>39984</v>
      </c>
      <c r="G4015" s="3" t="s">
        <v>65</v>
      </c>
      <c r="I4015" s="3" t="s">
        <v>65</v>
      </c>
      <c r="J4015" s="3" t="s">
        <v>65</v>
      </c>
      <c r="K4015" s="3" t="s">
        <v>66</v>
      </c>
      <c r="L4015" s="2" t="s">
        <v>39875</v>
      </c>
      <c r="M4015" s="2" t="s">
        <v>39985</v>
      </c>
      <c r="N4015" s="3" t="s">
        <v>99</v>
      </c>
      <c r="P4015" s="3" t="s">
        <v>69</v>
      </c>
      <c r="Q4015" s="2" t="s">
        <v>39986</v>
      </c>
      <c r="R4015" s="3" t="s">
        <v>71</v>
      </c>
      <c r="S4015" s="4">
        <v>7</v>
      </c>
      <c r="T4015" s="4">
        <v>7</v>
      </c>
      <c r="U4015" s="5" t="s">
        <v>840</v>
      </c>
      <c r="V4015" s="5" t="s">
        <v>840</v>
      </c>
      <c r="W4015" s="5" t="s">
        <v>72</v>
      </c>
      <c r="X4015" s="5" t="s">
        <v>72</v>
      </c>
      <c r="Y4015" s="4">
        <v>227</v>
      </c>
      <c r="Z4015" s="4">
        <v>15</v>
      </c>
      <c r="AA4015" s="4">
        <v>15</v>
      </c>
      <c r="AB4015" s="4">
        <v>2</v>
      </c>
      <c r="AC4015" s="4">
        <v>2</v>
      </c>
      <c r="AD4015" s="4">
        <v>76</v>
      </c>
      <c r="AE4015" s="4">
        <v>76</v>
      </c>
      <c r="AF4015" s="4">
        <v>0</v>
      </c>
      <c r="AG4015" s="4">
        <v>0</v>
      </c>
      <c r="AH4015" s="4">
        <v>74</v>
      </c>
      <c r="AI4015" s="4">
        <v>74</v>
      </c>
      <c r="AJ4015" s="4">
        <v>7</v>
      </c>
      <c r="AK4015" s="4">
        <v>7</v>
      </c>
      <c r="AL4015" s="4">
        <v>48</v>
      </c>
      <c r="AM4015" s="4">
        <v>48</v>
      </c>
      <c r="AN4015" s="4">
        <v>0</v>
      </c>
      <c r="AO4015" s="4">
        <v>0</v>
      </c>
      <c r="AP4015" s="4">
        <v>7</v>
      </c>
      <c r="AQ4015" s="4">
        <v>7</v>
      </c>
      <c r="AR4015" s="3" t="s">
        <v>65</v>
      </c>
      <c r="AS4015" s="3" t="s">
        <v>65</v>
      </c>
      <c r="AT4015" s="3" t="s">
        <v>65</v>
      </c>
      <c r="AV4015" s="6" t="str">
        <f>HYPERLINK("http://mcgill.on.worldcat.org/oclc/64453464","Catalog Record")</f>
        <v>Catalog Record</v>
      </c>
      <c r="AW4015" s="6" t="str">
        <f>HYPERLINK("http://www.worldcat.org/oclc/64453464","WorldCat Record")</f>
        <v>WorldCat Record</v>
      </c>
      <c r="AX4015" s="3" t="s">
        <v>39987</v>
      </c>
      <c r="AY4015" s="3" t="s">
        <v>39988</v>
      </c>
      <c r="AZ4015" s="3" t="s">
        <v>39989</v>
      </c>
      <c r="BA4015" s="3" t="s">
        <v>39989</v>
      </c>
      <c r="BB4015" s="3" t="s">
        <v>39990</v>
      </c>
      <c r="BC4015" s="3" t="s">
        <v>77</v>
      </c>
      <c r="BD4015" s="3" t="s">
        <v>78</v>
      </c>
      <c r="BE4015" s="3" t="s">
        <v>39991</v>
      </c>
      <c r="BF4015" s="3" t="s">
        <v>39990</v>
      </c>
      <c r="BG4015" s="3" t="s">
        <v>39992</v>
      </c>
    </row>
    <row r="4016" spans="1:59" ht="58" x14ac:dyDescent="0.35">
      <c r="A4016" s="2" t="s">
        <v>59</v>
      </c>
      <c r="B4016" s="2" t="s">
        <v>60</v>
      </c>
      <c r="C4016" s="2" t="s">
        <v>39993</v>
      </c>
      <c r="D4016" s="2" t="s">
        <v>39994</v>
      </c>
      <c r="E4016" s="2" t="s">
        <v>39995</v>
      </c>
      <c r="G4016" s="3" t="s">
        <v>65</v>
      </c>
      <c r="I4016" s="3" t="s">
        <v>65</v>
      </c>
      <c r="J4016" s="3" t="s">
        <v>65</v>
      </c>
      <c r="K4016" s="3" t="s">
        <v>66</v>
      </c>
      <c r="L4016" s="2" t="s">
        <v>39875</v>
      </c>
      <c r="M4016" s="2" t="s">
        <v>39996</v>
      </c>
      <c r="N4016" s="3" t="s">
        <v>3385</v>
      </c>
      <c r="P4016" s="3" t="s">
        <v>69</v>
      </c>
      <c r="R4016" s="3" t="s">
        <v>71</v>
      </c>
      <c r="S4016" s="4">
        <v>7</v>
      </c>
      <c r="T4016" s="4">
        <v>7</v>
      </c>
      <c r="U4016" s="5" t="s">
        <v>39909</v>
      </c>
      <c r="V4016" s="5" t="s">
        <v>39909</v>
      </c>
      <c r="W4016" s="5" t="s">
        <v>72</v>
      </c>
      <c r="X4016" s="5" t="s">
        <v>72</v>
      </c>
      <c r="Y4016" s="4">
        <v>191</v>
      </c>
      <c r="Z4016" s="4">
        <v>12</v>
      </c>
      <c r="AA4016" s="4">
        <v>13</v>
      </c>
      <c r="AB4016" s="4">
        <v>1</v>
      </c>
      <c r="AC4016" s="4">
        <v>1</v>
      </c>
      <c r="AD4016" s="4">
        <v>82</v>
      </c>
      <c r="AE4016" s="4">
        <v>84</v>
      </c>
      <c r="AF4016" s="4">
        <v>0</v>
      </c>
      <c r="AG4016" s="4">
        <v>0</v>
      </c>
      <c r="AH4016" s="4">
        <v>80</v>
      </c>
      <c r="AI4016" s="4">
        <v>81</v>
      </c>
      <c r="AJ4016" s="4">
        <v>7</v>
      </c>
      <c r="AK4016" s="4">
        <v>8</v>
      </c>
      <c r="AL4016" s="4">
        <v>49</v>
      </c>
      <c r="AM4016" s="4">
        <v>50</v>
      </c>
      <c r="AN4016" s="4">
        <v>0</v>
      </c>
      <c r="AO4016" s="4">
        <v>0</v>
      </c>
      <c r="AP4016" s="4">
        <v>7</v>
      </c>
      <c r="AQ4016" s="4">
        <v>8</v>
      </c>
      <c r="AR4016" s="3" t="s">
        <v>65</v>
      </c>
      <c r="AS4016" s="3" t="s">
        <v>65</v>
      </c>
      <c r="AT4016" s="3" t="s">
        <v>65</v>
      </c>
      <c r="AV4016" s="6" t="str">
        <f>HYPERLINK("http://mcgill.on.worldcat.org/oclc/43167948","Catalog Record")</f>
        <v>Catalog Record</v>
      </c>
      <c r="AW4016" s="6" t="str">
        <f>HYPERLINK("http://www.worldcat.org/oclc/43167948","WorldCat Record")</f>
        <v>WorldCat Record</v>
      </c>
      <c r="AX4016" s="3" t="s">
        <v>39997</v>
      </c>
      <c r="AY4016" s="3" t="s">
        <v>39998</v>
      </c>
      <c r="AZ4016" s="3" t="s">
        <v>39999</v>
      </c>
      <c r="BA4016" s="3" t="s">
        <v>39999</v>
      </c>
      <c r="BB4016" s="3" t="s">
        <v>40000</v>
      </c>
      <c r="BC4016" s="3" t="s">
        <v>77</v>
      </c>
      <c r="BD4016" s="3" t="s">
        <v>78</v>
      </c>
      <c r="BE4016" s="3" t="s">
        <v>40001</v>
      </c>
      <c r="BF4016" s="3" t="s">
        <v>40000</v>
      </c>
      <c r="BG4016" s="3" t="s">
        <v>40002</v>
      </c>
    </row>
    <row r="4017" spans="1:59" ht="58" x14ac:dyDescent="0.35">
      <c r="A4017" s="2" t="s">
        <v>59</v>
      </c>
      <c r="B4017" s="2" t="s">
        <v>60</v>
      </c>
      <c r="C4017" s="2" t="s">
        <v>40003</v>
      </c>
      <c r="D4017" s="2" t="s">
        <v>40004</v>
      </c>
      <c r="E4017" s="2" t="s">
        <v>40005</v>
      </c>
      <c r="G4017" s="3" t="s">
        <v>65</v>
      </c>
      <c r="I4017" s="3" t="s">
        <v>65</v>
      </c>
      <c r="J4017" s="3" t="s">
        <v>65</v>
      </c>
      <c r="K4017" s="3" t="s">
        <v>66</v>
      </c>
      <c r="L4017" s="2" t="s">
        <v>39875</v>
      </c>
      <c r="M4017" s="2" t="s">
        <v>40006</v>
      </c>
      <c r="N4017" s="3" t="s">
        <v>1932</v>
      </c>
      <c r="O4017" s="2" t="s">
        <v>35367</v>
      </c>
      <c r="P4017" s="3" t="s">
        <v>140</v>
      </c>
      <c r="Q4017" s="2" t="s">
        <v>33536</v>
      </c>
      <c r="R4017" s="3" t="s">
        <v>71</v>
      </c>
      <c r="S4017" s="4">
        <v>18</v>
      </c>
      <c r="T4017" s="4">
        <v>18</v>
      </c>
      <c r="U4017" s="5" t="s">
        <v>5450</v>
      </c>
      <c r="V4017" s="5" t="s">
        <v>5450</v>
      </c>
      <c r="W4017" s="5" t="s">
        <v>72</v>
      </c>
      <c r="X4017" s="5" t="s">
        <v>72</v>
      </c>
      <c r="Y4017" s="4">
        <v>99</v>
      </c>
      <c r="Z4017" s="4">
        <v>10</v>
      </c>
      <c r="AA4017" s="4">
        <v>18</v>
      </c>
      <c r="AB4017" s="4">
        <v>1</v>
      </c>
      <c r="AC4017" s="4">
        <v>4</v>
      </c>
      <c r="AD4017" s="4">
        <v>43</v>
      </c>
      <c r="AE4017" s="4">
        <v>73</v>
      </c>
      <c r="AF4017" s="4">
        <v>0</v>
      </c>
      <c r="AG4017" s="4">
        <v>2</v>
      </c>
      <c r="AH4017" s="4">
        <v>40</v>
      </c>
      <c r="AI4017" s="4">
        <v>66</v>
      </c>
      <c r="AJ4017" s="4">
        <v>5</v>
      </c>
      <c r="AK4017" s="4">
        <v>10</v>
      </c>
      <c r="AL4017" s="4">
        <v>28</v>
      </c>
      <c r="AM4017" s="4">
        <v>46</v>
      </c>
      <c r="AN4017" s="4">
        <v>0</v>
      </c>
      <c r="AO4017" s="4">
        <v>0</v>
      </c>
      <c r="AP4017" s="4">
        <v>5</v>
      </c>
      <c r="AQ4017" s="4">
        <v>9</v>
      </c>
      <c r="AR4017" s="3" t="s">
        <v>65</v>
      </c>
      <c r="AS4017" s="3" t="s">
        <v>65</v>
      </c>
      <c r="AT4017" s="3" t="s">
        <v>65</v>
      </c>
      <c r="AV4017" s="6" t="str">
        <f>HYPERLINK("http://mcgill.on.worldcat.org/oclc/30715281","Catalog Record")</f>
        <v>Catalog Record</v>
      </c>
      <c r="AW4017" s="6" t="str">
        <f>HYPERLINK("http://www.worldcat.org/oclc/30715281","WorldCat Record")</f>
        <v>WorldCat Record</v>
      </c>
      <c r="AX4017" s="3" t="s">
        <v>40007</v>
      </c>
      <c r="AY4017" s="3" t="s">
        <v>40008</v>
      </c>
      <c r="AZ4017" s="3" t="s">
        <v>40009</v>
      </c>
      <c r="BA4017" s="3" t="s">
        <v>40009</v>
      </c>
      <c r="BB4017" s="3" t="s">
        <v>40010</v>
      </c>
      <c r="BC4017" s="3" t="s">
        <v>77</v>
      </c>
      <c r="BD4017" s="3" t="s">
        <v>78</v>
      </c>
      <c r="BE4017" s="3" t="s">
        <v>40011</v>
      </c>
      <c r="BF4017" s="3" t="s">
        <v>40010</v>
      </c>
      <c r="BG4017" s="3" t="s">
        <v>40012</v>
      </c>
    </row>
    <row r="4018" spans="1:59" ht="58" x14ac:dyDescent="0.35">
      <c r="A4018" s="2" t="s">
        <v>59</v>
      </c>
      <c r="B4018" s="2" t="s">
        <v>60</v>
      </c>
      <c r="C4018" s="2" t="s">
        <v>40013</v>
      </c>
      <c r="D4018" s="2" t="s">
        <v>40014</v>
      </c>
      <c r="E4018" s="2" t="s">
        <v>40015</v>
      </c>
      <c r="G4018" s="3" t="s">
        <v>65</v>
      </c>
      <c r="I4018" s="3" t="s">
        <v>65</v>
      </c>
      <c r="J4018" s="3" t="s">
        <v>65</v>
      </c>
      <c r="K4018" s="3" t="s">
        <v>66</v>
      </c>
      <c r="L4018" s="2" t="s">
        <v>39875</v>
      </c>
      <c r="M4018" s="2" t="s">
        <v>40016</v>
      </c>
      <c r="N4018" s="3" t="s">
        <v>113</v>
      </c>
      <c r="P4018" s="3" t="s">
        <v>69</v>
      </c>
      <c r="R4018" s="3" t="s">
        <v>71</v>
      </c>
      <c r="S4018" s="4">
        <v>1</v>
      </c>
      <c r="T4018" s="4">
        <v>1</v>
      </c>
      <c r="U4018" s="5" t="s">
        <v>33625</v>
      </c>
      <c r="V4018" s="5" t="s">
        <v>33625</v>
      </c>
      <c r="W4018" s="5" t="s">
        <v>72</v>
      </c>
      <c r="X4018" s="5" t="s">
        <v>72</v>
      </c>
      <c r="Y4018" s="4">
        <v>147</v>
      </c>
      <c r="Z4018" s="4">
        <v>4</v>
      </c>
      <c r="AA4018" s="4">
        <v>8</v>
      </c>
      <c r="AB4018" s="4">
        <v>1</v>
      </c>
      <c r="AC4018" s="4">
        <v>2</v>
      </c>
      <c r="AD4018" s="4">
        <v>18</v>
      </c>
      <c r="AE4018" s="4">
        <v>29</v>
      </c>
      <c r="AF4018" s="4">
        <v>0</v>
      </c>
      <c r="AG4018" s="4">
        <v>0</v>
      </c>
      <c r="AH4018" s="4">
        <v>15</v>
      </c>
      <c r="AI4018" s="4">
        <v>26</v>
      </c>
      <c r="AJ4018" s="4">
        <v>3</v>
      </c>
      <c r="AK4018" s="4">
        <v>3</v>
      </c>
      <c r="AL4018" s="4">
        <v>12</v>
      </c>
      <c r="AM4018" s="4">
        <v>21</v>
      </c>
      <c r="AN4018" s="4">
        <v>0</v>
      </c>
      <c r="AO4018" s="4">
        <v>0</v>
      </c>
      <c r="AP4018" s="4">
        <v>3</v>
      </c>
      <c r="AQ4018" s="4">
        <v>3</v>
      </c>
      <c r="AR4018" s="3" t="s">
        <v>65</v>
      </c>
      <c r="AS4018" s="3" t="s">
        <v>65</v>
      </c>
      <c r="AT4018" s="3" t="s">
        <v>65</v>
      </c>
      <c r="AV4018" s="6" t="str">
        <f>HYPERLINK("http://mcgill.on.worldcat.org/oclc/646576146","Catalog Record")</f>
        <v>Catalog Record</v>
      </c>
      <c r="AW4018" s="6" t="str">
        <f>HYPERLINK("http://www.worldcat.org/oclc/646576146","WorldCat Record")</f>
        <v>WorldCat Record</v>
      </c>
      <c r="AX4018" s="3" t="s">
        <v>40017</v>
      </c>
      <c r="AY4018" s="3" t="s">
        <v>40018</v>
      </c>
      <c r="AZ4018" s="3" t="s">
        <v>40019</v>
      </c>
      <c r="BA4018" s="3" t="s">
        <v>40019</v>
      </c>
      <c r="BB4018" s="3" t="s">
        <v>40020</v>
      </c>
      <c r="BC4018" s="3" t="s">
        <v>77</v>
      </c>
      <c r="BD4018" s="3" t="s">
        <v>78</v>
      </c>
      <c r="BE4018" s="3" t="s">
        <v>40021</v>
      </c>
      <c r="BF4018" s="3" t="s">
        <v>40020</v>
      </c>
      <c r="BG4018" s="3" t="s">
        <v>40022</v>
      </c>
    </row>
    <row r="4019" spans="1:59" ht="58" x14ac:dyDescent="0.35">
      <c r="A4019" s="2" t="s">
        <v>59</v>
      </c>
      <c r="B4019" s="2" t="s">
        <v>60</v>
      </c>
      <c r="C4019" s="2" t="s">
        <v>40023</v>
      </c>
      <c r="D4019" s="2" t="s">
        <v>40024</v>
      </c>
      <c r="E4019" s="2" t="s">
        <v>40025</v>
      </c>
      <c r="G4019" s="3" t="s">
        <v>65</v>
      </c>
      <c r="I4019" s="3" t="s">
        <v>65</v>
      </c>
      <c r="J4019" s="3" t="s">
        <v>65</v>
      </c>
      <c r="K4019" s="3" t="s">
        <v>66</v>
      </c>
      <c r="L4019" s="2" t="s">
        <v>39875</v>
      </c>
      <c r="M4019" s="2" t="s">
        <v>24921</v>
      </c>
      <c r="N4019" s="3" t="s">
        <v>1122</v>
      </c>
      <c r="O4019" s="2" t="s">
        <v>35367</v>
      </c>
      <c r="P4019" s="3" t="s">
        <v>140</v>
      </c>
      <c r="Q4019" s="2" t="s">
        <v>33053</v>
      </c>
      <c r="R4019" s="3" t="s">
        <v>71</v>
      </c>
      <c r="S4019" s="4">
        <v>2</v>
      </c>
      <c r="T4019" s="4">
        <v>2</v>
      </c>
      <c r="U4019" s="5" t="s">
        <v>3793</v>
      </c>
      <c r="V4019" s="5" t="s">
        <v>3793</v>
      </c>
      <c r="W4019" s="5" t="s">
        <v>72</v>
      </c>
      <c r="X4019" s="5" t="s">
        <v>72</v>
      </c>
      <c r="Y4019" s="4">
        <v>94</v>
      </c>
      <c r="Z4019" s="4">
        <v>9</v>
      </c>
      <c r="AA4019" s="4">
        <v>10</v>
      </c>
      <c r="AB4019" s="4">
        <v>1</v>
      </c>
      <c r="AC4019" s="4">
        <v>2</v>
      </c>
      <c r="AD4019" s="4">
        <v>49</v>
      </c>
      <c r="AE4019" s="4">
        <v>50</v>
      </c>
      <c r="AF4019" s="4">
        <v>0</v>
      </c>
      <c r="AG4019" s="4">
        <v>1</v>
      </c>
      <c r="AH4019" s="4">
        <v>47</v>
      </c>
      <c r="AI4019" s="4">
        <v>47</v>
      </c>
      <c r="AJ4019" s="4">
        <v>5</v>
      </c>
      <c r="AK4019" s="4">
        <v>6</v>
      </c>
      <c r="AL4019" s="4">
        <v>33</v>
      </c>
      <c r="AM4019" s="4">
        <v>33</v>
      </c>
      <c r="AN4019" s="4">
        <v>0</v>
      </c>
      <c r="AO4019" s="4">
        <v>0</v>
      </c>
      <c r="AP4019" s="4">
        <v>5</v>
      </c>
      <c r="AQ4019" s="4">
        <v>5</v>
      </c>
      <c r="AR4019" s="3" t="s">
        <v>65</v>
      </c>
      <c r="AS4019" s="3" t="s">
        <v>65</v>
      </c>
      <c r="AT4019" s="3" t="s">
        <v>65</v>
      </c>
      <c r="AV4019" s="6" t="str">
        <f>HYPERLINK("http://mcgill.on.worldcat.org/oclc/449489819","Catalog Record")</f>
        <v>Catalog Record</v>
      </c>
      <c r="AW4019" s="6" t="str">
        <f>HYPERLINK("http://www.worldcat.org/oclc/449489819","WorldCat Record")</f>
        <v>WorldCat Record</v>
      </c>
      <c r="AX4019" s="3" t="s">
        <v>40026</v>
      </c>
      <c r="AY4019" s="3" t="s">
        <v>40027</v>
      </c>
      <c r="AZ4019" s="3" t="s">
        <v>40028</v>
      </c>
      <c r="BA4019" s="3" t="s">
        <v>40028</v>
      </c>
      <c r="BB4019" s="3" t="s">
        <v>40029</v>
      </c>
      <c r="BC4019" s="3" t="s">
        <v>77</v>
      </c>
      <c r="BD4019" s="3" t="s">
        <v>78</v>
      </c>
      <c r="BE4019" s="3" t="s">
        <v>40030</v>
      </c>
      <c r="BF4019" s="3" t="s">
        <v>40029</v>
      </c>
      <c r="BG4019" s="3" t="s">
        <v>40031</v>
      </c>
    </row>
    <row r="4020" spans="1:59" ht="58" x14ac:dyDescent="0.35">
      <c r="A4020" s="2" t="s">
        <v>59</v>
      </c>
      <c r="B4020" s="2" t="s">
        <v>60</v>
      </c>
      <c r="C4020" s="2" t="s">
        <v>40032</v>
      </c>
      <c r="D4020" s="2" t="s">
        <v>40033</v>
      </c>
      <c r="E4020" s="2" t="s">
        <v>40034</v>
      </c>
      <c r="G4020" s="3" t="s">
        <v>65</v>
      </c>
      <c r="I4020" s="3" t="s">
        <v>65</v>
      </c>
      <c r="J4020" s="3" t="s">
        <v>65</v>
      </c>
      <c r="K4020" s="3" t="s">
        <v>66</v>
      </c>
      <c r="L4020" s="2" t="s">
        <v>39931</v>
      </c>
      <c r="M4020" s="2" t="s">
        <v>40035</v>
      </c>
      <c r="N4020" s="3" t="s">
        <v>176</v>
      </c>
      <c r="O4020" s="2" t="s">
        <v>39933</v>
      </c>
      <c r="P4020" s="3" t="s">
        <v>69</v>
      </c>
      <c r="R4020" s="3" t="s">
        <v>71</v>
      </c>
      <c r="S4020" s="4">
        <v>1</v>
      </c>
      <c r="T4020" s="4">
        <v>1</v>
      </c>
      <c r="U4020" s="5" t="s">
        <v>40036</v>
      </c>
      <c r="V4020" s="5" t="s">
        <v>40036</v>
      </c>
      <c r="W4020" s="5" t="s">
        <v>72</v>
      </c>
      <c r="X4020" s="5" t="s">
        <v>72</v>
      </c>
      <c r="Y4020" s="4">
        <v>151</v>
      </c>
      <c r="Z4020" s="4">
        <v>8</v>
      </c>
      <c r="AA4020" s="4">
        <v>10</v>
      </c>
      <c r="AB4020" s="4">
        <v>1</v>
      </c>
      <c r="AC4020" s="4">
        <v>3</v>
      </c>
      <c r="AD4020" s="4">
        <v>49</v>
      </c>
      <c r="AE4020" s="4">
        <v>49</v>
      </c>
      <c r="AF4020" s="4">
        <v>0</v>
      </c>
      <c r="AG4020" s="4">
        <v>0</v>
      </c>
      <c r="AH4020" s="4">
        <v>47</v>
      </c>
      <c r="AI4020" s="4">
        <v>47</v>
      </c>
      <c r="AJ4020" s="4">
        <v>4</v>
      </c>
      <c r="AK4020" s="4">
        <v>4</v>
      </c>
      <c r="AL4020" s="4">
        <v>32</v>
      </c>
      <c r="AM4020" s="4">
        <v>32</v>
      </c>
      <c r="AN4020" s="4">
        <v>0</v>
      </c>
      <c r="AO4020" s="4">
        <v>0</v>
      </c>
      <c r="AP4020" s="4">
        <v>4</v>
      </c>
      <c r="AQ4020" s="4">
        <v>4</v>
      </c>
      <c r="AR4020" s="3" t="s">
        <v>65</v>
      </c>
      <c r="AS4020" s="3" t="s">
        <v>65</v>
      </c>
      <c r="AT4020" s="3" t="s">
        <v>65</v>
      </c>
      <c r="AV4020" s="6" t="str">
        <f>HYPERLINK("http://mcgill.on.worldcat.org/oclc/869262317","Catalog Record")</f>
        <v>Catalog Record</v>
      </c>
      <c r="AW4020" s="6" t="str">
        <f>HYPERLINK("http://www.worldcat.org/oclc/869262317","WorldCat Record")</f>
        <v>WorldCat Record</v>
      </c>
      <c r="AX4020" s="3" t="s">
        <v>40037</v>
      </c>
      <c r="AY4020" s="3" t="s">
        <v>40038</v>
      </c>
      <c r="AZ4020" s="3" t="s">
        <v>40039</v>
      </c>
      <c r="BA4020" s="3" t="s">
        <v>40039</v>
      </c>
      <c r="BB4020" s="3" t="s">
        <v>40040</v>
      </c>
      <c r="BC4020" s="3" t="s">
        <v>77</v>
      </c>
      <c r="BD4020" s="3" t="s">
        <v>78</v>
      </c>
      <c r="BE4020" s="3" t="s">
        <v>40041</v>
      </c>
      <c r="BF4020" s="3" t="s">
        <v>40040</v>
      </c>
      <c r="BG4020" s="3" t="s">
        <v>40042</v>
      </c>
    </row>
    <row r="4021" spans="1:59" ht="72.5" x14ac:dyDescent="0.35">
      <c r="A4021" s="2" t="s">
        <v>59</v>
      </c>
      <c r="B4021" s="2" t="s">
        <v>60</v>
      </c>
      <c r="C4021" s="2" t="s">
        <v>40043</v>
      </c>
      <c r="D4021" s="2" t="s">
        <v>40044</v>
      </c>
      <c r="E4021" s="2" t="s">
        <v>40045</v>
      </c>
      <c r="G4021" s="3" t="s">
        <v>65</v>
      </c>
      <c r="I4021" s="3" t="s">
        <v>65</v>
      </c>
      <c r="J4021" s="3" t="s">
        <v>65</v>
      </c>
      <c r="K4021" s="3" t="s">
        <v>66</v>
      </c>
      <c r="L4021" s="2" t="s">
        <v>39931</v>
      </c>
      <c r="M4021" s="2" t="s">
        <v>40035</v>
      </c>
      <c r="N4021" s="3" t="s">
        <v>176</v>
      </c>
      <c r="O4021" s="2" t="s">
        <v>39933</v>
      </c>
      <c r="P4021" s="3" t="s">
        <v>69</v>
      </c>
      <c r="R4021" s="3" t="s">
        <v>71</v>
      </c>
      <c r="S4021" s="4">
        <v>0</v>
      </c>
      <c r="T4021" s="4">
        <v>0</v>
      </c>
      <c r="W4021" s="5" t="s">
        <v>72</v>
      </c>
      <c r="X4021" s="5" t="s">
        <v>72</v>
      </c>
      <c r="Y4021" s="4">
        <v>120</v>
      </c>
      <c r="Z4021" s="4">
        <v>9</v>
      </c>
      <c r="AA4021" s="4">
        <v>11</v>
      </c>
      <c r="AB4021" s="4">
        <v>1</v>
      </c>
      <c r="AC4021" s="4">
        <v>3</v>
      </c>
      <c r="AD4021" s="4">
        <v>44</v>
      </c>
      <c r="AE4021" s="4">
        <v>46</v>
      </c>
      <c r="AF4021" s="4">
        <v>0</v>
      </c>
      <c r="AG4021" s="4">
        <v>0</v>
      </c>
      <c r="AH4021" s="4">
        <v>42</v>
      </c>
      <c r="AI4021" s="4">
        <v>44</v>
      </c>
      <c r="AJ4021" s="4">
        <v>4</v>
      </c>
      <c r="AK4021" s="4">
        <v>4</v>
      </c>
      <c r="AL4021" s="4">
        <v>29</v>
      </c>
      <c r="AM4021" s="4">
        <v>30</v>
      </c>
      <c r="AN4021" s="4">
        <v>0</v>
      </c>
      <c r="AO4021" s="4">
        <v>0</v>
      </c>
      <c r="AP4021" s="4">
        <v>4</v>
      </c>
      <c r="AQ4021" s="4">
        <v>4</v>
      </c>
      <c r="AR4021" s="3" t="s">
        <v>65</v>
      </c>
      <c r="AS4021" s="3" t="s">
        <v>65</v>
      </c>
      <c r="AT4021" s="3" t="s">
        <v>65</v>
      </c>
      <c r="AV4021" s="6" t="str">
        <f>HYPERLINK("http://mcgill.on.worldcat.org/oclc/911518663","Catalog Record")</f>
        <v>Catalog Record</v>
      </c>
      <c r="AW4021" s="6" t="str">
        <f>HYPERLINK("http://www.worldcat.org/oclc/911518663","WorldCat Record")</f>
        <v>WorldCat Record</v>
      </c>
      <c r="AX4021" s="3" t="s">
        <v>40046</v>
      </c>
      <c r="AY4021" s="3" t="s">
        <v>40047</v>
      </c>
      <c r="AZ4021" s="3" t="s">
        <v>40048</v>
      </c>
      <c r="BA4021" s="3" t="s">
        <v>40048</v>
      </c>
      <c r="BB4021" s="3" t="s">
        <v>40049</v>
      </c>
      <c r="BC4021" s="3" t="s">
        <v>77</v>
      </c>
      <c r="BD4021" s="3" t="s">
        <v>78</v>
      </c>
      <c r="BE4021" s="3" t="s">
        <v>40050</v>
      </c>
      <c r="BF4021" s="3" t="s">
        <v>40049</v>
      </c>
      <c r="BG4021" s="3" t="s">
        <v>40051</v>
      </c>
    </row>
    <row r="4022" spans="1:59" ht="58" x14ac:dyDescent="0.35">
      <c r="A4022" s="2" t="s">
        <v>59</v>
      </c>
      <c r="B4022" s="2" t="s">
        <v>60</v>
      </c>
      <c r="C4022" s="2" t="s">
        <v>40052</v>
      </c>
      <c r="D4022" s="2" t="s">
        <v>40053</v>
      </c>
      <c r="E4022" s="2" t="s">
        <v>40054</v>
      </c>
      <c r="G4022" s="3" t="s">
        <v>65</v>
      </c>
      <c r="I4022" s="3" t="s">
        <v>65</v>
      </c>
      <c r="J4022" s="3" t="s">
        <v>65</v>
      </c>
      <c r="K4022" s="3" t="s">
        <v>66</v>
      </c>
      <c r="L4022" s="2" t="s">
        <v>39875</v>
      </c>
      <c r="M4022" s="2" t="s">
        <v>40055</v>
      </c>
      <c r="N4022" s="3" t="s">
        <v>152</v>
      </c>
      <c r="O4022" s="2" t="s">
        <v>40056</v>
      </c>
      <c r="P4022" s="3" t="s">
        <v>69</v>
      </c>
      <c r="R4022" s="3" t="s">
        <v>71</v>
      </c>
      <c r="S4022" s="4">
        <v>2</v>
      </c>
      <c r="T4022" s="4">
        <v>2</v>
      </c>
      <c r="U4022" s="5" t="s">
        <v>40036</v>
      </c>
      <c r="V4022" s="5" t="s">
        <v>40036</v>
      </c>
      <c r="W4022" s="5" t="s">
        <v>72</v>
      </c>
      <c r="X4022" s="5" t="s">
        <v>72</v>
      </c>
      <c r="Y4022" s="4">
        <v>95</v>
      </c>
      <c r="Z4022" s="4">
        <v>10</v>
      </c>
      <c r="AA4022" s="4">
        <v>12</v>
      </c>
      <c r="AB4022" s="4">
        <v>1</v>
      </c>
      <c r="AC4022" s="4">
        <v>3</v>
      </c>
      <c r="AD4022" s="4">
        <v>37</v>
      </c>
      <c r="AE4022" s="4">
        <v>39</v>
      </c>
      <c r="AF4022" s="4">
        <v>0</v>
      </c>
      <c r="AG4022" s="4">
        <v>0</v>
      </c>
      <c r="AH4022" s="4">
        <v>34</v>
      </c>
      <c r="AI4022" s="4">
        <v>36</v>
      </c>
      <c r="AJ4022" s="4">
        <v>7</v>
      </c>
      <c r="AK4022" s="4">
        <v>7</v>
      </c>
      <c r="AL4022" s="4">
        <v>24</v>
      </c>
      <c r="AM4022" s="4">
        <v>24</v>
      </c>
      <c r="AN4022" s="4">
        <v>0</v>
      </c>
      <c r="AO4022" s="4">
        <v>0</v>
      </c>
      <c r="AP4022" s="4">
        <v>7</v>
      </c>
      <c r="AQ4022" s="4">
        <v>7</v>
      </c>
      <c r="AR4022" s="3" t="s">
        <v>65</v>
      </c>
      <c r="AS4022" s="3" t="s">
        <v>65</v>
      </c>
      <c r="AT4022" s="3" t="s">
        <v>65</v>
      </c>
      <c r="AV4022" s="6" t="str">
        <f>HYPERLINK("http://mcgill.on.worldcat.org/oclc/783151802","Catalog Record")</f>
        <v>Catalog Record</v>
      </c>
      <c r="AW4022" s="6" t="str">
        <f>HYPERLINK("http://www.worldcat.org/oclc/783151802","WorldCat Record")</f>
        <v>WorldCat Record</v>
      </c>
      <c r="AX4022" s="3" t="s">
        <v>40057</v>
      </c>
      <c r="AY4022" s="3" t="s">
        <v>40058</v>
      </c>
      <c r="AZ4022" s="3" t="s">
        <v>40059</v>
      </c>
      <c r="BA4022" s="3" t="s">
        <v>40059</v>
      </c>
      <c r="BB4022" s="3" t="s">
        <v>40060</v>
      </c>
      <c r="BC4022" s="3" t="s">
        <v>77</v>
      </c>
      <c r="BD4022" s="3" t="s">
        <v>78</v>
      </c>
      <c r="BE4022" s="3" t="s">
        <v>40061</v>
      </c>
      <c r="BF4022" s="3" t="s">
        <v>40060</v>
      </c>
      <c r="BG4022" s="3" t="s">
        <v>40062</v>
      </c>
    </row>
    <row r="4023" spans="1:59" ht="58" x14ac:dyDescent="0.35">
      <c r="A4023" s="2" t="s">
        <v>59</v>
      </c>
      <c r="B4023" s="2" t="s">
        <v>60</v>
      </c>
      <c r="C4023" s="2" t="s">
        <v>40063</v>
      </c>
      <c r="D4023" s="2" t="s">
        <v>40064</v>
      </c>
      <c r="E4023" s="2" t="s">
        <v>40065</v>
      </c>
      <c r="G4023" s="3" t="s">
        <v>65</v>
      </c>
      <c r="I4023" s="3" t="s">
        <v>65</v>
      </c>
      <c r="J4023" s="3" t="s">
        <v>65</v>
      </c>
      <c r="K4023" s="3" t="s">
        <v>66</v>
      </c>
      <c r="L4023" s="2" t="s">
        <v>39875</v>
      </c>
      <c r="M4023" s="2" t="s">
        <v>33051</v>
      </c>
      <c r="N4023" s="3" t="s">
        <v>113</v>
      </c>
      <c r="O4023" s="2" t="s">
        <v>33052</v>
      </c>
      <c r="P4023" s="3" t="s">
        <v>140</v>
      </c>
      <c r="Q4023" s="2" t="s">
        <v>40066</v>
      </c>
      <c r="R4023" s="3" t="s">
        <v>71</v>
      </c>
      <c r="S4023" s="4">
        <v>1</v>
      </c>
      <c r="T4023" s="4">
        <v>1</v>
      </c>
      <c r="U4023" s="5" t="s">
        <v>39888</v>
      </c>
      <c r="V4023" s="5" t="s">
        <v>39888</v>
      </c>
      <c r="W4023" s="5" t="s">
        <v>72</v>
      </c>
      <c r="X4023" s="5" t="s">
        <v>72</v>
      </c>
      <c r="Y4023" s="4">
        <v>58</v>
      </c>
      <c r="Z4023" s="4">
        <v>8</v>
      </c>
      <c r="AA4023" s="4">
        <v>8</v>
      </c>
      <c r="AB4023" s="4">
        <v>1</v>
      </c>
      <c r="AC4023" s="4">
        <v>1</v>
      </c>
      <c r="AD4023" s="4">
        <v>32</v>
      </c>
      <c r="AE4023" s="4">
        <v>32</v>
      </c>
      <c r="AF4023" s="4">
        <v>0</v>
      </c>
      <c r="AG4023" s="4">
        <v>0</v>
      </c>
      <c r="AH4023" s="4">
        <v>30</v>
      </c>
      <c r="AI4023" s="4">
        <v>30</v>
      </c>
      <c r="AJ4023" s="4">
        <v>4</v>
      </c>
      <c r="AK4023" s="4">
        <v>4</v>
      </c>
      <c r="AL4023" s="4">
        <v>20</v>
      </c>
      <c r="AM4023" s="4">
        <v>20</v>
      </c>
      <c r="AN4023" s="4">
        <v>0</v>
      </c>
      <c r="AO4023" s="4">
        <v>0</v>
      </c>
      <c r="AP4023" s="4">
        <v>4</v>
      </c>
      <c r="AQ4023" s="4">
        <v>4</v>
      </c>
      <c r="AR4023" s="3" t="s">
        <v>65</v>
      </c>
      <c r="AS4023" s="3" t="s">
        <v>65</v>
      </c>
      <c r="AT4023" s="3" t="s">
        <v>65</v>
      </c>
      <c r="AV4023" s="6" t="str">
        <f>HYPERLINK("http://mcgill.on.worldcat.org/oclc/682881407","Catalog Record")</f>
        <v>Catalog Record</v>
      </c>
      <c r="AW4023" s="6" t="str">
        <f>HYPERLINK("http://www.worldcat.org/oclc/682881407","WorldCat Record")</f>
        <v>WorldCat Record</v>
      </c>
      <c r="AX4023" s="3" t="s">
        <v>40067</v>
      </c>
      <c r="AY4023" s="3" t="s">
        <v>40068</v>
      </c>
      <c r="AZ4023" s="3" t="s">
        <v>40069</v>
      </c>
      <c r="BA4023" s="3" t="s">
        <v>40069</v>
      </c>
      <c r="BB4023" s="3" t="s">
        <v>40070</v>
      </c>
      <c r="BC4023" s="3" t="s">
        <v>77</v>
      </c>
      <c r="BD4023" s="3" t="s">
        <v>78</v>
      </c>
      <c r="BE4023" s="3" t="s">
        <v>40071</v>
      </c>
      <c r="BF4023" s="3" t="s">
        <v>40070</v>
      </c>
      <c r="BG4023" s="3" t="s">
        <v>40072</v>
      </c>
    </row>
    <row r="4024" spans="1:59" ht="58" x14ac:dyDescent="0.35">
      <c r="A4024" s="2" t="s">
        <v>59</v>
      </c>
      <c r="B4024" s="2" t="s">
        <v>60</v>
      </c>
      <c r="C4024" s="2" t="s">
        <v>40073</v>
      </c>
      <c r="D4024" s="2" t="s">
        <v>40074</v>
      </c>
      <c r="E4024" s="2" t="s">
        <v>40075</v>
      </c>
      <c r="G4024" s="3" t="s">
        <v>65</v>
      </c>
      <c r="I4024" s="3" t="s">
        <v>65</v>
      </c>
      <c r="J4024" s="3" t="s">
        <v>65</v>
      </c>
      <c r="K4024" s="3" t="s">
        <v>66</v>
      </c>
      <c r="L4024" s="2" t="s">
        <v>40076</v>
      </c>
      <c r="M4024" s="2" t="s">
        <v>40077</v>
      </c>
      <c r="N4024" s="3" t="s">
        <v>139</v>
      </c>
      <c r="O4024" s="2" t="s">
        <v>365</v>
      </c>
      <c r="P4024" s="3" t="s">
        <v>140</v>
      </c>
      <c r="Q4024" s="2" t="s">
        <v>40078</v>
      </c>
      <c r="R4024" s="3" t="s">
        <v>71</v>
      </c>
      <c r="S4024" s="4">
        <v>1</v>
      </c>
      <c r="T4024" s="4">
        <v>1</v>
      </c>
      <c r="U4024" s="5" t="s">
        <v>40079</v>
      </c>
      <c r="V4024" s="5" t="s">
        <v>40079</v>
      </c>
      <c r="W4024" s="5" t="s">
        <v>72</v>
      </c>
      <c r="X4024" s="5" t="s">
        <v>72</v>
      </c>
      <c r="Y4024" s="4">
        <v>31</v>
      </c>
      <c r="Z4024" s="4">
        <v>5</v>
      </c>
      <c r="AA4024" s="4">
        <v>5</v>
      </c>
      <c r="AB4024" s="4">
        <v>1</v>
      </c>
      <c r="AC4024" s="4">
        <v>1</v>
      </c>
      <c r="AD4024" s="4">
        <v>24</v>
      </c>
      <c r="AE4024" s="4">
        <v>24</v>
      </c>
      <c r="AF4024" s="4">
        <v>0</v>
      </c>
      <c r="AG4024" s="4">
        <v>0</v>
      </c>
      <c r="AH4024" s="4">
        <v>23</v>
      </c>
      <c r="AI4024" s="4">
        <v>23</v>
      </c>
      <c r="AJ4024" s="4">
        <v>3</v>
      </c>
      <c r="AK4024" s="4">
        <v>3</v>
      </c>
      <c r="AL4024" s="4">
        <v>16</v>
      </c>
      <c r="AM4024" s="4">
        <v>16</v>
      </c>
      <c r="AN4024" s="4">
        <v>0</v>
      </c>
      <c r="AO4024" s="4">
        <v>0</v>
      </c>
      <c r="AP4024" s="4">
        <v>3</v>
      </c>
      <c r="AQ4024" s="4">
        <v>3</v>
      </c>
      <c r="AR4024" s="3" t="s">
        <v>65</v>
      </c>
      <c r="AS4024" s="3" t="s">
        <v>65</v>
      </c>
      <c r="AT4024" s="3" t="s">
        <v>65</v>
      </c>
      <c r="AV4024" s="6" t="str">
        <f>HYPERLINK("http://mcgill.on.worldcat.org/oclc/793216581","Catalog Record")</f>
        <v>Catalog Record</v>
      </c>
      <c r="AW4024" s="6" t="str">
        <f>HYPERLINK("http://www.worldcat.org/oclc/793216581","WorldCat Record")</f>
        <v>WorldCat Record</v>
      </c>
      <c r="AX4024" s="3" t="s">
        <v>40080</v>
      </c>
      <c r="AY4024" s="3" t="s">
        <v>40081</v>
      </c>
      <c r="AZ4024" s="3" t="s">
        <v>40082</v>
      </c>
      <c r="BA4024" s="3" t="s">
        <v>40082</v>
      </c>
      <c r="BB4024" s="3" t="s">
        <v>40083</v>
      </c>
      <c r="BC4024" s="3" t="s">
        <v>77</v>
      </c>
      <c r="BD4024" s="3" t="s">
        <v>78</v>
      </c>
      <c r="BE4024" s="3" t="s">
        <v>40084</v>
      </c>
      <c r="BF4024" s="3" t="s">
        <v>40083</v>
      </c>
      <c r="BG4024" s="3" t="s">
        <v>40085</v>
      </c>
    </row>
    <row r="4025" spans="1:59" ht="58" x14ac:dyDescent="0.35">
      <c r="A4025" s="2" t="s">
        <v>59</v>
      </c>
      <c r="B4025" s="2" t="s">
        <v>60</v>
      </c>
      <c r="C4025" s="2" t="s">
        <v>40086</v>
      </c>
      <c r="D4025" s="2" t="s">
        <v>40087</v>
      </c>
      <c r="E4025" s="2" t="s">
        <v>40088</v>
      </c>
      <c r="G4025" s="3" t="s">
        <v>65</v>
      </c>
      <c r="I4025" s="3" t="s">
        <v>65</v>
      </c>
      <c r="J4025" s="3" t="s">
        <v>65</v>
      </c>
      <c r="K4025" s="3" t="s">
        <v>66</v>
      </c>
      <c r="L4025" s="2" t="s">
        <v>40089</v>
      </c>
      <c r="M4025" s="2" t="s">
        <v>40090</v>
      </c>
      <c r="N4025" s="3" t="s">
        <v>126</v>
      </c>
      <c r="P4025" s="3" t="s">
        <v>616</v>
      </c>
      <c r="Q4025" s="2" t="s">
        <v>40091</v>
      </c>
      <c r="R4025" s="3" t="s">
        <v>71</v>
      </c>
      <c r="S4025" s="4">
        <v>0</v>
      </c>
      <c r="T4025" s="4">
        <v>0</v>
      </c>
      <c r="W4025" s="5" t="s">
        <v>72</v>
      </c>
      <c r="X4025" s="5" t="s">
        <v>72</v>
      </c>
      <c r="Y4025" s="4">
        <v>14</v>
      </c>
      <c r="Z4025" s="4">
        <v>3</v>
      </c>
      <c r="AA4025" s="4">
        <v>6</v>
      </c>
      <c r="AB4025" s="4">
        <v>1</v>
      </c>
      <c r="AC4025" s="4">
        <v>3</v>
      </c>
      <c r="AD4025" s="4">
        <v>8</v>
      </c>
      <c r="AE4025" s="4">
        <v>10</v>
      </c>
      <c r="AF4025" s="4">
        <v>0</v>
      </c>
      <c r="AG4025" s="4">
        <v>1</v>
      </c>
      <c r="AH4025" s="4">
        <v>7</v>
      </c>
      <c r="AI4025" s="4">
        <v>8</v>
      </c>
      <c r="AJ4025" s="4">
        <v>1</v>
      </c>
      <c r="AK4025" s="4">
        <v>3</v>
      </c>
      <c r="AL4025" s="4">
        <v>7</v>
      </c>
      <c r="AM4025" s="4">
        <v>7</v>
      </c>
      <c r="AN4025" s="4">
        <v>0</v>
      </c>
      <c r="AO4025" s="4">
        <v>0</v>
      </c>
      <c r="AP4025" s="4">
        <v>1</v>
      </c>
      <c r="AQ4025" s="4">
        <v>2</v>
      </c>
      <c r="AR4025" s="3" t="s">
        <v>65</v>
      </c>
      <c r="AS4025" s="3" t="s">
        <v>65</v>
      </c>
      <c r="AT4025" s="3" t="s">
        <v>65</v>
      </c>
      <c r="AV4025" s="6" t="str">
        <f>HYPERLINK("http://mcgill.on.worldcat.org/oclc/767578811","Catalog Record")</f>
        <v>Catalog Record</v>
      </c>
      <c r="AW4025" s="6" t="str">
        <f>HYPERLINK("http://www.worldcat.org/oclc/767578811","WorldCat Record")</f>
        <v>WorldCat Record</v>
      </c>
      <c r="AX4025" s="3" t="s">
        <v>40092</v>
      </c>
      <c r="AY4025" s="3" t="s">
        <v>40093</v>
      </c>
      <c r="AZ4025" s="3" t="s">
        <v>40094</v>
      </c>
      <c r="BA4025" s="3" t="s">
        <v>40094</v>
      </c>
      <c r="BB4025" s="3" t="s">
        <v>40095</v>
      </c>
      <c r="BC4025" s="3" t="s">
        <v>77</v>
      </c>
      <c r="BD4025" s="3" t="s">
        <v>78</v>
      </c>
      <c r="BE4025" s="3" t="s">
        <v>40096</v>
      </c>
      <c r="BF4025" s="3" t="s">
        <v>40095</v>
      </c>
      <c r="BG4025" s="3" t="s">
        <v>40097</v>
      </c>
    </row>
    <row r="4026" spans="1:59" ht="58" x14ac:dyDescent="0.35">
      <c r="A4026" s="2" t="s">
        <v>59</v>
      </c>
      <c r="B4026" s="2" t="s">
        <v>60</v>
      </c>
      <c r="C4026" s="2" t="s">
        <v>40098</v>
      </c>
      <c r="D4026" s="2" t="s">
        <v>40099</v>
      </c>
      <c r="E4026" s="2" t="s">
        <v>40100</v>
      </c>
      <c r="G4026" s="3" t="s">
        <v>65</v>
      </c>
      <c r="I4026" s="3" t="s">
        <v>65</v>
      </c>
      <c r="J4026" s="3" t="s">
        <v>65</v>
      </c>
      <c r="K4026" s="3" t="s">
        <v>66</v>
      </c>
      <c r="L4026" s="2" t="s">
        <v>40101</v>
      </c>
      <c r="M4026" s="2" t="s">
        <v>26465</v>
      </c>
      <c r="N4026" s="3" t="s">
        <v>113</v>
      </c>
      <c r="P4026" s="3" t="s">
        <v>140</v>
      </c>
      <c r="Q4026" s="2" t="s">
        <v>565</v>
      </c>
      <c r="R4026" s="3" t="s">
        <v>71</v>
      </c>
      <c r="S4026" s="4">
        <v>1</v>
      </c>
      <c r="T4026" s="4">
        <v>1</v>
      </c>
      <c r="U4026" s="5" t="s">
        <v>39888</v>
      </c>
      <c r="V4026" s="5" t="s">
        <v>39888</v>
      </c>
      <c r="W4026" s="5" t="s">
        <v>72</v>
      </c>
      <c r="X4026" s="5" t="s">
        <v>72</v>
      </c>
      <c r="Y4026" s="4">
        <v>59</v>
      </c>
      <c r="Z4026" s="4">
        <v>6</v>
      </c>
      <c r="AA4026" s="4">
        <v>6</v>
      </c>
      <c r="AB4026" s="4">
        <v>1</v>
      </c>
      <c r="AC4026" s="4">
        <v>1</v>
      </c>
      <c r="AD4026" s="4">
        <v>41</v>
      </c>
      <c r="AE4026" s="4">
        <v>41</v>
      </c>
      <c r="AF4026" s="4">
        <v>0</v>
      </c>
      <c r="AG4026" s="4">
        <v>0</v>
      </c>
      <c r="AH4026" s="4">
        <v>40</v>
      </c>
      <c r="AI4026" s="4">
        <v>40</v>
      </c>
      <c r="AJ4026" s="4">
        <v>3</v>
      </c>
      <c r="AK4026" s="4">
        <v>3</v>
      </c>
      <c r="AL4026" s="4">
        <v>31</v>
      </c>
      <c r="AM4026" s="4">
        <v>31</v>
      </c>
      <c r="AN4026" s="4">
        <v>0</v>
      </c>
      <c r="AO4026" s="4">
        <v>0</v>
      </c>
      <c r="AP4026" s="4">
        <v>3</v>
      </c>
      <c r="AQ4026" s="4">
        <v>3</v>
      </c>
      <c r="AR4026" s="3" t="s">
        <v>65</v>
      </c>
      <c r="AS4026" s="3" t="s">
        <v>65</v>
      </c>
      <c r="AT4026" s="3" t="s">
        <v>65</v>
      </c>
      <c r="AV4026" s="6" t="str">
        <f>HYPERLINK("http://mcgill.on.worldcat.org/oclc/711650495","Catalog Record")</f>
        <v>Catalog Record</v>
      </c>
      <c r="AW4026" s="6" t="str">
        <f>HYPERLINK("http://www.worldcat.org/oclc/711650495","WorldCat Record")</f>
        <v>WorldCat Record</v>
      </c>
      <c r="AX4026" s="3" t="s">
        <v>40102</v>
      </c>
      <c r="AY4026" s="3" t="s">
        <v>40103</v>
      </c>
      <c r="AZ4026" s="3" t="s">
        <v>40104</v>
      </c>
      <c r="BA4026" s="3" t="s">
        <v>40104</v>
      </c>
      <c r="BB4026" s="3" t="s">
        <v>40105</v>
      </c>
      <c r="BC4026" s="3" t="s">
        <v>77</v>
      </c>
      <c r="BD4026" s="3" t="s">
        <v>78</v>
      </c>
      <c r="BE4026" s="3" t="s">
        <v>40106</v>
      </c>
      <c r="BF4026" s="3" t="s">
        <v>40105</v>
      </c>
      <c r="BG4026" s="3" t="s">
        <v>40107</v>
      </c>
    </row>
    <row r="4027" spans="1:59" ht="58" x14ac:dyDescent="0.35">
      <c r="A4027" s="2" t="s">
        <v>59</v>
      </c>
      <c r="B4027" s="2" t="s">
        <v>60</v>
      </c>
      <c r="C4027" s="2" t="s">
        <v>40108</v>
      </c>
      <c r="D4027" s="2" t="s">
        <v>40109</v>
      </c>
      <c r="E4027" s="2" t="s">
        <v>40110</v>
      </c>
      <c r="G4027" s="3" t="s">
        <v>65</v>
      </c>
      <c r="I4027" s="3" t="s">
        <v>65</v>
      </c>
      <c r="J4027" s="3" t="s">
        <v>65</v>
      </c>
      <c r="K4027" s="3" t="s">
        <v>66</v>
      </c>
      <c r="M4027" s="2" t="s">
        <v>40111</v>
      </c>
      <c r="N4027" s="3" t="s">
        <v>139</v>
      </c>
      <c r="P4027" s="3" t="s">
        <v>140</v>
      </c>
      <c r="R4027" s="3" t="s">
        <v>71</v>
      </c>
      <c r="S4027" s="4">
        <v>0</v>
      </c>
      <c r="T4027" s="4">
        <v>0</v>
      </c>
      <c r="W4027" s="5" t="s">
        <v>72</v>
      </c>
      <c r="X4027" s="5" t="s">
        <v>72</v>
      </c>
      <c r="Y4027" s="4">
        <v>23</v>
      </c>
      <c r="Z4027" s="4">
        <v>5</v>
      </c>
      <c r="AA4027" s="4">
        <v>5</v>
      </c>
      <c r="AB4027" s="4">
        <v>1</v>
      </c>
      <c r="AC4027" s="4">
        <v>1</v>
      </c>
      <c r="AD4027" s="4">
        <v>17</v>
      </c>
      <c r="AE4027" s="4">
        <v>21</v>
      </c>
      <c r="AF4027" s="4">
        <v>0</v>
      </c>
      <c r="AG4027" s="4">
        <v>0</v>
      </c>
      <c r="AH4027" s="4">
        <v>17</v>
      </c>
      <c r="AI4027" s="4">
        <v>20</v>
      </c>
      <c r="AJ4027" s="4">
        <v>2</v>
      </c>
      <c r="AK4027" s="4">
        <v>2</v>
      </c>
      <c r="AL4027" s="4">
        <v>12</v>
      </c>
      <c r="AM4027" s="4">
        <v>16</v>
      </c>
      <c r="AN4027" s="4">
        <v>0</v>
      </c>
      <c r="AO4027" s="4">
        <v>0</v>
      </c>
      <c r="AP4027" s="4">
        <v>2</v>
      </c>
      <c r="AQ4027" s="4">
        <v>2</v>
      </c>
      <c r="AR4027" s="3" t="s">
        <v>65</v>
      </c>
      <c r="AS4027" s="3" t="s">
        <v>65</v>
      </c>
      <c r="AT4027" s="3" t="s">
        <v>65</v>
      </c>
      <c r="AV4027" s="6" t="str">
        <f>HYPERLINK("http://mcgill.on.worldcat.org/oclc/816034576","Catalog Record")</f>
        <v>Catalog Record</v>
      </c>
      <c r="AW4027" s="6" t="str">
        <f>HYPERLINK("http://www.worldcat.org/oclc/816034576","WorldCat Record")</f>
        <v>WorldCat Record</v>
      </c>
      <c r="AX4027" s="3" t="s">
        <v>40112</v>
      </c>
      <c r="AY4027" s="3" t="s">
        <v>40113</v>
      </c>
      <c r="AZ4027" s="3" t="s">
        <v>40114</v>
      </c>
      <c r="BA4027" s="3" t="s">
        <v>40114</v>
      </c>
      <c r="BB4027" s="3" t="s">
        <v>40115</v>
      </c>
      <c r="BC4027" s="3" t="s">
        <v>77</v>
      </c>
      <c r="BD4027" s="3" t="s">
        <v>78</v>
      </c>
      <c r="BE4027" s="3" t="s">
        <v>40116</v>
      </c>
      <c r="BF4027" s="3" t="s">
        <v>40115</v>
      </c>
      <c r="BG4027" s="3" t="s">
        <v>40117</v>
      </c>
    </row>
    <row r="4028" spans="1:59" ht="58" x14ac:dyDescent="0.35">
      <c r="A4028" s="2" t="s">
        <v>59</v>
      </c>
      <c r="B4028" s="2" t="s">
        <v>60</v>
      </c>
      <c r="C4028" s="2" t="s">
        <v>40118</v>
      </c>
      <c r="D4028" s="2" t="s">
        <v>40119</v>
      </c>
      <c r="E4028" s="2" t="s">
        <v>40120</v>
      </c>
      <c r="G4028" s="3" t="s">
        <v>65</v>
      </c>
      <c r="I4028" s="3" t="s">
        <v>65</v>
      </c>
      <c r="J4028" s="3" t="s">
        <v>65</v>
      </c>
      <c r="K4028" s="3" t="s">
        <v>66</v>
      </c>
      <c r="L4028" s="2" t="s">
        <v>40121</v>
      </c>
      <c r="M4028" s="2" t="s">
        <v>40122</v>
      </c>
      <c r="N4028" s="3" t="s">
        <v>68</v>
      </c>
      <c r="P4028" s="3" t="s">
        <v>140</v>
      </c>
      <c r="Q4028" s="2" t="s">
        <v>40123</v>
      </c>
      <c r="R4028" s="3" t="s">
        <v>71</v>
      </c>
      <c r="S4028" s="4">
        <v>0</v>
      </c>
      <c r="T4028" s="4">
        <v>0</v>
      </c>
      <c r="W4028" s="5" t="s">
        <v>72</v>
      </c>
      <c r="X4028" s="5" t="s">
        <v>72</v>
      </c>
      <c r="Y4028" s="4">
        <v>17</v>
      </c>
      <c r="Z4028" s="4">
        <v>1</v>
      </c>
      <c r="AA4028" s="4">
        <v>1</v>
      </c>
      <c r="AB4028" s="4">
        <v>1</v>
      </c>
      <c r="AC4028" s="4">
        <v>1</v>
      </c>
      <c r="AD4028" s="4">
        <v>12</v>
      </c>
      <c r="AE4028" s="4">
        <v>13</v>
      </c>
      <c r="AF4028" s="4">
        <v>0</v>
      </c>
      <c r="AG4028" s="4">
        <v>0</v>
      </c>
      <c r="AH4028" s="4">
        <v>12</v>
      </c>
      <c r="AI4028" s="4">
        <v>13</v>
      </c>
      <c r="AJ4028" s="4">
        <v>0</v>
      </c>
      <c r="AK4028" s="4">
        <v>0</v>
      </c>
      <c r="AL4028" s="4">
        <v>9</v>
      </c>
      <c r="AM4028" s="4">
        <v>10</v>
      </c>
      <c r="AN4028" s="4">
        <v>0</v>
      </c>
      <c r="AO4028" s="4">
        <v>0</v>
      </c>
      <c r="AP4028" s="4">
        <v>0</v>
      </c>
      <c r="AQ4028" s="4">
        <v>0</v>
      </c>
      <c r="AR4028" s="3" t="s">
        <v>65</v>
      </c>
      <c r="AS4028" s="3" t="s">
        <v>65</v>
      </c>
      <c r="AT4028" s="3" t="s">
        <v>65</v>
      </c>
      <c r="AV4028" s="6" t="str">
        <f>HYPERLINK("http://mcgill.on.worldcat.org/oclc/960213926","Catalog Record")</f>
        <v>Catalog Record</v>
      </c>
      <c r="AW4028" s="6" t="str">
        <f>HYPERLINK("http://www.worldcat.org/oclc/960213926","WorldCat Record")</f>
        <v>WorldCat Record</v>
      </c>
      <c r="AX4028" s="3" t="s">
        <v>40124</v>
      </c>
      <c r="AY4028" s="3" t="s">
        <v>40125</v>
      </c>
      <c r="AZ4028" s="3" t="s">
        <v>40126</v>
      </c>
      <c r="BA4028" s="3" t="s">
        <v>40126</v>
      </c>
      <c r="BB4028" s="3" t="s">
        <v>40127</v>
      </c>
      <c r="BC4028" s="3" t="s">
        <v>77</v>
      </c>
      <c r="BD4028" s="3" t="s">
        <v>78</v>
      </c>
      <c r="BE4028" s="3" t="s">
        <v>40128</v>
      </c>
      <c r="BF4028" s="3" t="s">
        <v>40127</v>
      </c>
      <c r="BG4028" s="3" t="s">
        <v>40129</v>
      </c>
    </row>
    <row r="4029" spans="1:59" ht="58" x14ac:dyDescent="0.35">
      <c r="A4029" s="2" t="s">
        <v>59</v>
      </c>
      <c r="B4029" s="2" t="s">
        <v>60</v>
      </c>
      <c r="C4029" s="2" t="s">
        <v>40130</v>
      </c>
      <c r="D4029" s="2" t="s">
        <v>40131</v>
      </c>
      <c r="E4029" s="2" t="s">
        <v>40132</v>
      </c>
      <c r="G4029" s="3" t="s">
        <v>65</v>
      </c>
      <c r="I4029" s="3" t="s">
        <v>65</v>
      </c>
      <c r="J4029" s="3" t="s">
        <v>65</v>
      </c>
      <c r="K4029" s="3" t="s">
        <v>66</v>
      </c>
      <c r="L4029" s="2" t="s">
        <v>40133</v>
      </c>
      <c r="M4029" s="2" t="s">
        <v>40134</v>
      </c>
      <c r="N4029" s="3" t="s">
        <v>139</v>
      </c>
      <c r="P4029" s="3" t="s">
        <v>140</v>
      </c>
      <c r="R4029" s="3" t="s">
        <v>71</v>
      </c>
      <c r="S4029" s="4">
        <v>1</v>
      </c>
      <c r="T4029" s="4">
        <v>1</v>
      </c>
      <c r="U4029" s="5" t="s">
        <v>39888</v>
      </c>
      <c r="V4029" s="5" t="s">
        <v>39888</v>
      </c>
      <c r="W4029" s="5" t="s">
        <v>72</v>
      </c>
      <c r="X4029" s="5" t="s">
        <v>72</v>
      </c>
      <c r="Y4029" s="4">
        <v>46</v>
      </c>
      <c r="Z4029" s="4">
        <v>5</v>
      </c>
      <c r="AA4029" s="4">
        <v>5</v>
      </c>
      <c r="AB4029" s="4">
        <v>1</v>
      </c>
      <c r="AC4029" s="4">
        <v>1</v>
      </c>
      <c r="AD4029" s="4">
        <v>28</v>
      </c>
      <c r="AE4029" s="4">
        <v>28</v>
      </c>
      <c r="AF4029" s="4">
        <v>0</v>
      </c>
      <c r="AG4029" s="4">
        <v>0</v>
      </c>
      <c r="AH4029" s="4">
        <v>27</v>
      </c>
      <c r="AI4029" s="4">
        <v>27</v>
      </c>
      <c r="AJ4029" s="4">
        <v>2</v>
      </c>
      <c r="AK4029" s="4">
        <v>2</v>
      </c>
      <c r="AL4029" s="4">
        <v>23</v>
      </c>
      <c r="AM4029" s="4">
        <v>23</v>
      </c>
      <c r="AN4029" s="4">
        <v>0</v>
      </c>
      <c r="AO4029" s="4">
        <v>0</v>
      </c>
      <c r="AP4029" s="4">
        <v>2</v>
      </c>
      <c r="AQ4029" s="4">
        <v>2</v>
      </c>
      <c r="AR4029" s="3" t="s">
        <v>65</v>
      </c>
      <c r="AS4029" s="3" t="s">
        <v>65</v>
      </c>
      <c r="AT4029" s="3" t="s">
        <v>65</v>
      </c>
      <c r="AV4029" s="6" t="str">
        <f>HYPERLINK("http://mcgill.on.worldcat.org/oclc/834494662","Catalog Record")</f>
        <v>Catalog Record</v>
      </c>
      <c r="AW4029" s="6" t="str">
        <f>HYPERLINK("http://www.worldcat.org/oclc/834494662","WorldCat Record")</f>
        <v>WorldCat Record</v>
      </c>
      <c r="AX4029" s="3" t="s">
        <v>40135</v>
      </c>
      <c r="AY4029" s="3" t="s">
        <v>40136</v>
      </c>
      <c r="AZ4029" s="3" t="s">
        <v>40137</v>
      </c>
      <c r="BA4029" s="3" t="s">
        <v>40137</v>
      </c>
      <c r="BB4029" s="3" t="s">
        <v>40138</v>
      </c>
      <c r="BC4029" s="3" t="s">
        <v>77</v>
      </c>
      <c r="BD4029" s="3" t="s">
        <v>78</v>
      </c>
      <c r="BE4029" s="3" t="s">
        <v>40139</v>
      </c>
      <c r="BF4029" s="3" t="s">
        <v>40138</v>
      </c>
      <c r="BG4029" s="3" t="s">
        <v>40140</v>
      </c>
    </row>
    <row r="4030" spans="1:59" ht="58" x14ac:dyDescent="0.35">
      <c r="A4030" s="2" t="s">
        <v>59</v>
      </c>
      <c r="B4030" s="2" t="s">
        <v>60</v>
      </c>
      <c r="C4030" s="2" t="s">
        <v>40141</v>
      </c>
      <c r="D4030" s="2" t="s">
        <v>40142</v>
      </c>
      <c r="E4030" s="2" t="s">
        <v>40143</v>
      </c>
      <c r="G4030" s="3" t="s">
        <v>65</v>
      </c>
      <c r="I4030" s="3" t="s">
        <v>65</v>
      </c>
      <c r="J4030" s="3" t="s">
        <v>65</v>
      </c>
      <c r="K4030" s="3" t="s">
        <v>66</v>
      </c>
      <c r="M4030" s="2" t="s">
        <v>40144</v>
      </c>
      <c r="N4030" s="3" t="s">
        <v>139</v>
      </c>
      <c r="P4030" s="3" t="s">
        <v>140</v>
      </c>
      <c r="Q4030" s="2" t="s">
        <v>40145</v>
      </c>
      <c r="R4030" s="3" t="s">
        <v>71</v>
      </c>
      <c r="S4030" s="4">
        <v>0</v>
      </c>
      <c r="T4030" s="4">
        <v>0</v>
      </c>
      <c r="W4030" s="5" t="s">
        <v>72</v>
      </c>
      <c r="X4030" s="5" t="s">
        <v>72</v>
      </c>
      <c r="Y4030" s="4">
        <v>11</v>
      </c>
      <c r="Z4030" s="4">
        <v>1</v>
      </c>
      <c r="AA4030" s="4">
        <v>1</v>
      </c>
      <c r="AB4030" s="4">
        <v>1</v>
      </c>
      <c r="AC4030" s="4">
        <v>1</v>
      </c>
      <c r="AD4030" s="4">
        <v>5</v>
      </c>
      <c r="AE4030" s="4">
        <v>5</v>
      </c>
      <c r="AF4030" s="4">
        <v>0</v>
      </c>
      <c r="AG4030" s="4">
        <v>0</v>
      </c>
      <c r="AH4030" s="4">
        <v>5</v>
      </c>
      <c r="AI4030" s="4">
        <v>5</v>
      </c>
      <c r="AJ4030" s="4">
        <v>0</v>
      </c>
      <c r="AK4030" s="4">
        <v>0</v>
      </c>
      <c r="AL4030" s="4">
        <v>4</v>
      </c>
      <c r="AM4030" s="4">
        <v>4</v>
      </c>
      <c r="AN4030" s="4">
        <v>0</v>
      </c>
      <c r="AO4030" s="4">
        <v>0</v>
      </c>
      <c r="AP4030" s="4">
        <v>0</v>
      </c>
      <c r="AQ4030" s="4">
        <v>0</v>
      </c>
      <c r="AR4030" s="3" t="s">
        <v>65</v>
      </c>
      <c r="AS4030" s="3" t="s">
        <v>65</v>
      </c>
      <c r="AT4030" s="3" t="s">
        <v>65</v>
      </c>
      <c r="AV4030" s="6" t="str">
        <f>HYPERLINK("http://mcgill.on.worldcat.org/oclc/820785887","Catalog Record")</f>
        <v>Catalog Record</v>
      </c>
      <c r="AW4030" s="6" t="str">
        <f>HYPERLINK("http://www.worldcat.org/oclc/820785887","WorldCat Record")</f>
        <v>WorldCat Record</v>
      </c>
      <c r="AX4030" s="3" t="s">
        <v>40146</v>
      </c>
      <c r="AY4030" s="3" t="s">
        <v>40147</v>
      </c>
      <c r="AZ4030" s="3" t="s">
        <v>40148</v>
      </c>
      <c r="BA4030" s="3" t="s">
        <v>40148</v>
      </c>
      <c r="BB4030" s="3" t="s">
        <v>40149</v>
      </c>
      <c r="BC4030" s="3" t="s">
        <v>77</v>
      </c>
      <c r="BD4030" s="3" t="s">
        <v>78</v>
      </c>
      <c r="BE4030" s="3" t="s">
        <v>40150</v>
      </c>
      <c r="BF4030" s="3" t="s">
        <v>40149</v>
      </c>
      <c r="BG4030" s="3" t="s">
        <v>40151</v>
      </c>
    </row>
    <row r="4031" spans="1:59" ht="58" x14ac:dyDescent="0.35">
      <c r="A4031" s="2" t="s">
        <v>59</v>
      </c>
      <c r="B4031" s="2" t="s">
        <v>60</v>
      </c>
      <c r="C4031" s="2" t="s">
        <v>40152</v>
      </c>
      <c r="D4031" s="2" t="s">
        <v>40153</v>
      </c>
      <c r="E4031" s="2" t="s">
        <v>40154</v>
      </c>
      <c r="G4031" s="3" t="s">
        <v>65</v>
      </c>
      <c r="I4031" s="3" t="s">
        <v>65</v>
      </c>
      <c r="J4031" s="3" t="s">
        <v>65</v>
      </c>
      <c r="K4031" s="3" t="s">
        <v>66</v>
      </c>
      <c r="L4031" s="2" t="s">
        <v>40155</v>
      </c>
      <c r="M4031" s="2" t="s">
        <v>40156</v>
      </c>
      <c r="N4031" s="3" t="s">
        <v>113</v>
      </c>
      <c r="P4031" s="3" t="s">
        <v>616</v>
      </c>
      <c r="Q4031" s="2" t="s">
        <v>40157</v>
      </c>
      <c r="R4031" s="3" t="s">
        <v>71</v>
      </c>
      <c r="S4031" s="4">
        <v>2</v>
      </c>
      <c r="T4031" s="4">
        <v>2</v>
      </c>
      <c r="U4031" s="5" t="s">
        <v>40158</v>
      </c>
      <c r="V4031" s="5" t="s">
        <v>40158</v>
      </c>
      <c r="W4031" s="5" t="s">
        <v>72</v>
      </c>
      <c r="X4031" s="5" t="s">
        <v>72</v>
      </c>
      <c r="Y4031" s="4">
        <v>38</v>
      </c>
      <c r="Z4031" s="4">
        <v>5</v>
      </c>
      <c r="AA4031" s="4">
        <v>5</v>
      </c>
      <c r="AB4031" s="4">
        <v>1</v>
      </c>
      <c r="AC4031" s="4">
        <v>1</v>
      </c>
      <c r="AD4031" s="4">
        <v>30</v>
      </c>
      <c r="AE4031" s="4">
        <v>35</v>
      </c>
      <c r="AF4031" s="4">
        <v>0</v>
      </c>
      <c r="AG4031" s="4">
        <v>0</v>
      </c>
      <c r="AH4031" s="4">
        <v>29</v>
      </c>
      <c r="AI4031" s="4">
        <v>34</v>
      </c>
      <c r="AJ4031" s="4">
        <v>2</v>
      </c>
      <c r="AK4031" s="4">
        <v>2</v>
      </c>
      <c r="AL4031" s="4">
        <v>23</v>
      </c>
      <c r="AM4031" s="4">
        <v>24</v>
      </c>
      <c r="AN4031" s="4">
        <v>0</v>
      </c>
      <c r="AO4031" s="4">
        <v>0</v>
      </c>
      <c r="AP4031" s="4">
        <v>2</v>
      </c>
      <c r="AQ4031" s="4">
        <v>2</v>
      </c>
      <c r="AR4031" s="3" t="s">
        <v>65</v>
      </c>
      <c r="AS4031" s="3" t="s">
        <v>65</v>
      </c>
      <c r="AT4031" s="3" t="s">
        <v>65</v>
      </c>
      <c r="AV4031" s="6" t="str">
        <f>HYPERLINK("http://mcgill.on.worldcat.org/oclc/668178066","Catalog Record")</f>
        <v>Catalog Record</v>
      </c>
      <c r="AW4031" s="6" t="str">
        <f>HYPERLINK("http://www.worldcat.org/oclc/668178066","WorldCat Record")</f>
        <v>WorldCat Record</v>
      </c>
      <c r="AX4031" s="3" t="s">
        <v>40159</v>
      </c>
      <c r="AY4031" s="3" t="s">
        <v>40160</v>
      </c>
      <c r="AZ4031" s="3" t="s">
        <v>40161</v>
      </c>
      <c r="BA4031" s="3" t="s">
        <v>40161</v>
      </c>
      <c r="BB4031" s="3" t="s">
        <v>40162</v>
      </c>
      <c r="BC4031" s="3" t="s">
        <v>77</v>
      </c>
      <c r="BD4031" s="3" t="s">
        <v>78</v>
      </c>
      <c r="BE4031" s="3" t="s">
        <v>40163</v>
      </c>
      <c r="BF4031" s="3" t="s">
        <v>40162</v>
      </c>
      <c r="BG4031" s="3" t="s">
        <v>40164</v>
      </c>
    </row>
    <row r="4032" spans="1:59" ht="58" x14ac:dyDescent="0.35">
      <c r="A4032" s="2" t="s">
        <v>59</v>
      </c>
      <c r="B4032" s="2" t="s">
        <v>60</v>
      </c>
      <c r="C4032" s="2" t="s">
        <v>40165</v>
      </c>
      <c r="D4032" s="2" t="s">
        <v>40166</v>
      </c>
      <c r="E4032" s="2" t="s">
        <v>40167</v>
      </c>
      <c r="G4032" s="3" t="s">
        <v>65</v>
      </c>
      <c r="I4032" s="3" t="s">
        <v>65</v>
      </c>
      <c r="J4032" s="3" t="s">
        <v>65</v>
      </c>
      <c r="K4032" s="3" t="s">
        <v>66</v>
      </c>
      <c r="L4032" s="2" t="s">
        <v>40168</v>
      </c>
      <c r="M4032" s="2" t="s">
        <v>40169</v>
      </c>
      <c r="N4032" s="3" t="s">
        <v>126</v>
      </c>
      <c r="P4032" s="3" t="s">
        <v>140</v>
      </c>
      <c r="Q4032" s="2" t="s">
        <v>40170</v>
      </c>
      <c r="R4032" s="3" t="s">
        <v>71</v>
      </c>
      <c r="S4032" s="4">
        <v>1</v>
      </c>
      <c r="T4032" s="4">
        <v>1</v>
      </c>
      <c r="U4032" s="5" t="s">
        <v>39888</v>
      </c>
      <c r="V4032" s="5" t="s">
        <v>39888</v>
      </c>
      <c r="W4032" s="5" t="s">
        <v>72</v>
      </c>
      <c r="X4032" s="5" t="s">
        <v>72</v>
      </c>
      <c r="Y4032" s="4">
        <v>46</v>
      </c>
      <c r="Z4032" s="4">
        <v>6</v>
      </c>
      <c r="AA4032" s="4">
        <v>6</v>
      </c>
      <c r="AB4032" s="4">
        <v>1</v>
      </c>
      <c r="AC4032" s="4">
        <v>1</v>
      </c>
      <c r="AD4032" s="4">
        <v>33</v>
      </c>
      <c r="AE4032" s="4">
        <v>33</v>
      </c>
      <c r="AF4032" s="4">
        <v>0</v>
      </c>
      <c r="AG4032" s="4">
        <v>0</v>
      </c>
      <c r="AH4032" s="4">
        <v>31</v>
      </c>
      <c r="AI4032" s="4">
        <v>31</v>
      </c>
      <c r="AJ4032" s="4">
        <v>3</v>
      </c>
      <c r="AK4032" s="4">
        <v>3</v>
      </c>
      <c r="AL4032" s="4">
        <v>23</v>
      </c>
      <c r="AM4032" s="4">
        <v>23</v>
      </c>
      <c r="AN4032" s="4">
        <v>0</v>
      </c>
      <c r="AO4032" s="4">
        <v>0</v>
      </c>
      <c r="AP4032" s="4">
        <v>3</v>
      </c>
      <c r="AQ4032" s="4">
        <v>3</v>
      </c>
      <c r="AR4032" s="3" t="s">
        <v>65</v>
      </c>
      <c r="AS4032" s="3" t="s">
        <v>65</v>
      </c>
      <c r="AT4032" s="3" t="s">
        <v>65</v>
      </c>
      <c r="AV4032" s="6" t="str">
        <f>HYPERLINK("http://mcgill.on.worldcat.org/oclc/719413272","Catalog Record")</f>
        <v>Catalog Record</v>
      </c>
      <c r="AW4032" s="6" t="str">
        <f>HYPERLINK("http://www.worldcat.org/oclc/719413272","WorldCat Record")</f>
        <v>WorldCat Record</v>
      </c>
      <c r="AX4032" s="3" t="s">
        <v>40171</v>
      </c>
      <c r="AY4032" s="3" t="s">
        <v>40172</v>
      </c>
      <c r="AZ4032" s="3" t="s">
        <v>40173</v>
      </c>
      <c r="BA4032" s="3" t="s">
        <v>40173</v>
      </c>
      <c r="BB4032" s="3" t="s">
        <v>40174</v>
      </c>
      <c r="BC4032" s="3" t="s">
        <v>77</v>
      </c>
      <c r="BD4032" s="3" t="s">
        <v>78</v>
      </c>
      <c r="BE4032" s="3" t="s">
        <v>40175</v>
      </c>
      <c r="BF4032" s="3" t="s">
        <v>40174</v>
      </c>
      <c r="BG4032" s="3" t="s">
        <v>40176</v>
      </c>
    </row>
    <row r="4033" spans="1:59" ht="58" x14ac:dyDescent="0.35">
      <c r="A4033" s="2" t="s">
        <v>59</v>
      </c>
      <c r="B4033" s="2" t="s">
        <v>60</v>
      </c>
      <c r="C4033" s="2" t="s">
        <v>40177</v>
      </c>
      <c r="D4033" s="2" t="s">
        <v>40178</v>
      </c>
      <c r="E4033" s="2" t="s">
        <v>40179</v>
      </c>
      <c r="G4033" s="3" t="s">
        <v>65</v>
      </c>
      <c r="I4033" s="3" t="s">
        <v>65</v>
      </c>
      <c r="J4033" s="3" t="s">
        <v>65</v>
      </c>
      <c r="K4033" s="3" t="s">
        <v>66</v>
      </c>
      <c r="L4033" s="2" t="s">
        <v>23017</v>
      </c>
      <c r="M4033" s="2" t="s">
        <v>14743</v>
      </c>
      <c r="N4033" s="3" t="s">
        <v>176</v>
      </c>
      <c r="P4033" s="3" t="s">
        <v>140</v>
      </c>
      <c r="R4033" s="3" t="s">
        <v>71</v>
      </c>
      <c r="S4033" s="4">
        <v>0</v>
      </c>
      <c r="T4033" s="4">
        <v>0</v>
      </c>
      <c r="W4033" s="5" t="s">
        <v>72</v>
      </c>
      <c r="X4033" s="5" t="s">
        <v>72</v>
      </c>
      <c r="Y4033" s="4">
        <v>60</v>
      </c>
      <c r="Z4033" s="4">
        <v>6</v>
      </c>
      <c r="AA4033" s="4">
        <v>6</v>
      </c>
      <c r="AB4033" s="4">
        <v>1</v>
      </c>
      <c r="AC4033" s="4">
        <v>1</v>
      </c>
      <c r="AD4033" s="4">
        <v>37</v>
      </c>
      <c r="AE4033" s="4">
        <v>37</v>
      </c>
      <c r="AF4033" s="4">
        <v>0</v>
      </c>
      <c r="AG4033" s="4">
        <v>0</v>
      </c>
      <c r="AH4033" s="4">
        <v>35</v>
      </c>
      <c r="AI4033" s="4">
        <v>35</v>
      </c>
      <c r="AJ4033" s="4">
        <v>3</v>
      </c>
      <c r="AK4033" s="4">
        <v>3</v>
      </c>
      <c r="AL4033" s="4">
        <v>26</v>
      </c>
      <c r="AM4033" s="4">
        <v>26</v>
      </c>
      <c r="AN4033" s="4">
        <v>0</v>
      </c>
      <c r="AO4033" s="4">
        <v>0</v>
      </c>
      <c r="AP4033" s="4">
        <v>3</v>
      </c>
      <c r="AQ4033" s="4">
        <v>3</v>
      </c>
      <c r="AR4033" s="3" t="s">
        <v>65</v>
      </c>
      <c r="AS4033" s="3" t="s">
        <v>65</v>
      </c>
      <c r="AT4033" s="3" t="s">
        <v>65</v>
      </c>
      <c r="AV4033" s="6" t="str">
        <f>HYPERLINK("http://mcgill.on.worldcat.org/oclc/904251492","Catalog Record")</f>
        <v>Catalog Record</v>
      </c>
      <c r="AW4033" s="6" t="str">
        <f>HYPERLINK("http://www.worldcat.org/oclc/904251492","WorldCat Record")</f>
        <v>WorldCat Record</v>
      </c>
      <c r="AX4033" s="3" t="s">
        <v>40180</v>
      </c>
      <c r="AY4033" s="3" t="s">
        <v>40181</v>
      </c>
      <c r="AZ4033" s="3" t="s">
        <v>40182</v>
      </c>
      <c r="BA4033" s="3" t="s">
        <v>40182</v>
      </c>
      <c r="BB4033" s="3" t="s">
        <v>40183</v>
      </c>
      <c r="BC4033" s="3" t="s">
        <v>77</v>
      </c>
      <c r="BD4033" s="3" t="s">
        <v>78</v>
      </c>
      <c r="BE4033" s="3" t="s">
        <v>40184</v>
      </c>
      <c r="BF4033" s="3" t="s">
        <v>40183</v>
      </c>
      <c r="BG4033" s="3" t="s">
        <v>40185</v>
      </c>
    </row>
    <row r="4034" spans="1:59" ht="58" x14ac:dyDescent="0.35">
      <c r="A4034" s="2" t="s">
        <v>59</v>
      </c>
      <c r="B4034" s="2" t="s">
        <v>60</v>
      </c>
      <c r="C4034" s="2" t="s">
        <v>40186</v>
      </c>
      <c r="D4034" s="2" t="s">
        <v>40187</v>
      </c>
      <c r="E4034" s="2" t="s">
        <v>40188</v>
      </c>
      <c r="G4034" s="3" t="s">
        <v>65</v>
      </c>
      <c r="I4034" s="3" t="s">
        <v>65</v>
      </c>
      <c r="J4034" s="3" t="s">
        <v>65</v>
      </c>
      <c r="K4034" s="3" t="s">
        <v>66</v>
      </c>
      <c r="L4034" s="2" t="s">
        <v>40189</v>
      </c>
      <c r="M4034" s="2" t="s">
        <v>40190</v>
      </c>
      <c r="N4034" s="3" t="s">
        <v>126</v>
      </c>
      <c r="O4034" s="2" t="s">
        <v>654</v>
      </c>
      <c r="P4034" s="3" t="s">
        <v>140</v>
      </c>
      <c r="Q4034" s="2" t="s">
        <v>40191</v>
      </c>
      <c r="R4034" s="3" t="s">
        <v>71</v>
      </c>
      <c r="S4034" s="4">
        <v>0</v>
      </c>
      <c r="T4034" s="4">
        <v>0</v>
      </c>
      <c r="W4034" s="5" t="s">
        <v>72</v>
      </c>
      <c r="X4034" s="5" t="s">
        <v>72</v>
      </c>
      <c r="Y4034" s="4">
        <v>50</v>
      </c>
      <c r="Z4034" s="4">
        <v>5</v>
      </c>
      <c r="AA4034" s="4">
        <v>5</v>
      </c>
      <c r="AB4034" s="4">
        <v>1</v>
      </c>
      <c r="AC4034" s="4">
        <v>1</v>
      </c>
      <c r="AD4034" s="4">
        <v>35</v>
      </c>
      <c r="AE4034" s="4">
        <v>35</v>
      </c>
      <c r="AF4034" s="4">
        <v>0</v>
      </c>
      <c r="AG4034" s="4">
        <v>0</v>
      </c>
      <c r="AH4034" s="4">
        <v>34</v>
      </c>
      <c r="AI4034" s="4">
        <v>34</v>
      </c>
      <c r="AJ4034" s="4">
        <v>3</v>
      </c>
      <c r="AK4034" s="4">
        <v>3</v>
      </c>
      <c r="AL4034" s="4">
        <v>25</v>
      </c>
      <c r="AM4034" s="4">
        <v>25</v>
      </c>
      <c r="AN4034" s="4">
        <v>0</v>
      </c>
      <c r="AO4034" s="4">
        <v>0</v>
      </c>
      <c r="AP4034" s="4">
        <v>3</v>
      </c>
      <c r="AQ4034" s="4">
        <v>3</v>
      </c>
      <c r="AR4034" s="3" t="s">
        <v>65</v>
      </c>
      <c r="AS4034" s="3" t="s">
        <v>65</v>
      </c>
      <c r="AT4034" s="3" t="s">
        <v>65</v>
      </c>
      <c r="AV4034" s="6" t="str">
        <f>HYPERLINK("http://mcgill.on.worldcat.org/oclc/768810362","Catalog Record")</f>
        <v>Catalog Record</v>
      </c>
      <c r="AW4034" s="6" t="str">
        <f>HYPERLINK("http://www.worldcat.org/oclc/768810362","WorldCat Record")</f>
        <v>WorldCat Record</v>
      </c>
      <c r="AX4034" s="3" t="s">
        <v>40192</v>
      </c>
      <c r="AY4034" s="3" t="s">
        <v>40193</v>
      </c>
      <c r="AZ4034" s="3" t="s">
        <v>40194</v>
      </c>
      <c r="BA4034" s="3" t="s">
        <v>40194</v>
      </c>
      <c r="BB4034" s="3" t="s">
        <v>40195</v>
      </c>
      <c r="BC4034" s="3" t="s">
        <v>77</v>
      </c>
      <c r="BD4034" s="3" t="s">
        <v>78</v>
      </c>
      <c r="BE4034" s="3" t="s">
        <v>40196</v>
      </c>
      <c r="BF4034" s="3" t="s">
        <v>40195</v>
      </c>
      <c r="BG4034" s="3" t="s">
        <v>40197</v>
      </c>
    </row>
    <row r="4035" spans="1:59" ht="72.5" x14ac:dyDescent="0.35">
      <c r="A4035" s="2" t="s">
        <v>59</v>
      </c>
      <c r="B4035" s="2" t="s">
        <v>60</v>
      </c>
      <c r="C4035" s="2" t="s">
        <v>40198</v>
      </c>
      <c r="D4035" s="2" t="s">
        <v>40199</v>
      </c>
      <c r="E4035" s="2" t="s">
        <v>40200</v>
      </c>
      <c r="G4035" s="3" t="s">
        <v>65</v>
      </c>
      <c r="I4035" s="3" t="s">
        <v>65</v>
      </c>
      <c r="J4035" s="3" t="s">
        <v>65</v>
      </c>
      <c r="K4035" s="3" t="s">
        <v>66</v>
      </c>
      <c r="L4035" s="2" t="s">
        <v>40189</v>
      </c>
      <c r="M4035" s="2" t="s">
        <v>40201</v>
      </c>
      <c r="N4035" s="3" t="s">
        <v>152</v>
      </c>
      <c r="O4035" s="2" t="s">
        <v>235</v>
      </c>
      <c r="P4035" s="3" t="s">
        <v>140</v>
      </c>
      <c r="Q4035" s="2" t="s">
        <v>34916</v>
      </c>
      <c r="R4035" s="3" t="s">
        <v>71</v>
      </c>
      <c r="S4035" s="4">
        <v>0</v>
      </c>
      <c r="T4035" s="4">
        <v>0</v>
      </c>
      <c r="W4035" s="5" t="s">
        <v>72</v>
      </c>
      <c r="X4035" s="5" t="s">
        <v>72</v>
      </c>
      <c r="Y4035" s="4">
        <v>56</v>
      </c>
      <c r="Z4035" s="4">
        <v>9</v>
      </c>
      <c r="AA4035" s="4">
        <v>10</v>
      </c>
      <c r="AB4035" s="4">
        <v>1</v>
      </c>
      <c r="AC4035" s="4">
        <v>2</v>
      </c>
      <c r="AD4035" s="4">
        <v>38</v>
      </c>
      <c r="AE4035" s="4">
        <v>38</v>
      </c>
      <c r="AF4035" s="4">
        <v>0</v>
      </c>
      <c r="AG4035" s="4">
        <v>0</v>
      </c>
      <c r="AH4035" s="4">
        <v>36</v>
      </c>
      <c r="AI4035" s="4">
        <v>36</v>
      </c>
      <c r="AJ4035" s="4">
        <v>5</v>
      </c>
      <c r="AK4035" s="4">
        <v>5</v>
      </c>
      <c r="AL4035" s="4">
        <v>25</v>
      </c>
      <c r="AM4035" s="4">
        <v>25</v>
      </c>
      <c r="AN4035" s="4">
        <v>0</v>
      </c>
      <c r="AO4035" s="4">
        <v>0</v>
      </c>
      <c r="AP4035" s="4">
        <v>5</v>
      </c>
      <c r="AQ4035" s="4">
        <v>5</v>
      </c>
      <c r="AR4035" s="3" t="s">
        <v>65</v>
      </c>
      <c r="AS4035" s="3" t="s">
        <v>65</v>
      </c>
      <c r="AT4035" s="3" t="s">
        <v>65</v>
      </c>
      <c r="AV4035" s="6" t="str">
        <f>HYPERLINK("http://mcgill.on.worldcat.org/oclc/820120969","Catalog Record")</f>
        <v>Catalog Record</v>
      </c>
      <c r="AW4035" s="6" t="str">
        <f>HYPERLINK("http://www.worldcat.org/oclc/820120969","WorldCat Record")</f>
        <v>WorldCat Record</v>
      </c>
      <c r="AX4035" s="3" t="s">
        <v>40202</v>
      </c>
      <c r="AY4035" s="3" t="s">
        <v>40203</v>
      </c>
      <c r="AZ4035" s="3" t="s">
        <v>40204</v>
      </c>
      <c r="BA4035" s="3" t="s">
        <v>40204</v>
      </c>
      <c r="BB4035" s="3" t="s">
        <v>40205</v>
      </c>
      <c r="BC4035" s="3" t="s">
        <v>77</v>
      </c>
      <c r="BD4035" s="3" t="s">
        <v>78</v>
      </c>
      <c r="BE4035" s="3" t="s">
        <v>40206</v>
      </c>
      <c r="BF4035" s="3" t="s">
        <v>40205</v>
      </c>
      <c r="BG4035" s="3" t="s">
        <v>40207</v>
      </c>
    </row>
    <row r="4036" spans="1:59" ht="58" x14ac:dyDescent="0.35">
      <c r="A4036" s="2" t="s">
        <v>59</v>
      </c>
      <c r="B4036" s="2" t="s">
        <v>60</v>
      </c>
      <c r="C4036" s="2" t="s">
        <v>40208</v>
      </c>
      <c r="D4036" s="2" t="s">
        <v>40209</v>
      </c>
      <c r="E4036" s="2" t="s">
        <v>40210</v>
      </c>
      <c r="G4036" s="3" t="s">
        <v>65</v>
      </c>
      <c r="I4036" s="3" t="s">
        <v>65</v>
      </c>
      <c r="J4036" s="3" t="s">
        <v>65</v>
      </c>
      <c r="K4036" s="3" t="s">
        <v>66</v>
      </c>
      <c r="L4036" s="2" t="s">
        <v>40189</v>
      </c>
      <c r="M4036" s="2" t="s">
        <v>40211</v>
      </c>
      <c r="N4036" s="3" t="s">
        <v>126</v>
      </c>
      <c r="O4036" s="2" t="s">
        <v>365</v>
      </c>
      <c r="P4036" s="3" t="s">
        <v>140</v>
      </c>
      <c r="R4036" s="3" t="s">
        <v>71</v>
      </c>
      <c r="S4036" s="4">
        <v>1</v>
      </c>
      <c r="T4036" s="4">
        <v>1</v>
      </c>
      <c r="U4036" s="5" t="s">
        <v>36601</v>
      </c>
      <c r="V4036" s="5" t="s">
        <v>36601</v>
      </c>
      <c r="W4036" s="5" t="s">
        <v>72</v>
      </c>
      <c r="X4036" s="5" t="s">
        <v>72</v>
      </c>
      <c r="Y4036" s="4">
        <v>57</v>
      </c>
      <c r="Z4036" s="4">
        <v>6</v>
      </c>
      <c r="AA4036" s="4">
        <v>9</v>
      </c>
      <c r="AB4036" s="4">
        <v>1</v>
      </c>
      <c r="AC4036" s="4">
        <v>2</v>
      </c>
      <c r="AD4036" s="4">
        <v>38</v>
      </c>
      <c r="AE4036" s="4">
        <v>38</v>
      </c>
      <c r="AF4036" s="4">
        <v>0</v>
      </c>
      <c r="AG4036" s="4">
        <v>0</v>
      </c>
      <c r="AH4036" s="4">
        <v>37</v>
      </c>
      <c r="AI4036" s="4">
        <v>37</v>
      </c>
      <c r="AJ4036" s="4">
        <v>3</v>
      </c>
      <c r="AK4036" s="4">
        <v>3</v>
      </c>
      <c r="AL4036" s="4">
        <v>29</v>
      </c>
      <c r="AM4036" s="4">
        <v>29</v>
      </c>
      <c r="AN4036" s="4">
        <v>0</v>
      </c>
      <c r="AO4036" s="4">
        <v>0</v>
      </c>
      <c r="AP4036" s="4">
        <v>3</v>
      </c>
      <c r="AQ4036" s="4">
        <v>3</v>
      </c>
      <c r="AR4036" s="3" t="s">
        <v>65</v>
      </c>
      <c r="AS4036" s="3" t="s">
        <v>65</v>
      </c>
      <c r="AT4036" s="3" t="s">
        <v>65</v>
      </c>
      <c r="AV4036" s="6" t="str">
        <f>HYPERLINK("http://mcgill.on.worldcat.org/oclc/748001158","Catalog Record")</f>
        <v>Catalog Record</v>
      </c>
      <c r="AW4036" s="6" t="str">
        <f>HYPERLINK("http://www.worldcat.org/oclc/748001158","WorldCat Record")</f>
        <v>WorldCat Record</v>
      </c>
      <c r="AX4036" s="3" t="s">
        <v>40212</v>
      </c>
      <c r="AY4036" s="3" t="s">
        <v>40213</v>
      </c>
      <c r="AZ4036" s="3" t="s">
        <v>40214</v>
      </c>
      <c r="BA4036" s="3" t="s">
        <v>40214</v>
      </c>
      <c r="BB4036" s="3" t="s">
        <v>40215</v>
      </c>
      <c r="BC4036" s="3" t="s">
        <v>77</v>
      </c>
      <c r="BD4036" s="3" t="s">
        <v>78</v>
      </c>
      <c r="BE4036" s="3" t="s">
        <v>40216</v>
      </c>
      <c r="BF4036" s="3" t="s">
        <v>40215</v>
      </c>
      <c r="BG4036" s="3" t="s">
        <v>40217</v>
      </c>
    </row>
    <row r="4037" spans="1:59" ht="58" x14ac:dyDescent="0.35">
      <c r="A4037" s="2" t="s">
        <v>59</v>
      </c>
      <c r="B4037" s="2" t="s">
        <v>60</v>
      </c>
      <c r="C4037" s="2" t="s">
        <v>40218</v>
      </c>
      <c r="D4037" s="2" t="s">
        <v>40219</v>
      </c>
      <c r="E4037" s="2" t="s">
        <v>40220</v>
      </c>
      <c r="F4037" s="3" t="s">
        <v>258</v>
      </c>
      <c r="G4037" s="3" t="s">
        <v>209</v>
      </c>
      <c r="I4037" s="3" t="s">
        <v>65</v>
      </c>
      <c r="J4037" s="3" t="s">
        <v>65</v>
      </c>
      <c r="K4037" s="3" t="s">
        <v>66</v>
      </c>
      <c r="L4037" s="2" t="s">
        <v>40221</v>
      </c>
      <c r="M4037" s="2" t="s">
        <v>40222</v>
      </c>
      <c r="N4037" s="3" t="s">
        <v>1085</v>
      </c>
      <c r="O4037" s="2" t="s">
        <v>365</v>
      </c>
      <c r="P4037" s="3" t="s">
        <v>140</v>
      </c>
      <c r="Q4037" s="2" t="s">
        <v>29691</v>
      </c>
      <c r="R4037" s="3" t="s">
        <v>71</v>
      </c>
      <c r="S4037" s="4">
        <v>1</v>
      </c>
      <c r="T4037" s="4">
        <v>1</v>
      </c>
      <c r="U4037" s="5" t="s">
        <v>40223</v>
      </c>
      <c r="V4037" s="5" t="s">
        <v>40223</v>
      </c>
      <c r="W4037" s="5" t="s">
        <v>72</v>
      </c>
      <c r="X4037" s="5" t="s">
        <v>72</v>
      </c>
      <c r="Y4037" s="4">
        <v>74</v>
      </c>
      <c r="Z4037" s="4">
        <v>7</v>
      </c>
      <c r="AA4037" s="4">
        <v>7</v>
      </c>
      <c r="AB4037" s="4">
        <v>1</v>
      </c>
      <c r="AC4037" s="4">
        <v>1</v>
      </c>
      <c r="AD4037" s="4">
        <v>46</v>
      </c>
      <c r="AE4037" s="4">
        <v>46</v>
      </c>
      <c r="AF4037" s="4">
        <v>0</v>
      </c>
      <c r="AG4037" s="4">
        <v>0</v>
      </c>
      <c r="AH4037" s="4">
        <v>45</v>
      </c>
      <c r="AI4037" s="4">
        <v>45</v>
      </c>
      <c r="AJ4037" s="4">
        <v>4</v>
      </c>
      <c r="AK4037" s="4">
        <v>4</v>
      </c>
      <c r="AL4037" s="4">
        <v>33</v>
      </c>
      <c r="AM4037" s="4">
        <v>33</v>
      </c>
      <c r="AN4037" s="4">
        <v>0</v>
      </c>
      <c r="AO4037" s="4">
        <v>0</v>
      </c>
      <c r="AP4037" s="4">
        <v>4</v>
      </c>
      <c r="AQ4037" s="4">
        <v>4</v>
      </c>
      <c r="AR4037" s="3" t="s">
        <v>65</v>
      </c>
      <c r="AS4037" s="3" t="s">
        <v>65</v>
      </c>
      <c r="AT4037" s="3" t="s">
        <v>209</v>
      </c>
      <c r="AU4037" s="6" t="str">
        <f>HYPERLINK("http://catalog.hathitrust.org/Record/003165789","HathiTrust Record")</f>
        <v>HathiTrust Record</v>
      </c>
      <c r="AV4037" s="6" t="str">
        <f>HYPERLINK("http://mcgill.on.worldcat.org/oclc/36649586","Catalog Record")</f>
        <v>Catalog Record</v>
      </c>
      <c r="AW4037" s="6" t="str">
        <f>HYPERLINK("http://www.worldcat.org/oclc/36649586","WorldCat Record")</f>
        <v>WorldCat Record</v>
      </c>
      <c r="AX4037" s="3" t="s">
        <v>40224</v>
      </c>
      <c r="AY4037" s="3" t="s">
        <v>40225</v>
      </c>
      <c r="AZ4037" s="3" t="s">
        <v>40226</v>
      </c>
      <c r="BA4037" s="3" t="s">
        <v>40226</v>
      </c>
      <c r="BB4037" s="3" t="s">
        <v>40227</v>
      </c>
      <c r="BC4037" s="3" t="s">
        <v>77</v>
      </c>
      <c r="BD4037" s="3" t="s">
        <v>78</v>
      </c>
      <c r="BE4037" s="3" t="s">
        <v>40228</v>
      </c>
      <c r="BF4037" s="3" t="s">
        <v>40227</v>
      </c>
      <c r="BG4037" s="3" t="s">
        <v>40229</v>
      </c>
    </row>
    <row r="4038" spans="1:59" ht="58" x14ac:dyDescent="0.35">
      <c r="A4038" s="2" t="s">
        <v>59</v>
      </c>
      <c r="B4038" s="2" t="s">
        <v>60</v>
      </c>
      <c r="C4038" s="2" t="s">
        <v>40218</v>
      </c>
      <c r="D4038" s="2" t="s">
        <v>40219</v>
      </c>
      <c r="E4038" s="2" t="s">
        <v>40220</v>
      </c>
      <c r="F4038" s="3" t="s">
        <v>245</v>
      </c>
      <c r="G4038" s="3" t="s">
        <v>209</v>
      </c>
      <c r="I4038" s="3" t="s">
        <v>65</v>
      </c>
      <c r="J4038" s="3" t="s">
        <v>65</v>
      </c>
      <c r="K4038" s="3" t="s">
        <v>66</v>
      </c>
      <c r="L4038" s="2" t="s">
        <v>40221</v>
      </c>
      <c r="M4038" s="2" t="s">
        <v>40222</v>
      </c>
      <c r="N4038" s="3" t="s">
        <v>1085</v>
      </c>
      <c r="O4038" s="2" t="s">
        <v>365</v>
      </c>
      <c r="P4038" s="3" t="s">
        <v>140</v>
      </c>
      <c r="Q4038" s="2" t="s">
        <v>29691</v>
      </c>
      <c r="R4038" s="3" t="s">
        <v>71</v>
      </c>
      <c r="S4038" s="4">
        <v>0</v>
      </c>
      <c r="T4038" s="4">
        <v>1</v>
      </c>
      <c r="V4038" s="5" t="s">
        <v>40223</v>
      </c>
      <c r="W4038" s="5" t="s">
        <v>72</v>
      </c>
      <c r="X4038" s="5" t="s">
        <v>72</v>
      </c>
      <c r="Y4038" s="4">
        <v>74</v>
      </c>
      <c r="Z4038" s="4">
        <v>7</v>
      </c>
      <c r="AA4038" s="4">
        <v>7</v>
      </c>
      <c r="AB4038" s="4">
        <v>1</v>
      </c>
      <c r="AC4038" s="4">
        <v>1</v>
      </c>
      <c r="AD4038" s="4">
        <v>46</v>
      </c>
      <c r="AE4038" s="4">
        <v>46</v>
      </c>
      <c r="AF4038" s="4">
        <v>0</v>
      </c>
      <c r="AG4038" s="4">
        <v>0</v>
      </c>
      <c r="AH4038" s="4">
        <v>45</v>
      </c>
      <c r="AI4038" s="4">
        <v>45</v>
      </c>
      <c r="AJ4038" s="4">
        <v>4</v>
      </c>
      <c r="AK4038" s="4">
        <v>4</v>
      </c>
      <c r="AL4038" s="4">
        <v>33</v>
      </c>
      <c r="AM4038" s="4">
        <v>33</v>
      </c>
      <c r="AN4038" s="4">
        <v>0</v>
      </c>
      <c r="AO4038" s="4">
        <v>0</v>
      </c>
      <c r="AP4038" s="4">
        <v>4</v>
      </c>
      <c r="AQ4038" s="4">
        <v>4</v>
      </c>
      <c r="AR4038" s="3" t="s">
        <v>65</v>
      </c>
      <c r="AS4038" s="3" t="s">
        <v>65</v>
      </c>
      <c r="AT4038" s="3" t="s">
        <v>209</v>
      </c>
      <c r="AU4038" s="6" t="str">
        <f>HYPERLINK("http://catalog.hathitrust.org/Record/003165789","HathiTrust Record")</f>
        <v>HathiTrust Record</v>
      </c>
      <c r="AV4038" s="6" t="str">
        <f>HYPERLINK("http://mcgill.on.worldcat.org/oclc/36649586","Catalog Record")</f>
        <v>Catalog Record</v>
      </c>
      <c r="AW4038" s="6" t="str">
        <f>HYPERLINK("http://www.worldcat.org/oclc/36649586","WorldCat Record")</f>
        <v>WorldCat Record</v>
      </c>
      <c r="AX4038" s="3" t="s">
        <v>40224</v>
      </c>
      <c r="AY4038" s="3" t="s">
        <v>40225</v>
      </c>
      <c r="AZ4038" s="3" t="s">
        <v>40226</v>
      </c>
      <c r="BA4038" s="3" t="s">
        <v>40226</v>
      </c>
      <c r="BB4038" s="3" t="s">
        <v>40230</v>
      </c>
      <c r="BC4038" s="3" t="s">
        <v>77</v>
      </c>
      <c r="BD4038" s="3" t="s">
        <v>78</v>
      </c>
      <c r="BE4038" s="3" t="s">
        <v>40228</v>
      </c>
      <c r="BF4038" s="3" t="s">
        <v>40230</v>
      </c>
      <c r="BG4038" s="3" t="s">
        <v>40231</v>
      </c>
    </row>
    <row r="4039" spans="1:59" ht="58" x14ac:dyDescent="0.35">
      <c r="A4039" s="2" t="s">
        <v>59</v>
      </c>
      <c r="B4039" s="2" t="s">
        <v>60</v>
      </c>
      <c r="C4039" s="2" t="s">
        <v>40218</v>
      </c>
      <c r="D4039" s="2" t="s">
        <v>40219</v>
      </c>
      <c r="E4039" s="2" t="s">
        <v>40220</v>
      </c>
      <c r="F4039" s="3" t="s">
        <v>255</v>
      </c>
      <c r="G4039" s="3" t="s">
        <v>209</v>
      </c>
      <c r="I4039" s="3" t="s">
        <v>65</v>
      </c>
      <c r="J4039" s="3" t="s">
        <v>65</v>
      </c>
      <c r="K4039" s="3" t="s">
        <v>66</v>
      </c>
      <c r="L4039" s="2" t="s">
        <v>40221</v>
      </c>
      <c r="M4039" s="2" t="s">
        <v>40222</v>
      </c>
      <c r="N4039" s="3" t="s">
        <v>1085</v>
      </c>
      <c r="O4039" s="2" t="s">
        <v>365</v>
      </c>
      <c r="P4039" s="3" t="s">
        <v>140</v>
      </c>
      <c r="Q4039" s="2" t="s">
        <v>29691</v>
      </c>
      <c r="R4039" s="3" t="s">
        <v>71</v>
      </c>
      <c r="S4039" s="4">
        <v>0</v>
      </c>
      <c r="T4039" s="4">
        <v>1</v>
      </c>
      <c r="V4039" s="5" t="s">
        <v>40223</v>
      </c>
      <c r="W4039" s="5" t="s">
        <v>72</v>
      </c>
      <c r="X4039" s="5" t="s">
        <v>72</v>
      </c>
      <c r="Y4039" s="4">
        <v>74</v>
      </c>
      <c r="Z4039" s="4">
        <v>7</v>
      </c>
      <c r="AA4039" s="4">
        <v>7</v>
      </c>
      <c r="AB4039" s="4">
        <v>1</v>
      </c>
      <c r="AC4039" s="4">
        <v>1</v>
      </c>
      <c r="AD4039" s="4">
        <v>46</v>
      </c>
      <c r="AE4039" s="4">
        <v>46</v>
      </c>
      <c r="AF4039" s="4">
        <v>0</v>
      </c>
      <c r="AG4039" s="4">
        <v>0</v>
      </c>
      <c r="AH4039" s="4">
        <v>45</v>
      </c>
      <c r="AI4039" s="4">
        <v>45</v>
      </c>
      <c r="AJ4039" s="4">
        <v>4</v>
      </c>
      <c r="AK4039" s="4">
        <v>4</v>
      </c>
      <c r="AL4039" s="4">
        <v>33</v>
      </c>
      <c r="AM4039" s="4">
        <v>33</v>
      </c>
      <c r="AN4039" s="4">
        <v>0</v>
      </c>
      <c r="AO4039" s="4">
        <v>0</v>
      </c>
      <c r="AP4039" s="4">
        <v>4</v>
      </c>
      <c r="AQ4039" s="4">
        <v>4</v>
      </c>
      <c r="AR4039" s="3" t="s">
        <v>65</v>
      </c>
      <c r="AS4039" s="3" t="s">
        <v>65</v>
      </c>
      <c r="AT4039" s="3" t="s">
        <v>209</v>
      </c>
      <c r="AU4039" s="6" t="str">
        <f>HYPERLINK("http://catalog.hathitrust.org/Record/003165789","HathiTrust Record")</f>
        <v>HathiTrust Record</v>
      </c>
      <c r="AV4039" s="6" t="str">
        <f>HYPERLINK("http://mcgill.on.worldcat.org/oclc/36649586","Catalog Record")</f>
        <v>Catalog Record</v>
      </c>
      <c r="AW4039" s="6" t="str">
        <f>HYPERLINK("http://www.worldcat.org/oclc/36649586","WorldCat Record")</f>
        <v>WorldCat Record</v>
      </c>
      <c r="AX4039" s="3" t="s">
        <v>40224</v>
      </c>
      <c r="AY4039" s="3" t="s">
        <v>40225</v>
      </c>
      <c r="AZ4039" s="3" t="s">
        <v>40226</v>
      </c>
      <c r="BA4039" s="3" t="s">
        <v>40226</v>
      </c>
      <c r="BB4039" s="3" t="s">
        <v>40232</v>
      </c>
      <c r="BC4039" s="3" t="s">
        <v>77</v>
      </c>
      <c r="BD4039" s="3" t="s">
        <v>78</v>
      </c>
      <c r="BE4039" s="3" t="s">
        <v>40228</v>
      </c>
      <c r="BF4039" s="3" t="s">
        <v>40232</v>
      </c>
      <c r="BG4039" s="3" t="s">
        <v>40233</v>
      </c>
    </row>
    <row r="4040" spans="1:59" ht="72.5" x14ac:dyDescent="0.35">
      <c r="A4040" s="2" t="s">
        <v>59</v>
      </c>
      <c r="B4040" s="2" t="s">
        <v>60</v>
      </c>
      <c r="C4040" s="2" t="s">
        <v>40234</v>
      </c>
      <c r="D4040" s="2" t="s">
        <v>40235</v>
      </c>
      <c r="E4040" s="2" t="s">
        <v>40236</v>
      </c>
      <c r="G4040" s="3" t="s">
        <v>65</v>
      </c>
      <c r="I4040" s="3" t="s">
        <v>65</v>
      </c>
      <c r="J4040" s="3" t="s">
        <v>65</v>
      </c>
      <c r="K4040" s="3" t="s">
        <v>66</v>
      </c>
      <c r="L4040" s="2" t="s">
        <v>40221</v>
      </c>
      <c r="M4040" s="2" t="s">
        <v>40237</v>
      </c>
      <c r="N4040" s="3" t="s">
        <v>139</v>
      </c>
      <c r="O4040" s="2" t="s">
        <v>40238</v>
      </c>
      <c r="P4040" s="3" t="s">
        <v>140</v>
      </c>
      <c r="Q4040" s="2" t="s">
        <v>40239</v>
      </c>
      <c r="R4040" s="3" t="s">
        <v>71</v>
      </c>
      <c r="S4040" s="4">
        <v>0</v>
      </c>
      <c r="T4040" s="4">
        <v>0</v>
      </c>
      <c r="W4040" s="5" t="s">
        <v>72</v>
      </c>
      <c r="X4040" s="5" t="s">
        <v>72</v>
      </c>
      <c r="Y4040" s="4">
        <v>39</v>
      </c>
      <c r="Z4040" s="4">
        <v>4</v>
      </c>
      <c r="AA4040" s="4">
        <v>4</v>
      </c>
      <c r="AB4040" s="4">
        <v>1</v>
      </c>
      <c r="AC4040" s="4">
        <v>1</v>
      </c>
      <c r="AD4040" s="4">
        <v>28</v>
      </c>
      <c r="AE4040" s="4">
        <v>28</v>
      </c>
      <c r="AF4040" s="4">
        <v>0</v>
      </c>
      <c r="AG4040" s="4">
        <v>0</v>
      </c>
      <c r="AH4040" s="4">
        <v>27</v>
      </c>
      <c r="AI4040" s="4">
        <v>27</v>
      </c>
      <c r="AJ4040" s="4">
        <v>2</v>
      </c>
      <c r="AK4040" s="4">
        <v>2</v>
      </c>
      <c r="AL4040" s="4">
        <v>22</v>
      </c>
      <c r="AM4040" s="4">
        <v>22</v>
      </c>
      <c r="AN4040" s="4">
        <v>0</v>
      </c>
      <c r="AO4040" s="4">
        <v>0</v>
      </c>
      <c r="AP4040" s="4">
        <v>2</v>
      </c>
      <c r="AQ4040" s="4">
        <v>2</v>
      </c>
      <c r="AR4040" s="3" t="s">
        <v>65</v>
      </c>
      <c r="AS4040" s="3" t="s">
        <v>65</v>
      </c>
      <c r="AT4040" s="3" t="s">
        <v>65</v>
      </c>
      <c r="AV4040" s="6" t="str">
        <f>HYPERLINK("http://mcgill.on.worldcat.org/oclc/785336004","Catalog Record")</f>
        <v>Catalog Record</v>
      </c>
      <c r="AW4040" s="6" t="str">
        <f>HYPERLINK("http://www.worldcat.org/oclc/785336004","WorldCat Record")</f>
        <v>WorldCat Record</v>
      </c>
      <c r="AX4040" s="3" t="s">
        <v>40240</v>
      </c>
      <c r="AY4040" s="3" t="s">
        <v>40241</v>
      </c>
      <c r="AZ4040" s="3" t="s">
        <v>40242</v>
      </c>
      <c r="BA4040" s="3" t="s">
        <v>40242</v>
      </c>
      <c r="BB4040" s="3" t="s">
        <v>40243</v>
      </c>
      <c r="BC4040" s="3" t="s">
        <v>77</v>
      </c>
      <c r="BD4040" s="3" t="s">
        <v>78</v>
      </c>
      <c r="BE4040" s="3" t="s">
        <v>40244</v>
      </c>
      <c r="BF4040" s="3" t="s">
        <v>40243</v>
      </c>
      <c r="BG4040" s="3" t="s">
        <v>40245</v>
      </c>
    </row>
    <row r="4041" spans="1:59" ht="58" x14ac:dyDescent="0.35">
      <c r="A4041" s="2" t="s">
        <v>59</v>
      </c>
      <c r="B4041" s="2" t="s">
        <v>60</v>
      </c>
      <c r="C4041" s="2" t="s">
        <v>40246</v>
      </c>
      <c r="D4041" s="2" t="s">
        <v>40247</v>
      </c>
      <c r="E4041" s="2" t="s">
        <v>40248</v>
      </c>
      <c r="G4041" s="3" t="s">
        <v>65</v>
      </c>
      <c r="I4041" s="3" t="s">
        <v>65</v>
      </c>
      <c r="J4041" s="3" t="s">
        <v>65</v>
      </c>
      <c r="K4041" s="3" t="s">
        <v>66</v>
      </c>
      <c r="L4041" s="2" t="s">
        <v>40221</v>
      </c>
      <c r="M4041" s="2" t="s">
        <v>40249</v>
      </c>
      <c r="N4041" s="3" t="s">
        <v>2210</v>
      </c>
      <c r="P4041" s="3" t="s">
        <v>140</v>
      </c>
      <c r="Q4041" s="2" t="s">
        <v>40250</v>
      </c>
      <c r="R4041" s="3" t="s">
        <v>71</v>
      </c>
      <c r="S4041" s="4">
        <v>1</v>
      </c>
      <c r="T4041" s="4">
        <v>1</v>
      </c>
      <c r="U4041" s="5" t="s">
        <v>30978</v>
      </c>
      <c r="V4041" s="5" t="s">
        <v>30978</v>
      </c>
      <c r="W4041" s="5" t="s">
        <v>72</v>
      </c>
      <c r="X4041" s="5" t="s">
        <v>72</v>
      </c>
      <c r="Y4041" s="4">
        <v>45</v>
      </c>
      <c r="Z4041" s="4">
        <v>4</v>
      </c>
      <c r="AA4041" s="4">
        <v>4</v>
      </c>
      <c r="AB4041" s="4">
        <v>1</v>
      </c>
      <c r="AC4041" s="4">
        <v>1</v>
      </c>
      <c r="AD4041" s="4">
        <v>35</v>
      </c>
      <c r="AE4041" s="4">
        <v>35</v>
      </c>
      <c r="AF4041" s="4">
        <v>0</v>
      </c>
      <c r="AG4041" s="4">
        <v>0</v>
      </c>
      <c r="AH4041" s="4">
        <v>34</v>
      </c>
      <c r="AI4041" s="4">
        <v>34</v>
      </c>
      <c r="AJ4041" s="4">
        <v>2</v>
      </c>
      <c r="AK4041" s="4">
        <v>2</v>
      </c>
      <c r="AL4041" s="4">
        <v>26</v>
      </c>
      <c r="AM4041" s="4">
        <v>26</v>
      </c>
      <c r="AN4041" s="4">
        <v>0</v>
      </c>
      <c r="AO4041" s="4">
        <v>0</v>
      </c>
      <c r="AP4041" s="4">
        <v>2</v>
      </c>
      <c r="AQ4041" s="4">
        <v>2</v>
      </c>
      <c r="AR4041" s="3" t="s">
        <v>65</v>
      </c>
      <c r="AS4041" s="3" t="s">
        <v>65</v>
      </c>
      <c r="AT4041" s="3" t="s">
        <v>209</v>
      </c>
      <c r="AU4041" s="6" t="str">
        <f>HYPERLINK("http://catalog.hathitrust.org/Record/004303316","HathiTrust Record")</f>
        <v>HathiTrust Record</v>
      </c>
      <c r="AV4041" s="6" t="str">
        <f>HYPERLINK("http://mcgill.on.worldcat.org/oclc/53378227","Catalog Record")</f>
        <v>Catalog Record</v>
      </c>
      <c r="AW4041" s="6" t="str">
        <f>HYPERLINK("http://www.worldcat.org/oclc/53378227","WorldCat Record")</f>
        <v>WorldCat Record</v>
      </c>
      <c r="AX4041" s="3" t="s">
        <v>40251</v>
      </c>
      <c r="AY4041" s="3" t="s">
        <v>40252</v>
      </c>
      <c r="AZ4041" s="3" t="s">
        <v>40253</v>
      </c>
      <c r="BA4041" s="3" t="s">
        <v>40253</v>
      </c>
      <c r="BB4041" s="3" t="s">
        <v>40254</v>
      </c>
      <c r="BC4041" s="3" t="s">
        <v>77</v>
      </c>
      <c r="BD4041" s="3" t="s">
        <v>78</v>
      </c>
      <c r="BE4041" s="3" t="s">
        <v>40255</v>
      </c>
      <c r="BF4041" s="3" t="s">
        <v>40254</v>
      </c>
      <c r="BG4041" s="3" t="s">
        <v>40256</v>
      </c>
    </row>
    <row r="4042" spans="1:59" ht="58" x14ac:dyDescent="0.35">
      <c r="A4042" s="2" t="s">
        <v>59</v>
      </c>
      <c r="B4042" s="2" t="s">
        <v>60</v>
      </c>
      <c r="C4042" s="2" t="s">
        <v>40257</v>
      </c>
      <c r="D4042" s="2" t="s">
        <v>40258</v>
      </c>
      <c r="E4042" s="2" t="s">
        <v>40259</v>
      </c>
      <c r="G4042" s="3" t="s">
        <v>65</v>
      </c>
      <c r="I4042" s="3" t="s">
        <v>65</v>
      </c>
      <c r="J4042" s="3" t="s">
        <v>65</v>
      </c>
      <c r="K4042" s="3" t="s">
        <v>66</v>
      </c>
      <c r="L4042" s="2" t="s">
        <v>40221</v>
      </c>
      <c r="M4042" s="2" t="s">
        <v>539</v>
      </c>
      <c r="N4042" s="3" t="s">
        <v>152</v>
      </c>
      <c r="P4042" s="3" t="s">
        <v>140</v>
      </c>
      <c r="Q4042" s="2" t="s">
        <v>40260</v>
      </c>
      <c r="R4042" s="3" t="s">
        <v>71</v>
      </c>
      <c r="S4042" s="4">
        <v>1</v>
      </c>
      <c r="T4042" s="4">
        <v>1</v>
      </c>
      <c r="U4042" s="5" t="s">
        <v>2341</v>
      </c>
      <c r="V4042" s="5" t="s">
        <v>2341</v>
      </c>
      <c r="W4042" s="5" t="s">
        <v>72</v>
      </c>
      <c r="X4042" s="5" t="s">
        <v>72</v>
      </c>
      <c r="Y4042" s="4">
        <v>39</v>
      </c>
      <c r="Z4042" s="4">
        <v>2</v>
      </c>
      <c r="AA4042" s="4">
        <v>2</v>
      </c>
      <c r="AB4042" s="4">
        <v>1</v>
      </c>
      <c r="AC4042" s="4">
        <v>1</v>
      </c>
      <c r="AD4042" s="4">
        <v>28</v>
      </c>
      <c r="AE4042" s="4">
        <v>28</v>
      </c>
      <c r="AF4042" s="4">
        <v>0</v>
      </c>
      <c r="AG4042" s="4">
        <v>0</v>
      </c>
      <c r="AH4042" s="4">
        <v>27</v>
      </c>
      <c r="AI4042" s="4">
        <v>27</v>
      </c>
      <c r="AJ4042" s="4">
        <v>1</v>
      </c>
      <c r="AK4042" s="4">
        <v>1</v>
      </c>
      <c r="AL4042" s="4">
        <v>22</v>
      </c>
      <c r="AM4042" s="4">
        <v>22</v>
      </c>
      <c r="AN4042" s="4">
        <v>0</v>
      </c>
      <c r="AO4042" s="4">
        <v>0</v>
      </c>
      <c r="AP4042" s="4">
        <v>1</v>
      </c>
      <c r="AQ4042" s="4">
        <v>1</v>
      </c>
      <c r="AR4042" s="3" t="s">
        <v>65</v>
      </c>
      <c r="AS4042" s="3" t="s">
        <v>65</v>
      </c>
      <c r="AT4042" s="3" t="s">
        <v>65</v>
      </c>
      <c r="AV4042" s="6" t="str">
        <f>HYPERLINK("http://mcgill.on.worldcat.org/oclc/848750970","Catalog Record")</f>
        <v>Catalog Record</v>
      </c>
      <c r="AW4042" s="6" t="str">
        <f>HYPERLINK("http://www.worldcat.org/oclc/848750970","WorldCat Record")</f>
        <v>WorldCat Record</v>
      </c>
      <c r="AX4042" s="3" t="s">
        <v>40261</v>
      </c>
      <c r="AY4042" s="3" t="s">
        <v>40262</v>
      </c>
      <c r="AZ4042" s="3" t="s">
        <v>40263</v>
      </c>
      <c r="BA4042" s="3" t="s">
        <v>40263</v>
      </c>
      <c r="BB4042" s="3" t="s">
        <v>40264</v>
      </c>
      <c r="BC4042" s="3" t="s">
        <v>77</v>
      </c>
      <c r="BD4042" s="3" t="s">
        <v>78</v>
      </c>
      <c r="BE4042" s="3" t="s">
        <v>40265</v>
      </c>
      <c r="BF4042" s="3" t="s">
        <v>40264</v>
      </c>
      <c r="BG4042" s="3" t="s">
        <v>40266</v>
      </c>
    </row>
    <row r="4043" spans="1:59" ht="58" x14ac:dyDescent="0.35">
      <c r="A4043" s="2" t="s">
        <v>59</v>
      </c>
      <c r="B4043" s="2" t="s">
        <v>60</v>
      </c>
      <c r="C4043" s="2" t="s">
        <v>40267</v>
      </c>
      <c r="D4043" s="2" t="s">
        <v>40268</v>
      </c>
      <c r="E4043" s="2" t="s">
        <v>40269</v>
      </c>
      <c r="G4043" s="3" t="s">
        <v>65</v>
      </c>
      <c r="I4043" s="3" t="s">
        <v>65</v>
      </c>
      <c r="J4043" s="3" t="s">
        <v>65</v>
      </c>
      <c r="K4043" s="3" t="s">
        <v>66</v>
      </c>
      <c r="L4043" s="2" t="s">
        <v>40221</v>
      </c>
      <c r="M4043" s="2" t="s">
        <v>40270</v>
      </c>
      <c r="N4043" s="3" t="s">
        <v>311</v>
      </c>
      <c r="O4043" s="2" t="s">
        <v>365</v>
      </c>
      <c r="P4043" s="3" t="s">
        <v>140</v>
      </c>
      <c r="Q4043" s="2" t="s">
        <v>40271</v>
      </c>
      <c r="R4043" s="3" t="s">
        <v>71</v>
      </c>
      <c r="S4043" s="4">
        <v>2</v>
      </c>
      <c r="T4043" s="4">
        <v>2</v>
      </c>
      <c r="U4043" s="5" t="s">
        <v>26040</v>
      </c>
      <c r="V4043" s="5" t="s">
        <v>26040</v>
      </c>
      <c r="W4043" s="5" t="s">
        <v>72</v>
      </c>
      <c r="X4043" s="5" t="s">
        <v>72</v>
      </c>
      <c r="Y4043" s="4">
        <v>22</v>
      </c>
      <c r="Z4043" s="4">
        <v>6</v>
      </c>
      <c r="AA4043" s="4">
        <v>9</v>
      </c>
      <c r="AB4043" s="4">
        <v>1</v>
      </c>
      <c r="AC4043" s="4">
        <v>1</v>
      </c>
      <c r="AD4043" s="4">
        <v>11</v>
      </c>
      <c r="AE4043" s="4">
        <v>29</v>
      </c>
      <c r="AF4043" s="4">
        <v>0</v>
      </c>
      <c r="AG4043" s="4">
        <v>0</v>
      </c>
      <c r="AH4043" s="4">
        <v>11</v>
      </c>
      <c r="AI4043" s="4">
        <v>27</v>
      </c>
      <c r="AJ4043" s="4">
        <v>4</v>
      </c>
      <c r="AK4043" s="4">
        <v>5</v>
      </c>
      <c r="AL4043" s="4">
        <v>5</v>
      </c>
      <c r="AM4043" s="4">
        <v>18</v>
      </c>
      <c r="AN4043" s="4">
        <v>0</v>
      </c>
      <c r="AO4043" s="4">
        <v>0</v>
      </c>
      <c r="AP4043" s="4">
        <v>4</v>
      </c>
      <c r="AQ4043" s="4">
        <v>5</v>
      </c>
      <c r="AR4043" s="3" t="s">
        <v>65</v>
      </c>
      <c r="AS4043" s="3" t="s">
        <v>65</v>
      </c>
      <c r="AT4043" s="3" t="s">
        <v>209</v>
      </c>
      <c r="AU4043" s="6" t="str">
        <f>HYPERLINK("http://catalog.hathitrust.org/Record/006711676","HathiTrust Record")</f>
        <v>HathiTrust Record</v>
      </c>
      <c r="AV4043" s="6" t="str">
        <f>HYPERLINK("http://mcgill.on.worldcat.org/oclc/12140628","Catalog Record")</f>
        <v>Catalog Record</v>
      </c>
      <c r="AW4043" s="6" t="str">
        <f>HYPERLINK("http://www.worldcat.org/oclc/12140628","WorldCat Record")</f>
        <v>WorldCat Record</v>
      </c>
      <c r="AX4043" s="3" t="s">
        <v>40272</v>
      </c>
      <c r="AY4043" s="3" t="s">
        <v>40273</v>
      </c>
      <c r="AZ4043" s="3" t="s">
        <v>40274</v>
      </c>
      <c r="BA4043" s="3" t="s">
        <v>40274</v>
      </c>
      <c r="BB4043" s="3" t="s">
        <v>40275</v>
      </c>
      <c r="BC4043" s="3" t="s">
        <v>77</v>
      </c>
      <c r="BD4043" s="3" t="s">
        <v>78</v>
      </c>
      <c r="BF4043" s="3" t="s">
        <v>40275</v>
      </c>
      <c r="BG4043" s="3" t="s">
        <v>40276</v>
      </c>
    </row>
    <row r="4044" spans="1:59" ht="58" x14ac:dyDescent="0.35">
      <c r="A4044" s="2" t="s">
        <v>59</v>
      </c>
      <c r="B4044" s="2" t="s">
        <v>60</v>
      </c>
      <c r="C4044" s="2" t="s">
        <v>40277</v>
      </c>
      <c r="D4044" s="2" t="s">
        <v>40278</v>
      </c>
      <c r="E4044" s="2" t="s">
        <v>40279</v>
      </c>
      <c r="G4044" s="3" t="s">
        <v>65</v>
      </c>
      <c r="I4044" s="3" t="s">
        <v>65</v>
      </c>
      <c r="J4044" s="3" t="s">
        <v>65</v>
      </c>
      <c r="K4044" s="3" t="s">
        <v>66</v>
      </c>
      <c r="L4044" s="2" t="s">
        <v>40280</v>
      </c>
      <c r="M4044" s="2" t="s">
        <v>40281</v>
      </c>
      <c r="N4044" s="3" t="s">
        <v>1032</v>
      </c>
      <c r="P4044" s="3" t="s">
        <v>140</v>
      </c>
      <c r="Q4044" s="2" t="s">
        <v>40282</v>
      </c>
      <c r="R4044" s="3" t="s">
        <v>71</v>
      </c>
      <c r="S4044" s="4">
        <v>1</v>
      </c>
      <c r="T4044" s="4">
        <v>1</v>
      </c>
      <c r="U4044" s="5" t="s">
        <v>26422</v>
      </c>
      <c r="V4044" s="5" t="s">
        <v>26422</v>
      </c>
      <c r="W4044" s="5" t="s">
        <v>72</v>
      </c>
      <c r="X4044" s="5" t="s">
        <v>72</v>
      </c>
      <c r="Y4044" s="4">
        <v>37</v>
      </c>
      <c r="Z4044" s="4">
        <v>5</v>
      </c>
      <c r="AA4044" s="4">
        <v>5</v>
      </c>
      <c r="AB4044" s="4">
        <v>1</v>
      </c>
      <c r="AC4044" s="4">
        <v>1</v>
      </c>
      <c r="AD4044" s="4">
        <v>22</v>
      </c>
      <c r="AE4044" s="4">
        <v>22</v>
      </c>
      <c r="AF4044" s="4">
        <v>0</v>
      </c>
      <c r="AG4044" s="4">
        <v>0</v>
      </c>
      <c r="AH4044" s="4">
        <v>21</v>
      </c>
      <c r="AI4044" s="4">
        <v>21</v>
      </c>
      <c r="AJ4044" s="4">
        <v>3</v>
      </c>
      <c r="AK4044" s="4">
        <v>3</v>
      </c>
      <c r="AL4044" s="4">
        <v>16</v>
      </c>
      <c r="AM4044" s="4">
        <v>16</v>
      </c>
      <c r="AN4044" s="4">
        <v>0</v>
      </c>
      <c r="AO4044" s="4">
        <v>0</v>
      </c>
      <c r="AP4044" s="4">
        <v>3</v>
      </c>
      <c r="AQ4044" s="4">
        <v>3</v>
      </c>
      <c r="AR4044" s="3" t="s">
        <v>65</v>
      </c>
      <c r="AS4044" s="3" t="s">
        <v>65</v>
      </c>
      <c r="AT4044" s="3" t="s">
        <v>65</v>
      </c>
      <c r="AV4044" s="6" t="str">
        <f>HYPERLINK("http://mcgill.on.worldcat.org/oclc/36047394","Catalog Record")</f>
        <v>Catalog Record</v>
      </c>
      <c r="AW4044" s="6" t="str">
        <f>HYPERLINK("http://www.worldcat.org/oclc/36047394","WorldCat Record")</f>
        <v>WorldCat Record</v>
      </c>
      <c r="AX4044" s="3" t="s">
        <v>40283</v>
      </c>
      <c r="AY4044" s="3" t="s">
        <v>40284</v>
      </c>
      <c r="AZ4044" s="3" t="s">
        <v>40285</v>
      </c>
      <c r="BA4044" s="3" t="s">
        <v>40285</v>
      </c>
      <c r="BB4044" s="3" t="s">
        <v>40286</v>
      </c>
      <c r="BC4044" s="3" t="s">
        <v>77</v>
      </c>
      <c r="BD4044" s="3" t="s">
        <v>78</v>
      </c>
      <c r="BE4044" s="3" t="s">
        <v>40287</v>
      </c>
      <c r="BF4044" s="3" t="s">
        <v>40286</v>
      </c>
      <c r="BG4044" s="3" t="s">
        <v>40288</v>
      </c>
    </row>
    <row r="4045" spans="1:59" ht="58" x14ac:dyDescent="0.35">
      <c r="A4045" s="2" t="s">
        <v>59</v>
      </c>
      <c r="B4045" s="2" t="s">
        <v>60</v>
      </c>
      <c r="C4045" s="2" t="s">
        <v>40289</v>
      </c>
      <c r="D4045" s="2" t="s">
        <v>40290</v>
      </c>
      <c r="E4045" s="2" t="s">
        <v>40291</v>
      </c>
      <c r="G4045" s="3" t="s">
        <v>65</v>
      </c>
      <c r="I4045" s="3" t="s">
        <v>65</v>
      </c>
      <c r="J4045" s="3" t="s">
        <v>65</v>
      </c>
      <c r="K4045" s="3" t="s">
        <v>66</v>
      </c>
      <c r="L4045" s="2" t="s">
        <v>40292</v>
      </c>
      <c r="M4045" s="2" t="s">
        <v>40293</v>
      </c>
      <c r="N4045" s="3" t="s">
        <v>126</v>
      </c>
      <c r="P4045" s="3" t="s">
        <v>140</v>
      </c>
      <c r="Q4045" s="2" t="s">
        <v>40294</v>
      </c>
      <c r="R4045" s="3" t="s">
        <v>71</v>
      </c>
      <c r="S4045" s="4">
        <v>0</v>
      </c>
      <c r="T4045" s="4">
        <v>0</v>
      </c>
      <c r="W4045" s="5" t="s">
        <v>72</v>
      </c>
      <c r="X4045" s="5" t="s">
        <v>72</v>
      </c>
      <c r="Y4045" s="4">
        <v>25</v>
      </c>
      <c r="Z4045" s="4">
        <v>4</v>
      </c>
      <c r="AA4045" s="4">
        <v>4</v>
      </c>
      <c r="AB4045" s="4">
        <v>1</v>
      </c>
      <c r="AC4045" s="4">
        <v>1</v>
      </c>
      <c r="AD4045" s="4">
        <v>18</v>
      </c>
      <c r="AE4045" s="4">
        <v>18</v>
      </c>
      <c r="AF4045" s="4">
        <v>0</v>
      </c>
      <c r="AG4045" s="4">
        <v>0</v>
      </c>
      <c r="AH4045" s="4">
        <v>17</v>
      </c>
      <c r="AI4045" s="4">
        <v>17</v>
      </c>
      <c r="AJ4045" s="4">
        <v>2</v>
      </c>
      <c r="AK4045" s="4">
        <v>2</v>
      </c>
      <c r="AL4045" s="4">
        <v>14</v>
      </c>
      <c r="AM4045" s="4">
        <v>14</v>
      </c>
      <c r="AN4045" s="4">
        <v>0</v>
      </c>
      <c r="AO4045" s="4">
        <v>0</v>
      </c>
      <c r="AP4045" s="4">
        <v>2</v>
      </c>
      <c r="AQ4045" s="4">
        <v>2</v>
      </c>
      <c r="AR4045" s="3" t="s">
        <v>65</v>
      </c>
      <c r="AS4045" s="3" t="s">
        <v>65</v>
      </c>
      <c r="AT4045" s="3" t="s">
        <v>65</v>
      </c>
      <c r="AV4045" s="6" t="str">
        <f>HYPERLINK("http://mcgill.on.worldcat.org/oclc/824351824","Catalog Record")</f>
        <v>Catalog Record</v>
      </c>
      <c r="AW4045" s="6" t="str">
        <f>HYPERLINK("http://www.worldcat.org/oclc/824351824","WorldCat Record")</f>
        <v>WorldCat Record</v>
      </c>
      <c r="AX4045" s="3" t="s">
        <v>40295</v>
      </c>
      <c r="AY4045" s="3" t="s">
        <v>40296</v>
      </c>
      <c r="AZ4045" s="3" t="s">
        <v>40297</v>
      </c>
      <c r="BA4045" s="3" t="s">
        <v>40297</v>
      </c>
      <c r="BB4045" s="3" t="s">
        <v>40298</v>
      </c>
      <c r="BC4045" s="3" t="s">
        <v>77</v>
      </c>
      <c r="BD4045" s="3" t="s">
        <v>78</v>
      </c>
      <c r="BE4045" s="3" t="s">
        <v>40299</v>
      </c>
      <c r="BF4045" s="3" t="s">
        <v>40298</v>
      </c>
      <c r="BG4045" s="3" t="s">
        <v>40300</v>
      </c>
    </row>
    <row r="4046" spans="1:59" ht="58" x14ac:dyDescent="0.35">
      <c r="A4046" s="2" t="s">
        <v>59</v>
      </c>
      <c r="B4046" s="2" t="s">
        <v>60</v>
      </c>
      <c r="C4046" s="2" t="s">
        <v>40301</v>
      </c>
      <c r="D4046" s="2" t="s">
        <v>40302</v>
      </c>
      <c r="E4046" s="2" t="s">
        <v>40303</v>
      </c>
      <c r="G4046" s="3" t="s">
        <v>65</v>
      </c>
      <c r="I4046" s="3" t="s">
        <v>65</v>
      </c>
      <c r="J4046" s="3" t="s">
        <v>65</v>
      </c>
      <c r="K4046" s="3" t="s">
        <v>66</v>
      </c>
      <c r="L4046" s="2" t="s">
        <v>40304</v>
      </c>
      <c r="M4046" s="2" t="s">
        <v>40305</v>
      </c>
      <c r="N4046" s="3" t="s">
        <v>265</v>
      </c>
      <c r="P4046" s="3" t="s">
        <v>140</v>
      </c>
      <c r="Q4046" s="2" t="s">
        <v>40306</v>
      </c>
      <c r="R4046" s="3" t="s">
        <v>71</v>
      </c>
      <c r="S4046" s="4">
        <v>0</v>
      </c>
      <c r="T4046" s="4">
        <v>0</v>
      </c>
      <c r="W4046" s="5" t="s">
        <v>266</v>
      </c>
      <c r="X4046" s="5" t="s">
        <v>266</v>
      </c>
      <c r="Y4046" s="4">
        <v>15</v>
      </c>
      <c r="Z4046" s="4">
        <v>1</v>
      </c>
      <c r="AA4046" s="4">
        <v>1</v>
      </c>
      <c r="AB4046" s="4">
        <v>1</v>
      </c>
      <c r="AC4046" s="4">
        <v>1</v>
      </c>
      <c r="AD4046" s="4">
        <v>11</v>
      </c>
      <c r="AE4046" s="4">
        <v>11</v>
      </c>
      <c r="AF4046" s="4">
        <v>0</v>
      </c>
      <c r="AG4046" s="4">
        <v>0</v>
      </c>
      <c r="AH4046" s="4">
        <v>10</v>
      </c>
      <c r="AI4046" s="4">
        <v>10</v>
      </c>
      <c r="AJ4046" s="4">
        <v>0</v>
      </c>
      <c r="AK4046" s="4">
        <v>0</v>
      </c>
      <c r="AL4046" s="4">
        <v>9</v>
      </c>
      <c r="AM4046" s="4">
        <v>9</v>
      </c>
      <c r="AN4046" s="4">
        <v>0</v>
      </c>
      <c r="AO4046" s="4">
        <v>0</v>
      </c>
      <c r="AP4046" s="4">
        <v>0</v>
      </c>
      <c r="AQ4046" s="4">
        <v>0</v>
      </c>
      <c r="AR4046" s="3" t="s">
        <v>65</v>
      </c>
      <c r="AS4046" s="3" t="s">
        <v>65</v>
      </c>
      <c r="AT4046" s="3" t="s">
        <v>65</v>
      </c>
      <c r="AV4046" s="6" t="str">
        <f>HYPERLINK("http://mcgill.on.worldcat.org/oclc/1128034368","Catalog Record")</f>
        <v>Catalog Record</v>
      </c>
      <c r="AW4046" s="6" t="str">
        <f>HYPERLINK("http://www.worldcat.org/oclc/1128034368","WorldCat Record")</f>
        <v>WorldCat Record</v>
      </c>
      <c r="AX4046" s="3" t="s">
        <v>40307</v>
      </c>
      <c r="AY4046" s="3" t="s">
        <v>40308</v>
      </c>
      <c r="AZ4046" s="3" t="s">
        <v>40309</v>
      </c>
      <c r="BA4046" s="3" t="s">
        <v>40309</v>
      </c>
      <c r="BB4046" s="3" t="s">
        <v>40310</v>
      </c>
      <c r="BC4046" s="3" t="s">
        <v>77</v>
      </c>
      <c r="BD4046" s="3" t="s">
        <v>78</v>
      </c>
      <c r="BE4046" s="3" t="s">
        <v>40311</v>
      </c>
      <c r="BF4046" s="3" t="s">
        <v>40310</v>
      </c>
      <c r="BG4046" s="3" t="s">
        <v>40312</v>
      </c>
    </row>
    <row r="4047" spans="1:59" ht="58" x14ac:dyDescent="0.35">
      <c r="A4047" s="2" t="s">
        <v>59</v>
      </c>
      <c r="B4047" s="2" t="s">
        <v>60</v>
      </c>
      <c r="C4047" s="2" t="s">
        <v>40313</v>
      </c>
      <c r="D4047" s="2" t="s">
        <v>40314</v>
      </c>
      <c r="E4047" s="2" t="s">
        <v>40315</v>
      </c>
      <c r="G4047" s="3" t="s">
        <v>65</v>
      </c>
      <c r="I4047" s="3" t="s">
        <v>65</v>
      </c>
      <c r="J4047" s="3" t="s">
        <v>209</v>
      </c>
      <c r="K4047" s="3" t="s">
        <v>66</v>
      </c>
      <c r="L4047" s="2" t="s">
        <v>40316</v>
      </c>
      <c r="M4047" s="2" t="s">
        <v>33395</v>
      </c>
      <c r="N4047" s="3" t="s">
        <v>955</v>
      </c>
      <c r="O4047" s="2" t="s">
        <v>365</v>
      </c>
      <c r="P4047" s="3" t="s">
        <v>140</v>
      </c>
      <c r="Q4047" s="2" t="s">
        <v>40317</v>
      </c>
      <c r="R4047" s="3" t="s">
        <v>71</v>
      </c>
      <c r="S4047" s="4">
        <v>18</v>
      </c>
      <c r="T4047" s="4">
        <v>18</v>
      </c>
      <c r="U4047" s="5" t="s">
        <v>40318</v>
      </c>
      <c r="V4047" s="5" t="s">
        <v>40318</v>
      </c>
      <c r="W4047" s="5" t="s">
        <v>72</v>
      </c>
      <c r="X4047" s="5" t="s">
        <v>72</v>
      </c>
      <c r="Y4047" s="4">
        <v>30</v>
      </c>
      <c r="Z4047" s="4">
        <v>4</v>
      </c>
      <c r="AA4047" s="4">
        <v>13</v>
      </c>
      <c r="AB4047" s="4">
        <v>1</v>
      </c>
      <c r="AC4047" s="4">
        <v>5</v>
      </c>
      <c r="AD4047" s="4">
        <v>16</v>
      </c>
      <c r="AE4047" s="4">
        <v>50</v>
      </c>
      <c r="AF4047" s="4">
        <v>0</v>
      </c>
      <c r="AG4047" s="4">
        <v>1</v>
      </c>
      <c r="AH4047" s="4">
        <v>15</v>
      </c>
      <c r="AI4047" s="4">
        <v>44</v>
      </c>
      <c r="AJ4047" s="4">
        <v>2</v>
      </c>
      <c r="AK4047" s="4">
        <v>7</v>
      </c>
      <c r="AL4047" s="4">
        <v>12</v>
      </c>
      <c r="AM4047" s="4">
        <v>31</v>
      </c>
      <c r="AN4047" s="4">
        <v>0</v>
      </c>
      <c r="AO4047" s="4">
        <v>0</v>
      </c>
      <c r="AP4047" s="4">
        <v>2</v>
      </c>
      <c r="AQ4047" s="4">
        <v>6</v>
      </c>
      <c r="AR4047" s="3" t="s">
        <v>65</v>
      </c>
      <c r="AS4047" s="3" t="s">
        <v>65</v>
      </c>
      <c r="AT4047" s="3" t="s">
        <v>65</v>
      </c>
      <c r="AV4047" s="6" t="str">
        <f>HYPERLINK("http://mcgill.on.worldcat.org/oclc/6379920","Catalog Record")</f>
        <v>Catalog Record</v>
      </c>
      <c r="AW4047" s="6" t="str">
        <f>HYPERLINK("http://www.worldcat.org/oclc/6379920","WorldCat Record")</f>
        <v>WorldCat Record</v>
      </c>
      <c r="AX4047" s="3" t="s">
        <v>40319</v>
      </c>
      <c r="AY4047" s="3" t="s">
        <v>40320</v>
      </c>
      <c r="AZ4047" s="3" t="s">
        <v>40321</v>
      </c>
      <c r="BA4047" s="3" t="s">
        <v>40321</v>
      </c>
      <c r="BB4047" s="3" t="s">
        <v>40322</v>
      </c>
      <c r="BC4047" s="3" t="s">
        <v>77</v>
      </c>
      <c r="BD4047" s="3" t="s">
        <v>78</v>
      </c>
      <c r="BF4047" s="3" t="s">
        <v>40322</v>
      </c>
      <c r="BG4047" s="3" t="s">
        <v>40323</v>
      </c>
    </row>
    <row r="4048" spans="1:59" ht="72.5" x14ac:dyDescent="0.35">
      <c r="A4048" s="2" t="s">
        <v>59</v>
      </c>
      <c r="B4048" s="2" t="s">
        <v>60</v>
      </c>
      <c r="C4048" s="2" t="s">
        <v>40324</v>
      </c>
      <c r="D4048" s="2" t="s">
        <v>40325</v>
      </c>
      <c r="E4048" s="2" t="s">
        <v>40326</v>
      </c>
      <c r="G4048" s="3" t="s">
        <v>65</v>
      </c>
      <c r="I4048" s="3" t="s">
        <v>65</v>
      </c>
      <c r="J4048" s="3" t="s">
        <v>65</v>
      </c>
      <c r="K4048" s="3" t="s">
        <v>66</v>
      </c>
      <c r="L4048" s="2" t="s">
        <v>40327</v>
      </c>
      <c r="M4048" s="2" t="s">
        <v>40328</v>
      </c>
      <c r="N4048" s="3" t="s">
        <v>126</v>
      </c>
      <c r="P4048" s="3" t="s">
        <v>140</v>
      </c>
      <c r="Q4048" s="2" t="s">
        <v>40329</v>
      </c>
      <c r="R4048" s="3" t="s">
        <v>71</v>
      </c>
      <c r="S4048" s="4">
        <v>0</v>
      </c>
      <c r="T4048" s="4">
        <v>0</v>
      </c>
      <c r="W4048" s="5" t="s">
        <v>72</v>
      </c>
      <c r="X4048" s="5" t="s">
        <v>72</v>
      </c>
      <c r="Y4048" s="4">
        <v>42</v>
      </c>
      <c r="Z4048" s="4">
        <v>5</v>
      </c>
      <c r="AA4048" s="4">
        <v>5</v>
      </c>
      <c r="AB4048" s="4">
        <v>1</v>
      </c>
      <c r="AC4048" s="4">
        <v>1</v>
      </c>
      <c r="AD4048" s="4">
        <v>28</v>
      </c>
      <c r="AE4048" s="4">
        <v>28</v>
      </c>
      <c r="AF4048" s="4">
        <v>0</v>
      </c>
      <c r="AG4048" s="4">
        <v>0</v>
      </c>
      <c r="AH4048" s="4">
        <v>27</v>
      </c>
      <c r="AI4048" s="4">
        <v>27</v>
      </c>
      <c r="AJ4048" s="4">
        <v>3</v>
      </c>
      <c r="AK4048" s="4">
        <v>3</v>
      </c>
      <c r="AL4048" s="4">
        <v>19</v>
      </c>
      <c r="AM4048" s="4">
        <v>19</v>
      </c>
      <c r="AN4048" s="4">
        <v>0</v>
      </c>
      <c r="AO4048" s="4">
        <v>0</v>
      </c>
      <c r="AP4048" s="4">
        <v>3</v>
      </c>
      <c r="AQ4048" s="4">
        <v>3</v>
      </c>
      <c r="AR4048" s="3" t="s">
        <v>65</v>
      </c>
      <c r="AS4048" s="3" t="s">
        <v>65</v>
      </c>
      <c r="AT4048" s="3" t="s">
        <v>65</v>
      </c>
      <c r="AV4048" s="6" t="str">
        <f>HYPERLINK("http://mcgill.on.worldcat.org/oclc/760988356","Catalog Record")</f>
        <v>Catalog Record</v>
      </c>
      <c r="AW4048" s="6" t="str">
        <f>HYPERLINK("http://www.worldcat.org/oclc/760988356","WorldCat Record")</f>
        <v>WorldCat Record</v>
      </c>
      <c r="AX4048" s="3" t="s">
        <v>40330</v>
      </c>
      <c r="AY4048" s="3" t="s">
        <v>40331</v>
      </c>
      <c r="AZ4048" s="3" t="s">
        <v>40332</v>
      </c>
      <c r="BA4048" s="3" t="s">
        <v>40332</v>
      </c>
      <c r="BB4048" s="3" t="s">
        <v>40333</v>
      </c>
      <c r="BC4048" s="3" t="s">
        <v>77</v>
      </c>
      <c r="BD4048" s="3" t="s">
        <v>78</v>
      </c>
      <c r="BE4048" s="3" t="s">
        <v>40334</v>
      </c>
      <c r="BF4048" s="3" t="s">
        <v>40333</v>
      </c>
      <c r="BG4048" s="3" t="s">
        <v>40335</v>
      </c>
    </row>
    <row r="4049" spans="1:59" ht="72.5" x14ac:dyDescent="0.35">
      <c r="A4049" s="2" t="s">
        <v>59</v>
      </c>
      <c r="B4049" s="2" t="s">
        <v>60</v>
      </c>
      <c r="C4049" s="2" t="s">
        <v>40336</v>
      </c>
      <c r="D4049" s="2" t="s">
        <v>40337</v>
      </c>
      <c r="E4049" s="2" t="s">
        <v>40338</v>
      </c>
      <c r="F4049" s="3" t="s">
        <v>258</v>
      </c>
      <c r="G4049" s="3" t="s">
        <v>209</v>
      </c>
      <c r="I4049" s="3" t="s">
        <v>65</v>
      </c>
      <c r="J4049" s="3" t="s">
        <v>65</v>
      </c>
      <c r="K4049" s="3" t="s">
        <v>66</v>
      </c>
      <c r="L4049" s="2" t="s">
        <v>40316</v>
      </c>
      <c r="M4049" s="2" t="s">
        <v>40339</v>
      </c>
      <c r="N4049" s="3" t="s">
        <v>1944</v>
      </c>
      <c r="O4049" s="2" t="s">
        <v>365</v>
      </c>
      <c r="P4049" s="3" t="s">
        <v>140</v>
      </c>
      <c r="Q4049" s="2" t="s">
        <v>29691</v>
      </c>
      <c r="R4049" s="3" t="s">
        <v>71</v>
      </c>
      <c r="S4049" s="4">
        <v>4</v>
      </c>
      <c r="T4049" s="4">
        <v>16</v>
      </c>
      <c r="U4049" s="5" t="s">
        <v>40340</v>
      </c>
      <c r="V4049" s="5" t="s">
        <v>3450</v>
      </c>
      <c r="W4049" s="5" t="s">
        <v>72</v>
      </c>
      <c r="X4049" s="5" t="s">
        <v>72</v>
      </c>
      <c r="Y4049" s="4">
        <v>46</v>
      </c>
      <c r="Z4049" s="4">
        <v>5</v>
      </c>
      <c r="AA4049" s="4">
        <v>5</v>
      </c>
      <c r="AB4049" s="4">
        <v>2</v>
      </c>
      <c r="AC4049" s="4">
        <v>2</v>
      </c>
      <c r="AD4049" s="4">
        <v>23</v>
      </c>
      <c r="AE4049" s="4">
        <v>25</v>
      </c>
      <c r="AF4049" s="4">
        <v>0</v>
      </c>
      <c r="AG4049" s="4">
        <v>0</v>
      </c>
      <c r="AH4049" s="4">
        <v>21</v>
      </c>
      <c r="AI4049" s="4">
        <v>23</v>
      </c>
      <c r="AJ4049" s="4">
        <v>1</v>
      </c>
      <c r="AK4049" s="4">
        <v>1</v>
      </c>
      <c r="AL4049" s="4">
        <v>19</v>
      </c>
      <c r="AM4049" s="4">
        <v>20</v>
      </c>
      <c r="AN4049" s="4">
        <v>0</v>
      </c>
      <c r="AO4049" s="4">
        <v>0</v>
      </c>
      <c r="AP4049" s="4">
        <v>1</v>
      </c>
      <c r="AQ4049" s="4">
        <v>1</v>
      </c>
      <c r="AR4049" s="3" t="s">
        <v>65</v>
      </c>
      <c r="AS4049" s="3" t="s">
        <v>65</v>
      </c>
      <c r="AT4049" s="3" t="s">
        <v>65</v>
      </c>
      <c r="AV4049" s="6" t="str">
        <f>HYPERLINK("http://mcgill.on.worldcat.org/oclc/47973510","Catalog Record")</f>
        <v>Catalog Record</v>
      </c>
      <c r="AW4049" s="6" t="str">
        <f>HYPERLINK("http://www.worldcat.org/oclc/47973510","WorldCat Record")</f>
        <v>WorldCat Record</v>
      </c>
      <c r="AX4049" s="3" t="s">
        <v>40341</v>
      </c>
      <c r="AY4049" s="3" t="s">
        <v>40342</v>
      </c>
      <c r="AZ4049" s="3" t="s">
        <v>40343</v>
      </c>
      <c r="BA4049" s="3" t="s">
        <v>40343</v>
      </c>
      <c r="BB4049" s="3" t="s">
        <v>40344</v>
      </c>
      <c r="BC4049" s="3" t="s">
        <v>77</v>
      </c>
      <c r="BD4049" s="3" t="s">
        <v>78</v>
      </c>
      <c r="BE4049" s="3" t="s">
        <v>40345</v>
      </c>
      <c r="BF4049" s="3" t="s">
        <v>40344</v>
      </c>
      <c r="BG4049" s="3" t="s">
        <v>40346</v>
      </c>
    </row>
    <row r="4050" spans="1:59" ht="72.5" x14ac:dyDescent="0.35">
      <c r="A4050" s="2" t="s">
        <v>59</v>
      </c>
      <c r="B4050" s="2" t="s">
        <v>60</v>
      </c>
      <c r="C4050" s="2" t="s">
        <v>40336</v>
      </c>
      <c r="D4050" s="2" t="s">
        <v>40337</v>
      </c>
      <c r="E4050" s="2" t="s">
        <v>40338</v>
      </c>
      <c r="F4050" s="3" t="s">
        <v>245</v>
      </c>
      <c r="G4050" s="3" t="s">
        <v>209</v>
      </c>
      <c r="I4050" s="3" t="s">
        <v>65</v>
      </c>
      <c r="J4050" s="3" t="s">
        <v>65</v>
      </c>
      <c r="K4050" s="3" t="s">
        <v>66</v>
      </c>
      <c r="L4050" s="2" t="s">
        <v>40316</v>
      </c>
      <c r="M4050" s="2" t="s">
        <v>40339</v>
      </c>
      <c r="N4050" s="3" t="s">
        <v>1944</v>
      </c>
      <c r="O4050" s="2" t="s">
        <v>365</v>
      </c>
      <c r="P4050" s="3" t="s">
        <v>140</v>
      </c>
      <c r="Q4050" s="2" t="s">
        <v>29691</v>
      </c>
      <c r="R4050" s="3" t="s">
        <v>71</v>
      </c>
      <c r="S4050" s="4">
        <v>12</v>
      </c>
      <c r="T4050" s="4">
        <v>16</v>
      </c>
      <c r="U4050" s="5" t="s">
        <v>3450</v>
      </c>
      <c r="V4050" s="5" t="s">
        <v>3450</v>
      </c>
      <c r="W4050" s="5" t="s">
        <v>72</v>
      </c>
      <c r="X4050" s="5" t="s">
        <v>72</v>
      </c>
      <c r="Y4050" s="4">
        <v>46</v>
      </c>
      <c r="Z4050" s="4">
        <v>5</v>
      </c>
      <c r="AA4050" s="4">
        <v>5</v>
      </c>
      <c r="AB4050" s="4">
        <v>2</v>
      </c>
      <c r="AC4050" s="4">
        <v>2</v>
      </c>
      <c r="AD4050" s="4">
        <v>23</v>
      </c>
      <c r="AE4050" s="4">
        <v>25</v>
      </c>
      <c r="AF4050" s="4">
        <v>0</v>
      </c>
      <c r="AG4050" s="4">
        <v>0</v>
      </c>
      <c r="AH4050" s="4">
        <v>21</v>
      </c>
      <c r="AI4050" s="4">
        <v>23</v>
      </c>
      <c r="AJ4050" s="4">
        <v>1</v>
      </c>
      <c r="AK4050" s="4">
        <v>1</v>
      </c>
      <c r="AL4050" s="4">
        <v>19</v>
      </c>
      <c r="AM4050" s="4">
        <v>20</v>
      </c>
      <c r="AN4050" s="4">
        <v>0</v>
      </c>
      <c r="AO4050" s="4">
        <v>0</v>
      </c>
      <c r="AP4050" s="4">
        <v>1</v>
      </c>
      <c r="AQ4050" s="4">
        <v>1</v>
      </c>
      <c r="AR4050" s="3" t="s">
        <v>65</v>
      </c>
      <c r="AS4050" s="3" t="s">
        <v>65</v>
      </c>
      <c r="AT4050" s="3" t="s">
        <v>65</v>
      </c>
      <c r="AV4050" s="6" t="str">
        <f>HYPERLINK("http://mcgill.on.worldcat.org/oclc/47973510","Catalog Record")</f>
        <v>Catalog Record</v>
      </c>
      <c r="AW4050" s="6" t="str">
        <f>HYPERLINK("http://www.worldcat.org/oclc/47973510","WorldCat Record")</f>
        <v>WorldCat Record</v>
      </c>
      <c r="AX4050" s="3" t="s">
        <v>40341</v>
      </c>
      <c r="AY4050" s="3" t="s">
        <v>40342</v>
      </c>
      <c r="AZ4050" s="3" t="s">
        <v>40343</v>
      </c>
      <c r="BA4050" s="3" t="s">
        <v>40343</v>
      </c>
      <c r="BB4050" s="3" t="s">
        <v>40347</v>
      </c>
      <c r="BC4050" s="3" t="s">
        <v>77</v>
      </c>
      <c r="BD4050" s="3" t="s">
        <v>78</v>
      </c>
      <c r="BE4050" s="3" t="s">
        <v>40345</v>
      </c>
      <c r="BF4050" s="3" t="s">
        <v>40347</v>
      </c>
      <c r="BG4050" s="3" t="s">
        <v>40348</v>
      </c>
    </row>
    <row r="4051" spans="1:59" ht="58" x14ac:dyDescent="0.35">
      <c r="A4051" s="2" t="s">
        <v>59</v>
      </c>
      <c r="B4051" s="2" t="s">
        <v>60</v>
      </c>
      <c r="C4051" s="2" t="s">
        <v>40349</v>
      </c>
      <c r="D4051" s="2" t="s">
        <v>40350</v>
      </c>
      <c r="E4051" s="2" t="s">
        <v>40351</v>
      </c>
      <c r="G4051" s="3" t="s">
        <v>65</v>
      </c>
      <c r="I4051" s="3" t="s">
        <v>65</v>
      </c>
      <c r="J4051" s="3" t="s">
        <v>65</v>
      </c>
      <c r="K4051" s="3" t="s">
        <v>66</v>
      </c>
      <c r="L4051" s="2" t="s">
        <v>40352</v>
      </c>
      <c r="M4051" s="2" t="s">
        <v>40353</v>
      </c>
      <c r="N4051" s="3" t="s">
        <v>1196</v>
      </c>
      <c r="O4051" s="2" t="s">
        <v>365</v>
      </c>
      <c r="P4051" s="3" t="s">
        <v>140</v>
      </c>
      <c r="Q4051" s="2" t="s">
        <v>37600</v>
      </c>
      <c r="R4051" s="3" t="s">
        <v>71</v>
      </c>
      <c r="S4051" s="4">
        <v>1</v>
      </c>
      <c r="T4051" s="4">
        <v>1</v>
      </c>
      <c r="U4051" s="5" t="s">
        <v>2510</v>
      </c>
      <c r="V4051" s="5" t="s">
        <v>2510</v>
      </c>
      <c r="W4051" s="5" t="s">
        <v>72</v>
      </c>
      <c r="X4051" s="5" t="s">
        <v>72</v>
      </c>
      <c r="Y4051" s="4">
        <v>44</v>
      </c>
      <c r="Z4051" s="4">
        <v>2</v>
      </c>
      <c r="AA4051" s="4">
        <v>4</v>
      </c>
      <c r="AB4051" s="4">
        <v>1</v>
      </c>
      <c r="AC4051" s="4">
        <v>1</v>
      </c>
      <c r="AD4051" s="4">
        <v>30</v>
      </c>
      <c r="AE4051" s="4">
        <v>31</v>
      </c>
      <c r="AF4051" s="4">
        <v>0</v>
      </c>
      <c r="AG4051" s="4">
        <v>0</v>
      </c>
      <c r="AH4051" s="4">
        <v>29</v>
      </c>
      <c r="AI4051" s="4">
        <v>30</v>
      </c>
      <c r="AJ4051" s="4">
        <v>1</v>
      </c>
      <c r="AK4051" s="4">
        <v>2</v>
      </c>
      <c r="AL4051" s="4">
        <v>23</v>
      </c>
      <c r="AM4051" s="4">
        <v>24</v>
      </c>
      <c r="AN4051" s="4">
        <v>0</v>
      </c>
      <c r="AO4051" s="4">
        <v>0</v>
      </c>
      <c r="AP4051" s="4">
        <v>1</v>
      </c>
      <c r="AQ4051" s="4">
        <v>2</v>
      </c>
      <c r="AR4051" s="3" t="s">
        <v>65</v>
      </c>
      <c r="AS4051" s="3" t="s">
        <v>65</v>
      </c>
      <c r="AT4051" s="3" t="s">
        <v>209</v>
      </c>
      <c r="AU4051" s="6" t="str">
        <f>HYPERLINK("http://catalog.hathitrust.org/Record/004961076","HathiTrust Record")</f>
        <v>HathiTrust Record</v>
      </c>
      <c r="AV4051" s="6" t="str">
        <f>HYPERLINK("http://mcgill.on.worldcat.org/oclc/57661041","Catalog Record")</f>
        <v>Catalog Record</v>
      </c>
      <c r="AW4051" s="6" t="str">
        <f>HYPERLINK("http://www.worldcat.org/oclc/57661041","WorldCat Record")</f>
        <v>WorldCat Record</v>
      </c>
      <c r="AX4051" s="3" t="s">
        <v>40354</v>
      </c>
      <c r="AY4051" s="3" t="s">
        <v>40355</v>
      </c>
      <c r="AZ4051" s="3" t="s">
        <v>40356</v>
      </c>
      <c r="BA4051" s="3" t="s">
        <v>40356</v>
      </c>
      <c r="BB4051" s="3" t="s">
        <v>40357</v>
      </c>
      <c r="BC4051" s="3" t="s">
        <v>77</v>
      </c>
      <c r="BD4051" s="3" t="s">
        <v>78</v>
      </c>
      <c r="BE4051" s="3" t="s">
        <v>40358</v>
      </c>
      <c r="BF4051" s="3" t="s">
        <v>40357</v>
      </c>
      <c r="BG4051" s="3" t="s">
        <v>40359</v>
      </c>
    </row>
    <row r="4052" spans="1:59" ht="58" x14ac:dyDescent="0.35">
      <c r="A4052" s="2" t="s">
        <v>59</v>
      </c>
      <c r="B4052" s="2" t="s">
        <v>60</v>
      </c>
      <c r="C4052" s="2" t="s">
        <v>40360</v>
      </c>
      <c r="D4052" s="2" t="s">
        <v>40361</v>
      </c>
      <c r="E4052" s="2" t="s">
        <v>40362</v>
      </c>
      <c r="G4052" s="3" t="s">
        <v>65</v>
      </c>
      <c r="I4052" s="3" t="s">
        <v>65</v>
      </c>
      <c r="J4052" s="3" t="s">
        <v>65</v>
      </c>
      <c r="K4052" s="3" t="s">
        <v>66</v>
      </c>
      <c r="L4052" s="2" t="s">
        <v>40363</v>
      </c>
      <c r="M4052" s="2" t="s">
        <v>40364</v>
      </c>
      <c r="N4052" s="3" t="s">
        <v>139</v>
      </c>
      <c r="P4052" s="3" t="s">
        <v>140</v>
      </c>
      <c r="Q4052" s="2" t="s">
        <v>40365</v>
      </c>
      <c r="R4052" s="3" t="s">
        <v>71</v>
      </c>
      <c r="S4052" s="4">
        <v>0</v>
      </c>
      <c r="T4052" s="4">
        <v>0</v>
      </c>
      <c r="W4052" s="5" t="s">
        <v>72</v>
      </c>
      <c r="X4052" s="5" t="s">
        <v>72</v>
      </c>
      <c r="Y4052" s="4">
        <v>29</v>
      </c>
      <c r="Z4052" s="4">
        <v>2</v>
      </c>
      <c r="AA4052" s="4">
        <v>2</v>
      </c>
      <c r="AB4052" s="4">
        <v>1</v>
      </c>
      <c r="AC4052" s="4">
        <v>1</v>
      </c>
      <c r="AD4052" s="4">
        <v>23</v>
      </c>
      <c r="AE4052" s="4">
        <v>23</v>
      </c>
      <c r="AF4052" s="4">
        <v>0</v>
      </c>
      <c r="AG4052" s="4">
        <v>0</v>
      </c>
      <c r="AH4052" s="4">
        <v>22</v>
      </c>
      <c r="AI4052" s="4">
        <v>22</v>
      </c>
      <c r="AJ4052" s="4">
        <v>1</v>
      </c>
      <c r="AK4052" s="4">
        <v>1</v>
      </c>
      <c r="AL4052" s="4">
        <v>17</v>
      </c>
      <c r="AM4052" s="4">
        <v>17</v>
      </c>
      <c r="AN4052" s="4">
        <v>0</v>
      </c>
      <c r="AO4052" s="4">
        <v>0</v>
      </c>
      <c r="AP4052" s="4">
        <v>1</v>
      </c>
      <c r="AQ4052" s="4">
        <v>1</v>
      </c>
      <c r="AR4052" s="3" t="s">
        <v>65</v>
      </c>
      <c r="AS4052" s="3" t="s">
        <v>65</v>
      </c>
      <c r="AT4052" s="3" t="s">
        <v>65</v>
      </c>
      <c r="AV4052" s="6" t="str">
        <f>HYPERLINK("http://mcgill.on.worldcat.org/oclc/775411097","Catalog Record")</f>
        <v>Catalog Record</v>
      </c>
      <c r="AW4052" s="6" t="str">
        <f>HYPERLINK("http://www.worldcat.org/oclc/775411097","WorldCat Record")</f>
        <v>WorldCat Record</v>
      </c>
      <c r="AX4052" s="3" t="s">
        <v>40366</v>
      </c>
      <c r="AY4052" s="3" t="s">
        <v>40367</v>
      </c>
      <c r="AZ4052" s="3" t="s">
        <v>40368</v>
      </c>
      <c r="BA4052" s="3" t="s">
        <v>40368</v>
      </c>
      <c r="BB4052" s="3" t="s">
        <v>40369</v>
      </c>
      <c r="BC4052" s="3" t="s">
        <v>77</v>
      </c>
      <c r="BD4052" s="3" t="s">
        <v>78</v>
      </c>
      <c r="BE4052" s="3" t="s">
        <v>40370</v>
      </c>
      <c r="BF4052" s="3" t="s">
        <v>40369</v>
      </c>
      <c r="BG4052" s="3" t="s">
        <v>40371</v>
      </c>
    </row>
    <row r="4053" spans="1:59" ht="58" x14ac:dyDescent="0.35">
      <c r="A4053" s="2" t="s">
        <v>59</v>
      </c>
      <c r="B4053" s="2" t="s">
        <v>60</v>
      </c>
      <c r="C4053" s="2" t="s">
        <v>40372</v>
      </c>
      <c r="D4053" s="2" t="s">
        <v>40373</v>
      </c>
      <c r="E4053" s="2" t="s">
        <v>40374</v>
      </c>
      <c r="G4053" s="3" t="s">
        <v>65</v>
      </c>
      <c r="I4053" s="3" t="s">
        <v>65</v>
      </c>
      <c r="J4053" s="3" t="s">
        <v>65</v>
      </c>
      <c r="K4053" s="3" t="s">
        <v>66</v>
      </c>
      <c r="L4053" s="2" t="s">
        <v>3710</v>
      </c>
      <c r="M4053" s="2" t="s">
        <v>27338</v>
      </c>
      <c r="N4053" s="3" t="s">
        <v>139</v>
      </c>
      <c r="P4053" s="3" t="s">
        <v>140</v>
      </c>
      <c r="R4053" s="3" t="s">
        <v>71</v>
      </c>
      <c r="S4053" s="4">
        <v>0</v>
      </c>
      <c r="T4053" s="4">
        <v>0</v>
      </c>
      <c r="W4053" s="5" t="s">
        <v>72</v>
      </c>
      <c r="X4053" s="5" t="s">
        <v>72</v>
      </c>
      <c r="Y4053" s="4">
        <v>53</v>
      </c>
      <c r="Z4053" s="4">
        <v>4</v>
      </c>
      <c r="AA4053" s="4">
        <v>4</v>
      </c>
      <c r="AB4053" s="4">
        <v>1</v>
      </c>
      <c r="AC4053" s="4">
        <v>1</v>
      </c>
      <c r="AD4053" s="4">
        <v>38</v>
      </c>
      <c r="AE4053" s="4">
        <v>40</v>
      </c>
      <c r="AF4053" s="4">
        <v>0</v>
      </c>
      <c r="AG4053" s="4">
        <v>0</v>
      </c>
      <c r="AH4053" s="4">
        <v>37</v>
      </c>
      <c r="AI4053" s="4">
        <v>39</v>
      </c>
      <c r="AJ4053" s="4">
        <v>2</v>
      </c>
      <c r="AK4053" s="4">
        <v>2</v>
      </c>
      <c r="AL4053" s="4">
        <v>31</v>
      </c>
      <c r="AM4053" s="4">
        <v>33</v>
      </c>
      <c r="AN4053" s="4">
        <v>0</v>
      </c>
      <c r="AO4053" s="4">
        <v>0</v>
      </c>
      <c r="AP4053" s="4">
        <v>2</v>
      </c>
      <c r="AQ4053" s="4">
        <v>2</v>
      </c>
      <c r="AR4053" s="3" t="s">
        <v>65</v>
      </c>
      <c r="AS4053" s="3" t="s">
        <v>65</v>
      </c>
      <c r="AT4053" s="3" t="s">
        <v>65</v>
      </c>
      <c r="AV4053" s="6" t="str">
        <f>HYPERLINK("http://mcgill.on.worldcat.org/oclc/815512869","Catalog Record")</f>
        <v>Catalog Record</v>
      </c>
      <c r="AW4053" s="6" t="str">
        <f>HYPERLINK("http://www.worldcat.org/oclc/815512869","WorldCat Record")</f>
        <v>WorldCat Record</v>
      </c>
      <c r="AX4053" s="3" t="s">
        <v>40375</v>
      </c>
      <c r="AY4053" s="3" t="s">
        <v>40376</v>
      </c>
      <c r="AZ4053" s="3" t="s">
        <v>40377</v>
      </c>
      <c r="BA4053" s="3" t="s">
        <v>40377</v>
      </c>
      <c r="BB4053" s="3" t="s">
        <v>40378</v>
      </c>
      <c r="BC4053" s="3" t="s">
        <v>77</v>
      </c>
      <c r="BD4053" s="3" t="s">
        <v>78</v>
      </c>
      <c r="BE4053" s="3" t="s">
        <v>40379</v>
      </c>
      <c r="BF4053" s="3" t="s">
        <v>40378</v>
      </c>
      <c r="BG4053" s="3" t="s">
        <v>40380</v>
      </c>
    </row>
    <row r="4054" spans="1:59" ht="58" x14ac:dyDescent="0.35">
      <c r="A4054" s="2" t="s">
        <v>59</v>
      </c>
      <c r="B4054" s="2" t="s">
        <v>60</v>
      </c>
      <c r="C4054" s="2" t="s">
        <v>40381</v>
      </c>
      <c r="D4054" s="2" t="s">
        <v>40382</v>
      </c>
      <c r="E4054" s="2" t="s">
        <v>40383</v>
      </c>
      <c r="G4054" s="3" t="s">
        <v>65</v>
      </c>
      <c r="I4054" s="3" t="s">
        <v>65</v>
      </c>
      <c r="J4054" s="3" t="s">
        <v>65</v>
      </c>
      <c r="K4054" s="3" t="s">
        <v>66</v>
      </c>
      <c r="L4054" s="2" t="s">
        <v>3710</v>
      </c>
      <c r="M4054" s="2" t="s">
        <v>33204</v>
      </c>
      <c r="N4054" s="3" t="s">
        <v>113</v>
      </c>
      <c r="P4054" s="3" t="s">
        <v>140</v>
      </c>
      <c r="R4054" s="3" t="s">
        <v>71</v>
      </c>
      <c r="S4054" s="4">
        <v>0</v>
      </c>
      <c r="T4054" s="4">
        <v>0</v>
      </c>
      <c r="W4054" s="5" t="s">
        <v>72</v>
      </c>
      <c r="X4054" s="5" t="s">
        <v>72</v>
      </c>
      <c r="Y4054" s="4">
        <v>59</v>
      </c>
      <c r="Z4054" s="4">
        <v>6</v>
      </c>
      <c r="AA4054" s="4">
        <v>7</v>
      </c>
      <c r="AB4054" s="4">
        <v>1</v>
      </c>
      <c r="AC4054" s="4">
        <v>2</v>
      </c>
      <c r="AD4054" s="4">
        <v>41</v>
      </c>
      <c r="AE4054" s="4">
        <v>42</v>
      </c>
      <c r="AF4054" s="4">
        <v>0</v>
      </c>
      <c r="AG4054" s="4">
        <v>1</v>
      </c>
      <c r="AH4054" s="4">
        <v>40</v>
      </c>
      <c r="AI4054" s="4">
        <v>41</v>
      </c>
      <c r="AJ4054" s="4">
        <v>2</v>
      </c>
      <c r="AK4054" s="4">
        <v>3</v>
      </c>
      <c r="AL4054" s="4">
        <v>30</v>
      </c>
      <c r="AM4054" s="4">
        <v>30</v>
      </c>
      <c r="AN4054" s="4">
        <v>0</v>
      </c>
      <c r="AO4054" s="4">
        <v>0</v>
      </c>
      <c r="AP4054" s="4">
        <v>2</v>
      </c>
      <c r="AQ4054" s="4">
        <v>3</v>
      </c>
      <c r="AR4054" s="3" t="s">
        <v>65</v>
      </c>
      <c r="AS4054" s="3" t="s">
        <v>65</v>
      </c>
      <c r="AT4054" s="3" t="s">
        <v>65</v>
      </c>
      <c r="AV4054" s="6" t="str">
        <f>HYPERLINK("http://mcgill.on.worldcat.org/oclc/635376303","Catalog Record")</f>
        <v>Catalog Record</v>
      </c>
      <c r="AW4054" s="6" t="str">
        <f>HYPERLINK("http://www.worldcat.org/oclc/635376303","WorldCat Record")</f>
        <v>WorldCat Record</v>
      </c>
      <c r="AX4054" s="3" t="s">
        <v>40384</v>
      </c>
      <c r="AY4054" s="3" t="s">
        <v>40385</v>
      </c>
      <c r="AZ4054" s="3" t="s">
        <v>40386</v>
      </c>
      <c r="BA4054" s="3" t="s">
        <v>40386</v>
      </c>
      <c r="BB4054" s="3" t="s">
        <v>40387</v>
      </c>
      <c r="BC4054" s="3" t="s">
        <v>77</v>
      </c>
      <c r="BD4054" s="3" t="s">
        <v>78</v>
      </c>
      <c r="BE4054" s="3" t="s">
        <v>40388</v>
      </c>
      <c r="BF4054" s="3" t="s">
        <v>40387</v>
      </c>
      <c r="BG4054" s="3" t="s">
        <v>40389</v>
      </c>
    </row>
    <row r="4055" spans="1:59" ht="58" x14ac:dyDescent="0.35">
      <c r="A4055" s="2" t="s">
        <v>59</v>
      </c>
      <c r="B4055" s="2" t="s">
        <v>60</v>
      </c>
      <c r="C4055" s="2" t="s">
        <v>40390</v>
      </c>
      <c r="D4055" s="2" t="s">
        <v>40391</v>
      </c>
      <c r="E4055" s="2" t="s">
        <v>40392</v>
      </c>
      <c r="G4055" s="3" t="s">
        <v>65</v>
      </c>
      <c r="I4055" s="3" t="s">
        <v>65</v>
      </c>
      <c r="J4055" s="3" t="s">
        <v>65</v>
      </c>
      <c r="K4055" s="3" t="s">
        <v>66</v>
      </c>
      <c r="L4055" s="2" t="s">
        <v>40393</v>
      </c>
      <c r="M4055" s="2" t="s">
        <v>40394</v>
      </c>
      <c r="N4055" s="3" t="s">
        <v>176</v>
      </c>
      <c r="O4055" s="2" t="s">
        <v>235</v>
      </c>
      <c r="P4055" s="3" t="s">
        <v>140</v>
      </c>
      <c r="Q4055" s="2" t="s">
        <v>28692</v>
      </c>
      <c r="R4055" s="3" t="s">
        <v>71</v>
      </c>
      <c r="S4055" s="4">
        <v>0</v>
      </c>
      <c r="T4055" s="4">
        <v>0</v>
      </c>
      <c r="W4055" s="5" t="s">
        <v>72</v>
      </c>
      <c r="X4055" s="5" t="s">
        <v>72</v>
      </c>
      <c r="Y4055" s="4">
        <v>58</v>
      </c>
      <c r="Z4055" s="4">
        <v>4</v>
      </c>
      <c r="AA4055" s="4">
        <v>4</v>
      </c>
      <c r="AB4055" s="4">
        <v>1</v>
      </c>
      <c r="AC4055" s="4">
        <v>1</v>
      </c>
      <c r="AD4055" s="4">
        <v>38</v>
      </c>
      <c r="AE4055" s="4">
        <v>39</v>
      </c>
      <c r="AF4055" s="4">
        <v>0</v>
      </c>
      <c r="AG4055" s="4">
        <v>0</v>
      </c>
      <c r="AH4055" s="4">
        <v>37</v>
      </c>
      <c r="AI4055" s="4">
        <v>38</v>
      </c>
      <c r="AJ4055" s="4">
        <v>2</v>
      </c>
      <c r="AK4055" s="4">
        <v>2</v>
      </c>
      <c r="AL4055" s="4">
        <v>31</v>
      </c>
      <c r="AM4055" s="4">
        <v>32</v>
      </c>
      <c r="AN4055" s="4">
        <v>0</v>
      </c>
      <c r="AO4055" s="4">
        <v>0</v>
      </c>
      <c r="AP4055" s="4">
        <v>2</v>
      </c>
      <c r="AQ4055" s="4">
        <v>2</v>
      </c>
      <c r="AR4055" s="3" t="s">
        <v>65</v>
      </c>
      <c r="AS4055" s="3" t="s">
        <v>65</v>
      </c>
      <c r="AT4055" s="3" t="s">
        <v>65</v>
      </c>
      <c r="AV4055" s="6" t="str">
        <f>HYPERLINK("http://mcgill.on.worldcat.org/oclc/922332246","Catalog Record")</f>
        <v>Catalog Record</v>
      </c>
      <c r="AW4055" s="6" t="str">
        <f>HYPERLINK("http://www.worldcat.org/oclc/922332246","WorldCat Record")</f>
        <v>WorldCat Record</v>
      </c>
      <c r="AX4055" s="3" t="s">
        <v>40395</v>
      </c>
      <c r="AY4055" s="3" t="s">
        <v>40396</v>
      </c>
      <c r="AZ4055" s="3" t="s">
        <v>40397</v>
      </c>
      <c r="BA4055" s="3" t="s">
        <v>40397</v>
      </c>
      <c r="BB4055" s="3" t="s">
        <v>40398</v>
      </c>
      <c r="BC4055" s="3" t="s">
        <v>77</v>
      </c>
      <c r="BD4055" s="3" t="s">
        <v>78</v>
      </c>
      <c r="BE4055" s="3" t="s">
        <v>40399</v>
      </c>
      <c r="BF4055" s="3" t="s">
        <v>40398</v>
      </c>
      <c r="BG4055" s="3" t="s">
        <v>40400</v>
      </c>
    </row>
    <row r="4056" spans="1:59" ht="58" x14ac:dyDescent="0.35">
      <c r="A4056" s="2" t="s">
        <v>59</v>
      </c>
      <c r="B4056" s="2" t="s">
        <v>60</v>
      </c>
      <c r="C4056" s="2" t="s">
        <v>40401</v>
      </c>
      <c r="D4056" s="2" t="s">
        <v>40402</v>
      </c>
      <c r="E4056" s="2" t="s">
        <v>40403</v>
      </c>
      <c r="G4056" s="3" t="s">
        <v>65</v>
      </c>
      <c r="I4056" s="3" t="s">
        <v>65</v>
      </c>
      <c r="J4056" s="3" t="s">
        <v>65</v>
      </c>
      <c r="K4056" s="3" t="s">
        <v>66</v>
      </c>
      <c r="L4056" s="2" t="s">
        <v>3710</v>
      </c>
      <c r="M4056" s="2" t="s">
        <v>40404</v>
      </c>
      <c r="N4056" s="3" t="s">
        <v>113</v>
      </c>
      <c r="P4056" s="3" t="s">
        <v>140</v>
      </c>
      <c r="Q4056" s="2" t="s">
        <v>40405</v>
      </c>
      <c r="R4056" s="3" t="s">
        <v>71</v>
      </c>
      <c r="S4056" s="4">
        <v>0</v>
      </c>
      <c r="T4056" s="4">
        <v>0</v>
      </c>
      <c r="W4056" s="5" t="s">
        <v>72</v>
      </c>
      <c r="X4056" s="5" t="s">
        <v>72</v>
      </c>
      <c r="Y4056" s="4">
        <v>51</v>
      </c>
      <c r="Z4056" s="4">
        <v>3</v>
      </c>
      <c r="AA4056" s="4">
        <v>4</v>
      </c>
      <c r="AB4056" s="4">
        <v>1</v>
      </c>
      <c r="AC4056" s="4">
        <v>1</v>
      </c>
      <c r="AD4056" s="4">
        <v>37</v>
      </c>
      <c r="AE4056" s="4">
        <v>38</v>
      </c>
      <c r="AF4056" s="4">
        <v>0</v>
      </c>
      <c r="AG4056" s="4">
        <v>0</v>
      </c>
      <c r="AH4056" s="4">
        <v>36</v>
      </c>
      <c r="AI4056" s="4">
        <v>37</v>
      </c>
      <c r="AJ4056" s="4">
        <v>1</v>
      </c>
      <c r="AK4056" s="4">
        <v>2</v>
      </c>
      <c r="AL4056" s="4">
        <v>29</v>
      </c>
      <c r="AM4056" s="4">
        <v>29</v>
      </c>
      <c r="AN4056" s="4">
        <v>5</v>
      </c>
      <c r="AO4056" s="4">
        <v>5</v>
      </c>
      <c r="AP4056" s="4">
        <v>1</v>
      </c>
      <c r="AQ4056" s="4">
        <v>2</v>
      </c>
      <c r="AR4056" s="3" t="s">
        <v>65</v>
      </c>
      <c r="AS4056" s="3" t="s">
        <v>65</v>
      </c>
      <c r="AT4056" s="3" t="s">
        <v>209</v>
      </c>
      <c r="AU4056" s="6" t="str">
        <f>HYPERLINK("http://catalog.hathitrust.org/Record/011229136","HathiTrust Record")</f>
        <v>HathiTrust Record</v>
      </c>
      <c r="AV4056" s="6" t="str">
        <f>HYPERLINK("http://mcgill.on.worldcat.org/oclc/671867536","Catalog Record")</f>
        <v>Catalog Record</v>
      </c>
      <c r="AW4056" s="6" t="str">
        <f>HYPERLINK("http://www.worldcat.org/oclc/671867536","WorldCat Record")</f>
        <v>WorldCat Record</v>
      </c>
      <c r="AX4056" s="3" t="s">
        <v>40406</v>
      </c>
      <c r="AY4056" s="3" t="s">
        <v>40407</v>
      </c>
      <c r="AZ4056" s="3" t="s">
        <v>40408</v>
      </c>
      <c r="BA4056" s="3" t="s">
        <v>40408</v>
      </c>
      <c r="BB4056" s="3" t="s">
        <v>40409</v>
      </c>
      <c r="BC4056" s="3" t="s">
        <v>77</v>
      </c>
      <c r="BD4056" s="3" t="s">
        <v>78</v>
      </c>
      <c r="BE4056" s="3" t="s">
        <v>40410</v>
      </c>
      <c r="BF4056" s="3" t="s">
        <v>40409</v>
      </c>
      <c r="BG4056" s="3" t="s">
        <v>40411</v>
      </c>
    </row>
    <row r="4057" spans="1:59" ht="72.5" x14ac:dyDescent="0.35">
      <c r="A4057" s="2" t="s">
        <v>59</v>
      </c>
      <c r="B4057" s="2" t="s">
        <v>60</v>
      </c>
      <c r="C4057" s="2" t="s">
        <v>40412</v>
      </c>
      <c r="D4057" s="2" t="s">
        <v>40413</v>
      </c>
      <c r="E4057" s="2" t="s">
        <v>40414</v>
      </c>
      <c r="G4057" s="3" t="s">
        <v>65</v>
      </c>
      <c r="I4057" s="3" t="s">
        <v>65</v>
      </c>
      <c r="J4057" s="3" t="s">
        <v>65</v>
      </c>
      <c r="K4057" s="3" t="s">
        <v>66</v>
      </c>
      <c r="L4057" s="2" t="s">
        <v>40415</v>
      </c>
      <c r="M4057" s="2" t="s">
        <v>40416</v>
      </c>
      <c r="N4057" s="3" t="s">
        <v>126</v>
      </c>
      <c r="P4057" s="3" t="s">
        <v>140</v>
      </c>
      <c r="R4057" s="3" t="s">
        <v>71</v>
      </c>
      <c r="S4057" s="4">
        <v>0</v>
      </c>
      <c r="T4057" s="4">
        <v>0</v>
      </c>
      <c r="W4057" s="5" t="s">
        <v>72</v>
      </c>
      <c r="X4057" s="5" t="s">
        <v>72</v>
      </c>
      <c r="Y4057" s="4">
        <v>46</v>
      </c>
      <c r="Z4057" s="4">
        <v>3</v>
      </c>
      <c r="AA4057" s="4">
        <v>5</v>
      </c>
      <c r="AB4057" s="4">
        <v>1</v>
      </c>
      <c r="AC4057" s="4">
        <v>3</v>
      </c>
      <c r="AD4057" s="4">
        <v>32</v>
      </c>
      <c r="AE4057" s="4">
        <v>33</v>
      </c>
      <c r="AF4057" s="4">
        <v>0</v>
      </c>
      <c r="AG4057" s="4">
        <v>1</v>
      </c>
      <c r="AH4057" s="4">
        <v>31</v>
      </c>
      <c r="AI4057" s="4">
        <v>31</v>
      </c>
      <c r="AJ4057" s="4">
        <v>1</v>
      </c>
      <c r="AK4057" s="4">
        <v>2</v>
      </c>
      <c r="AL4057" s="4">
        <v>24</v>
      </c>
      <c r="AM4057" s="4">
        <v>24</v>
      </c>
      <c r="AN4057" s="4">
        <v>0</v>
      </c>
      <c r="AO4057" s="4">
        <v>0</v>
      </c>
      <c r="AP4057" s="4">
        <v>1</v>
      </c>
      <c r="AQ4057" s="4">
        <v>1</v>
      </c>
      <c r="AR4057" s="3" t="s">
        <v>65</v>
      </c>
      <c r="AS4057" s="3" t="s">
        <v>65</v>
      </c>
      <c r="AT4057" s="3" t="s">
        <v>65</v>
      </c>
      <c r="AV4057" s="6" t="str">
        <f>HYPERLINK("http://mcgill.on.worldcat.org/oclc/773793647","Catalog Record")</f>
        <v>Catalog Record</v>
      </c>
      <c r="AW4057" s="6" t="str">
        <f>HYPERLINK("http://www.worldcat.org/oclc/773793647","WorldCat Record")</f>
        <v>WorldCat Record</v>
      </c>
      <c r="AX4057" s="3" t="s">
        <v>40417</v>
      </c>
      <c r="AY4057" s="3" t="s">
        <v>40418</v>
      </c>
      <c r="AZ4057" s="3" t="s">
        <v>40419</v>
      </c>
      <c r="BA4057" s="3" t="s">
        <v>40419</v>
      </c>
      <c r="BB4057" s="3" t="s">
        <v>40420</v>
      </c>
      <c r="BC4057" s="3" t="s">
        <v>77</v>
      </c>
      <c r="BD4057" s="3" t="s">
        <v>78</v>
      </c>
      <c r="BE4057" s="3" t="s">
        <v>40421</v>
      </c>
      <c r="BF4057" s="3" t="s">
        <v>40420</v>
      </c>
      <c r="BG4057" s="3" t="s">
        <v>40422</v>
      </c>
    </row>
    <row r="4058" spans="1:59" ht="72.5" x14ac:dyDescent="0.35">
      <c r="A4058" s="2" t="s">
        <v>59</v>
      </c>
      <c r="B4058" s="2" t="s">
        <v>60</v>
      </c>
      <c r="C4058" s="2" t="s">
        <v>40423</v>
      </c>
      <c r="D4058" s="2" t="s">
        <v>40424</v>
      </c>
      <c r="E4058" s="2" t="s">
        <v>40425</v>
      </c>
      <c r="G4058" s="3" t="s">
        <v>65</v>
      </c>
      <c r="I4058" s="3" t="s">
        <v>65</v>
      </c>
      <c r="J4058" s="3" t="s">
        <v>65</v>
      </c>
      <c r="K4058" s="3" t="s">
        <v>66</v>
      </c>
      <c r="L4058" s="2" t="s">
        <v>40426</v>
      </c>
      <c r="M4058" s="2" t="s">
        <v>40427</v>
      </c>
      <c r="N4058" s="3" t="s">
        <v>265</v>
      </c>
      <c r="O4058" s="2" t="s">
        <v>40428</v>
      </c>
      <c r="P4058" s="3" t="s">
        <v>140</v>
      </c>
      <c r="Q4058" s="2" t="s">
        <v>40429</v>
      </c>
      <c r="R4058" s="3" t="s">
        <v>71</v>
      </c>
      <c r="S4058" s="4">
        <v>0</v>
      </c>
      <c r="T4058" s="4">
        <v>0</v>
      </c>
      <c r="W4058" s="5" t="s">
        <v>266</v>
      </c>
      <c r="X4058" s="5" t="s">
        <v>266</v>
      </c>
      <c r="Y4058" s="4">
        <v>5</v>
      </c>
      <c r="Z4058" s="4">
        <v>1</v>
      </c>
      <c r="AA4058" s="4">
        <v>1</v>
      </c>
      <c r="AB4058" s="4">
        <v>1</v>
      </c>
      <c r="AC4058" s="4">
        <v>1</v>
      </c>
      <c r="AD4058" s="4">
        <v>3</v>
      </c>
      <c r="AE4058" s="4">
        <v>29</v>
      </c>
      <c r="AF4058" s="4">
        <v>0</v>
      </c>
      <c r="AG4058" s="4">
        <v>0</v>
      </c>
      <c r="AH4058" s="4">
        <v>3</v>
      </c>
      <c r="AI4058" s="4">
        <v>28</v>
      </c>
      <c r="AJ4058" s="4">
        <v>0</v>
      </c>
      <c r="AK4058" s="4">
        <v>0</v>
      </c>
      <c r="AL4058" s="4">
        <v>3</v>
      </c>
      <c r="AM4058" s="4">
        <v>24</v>
      </c>
      <c r="AN4058" s="4">
        <v>0</v>
      </c>
      <c r="AO4058" s="4">
        <v>0</v>
      </c>
      <c r="AP4058" s="4">
        <v>0</v>
      </c>
      <c r="AQ4058" s="4">
        <v>0</v>
      </c>
      <c r="AR4058" s="3" t="s">
        <v>65</v>
      </c>
      <c r="AS4058" s="3" t="s">
        <v>65</v>
      </c>
      <c r="AT4058" s="3" t="s">
        <v>65</v>
      </c>
      <c r="AV4058" s="6" t="str">
        <f>HYPERLINK("http://mcgill.on.worldcat.org/oclc/1135323982","Catalog Record")</f>
        <v>Catalog Record</v>
      </c>
      <c r="AW4058" s="6" t="str">
        <f>HYPERLINK("http://www.worldcat.org/oclc/1135323982","WorldCat Record")</f>
        <v>WorldCat Record</v>
      </c>
      <c r="AX4058" s="3" t="s">
        <v>40430</v>
      </c>
      <c r="AY4058" s="3" t="s">
        <v>40431</v>
      </c>
      <c r="AZ4058" s="3" t="s">
        <v>40432</v>
      </c>
      <c r="BA4058" s="3" t="s">
        <v>40432</v>
      </c>
      <c r="BB4058" s="3" t="s">
        <v>40433</v>
      </c>
      <c r="BC4058" s="3" t="s">
        <v>77</v>
      </c>
      <c r="BD4058" s="3" t="s">
        <v>78</v>
      </c>
      <c r="BE4058" s="3" t="s">
        <v>40434</v>
      </c>
      <c r="BF4058" s="3" t="s">
        <v>40433</v>
      </c>
      <c r="BG4058" s="3" t="s">
        <v>40435</v>
      </c>
    </row>
    <row r="4059" spans="1:59" ht="58" x14ac:dyDescent="0.35">
      <c r="A4059" s="2" t="s">
        <v>59</v>
      </c>
      <c r="B4059" s="2" t="s">
        <v>60</v>
      </c>
      <c r="C4059" s="2" t="s">
        <v>40436</v>
      </c>
      <c r="D4059" s="2" t="s">
        <v>40437</v>
      </c>
      <c r="E4059" s="2" t="s">
        <v>40438</v>
      </c>
      <c r="G4059" s="3" t="s">
        <v>65</v>
      </c>
      <c r="I4059" s="3" t="s">
        <v>65</v>
      </c>
      <c r="J4059" s="3" t="s">
        <v>65</v>
      </c>
      <c r="K4059" s="3" t="s">
        <v>66</v>
      </c>
      <c r="L4059" s="2" t="s">
        <v>40415</v>
      </c>
      <c r="M4059" s="2" t="s">
        <v>40439</v>
      </c>
      <c r="N4059" s="3" t="s">
        <v>113</v>
      </c>
      <c r="P4059" s="3" t="s">
        <v>140</v>
      </c>
      <c r="R4059" s="3" t="s">
        <v>71</v>
      </c>
      <c r="S4059" s="4">
        <v>0</v>
      </c>
      <c r="T4059" s="4">
        <v>0</v>
      </c>
      <c r="W4059" s="5" t="s">
        <v>72</v>
      </c>
      <c r="X4059" s="5" t="s">
        <v>72</v>
      </c>
      <c r="Y4059" s="4">
        <v>77</v>
      </c>
      <c r="Z4059" s="4">
        <v>8</v>
      </c>
      <c r="AA4059" s="4">
        <v>10</v>
      </c>
      <c r="AB4059" s="4">
        <v>2</v>
      </c>
      <c r="AC4059" s="4">
        <v>3</v>
      </c>
      <c r="AD4059" s="4">
        <v>43</v>
      </c>
      <c r="AE4059" s="4">
        <v>44</v>
      </c>
      <c r="AF4059" s="4">
        <v>0</v>
      </c>
      <c r="AG4059" s="4">
        <v>1</v>
      </c>
      <c r="AH4059" s="4">
        <v>41</v>
      </c>
      <c r="AI4059" s="4">
        <v>41</v>
      </c>
      <c r="AJ4059" s="4">
        <v>5</v>
      </c>
      <c r="AK4059" s="4">
        <v>6</v>
      </c>
      <c r="AL4059" s="4">
        <v>30</v>
      </c>
      <c r="AM4059" s="4">
        <v>30</v>
      </c>
      <c r="AN4059" s="4">
        <v>5</v>
      </c>
      <c r="AO4059" s="4">
        <v>5</v>
      </c>
      <c r="AP4059" s="4">
        <v>5</v>
      </c>
      <c r="AQ4059" s="4">
        <v>5</v>
      </c>
      <c r="AR4059" s="3" t="s">
        <v>65</v>
      </c>
      <c r="AS4059" s="3" t="s">
        <v>65</v>
      </c>
      <c r="AT4059" s="3" t="s">
        <v>209</v>
      </c>
      <c r="AU4059" s="6" t="str">
        <f>HYPERLINK("http://catalog.hathitrust.org/Record/011229137","HathiTrust Record")</f>
        <v>HathiTrust Record</v>
      </c>
      <c r="AV4059" s="6" t="str">
        <f>HYPERLINK("http://mcgill.on.worldcat.org/oclc/679933829","Catalog Record")</f>
        <v>Catalog Record</v>
      </c>
      <c r="AW4059" s="6" t="str">
        <f>HYPERLINK("http://www.worldcat.org/oclc/679933829","WorldCat Record")</f>
        <v>WorldCat Record</v>
      </c>
      <c r="AX4059" s="3" t="s">
        <v>40440</v>
      </c>
      <c r="AY4059" s="3" t="s">
        <v>40441</v>
      </c>
      <c r="AZ4059" s="3" t="s">
        <v>40442</v>
      </c>
      <c r="BA4059" s="3" t="s">
        <v>40442</v>
      </c>
      <c r="BB4059" s="3" t="s">
        <v>40443</v>
      </c>
      <c r="BC4059" s="3" t="s">
        <v>77</v>
      </c>
      <c r="BD4059" s="3" t="s">
        <v>78</v>
      </c>
      <c r="BE4059" s="3" t="s">
        <v>40444</v>
      </c>
      <c r="BF4059" s="3" t="s">
        <v>40443</v>
      </c>
      <c r="BG4059" s="3" t="s">
        <v>40445</v>
      </c>
    </row>
    <row r="4060" spans="1:59" ht="58" x14ac:dyDescent="0.35">
      <c r="A4060" s="2" t="s">
        <v>59</v>
      </c>
      <c r="B4060" s="2" t="s">
        <v>60</v>
      </c>
      <c r="C4060" s="2" t="s">
        <v>40446</v>
      </c>
      <c r="D4060" s="2" t="s">
        <v>40447</v>
      </c>
      <c r="E4060" s="2" t="s">
        <v>40448</v>
      </c>
      <c r="G4060" s="3" t="s">
        <v>65</v>
      </c>
      <c r="I4060" s="3" t="s">
        <v>65</v>
      </c>
      <c r="J4060" s="3" t="s">
        <v>65</v>
      </c>
      <c r="K4060" s="3" t="s">
        <v>66</v>
      </c>
      <c r="M4060" s="2" t="s">
        <v>21845</v>
      </c>
      <c r="N4060" s="3" t="s">
        <v>68</v>
      </c>
      <c r="P4060" s="3" t="s">
        <v>140</v>
      </c>
      <c r="Q4060" s="2" t="s">
        <v>40449</v>
      </c>
      <c r="R4060" s="3" t="s">
        <v>71</v>
      </c>
      <c r="S4060" s="4">
        <v>0</v>
      </c>
      <c r="T4060" s="4">
        <v>0</v>
      </c>
      <c r="W4060" s="5" t="s">
        <v>72</v>
      </c>
      <c r="X4060" s="5" t="s">
        <v>72</v>
      </c>
      <c r="Y4060" s="4">
        <v>28</v>
      </c>
      <c r="Z4060" s="4">
        <v>1</v>
      </c>
      <c r="AA4060" s="4">
        <v>1</v>
      </c>
      <c r="AB4060" s="4">
        <v>1</v>
      </c>
      <c r="AC4060" s="4">
        <v>1</v>
      </c>
      <c r="AD4060" s="4">
        <v>22</v>
      </c>
      <c r="AE4060" s="4">
        <v>22</v>
      </c>
      <c r="AF4060" s="4">
        <v>0</v>
      </c>
      <c r="AG4060" s="4">
        <v>0</v>
      </c>
      <c r="AH4060" s="4">
        <v>21</v>
      </c>
      <c r="AI4060" s="4">
        <v>21</v>
      </c>
      <c r="AJ4060" s="4">
        <v>0</v>
      </c>
      <c r="AK4060" s="4">
        <v>0</v>
      </c>
      <c r="AL4060" s="4">
        <v>20</v>
      </c>
      <c r="AM4060" s="4">
        <v>20</v>
      </c>
      <c r="AN4060" s="4">
        <v>0</v>
      </c>
      <c r="AO4060" s="4">
        <v>0</v>
      </c>
      <c r="AP4060" s="4">
        <v>0</v>
      </c>
      <c r="AQ4060" s="4">
        <v>0</v>
      </c>
      <c r="AR4060" s="3" t="s">
        <v>65</v>
      </c>
      <c r="AS4060" s="3" t="s">
        <v>65</v>
      </c>
      <c r="AT4060" s="3" t="s">
        <v>65</v>
      </c>
      <c r="AV4060" s="6" t="str">
        <f>HYPERLINK("http://mcgill.on.worldcat.org/oclc/980302209","Catalog Record")</f>
        <v>Catalog Record</v>
      </c>
      <c r="AW4060" s="6" t="str">
        <f>HYPERLINK("http://www.worldcat.org/oclc/980302209","WorldCat Record")</f>
        <v>WorldCat Record</v>
      </c>
      <c r="AX4060" s="3" t="s">
        <v>40450</v>
      </c>
      <c r="AY4060" s="3" t="s">
        <v>40451</v>
      </c>
      <c r="AZ4060" s="3" t="s">
        <v>40452</v>
      </c>
      <c r="BA4060" s="3" t="s">
        <v>40452</v>
      </c>
      <c r="BB4060" s="3" t="s">
        <v>40453</v>
      </c>
      <c r="BC4060" s="3" t="s">
        <v>77</v>
      </c>
      <c r="BD4060" s="3" t="s">
        <v>78</v>
      </c>
      <c r="BE4060" s="3" t="s">
        <v>40454</v>
      </c>
      <c r="BF4060" s="3" t="s">
        <v>40453</v>
      </c>
      <c r="BG4060" s="3" t="s">
        <v>40455</v>
      </c>
    </row>
    <row r="4061" spans="1:59" ht="58" x14ac:dyDescent="0.35">
      <c r="A4061" s="2" t="s">
        <v>59</v>
      </c>
      <c r="B4061" s="2" t="s">
        <v>60</v>
      </c>
      <c r="C4061" s="2" t="s">
        <v>40456</v>
      </c>
      <c r="D4061" s="2" t="s">
        <v>40457</v>
      </c>
      <c r="E4061" s="2" t="s">
        <v>40458</v>
      </c>
      <c r="G4061" s="3" t="s">
        <v>65</v>
      </c>
      <c r="I4061" s="3" t="s">
        <v>65</v>
      </c>
      <c r="J4061" s="3" t="s">
        <v>65</v>
      </c>
      <c r="K4061" s="3" t="s">
        <v>66</v>
      </c>
      <c r="L4061" s="2" t="s">
        <v>40459</v>
      </c>
      <c r="M4061" s="2" t="s">
        <v>35188</v>
      </c>
      <c r="N4061" s="3" t="s">
        <v>68</v>
      </c>
      <c r="P4061" s="3" t="s">
        <v>140</v>
      </c>
      <c r="Q4061" s="2" t="s">
        <v>33129</v>
      </c>
      <c r="R4061" s="3" t="s">
        <v>71</v>
      </c>
      <c r="S4061" s="4">
        <v>0</v>
      </c>
      <c r="T4061" s="4">
        <v>0</v>
      </c>
      <c r="W4061" s="5" t="s">
        <v>72</v>
      </c>
      <c r="X4061" s="5" t="s">
        <v>72</v>
      </c>
      <c r="Y4061" s="4">
        <v>73</v>
      </c>
      <c r="Z4061" s="4">
        <v>6</v>
      </c>
      <c r="AA4061" s="4">
        <v>8</v>
      </c>
      <c r="AB4061" s="4">
        <v>1</v>
      </c>
      <c r="AC4061" s="4">
        <v>3</v>
      </c>
      <c r="AD4061" s="4">
        <v>41</v>
      </c>
      <c r="AE4061" s="4">
        <v>42</v>
      </c>
      <c r="AF4061" s="4">
        <v>0</v>
      </c>
      <c r="AG4061" s="4">
        <v>1</v>
      </c>
      <c r="AH4061" s="4">
        <v>40</v>
      </c>
      <c r="AI4061" s="4">
        <v>40</v>
      </c>
      <c r="AJ4061" s="4">
        <v>3</v>
      </c>
      <c r="AK4061" s="4">
        <v>4</v>
      </c>
      <c r="AL4061" s="4">
        <v>31</v>
      </c>
      <c r="AM4061" s="4">
        <v>31</v>
      </c>
      <c r="AN4061" s="4">
        <v>0</v>
      </c>
      <c r="AO4061" s="4">
        <v>0</v>
      </c>
      <c r="AP4061" s="4">
        <v>3</v>
      </c>
      <c r="AQ4061" s="4">
        <v>3</v>
      </c>
      <c r="AR4061" s="3" t="s">
        <v>65</v>
      </c>
      <c r="AS4061" s="3" t="s">
        <v>65</v>
      </c>
      <c r="AT4061" s="3" t="s">
        <v>65</v>
      </c>
      <c r="AV4061" s="6" t="str">
        <f>HYPERLINK("http://mcgill.on.worldcat.org/oclc/948977804","Catalog Record")</f>
        <v>Catalog Record</v>
      </c>
      <c r="AW4061" s="6" t="str">
        <f>HYPERLINK("http://www.worldcat.org/oclc/948977804","WorldCat Record")</f>
        <v>WorldCat Record</v>
      </c>
      <c r="AX4061" s="3" t="s">
        <v>40460</v>
      </c>
      <c r="AY4061" s="3" t="s">
        <v>40461</v>
      </c>
      <c r="AZ4061" s="3" t="s">
        <v>40462</v>
      </c>
      <c r="BA4061" s="3" t="s">
        <v>40462</v>
      </c>
      <c r="BB4061" s="3" t="s">
        <v>40463</v>
      </c>
      <c r="BC4061" s="3" t="s">
        <v>77</v>
      </c>
      <c r="BD4061" s="3" t="s">
        <v>78</v>
      </c>
      <c r="BE4061" s="3" t="s">
        <v>40464</v>
      </c>
      <c r="BF4061" s="3" t="s">
        <v>40463</v>
      </c>
      <c r="BG4061" s="3" t="s">
        <v>40465</v>
      </c>
    </row>
    <row r="4062" spans="1:59" ht="58" x14ac:dyDescent="0.35">
      <c r="A4062" s="2" t="s">
        <v>59</v>
      </c>
      <c r="B4062" s="2" t="s">
        <v>60</v>
      </c>
      <c r="C4062" s="2" t="s">
        <v>40466</v>
      </c>
      <c r="D4062" s="2" t="s">
        <v>40467</v>
      </c>
      <c r="E4062" s="2" t="s">
        <v>40468</v>
      </c>
      <c r="G4062" s="3" t="s">
        <v>65</v>
      </c>
      <c r="I4062" s="3" t="s">
        <v>65</v>
      </c>
      <c r="J4062" s="3" t="s">
        <v>65</v>
      </c>
      <c r="K4062" s="3" t="s">
        <v>66</v>
      </c>
      <c r="L4062" s="2" t="s">
        <v>40469</v>
      </c>
      <c r="M4062" s="2" t="s">
        <v>37419</v>
      </c>
      <c r="N4062" s="3" t="s">
        <v>176</v>
      </c>
      <c r="O4062" s="2" t="s">
        <v>235</v>
      </c>
      <c r="P4062" s="3" t="s">
        <v>140</v>
      </c>
      <c r="Q4062" s="2" t="s">
        <v>22053</v>
      </c>
      <c r="R4062" s="3" t="s">
        <v>71</v>
      </c>
      <c r="S4062" s="4">
        <v>0</v>
      </c>
      <c r="T4062" s="4">
        <v>0</v>
      </c>
      <c r="W4062" s="5" t="s">
        <v>72</v>
      </c>
      <c r="X4062" s="5" t="s">
        <v>72</v>
      </c>
      <c r="Y4062" s="4">
        <v>58</v>
      </c>
      <c r="Z4062" s="4">
        <v>3</v>
      </c>
      <c r="AA4062" s="4">
        <v>4</v>
      </c>
      <c r="AB4062" s="4">
        <v>1</v>
      </c>
      <c r="AC4062" s="4">
        <v>2</v>
      </c>
      <c r="AD4062" s="4">
        <v>39</v>
      </c>
      <c r="AE4062" s="4">
        <v>40</v>
      </c>
      <c r="AF4062" s="4">
        <v>0</v>
      </c>
      <c r="AG4062" s="4">
        <v>1</v>
      </c>
      <c r="AH4062" s="4">
        <v>38</v>
      </c>
      <c r="AI4062" s="4">
        <v>38</v>
      </c>
      <c r="AJ4062" s="4">
        <v>1</v>
      </c>
      <c r="AK4062" s="4">
        <v>2</v>
      </c>
      <c r="AL4062" s="4">
        <v>31</v>
      </c>
      <c r="AM4062" s="4">
        <v>31</v>
      </c>
      <c r="AN4062" s="4">
        <v>0</v>
      </c>
      <c r="AO4062" s="4">
        <v>0</v>
      </c>
      <c r="AP4062" s="4">
        <v>1</v>
      </c>
      <c r="AQ4062" s="4">
        <v>1</v>
      </c>
      <c r="AR4062" s="3" t="s">
        <v>65</v>
      </c>
      <c r="AS4062" s="3" t="s">
        <v>65</v>
      </c>
      <c r="AT4062" s="3" t="s">
        <v>65</v>
      </c>
      <c r="AV4062" s="6" t="str">
        <f>HYPERLINK("http://mcgill.on.worldcat.org/oclc/919440673","Catalog Record")</f>
        <v>Catalog Record</v>
      </c>
      <c r="AW4062" s="6" t="str">
        <f>HYPERLINK("http://www.worldcat.org/oclc/919440673","WorldCat Record")</f>
        <v>WorldCat Record</v>
      </c>
      <c r="AX4062" s="3" t="s">
        <v>40470</v>
      </c>
      <c r="AY4062" s="3" t="s">
        <v>40471</v>
      </c>
      <c r="AZ4062" s="3" t="s">
        <v>40472</v>
      </c>
      <c r="BA4062" s="3" t="s">
        <v>40472</v>
      </c>
      <c r="BB4062" s="3" t="s">
        <v>40473</v>
      </c>
      <c r="BC4062" s="3" t="s">
        <v>77</v>
      </c>
      <c r="BD4062" s="3" t="s">
        <v>78</v>
      </c>
      <c r="BE4062" s="3" t="s">
        <v>40474</v>
      </c>
      <c r="BF4062" s="3" t="s">
        <v>40473</v>
      </c>
      <c r="BG4062" s="3" t="s">
        <v>40475</v>
      </c>
    </row>
    <row r="4063" spans="1:59" ht="58" x14ac:dyDescent="0.35">
      <c r="A4063" s="2" t="s">
        <v>59</v>
      </c>
      <c r="B4063" s="2" t="s">
        <v>60</v>
      </c>
      <c r="C4063" s="2" t="s">
        <v>40476</v>
      </c>
      <c r="D4063" s="2" t="s">
        <v>40477</v>
      </c>
      <c r="E4063" s="2" t="s">
        <v>40478</v>
      </c>
      <c r="G4063" s="3" t="s">
        <v>65</v>
      </c>
      <c r="I4063" s="3" t="s">
        <v>65</v>
      </c>
      <c r="J4063" s="3" t="s">
        <v>209</v>
      </c>
      <c r="K4063" s="3" t="s">
        <v>66</v>
      </c>
      <c r="L4063" s="2" t="s">
        <v>40479</v>
      </c>
      <c r="M4063" s="2" t="s">
        <v>40480</v>
      </c>
      <c r="N4063" s="3" t="s">
        <v>2750</v>
      </c>
      <c r="P4063" s="3" t="s">
        <v>140</v>
      </c>
      <c r="Q4063" s="2" t="s">
        <v>40481</v>
      </c>
      <c r="R4063" s="3" t="s">
        <v>71</v>
      </c>
      <c r="S4063" s="4">
        <v>3</v>
      </c>
      <c r="T4063" s="4">
        <v>3</v>
      </c>
      <c r="U4063" s="5" t="s">
        <v>8217</v>
      </c>
      <c r="V4063" s="5" t="s">
        <v>8217</v>
      </c>
      <c r="W4063" s="5" t="s">
        <v>72</v>
      </c>
      <c r="X4063" s="5" t="s">
        <v>72</v>
      </c>
      <c r="Y4063" s="4">
        <v>52</v>
      </c>
      <c r="Z4063" s="4">
        <v>6</v>
      </c>
      <c r="AA4063" s="4">
        <v>17</v>
      </c>
      <c r="AB4063" s="4">
        <v>2</v>
      </c>
      <c r="AC4063" s="4">
        <v>3</v>
      </c>
      <c r="AD4063" s="4">
        <v>21</v>
      </c>
      <c r="AE4063" s="4">
        <v>64</v>
      </c>
      <c r="AF4063" s="4">
        <v>1</v>
      </c>
      <c r="AG4063" s="4">
        <v>2</v>
      </c>
      <c r="AH4063" s="4">
        <v>19</v>
      </c>
      <c r="AI4063" s="4">
        <v>55</v>
      </c>
      <c r="AJ4063" s="4">
        <v>4</v>
      </c>
      <c r="AK4063" s="4">
        <v>13</v>
      </c>
      <c r="AL4063" s="4">
        <v>10</v>
      </c>
      <c r="AM4063" s="4">
        <v>34</v>
      </c>
      <c r="AN4063" s="4">
        <v>0</v>
      </c>
      <c r="AO4063" s="4">
        <v>0</v>
      </c>
      <c r="AP4063" s="4">
        <v>4</v>
      </c>
      <c r="AQ4063" s="4">
        <v>12</v>
      </c>
      <c r="AR4063" s="3" t="s">
        <v>65</v>
      </c>
      <c r="AS4063" s="3" t="s">
        <v>65</v>
      </c>
      <c r="AT4063" s="3" t="s">
        <v>65</v>
      </c>
      <c r="AV4063" s="6" t="str">
        <f>HYPERLINK("http://mcgill.on.worldcat.org/oclc/3332970","Catalog Record")</f>
        <v>Catalog Record</v>
      </c>
      <c r="AW4063" s="6" t="str">
        <f>HYPERLINK("http://www.worldcat.org/oclc/3332970","WorldCat Record")</f>
        <v>WorldCat Record</v>
      </c>
      <c r="AX4063" s="3" t="s">
        <v>40482</v>
      </c>
      <c r="AY4063" s="3" t="s">
        <v>40483</v>
      </c>
      <c r="AZ4063" s="3" t="s">
        <v>40484</v>
      </c>
      <c r="BA4063" s="3" t="s">
        <v>40484</v>
      </c>
      <c r="BB4063" s="3" t="s">
        <v>40485</v>
      </c>
      <c r="BC4063" s="3" t="s">
        <v>77</v>
      </c>
      <c r="BD4063" s="3" t="s">
        <v>78</v>
      </c>
      <c r="BE4063" s="3" t="s">
        <v>40486</v>
      </c>
      <c r="BF4063" s="3" t="s">
        <v>40485</v>
      </c>
      <c r="BG4063" s="3" t="s">
        <v>40487</v>
      </c>
    </row>
    <row r="4064" spans="1:59" ht="58" x14ac:dyDescent="0.35">
      <c r="A4064" s="2" t="s">
        <v>59</v>
      </c>
      <c r="B4064" s="2" t="s">
        <v>60</v>
      </c>
      <c r="C4064" s="2" t="s">
        <v>40488</v>
      </c>
      <c r="D4064" s="2" t="s">
        <v>40489</v>
      </c>
      <c r="E4064" s="2" t="s">
        <v>40490</v>
      </c>
      <c r="G4064" s="3" t="s">
        <v>65</v>
      </c>
      <c r="I4064" s="3" t="s">
        <v>65</v>
      </c>
      <c r="J4064" s="3" t="s">
        <v>209</v>
      </c>
      <c r="K4064" s="3" t="s">
        <v>66</v>
      </c>
      <c r="L4064" s="2" t="s">
        <v>40491</v>
      </c>
      <c r="M4064" s="2" t="s">
        <v>40492</v>
      </c>
      <c r="N4064" s="3" t="s">
        <v>1835</v>
      </c>
      <c r="O4064" s="2" t="s">
        <v>40493</v>
      </c>
      <c r="P4064" s="3" t="s">
        <v>140</v>
      </c>
      <c r="Q4064" s="2" t="s">
        <v>40494</v>
      </c>
      <c r="R4064" s="3" t="s">
        <v>71</v>
      </c>
      <c r="S4064" s="4">
        <v>5</v>
      </c>
      <c r="T4064" s="4">
        <v>5</v>
      </c>
      <c r="U4064" s="5" t="s">
        <v>5831</v>
      </c>
      <c r="V4064" s="5" t="s">
        <v>5831</v>
      </c>
      <c r="W4064" s="5" t="s">
        <v>72</v>
      </c>
      <c r="X4064" s="5" t="s">
        <v>72</v>
      </c>
      <c r="Y4064" s="4">
        <v>56</v>
      </c>
      <c r="Z4064" s="4">
        <v>1</v>
      </c>
      <c r="AA4064" s="4">
        <v>11</v>
      </c>
      <c r="AB4064" s="4">
        <v>1</v>
      </c>
      <c r="AC4064" s="4">
        <v>3</v>
      </c>
      <c r="AD4064" s="4">
        <v>22</v>
      </c>
      <c r="AE4064" s="4">
        <v>71</v>
      </c>
      <c r="AF4064" s="4">
        <v>0</v>
      </c>
      <c r="AG4064" s="4">
        <v>1</v>
      </c>
      <c r="AH4064" s="4">
        <v>21</v>
      </c>
      <c r="AI4064" s="4">
        <v>65</v>
      </c>
      <c r="AJ4064" s="4">
        <v>0</v>
      </c>
      <c r="AK4064" s="4">
        <v>6</v>
      </c>
      <c r="AL4064" s="4">
        <v>12</v>
      </c>
      <c r="AM4064" s="4">
        <v>43</v>
      </c>
      <c r="AN4064" s="4">
        <v>0</v>
      </c>
      <c r="AO4064" s="4">
        <v>0</v>
      </c>
      <c r="AP4064" s="4">
        <v>0</v>
      </c>
      <c r="AQ4064" s="4">
        <v>5</v>
      </c>
      <c r="AR4064" s="3" t="s">
        <v>65</v>
      </c>
      <c r="AS4064" s="3" t="s">
        <v>65</v>
      </c>
      <c r="AT4064" s="3" t="s">
        <v>65</v>
      </c>
      <c r="AV4064" s="6" t="str">
        <f>HYPERLINK("http://mcgill.on.worldcat.org/oclc/8849496","Catalog Record")</f>
        <v>Catalog Record</v>
      </c>
      <c r="AW4064" s="6" t="str">
        <f>HYPERLINK("http://www.worldcat.org/oclc/8849496","WorldCat Record")</f>
        <v>WorldCat Record</v>
      </c>
      <c r="AX4064" s="3" t="s">
        <v>40495</v>
      </c>
      <c r="AY4064" s="3" t="s">
        <v>40496</v>
      </c>
      <c r="AZ4064" s="3" t="s">
        <v>40497</v>
      </c>
      <c r="BA4064" s="3" t="s">
        <v>40497</v>
      </c>
      <c r="BB4064" s="3" t="s">
        <v>40498</v>
      </c>
      <c r="BC4064" s="3" t="s">
        <v>77</v>
      </c>
      <c r="BD4064" s="3" t="s">
        <v>78</v>
      </c>
      <c r="BE4064" s="3" t="s">
        <v>40499</v>
      </c>
      <c r="BF4064" s="3" t="s">
        <v>40498</v>
      </c>
      <c r="BG4064" s="3" t="s">
        <v>40500</v>
      </c>
    </row>
    <row r="4065" spans="1:59" ht="58" x14ac:dyDescent="0.35">
      <c r="A4065" s="2" t="s">
        <v>59</v>
      </c>
      <c r="B4065" s="2" t="s">
        <v>60</v>
      </c>
      <c r="C4065" s="2" t="s">
        <v>40501</v>
      </c>
      <c r="D4065" s="2" t="s">
        <v>40502</v>
      </c>
      <c r="E4065" s="2" t="s">
        <v>40503</v>
      </c>
      <c r="G4065" s="3" t="s">
        <v>65</v>
      </c>
      <c r="I4065" s="3" t="s">
        <v>65</v>
      </c>
      <c r="J4065" s="3" t="s">
        <v>65</v>
      </c>
      <c r="K4065" s="3" t="s">
        <v>66</v>
      </c>
      <c r="L4065" s="2" t="s">
        <v>40504</v>
      </c>
      <c r="M4065" s="2" t="s">
        <v>40505</v>
      </c>
      <c r="N4065" s="3" t="s">
        <v>126</v>
      </c>
      <c r="P4065" s="3" t="s">
        <v>140</v>
      </c>
      <c r="Q4065" s="2" t="s">
        <v>40506</v>
      </c>
      <c r="R4065" s="3" t="s">
        <v>71</v>
      </c>
      <c r="S4065" s="4">
        <v>0</v>
      </c>
      <c r="T4065" s="4">
        <v>0</v>
      </c>
      <c r="W4065" s="5" t="s">
        <v>72</v>
      </c>
      <c r="X4065" s="5" t="s">
        <v>72</v>
      </c>
      <c r="Y4065" s="4">
        <v>44</v>
      </c>
      <c r="Z4065" s="4">
        <v>4</v>
      </c>
      <c r="AA4065" s="4">
        <v>4</v>
      </c>
      <c r="AB4065" s="4">
        <v>1</v>
      </c>
      <c r="AC4065" s="4">
        <v>1</v>
      </c>
      <c r="AD4065" s="4">
        <v>32</v>
      </c>
      <c r="AE4065" s="4">
        <v>32</v>
      </c>
      <c r="AF4065" s="4">
        <v>0</v>
      </c>
      <c r="AG4065" s="4">
        <v>0</v>
      </c>
      <c r="AH4065" s="4">
        <v>31</v>
      </c>
      <c r="AI4065" s="4">
        <v>31</v>
      </c>
      <c r="AJ4065" s="4">
        <v>2</v>
      </c>
      <c r="AK4065" s="4">
        <v>2</v>
      </c>
      <c r="AL4065" s="4">
        <v>24</v>
      </c>
      <c r="AM4065" s="4">
        <v>24</v>
      </c>
      <c r="AN4065" s="4">
        <v>0</v>
      </c>
      <c r="AO4065" s="4">
        <v>0</v>
      </c>
      <c r="AP4065" s="4">
        <v>2</v>
      </c>
      <c r="AQ4065" s="4">
        <v>2</v>
      </c>
      <c r="AR4065" s="3" t="s">
        <v>65</v>
      </c>
      <c r="AS4065" s="3" t="s">
        <v>65</v>
      </c>
      <c r="AT4065" s="3" t="s">
        <v>65</v>
      </c>
      <c r="AV4065" s="6" t="str">
        <f>HYPERLINK("http://mcgill.on.worldcat.org/oclc/773015021","Catalog Record")</f>
        <v>Catalog Record</v>
      </c>
      <c r="AW4065" s="6" t="str">
        <f>HYPERLINK("http://www.worldcat.org/oclc/773015021","WorldCat Record")</f>
        <v>WorldCat Record</v>
      </c>
      <c r="AX4065" s="3" t="s">
        <v>40507</v>
      </c>
      <c r="AY4065" s="3" t="s">
        <v>40508</v>
      </c>
      <c r="AZ4065" s="3" t="s">
        <v>40509</v>
      </c>
      <c r="BA4065" s="3" t="s">
        <v>40509</v>
      </c>
      <c r="BB4065" s="3" t="s">
        <v>40510</v>
      </c>
      <c r="BC4065" s="3" t="s">
        <v>77</v>
      </c>
      <c r="BD4065" s="3" t="s">
        <v>78</v>
      </c>
      <c r="BE4065" s="3" t="s">
        <v>40511</v>
      </c>
      <c r="BF4065" s="3" t="s">
        <v>40510</v>
      </c>
      <c r="BG4065" s="3" t="s">
        <v>40512</v>
      </c>
    </row>
    <row r="4066" spans="1:59" ht="58" x14ac:dyDescent="0.35">
      <c r="A4066" s="2" t="s">
        <v>59</v>
      </c>
      <c r="B4066" s="2" t="s">
        <v>60</v>
      </c>
      <c r="C4066" s="2" t="s">
        <v>40513</v>
      </c>
      <c r="D4066" s="2" t="s">
        <v>40514</v>
      </c>
      <c r="E4066" s="2" t="s">
        <v>40515</v>
      </c>
      <c r="G4066" s="3" t="s">
        <v>65</v>
      </c>
      <c r="I4066" s="3" t="s">
        <v>65</v>
      </c>
      <c r="J4066" s="3" t="s">
        <v>65</v>
      </c>
      <c r="K4066" s="3" t="s">
        <v>66</v>
      </c>
      <c r="L4066" s="2" t="s">
        <v>40491</v>
      </c>
      <c r="M4066" s="2" t="s">
        <v>40516</v>
      </c>
      <c r="N4066" s="3" t="s">
        <v>1032</v>
      </c>
      <c r="P4066" s="3" t="s">
        <v>140</v>
      </c>
      <c r="Q4066" s="2" t="s">
        <v>40517</v>
      </c>
      <c r="R4066" s="3" t="s">
        <v>71</v>
      </c>
      <c r="S4066" s="4">
        <v>1</v>
      </c>
      <c r="T4066" s="4">
        <v>1</v>
      </c>
      <c r="U4066" s="5" t="s">
        <v>3553</v>
      </c>
      <c r="V4066" s="5" t="s">
        <v>3553</v>
      </c>
      <c r="W4066" s="5" t="s">
        <v>72</v>
      </c>
      <c r="X4066" s="5" t="s">
        <v>72</v>
      </c>
      <c r="Y4066" s="4">
        <v>39</v>
      </c>
      <c r="Z4066" s="4">
        <v>3</v>
      </c>
      <c r="AA4066" s="4">
        <v>3</v>
      </c>
      <c r="AB4066" s="4">
        <v>1</v>
      </c>
      <c r="AC4066" s="4">
        <v>1</v>
      </c>
      <c r="AD4066" s="4">
        <v>25</v>
      </c>
      <c r="AE4066" s="4">
        <v>25</v>
      </c>
      <c r="AF4066" s="4">
        <v>0</v>
      </c>
      <c r="AG4066" s="4">
        <v>0</v>
      </c>
      <c r="AH4066" s="4">
        <v>24</v>
      </c>
      <c r="AI4066" s="4">
        <v>24</v>
      </c>
      <c r="AJ4066" s="4">
        <v>1</v>
      </c>
      <c r="AK4066" s="4">
        <v>1</v>
      </c>
      <c r="AL4066" s="4">
        <v>22</v>
      </c>
      <c r="AM4066" s="4">
        <v>22</v>
      </c>
      <c r="AN4066" s="4">
        <v>0</v>
      </c>
      <c r="AO4066" s="4">
        <v>0</v>
      </c>
      <c r="AP4066" s="4">
        <v>1</v>
      </c>
      <c r="AQ4066" s="4">
        <v>1</v>
      </c>
      <c r="AR4066" s="3" t="s">
        <v>65</v>
      </c>
      <c r="AS4066" s="3" t="s">
        <v>65</v>
      </c>
      <c r="AT4066" s="3" t="s">
        <v>65</v>
      </c>
      <c r="AV4066" s="6" t="str">
        <f>HYPERLINK("http://mcgill.on.worldcat.org/oclc/35212715","Catalog Record")</f>
        <v>Catalog Record</v>
      </c>
      <c r="AW4066" s="6" t="str">
        <f>HYPERLINK("http://www.worldcat.org/oclc/35212715","WorldCat Record")</f>
        <v>WorldCat Record</v>
      </c>
      <c r="AX4066" s="3" t="s">
        <v>40518</v>
      </c>
      <c r="AY4066" s="3" t="s">
        <v>40519</v>
      </c>
      <c r="AZ4066" s="3" t="s">
        <v>40520</v>
      </c>
      <c r="BA4066" s="3" t="s">
        <v>40520</v>
      </c>
      <c r="BB4066" s="3" t="s">
        <v>40521</v>
      </c>
      <c r="BC4066" s="3" t="s">
        <v>77</v>
      </c>
      <c r="BD4066" s="3" t="s">
        <v>78</v>
      </c>
      <c r="BE4066" s="3" t="s">
        <v>40522</v>
      </c>
      <c r="BF4066" s="3" t="s">
        <v>40521</v>
      </c>
      <c r="BG4066" s="3" t="s">
        <v>40523</v>
      </c>
    </row>
    <row r="4067" spans="1:59" ht="58" x14ac:dyDescent="0.35">
      <c r="A4067" s="2" t="s">
        <v>59</v>
      </c>
      <c r="B4067" s="2" t="s">
        <v>60</v>
      </c>
      <c r="C4067" s="2" t="s">
        <v>40524</v>
      </c>
      <c r="D4067" s="2" t="s">
        <v>40525</v>
      </c>
      <c r="E4067" s="2" t="s">
        <v>40526</v>
      </c>
      <c r="G4067" s="3" t="s">
        <v>65</v>
      </c>
      <c r="I4067" s="3" t="s">
        <v>65</v>
      </c>
      <c r="J4067" s="3" t="s">
        <v>65</v>
      </c>
      <c r="K4067" s="3" t="s">
        <v>66</v>
      </c>
      <c r="L4067" s="2" t="s">
        <v>40527</v>
      </c>
      <c r="M4067" s="2" t="s">
        <v>40528</v>
      </c>
      <c r="N4067" s="3" t="s">
        <v>139</v>
      </c>
      <c r="P4067" s="3" t="s">
        <v>140</v>
      </c>
      <c r="Q4067" s="2" t="s">
        <v>40529</v>
      </c>
      <c r="R4067" s="3" t="s">
        <v>71</v>
      </c>
      <c r="S4067" s="4">
        <v>0</v>
      </c>
      <c r="T4067" s="4">
        <v>0</v>
      </c>
      <c r="W4067" s="5" t="s">
        <v>72</v>
      </c>
      <c r="X4067" s="5" t="s">
        <v>72</v>
      </c>
      <c r="Y4067" s="4">
        <v>37</v>
      </c>
      <c r="Z4067" s="4">
        <v>4</v>
      </c>
      <c r="AA4067" s="4">
        <v>4</v>
      </c>
      <c r="AB4067" s="4">
        <v>1</v>
      </c>
      <c r="AC4067" s="4">
        <v>1</v>
      </c>
      <c r="AD4067" s="4">
        <v>29</v>
      </c>
      <c r="AE4067" s="4">
        <v>29</v>
      </c>
      <c r="AF4067" s="4">
        <v>0</v>
      </c>
      <c r="AG4067" s="4">
        <v>0</v>
      </c>
      <c r="AH4067" s="4">
        <v>28</v>
      </c>
      <c r="AI4067" s="4">
        <v>28</v>
      </c>
      <c r="AJ4067" s="4">
        <v>2</v>
      </c>
      <c r="AK4067" s="4">
        <v>2</v>
      </c>
      <c r="AL4067" s="4">
        <v>23</v>
      </c>
      <c r="AM4067" s="4">
        <v>23</v>
      </c>
      <c r="AN4067" s="4">
        <v>0</v>
      </c>
      <c r="AO4067" s="4">
        <v>0</v>
      </c>
      <c r="AP4067" s="4">
        <v>2</v>
      </c>
      <c r="AQ4067" s="4">
        <v>2</v>
      </c>
      <c r="AR4067" s="3" t="s">
        <v>65</v>
      </c>
      <c r="AS4067" s="3" t="s">
        <v>65</v>
      </c>
      <c r="AT4067" s="3" t="s">
        <v>65</v>
      </c>
      <c r="AV4067" s="6" t="str">
        <f>HYPERLINK("http://mcgill.on.worldcat.org/oclc/809543023","Catalog Record")</f>
        <v>Catalog Record</v>
      </c>
      <c r="AW4067" s="6" t="str">
        <f>HYPERLINK("http://www.worldcat.org/oclc/809543023","WorldCat Record")</f>
        <v>WorldCat Record</v>
      </c>
      <c r="AX4067" s="3" t="s">
        <v>40530</v>
      </c>
      <c r="AY4067" s="3" t="s">
        <v>40531</v>
      </c>
      <c r="AZ4067" s="3" t="s">
        <v>40532</v>
      </c>
      <c r="BA4067" s="3" t="s">
        <v>40532</v>
      </c>
      <c r="BB4067" s="3" t="s">
        <v>40533</v>
      </c>
      <c r="BC4067" s="3" t="s">
        <v>77</v>
      </c>
      <c r="BD4067" s="3" t="s">
        <v>78</v>
      </c>
      <c r="BE4067" s="3" t="s">
        <v>40534</v>
      </c>
      <c r="BF4067" s="3" t="s">
        <v>40533</v>
      </c>
      <c r="BG4067" s="3" t="s">
        <v>40535</v>
      </c>
    </row>
    <row r="4068" spans="1:59" ht="58" x14ac:dyDescent="0.35">
      <c r="A4068" s="2" t="s">
        <v>59</v>
      </c>
      <c r="B4068" s="2" t="s">
        <v>60</v>
      </c>
      <c r="C4068" s="2" t="s">
        <v>40536</v>
      </c>
      <c r="D4068" s="2" t="s">
        <v>40537</v>
      </c>
      <c r="E4068" s="2" t="s">
        <v>40538</v>
      </c>
      <c r="G4068" s="3" t="s">
        <v>65</v>
      </c>
      <c r="I4068" s="3" t="s">
        <v>65</v>
      </c>
      <c r="J4068" s="3" t="s">
        <v>65</v>
      </c>
      <c r="K4068" s="3" t="s">
        <v>66</v>
      </c>
      <c r="M4068" s="2" t="s">
        <v>40539</v>
      </c>
      <c r="N4068" s="3" t="s">
        <v>176</v>
      </c>
      <c r="P4068" s="3" t="s">
        <v>140</v>
      </c>
      <c r="Q4068" s="2" t="s">
        <v>40540</v>
      </c>
      <c r="R4068" s="3" t="s">
        <v>71</v>
      </c>
      <c r="S4068" s="4">
        <v>0</v>
      </c>
      <c r="T4068" s="4">
        <v>0</v>
      </c>
      <c r="W4068" s="5" t="s">
        <v>72</v>
      </c>
      <c r="X4068" s="5" t="s">
        <v>72</v>
      </c>
      <c r="Y4068" s="4">
        <v>23</v>
      </c>
      <c r="Z4068" s="4">
        <v>3</v>
      </c>
      <c r="AA4068" s="4">
        <v>3</v>
      </c>
      <c r="AB4068" s="4">
        <v>1</v>
      </c>
      <c r="AC4068" s="4">
        <v>1</v>
      </c>
      <c r="AD4068" s="4">
        <v>16</v>
      </c>
      <c r="AE4068" s="4">
        <v>16</v>
      </c>
      <c r="AF4068" s="4">
        <v>0</v>
      </c>
      <c r="AG4068" s="4">
        <v>0</v>
      </c>
      <c r="AH4068" s="4">
        <v>16</v>
      </c>
      <c r="AI4068" s="4">
        <v>16</v>
      </c>
      <c r="AJ4068" s="4">
        <v>1</v>
      </c>
      <c r="AK4068" s="4">
        <v>1</v>
      </c>
      <c r="AL4068" s="4">
        <v>13</v>
      </c>
      <c r="AM4068" s="4">
        <v>13</v>
      </c>
      <c r="AN4068" s="4">
        <v>0</v>
      </c>
      <c r="AO4068" s="4">
        <v>0</v>
      </c>
      <c r="AP4068" s="4">
        <v>1</v>
      </c>
      <c r="AQ4068" s="4">
        <v>1</v>
      </c>
      <c r="AR4068" s="3" t="s">
        <v>65</v>
      </c>
      <c r="AS4068" s="3" t="s">
        <v>65</v>
      </c>
      <c r="AT4068" s="3" t="s">
        <v>65</v>
      </c>
      <c r="AV4068" s="6" t="str">
        <f>HYPERLINK("http://mcgill.on.worldcat.org/oclc/921143904","Catalog Record")</f>
        <v>Catalog Record</v>
      </c>
      <c r="AW4068" s="6" t="str">
        <f>HYPERLINK("http://www.worldcat.org/oclc/921143904","WorldCat Record")</f>
        <v>WorldCat Record</v>
      </c>
      <c r="AX4068" s="3" t="s">
        <v>40541</v>
      </c>
      <c r="AY4068" s="3" t="s">
        <v>40542</v>
      </c>
      <c r="AZ4068" s="3" t="s">
        <v>40543</v>
      </c>
      <c r="BA4068" s="3" t="s">
        <v>40543</v>
      </c>
      <c r="BB4068" s="3" t="s">
        <v>40544</v>
      </c>
      <c r="BC4068" s="3" t="s">
        <v>77</v>
      </c>
      <c r="BD4068" s="3" t="s">
        <v>78</v>
      </c>
      <c r="BE4068" s="3" t="s">
        <v>40545</v>
      </c>
      <c r="BF4068" s="3" t="s">
        <v>40544</v>
      </c>
      <c r="BG4068" s="3" t="s">
        <v>40546</v>
      </c>
    </row>
    <row r="4069" spans="1:59" ht="58" x14ac:dyDescent="0.35">
      <c r="A4069" s="2" t="s">
        <v>59</v>
      </c>
      <c r="B4069" s="2" t="s">
        <v>60</v>
      </c>
      <c r="C4069" s="2" t="s">
        <v>40547</v>
      </c>
      <c r="D4069" s="2" t="s">
        <v>40548</v>
      </c>
      <c r="E4069" s="2" t="s">
        <v>40549</v>
      </c>
      <c r="G4069" s="3" t="s">
        <v>65</v>
      </c>
      <c r="I4069" s="3" t="s">
        <v>65</v>
      </c>
      <c r="J4069" s="3" t="s">
        <v>65</v>
      </c>
      <c r="K4069" s="3" t="s">
        <v>66</v>
      </c>
      <c r="L4069" s="2" t="s">
        <v>40504</v>
      </c>
      <c r="M4069" s="2" t="s">
        <v>37149</v>
      </c>
      <c r="N4069" s="3" t="s">
        <v>188</v>
      </c>
      <c r="P4069" s="3" t="s">
        <v>140</v>
      </c>
      <c r="Q4069" s="2" t="s">
        <v>40550</v>
      </c>
      <c r="R4069" s="3" t="s">
        <v>71</v>
      </c>
      <c r="S4069" s="4">
        <v>0</v>
      </c>
      <c r="T4069" s="4">
        <v>0</v>
      </c>
      <c r="W4069" s="5" t="s">
        <v>72</v>
      </c>
      <c r="X4069" s="5" t="s">
        <v>72</v>
      </c>
      <c r="Y4069" s="4">
        <v>49</v>
      </c>
      <c r="Z4069" s="4">
        <v>2</v>
      </c>
      <c r="AA4069" s="4">
        <v>2</v>
      </c>
      <c r="AB4069" s="4">
        <v>1</v>
      </c>
      <c r="AC4069" s="4">
        <v>1</v>
      </c>
      <c r="AD4069" s="4">
        <v>35</v>
      </c>
      <c r="AE4069" s="4">
        <v>35</v>
      </c>
      <c r="AF4069" s="4">
        <v>0</v>
      </c>
      <c r="AG4069" s="4">
        <v>0</v>
      </c>
      <c r="AH4069" s="4">
        <v>34</v>
      </c>
      <c r="AI4069" s="4">
        <v>34</v>
      </c>
      <c r="AJ4069" s="4">
        <v>1</v>
      </c>
      <c r="AK4069" s="4">
        <v>1</v>
      </c>
      <c r="AL4069" s="4">
        <v>27</v>
      </c>
      <c r="AM4069" s="4">
        <v>27</v>
      </c>
      <c r="AN4069" s="4">
        <v>0</v>
      </c>
      <c r="AO4069" s="4">
        <v>0</v>
      </c>
      <c r="AP4069" s="4">
        <v>1</v>
      </c>
      <c r="AQ4069" s="4">
        <v>1</v>
      </c>
      <c r="AR4069" s="3" t="s">
        <v>65</v>
      </c>
      <c r="AS4069" s="3" t="s">
        <v>65</v>
      </c>
      <c r="AT4069" s="3" t="s">
        <v>65</v>
      </c>
      <c r="AV4069" s="6" t="str">
        <f>HYPERLINK("http://mcgill.on.worldcat.org/oclc/973266618","Catalog Record")</f>
        <v>Catalog Record</v>
      </c>
      <c r="AW4069" s="6" t="str">
        <f>HYPERLINK("http://www.worldcat.org/oclc/973266618","WorldCat Record")</f>
        <v>WorldCat Record</v>
      </c>
      <c r="AX4069" s="3" t="s">
        <v>40551</v>
      </c>
      <c r="AY4069" s="3" t="s">
        <v>40552</v>
      </c>
      <c r="AZ4069" s="3" t="s">
        <v>40553</v>
      </c>
      <c r="BA4069" s="3" t="s">
        <v>40553</v>
      </c>
      <c r="BB4069" s="3" t="s">
        <v>40554</v>
      </c>
      <c r="BC4069" s="3" t="s">
        <v>77</v>
      </c>
      <c r="BD4069" s="3" t="s">
        <v>78</v>
      </c>
      <c r="BE4069" s="3" t="s">
        <v>40555</v>
      </c>
      <c r="BF4069" s="3" t="s">
        <v>40554</v>
      </c>
      <c r="BG4069" s="3" t="s">
        <v>40556</v>
      </c>
    </row>
    <row r="4070" spans="1:59" ht="58" x14ac:dyDescent="0.35">
      <c r="A4070" s="2" t="s">
        <v>59</v>
      </c>
      <c r="B4070" s="2" t="s">
        <v>60</v>
      </c>
      <c r="C4070" s="2" t="s">
        <v>40557</v>
      </c>
      <c r="D4070" s="2" t="s">
        <v>40558</v>
      </c>
      <c r="E4070" s="2" t="s">
        <v>40559</v>
      </c>
      <c r="G4070" s="3" t="s">
        <v>65</v>
      </c>
      <c r="I4070" s="3" t="s">
        <v>65</v>
      </c>
      <c r="J4070" s="3" t="s">
        <v>65</v>
      </c>
      <c r="K4070" s="3" t="s">
        <v>66</v>
      </c>
      <c r="L4070" s="2" t="s">
        <v>40560</v>
      </c>
      <c r="M4070" s="2" t="s">
        <v>40561</v>
      </c>
      <c r="N4070" s="3" t="s">
        <v>525</v>
      </c>
      <c r="P4070" s="3" t="s">
        <v>69</v>
      </c>
      <c r="R4070" s="3" t="s">
        <v>71</v>
      </c>
      <c r="S4070" s="4">
        <v>15</v>
      </c>
      <c r="T4070" s="4">
        <v>15</v>
      </c>
      <c r="U4070" s="5" t="s">
        <v>2806</v>
      </c>
      <c r="V4070" s="5" t="s">
        <v>2806</v>
      </c>
      <c r="W4070" s="5" t="s">
        <v>72</v>
      </c>
      <c r="X4070" s="5" t="s">
        <v>72</v>
      </c>
      <c r="Y4070" s="4">
        <v>208</v>
      </c>
      <c r="Z4070" s="4">
        <v>11</v>
      </c>
      <c r="AA4070" s="4">
        <v>14</v>
      </c>
      <c r="AB4070" s="4">
        <v>2</v>
      </c>
      <c r="AC4070" s="4">
        <v>4</v>
      </c>
      <c r="AD4070" s="4">
        <v>32</v>
      </c>
      <c r="AE4070" s="4">
        <v>32</v>
      </c>
      <c r="AF4070" s="4">
        <v>0</v>
      </c>
      <c r="AG4070" s="4">
        <v>0</v>
      </c>
      <c r="AH4070" s="4">
        <v>30</v>
      </c>
      <c r="AI4070" s="4">
        <v>30</v>
      </c>
      <c r="AJ4070" s="4">
        <v>1</v>
      </c>
      <c r="AK4070" s="4">
        <v>1</v>
      </c>
      <c r="AL4070" s="4">
        <v>22</v>
      </c>
      <c r="AM4070" s="4">
        <v>22</v>
      </c>
      <c r="AN4070" s="4">
        <v>0</v>
      </c>
      <c r="AO4070" s="4">
        <v>0</v>
      </c>
      <c r="AP4070" s="4">
        <v>1</v>
      </c>
      <c r="AQ4070" s="4">
        <v>1</v>
      </c>
      <c r="AR4070" s="3" t="s">
        <v>65</v>
      </c>
      <c r="AS4070" s="3" t="s">
        <v>65</v>
      </c>
      <c r="AT4070" s="3" t="s">
        <v>209</v>
      </c>
      <c r="AU4070" s="6" t="str">
        <f>HYPERLINK("http://catalog.hathitrust.org/Record/004917268","HathiTrust Record")</f>
        <v>HathiTrust Record</v>
      </c>
      <c r="AV4070" s="6" t="str">
        <f>HYPERLINK("http://mcgill.on.worldcat.org/oclc/55067000","Catalog Record")</f>
        <v>Catalog Record</v>
      </c>
      <c r="AW4070" s="6" t="str">
        <f>HYPERLINK("http://www.worldcat.org/oclc/55067000","WorldCat Record")</f>
        <v>WorldCat Record</v>
      </c>
      <c r="AX4070" s="3" t="s">
        <v>40562</v>
      </c>
      <c r="AY4070" s="3" t="s">
        <v>40563</v>
      </c>
      <c r="AZ4070" s="3" t="s">
        <v>40564</v>
      </c>
      <c r="BA4070" s="3" t="s">
        <v>40564</v>
      </c>
      <c r="BB4070" s="3" t="s">
        <v>40565</v>
      </c>
      <c r="BC4070" s="3" t="s">
        <v>77</v>
      </c>
      <c r="BD4070" s="3" t="s">
        <v>78</v>
      </c>
      <c r="BE4070" s="3" t="s">
        <v>40566</v>
      </c>
      <c r="BF4070" s="3" t="s">
        <v>40565</v>
      </c>
      <c r="BG4070" s="3" t="s">
        <v>40567</v>
      </c>
    </row>
    <row r="4071" spans="1:59" ht="58" x14ac:dyDescent="0.35">
      <c r="A4071" s="2" t="s">
        <v>59</v>
      </c>
      <c r="B4071" s="2" t="s">
        <v>60</v>
      </c>
      <c r="C4071" s="2" t="s">
        <v>40568</v>
      </c>
      <c r="D4071" s="2" t="s">
        <v>40569</v>
      </c>
      <c r="E4071" s="2" t="s">
        <v>40570</v>
      </c>
      <c r="G4071" s="3" t="s">
        <v>65</v>
      </c>
      <c r="I4071" s="3" t="s">
        <v>65</v>
      </c>
      <c r="J4071" s="3" t="s">
        <v>65</v>
      </c>
      <c r="K4071" s="3" t="s">
        <v>66</v>
      </c>
      <c r="L4071" s="2" t="s">
        <v>40560</v>
      </c>
      <c r="M4071" s="2" t="s">
        <v>40571</v>
      </c>
      <c r="N4071" s="3" t="s">
        <v>99</v>
      </c>
      <c r="P4071" s="3" t="s">
        <v>69</v>
      </c>
      <c r="R4071" s="3" t="s">
        <v>71</v>
      </c>
      <c r="S4071" s="4">
        <v>7</v>
      </c>
      <c r="T4071" s="4">
        <v>7</v>
      </c>
      <c r="U4071" s="5" t="s">
        <v>5190</v>
      </c>
      <c r="V4071" s="5" t="s">
        <v>5190</v>
      </c>
      <c r="W4071" s="5" t="s">
        <v>72</v>
      </c>
      <c r="X4071" s="5" t="s">
        <v>72</v>
      </c>
      <c r="Y4071" s="4">
        <v>52</v>
      </c>
      <c r="Z4071" s="4">
        <v>2</v>
      </c>
      <c r="AA4071" s="4">
        <v>15</v>
      </c>
      <c r="AB4071" s="4">
        <v>1</v>
      </c>
      <c r="AC4071" s="4">
        <v>2</v>
      </c>
      <c r="AD4071" s="4">
        <v>11</v>
      </c>
      <c r="AE4071" s="4">
        <v>47</v>
      </c>
      <c r="AF4071" s="4">
        <v>0</v>
      </c>
      <c r="AG4071" s="4">
        <v>0</v>
      </c>
      <c r="AH4071" s="4">
        <v>10</v>
      </c>
      <c r="AI4071" s="4">
        <v>44</v>
      </c>
      <c r="AJ4071" s="4">
        <v>1</v>
      </c>
      <c r="AK4071" s="4">
        <v>5</v>
      </c>
      <c r="AL4071" s="4">
        <v>8</v>
      </c>
      <c r="AM4071" s="4">
        <v>28</v>
      </c>
      <c r="AN4071" s="4">
        <v>0</v>
      </c>
      <c r="AO4071" s="4">
        <v>0</v>
      </c>
      <c r="AP4071" s="4">
        <v>1</v>
      </c>
      <c r="AQ4071" s="4">
        <v>5</v>
      </c>
      <c r="AR4071" s="3" t="s">
        <v>65</v>
      </c>
      <c r="AS4071" s="3" t="s">
        <v>65</v>
      </c>
      <c r="AT4071" s="3" t="s">
        <v>65</v>
      </c>
      <c r="AV4071" s="6" t="str">
        <f>HYPERLINK("http://mcgill.on.worldcat.org/oclc/65203986","Catalog Record")</f>
        <v>Catalog Record</v>
      </c>
      <c r="AW4071" s="6" t="str">
        <f>HYPERLINK("http://www.worldcat.org/oclc/65203986","WorldCat Record")</f>
        <v>WorldCat Record</v>
      </c>
      <c r="AX4071" s="3" t="s">
        <v>40572</v>
      </c>
      <c r="AY4071" s="3" t="s">
        <v>40573</v>
      </c>
      <c r="AZ4071" s="3" t="s">
        <v>40574</v>
      </c>
      <c r="BA4071" s="3" t="s">
        <v>40574</v>
      </c>
      <c r="BB4071" s="3" t="s">
        <v>40575</v>
      </c>
      <c r="BC4071" s="3" t="s">
        <v>77</v>
      </c>
      <c r="BD4071" s="3" t="s">
        <v>78</v>
      </c>
      <c r="BE4071" s="3" t="s">
        <v>40576</v>
      </c>
      <c r="BF4071" s="3" t="s">
        <v>40575</v>
      </c>
      <c r="BG4071" s="3" t="s">
        <v>40577</v>
      </c>
    </row>
    <row r="4072" spans="1:59" ht="72.5" x14ac:dyDescent="0.35">
      <c r="A4072" s="2" t="s">
        <v>59</v>
      </c>
      <c r="B4072" s="2" t="s">
        <v>60</v>
      </c>
      <c r="C4072" s="2" t="s">
        <v>40578</v>
      </c>
      <c r="D4072" s="2" t="s">
        <v>40579</v>
      </c>
      <c r="E4072" s="2" t="s">
        <v>40580</v>
      </c>
      <c r="G4072" s="3" t="s">
        <v>65</v>
      </c>
      <c r="I4072" s="3" t="s">
        <v>65</v>
      </c>
      <c r="J4072" s="3" t="s">
        <v>65</v>
      </c>
      <c r="K4072" s="3" t="s">
        <v>66</v>
      </c>
      <c r="L4072" s="2" t="s">
        <v>40581</v>
      </c>
      <c r="M4072" s="2" t="s">
        <v>40582</v>
      </c>
      <c r="N4072" s="3" t="s">
        <v>221</v>
      </c>
      <c r="P4072" s="3" t="s">
        <v>616</v>
      </c>
      <c r="R4072" s="3" t="s">
        <v>71</v>
      </c>
      <c r="S4072" s="4">
        <v>1</v>
      </c>
      <c r="T4072" s="4">
        <v>1</v>
      </c>
      <c r="U4072" s="5" t="s">
        <v>40583</v>
      </c>
      <c r="V4072" s="5" t="s">
        <v>40583</v>
      </c>
      <c r="W4072" s="5" t="s">
        <v>72</v>
      </c>
      <c r="X4072" s="5" t="s">
        <v>72</v>
      </c>
      <c r="Y4072" s="4">
        <v>22</v>
      </c>
      <c r="Z4072" s="4">
        <v>9</v>
      </c>
      <c r="AA4072" s="4">
        <v>9</v>
      </c>
      <c r="AB4072" s="4">
        <v>5</v>
      </c>
      <c r="AC4072" s="4">
        <v>5</v>
      </c>
      <c r="AD4072" s="4">
        <v>1</v>
      </c>
      <c r="AE4072" s="4">
        <v>1</v>
      </c>
      <c r="AF4072" s="4">
        <v>1</v>
      </c>
      <c r="AG4072" s="4">
        <v>1</v>
      </c>
      <c r="AH4072" s="4">
        <v>1</v>
      </c>
      <c r="AI4072" s="4">
        <v>1</v>
      </c>
      <c r="AJ4072" s="4">
        <v>1</v>
      </c>
      <c r="AK4072" s="4">
        <v>1</v>
      </c>
      <c r="AL4072" s="4">
        <v>0</v>
      </c>
      <c r="AM4072" s="4">
        <v>0</v>
      </c>
      <c r="AN4072" s="4">
        <v>0</v>
      </c>
      <c r="AO4072" s="4">
        <v>0</v>
      </c>
      <c r="AP4072" s="4">
        <v>1</v>
      </c>
      <c r="AQ4072" s="4">
        <v>1</v>
      </c>
      <c r="AR4072" s="3" t="s">
        <v>65</v>
      </c>
      <c r="AS4072" s="3" t="s">
        <v>65</v>
      </c>
      <c r="AT4072" s="3" t="s">
        <v>65</v>
      </c>
      <c r="AV4072" s="6" t="str">
        <f>HYPERLINK("http://mcgill.on.worldcat.org/oclc/145852079","Catalog Record")</f>
        <v>Catalog Record</v>
      </c>
      <c r="AW4072" s="6" t="str">
        <f>HYPERLINK("http://www.worldcat.org/oclc/145852079","WorldCat Record")</f>
        <v>WorldCat Record</v>
      </c>
      <c r="AX4072" s="3" t="s">
        <v>40584</v>
      </c>
      <c r="AY4072" s="3" t="s">
        <v>40585</v>
      </c>
      <c r="AZ4072" s="3" t="s">
        <v>40586</v>
      </c>
      <c r="BA4072" s="3" t="s">
        <v>40586</v>
      </c>
      <c r="BB4072" s="3" t="s">
        <v>40587</v>
      </c>
      <c r="BC4072" s="3" t="s">
        <v>77</v>
      </c>
      <c r="BD4072" s="3" t="s">
        <v>78</v>
      </c>
      <c r="BE4072" s="3" t="s">
        <v>40588</v>
      </c>
      <c r="BF4072" s="3" t="s">
        <v>40587</v>
      </c>
      <c r="BG4072" s="3" t="s">
        <v>40589</v>
      </c>
    </row>
    <row r="4073" spans="1:59" ht="58" x14ac:dyDescent="0.35">
      <c r="A4073" s="2" t="s">
        <v>59</v>
      </c>
      <c r="B4073" s="2" t="s">
        <v>60</v>
      </c>
      <c r="C4073" s="2" t="s">
        <v>40590</v>
      </c>
      <c r="D4073" s="2" t="s">
        <v>40591</v>
      </c>
      <c r="E4073" s="2" t="s">
        <v>40592</v>
      </c>
      <c r="G4073" s="3" t="s">
        <v>65</v>
      </c>
      <c r="I4073" s="3" t="s">
        <v>65</v>
      </c>
      <c r="J4073" s="3" t="s">
        <v>65</v>
      </c>
      <c r="K4073" s="3" t="s">
        <v>66</v>
      </c>
      <c r="L4073" s="2" t="s">
        <v>40593</v>
      </c>
      <c r="M4073" s="2" t="s">
        <v>40594</v>
      </c>
      <c r="N4073" s="3" t="s">
        <v>86</v>
      </c>
      <c r="P4073" s="3" t="s">
        <v>616</v>
      </c>
      <c r="R4073" s="3" t="s">
        <v>71</v>
      </c>
      <c r="S4073" s="4">
        <v>0</v>
      </c>
      <c r="T4073" s="4">
        <v>0</v>
      </c>
      <c r="W4073" s="5" t="s">
        <v>72</v>
      </c>
      <c r="X4073" s="5" t="s">
        <v>72</v>
      </c>
      <c r="Y4073" s="4">
        <v>2</v>
      </c>
      <c r="Z4073" s="4">
        <v>1</v>
      </c>
      <c r="AA4073" s="4">
        <v>1</v>
      </c>
      <c r="AB4073" s="4">
        <v>1</v>
      </c>
      <c r="AC4073" s="4">
        <v>1</v>
      </c>
      <c r="AD4073" s="4">
        <v>0</v>
      </c>
      <c r="AE4073" s="4">
        <v>0</v>
      </c>
      <c r="AF4073" s="4">
        <v>0</v>
      </c>
      <c r="AG4073" s="4">
        <v>0</v>
      </c>
      <c r="AH4073" s="4">
        <v>0</v>
      </c>
      <c r="AI4073" s="4">
        <v>0</v>
      </c>
      <c r="AJ4073" s="4">
        <v>0</v>
      </c>
      <c r="AK4073" s="4">
        <v>0</v>
      </c>
      <c r="AL4073" s="4">
        <v>0</v>
      </c>
      <c r="AM4073" s="4">
        <v>0</v>
      </c>
      <c r="AN4073" s="4">
        <v>0</v>
      </c>
      <c r="AO4073" s="4">
        <v>0</v>
      </c>
      <c r="AP4073" s="4">
        <v>0</v>
      </c>
      <c r="AQ4073" s="4">
        <v>0</v>
      </c>
      <c r="AR4073" s="3" t="s">
        <v>65</v>
      </c>
      <c r="AS4073" s="3" t="s">
        <v>65</v>
      </c>
      <c r="AT4073" s="3" t="s">
        <v>65</v>
      </c>
      <c r="AV4073" s="6" t="str">
        <f>HYPERLINK("http://mcgill.on.worldcat.org/oclc/1057684152","Catalog Record")</f>
        <v>Catalog Record</v>
      </c>
      <c r="AW4073" s="6" t="str">
        <f>HYPERLINK("http://www.worldcat.org/oclc/1057684152","WorldCat Record")</f>
        <v>WorldCat Record</v>
      </c>
      <c r="AX4073" s="3" t="s">
        <v>40595</v>
      </c>
      <c r="AY4073" s="3" t="s">
        <v>40596</v>
      </c>
      <c r="AZ4073" s="3" t="s">
        <v>40597</v>
      </c>
      <c r="BA4073" s="3" t="s">
        <v>40597</v>
      </c>
      <c r="BB4073" s="3" t="s">
        <v>40598</v>
      </c>
      <c r="BC4073" s="3" t="s">
        <v>77</v>
      </c>
      <c r="BD4073" s="3" t="s">
        <v>78</v>
      </c>
      <c r="BE4073" s="3" t="s">
        <v>40599</v>
      </c>
      <c r="BF4073" s="3" t="s">
        <v>40598</v>
      </c>
      <c r="BG4073" s="3" t="s">
        <v>40600</v>
      </c>
    </row>
    <row r="4074" spans="1:59" ht="58" x14ac:dyDescent="0.35">
      <c r="A4074" s="2" t="s">
        <v>59</v>
      </c>
      <c r="B4074" s="2" t="s">
        <v>60</v>
      </c>
      <c r="C4074" s="2" t="s">
        <v>40601</v>
      </c>
      <c r="D4074" s="2" t="s">
        <v>40602</v>
      </c>
      <c r="E4074" s="2" t="s">
        <v>40603</v>
      </c>
      <c r="G4074" s="3" t="s">
        <v>65</v>
      </c>
      <c r="I4074" s="3" t="s">
        <v>65</v>
      </c>
      <c r="J4074" s="3" t="s">
        <v>65</v>
      </c>
      <c r="K4074" s="3" t="s">
        <v>66</v>
      </c>
      <c r="L4074" s="2" t="s">
        <v>40604</v>
      </c>
      <c r="M4074" s="2" t="s">
        <v>36599</v>
      </c>
      <c r="N4074" s="3" t="s">
        <v>113</v>
      </c>
      <c r="O4074" s="2" t="s">
        <v>365</v>
      </c>
      <c r="P4074" s="3" t="s">
        <v>140</v>
      </c>
      <c r="Q4074" s="2" t="s">
        <v>36600</v>
      </c>
      <c r="R4074" s="3" t="s">
        <v>71</v>
      </c>
      <c r="S4074" s="4">
        <v>0</v>
      </c>
      <c r="T4074" s="4">
        <v>0</v>
      </c>
      <c r="W4074" s="5" t="s">
        <v>72</v>
      </c>
      <c r="X4074" s="5" t="s">
        <v>72</v>
      </c>
      <c r="Y4074" s="4">
        <v>98</v>
      </c>
      <c r="Z4074" s="4">
        <v>9</v>
      </c>
      <c r="AA4074" s="4">
        <v>12</v>
      </c>
      <c r="AB4074" s="4">
        <v>2</v>
      </c>
      <c r="AC4074" s="4">
        <v>5</v>
      </c>
      <c r="AD4074" s="4">
        <v>38</v>
      </c>
      <c r="AE4074" s="4">
        <v>41</v>
      </c>
      <c r="AF4074" s="4">
        <v>0</v>
      </c>
      <c r="AG4074" s="4">
        <v>2</v>
      </c>
      <c r="AH4074" s="4">
        <v>34</v>
      </c>
      <c r="AI4074" s="4">
        <v>36</v>
      </c>
      <c r="AJ4074" s="4">
        <v>6</v>
      </c>
      <c r="AK4074" s="4">
        <v>8</v>
      </c>
      <c r="AL4074" s="4">
        <v>25</v>
      </c>
      <c r="AM4074" s="4">
        <v>26</v>
      </c>
      <c r="AN4074" s="4">
        <v>0</v>
      </c>
      <c r="AO4074" s="4">
        <v>0</v>
      </c>
      <c r="AP4074" s="4">
        <v>6</v>
      </c>
      <c r="AQ4074" s="4">
        <v>7</v>
      </c>
      <c r="AR4074" s="3" t="s">
        <v>65</v>
      </c>
      <c r="AS4074" s="3" t="s">
        <v>65</v>
      </c>
      <c r="AT4074" s="3" t="s">
        <v>65</v>
      </c>
      <c r="AV4074" s="6" t="str">
        <f>HYPERLINK("http://mcgill.on.worldcat.org/oclc/505429116","Catalog Record")</f>
        <v>Catalog Record</v>
      </c>
      <c r="AW4074" s="6" t="str">
        <f>HYPERLINK("http://www.worldcat.org/oclc/505429116","WorldCat Record")</f>
        <v>WorldCat Record</v>
      </c>
      <c r="AX4074" s="3" t="s">
        <v>40605</v>
      </c>
      <c r="AY4074" s="3" t="s">
        <v>40606</v>
      </c>
      <c r="AZ4074" s="3" t="s">
        <v>40607</v>
      </c>
      <c r="BA4074" s="3" t="s">
        <v>40607</v>
      </c>
      <c r="BB4074" s="3" t="s">
        <v>40608</v>
      </c>
      <c r="BC4074" s="3" t="s">
        <v>77</v>
      </c>
      <c r="BD4074" s="3" t="s">
        <v>78</v>
      </c>
      <c r="BE4074" s="3" t="s">
        <v>40609</v>
      </c>
      <c r="BF4074" s="3" t="s">
        <v>40608</v>
      </c>
      <c r="BG4074" s="3" t="s">
        <v>40610</v>
      </c>
    </row>
    <row r="4075" spans="1:59" ht="58" x14ac:dyDescent="0.35">
      <c r="A4075" s="2" t="s">
        <v>59</v>
      </c>
      <c r="B4075" s="2" t="s">
        <v>60</v>
      </c>
      <c r="C4075" s="2" t="s">
        <v>40611</v>
      </c>
      <c r="D4075" s="2" t="s">
        <v>40612</v>
      </c>
      <c r="E4075" s="2" t="s">
        <v>40613</v>
      </c>
      <c r="G4075" s="3" t="s">
        <v>65</v>
      </c>
      <c r="I4075" s="3" t="s">
        <v>65</v>
      </c>
      <c r="J4075" s="3" t="s">
        <v>65</v>
      </c>
      <c r="K4075" s="3" t="s">
        <v>66</v>
      </c>
      <c r="L4075" s="2" t="s">
        <v>40614</v>
      </c>
      <c r="M4075" s="2" t="s">
        <v>40615</v>
      </c>
      <c r="N4075" s="3" t="s">
        <v>188</v>
      </c>
      <c r="O4075" s="2" t="s">
        <v>235</v>
      </c>
      <c r="P4075" s="3" t="s">
        <v>140</v>
      </c>
      <c r="Q4075" s="2" t="s">
        <v>28692</v>
      </c>
      <c r="R4075" s="3" t="s">
        <v>71</v>
      </c>
      <c r="S4075" s="4">
        <v>0</v>
      </c>
      <c r="T4075" s="4">
        <v>0</v>
      </c>
      <c r="W4075" s="5" t="s">
        <v>72</v>
      </c>
      <c r="X4075" s="5" t="s">
        <v>72</v>
      </c>
      <c r="Y4075" s="4">
        <v>63</v>
      </c>
      <c r="Z4075" s="4">
        <v>3</v>
      </c>
      <c r="AA4075" s="4">
        <v>5</v>
      </c>
      <c r="AB4075" s="4">
        <v>1</v>
      </c>
      <c r="AC4075" s="4">
        <v>2</v>
      </c>
      <c r="AD4075" s="4">
        <v>32</v>
      </c>
      <c r="AE4075" s="4">
        <v>33</v>
      </c>
      <c r="AF4075" s="4">
        <v>0</v>
      </c>
      <c r="AG4075" s="4">
        <v>1</v>
      </c>
      <c r="AH4075" s="4">
        <v>30</v>
      </c>
      <c r="AI4075" s="4">
        <v>30</v>
      </c>
      <c r="AJ4075" s="4">
        <v>1</v>
      </c>
      <c r="AK4075" s="4">
        <v>2</v>
      </c>
      <c r="AL4075" s="4">
        <v>25</v>
      </c>
      <c r="AM4075" s="4">
        <v>25</v>
      </c>
      <c r="AN4075" s="4">
        <v>0</v>
      </c>
      <c r="AO4075" s="4">
        <v>0</v>
      </c>
      <c r="AP4075" s="4">
        <v>1</v>
      </c>
      <c r="AQ4075" s="4">
        <v>1</v>
      </c>
      <c r="AR4075" s="3" t="s">
        <v>65</v>
      </c>
      <c r="AS4075" s="3" t="s">
        <v>65</v>
      </c>
      <c r="AT4075" s="3" t="s">
        <v>65</v>
      </c>
      <c r="AV4075" s="6" t="str">
        <f>HYPERLINK("http://mcgill.on.worldcat.org/oclc/983210624","Catalog Record")</f>
        <v>Catalog Record</v>
      </c>
      <c r="AW4075" s="6" t="str">
        <f>HYPERLINK("http://www.worldcat.org/oclc/983210624","WorldCat Record")</f>
        <v>WorldCat Record</v>
      </c>
      <c r="AX4075" s="3" t="s">
        <v>40616</v>
      </c>
      <c r="AY4075" s="3" t="s">
        <v>40617</v>
      </c>
      <c r="AZ4075" s="3" t="s">
        <v>40618</v>
      </c>
      <c r="BA4075" s="3" t="s">
        <v>40618</v>
      </c>
      <c r="BB4075" s="3" t="s">
        <v>40619</v>
      </c>
      <c r="BC4075" s="3" t="s">
        <v>77</v>
      </c>
      <c r="BD4075" s="3" t="s">
        <v>78</v>
      </c>
      <c r="BE4075" s="3" t="s">
        <v>40620</v>
      </c>
      <c r="BF4075" s="3" t="s">
        <v>40619</v>
      </c>
      <c r="BG4075" s="3" t="s">
        <v>40621</v>
      </c>
    </row>
    <row r="4076" spans="1:59" ht="72.5" x14ac:dyDescent="0.35">
      <c r="A4076" s="2" t="s">
        <v>59</v>
      </c>
      <c r="B4076" s="2" t="s">
        <v>60</v>
      </c>
      <c r="C4076" s="2" t="s">
        <v>40622</v>
      </c>
      <c r="D4076" s="2" t="s">
        <v>40623</v>
      </c>
      <c r="E4076" s="2" t="s">
        <v>40624</v>
      </c>
      <c r="G4076" s="3" t="s">
        <v>65</v>
      </c>
      <c r="I4076" s="3" t="s">
        <v>65</v>
      </c>
      <c r="J4076" s="3" t="s">
        <v>65</v>
      </c>
      <c r="K4076" s="3" t="s">
        <v>66</v>
      </c>
      <c r="L4076" s="2" t="s">
        <v>40625</v>
      </c>
      <c r="M4076" s="2" t="s">
        <v>33204</v>
      </c>
      <c r="N4076" s="3" t="s">
        <v>113</v>
      </c>
      <c r="P4076" s="3" t="s">
        <v>140</v>
      </c>
      <c r="R4076" s="3" t="s">
        <v>71</v>
      </c>
      <c r="S4076" s="4">
        <v>0</v>
      </c>
      <c r="T4076" s="4">
        <v>0</v>
      </c>
      <c r="W4076" s="5" t="s">
        <v>72</v>
      </c>
      <c r="X4076" s="5" t="s">
        <v>72</v>
      </c>
      <c r="Y4076" s="4">
        <v>61</v>
      </c>
      <c r="Z4076" s="4">
        <v>5</v>
      </c>
      <c r="AA4076" s="4">
        <v>7</v>
      </c>
      <c r="AB4076" s="4">
        <v>1</v>
      </c>
      <c r="AC4076" s="4">
        <v>3</v>
      </c>
      <c r="AD4076" s="4">
        <v>44</v>
      </c>
      <c r="AE4076" s="4">
        <v>45</v>
      </c>
      <c r="AF4076" s="4">
        <v>0</v>
      </c>
      <c r="AG4076" s="4">
        <v>1</v>
      </c>
      <c r="AH4076" s="4">
        <v>43</v>
      </c>
      <c r="AI4076" s="4">
        <v>43</v>
      </c>
      <c r="AJ4076" s="4">
        <v>3</v>
      </c>
      <c r="AK4076" s="4">
        <v>4</v>
      </c>
      <c r="AL4076" s="4">
        <v>33</v>
      </c>
      <c r="AM4076" s="4">
        <v>33</v>
      </c>
      <c r="AN4076" s="4">
        <v>0</v>
      </c>
      <c r="AO4076" s="4">
        <v>0</v>
      </c>
      <c r="AP4076" s="4">
        <v>3</v>
      </c>
      <c r="AQ4076" s="4">
        <v>3</v>
      </c>
      <c r="AR4076" s="3" t="s">
        <v>65</v>
      </c>
      <c r="AS4076" s="3" t="s">
        <v>65</v>
      </c>
      <c r="AT4076" s="3" t="s">
        <v>65</v>
      </c>
      <c r="AV4076" s="6" t="str">
        <f>HYPERLINK("http://mcgill.on.worldcat.org/oclc/681707520","Catalog Record")</f>
        <v>Catalog Record</v>
      </c>
      <c r="AW4076" s="6" t="str">
        <f>HYPERLINK("http://www.worldcat.org/oclc/681707520","WorldCat Record")</f>
        <v>WorldCat Record</v>
      </c>
      <c r="AX4076" s="3" t="s">
        <v>40626</v>
      </c>
      <c r="AY4076" s="3" t="s">
        <v>40627</v>
      </c>
      <c r="AZ4076" s="3" t="s">
        <v>40628</v>
      </c>
      <c r="BA4076" s="3" t="s">
        <v>40628</v>
      </c>
      <c r="BB4076" s="3" t="s">
        <v>40629</v>
      </c>
      <c r="BC4076" s="3" t="s">
        <v>77</v>
      </c>
      <c r="BD4076" s="3" t="s">
        <v>78</v>
      </c>
      <c r="BE4076" s="3" t="s">
        <v>40630</v>
      </c>
      <c r="BF4076" s="3" t="s">
        <v>40629</v>
      </c>
      <c r="BG4076" s="3" t="s">
        <v>40631</v>
      </c>
    </row>
    <row r="4077" spans="1:59" ht="72.5" x14ac:dyDescent="0.35">
      <c r="A4077" s="2" t="s">
        <v>59</v>
      </c>
      <c r="B4077" s="2" t="s">
        <v>60</v>
      </c>
      <c r="C4077" s="2" t="s">
        <v>40632</v>
      </c>
      <c r="D4077" s="2" t="s">
        <v>40633</v>
      </c>
      <c r="E4077" s="2" t="s">
        <v>40634</v>
      </c>
      <c r="G4077" s="3" t="s">
        <v>65</v>
      </c>
      <c r="I4077" s="3" t="s">
        <v>65</v>
      </c>
      <c r="J4077" s="3" t="s">
        <v>65</v>
      </c>
      <c r="K4077" s="3" t="s">
        <v>66</v>
      </c>
      <c r="L4077" s="2" t="s">
        <v>40635</v>
      </c>
      <c r="M4077" s="2" t="s">
        <v>40636</v>
      </c>
      <c r="N4077" s="3" t="s">
        <v>164</v>
      </c>
      <c r="P4077" s="3" t="s">
        <v>140</v>
      </c>
      <c r="Q4077" s="2" t="s">
        <v>40637</v>
      </c>
      <c r="R4077" s="3" t="s">
        <v>71</v>
      </c>
      <c r="S4077" s="4">
        <v>0</v>
      </c>
      <c r="T4077" s="4">
        <v>0</v>
      </c>
      <c r="W4077" s="5" t="s">
        <v>72</v>
      </c>
      <c r="X4077" s="5" t="s">
        <v>72</v>
      </c>
      <c r="Y4077" s="4">
        <v>70</v>
      </c>
      <c r="Z4077" s="4">
        <v>5</v>
      </c>
      <c r="AA4077" s="4">
        <v>9</v>
      </c>
      <c r="AB4077" s="4">
        <v>1</v>
      </c>
      <c r="AC4077" s="4">
        <v>5</v>
      </c>
      <c r="AD4077" s="4">
        <v>38</v>
      </c>
      <c r="AE4077" s="4">
        <v>40</v>
      </c>
      <c r="AF4077" s="4">
        <v>0</v>
      </c>
      <c r="AG4077" s="4">
        <v>1</v>
      </c>
      <c r="AH4077" s="4">
        <v>37</v>
      </c>
      <c r="AI4077" s="4">
        <v>38</v>
      </c>
      <c r="AJ4077" s="4">
        <v>3</v>
      </c>
      <c r="AK4077" s="4">
        <v>4</v>
      </c>
      <c r="AL4077" s="4">
        <v>28</v>
      </c>
      <c r="AM4077" s="4">
        <v>29</v>
      </c>
      <c r="AN4077" s="4">
        <v>0</v>
      </c>
      <c r="AO4077" s="4">
        <v>0</v>
      </c>
      <c r="AP4077" s="4">
        <v>3</v>
      </c>
      <c r="AQ4077" s="4">
        <v>3</v>
      </c>
      <c r="AR4077" s="3" t="s">
        <v>65</v>
      </c>
      <c r="AS4077" s="3" t="s">
        <v>65</v>
      </c>
      <c r="AT4077" s="3" t="s">
        <v>65</v>
      </c>
      <c r="AV4077" s="6" t="str">
        <f>HYPERLINK("http://mcgill.on.worldcat.org/oclc/895661507","Catalog Record")</f>
        <v>Catalog Record</v>
      </c>
      <c r="AW4077" s="6" t="str">
        <f>HYPERLINK("http://www.worldcat.org/oclc/895661507","WorldCat Record")</f>
        <v>WorldCat Record</v>
      </c>
      <c r="AX4077" s="3" t="s">
        <v>40638</v>
      </c>
      <c r="AY4077" s="3" t="s">
        <v>40639</v>
      </c>
      <c r="AZ4077" s="3" t="s">
        <v>40640</v>
      </c>
      <c r="BA4077" s="3" t="s">
        <v>40640</v>
      </c>
      <c r="BB4077" s="3" t="s">
        <v>40641</v>
      </c>
      <c r="BC4077" s="3" t="s">
        <v>77</v>
      </c>
      <c r="BD4077" s="3" t="s">
        <v>78</v>
      </c>
      <c r="BE4077" s="3" t="s">
        <v>40642</v>
      </c>
      <c r="BF4077" s="3" t="s">
        <v>40641</v>
      </c>
      <c r="BG4077" s="3" t="s">
        <v>40643</v>
      </c>
    </row>
    <row r="4078" spans="1:59" ht="72.5" x14ac:dyDescent="0.35">
      <c r="A4078" s="2" t="s">
        <v>59</v>
      </c>
      <c r="B4078" s="2" t="s">
        <v>60</v>
      </c>
      <c r="C4078" s="2" t="s">
        <v>40644</v>
      </c>
      <c r="D4078" s="2" t="s">
        <v>40645</v>
      </c>
      <c r="E4078" s="2" t="s">
        <v>40646</v>
      </c>
      <c r="G4078" s="3" t="s">
        <v>65</v>
      </c>
      <c r="I4078" s="3" t="s">
        <v>65</v>
      </c>
      <c r="J4078" s="3" t="s">
        <v>65</v>
      </c>
      <c r="K4078" s="3" t="s">
        <v>66</v>
      </c>
      <c r="L4078" s="2" t="s">
        <v>7826</v>
      </c>
      <c r="M4078" s="2" t="s">
        <v>40647</v>
      </c>
      <c r="N4078" s="3" t="s">
        <v>113</v>
      </c>
      <c r="O4078" s="2" t="s">
        <v>365</v>
      </c>
      <c r="P4078" s="3" t="s">
        <v>140</v>
      </c>
      <c r="Q4078" s="2" t="s">
        <v>40648</v>
      </c>
      <c r="R4078" s="3" t="s">
        <v>71</v>
      </c>
      <c r="S4078" s="4">
        <v>0</v>
      </c>
      <c r="T4078" s="4">
        <v>0</v>
      </c>
      <c r="W4078" s="5" t="s">
        <v>72</v>
      </c>
      <c r="X4078" s="5" t="s">
        <v>72</v>
      </c>
      <c r="Y4078" s="4">
        <v>22</v>
      </c>
      <c r="Z4078" s="4">
        <v>1</v>
      </c>
      <c r="AA4078" s="4">
        <v>1</v>
      </c>
      <c r="AB4078" s="4">
        <v>1</v>
      </c>
      <c r="AC4078" s="4">
        <v>1</v>
      </c>
      <c r="AD4078" s="4">
        <v>16</v>
      </c>
      <c r="AE4078" s="4">
        <v>16</v>
      </c>
      <c r="AF4078" s="4">
        <v>0</v>
      </c>
      <c r="AG4078" s="4">
        <v>0</v>
      </c>
      <c r="AH4078" s="4">
        <v>15</v>
      </c>
      <c r="AI4078" s="4">
        <v>15</v>
      </c>
      <c r="AJ4078" s="4">
        <v>0</v>
      </c>
      <c r="AK4078" s="4">
        <v>0</v>
      </c>
      <c r="AL4078" s="4">
        <v>13</v>
      </c>
      <c r="AM4078" s="4">
        <v>13</v>
      </c>
      <c r="AN4078" s="4">
        <v>0</v>
      </c>
      <c r="AO4078" s="4">
        <v>0</v>
      </c>
      <c r="AP4078" s="4">
        <v>0</v>
      </c>
      <c r="AQ4078" s="4">
        <v>0</v>
      </c>
      <c r="AR4078" s="3" t="s">
        <v>65</v>
      </c>
      <c r="AS4078" s="3" t="s">
        <v>65</v>
      </c>
      <c r="AT4078" s="3" t="s">
        <v>65</v>
      </c>
      <c r="AV4078" s="6" t="str">
        <f>HYPERLINK("http://mcgill.on.worldcat.org/oclc/754707402","Catalog Record")</f>
        <v>Catalog Record</v>
      </c>
      <c r="AW4078" s="6" t="str">
        <f>HYPERLINK("http://www.worldcat.org/oclc/754707402","WorldCat Record")</f>
        <v>WorldCat Record</v>
      </c>
      <c r="AX4078" s="3" t="s">
        <v>40649</v>
      </c>
      <c r="AY4078" s="3" t="s">
        <v>40650</v>
      </c>
      <c r="AZ4078" s="3" t="s">
        <v>40651</v>
      </c>
      <c r="BA4078" s="3" t="s">
        <v>40651</v>
      </c>
      <c r="BB4078" s="3" t="s">
        <v>40652</v>
      </c>
      <c r="BC4078" s="3" t="s">
        <v>77</v>
      </c>
      <c r="BD4078" s="3" t="s">
        <v>78</v>
      </c>
      <c r="BE4078" s="3" t="s">
        <v>40653</v>
      </c>
      <c r="BF4078" s="3" t="s">
        <v>40652</v>
      </c>
      <c r="BG4078" s="3" t="s">
        <v>40654</v>
      </c>
    </row>
    <row r="4079" spans="1:59" ht="72.5" x14ac:dyDescent="0.35">
      <c r="A4079" s="2" t="s">
        <v>59</v>
      </c>
      <c r="B4079" s="2" t="s">
        <v>60</v>
      </c>
      <c r="C4079" s="2" t="s">
        <v>40655</v>
      </c>
      <c r="D4079" s="2" t="s">
        <v>40656</v>
      </c>
      <c r="E4079" s="2" t="s">
        <v>40657</v>
      </c>
      <c r="G4079" s="3" t="s">
        <v>65</v>
      </c>
      <c r="I4079" s="3" t="s">
        <v>65</v>
      </c>
      <c r="J4079" s="3" t="s">
        <v>65</v>
      </c>
      <c r="K4079" s="3" t="s">
        <v>66</v>
      </c>
      <c r="L4079" s="2" t="s">
        <v>40658</v>
      </c>
      <c r="M4079" s="2" t="s">
        <v>36193</v>
      </c>
      <c r="N4079" s="3" t="s">
        <v>139</v>
      </c>
      <c r="P4079" s="3" t="s">
        <v>69</v>
      </c>
      <c r="R4079" s="3" t="s">
        <v>71</v>
      </c>
      <c r="S4079" s="4">
        <v>0</v>
      </c>
      <c r="T4079" s="4">
        <v>0</v>
      </c>
      <c r="W4079" s="5" t="s">
        <v>72</v>
      </c>
      <c r="X4079" s="5" t="s">
        <v>72</v>
      </c>
      <c r="Y4079" s="4">
        <v>73</v>
      </c>
      <c r="Z4079" s="4">
        <v>7</v>
      </c>
      <c r="AA4079" s="4">
        <v>9</v>
      </c>
      <c r="AB4079" s="4">
        <v>1</v>
      </c>
      <c r="AC4079" s="4">
        <v>3</v>
      </c>
      <c r="AD4079" s="4">
        <v>29</v>
      </c>
      <c r="AE4079" s="4">
        <v>30</v>
      </c>
      <c r="AF4079" s="4">
        <v>0</v>
      </c>
      <c r="AG4079" s="4">
        <v>0</v>
      </c>
      <c r="AH4079" s="4">
        <v>28</v>
      </c>
      <c r="AI4079" s="4">
        <v>29</v>
      </c>
      <c r="AJ4079" s="4">
        <v>3</v>
      </c>
      <c r="AK4079" s="4">
        <v>3</v>
      </c>
      <c r="AL4079" s="4">
        <v>17</v>
      </c>
      <c r="AM4079" s="4">
        <v>17</v>
      </c>
      <c r="AN4079" s="4">
        <v>0</v>
      </c>
      <c r="AO4079" s="4">
        <v>0</v>
      </c>
      <c r="AP4079" s="4">
        <v>3</v>
      </c>
      <c r="AQ4079" s="4">
        <v>3</v>
      </c>
      <c r="AR4079" s="3" t="s">
        <v>65</v>
      </c>
      <c r="AS4079" s="3" t="s">
        <v>65</v>
      </c>
      <c r="AT4079" s="3" t="s">
        <v>65</v>
      </c>
      <c r="AV4079" s="6" t="str">
        <f>HYPERLINK("http://mcgill.on.worldcat.org/oclc/778419305","Catalog Record")</f>
        <v>Catalog Record</v>
      </c>
      <c r="AW4079" s="6" t="str">
        <f>HYPERLINK("http://www.worldcat.org/oclc/778419305","WorldCat Record")</f>
        <v>WorldCat Record</v>
      </c>
      <c r="AX4079" s="3" t="s">
        <v>40659</v>
      </c>
      <c r="AY4079" s="3" t="s">
        <v>40660</v>
      </c>
      <c r="AZ4079" s="3" t="s">
        <v>40661</v>
      </c>
      <c r="BA4079" s="3" t="s">
        <v>40661</v>
      </c>
      <c r="BB4079" s="3" t="s">
        <v>40662</v>
      </c>
      <c r="BC4079" s="3" t="s">
        <v>77</v>
      </c>
      <c r="BD4079" s="3" t="s">
        <v>78</v>
      </c>
      <c r="BE4079" s="3" t="s">
        <v>40663</v>
      </c>
      <c r="BF4079" s="3" t="s">
        <v>40662</v>
      </c>
      <c r="BG4079" s="3" t="s">
        <v>40664</v>
      </c>
    </row>
    <row r="4080" spans="1:59" ht="72.5" x14ac:dyDescent="0.35">
      <c r="A4080" s="2" t="s">
        <v>59</v>
      </c>
      <c r="B4080" s="2" t="s">
        <v>60</v>
      </c>
      <c r="C4080" s="2" t="s">
        <v>40665</v>
      </c>
      <c r="D4080" s="2" t="s">
        <v>40666</v>
      </c>
      <c r="E4080" s="2" t="s">
        <v>40667</v>
      </c>
      <c r="G4080" s="3" t="s">
        <v>65</v>
      </c>
      <c r="I4080" s="3" t="s">
        <v>65</v>
      </c>
      <c r="J4080" s="3" t="s">
        <v>65</v>
      </c>
      <c r="K4080" s="3" t="s">
        <v>66</v>
      </c>
      <c r="L4080" s="2" t="s">
        <v>40668</v>
      </c>
      <c r="M4080" s="2" t="s">
        <v>40669</v>
      </c>
      <c r="N4080" s="3" t="s">
        <v>126</v>
      </c>
      <c r="P4080" s="3" t="s">
        <v>69</v>
      </c>
      <c r="R4080" s="3" t="s">
        <v>71</v>
      </c>
      <c r="S4080" s="4">
        <v>1</v>
      </c>
      <c r="T4080" s="4">
        <v>1</v>
      </c>
      <c r="U4080" s="5" t="s">
        <v>40670</v>
      </c>
      <c r="V4080" s="5" t="s">
        <v>40670</v>
      </c>
      <c r="W4080" s="5" t="s">
        <v>72</v>
      </c>
      <c r="X4080" s="5" t="s">
        <v>72</v>
      </c>
      <c r="Y4080" s="4">
        <v>42</v>
      </c>
      <c r="Z4080" s="4">
        <v>4</v>
      </c>
      <c r="AA4080" s="4">
        <v>6</v>
      </c>
      <c r="AB4080" s="4">
        <v>1</v>
      </c>
      <c r="AC4080" s="4">
        <v>3</v>
      </c>
      <c r="AD4080" s="4">
        <v>25</v>
      </c>
      <c r="AE4080" s="4">
        <v>27</v>
      </c>
      <c r="AF4080" s="4">
        <v>0</v>
      </c>
      <c r="AG4080" s="4">
        <v>0</v>
      </c>
      <c r="AH4080" s="4">
        <v>24</v>
      </c>
      <c r="AI4080" s="4">
        <v>26</v>
      </c>
      <c r="AJ4080" s="4">
        <v>2</v>
      </c>
      <c r="AK4080" s="4">
        <v>2</v>
      </c>
      <c r="AL4080" s="4">
        <v>19</v>
      </c>
      <c r="AM4080" s="4">
        <v>20</v>
      </c>
      <c r="AN4080" s="4">
        <v>0</v>
      </c>
      <c r="AO4080" s="4">
        <v>0</v>
      </c>
      <c r="AP4080" s="4">
        <v>2</v>
      </c>
      <c r="AQ4080" s="4">
        <v>2</v>
      </c>
      <c r="AR4080" s="3" t="s">
        <v>65</v>
      </c>
      <c r="AS4080" s="3" t="s">
        <v>65</v>
      </c>
      <c r="AT4080" s="3" t="s">
        <v>65</v>
      </c>
      <c r="AV4080" s="6" t="str">
        <f>HYPERLINK("http://mcgill.on.worldcat.org/oclc/724353298","Catalog Record")</f>
        <v>Catalog Record</v>
      </c>
      <c r="AW4080" s="6" t="str">
        <f>HYPERLINK("http://www.worldcat.org/oclc/724353298","WorldCat Record")</f>
        <v>WorldCat Record</v>
      </c>
      <c r="AX4080" s="3" t="s">
        <v>40671</v>
      </c>
      <c r="AY4080" s="3" t="s">
        <v>40672</v>
      </c>
      <c r="AZ4080" s="3" t="s">
        <v>40673</v>
      </c>
      <c r="BA4080" s="3" t="s">
        <v>40673</v>
      </c>
      <c r="BB4080" s="3" t="s">
        <v>40674</v>
      </c>
      <c r="BC4080" s="3" t="s">
        <v>77</v>
      </c>
      <c r="BD4080" s="3" t="s">
        <v>78</v>
      </c>
      <c r="BE4080" s="3" t="s">
        <v>40675</v>
      </c>
      <c r="BF4080" s="3" t="s">
        <v>40674</v>
      </c>
      <c r="BG4080" s="3" t="s">
        <v>40676</v>
      </c>
    </row>
    <row r="4081" spans="1:59" ht="72.5" x14ac:dyDescent="0.35">
      <c r="A4081" s="2" t="s">
        <v>59</v>
      </c>
      <c r="B4081" s="2" t="s">
        <v>60</v>
      </c>
      <c r="C4081" s="2" t="s">
        <v>40677</v>
      </c>
      <c r="D4081" s="2" t="s">
        <v>40678</v>
      </c>
      <c r="E4081" s="2" t="s">
        <v>40679</v>
      </c>
      <c r="G4081" s="3" t="s">
        <v>65</v>
      </c>
      <c r="I4081" s="3" t="s">
        <v>65</v>
      </c>
      <c r="J4081" s="3" t="s">
        <v>65</v>
      </c>
      <c r="K4081" s="3" t="s">
        <v>66</v>
      </c>
      <c r="L4081" s="2" t="s">
        <v>40680</v>
      </c>
      <c r="M4081" s="2" t="s">
        <v>40681</v>
      </c>
      <c r="N4081" s="3" t="s">
        <v>176</v>
      </c>
      <c r="P4081" s="3" t="s">
        <v>140</v>
      </c>
      <c r="Q4081" s="2" t="s">
        <v>40682</v>
      </c>
      <c r="R4081" s="3" t="s">
        <v>71</v>
      </c>
      <c r="S4081" s="4">
        <v>0</v>
      </c>
      <c r="T4081" s="4">
        <v>0</v>
      </c>
      <c r="W4081" s="5" t="s">
        <v>72</v>
      </c>
      <c r="X4081" s="5" t="s">
        <v>72</v>
      </c>
      <c r="Y4081" s="4">
        <v>27</v>
      </c>
      <c r="Z4081" s="4">
        <v>3</v>
      </c>
      <c r="AA4081" s="4">
        <v>3</v>
      </c>
      <c r="AB4081" s="4">
        <v>1</v>
      </c>
      <c r="AC4081" s="4">
        <v>1</v>
      </c>
      <c r="AD4081" s="4">
        <v>19</v>
      </c>
      <c r="AE4081" s="4">
        <v>19</v>
      </c>
      <c r="AF4081" s="4">
        <v>0</v>
      </c>
      <c r="AG4081" s="4">
        <v>0</v>
      </c>
      <c r="AH4081" s="4">
        <v>18</v>
      </c>
      <c r="AI4081" s="4">
        <v>18</v>
      </c>
      <c r="AJ4081" s="4">
        <v>1</v>
      </c>
      <c r="AK4081" s="4">
        <v>1</v>
      </c>
      <c r="AL4081" s="4">
        <v>15</v>
      </c>
      <c r="AM4081" s="4">
        <v>15</v>
      </c>
      <c r="AN4081" s="4">
        <v>0</v>
      </c>
      <c r="AO4081" s="4">
        <v>0</v>
      </c>
      <c r="AP4081" s="4">
        <v>1</v>
      </c>
      <c r="AQ4081" s="4">
        <v>1</v>
      </c>
      <c r="AR4081" s="3" t="s">
        <v>65</v>
      </c>
      <c r="AS4081" s="3" t="s">
        <v>65</v>
      </c>
      <c r="AT4081" s="3" t="s">
        <v>65</v>
      </c>
      <c r="AV4081" s="6" t="str">
        <f>HYPERLINK("http://mcgill.on.worldcat.org/oclc/907638917","Catalog Record")</f>
        <v>Catalog Record</v>
      </c>
      <c r="AW4081" s="6" t="str">
        <f>HYPERLINK("http://www.worldcat.org/oclc/907638917","WorldCat Record")</f>
        <v>WorldCat Record</v>
      </c>
      <c r="AX4081" s="3" t="s">
        <v>40683</v>
      </c>
      <c r="AY4081" s="3" t="s">
        <v>40684</v>
      </c>
      <c r="AZ4081" s="3" t="s">
        <v>40685</v>
      </c>
      <c r="BA4081" s="3" t="s">
        <v>40685</v>
      </c>
      <c r="BB4081" s="3" t="s">
        <v>40686</v>
      </c>
      <c r="BC4081" s="3" t="s">
        <v>77</v>
      </c>
      <c r="BD4081" s="3" t="s">
        <v>78</v>
      </c>
      <c r="BE4081" s="3" t="s">
        <v>40687</v>
      </c>
      <c r="BF4081" s="3" t="s">
        <v>40686</v>
      </c>
      <c r="BG4081" s="3" t="s">
        <v>40688</v>
      </c>
    </row>
    <row r="4082" spans="1:59" ht="58" x14ac:dyDescent="0.35">
      <c r="A4082" s="2" t="s">
        <v>59</v>
      </c>
      <c r="B4082" s="2" t="s">
        <v>60</v>
      </c>
      <c r="C4082" s="2" t="s">
        <v>40689</v>
      </c>
      <c r="D4082" s="2" t="s">
        <v>40690</v>
      </c>
      <c r="E4082" s="2" t="s">
        <v>40691</v>
      </c>
      <c r="G4082" s="3" t="s">
        <v>65</v>
      </c>
      <c r="I4082" s="3" t="s">
        <v>65</v>
      </c>
      <c r="J4082" s="3" t="s">
        <v>65</v>
      </c>
      <c r="K4082" s="3" t="s">
        <v>66</v>
      </c>
      <c r="L4082" s="2" t="s">
        <v>40692</v>
      </c>
      <c r="M4082" s="2" t="s">
        <v>40693</v>
      </c>
      <c r="N4082" s="3" t="s">
        <v>113</v>
      </c>
      <c r="O4082" s="2" t="s">
        <v>365</v>
      </c>
      <c r="P4082" s="3" t="s">
        <v>140</v>
      </c>
      <c r="Q4082" s="2" t="s">
        <v>40694</v>
      </c>
      <c r="R4082" s="3" t="s">
        <v>71</v>
      </c>
      <c r="S4082" s="4">
        <v>0</v>
      </c>
      <c r="T4082" s="4">
        <v>0</v>
      </c>
      <c r="W4082" s="5" t="s">
        <v>72</v>
      </c>
      <c r="X4082" s="5" t="s">
        <v>72</v>
      </c>
      <c r="Y4082" s="4">
        <v>55</v>
      </c>
      <c r="Z4082" s="4">
        <v>6</v>
      </c>
      <c r="AA4082" s="4">
        <v>6</v>
      </c>
      <c r="AB4082" s="4">
        <v>1</v>
      </c>
      <c r="AC4082" s="4">
        <v>1</v>
      </c>
      <c r="AD4082" s="4">
        <v>39</v>
      </c>
      <c r="AE4082" s="4">
        <v>39</v>
      </c>
      <c r="AF4082" s="4">
        <v>0</v>
      </c>
      <c r="AG4082" s="4">
        <v>0</v>
      </c>
      <c r="AH4082" s="4">
        <v>37</v>
      </c>
      <c r="AI4082" s="4">
        <v>37</v>
      </c>
      <c r="AJ4082" s="4">
        <v>4</v>
      </c>
      <c r="AK4082" s="4">
        <v>4</v>
      </c>
      <c r="AL4082" s="4">
        <v>27</v>
      </c>
      <c r="AM4082" s="4">
        <v>27</v>
      </c>
      <c r="AN4082" s="4">
        <v>0</v>
      </c>
      <c r="AO4082" s="4">
        <v>0</v>
      </c>
      <c r="AP4082" s="4">
        <v>4</v>
      </c>
      <c r="AQ4082" s="4">
        <v>4</v>
      </c>
      <c r="AR4082" s="3" t="s">
        <v>65</v>
      </c>
      <c r="AS4082" s="3" t="s">
        <v>65</v>
      </c>
      <c r="AT4082" s="3" t="s">
        <v>65</v>
      </c>
      <c r="AV4082" s="6" t="str">
        <f>HYPERLINK("http://mcgill.on.worldcat.org/oclc/669907203","Catalog Record")</f>
        <v>Catalog Record</v>
      </c>
      <c r="AW4082" s="6" t="str">
        <f>HYPERLINK("http://www.worldcat.org/oclc/669907203","WorldCat Record")</f>
        <v>WorldCat Record</v>
      </c>
      <c r="AX4082" s="3" t="s">
        <v>40695</v>
      </c>
      <c r="AY4082" s="3" t="s">
        <v>40696</v>
      </c>
      <c r="AZ4082" s="3" t="s">
        <v>40697</v>
      </c>
      <c r="BA4082" s="3" t="s">
        <v>40697</v>
      </c>
      <c r="BB4082" s="3" t="s">
        <v>40698</v>
      </c>
      <c r="BC4082" s="3" t="s">
        <v>77</v>
      </c>
      <c r="BD4082" s="3" t="s">
        <v>78</v>
      </c>
      <c r="BE4082" s="3" t="s">
        <v>40699</v>
      </c>
      <c r="BF4082" s="3" t="s">
        <v>40698</v>
      </c>
      <c r="BG4082" s="3" t="s">
        <v>40700</v>
      </c>
    </row>
    <row r="4083" spans="1:59" ht="58" x14ac:dyDescent="0.35">
      <c r="A4083" s="2" t="s">
        <v>59</v>
      </c>
      <c r="B4083" s="2" t="s">
        <v>60</v>
      </c>
      <c r="C4083" s="2" t="s">
        <v>40701</v>
      </c>
      <c r="D4083" s="2" t="s">
        <v>40702</v>
      </c>
      <c r="E4083" s="2" t="s">
        <v>40703</v>
      </c>
      <c r="G4083" s="3" t="s">
        <v>65</v>
      </c>
      <c r="I4083" s="3" t="s">
        <v>65</v>
      </c>
      <c r="J4083" s="3" t="s">
        <v>65</v>
      </c>
      <c r="K4083" s="3" t="s">
        <v>66</v>
      </c>
      <c r="L4083" s="2" t="s">
        <v>40704</v>
      </c>
      <c r="M4083" s="2" t="s">
        <v>40705</v>
      </c>
      <c r="N4083" s="3" t="s">
        <v>1122</v>
      </c>
      <c r="O4083" s="2" t="s">
        <v>365</v>
      </c>
      <c r="P4083" s="3" t="s">
        <v>140</v>
      </c>
      <c r="Q4083" s="2" t="s">
        <v>34040</v>
      </c>
      <c r="R4083" s="3" t="s">
        <v>71</v>
      </c>
      <c r="S4083" s="4">
        <v>2</v>
      </c>
      <c r="T4083" s="4">
        <v>2</v>
      </c>
      <c r="U4083" s="5" t="s">
        <v>34578</v>
      </c>
      <c r="V4083" s="5" t="s">
        <v>34578</v>
      </c>
      <c r="W4083" s="5" t="s">
        <v>72</v>
      </c>
      <c r="X4083" s="5" t="s">
        <v>72</v>
      </c>
      <c r="Y4083" s="4">
        <v>39</v>
      </c>
      <c r="Z4083" s="4">
        <v>4</v>
      </c>
      <c r="AA4083" s="4">
        <v>4</v>
      </c>
      <c r="AB4083" s="4">
        <v>2</v>
      </c>
      <c r="AC4083" s="4">
        <v>2</v>
      </c>
      <c r="AD4083" s="4">
        <v>25</v>
      </c>
      <c r="AE4083" s="4">
        <v>25</v>
      </c>
      <c r="AF4083" s="4">
        <v>0</v>
      </c>
      <c r="AG4083" s="4">
        <v>0</v>
      </c>
      <c r="AH4083" s="4">
        <v>24</v>
      </c>
      <c r="AI4083" s="4">
        <v>24</v>
      </c>
      <c r="AJ4083" s="4">
        <v>1</v>
      </c>
      <c r="AK4083" s="4">
        <v>1</v>
      </c>
      <c r="AL4083" s="4">
        <v>19</v>
      </c>
      <c r="AM4083" s="4">
        <v>19</v>
      </c>
      <c r="AN4083" s="4">
        <v>0</v>
      </c>
      <c r="AO4083" s="4">
        <v>0</v>
      </c>
      <c r="AP4083" s="4">
        <v>1</v>
      </c>
      <c r="AQ4083" s="4">
        <v>1</v>
      </c>
      <c r="AR4083" s="3" t="s">
        <v>65</v>
      </c>
      <c r="AS4083" s="3" t="s">
        <v>65</v>
      </c>
      <c r="AT4083" s="3" t="s">
        <v>65</v>
      </c>
      <c r="AV4083" s="6" t="str">
        <f>HYPERLINK("http://mcgill.on.worldcat.org/oclc/441149198","Catalog Record")</f>
        <v>Catalog Record</v>
      </c>
      <c r="AW4083" s="6" t="str">
        <f>HYPERLINK("http://www.worldcat.org/oclc/441149198","WorldCat Record")</f>
        <v>WorldCat Record</v>
      </c>
      <c r="AX4083" s="3" t="s">
        <v>40706</v>
      </c>
      <c r="AY4083" s="3" t="s">
        <v>40707</v>
      </c>
      <c r="AZ4083" s="3" t="s">
        <v>40708</v>
      </c>
      <c r="BA4083" s="3" t="s">
        <v>40708</v>
      </c>
      <c r="BB4083" s="3" t="s">
        <v>40709</v>
      </c>
      <c r="BC4083" s="3" t="s">
        <v>77</v>
      </c>
      <c r="BD4083" s="3" t="s">
        <v>78</v>
      </c>
      <c r="BE4083" s="3" t="s">
        <v>40710</v>
      </c>
      <c r="BF4083" s="3" t="s">
        <v>40709</v>
      </c>
      <c r="BG4083" s="3" t="s">
        <v>40711</v>
      </c>
    </row>
    <row r="4084" spans="1:59" ht="58" x14ac:dyDescent="0.35">
      <c r="A4084" s="2" t="s">
        <v>59</v>
      </c>
      <c r="B4084" s="2" t="s">
        <v>60</v>
      </c>
      <c r="C4084" s="2" t="s">
        <v>40712</v>
      </c>
      <c r="D4084" s="2" t="s">
        <v>40713</v>
      </c>
      <c r="E4084" s="2" t="s">
        <v>40714</v>
      </c>
      <c r="G4084" s="3" t="s">
        <v>65</v>
      </c>
      <c r="I4084" s="3" t="s">
        <v>65</v>
      </c>
      <c r="J4084" s="3" t="s">
        <v>65</v>
      </c>
      <c r="K4084" s="3" t="s">
        <v>66</v>
      </c>
      <c r="L4084" s="2" t="s">
        <v>40715</v>
      </c>
      <c r="M4084" s="2" t="s">
        <v>39255</v>
      </c>
      <c r="N4084" s="3" t="s">
        <v>1967</v>
      </c>
      <c r="P4084" s="3" t="s">
        <v>140</v>
      </c>
      <c r="Q4084" s="2" t="s">
        <v>40716</v>
      </c>
      <c r="R4084" s="3" t="s">
        <v>71</v>
      </c>
      <c r="S4084" s="4">
        <v>8</v>
      </c>
      <c r="T4084" s="4">
        <v>8</v>
      </c>
      <c r="U4084" s="5" t="s">
        <v>17691</v>
      </c>
      <c r="V4084" s="5" t="s">
        <v>17691</v>
      </c>
      <c r="W4084" s="5" t="s">
        <v>72</v>
      </c>
      <c r="X4084" s="5" t="s">
        <v>72</v>
      </c>
      <c r="Y4084" s="4">
        <v>52</v>
      </c>
      <c r="Z4084" s="4">
        <v>5</v>
      </c>
      <c r="AA4084" s="4">
        <v>8</v>
      </c>
      <c r="AB4084" s="4">
        <v>1</v>
      </c>
      <c r="AC4084" s="4">
        <v>4</v>
      </c>
      <c r="AD4084" s="4">
        <v>20</v>
      </c>
      <c r="AE4084" s="4">
        <v>22</v>
      </c>
      <c r="AF4084" s="4">
        <v>0</v>
      </c>
      <c r="AG4084" s="4">
        <v>2</v>
      </c>
      <c r="AH4084" s="4">
        <v>18</v>
      </c>
      <c r="AI4084" s="4">
        <v>19</v>
      </c>
      <c r="AJ4084" s="4">
        <v>3</v>
      </c>
      <c r="AK4084" s="4">
        <v>5</v>
      </c>
      <c r="AL4084" s="4">
        <v>10</v>
      </c>
      <c r="AM4084" s="4">
        <v>10</v>
      </c>
      <c r="AN4084" s="4">
        <v>0</v>
      </c>
      <c r="AO4084" s="4">
        <v>0</v>
      </c>
      <c r="AP4084" s="4">
        <v>3</v>
      </c>
      <c r="AQ4084" s="4">
        <v>4</v>
      </c>
      <c r="AR4084" s="3" t="s">
        <v>65</v>
      </c>
      <c r="AS4084" s="3" t="s">
        <v>65</v>
      </c>
      <c r="AT4084" s="3" t="s">
        <v>65</v>
      </c>
      <c r="AV4084" s="6" t="str">
        <f>HYPERLINK("http://mcgill.on.worldcat.org/oclc/54014276","Catalog Record")</f>
        <v>Catalog Record</v>
      </c>
      <c r="AW4084" s="6" t="str">
        <f>HYPERLINK("http://www.worldcat.org/oclc/54014276","WorldCat Record")</f>
        <v>WorldCat Record</v>
      </c>
      <c r="AX4084" s="3" t="s">
        <v>40717</v>
      </c>
      <c r="AY4084" s="3" t="s">
        <v>40718</v>
      </c>
      <c r="AZ4084" s="3" t="s">
        <v>40719</v>
      </c>
      <c r="BA4084" s="3" t="s">
        <v>40719</v>
      </c>
      <c r="BB4084" s="3" t="s">
        <v>40720</v>
      </c>
      <c r="BC4084" s="3" t="s">
        <v>77</v>
      </c>
      <c r="BD4084" s="3" t="s">
        <v>78</v>
      </c>
      <c r="BE4084" s="3" t="s">
        <v>40721</v>
      </c>
      <c r="BF4084" s="3" t="s">
        <v>40720</v>
      </c>
      <c r="BG4084" s="3" t="s">
        <v>40722</v>
      </c>
    </row>
    <row r="4085" spans="1:59" ht="72.5" x14ac:dyDescent="0.35">
      <c r="A4085" s="2" t="s">
        <v>59</v>
      </c>
      <c r="B4085" s="2" t="s">
        <v>60</v>
      </c>
      <c r="C4085" s="2" t="s">
        <v>40723</v>
      </c>
      <c r="D4085" s="2" t="s">
        <v>40724</v>
      </c>
      <c r="E4085" s="2" t="s">
        <v>40725</v>
      </c>
      <c r="G4085" s="3" t="s">
        <v>65</v>
      </c>
      <c r="I4085" s="3" t="s">
        <v>65</v>
      </c>
      <c r="J4085" s="3" t="s">
        <v>65</v>
      </c>
      <c r="K4085" s="3" t="s">
        <v>66</v>
      </c>
      <c r="L4085" s="2" t="s">
        <v>40715</v>
      </c>
      <c r="M4085" s="2" t="s">
        <v>40726</v>
      </c>
      <c r="N4085" s="3" t="s">
        <v>99</v>
      </c>
      <c r="P4085" s="3" t="s">
        <v>69</v>
      </c>
      <c r="R4085" s="3" t="s">
        <v>71</v>
      </c>
      <c r="S4085" s="4">
        <v>8</v>
      </c>
      <c r="T4085" s="4">
        <v>8</v>
      </c>
      <c r="U4085" s="5" t="s">
        <v>17691</v>
      </c>
      <c r="V4085" s="5" t="s">
        <v>17691</v>
      </c>
      <c r="W4085" s="5" t="s">
        <v>72</v>
      </c>
      <c r="X4085" s="5" t="s">
        <v>72</v>
      </c>
      <c r="Y4085" s="4">
        <v>389</v>
      </c>
      <c r="Z4085" s="4">
        <v>16</v>
      </c>
      <c r="AA4085" s="4">
        <v>27</v>
      </c>
      <c r="AB4085" s="4">
        <v>2</v>
      </c>
      <c r="AC4085" s="4">
        <v>4</v>
      </c>
      <c r="AD4085" s="4">
        <v>37</v>
      </c>
      <c r="AE4085" s="4">
        <v>51</v>
      </c>
      <c r="AF4085" s="4">
        <v>0</v>
      </c>
      <c r="AG4085" s="4">
        <v>0</v>
      </c>
      <c r="AH4085" s="4">
        <v>35</v>
      </c>
      <c r="AI4085" s="4">
        <v>48</v>
      </c>
      <c r="AJ4085" s="4">
        <v>4</v>
      </c>
      <c r="AK4085" s="4">
        <v>5</v>
      </c>
      <c r="AL4085" s="4">
        <v>24</v>
      </c>
      <c r="AM4085" s="4">
        <v>29</v>
      </c>
      <c r="AN4085" s="4">
        <v>5</v>
      </c>
      <c r="AO4085" s="4">
        <v>5</v>
      </c>
      <c r="AP4085" s="4">
        <v>4</v>
      </c>
      <c r="AQ4085" s="4">
        <v>5</v>
      </c>
      <c r="AR4085" s="3" t="s">
        <v>65</v>
      </c>
      <c r="AS4085" s="3" t="s">
        <v>65</v>
      </c>
      <c r="AT4085" s="3" t="s">
        <v>209</v>
      </c>
      <c r="AU4085" s="6" t="str">
        <f>HYPERLINK("http://catalog.hathitrust.org/Record/102047486","HathiTrust Record")</f>
        <v>HathiTrust Record</v>
      </c>
      <c r="AV4085" s="6" t="str">
        <f>HYPERLINK("http://mcgill.on.worldcat.org/oclc/64098189","Catalog Record")</f>
        <v>Catalog Record</v>
      </c>
      <c r="AW4085" s="6" t="str">
        <f>HYPERLINK("http://www.worldcat.org/oclc/64098189","WorldCat Record")</f>
        <v>WorldCat Record</v>
      </c>
      <c r="AX4085" s="3" t="s">
        <v>40727</v>
      </c>
      <c r="AY4085" s="3" t="s">
        <v>40728</v>
      </c>
      <c r="AZ4085" s="3" t="s">
        <v>40729</v>
      </c>
      <c r="BA4085" s="3" t="s">
        <v>40729</v>
      </c>
      <c r="BB4085" s="3" t="s">
        <v>40730</v>
      </c>
      <c r="BC4085" s="3" t="s">
        <v>77</v>
      </c>
      <c r="BD4085" s="3" t="s">
        <v>78</v>
      </c>
      <c r="BE4085" s="3" t="s">
        <v>40731</v>
      </c>
      <c r="BF4085" s="3" t="s">
        <v>40730</v>
      </c>
      <c r="BG4085" s="3" t="s">
        <v>40732</v>
      </c>
    </row>
    <row r="4086" spans="1:59" ht="58" x14ac:dyDescent="0.35">
      <c r="A4086" s="2" t="s">
        <v>59</v>
      </c>
      <c r="B4086" s="2" t="s">
        <v>60</v>
      </c>
      <c r="C4086" s="2" t="s">
        <v>40733</v>
      </c>
      <c r="D4086" s="2" t="s">
        <v>40734</v>
      </c>
      <c r="E4086" s="2" t="s">
        <v>40735</v>
      </c>
      <c r="G4086" s="3" t="s">
        <v>65</v>
      </c>
      <c r="I4086" s="3" t="s">
        <v>65</v>
      </c>
      <c r="J4086" s="3" t="s">
        <v>65</v>
      </c>
      <c r="K4086" s="3" t="s">
        <v>66</v>
      </c>
      <c r="L4086" s="2" t="s">
        <v>40736</v>
      </c>
      <c r="M4086" s="2" t="s">
        <v>40737</v>
      </c>
      <c r="N4086" s="3" t="s">
        <v>152</v>
      </c>
      <c r="O4086" s="2" t="s">
        <v>235</v>
      </c>
      <c r="P4086" s="3" t="s">
        <v>140</v>
      </c>
      <c r="Q4086" s="2" t="s">
        <v>28692</v>
      </c>
      <c r="R4086" s="3" t="s">
        <v>71</v>
      </c>
      <c r="S4086" s="4">
        <v>0</v>
      </c>
      <c r="T4086" s="4">
        <v>0</v>
      </c>
      <c r="W4086" s="5" t="s">
        <v>72</v>
      </c>
      <c r="X4086" s="5" t="s">
        <v>72</v>
      </c>
      <c r="Y4086" s="4">
        <v>37</v>
      </c>
      <c r="Z4086" s="4">
        <v>3</v>
      </c>
      <c r="AA4086" s="4">
        <v>8</v>
      </c>
      <c r="AB4086" s="4">
        <v>1</v>
      </c>
      <c r="AC4086" s="4">
        <v>2</v>
      </c>
      <c r="AD4086" s="4">
        <v>24</v>
      </c>
      <c r="AE4086" s="4">
        <v>30</v>
      </c>
      <c r="AF4086" s="4">
        <v>0</v>
      </c>
      <c r="AG4086" s="4">
        <v>0</v>
      </c>
      <c r="AH4086" s="4">
        <v>23</v>
      </c>
      <c r="AI4086" s="4">
        <v>28</v>
      </c>
      <c r="AJ4086" s="4">
        <v>0</v>
      </c>
      <c r="AK4086" s="4">
        <v>2</v>
      </c>
      <c r="AL4086" s="4">
        <v>20</v>
      </c>
      <c r="AM4086" s="4">
        <v>23</v>
      </c>
      <c r="AN4086" s="4">
        <v>0</v>
      </c>
      <c r="AO4086" s="4">
        <v>0</v>
      </c>
      <c r="AP4086" s="4">
        <v>0</v>
      </c>
      <c r="AQ4086" s="4">
        <v>2</v>
      </c>
      <c r="AR4086" s="3" t="s">
        <v>65</v>
      </c>
      <c r="AS4086" s="3" t="s">
        <v>65</v>
      </c>
      <c r="AT4086" s="3" t="s">
        <v>65</v>
      </c>
      <c r="AV4086" s="6" t="str">
        <f>HYPERLINK("http://mcgill.on.worldcat.org/oclc/865490240","Catalog Record")</f>
        <v>Catalog Record</v>
      </c>
      <c r="AW4086" s="6" t="str">
        <f>HYPERLINK("http://www.worldcat.org/oclc/865490240","WorldCat Record")</f>
        <v>WorldCat Record</v>
      </c>
      <c r="AX4086" s="3" t="s">
        <v>40738</v>
      </c>
      <c r="AY4086" s="3" t="s">
        <v>40739</v>
      </c>
      <c r="AZ4086" s="3" t="s">
        <v>40740</v>
      </c>
      <c r="BA4086" s="3" t="s">
        <v>40740</v>
      </c>
      <c r="BB4086" s="3" t="s">
        <v>40741</v>
      </c>
      <c r="BC4086" s="3" t="s">
        <v>77</v>
      </c>
      <c r="BD4086" s="3" t="s">
        <v>78</v>
      </c>
      <c r="BE4086" s="3" t="s">
        <v>40742</v>
      </c>
      <c r="BF4086" s="3" t="s">
        <v>40741</v>
      </c>
      <c r="BG4086" s="3" t="s">
        <v>40743</v>
      </c>
    </row>
    <row r="4087" spans="1:59" ht="72.5" x14ac:dyDescent="0.35">
      <c r="A4087" s="2" t="s">
        <v>59</v>
      </c>
      <c r="B4087" s="2" t="s">
        <v>60</v>
      </c>
      <c r="C4087" s="2" t="s">
        <v>40744</v>
      </c>
      <c r="D4087" s="2" t="s">
        <v>40745</v>
      </c>
      <c r="E4087" s="2" t="s">
        <v>40746</v>
      </c>
      <c r="G4087" s="3" t="s">
        <v>65</v>
      </c>
      <c r="I4087" s="3" t="s">
        <v>65</v>
      </c>
      <c r="J4087" s="3" t="s">
        <v>65</v>
      </c>
      <c r="K4087" s="3" t="s">
        <v>66</v>
      </c>
      <c r="L4087" s="2" t="s">
        <v>40715</v>
      </c>
      <c r="M4087" s="2" t="s">
        <v>40747</v>
      </c>
      <c r="N4087" s="3" t="s">
        <v>221</v>
      </c>
      <c r="P4087" s="3" t="s">
        <v>69</v>
      </c>
      <c r="R4087" s="3" t="s">
        <v>71</v>
      </c>
      <c r="S4087" s="4">
        <v>4</v>
      </c>
      <c r="T4087" s="4">
        <v>4</v>
      </c>
      <c r="U4087" s="5" t="s">
        <v>17691</v>
      </c>
      <c r="V4087" s="5" t="s">
        <v>17691</v>
      </c>
      <c r="W4087" s="5" t="s">
        <v>72</v>
      </c>
      <c r="X4087" s="5" t="s">
        <v>72</v>
      </c>
      <c r="Y4087" s="4">
        <v>79</v>
      </c>
      <c r="Z4087" s="4">
        <v>4</v>
      </c>
      <c r="AA4087" s="4">
        <v>20</v>
      </c>
      <c r="AB4087" s="4">
        <v>1</v>
      </c>
      <c r="AC4087" s="4">
        <v>6</v>
      </c>
      <c r="AD4087" s="4">
        <v>20</v>
      </c>
      <c r="AE4087" s="4">
        <v>48</v>
      </c>
      <c r="AF4087" s="4">
        <v>0</v>
      </c>
      <c r="AG4087" s="4">
        <v>0</v>
      </c>
      <c r="AH4087" s="4">
        <v>19</v>
      </c>
      <c r="AI4087" s="4">
        <v>46</v>
      </c>
      <c r="AJ4087" s="4">
        <v>1</v>
      </c>
      <c r="AK4087" s="4">
        <v>3</v>
      </c>
      <c r="AL4087" s="4">
        <v>18</v>
      </c>
      <c r="AM4087" s="4">
        <v>32</v>
      </c>
      <c r="AN4087" s="4">
        <v>0</v>
      </c>
      <c r="AO4087" s="4">
        <v>0</v>
      </c>
      <c r="AP4087" s="4">
        <v>1</v>
      </c>
      <c r="AQ4087" s="4">
        <v>3</v>
      </c>
      <c r="AR4087" s="3" t="s">
        <v>65</v>
      </c>
      <c r="AS4087" s="3" t="s">
        <v>65</v>
      </c>
      <c r="AT4087" s="3" t="s">
        <v>65</v>
      </c>
      <c r="AV4087" s="6" t="str">
        <f>HYPERLINK("http://mcgill.on.worldcat.org/oclc/123798962","Catalog Record")</f>
        <v>Catalog Record</v>
      </c>
      <c r="AW4087" s="6" t="str">
        <f>HYPERLINK("http://www.worldcat.org/oclc/123798962","WorldCat Record")</f>
        <v>WorldCat Record</v>
      </c>
      <c r="AX4087" s="3" t="s">
        <v>40748</v>
      </c>
      <c r="AY4087" s="3" t="s">
        <v>40749</v>
      </c>
      <c r="AZ4087" s="3" t="s">
        <v>40750</v>
      </c>
      <c r="BA4087" s="3" t="s">
        <v>40750</v>
      </c>
      <c r="BB4087" s="3" t="s">
        <v>40751</v>
      </c>
      <c r="BC4087" s="3" t="s">
        <v>77</v>
      </c>
      <c r="BD4087" s="3" t="s">
        <v>78</v>
      </c>
      <c r="BE4087" s="3" t="s">
        <v>40752</v>
      </c>
      <c r="BF4087" s="3" t="s">
        <v>40751</v>
      </c>
      <c r="BG4087" s="3" t="s">
        <v>40753</v>
      </c>
    </row>
    <row r="4088" spans="1:59" ht="58" x14ac:dyDescent="0.35">
      <c r="A4088" s="2" t="s">
        <v>59</v>
      </c>
      <c r="B4088" s="2" t="s">
        <v>60</v>
      </c>
      <c r="C4088" s="2" t="s">
        <v>40754</v>
      </c>
      <c r="D4088" s="2" t="s">
        <v>40755</v>
      </c>
      <c r="E4088" s="2" t="s">
        <v>40756</v>
      </c>
      <c r="G4088" s="3" t="s">
        <v>65</v>
      </c>
      <c r="I4088" s="3" t="s">
        <v>65</v>
      </c>
      <c r="J4088" s="3" t="s">
        <v>65</v>
      </c>
      <c r="K4088" s="3" t="s">
        <v>66</v>
      </c>
      <c r="L4088" s="2" t="s">
        <v>40715</v>
      </c>
      <c r="M4088" s="2" t="s">
        <v>34248</v>
      </c>
      <c r="N4088" s="3" t="s">
        <v>113</v>
      </c>
      <c r="P4088" s="3" t="s">
        <v>140</v>
      </c>
      <c r="Q4088" s="2" t="s">
        <v>40757</v>
      </c>
      <c r="R4088" s="3" t="s">
        <v>71</v>
      </c>
      <c r="S4088" s="4">
        <v>1</v>
      </c>
      <c r="T4088" s="4">
        <v>1</v>
      </c>
      <c r="U4088" s="5" t="s">
        <v>17691</v>
      </c>
      <c r="V4088" s="5" t="s">
        <v>17691</v>
      </c>
      <c r="W4088" s="5" t="s">
        <v>72</v>
      </c>
      <c r="X4088" s="5" t="s">
        <v>72</v>
      </c>
      <c r="Y4088" s="4">
        <v>68</v>
      </c>
      <c r="Z4088" s="4">
        <v>5</v>
      </c>
      <c r="AA4088" s="4">
        <v>7</v>
      </c>
      <c r="AB4088" s="4">
        <v>1</v>
      </c>
      <c r="AC4088" s="4">
        <v>3</v>
      </c>
      <c r="AD4088" s="4">
        <v>29</v>
      </c>
      <c r="AE4088" s="4">
        <v>29</v>
      </c>
      <c r="AF4088" s="4">
        <v>0</v>
      </c>
      <c r="AG4088" s="4">
        <v>0</v>
      </c>
      <c r="AH4088" s="4">
        <v>27</v>
      </c>
      <c r="AI4088" s="4">
        <v>27</v>
      </c>
      <c r="AJ4088" s="4">
        <v>2</v>
      </c>
      <c r="AK4088" s="4">
        <v>2</v>
      </c>
      <c r="AL4088" s="4">
        <v>21</v>
      </c>
      <c r="AM4088" s="4">
        <v>21</v>
      </c>
      <c r="AN4088" s="4">
        <v>0</v>
      </c>
      <c r="AO4088" s="4">
        <v>0</v>
      </c>
      <c r="AP4088" s="4">
        <v>2</v>
      </c>
      <c r="AQ4088" s="4">
        <v>2</v>
      </c>
      <c r="AR4088" s="3" t="s">
        <v>65</v>
      </c>
      <c r="AS4088" s="3" t="s">
        <v>65</v>
      </c>
      <c r="AT4088" s="3" t="s">
        <v>65</v>
      </c>
      <c r="AV4088" s="6" t="str">
        <f>HYPERLINK("http://mcgill.on.worldcat.org/oclc/503242296","Catalog Record")</f>
        <v>Catalog Record</v>
      </c>
      <c r="AW4088" s="6" t="str">
        <f>HYPERLINK("http://www.worldcat.org/oclc/503242296","WorldCat Record")</f>
        <v>WorldCat Record</v>
      </c>
      <c r="AX4088" s="3" t="s">
        <v>40758</v>
      </c>
      <c r="AY4088" s="3" t="s">
        <v>40759</v>
      </c>
      <c r="AZ4088" s="3" t="s">
        <v>40760</v>
      </c>
      <c r="BA4088" s="3" t="s">
        <v>40760</v>
      </c>
      <c r="BB4088" s="3" t="s">
        <v>40761</v>
      </c>
      <c r="BC4088" s="3" t="s">
        <v>77</v>
      </c>
      <c r="BD4088" s="3" t="s">
        <v>78</v>
      </c>
      <c r="BE4088" s="3" t="s">
        <v>40762</v>
      </c>
      <c r="BF4088" s="3" t="s">
        <v>40761</v>
      </c>
      <c r="BG4088" s="3" t="s">
        <v>40763</v>
      </c>
    </row>
    <row r="4089" spans="1:59" ht="72.5" x14ac:dyDescent="0.35">
      <c r="A4089" s="2" t="s">
        <v>59</v>
      </c>
      <c r="B4089" s="2" t="s">
        <v>60</v>
      </c>
      <c r="C4089" s="2" t="s">
        <v>40764</v>
      </c>
      <c r="D4089" s="2" t="s">
        <v>40765</v>
      </c>
      <c r="E4089" s="2" t="s">
        <v>40766</v>
      </c>
      <c r="G4089" s="3" t="s">
        <v>65</v>
      </c>
      <c r="I4089" s="3" t="s">
        <v>65</v>
      </c>
      <c r="J4089" s="3" t="s">
        <v>65</v>
      </c>
      <c r="K4089" s="3" t="s">
        <v>66</v>
      </c>
      <c r="L4089" s="2" t="s">
        <v>40715</v>
      </c>
      <c r="M4089" s="2" t="s">
        <v>40767</v>
      </c>
      <c r="N4089" s="3" t="s">
        <v>126</v>
      </c>
      <c r="P4089" s="3" t="s">
        <v>69</v>
      </c>
      <c r="R4089" s="3" t="s">
        <v>71</v>
      </c>
      <c r="S4089" s="4">
        <v>3</v>
      </c>
      <c r="T4089" s="4">
        <v>3</v>
      </c>
      <c r="U4089" s="5" t="s">
        <v>17691</v>
      </c>
      <c r="V4089" s="5" t="s">
        <v>17691</v>
      </c>
      <c r="W4089" s="5" t="s">
        <v>72</v>
      </c>
      <c r="X4089" s="5" t="s">
        <v>72</v>
      </c>
      <c r="Y4089" s="4">
        <v>294</v>
      </c>
      <c r="Z4089" s="4">
        <v>16</v>
      </c>
      <c r="AA4089" s="4">
        <v>23</v>
      </c>
      <c r="AB4089" s="4">
        <v>2</v>
      </c>
      <c r="AC4089" s="4">
        <v>4</v>
      </c>
      <c r="AD4089" s="4">
        <v>52</v>
      </c>
      <c r="AE4089" s="4">
        <v>53</v>
      </c>
      <c r="AF4089" s="4">
        <v>0</v>
      </c>
      <c r="AG4089" s="4">
        <v>0</v>
      </c>
      <c r="AH4089" s="4">
        <v>49</v>
      </c>
      <c r="AI4089" s="4">
        <v>50</v>
      </c>
      <c r="AJ4089" s="4">
        <v>5</v>
      </c>
      <c r="AK4089" s="4">
        <v>5</v>
      </c>
      <c r="AL4089" s="4">
        <v>35</v>
      </c>
      <c r="AM4089" s="4">
        <v>35</v>
      </c>
      <c r="AN4089" s="4">
        <v>0</v>
      </c>
      <c r="AO4089" s="4">
        <v>0</v>
      </c>
      <c r="AP4089" s="4">
        <v>5</v>
      </c>
      <c r="AQ4089" s="4">
        <v>5</v>
      </c>
      <c r="AR4089" s="3" t="s">
        <v>65</v>
      </c>
      <c r="AS4089" s="3" t="s">
        <v>65</v>
      </c>
      <c r="AT4089" s="3" t="s">
        <v>65</v>
      </c>
      <c r="AV4089" s="6" t="str">
        <f>HYPERLINK("http://mcgill.on.worldcat.org/oclc/772103887","Catalog Record")</f>
        <v>Catalog Record</v>
      </c>
      <c r="AW4089" s="6" t="str">
        <f>HYPERLINK("http://www.worldcat.org/oclc/772103887","WorldCat Record")</f>
        <v>WorldCat Record</v>
      </c>
      <c r="AX4089" s="3" t="s">
        <v>40768</v>
      </c>
      <c r="AY4089" s="3" t="s">
        <v>40769</v>
      </c>
      <c r="AZ4089" s="3" t="s">
        <v>40770</v>
      </c>
      <c r="BA4089" s="3" t="s">
        <v>40770</v>
      </c>
      <c r="BB4089" s="3" t="s">
        <v>40771</v>
      </c>
      <c r="BC4089" s="3" t="s">
        <v>77</v>
      </c>
      <c r="BD4089" s="3" t="s">
        <v>78</v>
      </c>
      <c r="BE4089" s="3" t="s">
        <v>40772</v>
      </c>
      <c r="BF4089" s="3" t="s">
        <v>40771</v>
      </c>
      <c r="BG4089" s="3" t="s">
        <v>40773</v>
      </c>
    </row>
    <row r="4090" spans="1:59" ht="58" x14ac:dyDescent="0.35">
      <c r="A4090" s="2" t="s">
        <v>59</v>
      </c>
      <c r="B4090" s="2" t="s">
        <v>60</v>
      </c>
      <c r="C4090" s="2" t="s">
        <v>40774</v>
      </c>
      <c r="D4090" s="2" t="s">
        <v>40775</v>
      </c>
      <c r="E4090" s="2" t="s">
        <v>40776</v>
      </c>
      <c r="G4090" s="3" t="s">
        <v>65</v>
      </c>
      <c r="I4090" s="3" t="s">
        <v>65</v>
      </c>
      <c r="J4090" s="3" t="s">
        <v>65</v>
      </c>
      <c r="K4090" s="3" t="s">
        <v>66</v>
      </c>
      <c r="L4090" s="2" t="s">
        <v>40715</v>
      </c>
      <c r="M4090" s="2" t="s">
        <v>40777</v>
      </c>
      <c r="N4090" s="3" t="s">
        <v>99</v>
      </c>
      <c r="P4090" s="3" t="s">
        <v>140</v>
      </c>
      <c r="Q4090" s="2" t="s">
        <v>40778</v>
      </c>
      <c r="R4090" s="3" t="s">
        <v>71</v>
      </c>
      <c r="S4090" s="4">
        <v>12</v>
      </c>
      <c r="T4090" s="4">
        <v>12</v>
      </c>
      <c r="U4090" s="5" t="s">
        <v>16617</v>
      </c>
      <c r="V4090" s="5" t="s">
        <v>16617</v>
      </c>
      <c r="W4090" s="5" t="s">
        <v>72</v>
      </c>
      <c r="X4090" s="5" t="s">
        <v>72</v>
      </c>
      <c r="Y4090" s="4">
        <v>48</v>
      </c>
      <c r="Z4090" s="4">
        <v>4</v>
      </c>
      <c r="AA4090" s="4">
        <v>5</v>
      </c>
      <c r="AB4090" s="4">
        <v>2</v>
      </c>
      <c r="AC4090" s="4">
        <v>3</v>
      </c>
      <c r="AD4090" s="4">
        <v>23</v>
      </c>
      <c r="AE4090" s="4">
        <v>24</v>
      </c>
      <c r="AF4090" s="4">
        <v>0</v>
      </c>
      <c r="AG4090" s="4">
        <v>1</v>
      </c>
      <c r="AH4090" s="4">
        <v>22</v>
      </c>
      <c r="AI4090" s="4">
        <v>22</v>
      </c>
      <c r="AJ4090" s="4">
        <v>1</v>
      </c>
      <c r="AK4090" s="4">
        <v>2</v>
      </c>
      <c r="AL4090" s="4">
        <v>18</v>
      </c>
      <c r="AM4090" s="4">
        <v>18</v>
      </c>
      <c r="AN4090" s="4">
        <v>0</v>
      </c>
      <c r="AO4090" s="4">
        <v>0</v>
      </c>
      <c r="AP4090" s="4">
        <v>1</v>
      </c>
      <c r="AQ4090" s="4">
        <v>1</v>
      </c>
      <c r="AR4090" s="3" t="s">
        <v>65</v>
      </c>
      <c r="AS4090" s="3" t="s">
        <v>65</v>
      </c>
      <c r="AT4090" s="3" t="s">
        <v>65</v>
      </c>
      <c r="AV4090" s="6" t="str">
        <f>HYPERLINK("http://mcgill.on.worldcat.org/oclc/71777309","Catalog Record")</f>
        <v>Catalog Record</v>
      </c>
      <c r="AW4090" s="6" t="str">
        <f>HYPERLINK("http://www.worldcat.org/oclc/71777309","WorldCat Record")</f>
        <v>WorldCat Record</v>
      </c>
      <c r="AX4090" s="3" t="s">
        <v>40779</v>
      </c>
      <c r="AY4090" s="3" t="s">
        <v>40780</v>
      </c>
      <c r="AZ4090" s="3" t="s">
        <v>40781</v>
      </c>
      <c r="BA4090" s="3" t="s">
        <v>40781</v>
      </c>
      <c r="BB4090" s="3" t="s">
        <v>40782</v>
      </c>
      <c r="BC4090" s="3" t="s">
        <v>77</v>
      </c>
      <c r="BD4090" s="3" t="s">
        <v>106</v>
      </c>
      <c r="BE4090" s="3" t="s">
        <v>40783</v>
      </c>
      <c r="BF4090" s="3" t="s">
        <v>40782</v>
      </c>
      <c r="BG4090" s="3" t="s">
        <v>40784</v>
      </c>
    </row>
    <row r="4091" spans="1:59" ht="72.5" x14ac:dyDescent="0.35">
      <c r="A4091" s="2" t="s">
        <v>59</v>
      </c>
      <c r="B4091" s="2" t="s">
        <v>60</v>
      </c>
      <c r="C4091" s="2" t="s">
        <v>40785</v>
      </c>
      <c r="D4091" s="2" t="s">
        <v>40786</v>
      </c>
      <c r="E4091" s="2" t="s">
        <v>40787</v>
      </c>
      <c r="G4091" s="3" t="s">
        <v>65</v>
      </c>
      <c r="I4091" s="3" t="s">
        <v>65</v>
      </c>
      <c r="J4091" s="3" t="s">
        <v>65</v>
      </c>
      <c r="K4091" s="3" t="s">
        <v>66</v>
      </c>
      <c r="L4091" s="2" t="s">
        <v>40715</v>
      </c>
      <c r="M4091" s="2" t="s">
        <v>40788</v>
      </c>
      <c r="N4091" s="3" t="s">
        <v>221</v>
      </c>
      <c r="P4091" s="3" t="s">
        <v>69</v>
      </c>
      <c r="R4091" s="3" t="s">
        <v>71</v>
      </c>
      <c r="S4091" s="4">
        <v>7</v>
      </c>
      <c r="T4091" s="4">
        <v>7</v>
      </c>
      <c r="U4091" s="5" t="s">
        <v>16617</v>
      </c>
      <c r="V4091" s="5" t="s">
        <v>16617</v>
      </c>
      <c r="W4091" s="5" t="s">
        <v>72</v>
      </c>
      <c r="X4091" s="5" t="s">
        <v>72</v>
      </c>
      <c r="Y4091" s="4">
        <v>315</v>
      </c>
      <c r="Z4091" s="4">
        <v>15</v>
      </c>
      <c r="AA4091" s="4">
        <v>26</v>
      </c>
      <c r="AB4091" s="4">
        <v>3</v>
      </c>
      <c r="AC4091" s="4">
        <v>6</v>
      </c>
      <c r="AD4091" s="4">
        <v>35</v>
      </c>
      <c r="AE4091" s="4">
        <v>50</v>
      </c>
      <c r="AF4091" s="4">
        <v>0</v>
      </c>
      <c r="AG4091" s="4">
        <v>0</v>
      </c>
      <c r="AH4091" s="4">
        <v>33</v>
      </c>
      <c r="AI4091" s="4">
        <v>47</v>
      </c>
      <c r="AJ4091" s="4">
        <v>3</v>
      </c>
      <c r="AK4091" s="4">
        <v>4</v>
      </c>
      <c r="AL4091" s="4">
        <v>24</v>
      </c>
      <c r="AM4091" s="4">
        <v>30</v>
      </c>
      <c r="AN4091" s="4">
        <v>0</v>
      </c>
      <c r="AO4091" s="4">
        <v>0</v>
      </c>
      <c r="AP4091" s="4">
        <v>3</v>
      </c>
      <c r="AQ4091" s="4">
        <v>4</v>
      </c>
      <c r="AR4091" s="3" t="s">
        <v>65</v>
      </c>
      <c r="AS4091" s="3" t="s">
        <v>65</v>
      </c>
      <c r="AT4091" s="3" t="s">
        <v>65</v>
      </c>
      <c r="AV4091" s="6" t="str">
        <f>HYPERLINK("http://mcgill.on.worldcat.org/oclc/85898486","Catalog Record")</f>
        <v>Catalog Record</v>
      </c>
      <c r="AW4091" s="6" t="str">
        <f>HYPERLINK("http://www.worldcat.org/oclc/85898486","WorldCat Record")</f>
        <v>WorldCat Record</v>
      </c>
      <c r="AX4091" s="3" t="s">
        <v>40789</v>
      </c>
      <c r="AY4091" s="3" t="s">
        <v>40790</v>
      </c>
      <c r="AZ4091" s="3" t="s">
        <v>40791</v>
      </c>
      <c r="BA4091" s="3" t="s">
        <v>40791</v>
      </c>
      <c r="BB4091" s="3" t="s">
        <v>40792</v>
      </c>
      <c r="BC4091" s="3" t="s">
        <v>77</v>
      </c>
      <c r="BD4091" s="3" t="s">
        <v>106</v>
      </c>
      <c r="BE4091" s="3" t="s">
        <v>40793</v>
      </c>
      <c r="BF4091" s="3" t="s">
        <v>40792</v>
      </c>
      <c r="BG4091" s="3" t="s">
        <v>40794</v>
      </c>
    </row>
    <row r="4092" spans="1:59" ht="58" x14ac:dyDescent="0.35">
      <c r="A4092" s="2" t="s">
        <v>59</v>
      </c>
      <c r="B4092" s="2" t="s">
        <v>60</v>
      </c>
      <c r="C4092" s="2" t="s">
        <v>40795</v>
      </c>
      <c r="D4092" s="2" t="s">
        <v>40796</v>
      </c>
      <c r="E4092" s="2" t="s">
        <v>40797</v>
      </c>
      <c r="G4092" s="3" t="s">
        <v>65</v>
      </c>
      <c r="I4092" s="3" t="s">
        <v>65</v>
      </c>
      <c r="J4092" s="3" t="s">
        <v>209</v>
      </c>
      <c r="K4092" s="3" t="s">
        <v>66</v>
      </c>
      <c r="L4092" s="2" t="s">
        <v>40715</v>
      </c>
      <c r="M4092" s="2" t="s">
        <v>40798</v>
      </c>
      <c r="N4092" s="3" t="s">
        <v>2210</v>
      </c>
      <c r="P4092" s="3" t="s">
        <v>140</v>
      </c>
      <c r="Q4092" s="2" t="s">
        <v>40799</v>
      </c>
      <c r="R4092" s="3" t="s">
        <v>71</v>
      </c>
      <c r="S4092" s="4">
        <v>12</v>
      </c>
      <c r="T4092" s="4">
        <v>12</v>
      </c>
      <c r="U4092" s="5" t="s">
        <v>40800</v>
      </c>
      <c r="V4092" s="5" t="s">
        <v>40800</v>
      </c>
      <c r="W4092" s="5" t="s">
        <v>72</v>
      </c>
      <c r="X4092" s="5" t="s">
        <v>72</v>
      </c>
      <c r="Y4092" s="4">
        <v>49</v>
      </c>
      <c r="Z4092" s="4">
        <v>2</v>
      </c>
      <c r="AA4092" s="4">
        <v>8</v>
      </c>
      <c r="AB4092" s="4">
        <v>1</v>
      </c>
      <c r="AC4092" s="4">
        <v>4</v>
      </c>
      <c r="AD4092" s="4">
        <v>17</v>
      </c>
      <c r="AE4092" s="4">
        <v>22</v>
      </c>
      <c r="AF4092" s="4">
        <v>0</v>
      </c>
      <c r="AG4092" s="4">
        <v>1</v>
      </c>
      <c r="AH4092" s="4">
        <v>15</v>
      </c>
      <c r="AI4092" s="4">
        <v>19</v>
      </c>
      <c r="AJ4092" s="4">
        <v>1</v>
      </c>
      <c r="AK4092" s="4">
        <v>4</v>
      </c>
      <c r="AL4092" s="4">
        <v>11</v>
      </c>
      <c r="AM4092" s="4">
        <v>13</v>
      </c>
      <c r="AN4092" s="4">
        <v>0</v>
      </c>
      <c r="AO4092" s="4">
        <v>0</v>
      </c>
      <c r="AP4092" s="4">
        <v>1</v>
      </c>
      <c r="AQ4092" s="4">
        <v>3</v>
      </c>
      <c r="AR4092" s="3" t="s">
        <v>65</v>
      </c>
      <c r="AS4092" s="3" t="s">
        <v>65</v>
      </c>
      <c r="AT4092" s="3" t="s">
        <v>65</v>
      </c>
      <c r="AV4092" s="6" t="str">
        <f>HYPERLINK("http://mcgill.on.worldcat.org/oclc/50702114","Catalog Record")</f>
        <v>Catalog Record</v>
      </c>
      <c r="AW4092" s="6" t="str">
        <f>HYPERLINK("http://www.worldcat.org/oclc/50702114","WorldCat Record")</f>
        <v>WorldCat Record</v>
      </c>
      <c r="AX4092" s="3" t="s">
        <v>40801</v>
      </c>
      <c r="AY4092" s="3" t="s">
        <v>40802</v>
      </c>
      <c r="AZ4092" s="3" t="s">
        <v>40803</v>
      </c>
      <c r="BA4092" s="3" t="s">
        <v>40803</v>
      </c>
      <c r="BB4092" s="3" t="s">
        <v>40804</v>
      </c>
      <c r="BC4092" s="3" t="s">
        <v>77</v>
      </c>
      <c r="BD4092" s="3" t="s">
        <v>78</v>
      </c>
      <c r="BE4092" s="3" t="s">
        <v>40805</v>
      </c>
      <c r="BF4092" s="3" t="s">
        <v>40804</v>
      </c>
      <c r="BG4092" s="3" t="s">
        <v>40806</v>
      </c>
    </row>
    <row r="4093" spans="1:59" ht="58" x14ac:dyDescent="0.35">
      <c r="A4093" s="2" t="s">
        <v>59</v>
      </c>
      <c r="B4093" s="2" t="s">
        <v>60</v>
      </c>
      <c r="C4093" s="2" t="s">
        <v>40807</v>
      </c>
      <c r="D4093" s="2" t="s">
        <v>40808</v>
      </c>
      <c r="E4093" s="2" t="s">
        <v>40797</v>
      </c>
      <c r="G4093" s="3" t="s">
        <v>65</v>
      </c>
      <c r="I4093" s="3" t="s">
        <v>65</v>
      </c>
      <c r="J4093" s="3" t="s">
        <v>209</v>
      </c>
      <c r="K4093" s="3" t="s">
        <v>66</v>
      </c>
      <c r="L4093" s="2" t="s">
        <v>40809</v>
      </c>
      <c r="M4093" s="2" t="s">
        <v>40810</v>
      </c>
      <c r="N4093" s="3" t="s">
        <v>221</v>
      </c>
      <c r="O4093" s="2" t="s">
        <v>40811</v>
      </c>
      <c r="P4093" s="3" t="s">
        <v>140</v>
      </c>
      <c r="Q4093" s="2" t="s">
        <v>40812</v>
      </c>
      <c r="R4093" s="3" t="s">
        <v>71</v>
      </c>
      <c r="S4093" s="4">
        <v>15</v>
      </c>
      <c r="T4093" s="4">
        <v>15</v>
      </c>
      <c r="U4093" s="5" t="s">
        <v>17691</v>
      </c>
      <c r="V4093" s="5" t="s">
        <v>17691</v>
      </c>
      <c r="W4093" s="5" t="s">
        <v>72</v>
      </c>
      <c r="X4093" s="5" t="s">
        <v>72</v>
      </c>
      <c r="Y4093" s="4">
        <v>5</v>
      </c>
      <c r="Z4093" s="4">
        <v>2</v>
      </c>
      <c r="AA4093" s="4">
        <v>8</v>
      </c>
      <c r="AB4093" s="4">
        <v>2</v>
      </c>
      <c r="AC4093" s="4">
        <v>4</v>
      </c>
      <c r="AD4093" s="4">
        <v>0</v>
      </c>
      <c r="AE4093" s="4">
        <v>22</v>
      </c>
      <c r="AF4093" s="4">
        <v>0</v>
      </c>
      <c r="AG4093" s="4">
        <v>1</v>
      </c>
      <c r="AH4093" s="4">
        <v>0</v>
      </c>
      <c r="AI4093" s="4">
        <v>19</v>
      </c>
      <c r="AJ4093" s="4">
        <v>0</v>
      </c>
      <c r="AK4093" s="4">
        <v>4</v>
      </c>
      <c r="AL4093" s="4">
        <v>0</v>
      </c>
      <c r="AM4093" s="4">
        <v>13</v>
      </c>
      <c r="AN4093" s="4">
        <v>0</v>
      </c>
      <c r="AO4093" s="4">
        <v>0</v>
      </c>
      <c r="AP4093" s="4">
        <v>0</v>
      </c>
      <c r="AQ4093" s="4">
        <v>3</v>
      </c>
      <c r="AR4093" s="3" t="s">
        <v>65</v>
      </c>
      <c r="AS4093" s="3" t="s">
        <v>65</v>
      </c>
      <c r="AT4093" s="3" t="s">
        <v>65</v>
      </c>
      <c r="AV4093" s="6" t="str">
        <f>HYPERLINK("http://mcgill.on.worldcat.org/oclc/263657705","Catalog Record")</f>
        <v>Catalog Record</v>
      </c>
      <c r="AW4093" s="6" t="str">
        <f>HYPERLINK("http://www.worldcat.org/oclc/263657705","WorldCat Record")</f>
        <v>WorldCat Record</v>
      </c>
      <c r="AX4093" s="3" t="s">
        <v>40801</v>
      </c>
      <c r="AY4093" s="3" t="s">
        <v>40813</v>
      </c>
      <c r="AZ4093" s="3" t="s">
        <v>40814</v>
      </c>
      <c r="BA4093" s="3" t="s">
        <v>40814</v>
      </c>
      <c r="BB4093" s="3" t="s">
        <v>40815</v>
      </c>
      <c r="BC4093" s="3" t="s">
        <v>77</v>
      </c>
      <c r="BD4093" s="3" t="s">
        <v>78</v>
      </c>
      <c r="BE4093" s="3" t="s">
        <v>40805</v>
      </c>
      <c r="BF4093" s="3" t="s">
        <v>40815</v>
      </c>
      <c r="BG4093" s="3" t="s">
        <v>40816</v>
      </c>
    </row>
    <row r="4094" spans="1:59" ht="72.5" x14ac:dyDescent="0.35">
      <c r="A4094" s="2" t="s">
        <v>59</v>
      </c>
      <c r="B4094" s="2" t="s">
        <v>60</v>
      </c>
      <c r="C4094" s="2" t="s">
        <v>40817</v>
      </c>
      <c r="D4094" s="2" t="s">
        <v>40818</v>
      </c>
      <c r="E4094" s="2" t="s">
        <v>40819</v>
      </c>
      <c r="G4094" s="3" t="s">
        <v>65</v>
      </c>
      <c r="I4094" s="3" t="s">
        <v>65</v>
      </c>
      <c r="J4094" s="3" t="s">
        <v>65</v>
      </c>
      <c r="K4094" s="3" t="s">
        <v>66</v>
      </c>
      <c r="L4094" s="2" t="s">
        <v>40715</v>
      </c>
      <c r="M4094" s="2" t="s">
        <v>40820</v>
      </c>
      <c r="N4094" s="3" t="s">
        <v>1196</v>
      </c>
      <c r="P4094" s="3" t="s">
        <v>69</v>
      </c>
      <c r="R4094" s="3" t="s">
        <v>71</v>
      </c>
      <c r="S4094" s="4">
        <v>25</v>
      </c>
      <c r="T4094" s="4">
        <v>25</v>
      </c>
      <c r="U4094" s="5" t="s">
        <v>31076</v>
      </c>
      <c r="V4094" s="5" t="s">
        <v>31076</v>
      </c>
      <c r="W4094" s="5" t="s">
        <v>72</v>
      </c>
      <c r="X4094" s="5" t="s">
        <v>72</v>
      </c>
      <c r="Y4094" s="4">
        <v>308</v>
      </c>
      <c r="Z4094" s="4">
        <v>18</v>
      </c>
      <c r="AA4094" s="4">
        <v>27</v>
      </c>
      <c r="AB4094" s="4">
        <v>1</v>
      </c>
      <c r="AC4094" s="4">
        <v>3</v>
      </c>
      <c r="AD4094" s="4">
        <v>48</v>
      </c>
      <c r="AE4094" s="4">
        <v>59</v>
      </c>
      <c r="AF4094" s="4">
        <v>0</v>
      </c>
      <c r="AG4094" s="4">
        <v>0</v>
      </c>
      <c r="AH4094" s="4">
        <v>47</v>
      </c>
      <c r="AI4094" s="4">
        <v>57</v>
      </c>
      <c r="AJ4094" s="4">
        <v>5</v>
      </c>
      <c r="AK4094" s="4">
        <v>5</v>
      </c>
      <c r="AL4094" s="4">
        <v>28</v>
      </c>
      <c r="AM4094" s="4">
        <v>33</v>
      </c>
      <c r="AN4094" s="4">
        <v>0</v>
      </c>
      <c r="AO4094" s="4">
        <v>0</v>
      </c>
      <c r="AP4094" s="4">
        <v>5</v>
      </c>
      <c r="AQ4094" s="4">
        <v>5</v>
      </c>
      <c r="AR4094" s="3" t="s">
        <v>65</v>
      </c>
      <c r="AS4094" s="3" t="s">
        <v>65</v>
      </c>
      <c r="AT4094" s="3" t="s">
        <v>65</v>
      </c>
      <c r="AV4094" s="6" t="str">
        <f>HYPERLINK("http://mcgill.on.worldcat.org/oclc/62353862","Catalog Record")</f>
        <v>Catalog Record</v>
      </c>
      <c r="AW4094" s="6" t="str">
        <f>HYPERLINK("http://www.worldcat.org/oclc/62353862","WorldCat Record")</f>
        <v>WorldCat Record</v>
      </c>
      <c r="AX4094" s="3" t="s">
        <v>40821</v>
      </c>
      <c r="AY4094" s="3" t="s">
        <v>40822</v>
      </c>
      <c r="AZ4094" s="3" t="s">
        <v>40823</v>
      </c>
      <c r="BA4094" s="3" t="s">
        <v>40823</v>
      </c>
      <c r="BB4094" s="3" t="s">
        <v>40824</v>
      </c>
      <c r="BC4094" s="3" t="s">
        <v>77</v>
      </c>
      <c r="BD4094" s="3" t="s">
        <v>78</v>
      </c>
      <c r="BE4094" s="3" t="s">
        <v>40825</v>
      </c>
      <c r="BF4094" s="3" t="s">
        <v>40824</v>
      </c>
      <c r="BG4094" s="3" t="s">
        <v>40826</v>
      </c>
    </row>
    <row r="4095" spans="1:59" ht="72.5" x14ac:dyDescent="0.35">
      <c r="A4095" s="2" t="s">
        <v>59</v>
      </c>
      <c r="B4095" s="2" t="s">
        <v>60</v>
      </c>
      <c r="C4095" s="2" t="s">
        <v>40827</v>
      </c>
      <c r="D4095" s="2" t="s">
        <v>40828</v>
      </c>
      <c r="E4095" s="2" t="s">
        <v>40829</v>
      </c>
      <c r="G4095" s="3" t="s">
        <v>65</v>
      </c>
      <c r="I4095" s="3" t="s">
        <v>65</v>
      </c>
      <c r="J4095" s="3" t="s">
        <v>65</v>
      </c>
      <c r="K4095" s="3" t="s">
        <v>66</v>
      </c>
      <c r="L4095" s="2" t="s">
        <v>40715</v>
      </c>
      <c r="M4095" s="2" t="s">
        <v>37841</v>
      </c>
      <c r="N4095" s="3" t="s">
        <v>126</v>
      </c>
      <c r="O4095" s="2" t="s">
        <v>365</v>
      </c>
      <c r="P4095" s="3" t="s">
        <v>140</v>
      </c>
      <c r="Q4095" s="2" t="s">
        <v>28692</v>
      </c>
      <c r="R4095" s="3" t="s">
        <v>71</v>
      </c>
      <c r="S4095" s="4">
        <v>1</v>
      </c>
      <c r="T4095" s="4">
        <v>1</v>
      </c>
      <c r="U4095" s="5" t="s">
        <v>40830</v>
      </c>
      <c r="V4095" s="5" t="s">
        <v>40830</v>
      </c>
      <c r="W4095" s="5" t="s">
        <v>72</v>
      </c>
      <c r="X4095" s="5" t="s">
        <v>72</v>
      </c>
      <c r="Y4095" s="4">
        <v>67</v>
      </c>
      <c r="Z4095" s="4">
        <v>6</v>
      </c>
      <c r="AA4095" s="4">
        <v>8</v>
      </c>
      <c r="AB4095" s="4">
        <v>2</v>
      </c>
      <c r="AC4095" s="4">
        <v>3</v>
      </c>
      <c r="AD4095" s="4">
        <v>37</v>
      </c>
      <c r="AE4095" s="4">
        <v>39</v>
      </c>
      <c r="AF4095" s="4">
        <v>0</v>
      </c>
      <c r="AG4095" s="4">
        <v>1</v>
      </c>
      <c r="AH4095" s="4">
        <v>35</v>
      </c>
      <c r="AI4095" s="4">
        <v>37</v>
      </c>
      <c r="AJ4095" s="4">
        <v>2</v>
      </c>
      <c r="AK4095" s="4">
        <v>3</v>
      </c>
      <c r="AL4095" s="4">
        <v>26</v>
      </c>
      <c r="AM4095" s="4">
        <v>27</v>
      </c>
      <c r="AN4095" s="4">
        <v>0</v>
      </c>
      <c r="AO4095" s="4">
        <v>0</v>
      </c>
      <c r="AP4095" s="4">
        <v>2</v>
      </c>
      <c r="AQ4095" s="4">
        <v>3</v>
      </c>
      <c r="AR4095" s="3" t="s">
        <v>65</v>
      </c>
      <c r="AS4095" s="3" t="s">
        <v>65</v>
      </c>
      <c r="AT4095" s="3" t="s">
        <v>65</v>
      </c>
      <c r="AV4095" s="6" t="str">
        <f>HYPERLINK("http://mcgill.on.worldcat.org/oclc/759843938","Catalog Record")</f>
        <v>Catalog Record</v>
      </c>
      <c r="AW4095" s="6" t="str">
        <f>HYPERLINK("http://www.worldcat.org/oclc/759843938","WorldCat Record")</f>
        <v>WorldCat Record</v>
      </c>
      <c r="AX4095" s="3" t="s">
        <v>40831</v>
      </c>
      <c r="AY4095" s="3" t="s">
        <v>40832</v>
      </c>
      <c r="AZ4095" s="3" t="s">
        <v>40833</v>
      </c>
      <c r="BA4095" s="3" t="s">
        <v>40833</v>
      </c>
      <c r="BB4095" s="3" t="s">
        <v>40834</v>
      </c>
      <c r="BC4095" s="3" t="s">
        <v>77</v>
      </c>
      <c r="BD4095" s="3" t="s">
        <v>78</v>
      </c>
      <c r="BE4095" s="3" t="s">
        <v>40835</v>
      </c>
      <c r="BF4095" s="3" t="s">
        <v>40834</v>
      </c>
      <c r="BG4095" s="3" t="s">
        <v>40836</v>
      </c>
    </row>
    <row r="4096" spans="1:59" ht="58" x14ac:dyDescent="0.35">
      <c r="A4096" s="2" t="s">
        <v>59</v>
      </c>
      <c r="B4096" s="2" t="s">
        <v>60</v>
      </c>
      <c r="C4096" s="2" t="s">
        <v>40837</v>
      </c>
      <c r="D4096" s="2" t="s">
        <v>40838</v>
      </c>
      <c r="E4096" s="2" t="s">
        <v>40839</v>
      </c>
      <c r="G4096" s="3" t="s">
        <v>65</v>
      </c>
      <c r="I4096" s="3" t="s">
        <v>65</v>
      </c>
      <c r="J4096" s="3" t="s">
        <v>65</v>
      </c>
      <c r="K4096" s="3" t="s">
        <v>66</v>
      </c>
      <c r="L4096" s="2" t="s">
        <v>40840</v>
      </c>
      <c r="M4096" s="2" t="s">
        <v>40841</v>
      </c>
      <c r="N4096" s="3" t="s">
        <v>68</v>
      </c>
      <c r="O4096" s="2" t="s">
        <v>379</v>
      </c>
      <c r="P4096" s="3" t="s">
        <v>140</v>
      </c>
      <c r="Q4096" s="2" t="s">
        <v>29924</v>
      </c>
      <c r="R4096" s="3" t="s">
        <v>71</v>
      </c>
      <c r="S4096" s="4">
        <v>0</v>
      </c>
      <c r="T4096" s="4">
        <v>0</v>
      </c>
      <c r="W4096" s="5" t="s">
        <v>72</v>
      </c>
      <c r="X4096" s="5" t="s">
        <v>72</v>
      </c>
      <c r="Y4096" s="4">
        <v>40</v>
      </c>
      <c r="Z4096" s="4">
        <v>3</v>
      </c>
      <c r="AA4096" s="4">
        <v>3</v>
      </c>
      <c r="AB4096" s="4">
        <v>1</v>
      </c>
      <c r="AC4096" s="4">
        <v>1</v>
      </c>
      <c r="AD4096" s="4">
        <v>27</v>
      </c>
      <c r="AE4096" s="4">
        <v>27</v>
      </c>
      <c r="AF4096" s="4">
        <v>0</v>
      </c>
      <c r="AG4096" s="4">
        <v>0</v>
      </c>
      <c r="AH4096" s="4">
        <v>26</v>
      </c>
      <c r="AI4096" s="4">
        <v>26</v>
      </c>
      <c r="AJ4096" s="4">
        <v>1</v>
      </c>
      <c r="AK4096" s="4">
        <v>1</v>
      </c>
      <c r="AL4096" s="4">
        <v>22</v>
      </c>
      <c r="AM4096" s="4">
        <v>22</v>
      </c>
      <c r="AN4096" s="4">
        <v>0</v>
      </c>
      <c r="AO4096" s="4">
        <v>0</v>
      </c>
      <c r="AP4096" s="4">
        <v>1</v>
      </c>
      <c r="AQ4096" s="4">
        <v>1</v>
      </c>
      <c r="AR4096" s="3" t="s">
        <v>65</v>
      </c>
      <c r="AS4096" s="3" t="s">
        <v>65</v>
      </c>
      <c r="AT4096" s="3" t="s">
        <v>65</v>
      </c>
      <c r="AV4096" s="6" t="str">
        <f>HYPERLINK("http://mcgill.on.worldcat.org/oclc/945401350","Catalog Record")</f>
        <v>Catalog Record</v>
      </c>
      <c r="AW4096" s="6" t="str">
        <f>HYPERLINK("http://www.worldcat.org/oclc/945401350","WorldCat Record")</f>
        <v>WorldCat Record</v>
      </c>
      <c r="AX4096" s="3" t="s">
        <v>40842</v>
      </c>
      <c r="AY4096" s="3" t="s">
        <v>40843</v>
      </c>
      <c r="AZ4096" s="3" t="s">
        <v>40844</v>
      </c>
      <c r="BA4096" s="3" t="s">
        <v>40844</v>
      </c>
      <c r="BB4096" s="3" t="s">
        <v>40845</v>
      </c>
      <c r="BC4096" s="3" t="s">
        <v>77</v>
      </c>
      <c r="BD4096" s="3" t="s">
        <v>78</v>
      </c>
      <c r="BE4096" s="3" t="s">
        <v>40846</v>
      </c>
      <c r="BF4096" s="3" t="s">
        <v>40845</v>
      </c>
      <c r="BG4096" s="3" t="s">
        <v>40847</v>
      </c>
    </row>
    <row r="4097" spans="1:59" ht="58" x14ac:dyDescent="0.35">
      <c r="A4097" s="2" t="s">
        <v>59</v>
      </c>
      <c r="B4097" s="2" t="s">
        <v>60</v>
      </c>
      <c r="C4097" s="2" t="s">
        <v>40848</v>
      </c>
      <c r="D4097" s="2" t="s">
        <v>40849</v>
      </c>
      <c r="E4097" s="2" t="s">
        <v>40850</v>
      </c>
      <c r="G4097" s="3" t="s">
        <v>65</v>
      </c>
      <c r="I4097" s="3" t="s">
        <v>65</v>
      </c>
      <c r="J4097" s="3" t="s">
        <v>65</v>
      </c>
      <c r="K4097" s="3" t="s">
        <v>66</v>
      </c>
      <c r="L4097" s="2" t="s">
        <v>40851</v>
      </c>
      <c r="M4097" s="2" t="s">
        <v>33051</v>
      </c>
      <c r="N4097" s="3" t="s">
        <v>113</v>
      </c>
      <c r="O4097" s="2" t="s">
        <v>33052</v>
      </c>
      <c r="P4097" s="3" t="s">
        <v>140</v>
      </c>
      <c r="Q4097" s="2" t="s">
        <v>33053</v>
      </c>
      <c r="R4097" s="3" t="s">
        <v>71</v>
      </c>
      <c r="S4097" s="4">
        <v>1</v>
      </c>
      <c r="T4097" s="4">
        <v>1</v>
      </c>
      <c r="U4097" s="5" t="s">
        <v>40852</v>
      </c>
      <c r="V4097" s="5" t="s">
        <v>40852</v>
      </c>
      <c r="W4097" s="5" t="s">
        <v>72</v>
      </c>
      <c r="X4097" s="5" t="s">
        <v>72</v>
      </c>
      <c r="Y4097" s="4">
        <v>63</v>
      </c>
      <c r="Z4097" s="4">
        <v>5</v>
      </c>
      <c r="AA4097" s="4">
        <v>5</v>
      </c>
      <c r="AB4097" s="4">
        <v>1</v>
      </c>
      <c r="AC4097" s="4">
        <v>1</v>
      </c>
      <c r="AD4097" s="4">
        <v>39</v>
      </c>
      <c r="AE4097" s="4">
        <v>39</v>
      </c>
      <c r="AF4097" s="4">
        <v>0</v>
      </c>
      <c r="AG4097" s="4">
        <v>0</v>
      </c>
      <c r="AH4097" s="4">
        <v>38</v>
      </c>
      <c r="AI4097" s="4">
        <v>38</v>
      </c>
      <c r="AJ4097" s="4">
        <v>3</v>
      </c>
      <c r="AK4097" s="4">
        <v>3</v>
      </c>
      <c r="AL4097" s="4">
        <v>30</v>
      </c>
      <c r="AM4097" s="4">
        <v>30</v>
      </c>
      <c r="AN4097" s="4">
        <v>0</v>
      </c>
      <c r="AO4097" s="4">
        <v>0</v>
      </c>
      <c r="AP4097" s="4">
        <v>3</v>
      </c>
      <c r="AQ4097" s="4">
        <v>3</v>
      </c>
      <c r="AR4097" s="3" t="s">
        <v>65</v>
      </c>
      <c r="AS4097" s="3" t="s">
        <v>65</v>
      </c>
      <c r="AT4097" s="3" t="s">
        <v>65</v>
      </c>
      <c r="AV4097" s="6" t="str">
        <f>HYPERLINK("http://mcgill.on.worldcat.org/oclc/549128523","Catalog Record")</f>
        <v>Catalog Record</v>
      </c>
      <c r="AW4097" s="6" t="str">
        <f>HYPERLINK("http://www.worldcat.org/oclc/549128523","WorldCat Record")</f>
        <v>WorldCat Record</v>
      </c>
      <c r="AX4097" s="3" t="s">
        <v>40853</v>
      </c>
      <c r="AY4097" s="3" t="s">
        <v>40854</v>
      </c>
      <c r="AZ4097" s="3" t="s">
        <v>40855</v>
      </c>
      <c r="BA4097" s="3" t="s">
        <v>40855</v>
      </c>
      <c r="BB4097" s="3" t="s">
        <v>40856</v>
      </c>
      <c r="BC4097" s="3" t="s">
        <v>77</v>
      </c>
      <c r="BD4097" s="3" t="s">
        <v>78</v>
      </c>
      <c r="BE4097" s="3" t="s">
        <v>40857</v>
      </c>
      <c r="BF4097" s="3" t="s">
        <v>40856</v>
      </c>
      <c r="BG4097" s="3" t="s">
        <v>40858</v>
      </c>
    </row>
    <row r="4098" spans="1:59" ht="72.5" x14ac:dyDescent="0.35">
      <c r="A4098" s="2" t="s">
        <v>59</v>
      </c>
      <c r="B4098" s="2" t="s">
        <v>60</v>
      </c>
      <c r="C4098" s="2" t="s">
        <v>40859</v>
      </c>
      <c r="D4098" s="2" t="s">
        <v>40860</v>
      </c>
      <c r="E4098" s="2" t="s">
        <v>40861</v>
      </c>
      <c r="G4098" s="3" t="s">
        <v>65</v>
      </c>
      <c r="I4098" s="3" t="s">
        <v>65</v>
      </c>
      <c r="J4098" s="3" t="s">
        <v>65</v>
      </c>
      <c r="K4098" s="3" t="s">
        <v>66</v>
      </c>
      <c r="L4098" s="2" t="s">
        <v>40862</v>
      </c>
      <c r="M4098" s="2" t="s">
        <v>40416</v>
      </c>
      <c r="N4098" s="3" t="s">
        <v>126</v>
      </c>
      <c r="P4098" s="3" t="s">
        <v>140</v>
      </c>
      <c r="R4098" s="3" t="s">
        <v>71</v>
      </c>
      <c r="S4098" s="4">
        <v>2</v>
      </c>
      <c r="T4098" s="4">
        <v>2</v>
      </c>
      <c r="U4098" s="5" t="s">
        <v>40852</v>
      </c>
      <c r="V4098" s="5" t="s">
        <v>40852</v>
      </c>
      <c r="W4098" s="5" t="s">
        <v>72</v>
      </c>
      <c r="X4098" s="5" t="s">
        <v>72</v>
      </c>
      <c r="Y4098" s="4">
        <v>51</v>
      </c>
      <c r="Z4098" s="4">
        <v>5</v>
      </c>
      <c r="AA4098" s="4">
        <v>5</v>
      </c>
      <c r="AB4098" s="4">
        <v>1</v>
      </c>
      <c r="AC4098" s="4">
        <v>1</v>
      </c>
      <c r="AD4098" s="4">
        <v>35</v>
      </c>
      <c r="AE4098" s="4">
        <v>35</v>
      </c>
      <c r="AF4098" s="4">
        <v>0</v>
      </c>
      <c r="AG4098" s="4">
        <v>0</v>
      </c>
      <c r="AH4098" s="4">
        <v>33</v>
      </c>
      <c r="AI4098" s="4">
        <v>33</v>
      </c>
      <c r="AJ4098" s="4">
        <v>3</v>
      </c>
      <c r="AK4098" s="4">
        <v>3</v>
      </c>
      <c r="AL4098" s="4">
        <v>28</v>
      </c>
      <c r="AM4098" s="4">
        <v>28</v>
      </c>
      <c r="AN4098" s="4">
        <v>0</v>
      </c>
      <c r="AO4098" s="4">
        <v>0</v>
      </c>
      <c r="AP4098" s="4">
        <v>3</v>
      </c>
      <c r="AQ4098" s="4">
        <v>3</v>
      </c>
      <c r="AR4098" s="3" t="s">
        <v>65</v>
      </c>
      <c r="AS4098" s="3" t="s">
        <v>65</v>
      </c>
      <c r="AT4098" s="3" t="s">
        <v>65</v>
      </c>
      <c r="AV4098" s="6" t="str">
        <f>HYPERLINK("http://mcgill.on.worldcat.org/oclc/719372299","Catalog Record")</f>
        <v>Catalog Record</v>
      </c>
      <c r="AW4098" s="6" t="str">
        <f>HYPERLINK("http://www.worldcat.org/oclc/719372299","WorldCat Record")</f>
        <v>WorldCat Record</v>
      </c>
      <c r="AX4098" s="3" t="s">
        <v>40863</v>
      </c>
      <c r="AY4098" s="3" t="s">
        <v>40864</v>
      </c>
      <c r="AZ4098" s="3" t="s">
        <v>40865</v>
      </c>
      <c r="BA4098" s="3" t="s">
        <v>40865</v>
      </c>
      <c r="BB4098" s="3" t="s">
        <v>40866</v>
      </c>
      <c r="BC4098" s="3" t="s">
        <v>77</v>
      </c>
      <c r="BD4098" s="3" t="s">
        <v>78</v>
      </c>
      <c r="BE4098" s="3" t="s">
        <v>40867</v>
      </c>
      <c r="BF4098" s="3" t="s">
        <v>40866</v>
      </c>
      <c r="BG4098" s="3" t="s">
        <v>40868</v>
      </c>
    </row>
    <row r="4099" spans="1:59" ht="58" x14ac:dyDescent="0.35">
      <c r="A4099" s="2" t="s">
        <v>59</v>
      </c>
      <c r="B4099" s="2" t="s">
        <v>60</v>
      </c>
      <c r="C4099" s="2" t="s">
        <v>40869</v>
      </c>
      <c r="D4099" s="2" t="s">
        <v>40870</v>
      </c>
      <c r="E4099" s="2" t="s">
        <v>40871</v>
      </c>
      <c r="G4099" s="3" t="s">
        <v>65</v>
      </c>
      <c r="I4099" s="3" t="s">
        <v>65</v>
      </c>
      <c r="J4099" s="3" t="s">
        <v>65</v>
      </c>
      <c r="K4099" s="3" t="s">
        <v>66</v>
      </c>
      <c r="L4099" s="2" t="s">
        <v>40872</v>
      </c>
      <c r="M4099" s="2" t="s">
        <v>40873</v>
      </c>
      <c r="N4099" s="3" t="s">
        <v>68</v>
      </c>
      <c r="P4099" s="3" t="s">
        <v>616</v>
      </c>
      <c r="R4099" s="3" t="s">
        <v>71</v>
      </c>
      <c r="S4099" s="4">
        <v>1</v>
      </c>
      <c r="T4099" s="4">
        <v>1</v>
      </c>
      <c r="U4099" s="5" t="s">
        <v>40874</v>
      </c>
      <c r="V4099" s="5" t="s">
        <v>40874</v>
      </c>
      <c r="W4099" s="5" t="s">
        <v>72</v>
      </c>
      <c r="X4099" s="5" t="s">
        <v>72</v>
      </c>
      <c r="Y4099" s="4">
        <v>6</v>
      </c>
      <c r="Z4099" s="4">
        <v>2</v>
      </c>
      <c r="AA4099" s="4">
        <v>5</v>
      </c>
      <c r="AB4099" s="4">
        <v>1</v>
      </c>
      <c r="AC4099" s="4">
        <v>3</v>
      </c>
      <c r="AD4099" s="4">
        <v>3</v>
      </c>
      <c r="AE4099" s="4">
        <v>5</v>
      </c>
      <c r="AF4099" s="4">
        <v>0</v>
      </c>
      <c r="AG4099" s="4">
        <v>1</v>
      </c>
      <c r="AH4099" s="4">
        <v>2</v>
      </c>
      <c r="AI4099" s="4">
        <v>3</v>
      </c>
      <c r="AJ4099" s="4">
        <v>1</v>
      </c>
      <c r="AK4099" s="4">
        <v>3</v>
      </c>
      <c r="AL4099" s="4">
        <v>2</v>
      </c>
      <c r="AM4099" s="4">
        <v>2</v>
      </c>
      <c r="AN4099" s="4">
        <v>0</v>
      </c>
      <c r="AO4099" s="4">
        <v>0</v>
      </c>
      <c r="AP4099" s="4">
        <v>1</v>
      </c>
      <c r="AQ4099" s="4">
        <v>3</v>
      </c>
      <c r="AR4099" s="3" t="s">
        <v>65</v>
      </c>
      <c r="AS4099" s="3" t="s">
        <v>65</v>
      </c>
      <c r="AT4099" s="3" t="s">
        <v>65</v>
      </c>
      <c r="AV4099" s="6" t="str">
        <f>HYPERLINK("http://mcgill.on.worldcat.org/oclc/961335331","Catalog Record")</f>
        <v>Catalog Record</v>
      </c>
      <c r="AW4099" s="6" t="str">
        <f>HYPERLINK("http://www.worldcat.org/oclc/961335331","WorldCat Record")</f>
        <v>WorldCat Record</v>
      </c>
      <c r="AX4099" s="3" t="s">
        <v>40875</v>
      </c>
      <c r="AY4099" s="3" t="s">
        <v>40876</v>
      </c>
      <c r="AZ4099" s="3" t="s">
        <v>40877</v>
      </c>
      <c r="BA4099" s="3" t="s">
        <v>40877</v>
      </c>
      <c r="BB4099" s="3" t="s">
        <v>40878</v>
      </c>
      <c r="BC4099" s="3" t="s">
        <v>77</v>
      </c>
      <c r="BD4099" s="3" t="s">
        <v>78</v>
      </c>
      <c r="BE4099" s="3" t="s">
        <v>40879</v>
      </c>
      <c r="BF4099" s="3" t="s">
        <v>40878</v>
      </c>
      <c r="BG4099" s="3" t="s">
        <v>40880</v>
      </c>
    </row>
    <row r="4100" spans="1:59" ht="72.5" x14ac:dyDescent="0.35">
      <c r="A4100" s="2" t="s">
        <v>59</v>
      </c>
      <c r="B4100" s="2" t="s">
        <v>60</v>
      </c>
      <c r="C4100" s="2" t="s">
        <v>40881</v>
      </c>
      <c r="D4100" s="2" t="s">
        <v>40882</v>
      </c>
      <c r="E4100" s="2" t="s">
        <v>40883</v>
      </c>
      <c r="G4100" s="3" t="s">
        <v>65</v>
      </c>
      <c r="I4100" s="3" t="s">
        <v>65</v>
      </c>
      <c r="J4100" s="3" t="s">
        <v>65</v>
      </c>
      <c r="K4100" s="3" t="s">
        <v>66</v>
      </c>
      <c r="L4100" s="2" t="s">
        <v>40884</v>
      </c>
      <c r="M4100" s="2" t="s">
        <v>10185</v>
      </c>
      <c r="N4100" s="3" t="s">
        <v>139</v>
      </c>
      <c r="O4100" s="2" t="s">
        <v>379</v>
      </c>
      <c r="P4100" s="3" t="s">
        <v>140</v>
      </c>
      <c r="Q4100" s="2" t="s">
        <v>32206</v>
      </c>
      <c r="R4100" s="3" t="s">
        <v>71</v>
      </c>
      <c r="S4100" s="4">
        <v>3</v>
      </c>
      <c r="T4100" s="4">
        <v>3</v>
      </c>
      <c r="U4100" s="5" t="s">
        <v>37335</v>
      </c>
      <c r="V4100" s="5" t="s">
        <v>37335</v>
      </c>
      <c r="W4100" s="5" t="s">
        <v>72</v>
      </c>
      <c r="X4100" s="5" t="s">
        <v>72</v>
      </c>
      <c r="Y4100" s="4">
        <v>28</v>
      </c>
      <c r="Z4100" s="4">
        <v>5</v>
      </c>
      <c r="AA4100" s="4">
        <v>6</v>
      </c>
      <c r="AB4100" s="4">
        <v>1</v>
      </c>
      <c r="AC4100" s="4">
        <v>1</v>
      </c>
      <c r="AD4100" s="4">
        <v>15</v>
      </c>
      <c r="AE4100" s="4">
        <v>25</v>
      </c>
      <c r="AF4100" s="4">
        <v>0</v>
      </c>
      <c r="AG4100" s="4">
        <v>0</v>
      </c>
      <c r="AH4100" s="4">
        <v>15</v>
      </c>
      <c r="AI4100" s="4">
        <v>24</v>
      </c>
      <c r="AJ4100" s="4">
        <v>2</v>
      </c>
      <c r="AK4100" s="4">
        <v>2</v>
      </c>
      <c r="AL4100" s="4">
        <v>11</v>
      </c>
      <c r="AM4100" s="4">
        <v>21</v>
      </c>
      <c r="AN4100" s="4">
        <v>0</v>
      </c>
      <c r="AO4100" s="4">
        <v>0</v>
      </c>
      <c r="AP4100" s="4">
        <v>2</v>
      </c>
      <c r="AQ4100" s="4">
        <v>2</v>
      </c>
      <c r="AR4100" s="3" t="s">
        <v>65</v>
      </c>
      <c r="AS4100" s="3" t="s">
        <v>65</v>
      </c>
      <c r="AT4100" s="3" t="s">
        <v>65</v>
      </c>
      <c r="AV4100" s="6" t="str">
        <f>HYPERLINK("http://mcgill.on.worldcat.org/oclc/803861441","Catalog Record")</f>
        <v>Catalog Record</v>
      </c>
      <c r="AW4100" s="6" t="str">
        <f>HYPERLINK("http://www.worldcat.org/oclc/803861441","WorldCat Record")</f>
        <v>WorldCat Record</v>
      </c>
      <c r="AX4100" s="3" t="s">
        <v>40885</v>
      </c>
      <c r="AY4100" s="3" t="s">
        <v>40886</v>
      </c>
      <c r="AZ4100" s="3" t="s">
        <v>40887</v>
      </c>
      <c r="BA4100" s="3" t="s">
        <v>40887</v>
      </c>
      <c r="BB4100" s="3" t="s">
        <v>40888</v>
      </c>
      <c r="BC4100" s="3" t="s">
        <v>77</v>
      </c>
      <c r="BD4100" s="3" t="s">
        <v>78</v>
      </c>
      <c r="BE4100" s="3" t="s">
        <v>40889</v>
      </c>
      <c r="BF4100" s="3" t="s">
        <v>40888</v>
      </c>
      <c r="BG4100" s="3" t="s">
        <v>40890</v>
      </c>
    </row>
    <row r="4101" spans="1:59" ht="72.5" x14ac:dyDescent="0.35">
      <c r="A4101" s="2" t="s">
        <v>59</v>
      </c>
      <c r="B4101" s="2" t="s">
        <v>60</v>
      </c>
      <c r="C4101" s="2" t="s">
        <v>40891</v>
      </c>
      <c r="D4101" s="2" t="s">
        <v>40892</v>
      </c>
      <c r="E4101" s="2" t="s">
        <v>40893</v>
      </c>
      <c r="G4101" s="3" t="s">
        <v>65</v>
      </c>
      <c r="I4101" s="3" t="s">
        <v>65</v>
      </c>
      <c r="J4101" s="3" t="s">
        <v>65</v>
      </c>
      <c r="K4101" s="3" t="s">
        <v>66</v>
      </c>
      <c r="L4101" s="2" t="s">
        <v>40894</v>
      </c>
      <c r="M4101" s="2" t="s">
        <v>36193</v>
      </c>
      <c r="N4101" s="3" t="s">
        <v>139</v>
      </c>
      <c r="P4101" s="3" t="s">
        <v>69</v>
      </c>
      <c r="R4101" s="3" t="s">
        <v>71</v>
      </c>
      <c r="S4101" s="4">
        <v>3</v>
      </c>
      <c r="T4101" s="4">
        <v>3</v>
      </c>
      <c r="U4101" s="5" t="s">
        <v>11785</v>
      </c>
      <c r="V4101" s="5" t="s">
        <v>11785</v>
      </c>
      <c r="W4101" s="5" t="s">
        <v>72</v>
      </c>
      <c r="X4101" s="5" t="s">
        <v>72</v>
      </c>
      <c r="Y4101" s="4">
        <v>126</v>
      </c>
      <c r="Z4101" s="4">
        <v>10</v>
      </c>
      <c r="AA4101" s="4">
        <v>14</v>
      </c>
      <c r="AB4101" s="4">
        <v>2</v>
      </c>
      <c r="AC4101" s="4">
        <v>6</v>
      </c>
      <c r="AD4101" s="4">
        <v>35</v>
      </c>
      <c r="AE4101" s="4">
        <v>36</v>
      </c>
      <c r="AF4101" s="4">
        <v>0</v>
      </c>
      <c r="AG4101" s="4">
        <v>0</v>
      </c>
      <c r="AH4101" s="4">
        <v>34</v>
      </c>
      <c r="AI4101" s="4">
        <v>35</v>
      </c>
      <c r="AJ4101" s="4">
        <v>2</v>
      </c>
      <c r="AK4101" s="4">
        <v>2</v>
      </c>
      <c r="AL4101" s="4">
        <v>22</v>
      </c>
      <c r="AM4101" s="4">
        <v>22</v>
      </c>
      <c r="AN4101" s="4">
        <v>0</v>
      </c>
      <c r="AO4101" s="4">
        <v>0</v>
      </c>
      <c r="AP4101" s="4">
        <v>2</v>
      </c>
      <c r="AQ4101" s="4">
        <v>2</v>
      </c>
      <c r="AR4101" s="3" t="s">
        <v>65</v>
      </c>
      <c r="AS4101" s="3" t="s">
        <v>65</v>
      </c>
      <c r="AT4101" s="3" t="s">
        <v>65</v>
      </c>
      <c r="AV4101" s="6" t="str">
        <f>HYPERLINK("http://mcgill.on.worldcat.org/oclc/778419314","Catalog Record")</f>
        <v>Catalog Record</v>
      </c>
      <c r="AW4101" s="6" t="str">
        <f>HYPERLINK("http://www.worldcat.org/oclc/778419314","WorldCat Record")</f>
        <v>WorldCat Record</v>
      </c>
      <c r="AX4101" s="3" t="s">
        <v>40895</v>
      </c>
      <c r="AY4101" s="3" t="s">
        <v>40896</v>
      </c>
      <c r="AZ4101" s="3" t="s">
        <v>40897</v>
      </c>
      <c r="BA4101" s="3" t="s">
        <v>40897</v>
      </c>
      <c r="BB4101" s="3" t="s">
        <v>40898</v>
      </c>
      <c r="BC4101" s="3" t="s">
        <v>77</v>
      </c>
      <c r="BD4101" s="3" t="s">
        <v>78</v>
      </c>
      <c r="BE4101" s="3" t="s">
        <v>40899</v>
      </c>
      <c r="BF4101" s="3" t="s">
        <v>40898</v>
      </c>
      <c r="BG4101" s="3" t="s">
        <v>40900</v>
      </c>
    </row>
    <row r="4102" spans="1:59" ht="58" x14ac:dyDescent="0.35">
      <c r="A4102" s="2" t="s">
        <v>59</v>
      </c>
      <c r="B4102" s="2" t="s">
        <v>60</v>
      </c>
      <c r="C4102" s="2" t="s">
        <v>40901</v>
      </c>
      <c r="D4102" s="2" t="s">
        <v>40902</v>
      </c>
      <c r="E4102" s="2" t="s">
        <v>40903</v>
      </c>
      <c r="G4102" s="3" t="s">
        <v>65</v>
      </c>
      <c r="I4102" s="3" t="s">
        <v>65</v>
      </c>
      <c r="J4102" s="3" t="s">
        <v>65</v>
      </c>
      <c r="K4102" s="3" t="s">
        <v>66</v>
      </c>
      <c r="L4102" s="2" t="s">
        <v>40904</v>
      </c>
      <c r="M4102" s="2" t="s">
        <v>40905</v>
      </c>
      <c r="N4102" s="3" t="s">
        <v>188</v>
      </c>
      <c r="O4102" s="2" t="s">
        <v>235</v>
      </c>
      <c r="P4102" s="3" t="s">
        <v>140</v>
      </c>
      <c r="R4102" s="3" t="s">
        <v>71</v>
      </c>
      <c r="S4102" s="4">
        <v>0</v>
      </c>
      <c r="T4102" s="4">
        <v>0</v>
      </c>
      <c r="W4102" s="5" t="s">
        <v>72</v>
      </c>
      <c r="X4102" s="5" t="s">
        <v>72</v>
      </c>
      <c r="Y4102" s="4">
        <v>4</v>
      </c>
      <c r="Z4102" s="4">
        <v>1</v>
      </c>
      <c r="AA4102" s="4">
        <v>1</v>
      </c>
      <c r="AB4102" s="4">
        <v>1</v>
      </c>
      <c r="AC4102" s="4">
        <v>1</v>
      </c>
      <c r="AD4102" s="4">
        <v>2</v>
      </c>
      <c r="AE4102" s="4">
        <v>2</v>
      </c>
      <c r="AF4102" s="4">
        <v>0</v>
      </c>
      <c r="AG4102" s="4">
        <v>0</v>
      </c>
      <c r="AH4102" s="4">
        <v>2</v>
      </c>
      <c r="AI4102" s="4">
        <v>2</v>
      </c>
      <c r="AJ4102" s="4">
        <v>0</v>
      </c>
      <c r="AK4102" s="4">
        <v>0</v>
      </c>
      <c r="AL4102" s="4">
        <v>2</v>
      </c>
      <c r="AM4102" s="4">
        <v>2</v>
      </c>
      <c r="AN4102" s="4">
        <v>0</v>
      </c>
      <c r="AO4102" s="4">
        <v>0</v>
      </c>
      <c r="AP4102" s="4">
        <v>0</v>
      </c>
      <c r="AQ4102" s="4">
        <v>0</v>
      </c>
      <c r="AR4102" s="3" t="s">
        <v>65</v>
      </c>
      <c r="AS4102" s="3" t="s">
        <v>65</v>
      </c>
      <c r="AT4102" s="3" t="s">
        <v>65</v>
      </c>
      <c r="AV4102" s="6" t="str">
        <f>HYPERLINK("http://mcgill.on.worldcat.org/oclc/1002087075","Catalog Record")</f>
        <v>Catalog Record</v>
      </c>
      <c r="AW4102" s="6" t="str">
        <f>HYPERLINK("http://www.worldcat.org/oclc/1002087075","WorldCat Record")</f>
        <v>WorldCat Record</v>
      </c>
      <c r="AX4102" s="3" t="s">
        <v>40906</v>
      </c>
      <c r="AY4102" s="3" t="s">
        <v>40907</v>
      </c>
      <c r="AZ4102" s="3" t="s">
        <v>40908</v>
      </c>
      <c r="BA4102" s="3" t="s">
        <v>40908</v>
      </c>
      <c r="BB4102" s="3" t="s">
        <v>40909</v>
      </c>
      <c r="BC4102" s="3" t="s">
        <v>77</v>
      </c>
      <c r="BD4102" s="3" t="s">
        <v>78</v>
      </c>
      <c r="BE4102" s="3" t="s">
        <v>40910</v>
      </c>
      <c r="BF4102" s="3" t="s">
        <v>40909</v>
      </c>
      <c r="BG4102" s="3" t="s">
        <v>40911</v>
      </c>
    </row>
    <row r="4103" spans="1:59" ht="58" x14ac:dyDescent="0.35">
      <c r="A4103" s="2" t="s">
        <v>59</v>
      </c>
      <c r="B4103" s="2" t="s">
        <v>60</v>
      </c>
      <c r="C4103" s="2" t="s">
        <v>40912</v>
      </c>
      <c r="D4103" s="2" t="s">
        <v>40913</v>
      </c>
      <c r="E4103" s="2" t="s">
        <v>40914</v>
      </c>
      <c r="G4103" s="3" t="s">
        <v>65</v>
      </c>
      <c r="I4103" s="3" t="s">
        <v>65</v>
      </c>
      <c r="J4103" s="3" t="s">
        <v>65</v>
      </c>
      <c r="K4103" s="3" t="s">
        <v>66</v>
      </c>
      <c r="L4103" s="2" t="s">
        <v>40915</v>
      </c>
      <c r="M4103" s="2" t="s">
        <v>40916</v>
      </c>
      <c r="N4103" s="3" t="s">
        <v>152</v>
      </c>
      <c r="O4103" s="2" t="s">
        <v>40917</v>
      </c>
      <c r="P4103" s="3" t="s">
        <v>69</v>
      </c>
      <c r="R4103" s="3" t="s">
        <v>71</v>
      </c>
      <c r="S4103" s="4">
        <v>1</v>
      </c>
      <c r="T4103" s="4">
        <v>1</v>
      </c>
      <c r="U4103" s="5" t="s">
        <v>40918</v>
      </c>
      <c r="V4103" s="5" t="s">
        <v>40918</v>
      </c>
      <c r="W4103" s="5" t="s">
        <v>72</v>
      </c>
      <c r="X4103" s="5" t="s">
        <v>72</v>
      </c>
      <c r="Y4103" s="4">
        <v>14</v>
      </c>
      <c r="Z4103" s="4">
        <v>1</v>
      </c>
      <c r="AA4103" s="4">
        <v>22</v>
      </c>
      <c r="AB4103" s="4">
        <v>1</v>
      </c>
      <c r="AC4103" s="4">
        <v>3</v>
      </c>
      <c r="AD4103" s="4">
        <v>0</v>
      </c>
      <c r="AE4103" s="4">
        <v>49</v>
      </c>
      <c r="AF4103" s="4">
        <v>0</v>
      </c>
      <c r="AG4103" s="4">
        <v>0</v>
      </c>
      <c r="AH4103" s="4">
        <v>0</v>
      </c>
      <c r="AI4103" s="4">
        <v>48</v>
      </c>
      <c r="AJ4103" s="4">
        <v>0</v>
      </c>
      <c r="AK4103" s="4">
        <v>3</v>
      </c>
      <c r="AL4103" s="4">
        <v>0</v>
      </c>
      <c r="AM4103" s="4">
        <v>31</v>
      </c>
      <c r="AN4103" s="4">
        <v>0</v>
      </c>
      <c r="AO4103" s="4">
        <v>0</v>
      </c>
      <c r="AP4103" s="4">
        <v>0</v>
      </c>
      <c r="AQ4103" s="4">
        <v>3</v>
      </c>
      <c r="AR4103" s="3" t="s">
        <v>65</v>
      </c>
      <c r="AS4103" s="3" t="s">
        <v>65</v>
      </c>
      <c r="AT4103" s="3" t="s">
        <v>65</v>
      </c>
      <c r="AV4103" s="6" t="str">
        <f>HYPERLINK("http://mcgill.on.worldcat.org/oclc/809613293","Catalog Record")</f>
        <v>Catalog Record</v>
      </c>
      <c r="AW4103" s="6" t="str">
        <f>HYPERLINK("http://www.worldcat.org/oclc/809613293","WorldCat Record")</f>
        <v>WorldCat Record</v>
      </c>
      <c r="AX4103" s="3" t="s">
        <v>40919</v>
      </c>
      <c r="AY4103" s="3" t="s">
        <v>40920</v>
      </c>
      <c r="AZ4103" s="3" t="s">
        <v>40921</v>
      </c>
      <c r="BA4103" s="3" t="s">
        <v>40921</v>
      </c>
      <c r="BB4103" s="3" t="s">
        <v>40922</v>
      </c>
      <c r="BC4103" s="3" t="s">
        <v>77</v>
      </c>
      <c r="BD4103" s="3" t="s">
        <v>78</v>
      </c>
      <c r="BE4103" s="3" t="s">
        <v>40923</v>
      </c>
      <c r="BF4103" s="3" t="s">
        <v>40922</v>
      </c>
      <c r="BG4103" s="3" t="s">
        <v>40924</v>
      </c>
    </row>
    <row r="4104" spans="1:59" ht="72.5" x14ac:dyDescent="0.35">
      <c r="A4104" s="2" t="s">
        <v>59</v>
      </c>
      <c r="B4104" s="2" t="s">
        <v>60</v>
      </c>
      <c r="C4104" s="2" t="s">
        <v>40925</v>
      </c>
      <c r="D4104" s="2" t="s">
        <v>40926</v>
      </c>
      <c r="E4104" s="2" t="s">
        <v>40927</v>
      </c>
      <c r="G4104" s="3" t="s">
        <v>65</v>
      </c>
      <c r="I4104" s="3" t="s">
        <v>65</v>
      </c>
      <c r="J4104" s="3" t="s">
        <v>65</v>
      </c>
      <c r="K4104" s="3" t="s">
        <v>66</v>
      </c>
      <c r="L4104" s="2" t="s">
        <v>40928</v>
      </c>
      <c r="M4104" s="2" t="s">
        <v>40636</v>
      </c>
      <c r="N4104" s="3" t="s">
        <v>164</v>
      </c>
      <c r="P4104" s="3" t="s">
        <v>140</v>
      </c>
      <c r="Q4104" s="2" t="s">
        <v>40929</v>
      </c>
      <c r="R4104" s="3" t="s">
        <v>71</v>
      </c>
      <c r="S4104" s="4">
        <v>1</v>
      </c>
      <c r="T4104" s="4">
        <v>1</v>
      </c>
      <c r="U4104" s="5" t="s">
        <v>40930</v>
      </c>
      <c r="V4104" s="5" t="s">
        <v>40930</v>
      </c>
      <c r="W4104" s="5" t="s">
        <v>72</v>
      </c>
      <c r="X4104" s="5" t="s">
        <v>72</v>
      </c>
      <c r="Y4104" s="4">
        <v>58</v>
      </c>
      <c r="Z4104" s="4">
        <v>6</v>
      </c>
      <c r="AA4104" s="4">
        <v>9</v>
      </c>
      <c r="AB4104" s="4">
        <v>1</v>
      </c>
      <c r="AC4104" s="4">
        <v>4</v>
      </c>
      <c r="AD4104" s="4">
        <v>29</v>
      </c>
      <c r="AE4104" s="4">
        <v>31</v>
      </c>
      <c r="AF4104" s="4">
        <v>0</v>
      </c>
      <c r="AG4104" s="4">
        <v>1</v>
      </c>
      <c r="AH4104" s="4">
        <v>28</v>
      </c>
      <c r="AI4104" s="4">
        <v>29</v>
      </c>
      <c r="AJ4104" s="4">
        <v>3</v>
      </c>
      <c r="AK4104" s="4">
        <v>4</v>
      </c>
      <c r="AL4104" s="4">
        <v>21</v>
      </c>
      <c r="AM4104" s="4">
        <v>21</v>
      </c>
      <c r="AN4104" s="4">
        <v>0</v>
      </c>
      <c r="AO4104" s="4">
        <v>0</v>
      </c>
      <c r="AP4104" s="4">
        <v>3</v>
      </c>
      <c r="AQ4104" s="4">
        <v>3</v>
      </c>
      <c r="AR4104" s="3" t="s">
        <v>65</v>
      </c>
      <c r="AS4104" s="3" t="s">
        <v>65</v>
      </c>
      <c r="AT4104" s="3" t="s">
        <v>65</v>
      </c>
      <c r="AV4104" s="6" t="str">
        <f>HYPERLINK("http://mcgill.on.worldcat.org/oclc/883329893","Catalog Record")</f>
        <v>Catalog Record</v>
      </c>
      <c r="AW4104" s="6" t="str">
        <f>HYPERLINK("http://www.worldcat.org/oclc/883329893","WorldCat Record")</f>
        <v>WorldCat Record</v>
      </c>
      <c r="AX4104" s="3" t="s">
        <v>40931</v>
      </c>
      <c r="AY4104" s="3" t="s">
        <v>40932</v>
      </c>
      <c r="AZ4104" s="3" t="s">
        <v>40933</v>
      </c>
      <c r="BA4104" s="3" t="s">
        <v>40933</v>
      </c>
      <c r="BB4104" s="3" t="s">
        <v>40934</v>
      </c>
      <c r="BC4104" s="3" t="s">
        <v>77</v>
      </c>
      <c r="BD4104" s="3" t="s">
        <v>78</v>
      </c>
      <c r="BE4104" s="3" t="s">
        <v>40935</v>
      </c>
      <c r="BF4104" s="3" t="s">
        <v>40934</v>
      </c>
      <c r="BG4104" s="3" t="s">
        <v>40936</v>
      </c>
    </row>
    <row r="4105" spans="1:59" ht="58" x14ac:dyDescent="0.35">
      <c r="A4105" s="2" t="s">
        <v>59</v>
      </c>
      <c r="B4105" s="2" t="s">
        <v>60</v>
      </c>
      <c r="C4105" s="2" t="s">
        <v>40937</v>
      </c>
      <c r="D4105" s="2" t="s">
        <v>40938</v>
      </c>
      <c r="E4105" s="2" t="s">
        <v>40939</v>
      </c>
      <c r="G4105" s="3" t="s">
        <v>65</v>
      </c>
      <c r="I4105" s="3" t="s">
        <v>209</v>
      </c>
      <c r="J4105" s="3" t="s">
        <v>65</v>
      </c>
      <c r="K4105" s="3" t="s">
        <v>66</v>
      </c>
      <c r="L4105" s="2" t="s">
        <v>40940</v>
      </c>
      <c r="M4105" s="2" t="s">
        <v>40941</v>
      </c>
      <c r="N4105" s="3" t="s">
        <v>139</v>
      </c>
      <c r="P4105" s="3" t="s">
        <v>69</v>
      </c>
      <c r="R4105" s="3" t="s">
        <v>71</v>
      </c>
      <c r="S4105" s="4">
        <v>4</v>
      </c>
      <c r="T4105" s="4">
        <v>9</v>
      </c>
      <c r="U4105" s="5" t="s">
        <v>7556</v>
      </c>
      <c r="V4105" s="5" t="s">
        <v>40942</v>
      </c>
      <c r="W4105" s="5" t="s">
        <v>72</v>
      </c>
      <c r="X4105" s="5" t="s">
        <v>72</v>
      </c>
      <c r="Y4105" s="4">
        <v>54</v>
      </c>
      <c r="Z4105" s="4">
        <v>3</v>
      </c>
      <c r="AA4105" s="4">
        <v>34</v>
      </c>
      <c r="AB4105" s="4">
        <v>1</v>
      </c>
      <c r="AC4105" s="4">
        <v>5</v>
      </c>
      <c r="AD4105" s="4">
        <v>4</v>
      </c>
      <c r="AE4105" s="4">
        <v>56</v>
      </c>
      <c r="AF4105" s="4">
        <v>0</v>
      </c>
      <c r="AG4105" s="4">
        <v>0</v>
      </c>
      <c r="AH4105" s="4">
        <v>4</v>
      </c>
      <c r="AI4105" s="4">
        <v>54</v>
      </c>
      <c r="AJ4105" s="4">
        <v>1</v>
      </c>
      <c r="AK4105" s="4">
        <v>6</v>
      </c>
      <c r="AL4105" s="4">
        <v>1</v>
      </c>
      <c r="AM4105" s="4">
        <v>30</v>
      </c>
      <c r="AN4105" s="4">
        <v>0</v>
      </c>
      <c r="AO4105" s="4">
        <v>0</v>
      </c>
      <c r="AP4105" s="4">
        <v>1</v>
      </c>
      <c r="AQ4105" s="4">
        <v>6</v>
      </c>
      <c r="AR4105" s="3" t="s">
        <v>65</v>
      </c>
      <c r="AS4105" s="3" t="s">
        <v>65</v>
      </c>
      <c r="AT4105" s="3" t="s">
        <v>65</v>
      </c>
      <c r="AV4105" s="6" t="str">
        <f>HYPERLINK("http://mcgill.on.worldcat.org/oclc/753625278","Catalog Record")</f>
        <v>Catalog Record</v>
      </c>
      <c r="AW4105" s="6" t="str">
        <f>HYPERLINK("http://www.worldcat.org/oclc/753625278","WorldCat Record")</f>
        <v>WorldCat Record</v>
      </c>
      <c r="AX4105" s="3" t="s">
        <v>40943</v>
      </c>
      <c r="AY4105" s="3" t="s">
        <v>40944</v>
      </c>
      <c r="AZ4105" s="3" t="s">
        <v>40945</v>
      </c>
      <c r="BA4105" s="3" t="s">
        <v>40945</v>
      </c>
      <c r="BB4105" s="3" t="s">
        <v>40946</v>
      </c>
      <c r="BC4105" s="3" t="s">
        <v>77</v>
      </c>
      <c r="BD4105" s="3" t="s">
        <v>78</v>
      </c>
      <c r="BE4105" s="3" t="s">
        <v>40947</v>
      </c>
      <c r="BF4105" s="3" t="s">
        <v>40946</v>
      </c>
      <c r="BG4105" s="3" t="s">
        <v>40948</v>
      </c>
    </row>
    <row r="4106" spans="1:59" ht="58" x14ac:dyDescent="0.35">
      <c r="A4106" s="2" t="s">
        <v>59</v>
      </c>
      <c r="B4106" s="2" t="s">
        <v>60</v>
      </c>
      <c r="C4106" s="2" t="s">
        <v>40937</v>
      </c>
      <c r="D4106" s="2" t="s">
        <v>40938</v>
      </c>
      <c r="E4106" s="2" t="s">
        <v>40939</v>
      </c>
      <c r="G4106" s="3" t="s">
        <v>65</v>
      </c>
      <c r="I4106" s="3" t="s">
        <v>209</v>
      </c>
      <c r="J4106" s="3" t="s">
        <v>65</v>
      </c>
      <c r="K4106" s="3" t="s">
        <v>66</v>
      </c>
      <c r="L4106" s="2" t="s">
        <v>40940</v>
      </c>
      <c r="M4106" s="2" t="s">
        <v>40941</v>
      </c>
      <c r="N4106" s="3" t="s">
        <v>139</v>
      </c>
      <c r="P4106" s="3" t="s">
        <v>69</v>
      </c>
      <c r="R4106" s="3" t="s">
        <v>71</v>
      </c>
      <c r="S4106" s="4">
        <v>5</v>
      </c>
      <c r="T4106" s="4">
        <v>9</v>
      </c>
      <c r="U4106" s="5" t="s">
        <v>40942</v>
      </c>
      <c r="V4106" s="5" t="s">
        <v>40942</v>
      </c>
      <c r="W4106" s="5" t="s">
        <v>72</v>
      </c>
      <c r="X4106" s="5" t="s">
        <v>72</v>
      </c>
      <c r="Y4106" s="4">
        <v>54</v>
      </c>
      <c r="Z4106" s="4">
        <v>3</v>
      </c>
      <c r="AA4106" s="4">
        <v>34</v>
      </c>
      <c r="AB4106" s="4">
        <v>1</v>
      </c>
      <c r="AC4106" s="4">
        <v>5</v>
      </c>
      <c r="AD4106" s="4">
        <v>4</v>
      </c>
      <c r="AE4106" s="4">
        <v>56</v>
      </c>
      <c r="AF4106" s="4">
        <v>0</v>
      </c>
      <c r="AG4106" s="4">
        <v>0</v>
      </c>
      <c r="AH4106" s="4">
        <v>4</v>
      </c>
      <c r="AI4106" s="4">
        <v>54</v>
      </c>
      <c r="AJ4106" s="4">
        <v>1</v>
      </c>
      <c r="AK4106" s="4">
        <v>6</v>
      </c>
      <c r="AL4106" s="4">
        <v>1</v>
      </c>
      <c r="AM4106" s="4">
        <v>30</v>
      </c>
      <c r="AN4106" s="4">
        <v>0</v>
      </c>
      <c r="AO4106" s="4">
        <v>0</v>
      </c>
      <c r="AP4106" s="4">
        <v>1</v>
      </c>
      <c r="AQ4106" s="4">
        <v>6</v>
      </c>
      <c r="AR4106" s="3" t="s">
        <v>65</v>
      </c>
      <c r="AS4106" s="3" t="s">
        <v>65</v>
      </c>
      <c r="AT4106" s="3" t="s">
        <v>65</v>
      </c>
      <c r="AV4106" s="6" t="str">
        <f>HYPERLINK("http://mcgill.on.worldcat.org/oclc/753625278","Catalog Record")</f>
        <v>Catalog Record</v>
      </c>
      <c r="AW4106" s="6" t="str">
        <f>HYPERLINK("http://www.worldcat.org/oclc/753625278","WorldCat Record")</f>
        <v>WorldCat Record</v>
      </c>
      <c r="AX4106" s="3" t="s">
        <v>40943</v>
      </c>
      <c r="AY4106" s="3" t="s">
        <v>40944</v>
      </c>
      <c r="AZ4106" s="3" t="s">
        <v>40945</v>
      </c>
      <c r="BA4106" s="3" t="s">
        <v>40945</v>
      </c>
      <c r="BB4106" s="3" t="s">
        <v>40949</v>
      </c>
      <c r="BC4106" s="3" t="s">
        <v>77</v>
      </c>
      <c r="BD4106" s="3" t="s">
        <v>78</v>
      </c>
      <c r="BE4106" s="3" t="s">
        <v>40947</v>
      </c>
      <c r="BF4106" s="3" t="s">
        <v>40949</v>
      </c>
      <c r="BG4106" s="3" t="s">
        <v>40950</v>
      </c>
    </row>
    <row r="4107" spans="1:59" ht="58" x14ac:dyDescent="0.35">
      <c r="A4107" s="2" t="s">
        <v>59</v>
      </c>
      <c r="B4107" s="2" t="s">
        <v>60</v>
      </c>
      <c r="C4107" s="2" t="s">
        <v>40951</v>
      </c>
      <c r="D4107" s="2" t="s">
        <v>40952</v>
      </c>
      <c r="E4107" s="2" t="s">
        <v>40953</v>
      </c>
      <c r="G4107" s="3" t="s">
        <v>65</v>
      </c>
      <c r="I4107" s="3" t="s">
        <v>65</v>
      </c>
      <c r="J4107" s="3" t="s">
        <v>65</v>
      </c>
      <c r="K4107" s="3" t="s">
        <v>66</v>
      </c>
      <c r="L4107" s="2" t="s">
        <v>40954</v>
      </c>
      <c r="M4107" s="2" t="s">
        <v>34440</v>
      </c>
      <c r="N4107" s="3" t="s">
        <v>113</v>
      </c>
      <c r="O4107" s="2" t="s">
        <v>365</v>
      </c>
      <c r="P4107" s="3" t="s">
        <v>140</v>
      </c>
      <c r="R4107" s="3" t="s">
        <v>71</v>
      </c>
      <c r="S4107" s="4">
        <v>1</v>
      </c>
      <c r="T4107" s="4">
        <v>1</v>
      </c>
      <c r="U4107" s="5" t="s">
        <v>40955</v>
      </c>
      <c r="V4107" s="5" t="s">
        <v>40955</v>
      </c>
      <c r="W4107" s="5" t="s">
        <v>72</v>
      </c>
      <c r="X4107" s="5" t="s">
        <v>72</v>
      </c>
      <c r="Y4107" s="4">
        <v>9</v>
      </c>
      <c r="Z4107" s="4">
        <v>2</v>
      </c>
      <c r="AA4107" s="4">
        <v>2</v>
      </c>
      <c r="AB4107" s="4">
        <v>1</v>
      </c>
      <c r="AC4107" s="4">
        <v>1</v>
      </c>
      <c r="AD4107" s="4">
        <v>5</v>
      </c>
      <c r="AE4107" s="4">
        <v>5</v>
      </c>
      <c r="AF4107" s="4">
        <v>0</v>
      </c>
      <c r="AG4107" s="4">
        <v>0</v>
      </c>
      <c r="AH4107" s="4">
        <v>4</v>
      </c>
      <c r="AI4107" s="4">
        <v>4</v>
      </c>
      <c r="AJ4107" s="4">
        <v>1</v>
      </c>
      <c r="AK4107" s="4">
        <v>1</v>
      </c>
      <c r="AL4107" s="4">
        <v>2</v>
      </c>
      <c r="AM4107" s="4">
        <v>2</v>
      </c>
      <c r="AN4107" s="4">
        <v>0</v>
      </c>
      <c r="AO4107" s="4">
        <v>0</v>
      </c>
      <c r="AP4107" s="4">
        <v>1</v>
      </c>
      <c r="AQ4107" s="4">
        <v>1</v>
      </c>
      <c r="AR4107" s="3" t="s">
        <v>65</v>
      </c>
      <c r="AS4107" s="3" t="s">
        <v>65</v>
      </c>
      <c r="AT4107" s="3" t="s">
        <v>65</v>
      </c>
      <c r="AV4107" s="6" t="str">
        <f>HYPERLINK("http://mcgill.on.worldcat.org/oclc/606734559","Catalog Record")</f>
        <v>Catalog Record</v>
      </c>
      <c r="AW4107" s="6" t="str">
        <f>HYPERLINK("http://www.worldcat.org/oclc/606734559","WorldCat Record")</f>
        <v>WorldCat Record</v>
      </c>
      <c r="AX4107" s="3" t="s">
        <v>40956</v>
      </c>
      <c r="AY4107" s="3" t="s">
        <v>40957</v>
      </c>
      <c r="AZ4107" s="3" t="s">
        <v>40958</v>
      </c>
      <c r="BA4107" s="3" t="s">
        <v>40958</v>
      </c>
      <c r="BB4107" s="3" t="s">
        <v>40959</v>
      </c>
      <c r="BC4107" s="3" t="s">
        <v>77</v>
      </c>
      <c r="BD4107" s="3" t="s">
        <v>78</v>
      </c>
      <c r="BE4107" s="3" t="s">
        <v>40960</v>
      </c>
      <c r="BF4107" s="3" t="s">
        <v>40959</v>
      </c>
      <c r="BG4107" s="3" t="s">
        <v>40961</v>
      </c>
    </row>
    <row r="4108" spans="1:59" ht="58" x14ac:dyDescent="0.35">
      <c r="A4108" s="2" t="s">
        <v>59</v>
      </c>
      <c r="B4108" s="2" t="s">
        <v>60</v>
      </c>
      <c r="C4108" s="2" t="s">
        <v>40962</v>
      </c>
      <c r="D4108" s="2" t="s">
        <v>40963</v>
      </c>
      <c r="E4108" s="2" t="s">
        <v>40964</v>
      </c>
      <c r="G4108" s="3" t="s">
        <v>65</v>
      </c>
      <c r="I4108" s="3" t="s">
        <v>65</v>
      </c>
      <c r="J4108" s="3" t="s">
        <v>65</v>
      </c>
      <c r="K4108" s="3" t="s">
        <v>66</v>
      </c>
      <c r="L4108" s="2" t="s">
        <v>40965</v>
      </c>
      <c r="M4108" s="2" t="s">
        <v>40966</v>
      </c>
      <c r="N4108" s="3" t="s">
        <v>113</v>
      </c>
      <c r="O4108" s="2" t="s">
        <v>2086</v>
      </c>
      <c r="P4108" s="3" t="s">
        <v>69</v>
      </c>
      <c r="R4108" s="3" t="s">
        <v>71</v>
      </c>
      <c r="S4108" s="4">
        <v>21</v>
      </c>
      <c r="T4108" s="4">
        <v>21</v>
      </c>
      <c r="U4108" s="5" t="s">
        <v>13198</v>
      </c>
      <c r="V4108" s="5" t="s">
        <v>13198</v>
      </c>
      <c r="W4108" s="5" t="s">
        <v>72</v>
      </c>
      <c r="X4108" s="5" t="s">
        <v>72</v>
      </c>
      <c r="Y4108" s="4">
        <v>917</v>
      </c>
      <c r="Z4108" s="4">
        <v>19</v>
      </c>
      <c r="AA4108" s="4">
        <v>65</v>
      </c>
      <c r="AB4108" s="4">
        <v>1</v>
      </c>
      <c r="AC4108" s="4">
        <v>6</v>
      </c>
      <c r="AD4108" s="4">
        <v>58</v>
      </c>
      <c r="AE4108" s="4">
        <v>83</v>
      </c>
      <c r="AF4108" s="4">
        <v>0</v>
      </c>
      <c r="AG4108" s="4">
        <v>1</v>
      </c>
      <c r="AH4108" s="4">
        <v>54</v>
      </c>
      <c r="AI4108" s="4">
        <v>72</v>
      </c>
      <c r="AJ4108" s="4">
        <v>4</v>
      </c>
      <c r="AK4108" s="4">
        <v>11</v>
      </c>
      <c r="AL4108" s="4">
        <v>30</v>
      </c>
      <c r="AM4108" s="4">
        <v>44</v>
      </c>
      <c r="AN4108" s="4">
        <v>0</v>
      </c>
      <c r="AO4108" s="4">
        <v>0</v>
      </c>
      <c r="AP4108" s="4">
        <v>4</v>
      </c>
      <c r="AQ4108" s="4">
        <v>12</v>
      </c>
      <c r="AR4108" s="3" t="s">
        <v>65</v>
      </c>
      <c r="AS4108" s="3" t="s">
        <v>65</v>
      </c>
      <c r="AT4108" s="3" t="s">
        <v>65</v>
      </c>
      <c r="AV4108" s="6" t="str">
        <f>HYPERLINK("http://mcgill.on.worldcat.org/oclc/430051433","Catalog Record")</f>
        <v>Catalog Record</v>
      </c>
      <c r="AW4108" s="6" t="str">
        <f>HYPERLINK("http://www.worldcat.org/oclc/430051433","WorldCat Record")</f>
        <v>WorldCat Record</v>
      </c>
      <c r="AX4108" s="3" t="s">
        <v>40967</v>
      </c>
      <c r="AY4108" s="3" t="s">
        <v>40968</v>
      </c>
      <c r="AZ4108" s="3" t="s">
        <v>40969</v>
      </c>
      <c r="BA4108" s="3" t="s">
        <v>40969</v>
      </c>
      <c r="BB4108" s="3" t="s">
        <v>40970</v>
      </c>
      <c r="BC4108" s="3" t="s">
        <v>77</v>
      </c>
      <c r="BD4108" s="3" t="s">
        <v>78</v>
      </c>
      <c r="BE4108" s="3" t="s">
        <v>40971</v>
      </c>
      <c r="BF4108" s="3" t="s">
        <v>40970</v>
      </c>
      <c r="BG4108" s="3" t="s">
        <v>40972</v>
      </c>
    </row>
    <row r="4109" spans="1:59" ht="58" x14ac:dyDescent="0.35">
      <c r="A4109" s="2" t="s">
        <v>59</v>
      </c>
      <c r="B4109" s="2" t="s">
        <v>60</v>
      </c>
      <c r="C4109" s="2" t="s">
        <v>40973</v>
      </c>
      <c r="D4109" s="2" t="s">
        <v>40974</v>
      </c>
      <c r="E4109" s="2" t="s">
        <v>40975</v>
      </c>
      <c r="G4109" s="3" t="s">
        <v>65</v>
      </c>
      <c r="I4109" s="3" t="s">
        <v>65</v>
      </c>
      <c r="J4109" s="3" t="s">
        <v>65</v>
      </c>
      <c r="K4109" s="3" t="s">
        <v>66</v>
      </c>
      <c r="L4109" s="2" t="s">
        <v>40976</v>
      </c>
      <c r="M4109" s="2" t="s">
        <v>40977</v>
      </c>
      <c r="N4109" s="3" t="s">
        <v>126</v>
      </c>
      <c r="P4109" s="3" t="s">
        <v>69</v>
      </c>
      <c r="R4109" s="3" t="s">
        <v>71</v>
      </c>
      <c r="S4109" s="4">
        <v>2</v>
      </c>
      <c r="T4109" s="4">
        <v>2</v>
      </c>
      <c r="U4109" s="5" t="s">
        <v>21322</v>
      </c>
      <c r="V4109" s="5" t="s">
        <v>21322</v>
      </c>
      <c r="W4109" s="5" t="s">
        <v>72</v>
      </c>
      <c r="X4109" s="5" t="s">
        <v>72</v>
      </c>
      <c r="Y4109" s="4">
        <v>81</v>
      </c>
      <c r="Z4109" s="4">
        <v>9</v>
      </c>
      <c r="AA4109" s="4">
        <v>11</v>
      </c>
      <c r="AB4109" s="4">
        <v>1</v>
      </c>
      <c r="AC4109" s="4">
        <v>3</v>
      </c>
      <c r="AD4109" s="4">
        <v>37</v>
      </c>
      <c r="AE4109" s="4">
        <v>42</v>
      </c>
      <c r="AF4109" s="4">
        <v>0</v>
      </c>
      <c r="AG4109" s="4">
        <v>0</v>
      </c>
      <c r="AH4109" s="4">
        <v>34</v>
      </c>
      <c r="AI4109" s="4">
        <v>39</v>
      </c>
      <c r="AJ4109" s="4">
        <v>6</v>
      </c>
      <c r="AK4109" s="4">
        <v>6</v>
      </c>
      <c r="AL4109" s="4">
        <v>23</v>
      </c>
      <c r="AM4109" s="4">
        <v>26</v>
      </c>
      <c r="AN4109" s="4">
        <v>0</v>
      </c>
      <c r="AO4109" s="4">
        <v>0</v>
      </c>
      <c r="AP4109" s="4">
        <v>6</v>
      </c>
      <c r="AQ4109" s="4">
        <v>6</v>
      </c>
      <c r="AR4109" s="3" t="s">
        <v>65</v>
      </c>
      <c r="AS4109" s="3" t="s">
        <v>65</v>
      </c>
      <c r="AT4109" s="3" t="s">
        <v>65</v>
      </c>
      <c r="AV4109" s="6" t="str">
        <f>HYPERLINK("http://mcgill.on.worldcat.org/oclc/748370015","Catalog Record")</f>
        <v>Catalog Record</v>
      </c>
      <c r="AW4109" s="6" t="str">
        <f>HYPERLINK("http://www.worldcat.org/oclc/748370015","WorldCat Record")</f>
        <v>WorldCat Record</v>
      </c>
      <c r="AX4109" s="3" t="s">
        <v>40978</v>
      </c>
      <c r="AY4109" s="3" t="s">
        <v>40979</v>
      </c>
      <c r="AZ4109" s="3" t="s">
        <v>40980</v>
      </c>
      <c r="BA4109" s="3" t="s">
        <v>40980</v>
      </c>
      <c r="BB4109" s="3" t="s">
        <v>40981</v>
      </c>
      <c r="BC4109" s="3" t="s">
        <v>77</v>
      </c>
      <c r="BD4109" s="3" t="s">
        <v>78</v>
      </c>
      <c r="BE4109" s="3" t="s">
        <v>40982</v>
      </c>
      <c r="BF4109" s="3" t="s">
        <v>40981</v>
      </c>
      <c r="BG4109" s="3" t="s">
        <v>40983</v>
      </c>
    </row>
    <row r="4110" spans="1:59" ht="58" x14ac:dyDescent="0.35">
      <c r="A4110" s="2" t="s">
        <v>59</v>
      </c>
      <c r="B4110" s="2" t="s">
        <v>60</v>
      </c>
      <c r="C4110" s="2" t="s">
        <v>40984</v>
      </c>
      <c r="D4110" s="2" t="s">
        <v>40985</v>
      </c>
      <c r="E4110" s="2" t="s">
        <v>40986</v>
      </c>
      <c r="G4110" s="3" t="s">
        <v>65</v>
      </c>
      <c r="I4110" s="3" t="s">
        <v>65</v>
      </c>
      <c r="J4110" s="3" t="s">
        <v>65</v>
      </c>
      <c r="K4110" s="3" t="s">
        <v>66</v>
      </c>
      <c r="L4110" s="2" t="s">
        <v>40976</v>
      </c>
      <c r="M4110" s="2" t="s">
        <v>40987</v>
      </c>
      <c r="N4110" s="3" t="s">
        <v>1122</v>
      </c>
      <c r="P4110" s="3" t="s">
        <v>69</v>
      </c>
      <c r="R4110" s="3" t="s">
        <v>71</v>
      </c>
      <c r="S4110" s="4">
        <v>1</v>
      </c>
      <c r="T4110" s="4">
        <v>1</v>
      </c>
      <c r="U4110" s="5" t="s">
        <v>40918</v>
      </c>
      <c r="V4110" s="5" t="s">
        <v>40918</v>
      </c>
      <c r="W4110" s="5" t="s">
        <v>72</v>
      </c>
      <c r="X4110" s="5" t="s">
        <v>72</v>
      </c>
      <c r="Y4110" s="4">
        <v>77</v>
      </c>
      <c r="Z4110" s="4">
        <v>8</v>
      </c>
      <c r="AA4110" s="4">
        <v>11</v>
      </c>
      <c r="AB4110" s="4">
        <v>1</v>
      </c>
      <c r="AC4110" s="4">
        <v>3</v>
      </c>
      <c r="AD4110" s="4">
        <v>37</v>
      </c>
      <c r="AE4110" s="4">
        <v>40</v>
      </c>
      <c r="AF4110" s="4">
        <v>0</v>
      </c>
      <c r="AG4110" s="4">
        <v>0</v>
      </c>
      <c r="AH4110" s="4">
        <v>35</v>
      </c>
      <c r="AI4110" s="4">
        <v>38</v>
      </c>
      <c r="AJ4110" s="4">
        <v>5</v>
      </c>
      <c r="AK4110" s="4">
        <v>5</v>
      </c>
      <c r="AL4110" s="4">
        <v>23</v>
      </c>
      <c r="AM4110" s="4">
        <v>23</v>
      </c>
      <c r="AN4110" s="4">
        <v>0</v>
      </c>
      <c r="AO4110" s="4">
        <v>0</v>
      </c>
      <c r="AP4110" s="4">
        <v>5</v>
      </c>
      <c r="AQ4110" s="4">
        <v>5</v>
      </c>
      <c r="AR4110" s="3" t="s">
        <v>65</v>
      </c>
      <c r="AS4110" s="3" t="s">
        <v>65</v>
      </c>
      <c r="AT4110" s="3" t="s">
        <v>65</v>
      </c>
      <c r="AV4110" s="6" t="str">
        <f>HYPERLINK("http://mcgill.on.worldcat.org/oclc/315084114","Catalog Record")</f>
        <v>Catalog Record</v>
      </c>
      <c r="AW4110" s="6" t="str">
        <f>HYPERLINK("http://www.worldcat.org/oclc/315084114","WorldCat Record")</f>
        <v>WorldCat Record</v>
      </c>
      <c r="AX4110" s="3" t="s">
        <v>40988</v>
      </c>
      <c r="AY4110" s="3" t="s">
        <v>40989</v>
      </c>
      <c r="AZ4110" s="3" t="s">
        <v>40990</v>
      </c>
      <c r="BA4110" s="3" t="s">
        <v>40990</v>
      </c>
      <c r="BB4110" s="3" t="s">
        <v>40991</v>
      </c>
      <c r="BC4110" s="3" t="s">
        <v>77</v>
      </c>
      <c r="BD4110" s="3" t="s">
        <v>78</v>
      </c>
      <c r="BE4110" s="3" t="s">
        <v>40992</v>
      </c>
      <c r="BF4110" s="3" t="s">
        <v>40991</v>
      </c>
      <c r="BG4110" s="3" t="s">
        <v>40993</v>
      </c>
    </row>
    <row r="4111" spans="1:59" ht="58" x14ac:dyDescent="0.35">
      <c r="A4111" s="2" t="s">
        <v>59</v>
      </c>
      <c r="B4111" s="2" t="s">
        <v>60</v>
      </c>
      <c r="C4111" s="2" t="s">
        <v>40994</v>
      </c>
      <c r="D4111" s="2" t="s">
        <v>40995</v>
      </c>
      <c r="E4111" s="2" t="s">
        <v>40996</v>
      </c>
      <c r="G4111" s="3" t="s">
        <v>65</v>
      </c>
      <c r="I4111" s="3" t="s">
        <v>65</v>
      </c>
      <c r="J4111" s="3" t="s">
        <v>65</v>
      </c>
      <c r="K4111" s="3" t="s">
        <v>66</v>
      </c>
      <c r="L4111" s="2" t="s">
        <v>40997</v>
      </c>
      <c r="M4111" s="2" t="s">
        <v>35487</v>
      </c>
      <c r="N4111" s="3" t="s">
        <v>176</v>
      </c>
      <c r="O4111" s="2" t="s">
        <v>33702</v>
      </c>
      <c r="P4111" s="3" t="s">
        <v>140</v>
      </c>
      <c r="Q4111" s="2" t="s">
        <v>33703</v>
      </c>
      <c r="R4111" s="3" t="s">
        <v>71</v>
      </c>
      <c r="S4111" s="4">
        <v>0</v>
      </c>
      <c r="T4111" s="4">
        <v>0</v>
      </c>
      <c r="W4111" s="5" t="s">
        <v>72</v>
      </c>
      <c r="X4111" s="5" t="s">
        <v>72</v>
      </c>
      <c r="Y4111" s="4">
        <v>48</v>
      </c>
      <c r="Z4111" s="4">
        <v>4</v>
      </c>
      <c r="AA4111" s="4">
        <v>5</v>
      </c>
      <c r="AB4111" s="4">
        <v>1</v>
      </c>
      <c r="AC4111" s="4">
        <v>2</v>
      </c>
      <c r="AD4111" s="4">
        <v>32</v>
      </c>
      <c r="AE4111" s="4">
        <v>32</v>
      </c>
      <c r="AF4111" s="4">
        <v>0</v>
      </c>
      <c r="AG4111" s="4">
        <v>0</v>
      </c>
      <c r="AH4111" s="4">
        <v>31</v>
      </c>
      <c r="AI4111" s="4">
        <v>31</v>
      </c>
      <c r="AJ4111" s="4">
        <v>2</v>
      </c>
      <c r="AK4111" s="4">
        <v>2</v>
      </c>
      <c r="AL4111" s="4">
        <v>25</v>
      </c>
      <c r="AM4111" s="4">
        <v>25</v>
      </c>
      <c r="AN4111" s="4">
        <v>0</v>
      </c>
      <c r="AO4111" s="4">
        <v>0</v>
      </c>
      <c r="AP4111" s="4">
        <v>2</v>
      </c>
      <c r="AQ4111" s="4">
        <v>2</v>
      </c>
      <c r="AR4111" s="3" t="s">
        <v>65</v>
      </c>
      <c r="AS4111" s="3" t="s">
        <v>65</v>
      </c>
      <c r="AT4111" s="3" t="s">
        <v>65</v>
      </c>
      <c r="AV4111" s="6" t="str">
        <f>HYPERLINK("http://mcgill.on.worldcat.org/oclc/894899468","Catalog Record")</f>
        <v>Catalog Record</v>
      </c>
      <c r="AW4111" s="6" t="str">
        <f>HYPERLINK("http://www.worldcat.org/oclc/894899468","WorldCat Record")</f>
        <v>WorldCat Record</v>
      </c>
      <c r="AX4111" s="3" t="s">
        <v>40998</v>
      </c>
      <c r="AY4111" s="3" t="s">
        <v>40999</v>
      </c>
      <c r="AZ4111" s="3" t="s">
        <v>41000</v>
      </c>
      <c r="BA4111" s="3" t="s">
        <v>41000</v>
      </c>
      <c r="BB4111" s="3" t="s">
        <v>41001</v>
      </c>
      <c r="BC4111" s="3" t="s">
        <v>77</v>
      </c>
      <c r="BD4111" s="3" t="s">
        <v>78</v>
      </c>
      <c r="BE4111" s="3" t="s">
        <v>41002</v>
      </c>
      <c r="BF4111" s="3" t="s">
        <v>41001</v>
      </c>
      <c r="BG4111" s="3" t="s">
        <v>41003</v>
      </c>
    </row>
    <row r="4112" spans="1:59" ht="58" x14ac:dyDescent="0.35">
      <c r="A4112" s="2" t="s">
        <v>59</v>
      </c>
      <c r="B4112" s="2" t="s">
        <v>60</v>
      </c>
      <c r="C4112" s="2" t="s">
        <v>41004</v>
      </c>
      <c r="D4112" s="2" t="s">
        <v>41005</v>
      </c>
      <c r="E4112" s="2" t="s">
        <v>41006</v>
      </c>
      <c r="G4112" s="3" t="s">
        <v>65</v>
      </c>
      <c r="I4112" s="3" t="s">
        <v>65</v>
      </c>
      <c r="J4112" s="3" t="s">
        <v>65</v>
      </c>
      <c r="K4112" s="3" t="s">
        <v>66</v>
      </c>
      <c r="L4112" s="2" t="s">
        <v>41007</v>
      </c>
      <c r="M4112" s="2" t="s">
        <v>37149</v>
      </c>
      <c r="N4112" s="3" t="s">
        <v>188</v>
      </c>
      <c r="P4112" s="3" t="s">
        <v>140</v>
      </c>
      <c r="Q4112" s="2" t="s">
        <v>37305</v>
      </c>
      <c r="R4112" s="3" t="s">
        <v>71</v>
      </c>
      <c r="S4112" s="4">
        <v>0</v>
      </c>
      <c r="T4112" s="4">
        <v>0</v>
      </c>
      <c r="W4112" s="5" t="s">
        <v>41008</v>
      </c>
      <c r="X4112" s="5" t="s">
        <v>41008</v>
      </c>
      <c r="Y4112" s="4">
        <v>54</v>
      </c>
      <c r="Z4112" s="4">
        <v>3</v>
      </c>
      <c r="AA4112" s="4">
        <v>3</v>
      </c>
      <c r="AB4112" s="4">
        <v>1</v>
      </c>
      <c r="AC4112" s="4">
        <v>1</v>
      </c>
      <c r="AD4112" s="4">
        <v>39</v>
      </c>
      <c r="AE4112" s="4">
        <v>39</v>
      </c>
      <c r="AF4112" s="4">
        <v>0</v>
      </c>
      <c r="AG4112" s="4">
        <v>0</v>
      </c>
      <c r="AH4112" s="4">
        <v>38</v>
      </c>
      <c r="AI4112" s="4">
        <v>38</v>
      </c>
      <c r="AJ4112" s="4">
        <v>2</v>
      </c>
      <c r="AK4112" s="4">
        <v>2</v>
      </c>
      <c r="AL4112" s="4">
        <v>27</v>
      </c>
      <c r="AM4112" s="4">
        <v>27</v>
      </c>
      <c r="AN4112" s="4">
        <v>0</v>
      </c>
      <c r="AO4112" s="4">
        <v>0</v>
      </c>
      <c r="AP4112" s="4">
        <v>2</v>
      </c>
      <c r="AQ4112" s="4">
        <v>2</v>
      </c>
      <c r="AR4112" s="3" t="s">
        <v>65</v>
      </c>
      <c r="AS4112" s="3" t="s">
        <v>65</v>
      </c>
      <c r="AT4112" s="3" t="s">
        <v>65</v>
      </c>
      <c r="AV4112" s="6" t="str">
        <f>HYPERLINK("http://mcgill.on.worldcat.org/oclc/987007379","Catalog Record")</f>
        <v>Catalog Record</v>
      </c>
      <c r="AW4112" s="6" t="str">
        <f>HYPERLINK("http://www.worldcat.org/oclc/987007379","WorldCat Record")</f>
        <v>WorldCat Record</v>
      </c>
      <c r="AX4112" s="3" t="s">
        <v>41009</v>
      </c>
      <c r="AY4112" s="3" t="s">
        <v>41010</v>
      </c>
      <c r="AZ4112" s="3" t="s">
        <v>41011</v>
      </c>
      <c r="BA4112" s="3" t="s">
        <v>41011</v>
      </c>
      <c r="BB4112" s="3" t="s">
        <v>41012</v>
      </c>
      <c r="BC4112" s="3" t="s">
        <v>77</v>
      </c>
      <c r="BD4112" s="3" t="s">
        <v>78</v>
      </c>
      <c r="BE4112" s="3" t="s">
        <v>41013</v>
      </c>
      <c r="BF4112" s="3" t="s">
        <v>41012</v>
      </c>
      <c r="BG4112" s="3" t="s">
        <v>41014</v>
      </c>
    </row>
    <row r="4113" spans="1:59" ht="58" x14ac:dyDescent="0.35">
      <c r="A4113" s="2" t="s">
        <v>59</v>
      </c>
      <c r="B4113" s="2" t="s">
        <v>60</v>
      </c>
      <c r="C4113" s="2" t="s">
        <v>41015</v>
      </c>
      <c r="D4113" s="2" t="s">
        <v>41016</v>
      </c>
      <c r="E4113" s="2" t="s">
        <v>41017</v>
      </c>
      <c r="G4113" s="3" t="s">
        <v>65</v>
      </c>
      <c r="I4113" s="3" t="s">
        <v>65</v>
      </c>
      <c r="J4113" s="3" t="s">
        <v>65</v>
      </c>
      <c r="K4113" s="3" t="s">
        <v>66</v>
      </c>
      <c r="L4113" s="2" t="s">
        <v>41018</v>
      </c>
      <c r="M4113" s="2" t="s">
        <v>36871</v>
      </c>
      <c r="N4113" s="3" t="s">
        <v>164</v>
      </c>
      <c r="P4113" s="3" t="s">
        <v>140</v>
      </c>
      <c r="R4113" s="3" t="s">
        <v>71</v>
      </c>
      <c r="S4113" s="4">
        <v>0</v>
      </c>
      <c r="T4113" s="4">
        <v>0</v>
      </c>
      <c r="W4113" s="5" t="s">
        <v>72</v>
      </c>
      <c r="X4113" s="5" t="s">
        <v>72</v>
      </c>
      <c r="Y4113" s="4">
        <v>93</v>
      </c>
      <c r="Z4113" s="4">
        <v>9</v>
      </c>
      <c r="AA4113" s="4">
        <v>13</v>
      </c>
      <c r="AB4113" s="4">
        <v>1</v>
      </c>
      <c r="AC4113" s="4">
        <v>4</v>
      </c>
      <c r="AD4113" s="4">
        <v>49</v>
      </c>
      <c r="AE4113" s="4">
        <v>50</v>
      </c>
      <c r="AF4113" s="4">
        <v>0</v>
      </c>
      <c r="AG4113" s="4">
        <v>1</v>
      </c>
      <c r="AH4113" s="4">
        <v>47</v>
      </c>
      <c r="AI4113" s="4">
        <v>47</v>
      </c>
      <c r="AJ4113" s="4">
        <v>4</v>
      </c>
      <c r="AK4113" s="4">
        <v>5</v>
      </c>
      <c r="AL4113" s="4">
        <v>36</v>
      </c>
      <c r="AM4113" s="4">
        <v>36</v>
      </c>
      <c r="AN4113" s="4">
        <v>0</v>
      </c>
      <c r="AO4113" s="4">
        <v>0</v>
      </c>
      <c r="AP4113" s="4">
        <v>4</v>
      </c>
      <c r="AQ4113" s="4">
        <v>4</v>
      </c>
      <c r="AR4113" s="3" t="s">
        <v>65</v>
      </c>
      <c r="AS4113" s="3" t="s">
        <v>65</v>
      </c>
      <c r="AT4113" s="3" t="s">
        <v>65</v>
      </c>
      <c r="AV4113" s="6" t="str">
        <f>HYPERLINK("http://mcgill.on.worldcat.org/oclc/893860574","Catalog Record")</f>
        <v>Catalog Record</v>
      </c>
      <c r="AW4113" s="6" t="str">
        <f>HYPERLINK("http://www.worldcat.org/oclc/893860574","WorldCat Record")</f>
        <v>WorldCat Record</v>
      </c>
      <c r="AX4113" s="3" t="s">
        <v>41019</v>
      </c>
      <c r="AY4113" s="3" t="s">
        <v>41020</v>
      </c>
      <c r="AZ4113" s="3" t="s">
        <v>41021</v>
      </c>
      <c r="BA4113" s="3" t="s">
        <v>41021</v>
      </c>
      <c r="BB4113" s="3" t="s">
        <v>41022</v>
      </c>
      <c r="BC4113" s="3" t="s">
        <v>77</v>
      </c>
      <c r="BD4113" s="3" t="s">
        <v>78</v>
      </c>
      <c r="BE4113" s="3" t="s">
        <v>41023</v>
      </c>
      <c r="BF4113" s="3" t="s">
        <v>41022</v>
      </c>
      <c r="BG4113" s="3" t="s">
        <v>41024</v>
      </c>
    </row>
    <row r="4114" spans="1:59" ht="58" x14ac:dyDescent="0.35">
      <c r="A4114" s="2" t="s">
        <v>59</v>
      </c>
      <c r="B4114" s="2" t="s">
        <v>60</v>
      </c>
      <c r="C4114" s="2" t="s">
        <v>41025</v>
      </c>
      <c r="D4114" s="2" t="s">
        <v>41026</v>
      </c>
      <c r="E4114" s="2" t="s">
        <v>41027</v>
      </c>
      <c r="G4114" s="3" t="s">
        <v>65</v>
      </c>
      <c r="I4114" s="3" t="s">
        <v>65</v>
      </c>
      <c r="J4114" s="3" t="s">
        <v>65</v>
      </c>
      <c r="K4114" s="3" t="s">
        <v>66</v>
      </c>
      <c r="L4114" s="2" t="s">
        <v>41028</v>
      </c>
      <c r="M4114" s="2" t="s">
        <v>41029</v>
      </c>
      <c r="N4114" s="3" t="s">
        <v>113</v>
      </c>
      <c r="P4114" s="3" t="s">
        <v>140</v>
      </c>
      <c r="Q4114" s="2" t="s">
        <v>36118</v>
      </c>
      <c r="R4114" s="3" t="s">
        <v>71</v>
      </c>
      <c r="S4114" s="4">
        <v>1</v>
      </c>
      <c r="T4114" s="4">
        <v>1</v>
      </c>
      <c r="U4114" s="5" t="s">
        <v>17998</v>
      </c>
      <c r="V4114" s="5" t="s">
        <v>17998</v>
      </c>
      <c r="W4114" s="5" t="s">
        <v>72</v>
      </c>
      <c r="X4114" s="5" t="s">
        <v>72</v>
      </c>
      <c r="Y4114" s="4">
        <v>48</v>
      </c>
      <c r="Z4114" s="4">
        <v>5</v>
      </c>
      <c r="AA4114" s="4">
        <v>5</v>
      </c>
      <c r="AB4114" s="4">
        <v>1</v>
      </c>
      <c r="AC4114" s="4">
        <v>1</v>
      </c>
      <c r="AD4114" s="4">
        <v>22</v>
      </c>
      <c r="AE4114" s="4">
        <v>25</v>
      </c>
      <c r="AF4114" s="4">
        <v>0</v>
      </c>
      <c r="AG4114" s="4">
        <v>0</v>
      </c>
      <c r="AH4114" s="4">
        <v>21</v>
      </c>
      <c r="AI4114" s="4">
        <v>24</v>
      </c>
      <c r="AJ4114" s="4">
        <v>3</v>
      </c>
      <c r="AK4114" s="4">
        <v>3</v>
      </c>
      <c r="AL4114" s="4">
        <v>16</v>
      </c>
      <c r="AM4114" s="4">
        <v>19</v>
      </c>
      <c r="AN4114" s="4">
        <v>0</v>
      </c>
      <c r="AO4114" s="4">
        <v>0</v>
      </c>
      <c r="AP4114" s="4">
        <v>3</v>
      </c>
      <c r="AQ4114" s="4">
        <v>3</v>
      </c>
      <c r="AR4114" s="3" t="s">
        <v>65</v>
      </c>
      <c r="AS4114" s="3" t="s">
        <v>65</v>
      </c>
      <c r="AT4114" s="3" t="s">
        <v>65</v>
      </c>
      <c r="AV4114" s="6" t="str">
        <f>HYPERLINK("http://mcgill.on.worldcat.org/oclc/670470388","Catalog Record")</f>
        <v>Catalog Record</v>
      </c>
      <c r="AW4114" s="6" t="str">
        <f>HYPERLINK("http://www.worldcat.org/oclc/670470388","WorldCat Record")</f>
        <v>WorldCat Record</v>
      </c>
      <c r="AX4114" s="3" t="s">
        <v>41030</v>
      </c>
      <c r="AY4114" s="3" t="s">
        <v>41031</v>
      </c>
      <c r="AZ4114" s="3" t="s">
        <v>41032</v>
      </c>
      <c r="BA4114" s="3" t="s">
        <v>41032</v>
      </c>
      <c r="BB4114" s="3" t="s">
        <v>41033</v>
      </c>
      <c r="BC4114" s="3" t="s">
        <v>77</v>
      </c>
      <c r="BD4114" s="3" t="s">
        <v>78</v>
      </c>
      <c r="BE4114" s="3" t="s">
        <v>41034</v>
      </c>
      <c r="BF4114" s="3" t="s">
        <v>41033</v>
      </c>
      <c r="BG4114" s="3" t="s">
        <v>41035</v>
      </c>
    </row>
    <row r="4115" spans="1:59" ht="58" x14ac:dyDescent="0.35">
      <c r="A4115" s="2" t="s">
        <v>59</v>
      </c>
      <c r="B4115" s="2" t="s">
        <v>60</v>
      </c>
      <c r="C4115" s="2" t="s">
        <v>41036</v>
      </c>
      <c r="D4115" s="2" t="s">
        <v>41037</v>
      </c>
      <c r="E4115" s="2" t="s">
        <v>41038</v>
      </c>
      <c r="G4115" s="3" t="s">
        <v>65</v>
      </c>
      <c r="I4115" s="3" t="s">
        <v>65</v>
      </c>
      <c r="J4115" s="3" t="s">
        <v>65</v>
      </c>
      <c r="K4115" s="3" t="s">
        <v>66</v>
      </c>
      <c r="L4115" s="2" t="s">
        <v>41028</v>
      </c>
      <c r="M4115" s="2" t="s">
        <v>36193</v>
      </c>
      <c r="N4115" s="3" t="s">
        <v>139</v>
      </c>
      <c r="P4115" s="3" t="s">
        <v>69</v>
      </c>
      <c r="R4115" s="3" t="s">
        <v>71</v>
      </c>
      <c r="S4115" s="4">
        <v>5</v>
      </c>
      <c r="T4115" s="4">
        <v>5</v>
      </c>
      <c r="U4115" s="5" t="s">
        <v>2415</v>
      </c>
      <c r="V4115" s="5" t="s">
        <v>2415</v>
      </c>
      <c r="W4115" s="5" t="s">
        <v>72</v>
      </c>
      <c r="X4115" s="5" t="s">
        <v>72</v>
      </c>
      <c r="Y4115" s="4">
        <v>315</v>
      </c>
      <c r="Z4115" s="4">
        <v>17</v>
      </c>
      <c r="AA4115" s="4">
        <v>20</v>
      </c>
      <c r="AB4115" s="4">
        <v>2</v>
      </c>
      <c r="AC4115" s="4">
        <v>4</v>
      </c>
      <c r="AD4115" s="4">
        <v>58</v>
      </c>
      <c r="AE4115" s="4">
        <v>59</v>
      </c>
      <c r="AF4115" s="4">
        <v>0</v>
      </c>
      <c r="AG4115" s="4">
        <v>0</v>
      </c>
      <c r="AH4115" s="4">
        <v>54</v>
      </c>
      <c r="AI4115" s="4">
        <v>54</v>
      </c>
      <c r="AJ4115" s="4">
        <v>5</v>
      </c>
      <c r="AK4115" s="4">
        <v>5</v>
      </c>
      <c r="AL4115" s="4">
        <v>38</v>
      </c>
      <c r="AM4115" s="4">
        <v>38</v>
      </c>
      <c r="AN4115" s="4">
        <v>0</v>
      </c>
      <c r="AO4115" s="4">
        <v>0</v>
      </c>
      <c r="AP4115" s="4">
        <v>5</v>
      </c>
      <c r="AQ4115" s="4">
        <v>6</v>
      </c>
      <c r="AR4115" s="3" t="s">
        <v>65</v>
      </c>
      <c r="AS4115" s="3" t="s">
        <v>65</v>
      </c>
      <c r="AT4115" s="3" t="s">
        <v>65</v>
      </c>
      <c r="AV4115" s="6" t="str">
        <f>HYPERLINK("http://mcgill.on.worldcat.org/oclc/744291818","Catalog Record")</f>
        <v>Catalog Record</v>
      </c>
      <c r="AW4115" s="6" t="str">
        <f>HYPERLINK("http://www.worldcat.org/oclc/744291818","WorldCat Record")</f>
        <v>WorldCat Record</v>
      </c>
      <c r="AX4115" s="3" t="s">
        <v>41039</v>
      </c>
      <c r="AY4115" s="3" t="s">
        <v>41040</v>
      </c>
      <c r="AZ4115" s="3" t="s">
        <v>41041</v>
      </c>
      <c r="BA4115" s="3" t="s">
        <v>41041</v>
      </c>
      <c r="BB4115" s="3" t="s">
        <v>41042</v>
      </c>
      <c r="BC4115" s="3" t="s">
        <v>77</v>
      </c>
      <c r="BD4115" s="3" t="s">
        <v>78</v>
      </c>
      <c r="BE4115" s="3" t="s">
        <v>41043</v>
      </c>
      <c r="BF4115" s="3" t="s">
        <v>41042</v>
      </c>
      <c r="BG4115" s="3" t="s">
        <v>41044</v>
      </c>
    </row>
    <row r="4116" spans="1:59" ht="58" x14ac:dyDescent="0.35">
      <c r="A4116" s="2" t="s">
        <v>59</v>
      </c>
      <c r="B4116" s="2" t="s">
        <v>60</v>
      </c>
      <c r="C4116" s="2" t="s">
        <v>41045</v>
      </c>
      <c r="D4116" s="2" t="s">
        <v>41046</v>
      </c>
      <c r="E4116" s="2" t="s">
        <v>41047</v>
      </c>
      <c r="G4116" s="3" t="s">
        <v>65</v>
      </c>
      <c r="I4116" s="3" t="s">
        <v>65</v>
      </c>
      <c r="J4116" s="3" t="s">
        <v>65</v>
      </c>
      <c r="K4116" s="3" t="s">
        <v>66</v>
      </c>
      <c r="L4116" s="2" t="s">
        <v>41048</v>
      </c>
      <c r="M4116" s="2" t="s">
        <v>41049</v>
      </c>
      <c r="N4116" s="3" t="s">
        <v>176</v>
      </c>
      <c r="O4116" s="2" t="s">
        <v>235</v>
      </c>
      <c r="P4116" s="3" t="s">
        <v>140</v>
      </c>
      <c r="R4116" s="3" t="s">
        <v>71</v>
      </c>
      <c r="S4116" s="4">
        <v>0</v>
      </c>
      <c r="T4116" s="4">
        <v>0</v>
      </c>
      <c r="W4116" s="5" t="s">
        <v>72</v>
      </c>
      <c r="X4116" s="5" t="s">
        <v>72</v>
      </c>
      <c r="Y4116" s="4">
        <v>51</v>
      </c>
      <c r="Z4116" s="4">
        <v>4</v>
      </c>
      <c r="AA4116" s="4">
        <v>4</v>
      </c>
      <c r="AB4116" s="4">
        <v>1</v>
      </c>
      <c r="AC4116" s="4">
        <v>1</v>
      </c>
      <c r="AD4116" s="4">
        <v>37</v>
      </c>
      <c r="AE4116" s="4">
        <v>37</v>
      </c>
      <c r="AF4116" s="4">
        <v>0</v>
      </c>
      <c r="AG4116" s="4">
        <v>0</v>
      </c>
      <c r="AH4116" s="4">
        <v>36</v>
      </c>
      <c r="AI4116" s="4">
        <v>36</v>
      </c>
      <c r="AJ4116" s="4">
        <v>2</v>
      </c>
      <c r="AK4116" s="4">
        <v>2</v>
      </c>
      <c r="AL4116" s="4">
        <v>29</v>
      </c>
      <c r="AM4116" s="4">
        <v>29</v>
      </c>
      <c r="AN4116" s="4">
        <v>0</v>
      </c>
      <c r="AO4116" s="4">
        <v>0</v>
      </c>
      <c r="AP4116" s="4">
        <v>2</v>
      </c>
      <c r="AQ4116" s="4">
        <v>2</v>
      </c>
      <c r="AR4116" s="3" t="s">
        <v>65</v>
      </c>
      <c r="AS4116" s="3" t="s">
        <v>65</v>
      </c>
      <c r="AT4116" s="3" t="s">
        <v>65</v>
      </c>
      <c r="AV4116" s="6" t="str">
        <f>HYPERLINK("http://mcgill.on.worldcat.org/oclc/921836488","Catalog Record")</f>
        <v>Catalog Record</v>
      </c>
      <c r="AW4116" s="6" t="str">
        <f>HYPERLINK("http://www.worldcat.org/oclc/921836488","WorldCat Record")</f>
        <v>WorldCat Record</v>
      </c>
      <c r="AX4116" s="3" t="s">
        <v>41050</v>
      </c>
      <c r="AY4116" s="3" t="s">
        <v>41051</v>
      </c>
      <c r="AZ4116" s="3" t="s">
        <v>41052</v>
      </c>
      <c r="BA4116" s="3" t="s">
        <v>41052</v>
      </c>
      <c r="BB4116" s="3" t="s">
        <v>41053</v>
      </c>
      <c r="BC4116" s="3" t="s">
        <v>77</v>
      </c>
      <c r="BD4116" s="3" t="s">
        <v>78</v>
      </c>
      <c r="BE4116" s="3" t="s">
        <v>41054</v>
      </c>
      <c r="BF4116" s="3" t="s">
        <v>41053</v>
      </c>
      <c r="BG4116" s="3" t="s">
        <v>41055</v>
      </c>
    </row>
    <row r="4117" spans="1:59" ht="58" x14ac:dyDescent="0.35">
      <c r="A4117" s="2" t="s">
        <v>59</v>
      </c>
      <c r="B4117" s="2" t="s">
        <v>60</v>
      </c>
      <c r="C4117" s="2" t="s">
        <v>41056</v>
      </c>
      <c r="D4117" s="2" t="s">
        <v>41057</v>
      </c>
      <c r="E4117" s="2" t="s">
        <v>41058</v>
      </c>
      <c r="G4117" s="3" t="s">
        <v>65</v>
      </c>
      <c r="I4117" s="3" t="s">
        <v>65</v>
      </c>
      <c r="J4117" s="3" t="s">
        <v>65</v>
      </c>
      <c r="K4117" s="3" t="s">
        <v>66</v>
      </c>
      <c r="L4117" s="2" t="s">
        <v>41059</v>
      </c>
      <c r="M4117" s="2" t="s">
        <v>41060</v>
      </c>
      <c r="N4117" s="3" t="s">
        <v>152</v>
      </c>
      <c r="P4117" s="3" t="s">
        <v>69</v>
      </c>
      <c r="R4117" s="3" t="s">
        <v>71</v>
      </c>
      <c r="S4117" s="4">
        <v>0</v>
      </c>
      <c r="T4117" s="4">
        <v>0</v>
      </c>
      <c r="W4117" s="5" t="s">
        <v>72</v>
      </c>
      <c r="X4117" s="5" t="s">
        <v>72</v>
      </c>
      <c r="Y4117" s="4">
        <v>7</v>
      </c>
      <c r="Z4117" s="4">
        <v>1</v>
      </c>
      <c r="AA4117" s="4">
        <v>8</v>
      </c>
      <c r="AB4117" s="4">
        <v>1</v>
      </c>
      <c r="AC4117" s="4">
        <v>3</v>
      </c>
      <c r="AD4117" s="4">
        <v>1</v>
      </c>
      <c r="AE4117" s="4">
        <v>42</v>
      </c>
      <c r="AF4117" s="4">
        <v>0</v>
      </c>
      <c r="AG4117" s="4">
        <v>0</v>
      </c>
      <c r="AH4117" s="4">
        <v>1</v>
      </c>
      <c r="AI4117" s="4">
        <v>40</v>
      </c>
      <c r="AJ4117" s="4">
        <v>0</v>
      </c>
      <c r="AK4117" s="4">
        <v>2</v>
      </c>
      <c r="AL4117" s="4">
        <v>1</v>
      </c>
      <c r="AM4117" s="4">
        <v>26</v>
      </c>
      <c r="AN4117" s="4">
        <v>0</v>
      </c>
      <c r="AO4117" s="4">
        <v>0</v>
      </c>
      <c r="AP4117" s="4">
        <v>0</v>
      </c>
      <c r="AQ4117" s="4">
        <v>2</v>
      </c>
      <c r="AR4117" s="3" t="s">
        <v>65</v>
      </c>
      <c r="AS4117" s="3" t="s">
        <v>65</v>
      </c>
      <c r="AT4117" s="3" t="s">
        <v>65</v>
      </c>
      <c r="AV4117" s="6" t="str">
        <f>HYPERLINK("http://mcgill.on.worldcat.org/oclc/812254162","Catalog Record")</f>
        <v>Catalog Record</v>
      </c>
      <c r="AW4117" s="6" t="str">
        <f>HYPERLINK("http://www.worldcat.org/oclc/812254162","WorldCat Record")</f>
        <v>WorldCat Record</v>
      </c>
      <c r="AX4117" s="3" t="s">
        <v>41061</v>
      </c>
      <c r="AY4117" s="3" t="s">
        <v>41062</v>
      </c>
      <c r="AZ4117" s="3" t="s">
        <v>41063</v>
      </c>
      <c r="BA4117" s="3" t="s">
        <v>41063</v>
      </c>
      <c r="BB4117" s="3" t="s">
        <v>41064</v>
      </c>
      <c r="BC4117" s="3" t="s">
        <v>77</v>
      </c>
      <c r="BD4117" s="3" t="s">
        <v>78</v>
      </c>
      <c r="BE4117" s="3" t="s">
        <v>41065</v>
      </c>
      <c r="BF4117" s="3" t="s">
        <v>41064</v>
      </c>
      <c r="BG4117" s="3" t="s">
        <v>41066</v>
      </c>
    </row>
    <row r="4118" spans="1:59" ht="72.5" x14ac:dyDescent="0.35">
      <c r="A4118" s="2" t="s">
        <v>59</v>
      </c>
      <c r="B4118" s="2" t="s">
        <v>60</v>
      </c>
      <c r="C4118" s="2" t="s">
        <v>41067</v>
      </c>
      <c r="D4118" s="2" t="s">
        <v>41068</v>
      </c>
      <c r="E4118" s="2" t="s">
        <v>41069</v>
      </c>
      <c r="G4118" s="3" t="s">
        <v>65</v>
      </c>
      <c r="I4118" s="3" t="s">
        <v>65</v>
      </c>
      <c r="J4118" s="3" t="s">
        <v>65</v>
      </c>
      <c r="K4118" s="3" t="s">
        <v>66</v>
      </c>
      <c r="L4118" s="2" t="s">
        <v>41070</v>
      </c>
      <c r="M4118" s="2" t="s">
        <v>36398</v>
      </c>
      <c r="N4118" s="3" t="s">
        <v>139</v>
      </c>
      <c r="P4118" s="3" t="s">
        <v>69</v>
      </c>
      <c r="R4118" s="3" t="s">
        <v>71</v>
      </c>
      <c r="S4118" s="4">
        <v>0</v>
      </c>
      <c r="T4118" s="4">
        <v>0</v>
      </c>
      <c r="W4118" s="5" t="s">
        <v>72</v>
      </c>
      <c r="X4118" s="5" t="s">
        <v>72</v>
      </c>
      <c r="Y4118" s="4">
        <v>104</v>
      </c>
      <c r="Z4118" s="4">
        <v>6</v>
      </c>
      <c r="AA4118" s="4">
        <v>20</v>
      </c>
      <c r="AB4118" s="4">
        <v>1</v>
      </c>
      <c r="AC4118" s="4">
        <v>4</v>
      </c>
      <c r="AD4118" s="4">
        <v>24</v>
      </c>
      <c r="AE4118" s="4">
        <v>28</v>
      </c>
      <c r="AF4118" s="4">
        <v>0</v>
      </c>
      <c r="AG4118" s="4">
        <v>0</v>
      </c>
      <c r="AH4118" s="4">
        <v>22</v>
      </c>
      <c r="AI4118" s="4">
        <v>26</v>
      </c>
      <c r="AJ4118" s="4">
        <v>3</v>
      </c>
      <c r="AK4118" s="4">
        <v>3</v>
      </c>
      <c r="AL4118" s="4">
        <v>15</v>
      </c>
      <c r="AM4118" s="4">
        <v>16</v>
      </c>
      <c r="AN4118" s="4">
        <v>0</v>
      </c>
      <c r="AO4118" s="4">
        <v>0</v>
      </c>
      <c r="AP4118" s="4">
        <v>3</v>
      </c>
      <c r="AQ4118" s="4">
        <v>3</v>
      </c>
      <c r="AR4118" s="3" t="s">
        <v>65</v>
      </c>
      <c r="AS4118" s="3" t="s">
        <v>65</v>
      </c>
      <c r="AT4118" s="3" t="s">
        <v>65</v>
      </c>
      <c r="AV4118" s="6" t="str">
        <f>HYPERLINK("http://mcgill.on.worldcat.org/oclc/781498533","Catalog Record")</f>
        <v>Catalog Record</v>
      </c>
      <c r="AW4118" s="6" t="str">
        <f>HYPERLINK("http://www.worldcat.org/oclc/781498533","WorldCat Record")</f>
        <v>WorldCat Record</v>
      </c>
      <c r="AX4118" s="3" t="s">
        <v>41071</v>
      </c>
      <c r="AY4118" s="3" t="s">
        <v>41072</v>
      </c>
      <c r="AZ4118" s="3" t="s">
        <v>41073</v>
      </c>
      <c r="BA4118" s="3" t="s">
        <v>41073</v>
      </c>
      <c r="BB4118" s="3" t="s">
        <v>41074</v>
      </c>
      <c r="BC4118" s="3" t="s">
        <v>77</v>
      </c>
      <c r="BD4118" s="3" t="s">
        <v>78</v>
      </c>
      <c r="BE4118" s="3" t="s">
        <v>41075</v>
      </c>
      <c r="BF4118" s="3" t="s">
        <v>41074</v>
      </c>
      <c r="BG4118" s="3" t="s">
        <v>41076</v>
      </c>
    </row>
    <row r="4119" spans="1:59" ht="72.5" x14ac:dyDescent="0.35">
      <c r="A4119" s="2" t="s">
        <v>59</v>
      </c>
      <c r="B4119" s="2" t="s">
        <v>60</v>
      </c>
      <c r="C4119" s="2" t="s">
        <v>41077</v>
      </c>
      <c r="D4119" s="2" t="s">
        <v>41078</v>
      </c>
      <c r="E4119" s="2" t="s">
        <v>41079</v>
      </c>
      <c r="G4119" s="3" t="s">
        <v>65</v>
      </c>
      <c r="I4119" s="3" t="s">
        <v>65</v>
      </c>
      <c r="J4119" s="3" t="s">
        <v>65</v>
      </c>
      <c r="K4119" s="3" t="s">
        <v>66</v>
      </c>
      <c r="L4119" s="2" t="s">
        <v>41080</v>
      </c>
      <c r="M4119" s="2" t="s">
        <v>41081</v>
      </c>
      <c r="N4119" s="3" t="s">
        <v>86</v>
      </c>
      <c r="O4119" s="2" t="s">
        <v>235</v>
      </c>
      <c r="P4119" s="3" t="s">
        <v>140</v>
      </c>
      <c r="R4119" s="3" t="s">
        <v>71</v>
      </c>
      <c r="S4119" s="4">
        <v>0</v>
      </c>
      <c r="T4119" s="4">
        <v>0</v>
      </c>
      <c r="W4119" s="5" t="s">
        <v>4229</v>
      </c>
      <c r="X4119" s="5" t="s">
        <v>4229</v>
      </c>
      <c r="Y4119" s="4">
        <v>8</v>
      </c>
      <c r="Z4119" s="4">
        <v>1</v>
      </c>
      <c r="AA4119" s="4">
        <v>1</v>
      </c>
      <c r="AB4119" s="4">
        <v>1</v>
      </c>
      <c r="AC4119" s="4">
        <v>1</v>
      </c>
      <c r="AD4119" s="4">
        <v>0</v>
      </c>
      <c r="AE4119" s="4">
        <v>0</v>
      </c>
      <c r="AF4119" s="4">
        <v>0</v>
      </c>
      <c r="AG4119" s="4">
        <v>0</v>
      </c>
      <c r="AH4119" s="4">
        <v>0</v>
      </c>
      <c r="AI4119" s="4">
        <v>0</v>
      </c>
      <c r="AJ4119" s="4">
        <v>0</v>
      </c>
      <c r="AK4119" s="4">
        <v>0</v>
      </c>
      <c r="AL4119" s="4">
        <v>0</v>
      </c>
      <c r="AM4119" s="4">
        <v>0</v>
      </c>
      <c r="AN4119" s="4">
        <v>0</v>
      </c>
      <c r="AO4119" s="4">
        <v>0</v>
      </c>
      <c r="AP4119" s="4">
        <v>0</v>
      </c>
      <c r="AQ4119" s="4">
        <v>0</v>
      </c>
      <c r="AR4119" s="3" t="s">
        <v>65</v>
      </c>
      <c r="AS4119" s="3" t="s">
        <v>65</v>
      </c>
      <c r="AT4119" s="3" t="s">
        <v>65</v>
      </c>
      <c r="AV4119" s="6" t="str">
        <f>HYPERLINK("http://mcgill.on.worldcat.org/oclc/1043247114","Catalog Record")</f>
        <v>Catalog Record</v>
      </c>
      <c r="AW4119" s="6" t="str">
        <f>HYPERLINK("http://www.worldcat.org/oclc/1043247114","WorldCat Record")</f>
        <v>WorldCat Record</v>
      </c>
      <c r="AX4119" s="3" t="s">
        <v>41082</v>
      </c>
      <c r="AY4119" s="3" t="s">
        <v>41083</v>
      </c>
      <c r="AZ4119" s="3" t="s">
        <v>41084</v>
      </c>
      <c r="BA4119" s="3" t="s">
        <v>41084</v>
      </c>
      <c r="BB4119" s="3" t="s">
        <v>41085</v>
      </c>
      <c r="BC4119" s="3" t="s">
        <v>77</v>
      </c>
      <c r="BD4119" s="3" t="s">
        <v>78</v>
      </c>
      <c r="BE4119" s="3" t="s">
        <v>41086</v>
      </c>
      <c r="BF4119" s="3" t="s">
        <v>41085</v>
      </c>
      <c r="BG4119" s="3" t="s">
        <v>41087</v>
      </c>
    </row>
    <row r="4120" spans="1:59" ht="72.5" x14ac:dyDescent="0.35">
      <c r="A4120" s="2" t="s">
        <v>59</v>
      </c>
      <c r="B4120" s="2" t="s">
        <v>60</v>
      </c>
      <c r="C4120" s="2" t="s">
        <v>41088</v>
      </c>
      <c r="D4120" s="2" t="s">
        <v>41089</v>
      </c>
      <c r="E4120" s="2" t="s">
        <v>41090</v>
      </c>
      <c r="G4120" s="3" t="s">
        <v>65</v>
      </c>
      <c r="I4120" s="3" t="s">
        <v>65</v>
      </c>
      <c r="J4120" s="3" t="s">
        <v>65</v>
      </c>
      <c r="K4120" s="3" t="s">
        <v>66</v>
      </c>
      <c r="L4120" s="2" t="s">
        <v>41091</v>
      </c>
      <c r="M4120" s="2" t="s">
        <v>36612</v>
      </c>
      <c r="N4120" s="3" t="s">
        <v>126</v>
      </c>
      <c r="P4120" s="3" t="s">
        <v>140</v>
      </c>
      <c r="Q4120" s="2" t="s">
        <v>32206</v>
      </c>
      <c r="R4120" s="3" t="s">
        <v>71</v>
      </c>
      <c r="S4120" s="4">
        <v>0</v>
      </c>
      <c r="T4120" s="4">
        <v>0</v>
      </c>
      <c r="W4120" s="5" t="s">
        <v>72</v>
      </c>
      <c r="X4120" s="5" t="s">
        <v>72</v>
      </c>
      <c r="Y4120" s="4">
        <v>10</v>
      </c>
      <c r="Z4120" s="4">
        <v>3</v>
      </c>
      <c r="AA4120" s="4">
        <v>3</v>
      </c>
      <c r="AB4120" s="4">
        <v>2</v>
      </c>
      <c r="AC4120" s="4">
        <v>2</v>
      </c>
      <c r="AD4120" s="4">
        <v>6</v>
      </c>
      <c r="AE4120" s="4">
        <v>6</v>
      </c>
      <c r="AF4120" s="4">
        <v>0</v>
      </c>
      <c r="AG4120" s="4">
        <v>0</v>
      </c>
      <c r="AH4120" s="4">
        <v>6</v>
      </c>
      <c r="AI4120" s="4">
        <v>6</v>
      </c>
      <c r="AJ4120" s="4">
        <v>1</v>
      </c>
      <c r="AK4120" s="4">
        <v>1</v>
      </c>
      <c r="AL4120" s="4">
        <v>4</v>
      </c>
      <c r="AM4120" s="4">
        <v>4</v>
      </c>
      <c r="AN4120" s="4">
        <v>0</v>
      </c>
      <c r="AO4120" s="4">
        <v>0</v>
      </c>
      <c r="AP4120" s="4">
        <v>1</v>
      </c>
      <c r="AQ4120" s="4">
        <v>1</v>
      </c>
      <c r="AR4120" s="3" t="s">
        <v>65</v>
      </c>
      <c r="AS4120" s="3" t="s">
        <v>65</v>
      </c>
      <c r="AT4120" s="3" t="s">
        <v>65</v>
      </c>
      <c r="AV4120" s="6" t="str">
        <f>HYPERLINK("http://mcgill.on.worldcat.org/oclc/681707143","Catalog Record")</f>
        <v>Catalog Record</v>
      </c>
      <c r="AW4120" s="6" t="str">
        <f>HYPERLINK("http://www.worldcat.org/oclc/681707143","WorldCat Record")</f>
        <v>WorldCat Record</v>
      </c>
      <c r="AX4120" s="3" t="s">
        <v>41092</v>
      </c>
      <c r="AY4120" s="3" t="s">
        <v>41093</v>
      </c>
      <c r="AZ4120" s="3" t="s">
        <v>41094</v>
      </c>
      <c r="BA4120" s="3" t="s">
        <v>41094</v>
      </c>
      <c r="BB4120" s="3" t="s">
        <v>41095</v>
      </c>
      <c r="BC4120" s="3" t="s">
        <v>77</v>
      </c>
      <c r="BD4120" s="3" t="s">
        <v>78</v>
      </c>
      <c r="BE4120" s="3" t="s">
        <v>41096</v>
      </c>
      <c r="BF4120" s="3" t="s">
        <v>41095</v>
      </c>
      <c r="BG4120" s="3" t="s">
        <v>41097</v>
      </c>
    </row>
    <row r="4121" spans="1:59" ht="72.5" x14ac:dyDescent="0.35">
      <c r="A4121" s="2" t="s">
        <v>59</v>
      </c>
      <c r="B4121" s="2" t="s">
        <v>60</v>
      </c>
      <c r="C4121" s="2" t="s">
        <v>41098</v>
      </c>
      <c r="D4121" s="2" t="s">
        <v>41099</v>
      </c>
      <c r="E4121" s="2" t="s">
        <v>41100</v>
      </c>
      <c r="G4121" s="3" t="s">
        <v>65</v>
      </c>
      <c r="I4121" s="3" t="s">
        <v>65</v>
      </c>
      <c r="J4121" s="3" t="s">
        <v>65</v>
      </c>
      <c r="K4121" s="3" t="s">
        <v>66</v>
      </c>
      <c r="L4121" s="2" t="s">
        <v>41101</v>
      </c>
      <c r="M4121" s="2" t="s">
        <v>33535</v>
      </c>
      <c r="N4121" s="3" t="s">
        <v>126</v>
      </c>
      <c r="P4121" s="3" t="s">
        <v>140</v>
      </c>
      <c r="Q4121" s="2" t="s">
        <v>33053</v>
      </c>
      <c r="R4121" s="3" t="s">
        <v>71</v>
      </c>
      <c r="S4121" s="4">
        <v>0</v>
      </c>
      <c r="T4121" s="4">
        <v>0</v>
      </c>
      <c r="W4121" s="5" t="s">
        <v>72</v>
      </c>
      <c r="X4121" s="5" t="s">
        <v>72</v>
      </c>
      <c r="Y4121" s="4">
        <v>8</v>
      </c>
      <c r="Z4121" s="4">
        <v>2</v>
      </c>
      <c r="AA4121" s="4">
        <v>7</v>
      </c>
      <c r="AB4121" s="4">
        <v>1</v>
      </c>
      <c r="AC4121" s="4">
        <v>1</v>
      </c>
      <c r="AD4121" s="4">
        <v>6</v>
      </c>
      <c r="AE4121" s="4">
        <v>40</v>
      </c>
      <c r="AF4121" s="4">
        <v>0</v>
      </c>
      <c r="AG4121" s="4">
        <v>0</v>
      </c>
      <c r="AH4121" s="4">
        <v>6</v>
      </c>
      <c r="AI4121" s="4">
        <v>38</v>
      </c>
      <c r="AJ4121" s="4">
        <v>1</v>
      </c>
      <c r="AK4121" s="4">
        <v>5</v>
      </c>
      <c r="AL4121" s="4">
        <v>4</v>
      </c>
      <c r="AM4121" s="4">
        <v>27</v>
      </c>
      <c r="AN4121" s="4">
        <v>0</v>
      </c>
      <c r="AO4121" s="4">
        <v>0</v>
      </c>
      <c r="AP4121" s="4">
        <v>1</v>
      </c>
      <c r="AQ4121" s="4">
        <v>5</v>
      </c>
      <c r="AR4121" s="3" t="s">
        <v>65</v>
      </c>
      <c r="AS4121" s="3" t="s">
        <v>65</v>
      </c>
      <c r="AT4121" s="3" t="s">
        <v>65</v>
      </c>
      <c r="AV4121" s="6" t="str">
        <f>HYPERLINK("http://mcgill.on.worldcat.org/oclc/694057318","Catalog Record")</f>
        <v>Catalog Record</v>
      </c>
      <c r="AW4121" s="6" t="str">
        <f>HYPERLINK("http://www.worldcat.org/oclc/694057318","WorldCat Record")</f>
        <v>WorldCat Record</v>
      </c>
      <c r="AX4121" s="3" t="s">
        <v>41102</v>
      </c>
      <c r="AY4121" s="3" t="s">
        <v>41103</v>
      </c>
      <c r="AZ4121" s="3" t="s">
        <v>41104</v>
      </c>
      <c r="BA4121" s="3" t="s">
        <v>41104</v>
      </c>
      <c r="BB4121" s="3" t="s">
        <v>41105</v>
      </c>
      <c r="BC4121" s="3" t="s">
        <v>77</v>
      </c>
      <c r="BD4121" s="3" t="s">
        <v>78</v>
      </c>
      <c r="BE4121" s="3" t="s">
        <v>41106</v>
      </c>
      <c r="BF4121" s="3" t="s">
        <v>41105</v>
      </c>
      <c r="BG4121" s="3" t="s">
        <v>41107</v>
      </c>
    </row>
    <row r="4122" spans="1:59" ht="58" x14ac:dyDescent="0.35">
      <c r="A4122" s="2" t="s">
        <v>59</v>
      </c>
      <c r="B4122" s="2" t="s">
        <v>60</v>
      </c>
      <c r="C4122" s="2" t="s">
        <v>41108</v>
      </c>
      <c r="D4122" s="2" t="s">
        <v>41109</v>
      </c>
      <c r="E4122" s="2" t="s">
        <v>41110</v>
      </c>
      <c r="G4122" s="3" t="s">
        <v>65</v>
      </c>
      <c r="I4122" s="3" t="s">
        <v>65</v>
      </c>
      <c r="J4122" s="3" t="s">
        <v>65</v>
      </c>
      <c r="K4122" s="3" t="s">
        <v>66</v>
      </c>
      <c r="L4122" s="2" t="s">
        <v>41111</v>
      </c>
      <c r="M4122" s="2" t="s">
        <v>41112</v>
      </c>
      <c r="N4122" s="3" t="s">
        <v>176</v>
      </c>
      <c r="O4122" s="2" t="s">
        <v>27466</v>
      </c>
      <c r="P4122" s="3" t="s">
        <v>140</v>
      </c>
      <c r="R4122" s="3" t="s">
        <v>71</v>
      </c>
      <c r="S4122" s="4">
        <v>0</v>
      </c>
      <c r="T4122" s="4">
        <v>0</v>
      </c>
      <c r="W4122" s="5" t="s">
        <v>72</v>
      </c>
      <c r="X4122" s="5" t="s">
        <v>72</v>
      </c>
      <c r="Y4122" s="4">
        <v>48</v>
      </c>
      <c r="Z4122" s="4">
        <v>3</v>
      </c>
      <c r="AA4122" s="4">
        <v>3</v>
      </c>
      <c r="AB4122" s="4">
        <v>1</v>
      </c>
      <c r="AC4122" s="4">
        <v>1</v>
      </c>
      <c r="AD4122" s="4">
        <v>32</v>
      </c>
      <c r="AE4122" s="4">
        <v>33</v>
      </c>
      <c r="AF4122" s="4">
        <v>0</v>
      </c>
      <c r="AG4122" s="4">
        <v>0</v>
      </c>
      <c r="AH4122" s="4">
        <v>31</v>
      </c>
      <c r="AI4122" s="4">
        <v>32</v>
      </c>
      <c r="AJ4122" s="4">
        <v>1</v>
      </c>
      <c r="AK4122" s="4">
        <v>1</v>
      </c>
      <c r="AL4122" s="4">
        <v>27</v>
      </c>
      <c r="AM4122" s="4">
        <v>27</v>
      </c>
      <c r="AN4122" s="4">
        <v>0</v>
      </c>
      <c r="AO4122" s="4">
        <v>0</v>
      </c>
      <c r="AP4122" s="4">
        <v>1</v>
      </c>
      <c r="AQ4122" s="4">
        <v>1</v>
      </c>
      <c r="AR4122" s="3" t="s">
        <v>65</v>
      </c>
      <c r="AS4122" s="3" t="s">
        <v>65</v>
      </c>
      <c r="AT4122" s="3" t="s">
        <v>65</v>
      </c>
      <c r="AV4122" s="6" t="str">
        <f>HYPERLINK("http://mcgill.on.worldcat.org/oclc/905852828","Catalog Record")</f>
        <v>Catalog Record</v>
      </c>
      <c r="AW4122" s="6" t="str">
        <f>HYPERLINK("http://www.worldcat.org/oclc/905852828","WorldCat Record")</f>
        <v>WorldCat Record</v>
      </c>
      <c r="AX4122" s="3" t="s">
        <v>41113</v>
      </c>
      <c r="AY4122" s="3" t="s">
        <v>41114</v>
      </c>
      <c r="AZ4122" s="3" t="s">
        <v>41115</v>
      </c>
      <c r="BA4122" s="3" t="s">
        <v>41115</v>
      </c>
      <c r="BB4122" s="3" t="s">
        <v>41116</v>
      </c>
      <c r="BC4122" s="3" t="s">
        <v>77</v>
      </c>
      <c r="BD4122" s="3" t="s">
        <v>78</v>
      </c>
      <c r="BE4122" s="3" t="s">
        <v>41117</v>
      </c>
      <c r="BF4122" s="3" t="s">
        <v>41116</v>
      </c>
      <c r="BG4122" s="3" t="s">
        <v>41118</v>
      </c>
    </row>
    <row r="4123" spans="1:59" ht="58" x14ac:dyDescent="0.35">
      <c r="A4123" s="2" t="s">
        <v>59</v>
      </c>
      <c r="B4123" s="2" t="s">
        <v>60</v>
      </c>
      <c r="C4123" s="2" t="s">
        <v>41119</v>
      </c>
      <c r="D4123" s="2" t="s">
        <v>41120</v>
      </c>
      <c r="E4123" s="2" t="s">
        <v>41121</v>
      </c>
      <c r="G4123" s="3" t="s">
        <v>65</v>
      </c>
      <c r="I4123" s="3" t="s">
        <v>65</v>
      </c>
      <c r="J4123" s="3" t="s">
        <v>65</v>
      </c>
      <c r="K4123" s="3" t="s">
        <v>66</v>
      </c>
      <c r="L4123" s="2" t="s">
        <v>41122</v>
      </c>
      <c r="M4123" s="2" t="s">
        <v>41123</v>
      </c>
      <c r="N4123" s="3" t="s">
        <v>176</v>
      </c>
      <c r="O4123" s="2" t="s">
        <v>33702</v>
      </c>
      <c r="P4123" s="3" t="s">
        <v>140</v>
      </c>
      <c r="Q4123" s="2" t="s">
        <v>33703</v>
      </c>
      <c r="R4123" s="3" t="s">
        <v>71</v>
      </c>
      <c r="S4123" s="4">
        <v>0</v>
      </c>
      <c r="T4123" s="4">
        <v>0</v>
      </c>
      <c r="W4123" s="5" t="s">
        <v>72</v>
      </c>
      <c r="X4123" s="5" t="s">
        <v>72</v>
      </c>
      <c r="Y4123" s="4">
        <v>55</v>
      </c>
      <c r="Z4123" s="4">
        <v>5</v>
      </c>
      <c r="AA4123" s="4">
        <v>6</v>
      </c>
      <c r="AB4123" s="4">
        <v>1</v>
      </c>
      <c r="AC4123" s="4">
        <v>2</v>
      </c>
      <c r="AD4123" s="4">
        <v>36</v>
      </c>
      <c r="AE4123" s="4">
        <v>36</v>
      </c>
      <c r="AF4123" s="4">
        <v>0</v>
      </c>
      <c r="AG4123" s="4">
        <v>0</v>
      </c>
      <c r="AH4123" s="4">
        <v>35</v>
      </c>
      <c r="AI4123" s="4">
        <v>35</v>
      </c>
      <c r="AJ4123" s="4">
        <v>3</v>
      </c>
      <c r="AK4123" s="4">
        <v>3</v>
      </c>
      <c r="AL4123" s="4">
        <v>28</v>
      </c>
      <c r="AM4123" s="4">
        <v>28</v>
      </c>
      <c r="AN4123" s="4">
        <v>0</v>
      </c>
      <c r="AO4123" s="4">
        <v>0</v>
      </c>
      <c r="AP4123" s="4">
        <v>3</v>
      </c>
      <c r="AQ4123" s="4">
        <v>3</v>
      </c>
      <c r="AR4123" s="3" t="s">
        <v>65</v>
      </c>
      <c r="AS4123" s="3" t="s">
        <v>65</v>
      </c>
      <c r="AT4123" s="3" t="s">
        <v>65</v>
      </c>
      <c r="AV4123" s="6" t="str">
        <f>HYPERLINK("http://mcgill.on.worldcat.org/oclc/894229480","Catalog Record")</f>
        <v>Catalog Record</v>
      </c>
      <c r="AW4123" s="6" t="str">
        <f>HYPERLINK("http://www.worldcat.org/oclc/894229480","WorldCat Record")</f>
        <v>WorldCat Record</v>
      </c>
      <c r="AX4123" s="3" t="s">
        <v>41124</v>
      </c>
      <c r="AY4123" s="3" t="s">
        <v>41125</v>
      </c>
      <c r="AZ4123" s="3" t="s">
        <v>41126</v>
      </c>
      <c r="BA4123" s="3" t="s">
        <v>41126</v>
      </c>
      <c r="BB4123" s="3" t="s">
        <v>41127</v>
      </c>
      <c r="BC4123" s="3" t="s">
        <v>77</v>
      </c>
      <c r="BD4123" s="3" t="s">
        <v>78</v>
      </c>
      <c r="BE4123" s="3" t="s">
        <v>41128</v>
      </c>
      <c r="BF4123" s="3" t="s">
        <v>41127</v>
      </c>
      <c r="BG4123" s="3" t="s">
        <v>41129</v>
      </c>
    </row>
    <row r="4124" spans="1:59" ht="58" x14ac:dyDescent="0.35">
      <c r="A4124" s="2" t="s">
        <v>59</v>
      </c>
      <c r="B4124" s="2" t="s">
        <v>60</v>
      </c>
      <c r="C4124" s="2" t="s">
        <v>41130</v>
      </c>
      <c r="D4124" s="2" t="s">
        <v>41131</v>
      </c>
      <c r="E4124" s="2" t="s">
        <v>41132</v>
      </c>
      <c r="G4124" s="3" t="s">
        <v>65</v>
      </c>
      <c r="I4124" s="3" t="s">
        <v>65</v>
      </c>
      <c r="J4124" s="3" t="s">
        <v>65</v>
      </c>
      <c r="K4124" s="3" t="s">
        <v>66</v>
      </c>
      <c r="L4124" s="2" t="s">
        <v>41133</v>
      </c>
      <c r="M4124" s="2" t="s">
        <v>37841</v>
      </c>
      <c r="N4124" s="3" t="s">
        <v>126</v>
      </c>
      <c r="O4124" s="2" t="s">
        <v>365</v>
      </c>
      <c r="P4124" s="3" t="s">
        <v>140</v>
      </c>
      <c r="Q4124" s="2" t="s">
        <v>41134</v>
      </c>
      <c r="R4124" s="3" t="s">
        <v>71</v>
      </c>
      <c r="S4124" s="4">
        <v>0</v>
      </c>
      <c r="T4124" s="4">
        <v>0</v>
      </c>
      <c r="W4124" s="5" t="s">
        <v>72</v>
      </c>
      <c r="X4124" s="5" t="s">
        <v>72</v>
      </c>
      <c r="Y4124" s="4">
        <v>53</v>
      </c>
      <c r="Z4124" s="4">
        <v>6</v>
      </c>
      <c r="AA4124" s="4">
        <v>7</v>
      </c>
      <c r="AB4124" s="4">
        <v>2</v>
      </c>
      <c r="AC4124" s="4">
        <v>2</v>
      </c>
      <c r="AD4124" s="4">
        <v>32</v>
      </c>
      <c r="AE4124" s="4">
        <v>32</v>
      </c>
      <c r="AF4124" s="4">
        <v>0</v>
      </c>
      <c r="AG4124" s="4">
        <v>0</v>
      </c>
      <c r="AH4124" s="4">
        <v>30</v>
      </c>
      <c r="AI4124" s="4">
        <v>30</v>
      </c>
      <c r="AJ4124" s="4">
        <v>3</v>
      </c>
      <c r="AK4124" s="4">
        <v>3</v>
      </c>
      <c r="AL4124" s="4">
        <v>23</v>
      </c>
      <c r="AM4124" s="4">
        <v>23</v>
      </c>
      <c r="AN4124" s="4">
        <v>0</v>
      </c>
      <c r="AO4124" s="4">
        <v>0</v>
      </c>
      <c r="AP4124" s="4">
        <v>3</v>
      </c>
      <c r="AQ4124" s="4">
        <v>3</v>
      </c>
      <c r="AR4124" s="3" t="s">
        <v>65</v>
      </c>
      <c r="AS4124" s="3" t="s">
        <v>65</v>
      </c>
      <c r="AT4124" s="3" t="s">
        <v>65</v>
      </c>
      <c r="AV4124" s="6" t="str">
        <f>HYPERLINK("http://mcgill.on.worldcat.org/oclc/694827780","Catalog Record")</f>
        <v>Catalog Record</v>
      </c>
      <c r="AW4124" s="6" t="str">
        <f>HYPERLINK("http://www.worldcat.org/oclc/694827780","WorldCat Record")</f>
        <v>WorldCat Record</v>
      </c>
      <c r="AX4124" s="3" t="s">
        <v>41135</v>
      </c>
      <c r="AY4124" s="3" t="s">
        <v>41136</v>
      </c>
      <c r="AZ4124" s="3" t="s">
        <v>41137</v>
      </c>
      <c r="BA4124" s="3" t="s">
        <v>41137</v>
      </c>
      <c r="BB4124" s="3" t="s">
        <v>41138</v>
      </c>
      <c r="BC4124" s="3" t="s">
        <v>77</v>
      </c>
      <c r="BD4124" s="3" t="s">
        <v>78</v>
      </c>
      <c r="BE4124" s="3" t="s">
        <v>41139</v>
      </c>
      <c r="BF4124" s="3" t="s">
        <v>41138</v>
      </c>
      <c r="BG4124" s="3" t="s">
        <v>41140</v>
      </c>
    </row>
    <row r="4125" spans="1:59" ht="58" x14ac:dyDescent="0.35">
      <c r="A4125" s="2" t="s">
        <v>59</v>
      </c>
      <c r="B4125" s="2" t="s">
        <v>60</v>
      </c>
      <c r="C4125" s="2" t="s">
        <v>41141</v>
      </c>
      <c r="D4125" s="2" t="s">
        <v>41142</v>
      </c>
      <c r="E4125" s="2" t="s">
        <v>41143</v>
      </c>
      <c r="G4125" s="3" t="s">
        <v>65</v>
      </c>
      <c r="I4125" s="3" t="s">
        <v>65</v>
      </c>
      <c r="J4125" s="3" t="s">
        <v>65</v>
      </c>
      <c r="K4125" s="3" t="s">
        <v>66</v>
      </c>
      <c r="L4125" s="2" t="s">
        <v>41144</v>
      </c>
      <c r="M4125" s="2" t="s">
        <v>41145</v>
      </c>
      <c r="N4125" s="3" t="s">
        <v>479</v>
      </c>
      <c r="P4125" s="3" t="s">
        <v>69</v>
      </c>
      <c r="R4125" s="3" t="s">
        <v>71</v>
      </c>
      <c r="S4125" s="4">
        <v>3</v>
      </c>
      <c r="T4125" s="4">
        <v>3</v>
      </c>
      <c r="U4125" s="5" t="s">
        <v>3437</v>
      </c>
      <c r="V4125" s="5" t="s">
        <v>3437</v>
      </c>
      <c r="W4125" s="5" t="s">
        <v>72</v>
      </c>
      <c r="X4125" s="5" t="s">
        <v>72</v>
      </c>
      <c r="Y4125" s="4">
        <v>129</v>
      </c>
      <c r="Z4125" s="4">
        <v>13</v>
      </c>
      <c r="AA4125" s="4">
        <v>21</v>
      </c>
      <c r="AB4125" s="4">
        <v>2</v>
      </c>
      <c r="AC4125" s="4">
        <v>5</v>
      </c>
      <c r="AD4125" s="4">
        <v>28</v>
      </c>
      <c r="AE4125" s="4">
        <v>31</v>
      </c>
      <c r="AF4125" s="4">
        <v>0</v>
      </c>
      <c r="AG4125" s="4">
        <v>0</v>
      </c>
      <c r="AH4125" s="4">
        <v>25</v>
      </c>
      <c r="AI4125" s="4">
        <v>28</v>
      </c>
      <c r="AJ4125" s="4">
        <v>4</v>
      </c>
      <c r="AK4125" s="4">
        <v>4</v>
      </c>
      <c r="AL4125" s="4">
        <v>19</v>
      </c>
      <c r="AM4125" s="4">
        <v>21</v>
      </c>
      <c r="AN4125" s="4">
        <v>0</v>
      </c>
      <c r="AO4125" s="4">
        <v>0</v>
      </c>
      <c r="AP4125" s="4">
        <v>5</v>
      </c>
      <c r="AQ4125" s="4">
        <v>5</v>
      </c>
      <c r="AR4125" s="3" t="s">
        <v>65</v>
      </c>
      <c r="AS4125" s="3" t="s">
        <v>65</v>
      </c>
      <c r="AT4125" s="3" t="s">
        <v>65</v>
      </c>
      <c r="AV4125" s="6" t="str">
        <f>HYPERLINK("http://mcgill.on.worldcat.org/oclc/191810531","Catalog Record")</f>
        <v>Catalog Record</v>
      </c>
      <c r="AW4125" s="6" t="str">
        <f>HYPERLINK("http://www.worldcat.org/oclc/191810531","WorldCat Record")</f>
        <v>WorldCat Record</v>
      </c>
      <c r="AX4125" s="3" t="s">
        <v>41146</v>
      </c>
      <c r="AY4125" s="3" t="s">
        <v>41147</v>
      </c>
      <c r="AZ4125" s="3" t="s">
        <v>41148</v>
      </c>
      <c r="BA4125" s="3" t="s">
        <v>41148</v>
      </c>
      <c r="BB4125" s="3" t="s">
        <v>41149</v>
      </c>
      <c r="BC4125" s="3" t="s">
        <v>77</v>
      </c>
      <c r="BD4125" s="3" t="s">
        <v>78</v>
      </c>
      <c r="BE4125" s="3" t="s">
        <v>41150</v>
      </c>
      <c r="BF4125" s="3" t="s">
        <v>41149</v>
      </c>
      <c r="BG4125" s="3" t="s">
        <v>41151</v>
      </c>
    </row>
    <row r="4126" spans="1:59" ht="72.5" x14ac:dyDescent="0.35">
      <c r="A4126" s="2" t="s">
        <v>59</v>
      </c>
      <c r="B4126" s="2" t="s">
        <v>60</v>
      </c>
      <c r="C4126" s="2" t="s">
        <v>41152</v>
      </c>
      <c r="D4126" s="2" t="s">
        <v>41153</v>
      </c>
      <c r="E4126" s="2" t="s">
        <v>41154</v>
      </c>
      <c r="G4126" s="3" t="s">
        <v>65</v>
      </c>
      <c r="I4126" s="3" t="s">
        <v>65</v>
      </c>
      <c r="J4126" s="3" t="s">
        <v>65</v>
      </c>
      <c r="K4126" s="3" t="s">
        <v>66</v>
      </c>
      <c r="L4126" s="2" t="s">
        <v>41155</v>
      </c>
      <c r="M4126" s="2" t="s">
        <v>10185</v>
      </c>
      <c r="N4126" s="3" t="s">
        <v>139</v>
      </c>
      <c r="O4126" s="2" t="s">
        <v>379</v>
      </c>
      <c r="P4126" s="3" t="s">
        <v>140</v>
      </c>
      <c r="Q4126" s="2" t="s">
        <v>32206</v>
      </c>
      <c r="R4126" s="3" t="s">
        <v>71</v>
      </c>
      <c r="S4126" s="4">
        <v>3</v>
      </c>
      <c r="T4126" s="4">
        <v>3</v>
      </c>
      <c r="U4126" s="5" t="s">
        <v>3629</v>
      </c>
      <c r="V4126" s="5" t="s">
        <v>3629</v>
      </c>
      <c r="W4126" s="5" t="s">
        <v>72</v>
      </c>
      <c r="X4126" s="5" t="s">
        <v>72</v>
      </c>
      <c r="Y4126" s="4">
        <v>13</v>
      </c>
      <c r="Z4126" s="4">
        <v>2</v>
      </c>
      <c r="AA4126" s="4">
        <v>3</v>
      </c>
      <c r="AB4126" s="4">
        <v>1</v>
      </c>
      <c r="AC4126" s="4">
        <v>2</v>
      </c>
      <c r="AD4126" s="4">
        <v>8</v>
      </c>
      <c r="AE4126" s="4">
        <v>10</v>
      </c>
      <c r="AF4126" s="4">
        <v>0</v>
      </c>
      <c r="AG4126" s="4">
        <v>0</v>
      </c>
      <c r="AH4126" s="4">
        <v>7</v>
      </c>
      <c r="AI4126" s="4">
        <v>9</v>
      </c>
      <c r="AJ4126" s="4">
        <v>1</v>
      </c>
      <c r="AK4126" s="4">
        <v>1</v>
      </c>
      <c r="AL4126" s="4">
        <v>6</v>
      </c>
      <c r="AM4126" s="4">
        <v>8</v>
      </c>
      <c r="AN4126" s="4">
        <v>0</v>
      </c>
      <c r="AO4126" s="4">
        <v>0</v>
      </c>
      <c r="AP4126" s="4">
        <v>1</v>
      </c>
      <c r="AQ4126" s="4">
        <v>1</v>
      </c>
      <c r="AR4126" s="3" t="s">
        <v>65</v>
      </c>
      <c r="AS4126" s="3" t="s">
        <v>65</v>
      </c>
      <c r="AT4126" s="3" t="s">
        <v>65</v>
      </c>
      <c r="AV4126" s="6" t="str">
        <f>HYPERLINK("http://mcgill.on.worldcat.org/oclc/810314741","Catalog Record")</f>
        <v>Catalog Record</v>
      </c>
      <c r="AW4126" s="6" t="str">
        <f>HYPERLINK("http://www.worldcat.org/oclc/810314741","WorldCat Record")</f>
        <v>WorldCat Record</v>
      </c>
      <c r="AX4126" s="3" t="s">
        <v>41156</v>
      </c>
      <c r="AY4126" s="3" t="s">
        <v>41157</v>
      </c>
      <c r="AZ4126" s="3" t="s">
        <v>41158</v>
      </c>
      <c r="BA4126" s="3" t="s">
        <v>41158</v>
      </c>
      <c r="BB4126" s="3" t="s">
        <v>41159</v>
      </c>
      <c r="BC4126" s="3" t="s">
        <v>77</v>
      </c>
      <c r="BD4126" s="3" t="s">
        <v>78</v>
      </c>
      <c r="BE4126" s="3" t="s">
        <v>41160</v>
      </c>
      <c r="BF4126" s="3" t="s">
        <v>41159</v>
      </c>
      <c r="BG4126" s="3" t="s">
        <v>41161</v>
      </c>
    </row>
    <row r="4127" spans="1:59" ht="72.5" x14ac:dyDescent="0.35">
      <c r="A4127" s="2" t="s">
        <v>59</v>
      </c>
      <c r="B4127" s="2" t="s">
        <v>60</v>
      </c>
      <c r="C4127" s="2" t="s">
        <v>41162</v>
      </c>
      <c r="D4127" s="2" t="s">
        <v>41163</v>
      </c>
      <c r="E4127" s="2" t="s">
        <v>41164</v>
      </c>
      <c r="G4127" s="3" t="s">
        <v>65</v>
      </c>
      <c r="I4127" s="3" t="s">
        <v>65</v>
      </c>
      <c r="J4127" s="3" t="s">
        <v>65</v>
      </c>
      <c r="K4127" s="3" t="s">
        <v>66</v>
      </c>
      <c r="L4127" s="2" t="s">
        <v>41165</v>
      </c>
      <c r="M4127" s="2" t="s">
        <v>41166</v>
      </c>
      <c r="N4127" s="3" t="s">
        <v>164</v>
      </c>
      <c r="P4127" s="3" t="s">
        <v>616</v>
      </c>
      <c r="R4127" s="3" t="s">
        <v>71</v>
      </c>
      <c r="S4127" s="4">
        <v>0</v>
      </c>
      <c r="T4127" s="4">
        <v>0</v>
      </c>
      <c r="W4127" s="5" t="s">
        <v>72</v>
      </c>
      <c r="X4127" s="5" t="s">
        <v>72</v>
      </c>
      <c r="Y4127" s="4">
        <v>1</v>
      </c>
      <c r="Z4127" s="4">
        <v>1</v>
      </c>
      <c r="AA4127" s="4">
        <v>1</v>
      </c>
      <c r="AB4127" s="4">
        <v>1</v>
      </c>
      <c r="AC4127" s="4">
        <v>1</v>
      </c>
      <c r="AD4127" s="4">
        <v>0</v>
      </c>
      <c r="AE4127" s="4">
        <v>0</v>
      </c>
      <c r="AF4127" s="4">
        <v>0</v>
      </c>
      <c r="AG4127" s="4">
        <v>0</v>
      </c>
      <c r="AH4127" s="4">
        <v>0</v>
      </c>
      <c r="AI4127" s="4">
        <v>0</v>
      </c>
      <c r="AJ4127" s="4">
        <v>0</v>
      </c>
      <c r="AK4127" s="4">
        <v>0</v>
      </c>
      <c r="AL4127" s="4">
        <v>0</v>
      </c>
      <c r="AM4127" s="4">
        <v>0</v>
      </c>
      <c r="AN4127" s="4">
        <v>0</v>
      </c>
      <c r="AO4127" s="4">
        <v>0</v>
      </c>
      <c r="AP4127" s="4">
        <v>0</v>
      </c>
      <c r="AQ4127" s="4">
        <v>0</v>
      </c>
      <c r="AR4127" s="3" t="s">
        <v>65</v>
      </c>
      <c r="AS4127" s="3" t="s">
        <v>65</v>
      </c>
      <c r="AT4127" s="3" t="s">
        <v>65</v>
      </c>
      <c r="AV4127" s="6" t="str">
        <f>HYPERLINK("http://mcgill.on.worldcat.org/oclc/910558715","Catalog Record")</f>
        <v>Catalog Record</v>
      </c>
      <c r="AW4127" s="6" t="str">
        <f>HYPERLINK("http://www.worldcat.org/oclc/910558715","WorldCat Record")</f>
        <v>WorldCat Record</v>
      </c>
      <c r="AX4127" s="3" t="s">
        <v>41167</v>
      </c>
      <c r="AY4127" s="3" t="s">
        <v>41168</v>
      </c>
      <c r="AZ4127" s="3" t="s">
        <v>41169</v>
      </c>
      <c r="BA4127" s="3" t="s">
        <v>41169</v>
      </c>
      <c r="BB4127" s="3" t="s">
        <v>41170</v>
      </c>
      <c r="BC4127" s="3" t="s">
        <v>77</v>
      </c>
      <c r="BD4127" s="3" t="s">
        <v>78</v>
      </c>
      <c r="BE4127" s="3" t="s">
        <v>41171</v>
      </c>
      <c r="BF4127" s="3" t="s">
        <v>41170</v>
      </c>
      <c r="BG4127" s="3" t="s">
        <v>41172</v>
      </c>
    </row>
    <row r="4128" spans="1:59" ht="58" x14ac:dyDescent="0.35">
      <c r="A4128" s="2" t="s">
        <v>59</v>
      </c>
      <c r="B4128" s="2" t="s">
        <v>60</v>
      </c>
      <c r="C4128" s="2" t="s">
        <v>41173</v>
      </c>
      <c r="D4128" s="2" t="s">
        <v>41174</v>
      </c>
      <c r="E4128" s="2" t="s">
        <v>41175</v>
      </c>
      <c r="G4128" s="3" t="s">
        <v>65</v>
      </c>
      <c r="I4128" s="3" t="s">
        <v>65</v>
      </c>
      <c r="J4128" s="3" t="s">
        <v>65</v>
      </c>
      <c r="K4128" s="3" t="s">
        <v>66</v>
      </c>
      <c r="L4128" s="2" t="s">
        <v>41176</v>
      </c>
      <c r="M4128" s="2" t="s">
        <v>41177</v>
      </c>
      <c r="N4128" s="3" t="s">
        <v>176</v>
      </c>
      <c r="P4128" s="3" t="s">
        <v>140</v>
      </c>
      <c r="Q4128" s="2" t="s">
        <v>41178</v>
      </c>
      <c r="R4128" s="3" t="s">
        <v>71</v>
      </c>
      <c r="S4128" s="4">
        <v>0</v>
      </c>
      <c r="T4128" s="4">
        <v>0</v>
      </c>
      <c r="W4128" s="5" t="s">
        <v>72</v>
      </c>
      <c r="X4128" s="5" t="s">
        <v>72</v>
      </c>
      <c r="Y4128" s="4">
        <v>63</v>
      </c>
      <c r="Z4128" s="4">
        <v>7</v>
      </c>
      <c r="AA4128" s="4">
        <v>7</v>
      </c>
      <c r="AB4128" s="4">
        <v>1</v>
      </c>
      <c r="AC4128" s="4">
        <v>1</v>
      </c>
      <c r="AD4128" s="4">
        <v>39</v>
      </c>
      <c r="AE4128" s="4">
        <v>39</v>
      </c>
      <c r="AF4128" s="4">
        <v>0</v>
      </c>
      <c r="AG4128" s="4">
        <v>0</v>
      </c>
      <c r="AH4128" s="4">
        <v>38</v>
      </c>
      <c r="AI4128" s="4">
        <v>38</v>
      </c>
      <c r="AJ4128" s="4">
        <v>4</v>
      </c>
      <c r="AK4128" s="4">
        <v>4</v>
      </c>
      <c r="AL4128" s="4">
        <v>30</v>
      </c>
      <c r="AM4128" s="4">
        <v>30</v>
      </c>
      <c r="AN4128" s="4">
        <v>0</v>
      </c>
      <c r="AO4128" s="4">
        <v>0</v>
      </c>
      <c r="AP4128" s="4">
        <v>4</v>
      </c>
      <c r="AQ4128" s="4">
        <v>4</v>
      </c>
      <c r="AR4128" s="3" t="s">
        <v>65</v>
      </c>
      <c r="AS4128" s="3" t="s">
        <v>65</v>
      </c>
      <c r="AT4128" s="3" t="s">
        <v>65</v>
      </c>
      <c r="AV4128" s="6" t="str">
        <f>HYPERLINK("http://mcgill.on.worldcat.org/oclc/902635296","Catalog Record")</f>
        <v>Catalog Record</v>
      </c>
      <c r="AW4128" s="6" t="str">
        <f>HYPERLINK("http://www.worldcat.org/oclc/902635296","WorldCat Record")</f>
        <v>WorldCat Record</v>
      </c>
      <c r="AX4128" s="3" t="s">
        <v>41179</v>
      </c>
      <c r="AY4128" s="3" t="s">
        <v>41180</v>
      </c>
      <c r="AZ4128" s="3" t="s">
        <v>41181</v>
      </c>
      <c r="BA4128" s="3" t="s">
        <v>41181</v>
      </c>
      <c r="BB4128" s="3" t="s">
        <v>41182</v>
      </c>
      <c r="BC4128" s="3" t="s">
        <v>77</v>
      </c>
      <c r="BD4128" s="3" t="s">
        <v>78</v>
      </c>
      <c r="BE4128" s="3" t="s">
        <v>41183</v>
      </c>
      <c r="BF4128" s="3" t="s">
        <v>41182</v>
      </c>
      <c r="BG4128" s="3" t="s">
        <v>41184</v>
      </c>
    </row>
    <row r="4129" spans="1:59" ht="72.5" x14ac:dyDescent="0.35">
      <c r="A4129" s="2" t="s">
        <v>59</v>
      </c>
      <c r="B4129" s="2" t="s">
        <v>60</v>
      </c>
      <c r="C4129" s="2" t="s">
        <v>41185</v>
      </c>
      <c r="D4129" s="2" t="s">
        <v>41186</v>
      </c>
      <c r="E4129" s="2" t="s">
        <v>41187</v>
      </c>
      <c r="G4129" s="3" t="s">
        <v>65</v>
      </c>
      <c r="I4129" s="3" t="s">
        <v>65</v>
      </c>
      <c r="J4129" s="3" t="s">
        <v>65</v>
      </c>
      <c r="K4129" s="3" t="s">
        <v>66</v>
      </c>
      <c r="L4129" s="2" t="s">
        <v>41188</v>
      </c>
      <c r="M4129" s="2" t="s">
        <v>41189</v>
      </c>
      <c r="N4129" s="3" t="s">
        <v>139</v>
      </c>
      <c r="P4129" s="3" t="s">
        <v>69</v>
      </c>
      <c r="R4129" s="3" t="s">
        <v>71</v>
      </c>
      <c r="S4129" s="4">
        <v>2</v>
      </c>
      <c r="T4129" s="4">
        <v>2</v>
      </c>
      <c r="U4129" s="5" t="s">
        <v>11785</v>
      </c>
      <c r="V4129" s="5" t="s">
        <v>11785</v>
      </c>
      <c r="W4129" s="5" t="s">
        <v>72</v>
      </c>
      <c r="X4129" s="5" t="s">
        <v>72</v>
      </c>
      <c r="Y4129" s="4">
        <v>169</v>
      </c>
      <c r="Z4129" s="4">
        <v>17</v>
      </c>
      <c r="AA4129" s="4">
        <v>24</v>
      </c>
      <c r="AB4129" s="4">
        <v>3</v>
      </c>
      <c r="AC4129" s="4">
        <v>6</v>
      </c>
      <c r="AD4129" s="4">
        <v>30</v>
      </c>
      <c r="AE4129" s="4">
        <v>45</v>
      </c>
      <c r="AF4129" s="4">
        <v>0</v>
      </c>
      <c r="AG4129" s="4">
        <v>0</v>
      </c>
      <c r="AH4129" s="4">
        <v>29</v>
      </c>
      <c r="AI4129" s="4">
        <v>42</v>
      </c>
      <c r="AJ4129" s="4">
        <v>4</v>
      </c>
      <c r="AK4129" s="4">
        <v>6</v>
      </c>
      <c r="AL4129" s="4">
        <v>15</v>
      </c>
      <c r="AM4129" s="4">
        <v>26</v>
      </c>
      <c r="AN4129" s="4">
        <v>0</v>
      </c>
      <c r="AO4129" s="4">
        <v>0</v>
      </c>
      <c r="AP4129" s="4">
        <v>4</v>
      </c>
      <c r="AQ4129" s="4">
        <v>6</v>
      </c>
      <c r="AR4129" s="3" t="s">
        <v>65</v>
      </c>
      <c r="AS4129" s="3" t="s">
        <v>65</v>
      </c>
      <c r="AT4129" s="3" t="s">
        <v>65</v>
      </c>
      <c r="AV4129" s="6" t="str">
        <f>HYPERLINK("http://mcgill.on.worldcat.org/oclc/781678700","Catalog Record")</f>
        <v>Catalog Record</v>
      </c>
      <c r="AW4129" s="6" t="str">
        <f>HYPERLINK("http://www.worldcat.org/oclc/781678700","WorldCat Record")</f>
        <v>WorldCat Record</v>
      </c>
      <c r="AX4129" s="3" t="s">
        <v>41190</v>
      </c>
      <c r="AY4129" s="3" t="s">
        <v>41191</v>
      </c>
      <c r="AZ4129" s="3" t="s">
        <v>41192</v>
      </c>
      <c r="BA4129" s="3" t="s">
        <v>41192</v>
      </c>
      <c r="BB4129" s="3" t="s">
        <v>41193</v>
      </c>
      <c r="BC4129" s="3" t="s">
        <v>77</v>
      </c>
      <c r="BD4129" s="3" t="s">
        <v>78</v>
      </c>
      <c r="BE4129" s="3" t="s">
        <v>41194</v>
      </c>
      <c r="BF4129" s="3" t="s">
        <v>41193</v>
      </c>
      <c r="BG4129" s="3" t="s">
        <v>41195</v>
      </c>
    </row>
    <row r="4130" spans="1:59" ht="72.5" x14ac:dyDescent="0.35">
      <c r="A4130" s="2" t="s">
        <v>59</v>
      </c>
      <c r="B4130" s="2" t="s">
        <v>60</v>
      </c>
      <c r="C4130" s="2" t="s">
        <v>41196</v>
      </c>
      <c r="D4130" s="2" t="s">
        <v>41197</v>
      </c>
      <c r="E4130" s="2" t="s">
        <v>41198</v>
      </c>
      <c r="G4130" s="3" t="s">
        <v>65</v>
      </c>
      <c r="I4130" s="3" t="s">
        <v>65</v>
      </c>
      <c r="J4130" s="3" t="s">
        <v>65</v>
      </c>
      <c r="K4130" s="3" t="s">
        <v>66</v>
      </c>
      <c r="L4130" s="2" t="s">
        <v>41188</v>
      </c>
      <c r="M4130" s="2" t="s">
        <v>6134</v>
      </c>
      <c r="N4130" s="3" t="s">
        <v>1122</v>
      </c>
      <c r="P4130" s="3" t="s">
        <v>140</v>
      </c>
      <c r="R4130" s="3" t="s">
        <v>71</v>
      </c>
      <c r="S4130" s="4">
        <v>3</v>
      </c>
      <c r="T4130" s="4">
        <v>3</v>
      </c>
      <c r="U4130" s="5" t="s">
        <v>8542</v>
      </c>
      <c r="V4130" s="5" t="s">
        <v>8542</v>
      </c>
      <c r="W4130" s="5" t="s">
        <v>72</v>
      </c>
      <c r="X4130" s="5" t="s">
        <v>72</v>
      </c>
      <c r="Y4130" s="4">
        <v>83</v>
      </c>
      <c r="Z4130" s="4">
        <v>12</v>
      </c>
      <c r="AA4130" s="4">
        <v>14</v>
      </c>
      <c r="AB4130" s="4">
        <v>2</v>
      </c>
      <c r="AC4130" s="4">
        <v>3</v>
      </c>
      <c r="AD4130" s="4">
        <v>44</v>
      </c>
      <c r="AE4130" s="4">
        <v>45</v>
      </c>
      <c r="AF4130" s="4">
        <v>0</v>
      </c>
      <c r="AG4130" s="4">
        <v>1</v>
      </c>
      <c r="AH4130" s="4">
        <v>41</v>
      </c>
      <c r="AI4130" s="4">
        <v>41</v>
      </c>
      <c r="AJ4130" s="4">
        <v>8</v>
      </c>
      <c r="AK4130" s="4">
        <v>9</v>
      </c>
      <c r="AL4130" s="4">
        <v>32</v>
      </c>
      <c r="AM4130" s="4">
        <v>32</v>
      </c>
      <c r="AN4130" s="4">
        <v>0</v>
      </c>
      <c r="AO4130" s="4">
        <v>0</v>
      </c>
      <c r="AP4130" s="4">
        <v>8</v>
      </c>
      <c r="AQ4130" s="4">
        <v>8</v>
      </c>
      <c r="AR4130" s="3" t="s">
        <v>65</v>
      </c>
      <c r="AS4130" s="3" t="s">
        <v>65</v>
      </c>
      <c r="AT4130" s="3" t="s">
        <v>65</v>
      </c>
      <c r="AV4130" s="6" t="str">
        <f>HYPERLINK("http://mcgill.on.worldcat.org/oclc/422689677","Catalog Record")</f>
        <v>Catalog Record</v>
      </c>
      <c r="AW4130" s="6" t="str">
        <f>HYPERLINK("http://www.worldcat.org/oclc/422689677","WorldCat Record")</f>
        <v>WorldCat Record</v>
      </c>
      <c r="AX4130" s="3" t="s">
        <v>41199</v>
      </c>
      <c r="AY4130" s="3" t="s">
        <v>41200</v>
      </c>
      <c r="AZ4130" s="3" t="s">
        <v>41201</v>
      </c>
      <c r="BA4130" s="3" t="s">
        <v>41201</v>
      </c>
      <c r="BB4130" s="3" t="s">
        <v>41202</v>
      </c>
      <c r="BC4130" s="3" t="s">
        <v>77</v>
      </c>
      <c r="BD4130" s="3" t="s">
        <v>78</v>
      </c>
      <c r="BE4130" s="3" t="s">
        <v>41203</v>
      </c>
      <c r="BF4130" s="3" t="s">
        <v>41202</v>
      </c>
      <c r="BG4130" s="3" t="s">
        <v>41204</v>
      </c>
    </row>
    <row r="4131" spans="1:59" ht="58" x14ac:dyDescent="0.35">
      <c r="A4131" s="2" t="s">
        <v>59</v>
      </c>
      <c r="B4131" s="2" t="s">
        <v>60</v>
      </c>
      <c r="C4131" s="2" t="s">
        <v>41205</v>
      </c>
      <c r="D4131" s="2" t="s">
        <v>41206</v>
      </c>
      <c r="E4131" s="2" t="s">
        <v>41207</v>
      </c>
      <c r="G4131" s="3" t="s">
        <v>65</v>
      </c>
      <c r="I4131" s="3" t="s">
        <v>65</v>
      </c>
      <c r="J4131" s="3" t="s">
        <v>65</v>
      </c>
      <c r="K4131" s="3" t="s">
        <v>66</v>
      </c>
      <c r="L4131" s="2" t="s">
        <v>41208</v>
      </c>
      <c r="M4131" s="2" t="s">
        <v>41209</v>
      </c>
      <c r="N4131" s="3" t="s">
        <v>188</v>
      </c>
      <c r="P4131" s="3" t="s">
        <v>140</v>
      </c>
      <c r="Q4131" s="2" t="s">
        <v>41210</v>
      </c>
      <c r="R4131" s="3" t="s">
        <v>71</v>
      </c>
      <c r="S4131" s="4">
        <v>1</v>
      </c>
      <c r="T4131" s="4">
        <v>1</v>
      </c>
      <c r="U4131" s="5" t="s">
        <v>34976</v>
      </c>
      <c r="V4131" s="5" t="s">
        <v>34976</v>
      </c>
      <c r="W4131" s="5" t="s">
        <v>72</v>
      </c>
      <c r="X4131" s="5" t="s">
        <v>72</v>
      </c>
      <c r="Y4131" s="4">
        <v>53</v>
      </c>
      <c r="Z4131" s="4">
        <v>3</v>
      </c>
      <c r="AA4131" s="4">
        <v>3</v>
      </c>
      <c r="AB4131" s="4">
        <v>1</v>
      </c>
      <c r="AC4131" s="4">
        <v>1</v>
      </c>
      <c r="AD4131" s="4">
        <v>35</v>
      </c>
      <c r="AE4131" s="4">
        <v>35</v>
      </c>
      <c r="AF4131" s="4">
        <v>0</v>
      </c>
      <c r="AG4131" s="4">
        <v>0</v>
      </c>
      <c r="AH4131" s="4">
        <v>34</v>
      </c>
      <c r="AI4131" s="4">
        <v>34</v>
      </c>
      <c r="AJ4131" s="4">
        <v>2</v>
      </c>
      <c r="AK4131" s="4">
        <v>2</v>
      </c>
      <c r="AL4131" s="4">
        <v>27</v>
      </c>
      <c r="AM4131" s="4">
        <v>27</v>
      </c>
      <c r="AN4131" s="4">
        <v>0</v>
      </c>
      <c r="AO4131" s="4">
        <v>0</v>
      </c>
      <c r="AP4131" s="4">
        <v>2</v>
      </c>
      <c r="AQ4131" s="4">
        <v>2</v>
      </c>
      <c r="AR4131" s="3" t="s">
        <v>65</v>
      </c>
      <c r="AS4131" s="3" t="s">
        <v>65</v>
      </c>
      <c r="AT4131" s="3" t="s">
        <v>65</v>
      </c>
      <c r="AV4131" s="6" t="str">
        <f>HYPERLINK("http://mcgill.on.worldcat.org/oclc/980296552","Catalog Record")</f>
        <v>Catalog Record</v>
      </c>
      <c r="AW4131" s="6" t="str">
        <f>HYPERLINK("http://www.worldcat.org/oclc/980296552","WorldCat Record")</f>
        <v>WorldCat Record</v>
      </c>
      <c r="AX4131" s="3" t="s">
        <v>41211</v>
      </c>
      <c r="AY4131" s="3" t="s">
        <v>41212</v>
      </c>
      <c r="AZ4131" s="3" t="s">
        <v>41213</v>
      </c>
      <c r="BA4131" s="3" t="s">
        <v>41213</v>
      </c>
      <c r="BB4131" s="3" t="s">
        <v>41214</v>
      </c>
      <c r="BC4131" s="3" t="s">
        <v>77</v>
      </c>
      <c r="BD4131" s="3" t="s">
        <v>78</v>
      </c>
      <c r="BE4131" s="3" t="s">
        <v>41215</v>
      </c>
      <c r="BF4131" s="3" t="s">
        <v>41214</v>
      </c>
      <c r="BG4131" s="3" t="s">
        <v>41216</v>
      </c>
    </row>
    <row r="4132" spans="1:59" ht="58" x14ac:dyDescent="0.35">
      <c r="A4132" s="2" t="s">
        <v>59</v>
      </c>
      <c r="B4132" s="2" t="s">
        <v>60</v>
      </c>
      <c r="C4132" s="2" t="s">
        <v>41217</v>
      </c>
      <c r="D4132" s="2" t="s">
        <v>41218</v>
      </c>
      <c r="E4132" s="2" t="s">
        <v>41219</v>
      </c>
      <c r="G4132" s="3" t="s">
        <v>65</v>
      </c>
      <c r="I4132" s="3" t="s">
        <v>65</v>
      </c>
      <c r="J4132" s="3" t="s">
        <v>65</v>
      </c>
      <c r="K4132" s="3" t="s">
        <v>66</v>
      </c>
      <c r="L4132" s="2" t="s">
        <v>41220</v>
      </c>
      <c r="M4132" s="2" t="s">
        <v>41221</v>
      </c>
      <c r="N4132" s="3" t="s">
        <v>176</v>
      </c>
      <c r="O4132" s="2" t="s">
        <v>379</v>
      </c>
      <c r="P4132" s="3" t="s">
        <v>140</v>
      </c>
      <c r="Q4132" s="2" t="s">
        <v>36613</v>
      </c>
      <c r="R4132" s="3" t="s">
        <v>71</v>
      </c>
      <c r="S4132" s="4">
        <v>0</v>
      </c>
      <c r="T4132" s="4">
        <v>0</v>
      </c>
      <c r="W4132" s="5" t="s">
        <v>72</v>
      </c>
      <c r="X4132" s="5" t="s">
        <v>72</v>
      </c>
      <c r="Y4132" s="4">
        <v>65</v>
      </c>
      <c r="Z4132" s="4">
        <v>6</v>
      </c>
      <c r="AA4132" s="4">
        <v>7</v>
      </c>
      <c r="AB4132" s="4">
        <v>1</v>
      </c>
      <c r="AC4132" s="4">
        <v>2</v>
      </c>
      <c r="AD4132" s="4">
        <v>43</v>
      </c>
      <c r="AE4132" s="4">
        <v>43</v>
      </c>
      <c r="AF4132" s="4">
        <v>0</v>
      </c>
      <c r="AG4132" s="4">
        <v>0</v>
      </c>
      <c r="AH4132" s="4">
        <v>42</v>
      </c>
      <c r="AI4132" s="4">
        <v>42</v>
      </c>
      <c r="AJ4132" s="4">
        <v>4</v>
      </c>
      <c r="AK4132" s="4">
        <v>4</v>
      </c>
      <c r="AL4132" s="4">
        <v>29</v>
      </c>
      <c r="AM4132" s="4">
        <v>29</v>
      </c>
      <c r="AN4132" s="4">
        <v>0</v>
      </c>
      <c r="AO4132" s="4">
        <v>0</v>
      </c>
      <c r="AP4132" s="4">
        <v>4</v>
      </c>
      <c r="AQ4132" s="4">
        <v>4</v>
      </c>
      <c r="AR4132" s="3" t="s">
        <v>65</v>
      </c>
      <c r="AS4132" s="3" t="s">
        <v>65</v>
      </c>
      <c r="AT4132" s="3" t="s">
        <v>65</v>
      </c>
      <c r="AV4132" s="6" t="str">
        <f>HYPERLINK("http://mcgill.on.worldcat.org/oclc/914252732","Catalog Record")</f>
        <v>Catalog Record</v>
      </c>
      <c r="AW4132" s="6" t="str">
        <f>HYPERLINK("http://www.worldcat.org/oclc/914252732","WorldCat Record")</f>
        <v>WorldCat Record</v>
      </c>
      <c r="AX4132" s="3" t="s">
        <v>41222</v>
      </c>
      <c r="AY4132" s="3" t="s">
        <v>41223</v>
      </c>
      <c r="AZ4132" s="3" t="s">
        <v>41224</v>
      </c>
      <c r="BA4132" s="3" t="s">
        <v>41224</v>
      </c>
      <c r="BB4132" s="3" t="s">
        <v>41225</v>
      </c>
      <c r="BC4132" s="3" t="s">
        <v>77</v>
      </c>
      <c r="BD4132" s="3" t="s">
        <v>78</v>
      </c>
      <c r="BE4132" s="3" t="s">
        <v>41226</v>
      </c>
      <c r="BF4132" s="3" t="s">
        <v>41225</v>
      </c>
      <c r="BG4132" s="3" t="s">
        <v>41227</v>
      </c>
    </row>
    <row r="4133" spans="1:59" ht="58" x14ac:dyDescent="0.35">
      <c r="A4133" s="2" t="s">
        <v>59</v>
      </c>
      <c r="B4133" s="2" t="s">
        <v>60</v>
      </c>
      <c r="C4133" s="2" t="s">
        <v>41228</v>
      </c>
      <c r="D4133" s="2" t="s">
        <v>41229</v>
      </c>
      <c r="E4133" s="2" t="s">
        <v>41230</v>
      </c>
      <c r="G4133" s="3" t="s">
        <v>65</v>
      </c>
      <c r="I4133" s="3" t="s">
        <v>65</v>
      </c>
      <c r="J4133" s="3" t="s">
        <v>65</v>
      </c>
      <c r="K4133" s="3" t="s">
        <v>66</v>
      </c>
      <c r="L4133" s="2" t="s">
        <v>41231</v>
      </c>
      <c r="M4133" s="2" t="s">
        <v>19282</v>
      </c>
      <c r="N4133" s="3" t="s">
        <v>152</v>
      </c>
      <c r="O4133" s="2" t="s">
        <v>2086</v>
      </c>
      <c r="P4133" s="3" t="s">
        <v>69</v>
      </c>
      <c r="R4133" s="3" t="s">
        <v>71</v>
      </c>
      <c r="S4133" s="4">
        <v>3</v>
      </c>
      <c r="T4133" s="4">
        <v>3</v>
      </c>
      <c r="U4133" s="5" t="s">
        <v>15476</v>
      </c>
      <c r="V4133" s="5" t="s">
        <v>15476</v>
      </c>
      <c r="W4133" s="5" t="s">
        <v>72</v>
      </c>
      <c r="X4133" s="5" t="s">
        <v>72</v>
      </c>
      <c r="Y4133" s="4">
        <v>168</v>
      </c>
      <c r="Z4133" s="4">
        <v>14</v>
      </c>
      <c r="AA4133" s="4">
        <v>14</v>
      </c>
      <c r="AB4133" s="4">
        <v>1</v>
      </c>
      <c r="AC4133" s="4">
        <v>1</v>
      </c>
      <c r="AD4133" s="4">
        <v>43</v>
      </c>
      <c r="AE4133" s="4">
        <v>44</v>
      </c>
      <c r="AF4133" s="4">
        <v>0</v>
      </c>
      <c r="AG4133" s="4">
        <v>0</v>
      </c>
      <c r="AH4133" s="4">
        <v>41</v>
      </c>
      <c r="AI4133" s="4">
        <v>42</v>
      </c>
      <c r="AJ4133" s="4">
        <v>3</v>
      </c>
      <c r="AK4133" s="4">
        <v>3</v>
      </c>
      <c r="AL4133" s="4">
        <v>28</v>
      </c>
      <c r="AM4133" s="4">
        <v>29</v>
      </c>
      <c r="AN4133" s="4">
        <v>0</v>
      </c>
      <c r="AO4133" s="4">
        <v>0</v>
      </c>
      <c r="AP4133" s="4">
        <v>3</v>
      </c>
      <c r="AQ4133" s="4">
        <v>3</v>
      </c>
      <c r="AR4133" s="3" t="s">
        <v>65</v>
      </c>
      <c r="AS4133" s="3" t="s">
        <v>65</v>
      </c>
      <c r="AT4133" s="3" t="s">
        <v>65</v>
      </c>
      <c r="AV4133" s="6" t="str">
        <f>HYPERLINK("http://mcgill.on.worldcat.org/oclc/795174999","Catalog Record")</f>
        <v>Catalog Record</v>
      </c>
      <c r="AW4133" s="6" t="str">
        <f>HYPERLINK("http://www.worldcat.org/oclc/795174999","WorldCat Record")</f>
        <v>WorldCat Record</v>
      </c>
      <c r="AX4133" s="3" t="s">
        <v>41232</v>
      </c>
      <c r="AY4133" s="3" t="s">
        <v>41233</v>
      </c>
      <c r="AZ4133" s="3" t="s">
        <v>41234</v>
      </c>
      <c r="BA4133" s="3" t="s">
        <v>41234</v>
      </c>
      <c r="BB4133" s="3" t="s">
        <v>41235</v>
      </c>
      <c r="BC4133" s="3" t="s">
        <v>77</v>
      </c>
      <c r="BD4133" s="3" t="s">
        <v>78</v>
      </c>
      <c r="BE4133" s="3" t="s">
        <v>41236</v>
      </c>
      <c r="BF4133" s="3" t="s">
        <v>41235</v>
      </c>
      <c r="BG4133" s="3" t="s">
        <v>41237</v>
      </c>
    </row>
    <row r="4134" spans="1:59" ht="58" x14ac:dyDescent="0.35">
      <c r="A4134" s="2" t="s">
        <v>59</v>
      </c>
      <c r="B4134" s="2" t="s">
        <v>60</v>
      </c>
      <c r="C4134" s="2" t="s">
        <v>41238</v>
      </c>
      <c r="D4134" s="2" t="s">
        <v>41239</v>
      </c>
      <c r="E4134" s="2" t="s">
        <v>41240</v>
      </c>
      <c r="G4134" s="3" t="s">
        <v>65</v>
      </c>
      <c r="I4134" s="3" t="s">
        <v>65</v>
      </c>
      <c r="J4134" s="3" t="s">
        <v>65</v>
      </c>
      <c r="K4134" s="3" t="s">
        <v>66</v>
      </c>
      <c r="L4134" s="2" t="s">
        <v>41241</v>
      </c>
      <c r="M4134" s="2" t="s">
        <v>41242</v>
      </c>
      <c r="N4134" s="3" t="s">
        <v>152</v>
      </c>
      <c r="P4134" s="3" t="s">
        <v>140</v>
      </c>
      <c r="Q4134" s="2" t="s">
        <v>41243</v>
      </c>
      <c r="R4134" s="3" t="s">
        <v>71</v>
      </c>
      <c r="S4134" s="4">
        <v>0</v>
      </c>
      <c r="T4134" s="4">
        <v>0</v>
      </c>
      <c r="W4134" s="5" t="s">
        <v>72</v>
      </c>
      <c r="X4134" s="5" t="s">
        <v>72</v>
      </c>
      <c r="Y4134" s="4">
        <v>54</v>
      </c>
      <c r="Z4134" s="4">
        <v>6</v>
      </c>
      <c r="AA4134" s="4">
        <v>8</v>
      </c>
      <c r="AB4134" s="4">
        <v>1</v>
      </c>
      <c r="AC4134" s="4">
        <v>3</v>
      </c>
      <c r="AD4134" s="4">
        <v>33</v>
      </c>
      <c r="AE4134" s="4">
        <v>34</v>
      </c>
      <c r="AF4134" s="4">
        <v>0</v>
      </c>
      <c r="AG4134" s="4">
        <v>1</v>
      </c>
      <c r="AH4134" s="4">
        <v>32</v>
      </c>
      <c r="AI4134" s="4">
        <v>32</v>
      </c>
      <c r="AJ4134" s="4">
        <v>3</v>
      </c>
      <c r="AK4134" s="4">
        <v>4</v>
      </c>
      <c r="AL4134" s="4">
        <v>22</v>
      </c>
      <c r="AM4134" s="4">
        <v>22</v>
      </c>
      <c r="AN4134" s="4">
        <v>0</v>
      </c>
      <c r="AO4134" s="4">
        <v>0</v>
      </c>
      <c r="AP4134" s="4">
        <v>3</v>
      </c>
      <c r="AQ4134" s="4">
        <v>3</v>
      </c>
      <c r="AR4134" s="3" t="s">
        <v>65</v>
      </c>
      <c r="AS4134" s="3" t="s">
        <v>65</v>
      </c>
      <c r="AT4134" s="3" t="s">
        <v>65</v>
      </c>
      <c r="AV4134" s="6" t="str">
        <f>HYPERLINK("http://mcgill.on.worldcat.org/oclc/862739838","Catalog Record")</f>
        <v>Catalog Record</v>
      </c>
      <c r="AW4134" s="6" t="str">
        <f>HYPERLINK("http://www.worldcat.org/oclc/862739838","WorldCat Record")</f>
        <v>WorldCat Record</v>
      </c>
      <c r="AX4134" s="3" t="s">
        <v>41244</v>
      </c>
      <c r="AY4134" s="3" t="s">
        <v>41245</v>
      </c>
      <c r="AZ4134" s="3" t="s">
        <v>41246</v>
      </c>
      <c r="BA4134" s="3" t="s">
        <v>41246</v>
      </c>
      <c r="BB4134" s="3" t="s">
        <v>41247</v>
      </c>
      <c r="BC4134" s="3" t="s">
        <v>77</v>
      </c>
      <c r="BD4134" s="3" t="s">
        <v>78</v>
      </c>
      <c r="BE4134" s="3" t="s">
        <v>41248</v>
      </c>
      <c r="BF4134" s="3" t="s">
        <v>41247</v>
      </c>
      <c r="BG4134" s="3" t="s">
        <v>41249</v>
      </c>
    </row>
    <row r="4135" spans="1:59" ht="58" x14ac:dyDescent="0.35">
      <c r="A4135" s="2" t="s">
        <v>59</v>
      </c>
      <c r="B4135" s="2" t="s">
        <v>60</v>
      </c>
      <c r="C4135" s="2" t="s">
        <v>41250</v>
      </c>
      <c r="D4135" s="2" t="s">
        <v>41251</v>
      </c>
      <c r="E4135" s="2" t="s">
        <v>41252</v>
      </c>
      <c r="G4135" s="3" t="s">
        <v>65</v>
      </c>
      <c r="I4135" s="3" t="s">
        <v>65</v>
      </c>
      <c r="J4135" s="3" t="s">
        <v>65</v>
      </c>
      <c r="K4135" s="3" t="s">
        <v>66</v>
      </c>
      <c r="L4135" s="2" t="s">
        <v>41253</v>
      </c>
      <c r="M4135" s="2" t="s">
        <v>10185</v>
      </c>
      <c r="N4135" s="3" t="s">
        <v>139</v>
      </c>
      <c r="O4135" s="2" t="s">
        <v>365</v>
      </c>
      <c r="P4135" s="3" t="s">
        <v>140</v>
      </c>
      <c r="Q4135" s="2" t="s">
        <v>32206</v>
      </c>
      <c r="R4135" s="3" t="s">
        <v>71</v>
      </c>
      <c r="S4135" s="4">
        <v>1</v>
      </c>
      <c r="T4135" s="4">
        <v>1</v>
      </c>
      <c r="U4135" s="5" t="s">
        <v>41254</v>
      </c>
      <c r="V4135" s="5" t="s">
        <v>41254</v>
      </c>
      <c r="W4135" s="5" t="s">
        <v>72</v>
      </c>
      <c r="X4135" s="5" t="s">
        <v>72</v>
      </c>
      <c r="Y4135" s="4">
        <v>88</v>
      </c>
      <c r="Z4135" s="4">
        <v>8</v>
      </c>
      <c r="AA4135" s="4">
        <v>11</v>
      </c>
      <c r="AB4135" s="4">
        <v>2</v>
      </c>
      <c r="AC4135" s="4">
        <v>4</v>
      </c>
      <c r="AD4135" s="4">
        <v>44</v>
      </c>
      <c r="AE4135" s="4">
        <v>48</v>
      </c>
      <c r="AF4135" s="4">
        <v>0</v>
      </c>
      <c r="AG4135" s="4">
        <v>1</v>
      </c>
      <c r="AH4135" s="4">
        <v>42</v>
      </c>
      <c r="AI4135" s="4">
        <v>45</v>
      </c>
      <c r="AJ4135" s="4">
        <v>4</v>
      </c>
      <c r="AK4135" s="4">
        <v>6</v>
      </c>
      <c r="AL4135" s="4">
        <v>31</v>
      </c>
      <c r="AM4135" s="4">
        <v>32</v>
      </c>
      <c r="AN4135" s="4">
        <v>0</v>
      </c>
      <c r="AO4135" s="4">
        <v>0</v>
      </c>
      <c r="AP4135" s="4">
        <v>4</v>
      </c>
      <c r="AQ4135" s="4">
        <v>5</v>
      </c>
      <c r="AR4135" s="3" t="s">
        <v>65</v>
      </c>
      <c r="AS4135" s="3" t="s">
        <v>65</v>
      </c>
      <c r="AT4135" s="3" t="s">
        <v>65</v>
      </c>
      <c r="AV4135" s="6" t="str">
        <f>HYPERLINK("http://mcgill.on.worldcat.org/oclc/780944956","Catalog Record")</f>
        <v>Catalog Record</v>
      </c>
      <c r="AW4135" s="6" t="str">
        <f>HYPERLINK("http://www.worldcat.org/oclc/780944956","WorldCat Record")</f>
        <v>WorldCat Record</v>
      </c>
      <c r="AX4135" s="3" t="s">
        <v>41255</v>
      </c>
      <c r="AY4135" s="3" t="s">
        <v>41256</v>
      </c>
      <c r="AZ4135" s="3" t="s">
        <v>41257</v>
      </c>
      <c r="BA4135" s="3" t="s">
        <v>41257</v>
      </c>
      <c r="BB4135" s="3" t="s">
        <v>41258</v>
      </c>
      <c r="BC4135" s="3" t="s">
        <v>77</v>
      </c>
      <c r="BD4135" s="3" t="s">
        <v>78</v>
      </c>
      <c r="BE4135" s="3" t="s">
        <v>41259</v>
      </c>
      <c r="BF4135" s="3" t="s">
        <v>41258</v>
      </c>
      <c r="BG4135" s="3" t="s">
        <v>41260</v>
      </c>
    </row>
    <row r="4136" spans="1:59" ht="58" x14ac:dyDescent="0.35">
      <c r="A4136" s="2" t="s">
        <v>59</v>
      </c>
      <c r="B4136" s="2" t="s">
        <v>60</v>
      </c>
      <c r="C4136" s="2" t="s">
        <v>41261</v>
      </c>
      <c r="D4136" s="2" t="s">
        <v>41262</v>
      </c>
      <c r="E4136" s="2" t="s">
        <v>41263</v>
      </c>
      <c r="G4136" s="3" t="s">
        <v>65</v>
      </c>
      <c r="I4136" s="3" t="s">
        <v>65</v>
      </c>
      <c r="J4136" s="3" t="s">
        <v>65</v>
      </c>
      <c r="K4136" s="3" t="s">
        <v>66</v>
      </c>
      <c r="L4136" s="2" t="s">
        <v>41253</v>
      </c>
      <c r="M4136" s="2" t="s">
        <v>35521</v>
      </c>
      <c r="N4136" s="3" t="s">
        <v>139</v>
      </c>
      <c r="P4136" s="3" t="s">
        <v>69</v>
      </c>
      <c r="R4136" s="3" t="s">
        <v>71</v>
      </c>
      <c r="S4136" s="4">
        <v>0</v>
      </c>
      <c r="T4136" s="4">
        <v>0</v>
      </c>
      <c r="W4136" s="5" t="s">
        <v>72</v>
      </c>
      <c r="X4136" s="5" t="s">
        <v>72</v>
      </c>
      <c r="Y4136" s="4">
        <v>87</v>
      </c>
      <c r="Z4136" s="4">
        <v>9</v>
      </c>
      <c r="AA4136" s="4">
        <v>11</v>
      </c>
      <c r="AB4136" s="4">
        <v>2</v>
      </c>
      <c r="AC4136" s="4">
        <v>4</v>
      </c>
      <c r="AD4136" s="4">
        <v>36</v>
      </c>
      <c r="AE4136" s="4">
        <v>37</v>
      </c>
      <c r="AF4136" s="4">
        <v>0</v>
      </c>
      <c r="AG4136" s="4">
        <v>0</v>
      </c>
      <c r="AH4136" s="4">
        <v>34</v>
      </c>
      <c r="AI4136" s="4">
        <v>35</v>
      </c>
      <c r="AJ4136" s="4">
        <v>5</v>
      </c>
      <c r="AK4136" s="4">
        <v>5</v>
      </c>
      <c r="AL4136" s="4">
        <v>22</v>
      </c>
      <c r="AM4136" s="4">
        <v>22</v>
      </c>
      <c r="AN4136" s="4">
        <v>0</v>
      </c>
      <c r="AO4136" s="4">
        <v>0</v>
      </c>
      <c r="AP4136" s="4">
        <v>5</v>
      </c>
      <c r="AQ4136" s="4">
        <v>5</v>
      </c>
      <c r="AR4136" s="3" t="s">
        <v>65</v>
      </c>
      <c r="AS4136" s="3" t="s">
        <v>65</v>
      </c>
      <c r="AT4136" s="3" t="s">
        <v>65</v>
      </c>
      <c r="AV4136" s="6" t="str">
        <f>HYPERLINK("http://mcgill.on.worldcat.org/oclc/780334919","Catalog Record")</f>
        <v>Catalog Record</v>
      </c>
      <c r="AW4136" s="6" t="str">
        <f>HYPERLINK("http://www.worldcat.org/oclc/780334919","WorldCat Record")</f>
        <v>WorldCat Record</v>
      </c>
      <c r="AX4136" s="3" t="s">
        <v>41264</v>
      </c>
      <c r="AY4136" s="3" t="s">
        <v>41265</v>
      </c>
      <c r="AZ4136" s="3" t="s">
        <v>41266</v>
      </c>
      <c r="BA4136" s="3" t="s">
        <v>41266</v>
      </c>
      <c r="BB4136" s="3" t="s">
        <v>41267</v>
      </c>
      <c r="BC4136" s="3" t="s">
        <v>77</v>
      </c>
      <c r="BD4136" s="3" t="s">
        <v>78</v>
      </c>
      <c r="BE4136" s="3" t="s">
        <v>41268</v>
      </c>
      <c r="BF4136" s="3" t="s">
        <v>41267</v>
      </c>
      <c r="BG4136" s="3" t="s">
        <v>41269</v>
      </c>
    </row>
    <row r="4137" spans="1:59" ht="72.5" x14ac:dyDescent="0.35">
      <c r="A4137" s="2" t="s">
        <v>59</v>
      </c>
      <c r="B4137" s="2" t="s">
        <v>60</v>
      </c>
      <c r="C4137" s="2" t="s">
        <v>41270</v>
      </c>
      <c r="D4137" s="2" t="s">
        <v>41271</v>
      </c>
      <c r="E4137" s="2" t="s">
        <v>41272</v>
      </c>
      <c r="G4137" s="3" t="s">
        <v>65</v>
      </c>
      <c r="I4137" s="3" t="s">
        <v>65</v>
      </c>
      <c r="J4137" s="3" t="s">
        <v>65</v>
      </c>
      <c r="K4137" s="3" t="s">
        <v>66</v>
      </c>
      <c r="L4137" s="2" t="s">
        <v>41273</v>
      </c>
      <c r="M4137" s="2" t="s">
        <v>37149</v>
      </c>
      <c r="N4137" s="3" t="s">
        <v>188</v>
      </c>
      <c r="P4137" s="3" t="s">
        <v>140</v>
      </c>
      <c r="Q4137" s="2" t="s">
        <v>41274</v>
      </c>
      <c r="R4137" s="3" t="s">
        <v>71</v>
      </c>
      <c r="S4137" s="4">
        <v>0</v>
      </c>
      <c r="T4137" s="4">
        <v>0</v>
      </c>
      <c r="W4137" s="5" t="s">
        <v>72</v>
      </c>
      <c r="X4137" s="5" t="s">
        <v>72</v>
      </c>
      <c r="Y4137" s="4">
        <v>47</v>
      </c>
      <c r="Z4137" s="4">
        <v>3</v>
      </c>
      <c r="AA4137" s="4">
        <v>3</v>
      </c>
      <c r="AB4137" s="4">
        <v>1</v>
      </c>
      <c r="AC4137" s="4">
        <v>1</v>
      </c>
      <c r="AD4137" s="4">
        <v>32</v>
      </c>
      <c r="AE4137" s="4">
        <v>32</v>
      </c>
      <c r="AF4137" s="4">
        <v>0</v>
      </c>
      <c r="AG4137" s="4">
        <v>0</v>
      </c>
      <c r="AH4137" s="4">
        <v>31</v>
      </c>
      <c r="AI4137" s="4">
        <v>31</v>
      </c>
      <c r="AJ4137" s="4">
        <v>2</v>
      </c>
      <c r="AK4137" s="4">
        <v>2</v>
      </c>
      <c r="AL4137" s="4">
        <v>23</v>
      </c>
      <c r="AM4137" s="4">
        <v>23</v>
      </c>
      <c r="AN4137" s="4">
        <v>0</v>
      </c>
      <c r="AO4137" s="4">
        <v>0</v>
      </c>
      <c r="AP4137" s="4">
        <v>2</v>
      </c>
      <c r="AQ4137" s="4">
        <v>2</v>
      </c>
      <c r="AR4137" s="3" t="s">
        <v>65</v>
      </c>
      <c r="AS4137" s="3" t="s">
        <v>65</v>
      </c>
      <c r="AT4137" s="3" t="s">
        <v>65</v>
      </c>
      <c r="AV4137" s="6" t="str">
        <f>HYPERLINK("http://mcgill.on.worldcat.org/oclc/987795021","Catalog Record")</f>
        <v>Catalog Record</v>
      </c>
      <c r="AW4137" s="6" t="str">
        <f>HYPERLINK("http://www.worldcat.org/oclc/987795021","WorldCat Record")</f>
        <v>WorldCat Record</v>
      </c>
      <c r="AX4137" s="3" t="s">
        <v>41275</v>
      </c>
      <c r="AY4137" s="3" t="s">
        <v>41276</v>
      </c>
      <c r="AZ4137" s="3" t="s">
        <v>41277</v>
      </c>
      <c r="BA4137" s="3" t="s">
        <v>41277</v>
      </c>
      <c r="BB4137" s="3" t="s">
        <v>41278</v>
      </c>
      <c r="BC4137" s="3" t="s">
        <v>77</v>
      </c>
      <c r="BD4137" s="3" t="s">
        <v>78</v>
      </c>
      <c r="BE4137" s="3" t="s">
        <v>41279</v>
      </c>
      <c r="BF4137" s="3" t="s">
        <v>41278</v>
      </c>
      <c r="BG4137" s="3" t="s">
        <v>41280</v>
      </c>
    </row>
    <row r="4138" spans="1:59" ht="72.5" x14ac:dyDescent="0.35">
      <c r="A4138" s="2" t="s">
        <v>59</v>
      </c>
      <c r="B4138" s="2" t="s">
        <v>60</v>
      </c>
      <c r="C4138" s="2" t="s">
        <v>41281</v>
      </c>
      <c r="D4138" s="2" t="s">
        <v>41282</v>
      </c>
      <c r="E4138" s="2" t="s">
        <v>41283</v>
      </c>
      <c r="G4138" s="3" t="s">
        <v>65</v>
      </c>
      <c r="I4138" s="3" t="s">
        <v>65</v>
      </c>
      <c r="J4138" s="3" t="s">
        <v>65</v>
      </c>
      <c r="K4138" s="3" t="s">
        <v>66</v>
      </c>
      <c r="L4138" s="2" t="s">
        <v>41284</v>
      </c>
      <c r="M4138" s="2" t="s">
        <v>41285</v>
      </c>
      <c r="N4138" s="3" t="s">
        <v>86</v>
      </c>
      <c r="O4138" s="2" t="s">
        <v>22240</v>
      </c>
      <c r="P4138" s="3" t="s">
        <v>69</v>
      </c>
      <c r="R4138" s="3" t="s">
        <v>71</v>
      </c>
      <c r="S4138" s="4">
        <v>1</v>
      </c>
      <c r="T4138" s="4">
        <v>1</v>
      </c>
      <c r="U4138" s="5" t="s">
        <v>27268</v>
      </c>
      <c r="V4138" s="5" t="s">
        <v>27268</v>
      </c>
      <c r="W4138" s="5" t="s">
        <v>72</v>
      </c>
      <c r="X4138" s="5" t="s">
        <v>72</v>
      </c>
      <c r="Y4138" s="4">
        <v>527</v>
      </c>
      <c r="Z4138" s="4">
        <v>13</v>
      </c>
      <c r="AA4138" s="4">
        <v>15</v>
      </c>
      <c r="AB4138" s="4">
        <v>3</v>
      </c>
      <c r="AC4138" s="4">
        <v>4</v>
      </c>
      <c r="AD4138" s="4">
        <v>54</v>
      </c>
      <c r="AE4138" s="4">
        <v>54</v>
      </c>
      <c r="AF4138" s="4">
        <v>0</v>
      </c>
      <c r="AG4138" s="4">
        <v>0</v>
      </c>
      <c r="AH4138" s="4">
        <v>53</v>
      </c>
      <c r="AI4138" s="4">
        <v>53</v>
      </c>
      <c r="AJ4138" s="4">
        <v>5</v>
      </c>
      <c r="AK4138" s="4">
        <v>5</v>
      </c>
      <c r="AL4138" s="4">
        <v>33</v>
      </c>
      <c r="AM4138" s="4">
        <v>33</v>
      </c>
      <c r="AN4138" s="4">
        <v>0</v>
      </c>
      <c r="AO4138" s="4">
        <v>0</v>
      </c>
      <c r="AP4138" s="4">
        <v>5</v>
      </c>
      <c r="AQ4138" s="4">
        <v>5</v>
      </c>
      <c r="AR4138" s="3" t="s">
        <v>65</v>
      </c>
      <c r="AS4138" s="3" t="s">
        <v>65</v>
      </c>
      <c r="AT4138" s="3" t="s">
        <v>65</v>
      </c>
      <c r="AV4138" s="6" t="str">
        <f>HYPERLINK("http://mcgill.on.worldcat.org/oclc/1022980649","Catalog Record")</f>
        <v>Catalog Record</v>
      </c>
      <c r="AW4138" s="6" t="str">
        <f>HYPERLINK("http://www.worldcat.org/oclc/1022980649","WorldCat Record")</f>
        <v>WorldCat Record</v>
      </c>
      <c r="AX4138" s="3" t="s">
        <v>41286</v>
      </c>
      <c r="AY4138" s="3" t="s">
        <v>41287</v>
      </c>
      <c r="AZ4138" s="3" t="s">
        <v>41288</v>
      </c>
      <c r="BA4138" s="3" t="s">
        <v>41288</v>
      </c>
      <c r="BB4138" s="3" t="s">
        <v>41289</v>
      </c>
      <c r="BC4138" s="3" t="s">
        <v>77</v>
      </c>
      <c r="BD4138" s="3" t="s">
        <v>78</v>
      </c>
      <c r="BE4138" s="3" t="s">
        <v>41290</v>
      </c>
      <c r="BF4138" s="3" t="s">
        <v>41289</v>
      </c>
      <c r="BG4138" s="3" t="s">
        <v>41291</v>
      </c>
    </row>
    <row r="4139" spans="1:59" ht="58" x14ac:dyDescent="0.35">
      <c r="A4139" s="2" t="s">
        <v>59</v>
      </c>
      <c r="B4139" s="2" t="s">
        <v>60</v>
      </c>
      <c r="C4139" s="2" t="s">
        <v>41292</v>
      </c>
      <c r="D4139" s="2" t="s">
        <v>41293</v>
      </c>
      <c r="E4139" s="2" t="s">
        <v>41294</v>
      </c>
      <c r="G4139" s="3" t="s">
        <v>65</v>
      </c>
      <c r="I4139" s="3" t="s">
        <v>65</v>
      </c>
      <c r="J4139" s="3" t="s">
        <v>65</v>
      </c>
      <c r="K4139" s="3" t="s">
        <v>66</v>
      </c>
      <c r="L4139" s="2" t="s">
        <v>6900</v>
      </c>
      <c r="M4139" s="2" t="s">
        <v>41295</v>
      </c>
      <c r="N4139" s="3" t="s">
        <v>126</v>
      </c>
      <c r="P4139" s="3" t="s">
        <v>69</v>
      </c>
      <c r="R4139" s="3" t="s">
        <v>71</v>
      </c>
      <c r="S4139" s="4">
        <v>1</v>
      </c>
      <c r="T4139" s="4">
        <v>1</v>
      </c>
      <c r="U4139" s="5" t="s">
        <v>41296</v>
      </c>
      <c r="V4139" s="5" t="s">
        <v>41296</v>
      </c>
      <c r="W4139" s="5" t="s">
        <v>72</v>
      </c>
      <c r="X4139" s="5" t="s">
        <v>72</v>
      </c>
      <c r="Y4139" s="4">
        <v>57</v>
      </c>
      <c r="Z4139" s="4">
        <v>4</v>
      </c>
      <c r="AA4139" s="4">
        <v>17</v>
      </c>
      <c r="AB4139" s="4">
        <v>1</v>
      </c>
      <c r="AC4139" s="4">
        <v>4</v>
      </c>
      <c r="AD4139" s="4">
        <v>15</v>
      </c>
      <c r="AE4139" s="4">
        <v>48</v>
      </c>
      <c r="AF4139" s="4">
        <v>0</v>
      </c>
      <c r="AG4139" s="4">
        <v>0</v>
      </c>
      <c r="AH4139" s="4">
        <v>14</v>
      </c>
      <c r="AI4139" s="4">
        <v>46</v>
      </c>
      <c r="AJ4139" s="4">
        <v>3</v>
      </c>
      <c r="AK4139" s="4">
        <v>7</v>
      </c>
      <c r="AL4139" s="4">
        <v>9</v>
      </c>
      <c r="AM4139" s="4">
        <v>27</v>
      </c>
      <c r="AN4139" s="4">
        <v>0</v>
      </c>
      <c r="AO4139" s="4">
        <v>0</v>
      </c>
      <c r="AP4139" s="4">
        <v>3</v>
      </c>
      <c r="AQ4139" s="4">
        <v>7</v>
      </c>
      <c r="AR4139" s="3" t="s">
        <v>65</v>
      </c>
      <c r="AS4139" s="3" t="s">
        <v>65</v>
      </c>
      <c r="AT4139" s="3" t="s">
        <v>65</v>
      </c>
      <c r="AV4139" s="6" t="str">
        <f>HYPERLINK("http://mcgill.on.worldcat.org/oclc/640082645","Catalog Record")</f>
        <v>Catalog Record</v>
      </c>
      <c r="AW4139" s="6" t="str">
        <f>HYPERLINK("http://www.worldcat.org/oclc/640082645","WorldCat Record")</f>
        <v>WorldCat Record</v>
      </c>
      <c r="AX4139" s="3" t="s">
        <v>41297</v>
      </c>
      <c r="AY4139" s="3" t="s">
        <v>41298</v>
      </c>
      <c r="AZ4139" s="3" t="s">
        <v>41299</v>
      </c>
      <c r="BA4139" s="3" t="s">
        <v>41299</v>
      </c>
      <c r="BB4139" s="3" t="s">
        <v>41300</v>
      </c>
      <c r="BC4139" s="3" t="s">
        <v>77</v>
      </c>
      <c r="BD4139" s="3" t="s">
        <v>78</v>
      </c>
      <c r="BE4139" s="3" t="s">
        <v>41301</v>
      </c>
      <c r="BF4139" s="3" t="s">
        <v>41300</v>
      </c>
      <c r="BG4139" s="3" t="s">
        <v>41302</v>
      </c>
    </row>
    <row r="4140" spans="1:59" ht="72.5" x14ac:dyDescent="0.35">
      <c r="A4140" s="2" t="s">
        <v>59</v>
      </c>
      <c r="B4140" s="2" t="s">
        <v>60</v>
      </c>
      <c r="C4140" s="2" t="s">
        <v>41303</v>
      </c>
      <c r="D4140" s="2" t="s">
        <v>41304</v>
      </c>
      <c r="E4140" s="2" t="s">
        <v>41305</v>
      </c>
      <c r="G4140" s="3" t="s">
        <v>65</v>
      </c>
      <c r="I4140" s="3" t="s">
        <v>65</v>
      </c>
      <c r="J4140" s="3" t="s">
        <v>65</v>
      </c>
      <c r="K4140" s="3" t="s">
        <v>66</v>
      </c>
      <c r="L4140" s="2" t="s">
        <v>41306</v>
      </c>
      <c r="M4140" s="2" t="s">
        <v>41307</v>
      </c>
      <c r="N4140" s="3" t="s">
        <v>139</v>
      </c>
      <c r="P4140" s="3" t="s">
        <v>69</v>
      </c>
      <c r="R4140" s="3" t="s">
        <v>71</v>
      </c>
      <c r="S4140" s="4">
        <v>1</v>
      </c>
      <c r="T4140" s="4">
        <v>1</v>
      </c>
      <c r="U4140" s="5" t="s">
        <v>23241</v>
      </c>
      <c r="V4140" s="5" t="s">
        <v>23241</v>
      </c>
      <c r="W4140" s="5" t="s">
        <v>72</v>
      </c>
      <c r="X4140" s="5" t="s">
        <v>72</v>
      </c>
      <c r="Y4140" s="4">
        <v>72</v>
      </c>
      <c r="Z4140" s="4">
        <v>6</v>
      </c>
      <c r="AA4140" s="4">
        <v>14</v>
      </c>
      <c r="AB4140" s="4">
        <v>1</v>
      </c>
      <c r="AC4140" s="4">
        <v>4</v>
      </c>
      <c r="AD4140" s="4">
        <v>13</v>
      </c>
      <c r="AE4140" s="4">
        <v>38</v>
      </c>
      <c r="AF4140" s="4">
        <v>0</v>
      </c>
      <c r="AG4140" s="4">
        <v>0</v>
      </c>
      <c r="AH4140" s="4">
        <v>13</v>
      </c>
      <c r="AI4140" s="4">
        <v>36</v>
      </c>
      <c r="AJ4140" s="4">
        <v>3</v>
      </c>
      <c r="AK4140" s="4">
        <v>5</v>
      </c>
      <c r="AL4140" s="4">
        <v>8</v>
      </c>
      <c r="AM4140" s="4">
        <v>23</v>
      </c>
      <c r="AN4140" s="4">
        <v>0</v>
      </c>
      <c r="AO4140" s="4">
        <v>0</v>
      </c>
      <c r="AP4140" s="4">
        <v>3</v>
      </c>
      <c r="AQ4140" s="4">
        <v>5</v>
      </c>
      <c r="AR4140" s="3" t="s">
        <v>65</v>
      </c>
      <c r="AS4140" s="3" t="s">
        <v>65</v>
      </c>
      <c r="AT4140" s="3" t="s">
        <v>65</v>
      </c>
      <c r="AV4140" s="6" t="str">
        <f>HYPERLINK("http://mcgill.on.worldcat.org/oclc/800863483","Catalog Record")</f>
        <v>Catalog Record</v>
      </c>
      <c r="AW4140" s="6" t="str">
        <f>HYPERLINK("http://www.worldcat.org/oclc/800863483","WorldCat Record")</f>
        <v>WorldCat Record</v>
      </c>
      <c r="AX4140" s="3" t="s">
        <v>41308</v>
      </c>
      <c r="AY4140" s="3" t="s">
        <v>41309</v>
      </c>
      <c r="AZ4140" s="3" t="s">
        <v>41310</v>
      </c>
      <c r="BA4140" s="3" t="s">
        <v>41310</v>
      </c>
      <c r="BB4140" s="3" t="s">
        <v>41311</v>
      </c>
      <c r="BC4140" s="3" t="s">
        <v>77</v>
      </c>
      <c r="BD4140" s="3" t="s">
        <v>78</v>
      </c>
      <c r="BE4140" s="3" t="s">
        <v>41312</v>
      </c>
      <c r="BF4140" s="3" t="s">
        <v>41311</v>
      </c>
      <c r="BG4140" s="3" t="s">
        <v>41313</v>
      </c>
    </row>
    <row r="4141" spans="1:59" ht="58" x14ac:dyDescent="0.35">
      <c r="A4141" s="2" t="s">
        <v>59</v>
      </c>
      <c r="B4141" s="2" t="s">
        <v>60</v>
      </c>
      <c r="C4141" s="2" t="s">
        <v>41314</v>
      </c>
      <c r="D4141" s="2" t="s">
        <v>41315</v>
      </c>
      <c r="E4141" s="2" t="s">
        <v>41316</v>
      </c>
      <c r="G4141" s="3" t="s">
        <v>65</v>
      </c>
      <c r="I4141" s="3" t="s">
        <v>65</v>
      </c>
      <c r="J4141" s="3" t="s">
        <v>65</v>
      </c>
      <c r="K4141" s="3" t="s">
        <v>66</v>
      </c>
      <c r="L4141" s="2" t="s">
        <v>41317</v>
      </c>
      <c r="M4141" s="2" t="s">
        <v>41318</v>
      </c>
      <c r="N4141" s="3" t="s">
        <v>164</v>
      </c>
      <c r="O4141" s="2" t="s">
        <v>235</v>
      </c>
      <c r="P4141" s="3" t="s">
        <v>140</v>
      </c>
      <c r="Q4141" s="2" t="s">
        <v>41319</v>
      </c>
      <c r="R4141" s="3" t="s">
        <v>71</v>
      </c>
      <c r="S4141" s="4">
        <v>0</v>
      </c>
      <c r="T4141" s="4">
        <v>0</v>
      </c>
      <c r="W4141" s="5" t="s">
        <v>72</v>
      </c>
      <c r="X4141" s="5" t="s">
        <v>72</v>
      </c>
      <c r="Y4141" s="4">
        <v>55</v>
      </c>
      <c r="Z4141" s="4">
        <v>5</v>
      </c>
      <c r="AA4141" s="4">
        <v>6</v>
      </c>
      <c r="AB4141" s="4">
        <v>1</v>
      </c>
      <c r="AC4141" s="4">
        <v>2</v>
      </c>
      <c r="AD4141" s="4">
        <v>35</v>
      </c>
      <c r="AE4141" s="4">
        <v>35</v>
      </c>
      <c r="AF4141" s="4">
        <v>0</v>
      </c>
      <c r="AG4141" s="4">
        <v>0</v>
      </c>
      <c r="AH4141" s="4">
        <v>34</v>
      </c>
      <c r="AI4141" s="4">
        <v>34</v>
      </c>
      <c r="AJ4141" s="4">
        <v>2</v>
      </c>
      <c r="AK4141" s="4">
        <v>2</v>
      </c>
      <c r="AL4141" s="4">
        <v>28</v>
      </c>
      <c r="AM4141" s="4">
        <v>28</v>
      </c>
      <c r="AN4141" s="4">
        <v>0</v>
      </c>
      <c r="AO4141" s="4">
        <v>0</v>
      </c>
      <c r="AP4141" s="4">
        <v>2</v>
      </c>
      <c r="AQ4141" s="4">
        <v>2</v>
      </c>
      <c r="AR4141" s="3" t="s">
        <v>65</v>
      </c>
      <c r="AS4141" s="3" t="s">
        <v>65</v>
      </c>
      <c r="AT4141" s="3" t="s">
        <v>65</v>
      </c>
      <c r="AV4141" s="6" t="str">
        <f>HYPERLINK("http://mcgill.on.worldcat.org/oclc/900465642","Catalog Record")</f>
        <v>Catalog Record</v>
      </c>
      <c r="AW4141" s="6" t="str">
        <f>HYPERLINK("http://www.worldcat.org/oclc/900465642","WorldCat Record")</f>
        <v>WorldCat Record</v>
      </c>
      <c r="AX4141" s="3" t="s">
        <v>41320</v>
      </c>
      <c r="AY4141" s="3" t="s">
        <v>41321</v>
      </c>
      <c r="AZ4141" s="3" t="s">
        <v>41322</v>
      </c>
      <c r="BA4141" s="3" t="s">
        <v>41322</v>
      </c>
      <c r="BB4141" s="3" t="s">
        <v>41323</v>
      </c>
      <c r="BC4141" s="3" t="s">
        <v>77</v>
      </c>
      <c r="BD4141" s="3" t="s">
        <v>78</v>
      </c>
      <c r="BE4141" s="3" t="s">
        <v>41324</v>
      </c>
      <c r="BF4141" s="3" t="s">
        <v>41323</v>
      </c>
      <c r="BG4141" s="3" t="s">
        <v>41325</v>
      </c>
    </row>
    <row r="4142" spans="1:59" ht="58" x14ac:dyDescent="0.35">
      <c r="A4142" s="2" t="s">
        <v>59</v>
      </c>
      <c r="B4142" s="2" t="s">
        <v>60</v>
      </c>
      <c r="C4142" s="2" t="s">
        <v>41326</v>
      </c>
      <c r="D4142" s="2" t="s">
        <v>41327</v>
      </c>
      <c r="E4142" s="2" t="s">
        <v>41328</v>
      </c>
      <c r="G4142" s="3" t="s">
        <v>65</v>
      </c>
      <c r="I4142" s="3" t="s">
        <v>65</v>
      </c>
      <c r="J4142" s="3" t="s">
        <v>65</v>
      </c>
      <c r="K4142" s="3" t="s">
        <v>66</v>
      </c>
      <c r="L4142" s="2" t="s">
        <v>41329</v>
      </c>
      <c r="M4142" s="2" t="s">
        <v>41330</v>
      </c>
      <c r="N4142" s="3" t="s">
        <v>113</v>
      </c>
      <c r="O4142" s="2" t="s">
        <v>365</v>
      </c>
      <c r="P4142" s="3" t="s">
        <v>140</v>
      </c>
      <c r="Q4142" s="2" t="s">
        <v>33894</v>
      </c>
      <c r="R4142" s="3" t="s">
        <v>71</v>
      </c>
      <c r="S4142" s="4">
        <v>1</v>
      </c>
      <c r="T4142" s="4">
        <v>1</v>
      </c>
      <c r="U4142" s="5" t="s">
        <v>40930</v>
      </c>
      <c r="V4142" s="5" t="s">
        <v>40930</v>
      </c>
      <c r="W4142" s="5" t="s">
        <v>72</v>
      </c>
      <c r="X4142" s="5" t="s">
        <v>72</v>
      </c>
      <c r="Y4142" s="4">
        <v>33</v>
      </c>
      <c r="Z4142" s="4">
        <v>4</v>
      </c>
      <c r="AA4142" s="4">
        <v>4</v>
      </c>
      <c r="AB4142" s="4">
        <v>1</v>
      </c>
      <c r="AC4142" s="4">
        <v>1</v>
      </c>
      <c r="AD4142" s="4">
        <v>25</v>
      </c>
      <c r="AE4142" s="4">
        <v>25</v>
      </c>
      <c r="AF4142" s="4">
        <v>0</v>
      </c>
      <c r="AG4142" s="4">
        <v>0</v>
      </c>
      <c r="AH4142" s="4">
        <v>24</v>
      </c>
      <c r="AI4142" s="4">
        <v>24</v>
      </c>
      <c r="AJ4142" s="4">
        <v>2</v>
      </c>
      <c r="AK4142" s="4">
        <v>2</v>
      </c>
      <c r="AL4142" s="4">
        <v>20</v>
      </c>
      <c r="AM4142" s="4">
        <v>20</v>
      </c>
      <c r="AN4142" s="4">
        <v>0</v>
      </c>
      <c r="AO4142" s="4">
        <v>0</v>
      </c>
      <c r="AP4142" s="4">
        <v>2</v>
      </c>
      <c r="AQ4142" s="4">
        <v>2</v>
      </c>
      <c r="AR4142" s="3" t="s">
        <v>65</v>
      </c>
      <c r="AS4142" s="3" t="s">
        <v>65</v>
      </c>
      <c r="AT4142" s="3" t="s">
        <v>65</v>
      </c>
      <c r="AV4142" s="6" t="str">
        <f>HYPERLINK("http://mcgill.on.worldcat.org/oclc/642806095","Catalog Record")</f>
        <v>Catalog Record</v>
      </c>
      <c r="AW4142" s="6" t="str">
        <f>HYPERLINK("http://www.worldcat.org/oclc/642806095","WorldCat Record")</f>
        <v>WorldCat Record</v>
      </c>
      <c r="AX4142" s="3" t="s">
        <v>41331</v>
      </c>
      <c r="AY4142" s="3" t="s">
        <v>41332</v>
      </c>
      <c r="AZ4142" s="3" t="s">
        <v>41333</v>
      </c>
      <c r="BA4142" s="3" t="s">
        <v>41333</v>
      </c>
      <c r="BB4142" s="3" t="s">
        <v>41334</v>
      </c>
      <c r="BC4142" s="3" t="s">
        <v>77</v>
      </c>
      <c r="BD4142" s="3" t="s">
        <v>78</v>
      </c>
      <c r="BE4142" s="3" t="s">
        <v>41335</v>
      </c>
      <c r="BF4142" s="3" t="s">
        <v>41334</v>
      </c>
      <c r="BG4142" s="3" t="s">
        <v>41336</v>
      </c>
    </row>
    <row r="4143" spans="1:59" ht="58" x14ac:dyDescent="0.35">
      <c r="A4143" s="2" t="s">
        <v>59</v>
      </c>
      <c r="B4143" s="2" t="s">
        <v>60</v>
      </c>
      <c r="C4143" s="2" t="s">
        <v>41337</v>
      </c>
      <c r="D4143" s="2" t="s">
        <v>41338</v>
      </c>
      <c r="E4143" s="2" t="s">
        <v>41339</v>
      </c>
      <c r="G4143" s="3" t="s">
        <v>65</v>
      </c>
      <c r="I4143" s="3" t="s">
        <v>65</v>
      </c>
      <c r="J4143" s="3" t="s">
        <v>65</v>
      </c>
      <c r="K4143" s="3" t="s">
        <v>66</v>
      </c>
      <c r="L4143" s="2" t="s">
        <v>41329</v>
      </c>
      <c r="M4143" s="2" t="s">
        <v>41340</v>
      </c>
      <c r="N4143" s="3" t="s">
        <v>152</v>
      </c>
      <c r="O4143" s="2" t="s">
        <v>22240</v>
      </c>
      <c r="P4143" s="3" t="s">
        <v>69</v>
      </c>
      <c r="R4143" s="3" t="s">
        <v>71</v>
      </c>
      <c r="S4143" s="4">
        <v>3</v>
      </c>
      <c r="T4143" s="4">
        <v>3</v>
      </c>
      <c r="U4143" s="5" t="s">
        <v>4833</v>
      </c>
      <c r="V4143" s="5" t="s">
        <v>4833</v>
      </c>
      <c r="W4143" s="5" t="s">
        <v>72</v>
      </c>
      <c r="X4143" s="5" t="s">
        <v>72</v>
      </c>
      <c r="Y4143" s="4">
        <v>187</v>
      </c>
      <c r="Z4143" s="4">
        <v>10</v>
      </c>
      <c r="AA4143" s="4">
        <v>10</v>
      </c>
      <c r="AB4143" s="4">
        <v>1</v>
      </c>
      <c r="AC4143" s="4">
        <v>1</v>
      </c>
      <c r="AD4143" s="4">
        <v>52</v>
      </c>
      <c r="AE4143" s="4">
        <v>52</v>
      </c>
      <c r="AF4143" s="4">
        <v>0</v>
      </c>
      <c r="AG4143" s="4">
        <v>0</v>
      </c>
      <c r="AH4143" s="4">
        <v>51</v>
      </c>
      <c r="AI4143" s="4">
        <v>51</v>
      </c>
      <c r="AJ4143" s="4">
        <v>4</v>
      </c>
      <c r="AK4143" s="4">
        <v>4</v>
      </c>
      <c r="AL4143" s="4">
        <v>35</v>
      </c>
      <c r="AM4143" s="4">
        <v>35</v>
      </c>
      <c r="AN4143" s="4">
        <v>0</v>
      </c>
      <c r="AO4143" s="4">
        <v>0</v>
      </c>
      <c r="AP4143" s="4">
        <v>4</v>
      </c>
      <c r="AQ4143" s="4">
        <v>4</v>
      </c>
      <c r="AR4143" s="3" t="s">
        <v>65</v>
      </c>
      <c r="AS4143" s="3" t="s">
        <v>65</v>
      </c>
      <c r="AT4143" s="3" t="s">
        <v>65</v>
      </c>
      <c r="AV4143" s="6" t="str">
        <f>HYPERLINK("http://mcgill.on.worldcat.org/oclc/740627568","Catalog Record")</f>
        <v>Catalog Record</v>
      </c>
      <c r="AW4143" s="6" t="str">
        <f>HYPERLINK("http://www.worldcat.org/oclc/740627568","WorldCat Record")</f>
        <v>WorldCat Record</v>
      </c>
      <c r="AX4143" s="3" t="s">
        <v>41341</v>
      </c>
      <c r="AY4143" s="3" t="s">
        <v>41342</v>
      </c>
      <c r="AZ4143" s="3" t="s">
        <v>41343</v>
      </c>
      <c r="BA4143" s="3" t="s">
        <v>41343</v>
      </c>
      <c r="BB4143" s="3" t="s">
        <v>41344</v>
      </c>
      <c r="BC4143" s="3" t="s">
        <v>77</v>
      </c>
      <c r="BD4143" s="3" t="s">
        <v>78</v>
      </c>
      <c r="BE4143" s="3" t="s">
        <v>41345</v>
      </c>
      <c r="BF4143" s="3" t="s">
        <v>41344</v>
      </c>
      <c r="BG4143" s="3" t="s">
        <v>41346</v>
      </c>
    </row>
    <row r="4144" spans="1:59" ht="58" x14ac:dyDescent="0.35">
      <c r="A4144" s="2" t="s">
        <v>59</v>
      </c>
      <c r="B4144" s="2" t="s">
        <v>60</v>
      </c>
      <c r="C4144" s="2" t="s">
        <v>41347</v>
      </c>
      <c r="D4144" s="2" t="s">
        <v>41348</v>
      </c>
      <c r="E4144" s="2" t="s">
        <v>41349</v>
      </c>
      <c r="G4144" s="3" t="s">
        <v>65</v>
      </c>
      <c r="I4144" s="3" t="s">
        <v>65</v>
      </c>
      <c r="J4144" s="3" t="s">
        <v>65</v>
      </c>
      <c r="K4144" s="3" t="s">
        <v>66</v>
      </c>
      <c r="L4144" s="2" t="s">
        <v>41350</v>
      </c>
      <c r="M4144" s="2" t="s">
        <v>27338</v>
      </c>
      <c r="N4144" s="3" t="s">
        <v>139</v>
      </c>
      <c r="P4144" s="3" t="s">
        <v>140</v>
      </c>
      <c r="Q4144" s="2" t="s">
        <v>41351</v>
      </c>
      <c r="R4144" s="3" t="s">
        <v>71</v>
      </c>
      <c r="S4144" s="4">
        <v>1</v>
      </c>
      <c r="T4144" s="4">
        <v>1</v>
      </c>
      <c r="U4144" s="5" t="s">
        <v>40852</v>
      </c>
      <c r="V4144" s="5" t="s">
        <v>40852</v>
      </c>
      <c r="W4144" s="5" t="s">
        <v>72</v>
      </c>
      <c r="X4144" s="5" t="s">
        <v>72</v>
      </c>
      <c r="Y4144" s="4">
        <v>41</v>
      </c>
      <c r="Z4144" s="4">
        <v>7</v>
      </c>
      <c r="AA4144" s="4">
        <v>7</v>
      </c>
      <c r="AB4144" s="4">
        <v>1</v>
      </c>
      <c r="AC4144" s="4">
        <v>1</v>
      </c>
      <c r="AD4144" s="4">
        <v>31</v>
      </c>
      <c r="AE4144" s="4">
        <v>33</v>
      </c>
      <c r="AF4144" s="4">
        <v>0</v>
      </c>
      <c r="AG4144" s="4">
        <v>0</v>
      </c>
      <c r="AH4144" s="4">
        <v>30</v>
      </c>
      <c r="AI4144" s="4">
        <v>32</v>
      </c>
      <c r="AJ4144" s="4">
        <v>5</v>
      </c>
      <c r="AK4144" s="4">
        <v>5</v>
      </c>
      <c r="AL4144" s="4">
        <v>21</v>
      </c>
      <c r="AM4144" s="4">
        <v>23</v>
      </c>
      <c r="AN4144" s="4">
        <v>0</v>
      </c>
      <c r="AO4144" s="4">
        <v>0</v>
      </c>
      <c r="AP4144" s="4">
        <v>5</v>
      </c>
      <c r="AQ4144" s="4">
        <v>5</v>
      </c>
      <c r="AR4144" s="3" t="s">
        <v>65</v>
      </c>
      <c r="AS4144" s="3" t="s">
        <v>65</v>
      </c>
      <c r="AT4144" s="3" t="s">
        <v>65</v>
      </c>
      <c r="AV4144" s="6" t="str">
        <f>HYPERLINK("http://mcgill.on.worldcat.org/oclc/822891992","Catalog Record")</f>
        <v>Catalog Record</v>
      </c>
      <c r="AW4144" s="6" t="str">
        <f>HYPERLINK("http://www.worldcat.org/oclc/822891992","WorldCat Record")</f>
        <v>WorldCat Record</v>
      </c>
      <c r="AX4144" s="3" t="s">
        <v>41352</v>
      </c>
      <c r="AY4144" s="3" t="s">
        <v>41353</v>
      </c>
      <c r="AZ4144" s="3" t="s">
        <v>41354</v>
      </c>
      <c r="BA4144" s="3" t="s">
        <v>41354</v>
      </c>
      <c r="BB4144" s="3" t="s">
        <v>41355</v>
      </c>
      <c r="BC4144" s="3" t="s">
        <v>77</v>
      </c>
      <c r="BD4144" s="3" t="s">
        <v>78</v>
      </c>
      <c r="BE4144" s="3" t="s">
        <v>41356</v>
      </c>
      <c r="BF4144" s="3" t="s">
        <v>41355</v>
      </c>
      <c r="BG4144" s="3" t="s">
        <v>41357</v>
      </c>
    </row>
    <row r="4145" spans="1:59" ht="58" x14ac:dyDescent="0.35">
      <c r="A4145" s="2" t="s">
        <v>59</v>
      </c>
      <c r="B4145" s="2" t="s">
        <v>60</v>
      </c>
      <c r="C4145" s="2" t="s">
        <v>41358</v>
      </c>
      <c r="D4145" s="2" t="s">
        <v>41359</v>
      </c>
      <c r="E4145" s="2" t="s">
        <v>41360</v>
      </c>
      <c r="G4145" s="3" t="s">
        <v>65</v>
      </c>
      <c r="I4145" s="3" t="s">
        <v>65</v>
      </c>
      <c r="J4145" s="3" t="s">
        <v>65</v>
      </c>
      <c r="K4145" s="3" t="s">
        <v>66</v>
      </c>
      <c r="L4145" s="2" t="s">
        <v>6133</v>
      </c>
      <c r="M4145" s="2" t="s">
        <v>38807</v>
      </c>
      <c r="N4145" s="3" t="s">
        <v>2210</v>
      </c>
      <c r="P4145" s="3" t="s">
        <v>140</v>
      </c>
      <c r="Q4145" s="2" t="s">
        <v>41361</v>
      </c>
      <c r="R4145" s="3" t="s">
        <v>71</v>
      </c>
      <c r="S4145" s="4">
        <v>6</v>
      </c>
      <c r="T4145" s="4">
        <v>6</v>
      </c>
      <c r="U4145" s="5" t="s">
        <v>9754</v>
      </c>
      <c r="V4145" s="5" t="s">
        <v>9754</v>
      </c>
      <c r="W4145" s="5" t="s">
        <v>72</v>
      </c>
      <c r="X4145" s="5" t="s">
        <v>72</v>
      </c>
      <c r="Y4145" s="4">
        <v>36</v>
      </c>
      <c r="Z4145" s="4">
        <v>4</v>
      </c>
      <c r="AA4145" s="4">
        <v>4</v>
      </c>
      <c r="AB4145" s="4">
        <v>1</v>
      </c>
      <c r="AC4145" s="4">
        <v>1</v>
      </c>
      <c r="AD4145" s="4">
        <v>20</v>
      </c>
      <c r="AE4145" s="4">
        <v>20</v>
      </c>
      <c r="AF4145" s="4">
        <v>0</v>
      </c>
      <c r="AG4145" s="4">
        <v>0</v>
      </c>
      <c r="AH4145" s="4">
        <v>18</v>
      </c>
      <c r="AI4145" s="4">
        <v>18</v>
      </c>
      <c r="AJ4145" s="4">
        <v>2</v>
      </c>
      <c r="AK4145" s="4">
        <v>2</v>
      </c>
      <c r="AL4145" s="4">
        <v>15</v>
      </c>
      <c r="AM4145" s="4">
        <v>15</v>
      </c>
      <c r="AN4145" s="4">
        <v>0</v>
      </c>
      <c r="AO4145" s="4">
        <v>0</v>
      </c>
      <c r="AP4145" s="4">
        <v>2</v>
      </c>
      <c r="AQ4145" s="4">
        <v>2</v>
      </c>
      <c r="AR4145" s="3" t="s">
        <v>65</v>
      </c>
      <c r="AS4145" s="3" t="s">
        <v>65</v>
      </c>
      <c r="AT4145" s="3" t="s">
        <v>65</v>
      </c>
      <c r="AV4145" s="6" t="str">
        <f>HYPERLINK("http://mcgill.on.worldcat.org/oclc/49507860","Catalog Record")</f>
        <v>Catalog Record</v>
      </c>
      <c r="AW4145" s="6" t="str">
        <f>HYPERLINK("http://www.worldcat.org/oclc/49507860","WorldCat Record")</f>
        <v>WorldCat Record</v>
      </c>
      <c r="AX4145" s="3" t="s">
        <v>41362</v>
      </c>
      <c r="AY4145" s="3" t="s">
        <v>41363</v>
      </c>
      <c r="AZ4145" s="3" t="s">
        <v>41364</v>
      </c>
      <c r="BA4145" s="3" t="s">
        <v>41364</v>
      </c>
      <c r="BB4145" s="3" t="s">
        <v>41365</v>
      </c>
      <c r="BC4145" s="3" t="s">
        <v>77</v>
      </c>
      <c r="BD4145" s="3" t="s">
        <v>106</v>
      </c>
      <c r="BE4145" s="3" t="s">
        <v>41366</v>
      </c>
      <c r="BF4145" s="3" t="s">
        <v>41365</v>
      </c>
      <c r="BG4145" s="3" t="s">
        <v>41367</v>
      </c>
    </row>
    <row r="4146" spans="1:59" ht="58" x14ac:dyDescent="0.35">
      <c r="A4146" s="2" t="s">
        <v>59</v>
      </c>
      <c r="B4146" s="2" t="s">
        <v>60</v>
      </c>
      <c r="C4146" s="2" t="s">
        <v>41368</v>
      </c>
      <c r="D4146" s="2" t="s">
        <v>41369</v>
      </c>
      <c r="E4146" s="2" t="s">
        <v>41370</v>
      </c>
      <c r="G4146" s="3" t="s">
        <v>65</v>
      </c>
      <c r="I4146" s="3" t="s">
        <v>65</v>
      </c>
      <c r="J4146" s="3" t="s">
        <v>65</v>
      </c>
      <c r="K4146" s="3" t="s">
        <v>66</v>
      </c>
      <c r="L4146" s="2" t="s">
        <v>41371</v>
      </c>
      <c r="M4146" s="2" t="s">
        <v>41372</v>
      </c>
      <c r="N4146" s="3" t="s">
        <v>1196</v>
      </c>
      <c r="O4146" s="2" t="s">
        <v>35833</v>
      </c>
      <c r="P4146" s="3" t="s">
        <v>69</v>
      </c>
      <c r="R4146" s="3" t="s">
        <v>71</v>
      </c>
      <c r="S4146" s="4">
        <v>11</v>
      </c>
      <c r="T4146" s="4">
        <v>11</v>
      </c>
      <c r="U4146" s="5" t="s">
        <v>33847</v>
      </c>
      <c r="V4146" s="5" t="s">
        <v>33847</v>
      </c>
      <c r="W4146" s="5" t="s">
        <v>72</v>
      </c>
      <c r="X4146" s="5" t="s">
        <v>72</v>
      </c>
      <c r="Y4146" s="4">
        <v>313</v>
      </c>
      <c r="Z4146" s="4">
        <v>7</v>
      </c>
      <c r="AA4146" s="4">
        <v>13</v>
      </c>
      <c r="AB4146" s="4">
        <v>1</v>
      </c>
      <c r="AC4146" s="4">
        <v>1</v>
      </c>
      <c r="AD4146" s="4">
        <v>35</v>
      </c>
      <c r="AE4146" s="4">
        <v>59</v>
      </c>
      <c r="AF4146" s="4">
        <v>0</v>
      </c>
      <c r="AG4146" s="4">
        <v>0</v>
      </c>
      <c r="AH4146" s="4">
        <v>32</v>
      </c>
      <c r="AI4146" s="4">
        <v>55</v>
      </c>
      <c r="AJ4146" s="4">
        <v>4</v>
      </c>
      <c r="AK4146" s="4">
        <v>6</v>
      </c>
      <c r="AL4146" s="4">
        <v>19</v>
      </c>
      <c r="AM4146" s="4">
        <v>39</v>
      </c>
      <c r="AN4146" s="4">
        <v>0</v>
      </c>
      <c r="AO4146" s="4">
        <v>0</v>
      </c>
      <c r="AP4146" s="4">
        <v>5</v>
      </c>
      <c r="AQ4146" s="4">
        <v>7</v>
      </c>
      <c r="AR4146" s="3" t="s">
        <v>65</v>
      </c>
      <c r="AS4146" s="3" t="s">
        <v>65</v>
      </c>
      <c r="AT4146" s="3" t="s">
        <v>209</v>
      </c>
      <c r="AU4146" s="6" t="str">
        <f>HYPERLINK("http://catalog.hathitrust.org/Record/007968010","HathiTrust Record")</f>
        <v>HathiTrust Record</v>
      </c>
      <c r="AV4146" s="6" t="str">
        <f>HYPERLINK("http://mcgill.on.worldcat.org/oclc/62341517","Catalog Record")</f>
        <v>Catalog Record</v>
      </c>
      <c r="AW4146" s="6" t="str">
        <f>HYPERLINK("http://www.worldcat.org/oclc/62341517","WorldCat Record")</f>
        <v>WorldCat Record</v>
      </c>
      <c r="AX4146" s="3" t="s">
        <v>41373</v>
      </c>
      <c r="AY4146" s="3" t="s">
        <v>41374</v>
      </c>
      <c r="AZ4146" s="3" t="s">
        <v>41375</v>
      </c>
      <c r="BA4146" s="3" t="s">
        <v>41375</v>
      </c>
      <c r="BB4146" s="3" t="s">
        <v>41376</v>
      </c>
      <c r="BC4146" s="3" t="s">
        <v>77</v>
      </c>
      <c r="BD4146" s="3" t="s">
        <v>78</v>
      </c>
      <c r="BE4146" s="3" t="s">
        <v>41377</v>
      </c>
      <c r="BF4146" s="3" t="s">
        <v>41376</v>
      </c>
      <c r="BG4146" s="3" t="s">
        <v>41378</v>
      </c>
    </row>
    <row r="4147" spans="1:59" ht="58" x14ac:dyDescent="0.35">
      <c r="A4147" s="2" t="s">
        <v>59</v>
      </c>
      <c r="B4147" s="2" t="s">
        <v>60</v>
      </c>
      <c r="C4147" s="2" t="s">
        <v>41379</v>
      </c>
      <c r="D4147" s="2" t="s">
        <v>41380</v>
      </c>
      <c r="E4147" s="2" t="s">
        <v>41381</v>
      </c>
      <c r="G4147" s="3" t="s">
        <v>65</v>
      </c>
      <c r="I4147" s="3" t="s">
        <v>65</v>
      </c>
      <c r="J4147" s="3" t="s">
        <v>65</v>
      </c>
      <c r="K4147" s="3" t="s">
        <v>66</v>
      </c>
      <c r="L4147" s="2" t="s">
        <v>6133</v>
      </c>
      <c r="M4147" s="2" t="s">
        <v>41382</v>
      </c>
      <c r="N4147" s="3" t="s">
        <v>152</v>
      </c>
      <c r="P4147" s="3" t="s">
        <v>69</v>
      </c>
      <c r="R4147" s="3" t="s">
        <v>71</v>
      </c>
      <c r="S4147" s="4">
        <v>3</v>
      </c>
      <c r="T4147" s="4">
        <v>3</v>
      </c>
      <c r="U4147" s="5" t="s">
        <v>34578</v>
      </c>
      <c r="V4147" s="5" t="s">
        <v>34578</v>
      </c>
      <c r="W4147" s="5" t="s">
        <v>72</v>
      </c>
      <c r="X4147" s="5" t="s">
        <v>72</v>
      </c>
      <c r="Y4147" s="4">
        <v>162</v>
      </c>
      <c r="Z4147" s="4">
        <v>12</v>
      </c>
      <c r="AA4147" s="4">
        <v>16</v>
      </c>
      <c r="AB4147" s="4">
        <v>2</v>
      </c>
      <c r="AC4147" s="4">
        <v>4</v>
      </c>
      <c r="AD4147" s="4">
        <v>47</v>
      </c>
      <c r="AE4147" s="4">
        <v>47</v>
      </c>
      <c r="AF4147" s="4">
        <v>0</v>
      </c>
      <c r="AG4147" s="4">
        <v>0</v>
      </c>
      <c r="AH4147" s="4">
        <v>44</v>
      </c>
      <c r="AI4147" s="4">
        <v>44</v>
      </c>
      <c r="AJ4147" s="4">
        <v>6</v>
      </c>
      <c r="AK4147" s="4">
        <v>6</v>
      </c>
      <c r="AL4147" s="4">
        <v>25</v>
      </c>
      <c r="AM4147" s="4">
        <v>25</v>
      </c>
      <c r="AN4147" s="4">
        <v>0</v>
      </c>
      <c r="AO4147" s="4">
        <v>0</v>
      </c>
      <c r="AP4147" s="4">
        <v>6</v>
      </c>
      <c r="AQ4147" s="4">
        <v>6</v>
      </c>
      <c r="AR4147" s="3" t="s">
        <v>65</v>
      </c>
      <c r="AS4147" s="3" t="s">
        <v>65</v>
      </c>
      <c r="AT4147" s="3" t="s">
        <v>65</v>
      </c>
      <c r="AV4147" s="6" t="str">
        <f>HYPERLINK("http://mcgill.on.worldcat.org/oclc/813931560","Catalog Record")</f>
        <v>Catalog Record</v>
      </c>
      <c r="AW4147" s="6" t="str">
        <f>HYPERLINK("http://www.worldcat.org/oclc/813931560","WorldCat Record")</f>
        <v>WorldCat Record</v>
      </c>
      <c r="AX4147" s="3" t="s">
        <v>41383</v>
      </c>
      <c r="AY4147" s="3" t="s">
        <v>41384</v>
      </c>
      <c r="AZ4147" s="3" t="s">
        <v>41385</v>
      </c>
      <c r="BA4147" s="3" t="s">
        <v>41385</v>
      </c>
      <c r="BB4147" s="3" t="s">
        <v>41386</v>
      </c>
      <c r="BC4147" s="3" t="s">
        <v>77</v>
      </c>
      <c r="BD4147" s="3" t="s">
        <v>78</v>
      </c>
      <c r="BE4147" s="3" t="s">
        <v>41387</v>
      </c>
      <c r="BF4147" s="3" t="s">
        <v>41386</v>
      </c>
      <c r="BG4147" s="3" t="s">
        <v>41388</v>
      </c>
    </row>
    <row r="4148" spans="1:59" ht="58" x14ac:dyDescent="0.35">
      <c r="A4148" s="2" t="s">
        <v>59</v>
      </c>
      <c r="B4148" s="2" t="s">
        <v>60</v>
      </c>
      <c r="C4148" s="2" t="s">
        <v>41389</v>
      </c>
      <c r="D4148" s="2" t="s">
        <v>41390</v>
      </c>
      <c r="E4148" s="2" t="s">
        <v>41391</v>
      </c>
      <c r="G4148" s="3" t="s">
        <v>65</v>
      </c>
      <c r="I4148" s="3" t="s">
        <v>65</v>
      </c>
      <c r="J4148" s="3" t="s">
        <v>65</v>
      </c>
      <c r="K4148" s="3" t="s">
        <v>66</v>
      </c>
      <c r="M4148" s="2" t="s">
        <v>41392</v>
      </c>
      <c r="N4148" s="3" t="s">
        <v>1967</v>
      </c>
      <c r="P4148" s="3" t="s">
        <v>140</v>
      </c>
      <c r="Q4148" s="2" t="s">
        <v>41393</v>
      </c>
      <c r="R4148" s="3" t="s">
        <v>71</v>
      </c>
      <c r="S4148" s="4">
        <v>6</v>
      </c>
      <c r="T4148" s="4">
        <v>6</v>
      </c>
      <c r="U4148" s="5" t="s">
        <v>41394</v>
      </c>
      <c r="V4148" s="5" t="s">
        <v>41394</v>
      </c>
      <c r="W4148" s="5" t="s">
        <v>72</v>
      </c>
      <c r="X4148" s="5" t="s">
        <v>72</v>
      </c>
      <c r="Y4148" s="4">
        <v>28</v>
      </c>
      <c r="Z4148" s="4">
        <v>4</v>
      </c>
      <c r="AA4148" s="4">
        <v>4</v>
      </c>
      <c r="AB4148" s="4">
        <v>2</v>
      </c>
      <c r="AC4148" s="4">
        <v>2</v>
      </c>
      <c r="AD4148" s="4">
        <v>18</v>
      </c>
      <c r="AE4148" s="4">
        <v>18</v>
      </c>
      <c r="AF4148" s="4">
        <v>0</v>
      </c>
      <c r="AG4148" s="4">
        <v>0</v>
      </c>
      <c r="AH4148" s="4">
        <v>17</v>
      </c>
      <c r="AI4148" s="4">
        <v>17</v>
      </c>
      <c r="AJ4148" s="4">
        <v>1</v>
      </c>
      <c r="AK4148" s="4">
        <v>1</v>
      </c>
      <c r="AL4148" s="4">
        <v>15</v>
      </c>
      <c r="AM4148" s="4">
        <v>15</v>
      </c>
      <c r="AN4148" s="4">
        <v>0</v>
      </c>
      <c r="AO4148" s="4">
        <v>0</v>
      </c>
      <c r="AP4148" s="4">
        <v>1</v>
      </c>
      <c r="AQ4148" s="4">
        <v>1</v>
      </c>
      <c r="AR4148" s="3" t="s">
        <v>65</v>
      </c>
      <c r="AS4148" s="3" t="s">
        <v>65</v>
      </c>
      <c r="AT4148" s="3" t="s">
        <v>65</v>
      </c>
      <c r="AV4148" s="6" t="str">
        <f>HYPERLINK("http://mcgill.on.worldcat.org/oclc/52394749","Catalog Record")</f>
        <v>Catalog Record</v>
      </c>
      <c r="AW4148" s="6" t="str">
        <f>HYPERLINK("http://www.worldcat.org/oclc/52394749","WorldCat Record")</f>
        <v>WorldCat Record</v>
      </c>
      <c r="AX4148" s="3" t="s">
        <v>41395</v>
      </c>
      <c r="AY4148" s="3" t="s">
        <v>41396</v>
      </c>
      <c r="AZ4148" s="3" t="s">
        <v>41397</v>
      </c>
      <c r="BA4148" s="3" t="s">
        <v>41397</v>
      </c>
      <c r="BB4148" s="3" t="s">
        <v>41398</v>
      </c>
      <c r="BC4148" s="3" t="s">
        <v>77</v>
      </c>
      <c r="BD4148" s="3" t="s">
        <v>106</v>
      </c>
      <c r="BE4148" s="3" t="s">
        <v>41399</v>
      </c>
      <c r="BF4148" s="3" t="s">
        <v>41398</v>
      </c>
      <c r="BG4148" s="3" t="s">
        <v>41400</v>
      </c>
    </row>
    <row r="4149" spans="1:59" ht="58" x14ac:dyDescent="0.35">
      <c r="A4149" s="2" t="s">
        <v>59</v>
      </c>
      <c r="B4149" s="2" t="s">
        <v>60</v>
      </c>
      <c r="C4149" s="2" t="s">
        <v>41401</v>
      </c>
      <c r="D4149" s="2" t="s">
        <v>41402</v>
      </c>
      <c r="E4149" s="2" t="s">
        <v>41403</v>
      </c>
      <c r="G4149" s="3" t="s">
        <v>65</v>
      </c>
      <c r="I4149" s="3" t="s">
        <v>65</v>
      </c>
      <c r="J4149" s="3" t="s">
        <v>65</v>
      </c>
      <c r="K4149" s="3" t="s">
        <v>66</v>
      </c>
      <c r="L4149" s="2" t="s">
        <v>6133</v>
      </c>
      <c r="M4149" s="2" t="s">
        <v>41404</v>
      </c>
      <c r="N4149" s="3" t="s">
        <v>221</v>
      </c>
      <c r="P4149" s="3" t="s">
        <v>140</v>
      </c>
      <c r="Q4149" s="2" t="s">
        <v>38037</v>
      </c>
      <c r="R4149" s="3" t="s">
        <v>71</v>
      </c>
      <c r="S4149" s="4">
        <v>4</v>
      </c>
      <c r="T4149" s="4">
        <v>4</v>
      </c>
      <c r="U4149" s="5" t="s">
        <v>9754</v>
      </c>
      <c r="V4149" s="5" t="s">
        <v>9754</v>
      </c>
      <c r="W4149" s="5" t="s">
        <v>72</v>
      </c>
      <c r="X4149" s="5" t="s">
        <v>72</v>
      </c>
      <c r="Y4149" s="4">
        <v>48</v>
      </c>
      <c r="Z4149" s="4">
        <v>5</v>
      </c>
      <c r="AA4149" s="4">
        <v>6</v>
      </c>
      <c r="AB4149" s="4">
        <v>1</v>
      </c>
      <c r="AC4149" s="4">
        <v>2</v>
      </c>
      <c r="AD4149" s="4">
        <v>28</v>
      </c>
      <c r="AE4149" s="4">
        <v>31</v>
      </c>
      <c r="AF4149" s="4">
        <v>0</v>
      </c>
      <c r="AG4149" s="4">
        <v>1</v>
      </c>
      <c r="AH4149" s="4">
        <v>27</v>
      </c>
      <c r="AI4149" s="4">
        <v>29</v>
      </c>
      <c r="AJ4149" s="4">
        <v>3</v>
      </c>
      <c r="AK4149" s="4">
        <v>4</v>
      </c>
      <c r="AL4149" s="4">
        <v>23</v>
      </c>
      <c r="AM4149" s="4">
        <v>23</v>
      </c>
      <c r="AN4149" s="4">
        <v>0</v>
      </c>
      <c r="AO4149" s="4">
        <v>0</v>
      </c>
      <c r="AP4149" s="4">
        <v>3</v>
      </c>
      <c r="AQ4149" s="4">
        <v>3</v>
      </c>
      <c r="AR4149" s="3" t="s">
        <v>65</v>
      </c>
      <c r="AS4149" s="3" t="s">
        <v>65</v>
      </c>
      <c r="AT4149" s="3" t="s">
        <v>209</v>
      </c>
      <c r="AU4149" s="6" t="str">
        <f>HYPERLINK("http://catalog.hathitrust.org/Record/005557702","HathiTrust Record")</f>
        <v>HathiTrust Record</v>
      </c>
      <c r="AV4149" s="6" t="str">
        <f>HYPERLINK("http://mcgill.on.worldcat.org/oclc/122934696","Catalog Record")</f>
        <v>Catalog Record</v>
      </c>
      <c r="AW4149" s="6" t="str">
        <f>HYPERLINK("http://www.worldcat.org/oclc/122934696","WorldCat Record")</f>
        <v>WorldCat Record</v>
      </c>
      <c r="AX4149" s="3" t="s">
        <v>41405</v>
      </c>
      <c r="AY4149" s="3" t="s">
        <v>41406</v>
      </c>
      <c r="AZ4149" s="3" t="s">
        <v>41407</v>
      </c>
      <c r="BA4149" s="3" t="s">
        <v>41407</v>
      </c>
      <c r="BB4149" s="3" t="s">
        <v>41408</v>
      </c>
      <c r="BC4149" s="3" t="s">
        <v>77</v>
      </c>
      <c r="BD4149" s="3" t="s">
        <v>106</v>
      </c>
      <c r="BE4149" s="3" t="s">
        <v>41409</v>
      </c>
      <c r="BF4149" s="3" t="s">
        <v>41408</v>
      </c>
      <c r="BG4149" s="3" t="s">
        <v>41410</v>
      </c>
    </row>
    <row r="4150" spans="1:59" ht="72.5" x14ac:dyDescent="0.35">
      <c r="A4150" s="2" t="s">
        <v>59</v>
      </c>
      <c r="B4150" s="2" t="s">
        <v>60</v>
      </c>
      <c r="C4150" s="2" t="s">
        <v>41411</v>
      </c>
      <c r="D4150" s="2" t="s">
        <v>41412</v>
      </c>
      <c r="E4150" s="2" t="s">
        <v>41413</v>
      </c>
      <c r="G4150" s="3" t="s">
        <v>65</v>
      </c>
      <c r="I4150" s="3" t="s">
        <v>65</v>
      </c>
      <c r="J4150" s="3" t="s">
        <v>65</v>
      </c>
      <c r="K4150" s="3" t="s">
        <v>66</v>
      </c>
      <c r="L4150" s="2" t="s">
        <v>41414</v>
      </c>
      <c r="M4150" s="2" t="s">
        <v>41415</v>
      </c>
      <c r="N4150" s="3" t="s">
        <v>99</v>
      </c>
      <c r="O4150" s="2" t="s">
        <v>365</v>
      </c>
      <c r="P4150" s="3" t="s">
        <v>140</v>
      </c>
      <c r="Q4150" s="2" t="s">
        <v>41416</v>
      </c>
      <c r="R4150" s="3" t="s">
        <v>71</v>
      </c>
      <c r="S4150" s="4">
        <v>5</v>
      </c>
      <c r="T4150" s="4">
        <v>5</v>
      </c>
      <c r="U4150" s="5" t="s">
        <v>9754</v>
      </c>
      <c r="V4150" s="5" t="s">
        <v>9754</v>
      </c>
      <c r="W4150" s="5" t="s">
        <v>72</v>
      </c>
      <c r="X4150" s="5" t="s">
        <v>72</v>
      </c>
      <c r="Y4150" s="4">
        <v>20</v>
      </c>
      <c r="Z4150" s="4">
        <v>3</v>
      </c>
      <c r="AA4150" s="4">
        <v>3</v>
      </c>
      <c r="AB4150" s="4">
        <v>1</v>
      </c>
      <c r="AC4150" s="4">
        <v>1</v>
      </c>
      <c r="AD4150" s="4">
        <v>14</v>
      </c>
      <c r="AE4150" s="4">
        <v>14</v>
      </c>
      <c r="AF4150" s="4">
        <v>0</v>
      </c>
      <c r="AG4150" s="4">
        <v>0</v>
      </c>
      <c r="AH4150" s="4">
        <v>13</v>
      </c>
      <c r="AI4150" s="4">
        <v>13</v>
      </c>
      <c r="AJ4150" s="4">
        <v>1</v>
      </c>
      <c r="AK4150" s="4">
        <v>1</v>
      </c>
      <c r="AL4150" s="4">
        <v>12</v>
      </c>
      <c r="AM4150" s="4">
        <v>12</v>
      </c>
      <c r="AN4150" s="4">
        <v>0</v>
      </c>
      <c r="AO4150" s="4">
        <v>0</v>
      </c>
      <c r="AP4150" s="4">
        <v>1</v>
      </c>
      <c r="AQ4150" s="4">
        <v>1</v>
      </c>
      <c r="AR4150" s="3" t="s">
        <v>65</v>
      </c>
      <c r="AS4150" s="3" t="s">
        <v>65</v>
      </c>
      <c r="AT4150" s="3" t="s">
        <v>65</v>
      </c>
      <c r="AV4150" s="6" t="str">
        <f>HYPERLINK("http://mcgill.on.worldcat.org/oclc/67609804","Catalog Record")</f>
        <v>Catalog Record</v>
      </c>
      <c r="AW4150" s="6" t="str">
        <f>HYPERLINK("http://www.worldcat.org/oclc/67609804","WorldCat Record")</f>
        <v>WorldCat Record</v>
      </c>
      <c r="AX4150" s="3" t="s">
        <v>41417</v>
      </c>
      <c r="AY4150" s="3" t="s">
        <v>41418</v>
      </c>
      <c r="AZ4150" s="3" t="s">
        <v>41419</v>
      </c>
      <c r="BA4150" s="3" t="s">
        <v>41419</v>
      </c>
      <c r="BB4150" s="3" t="s">
        <v>41420</v>
      </c>
      <c r="BC4150" s="3" t="s">
        <v>77</v>
      </c>
      <c r="BD4150" s="3" t="s">
        <v>106</v>
      </c>
      <c r="BE4150" s="3" t="s">
        <v>41421</v>
      </c>
      <c r="BF4150" s="3" t="s">
        <v>41420</v>
      </c>
      <c r="BG4150" s="3" t="s">
        <v>41422</v>
      </c>
    </row>
    <row r="4151" spans="1:59" ht="72.5" x14ac:dyDescent="0.35">
      <c r="A4151" s="2" t="s">
        <v>59</v>
      </c>
      <c r="B4151" s="2" t="s">
        <v>60</v>
      </c>
      <c r="C4151" s="2" t="s">
        <v>41423</v>
      </c>
      <c r="D4151" s="2" t="s">
        <v>41424</v>
      </c>
      <c r="E4151" s="2" t="s">
        <v>41425</v>
      </c>
      <c r="G4151" s="3" t="s">
        <v>65</v>
      </c>
      <c r="I4151" s="3" t="s">
        <v>65</v>
      </c>
      <c r="J4151" s="3" t="s">
        <v>65</v>
      </c>
      <c r="K4151" s="3" t="s">
        <v>66</v>
      </c>
      <c r="L4151" s="2" t="s">
        <v>41426</v>
      </c>
      <c r="M4151" s="2" t="s">
        <v>41427</v>
      </c>
      <c r="N4151" s="3" t="s">
        <v>364</v>
      </c>
      <c r="O4151" s="2" t="s">
        <v>365</v>
      </c>
      <c r="P4151" s="3" t="s">
        <v>140</v>
      </c>
      <c r="Q4151" s="2" t="s">
        <v>41428</v>
      </c>
      <c r="R4151" s="3" t="s">
        <v>71</v>
      </c>
      <c r="S4151" s="4">
        <v>4</v>
      </c>
      <c r="T4151" s="4">
        <v>4</v>
      </c>
      <c r="U4151" s="5" t="s">
        <v>9754</v>
      </c>
      <c r="V4151" s="5" t="s">
        <v>9754</v>
      </c>
      <c r="W4151" s="5" t="s">
        <v>72</v>
      </c>
      <c r="X4151" s="5" t="s">
        <v>72</v>
      </c>
      <c r="Y4151" s="4">
        <v>26</v>
      </c>
      <c r="Z4151" s="4">
        <v>1</v>
      </c>
      <c r="AA4151" s="4">
        <v>3</v>
      </c>
      <c r="AB4151" s="4">
        <v>1</v>
      </c>
      <c r="AC4151" s="4">
        <v>1</v>
      </c>
      <c r="AD4151" s="4">
        <v>16</v>
      </c>
      <c r="AE4151" s="4">
        <v>17</v>
      </c>
      <c r="AF4151" s="4">
        <v>0</v>
      </c>
      <c r="AG4151" s="4">
        <v>0</v>
      </c>
      <c r="AH4151" s="4">
        <v>15</v>
      </c>
      <c r="AI4151" s="4">
        <v>16</v>
      </c>
      <c r="AJ4151" s="4">
        <v>0</v>
      </c>
      <c r="AK4151" s="4">
        <v>1</v>
      </c>
      <c r="AL4151" s="4">
        <v>12</v>
      </c>
      <c r="AM4151" s="4">
        <v>13</v>
      </c>
      <c r="AN4151" s="4">
        <v>0</v>
      </c>
      <c r="AO4151" s="4">
        <v>0</v>
      </c>
      <c r="AP4151" s="4">
        <v>0</v>
      </c>
      <c r="AQ4151" s="4">
        <v>1</v>
      </c>
      <c r="AR4151" s="3" t="s">
        <v>65</v>
      </c>
      <c r="AS4151" s="3" t="s">
        <v>65</v>
      </c>
      <c r="AT4151" s="3" t="s">
        <v>65</v>
      </c>
      <c r="AV4151" s="6" t="str">
        <f>HYPERLINK("http://mcgill.on.worldcat.org/oclc/50214029","Catalog Record")</f>
        <v>Catalog Record</v>
      </c>
      <c r="AW4151" s="6" t="str">
        <f>HYPERLINK("http://www.worldcat.org/oclc/50214029","WorldCat Record")</f>
        <v>WorldCat Record</v>
      </c>
      <c r="AX4151" s="3" t="s">
        <v>41429</v>
      </c>
      <c r="AY4151" s="3" t="s">
        <v>41430</v>
      </c>
      <c r="AZ4151" s="3" t="s">
        <v>41431</v>
      </c>
      <c r="BA4151" s="3" t="s">
        <v>41431</v>
      </c>
      <c r="BB4151" s="3" t="s">
        <v>41432</v>
      </c>
      <c r="BC4151" s="3" t="s">
        <v>77</v>
      </c>
      <c r="BD4151" s="3" t="s">
        <v>106</v>
      </c>
      <c r="BE4151" s="3" t="s">
        <v>41433</v>
      </c>
      <c r="BF4151" s="3" t="s">
        <v>41432</v>
      </c>
      <c r="BG4151" s="3" t="s">
        <v>41434</v>
      </c>
    </row>
    <row r="4152" spans="1:59" ht="58" x14ac:dyDescent="0.35">
      <c r="A4152" s="2" t="s">
        <v>59</v>
      </c>
      <c r="B4152" s="2" t="s">
        <v>60</v>
      </c>
      <c r="C4152" s="2" t="s">
        <v>41435</v>
      </c>
      <c r="D4152" s="2" t="s">
        <v>41436</v>
      </c>
      <c r="E4152" s="2" t="s">
        <v>41437</v>
      </c>
      <c r="G4152" s="3" t="s">
        <v>65</v>
      </c>
      <c r="I4152" s="3" t="s">
        <v>65</v>
      </c>
      <c r="J4152" s="3" t="s">
        <v>65</v>
      </c>
      <c r="K4152" s="3" t="s">
        <v>66</v>
      </c>
      <c r="L4152" s="2" t="s">
        <v>41438</v>
      </c>
      <c r="M4152" s="2" t="s">
        <v>39207</v>
      </c>
      <c r="N4152" s="3" t="s">
        <v>525</v>
      </c>
      <c r="P4152" s="3" t="s">
        <v>140</v>
      </c>
      <c r="Q4152" s="2" t="s">
        <v>41439</v>
      </c>
      <c r="R4152" s="3" t="s">
        <v>71</v>
      </c>
      <c r="S4152" s="4">
        <v>6</v>
      </c>
      <c r="T4152" s="4">
        <v>6</v>
      </c>
      <c r="U4152" s="5" t="s">
        <v>9754</v>
      </c>
      <c r="V4152" s="5" t="s">
        <v>9754</v>
      </c>
      <c r="W4152" s="5" t="s">
        <v>72</v>
      </c>
      <c r="X4152" s="5" t="s">
        <v>72</v>
      </c>
      <c r="Y4152" s="4">
        <v>23</v>
      </c>
      <c r="Z4152" s="4">
        <v>3</v>
      </c>
      <c r="AA4152" s="4">
        <v>3</v>
      </c>
      <c r="AB4152" s="4">
        <v>1</v>
      </c>
      <c r="AC4152" s="4">
        <v>1</v>
      </c>
      <c r="AD4152" s="4">
        <v>17</v>
      </c>
      <c r="AE4152" s="4">
        <v>21</v>
      </c>
      <c r="AF4152" s="4">
        <v>0</v>
      </c>
      <c r="AG4152" s="4">
        <v>0</v>
      </c>
      <c r="AH4152" s="4">
        <v>15</v>
      </c>
      <c r="AI4152" s="4">
        <v>19</v>
      </c>
      <c r="AJ4152" s="4">
        <v>1</v>
      </c>
      <c r="AK4152" s="4">
        <v>1</v>
      </c>
      <c r="AL4152" s="4">
        <v>13</v>
      </c>
      <c r="AM4152" s="4">
        <v>16</v>
      </c>
      <c r="AN4152" s="4">
        <v>0</v>
      </c>
      <c r="AO4152" s="4">
        <v>0</v>
      </c>
      <c r="AP4152" s="4">
        <v>1</v>
      </c>
      <c r="AQ4152" s="4">
        <v>1</v>
      </c>
      <c r="AR4152" s="3" t="s">
        <v>65</v>
      </c>
      <c r="AS4152" s="3" t="s">
        <v>65</v>
      </c>
      <c r="AT4152" s="3" t="s">
        <v>65</v>
      </c>
      <c r="AV4152" s="6" t="str">
        <f>HYPERLINK("http://mcgill.on.worldcat.org/oclc/55027785","Catalog Record")</f>
        <v>Catalog Record</v>
      </c>
      <c r="AW4152" s="6" t="str">
        <f>HYPERLINK("http://www.worldcat.org/oclc/55027785","WorldCat Record")</f>
        <v>WorldCat Record</v>
      </c>
      <c r="AX4152" s="3" t="s">
        <v>41440</v>
      </c>
      <c r="AY4152" s="3" t="s">
        <v>41441</v>
      </c>
      <c r="AZ4152" s="3" t="s">
        <v>41442</v>
      </c>
      <c r="BA4152" s="3" t="s">
        <v>41442</v>
      </c>
      <c r="BB4152" s="3" t="s">
        <v>41443</v>
      </c>
      <c r="BC4152" s="3" t="s">
        <v>77</v>
      </c>
      <c r="BD4152" s="3" t="s">
        <v>106</v>
      </c>
      <c r="BE4152" s="3" t="s">
        <v>41444</v>
      </c>
      <c r="BF4152" s="3" t="s">
        <v>41443</v>
      </c>
      <c r="BG4152" s="3" t="s">
        <v>41445</v>
      </c>
    </row>
    <row r="4153" spans="1:59" ht="58" x14ac:dyDescent="0.35">
      <c r="A4153" s="2" t="s">
        <v>59</v>
      </c>
      <c r="B4153" s="2" t="s">
        <v>60</v>
      </c>
      <c r="C4153" s="2" t="s">
        <v>41446</v>
      </c>
      <c r="D4153" s="2" t="s">
        <v>41447</v>
      </c>
      <c r="E4153" s="2" t="s">
        <v>41448</v>
      </c>
      <c r="G4153" s="3" t="s">
        <v>65</v>
      </c>
      <c r="I4153" s="3" t="s">
        <v>65</v>
      </c>
      <c r="J4153" s="3" t="s">
        <v>65</v>
      </c>
      <c r="K4153" s="3" t="s">
        <v>66</v>
      </c>
      <c r="L4153" s="2" t="s">
        <v>41449</v>
      </c>
      <c r="M4153" s="2" t="s">
        <v>41450</v>
      </c>
      <c r="N4153" s="3" t="s">
        <v>2210</v>
      </c>
      <c r="P4153" s="3" t="s">
        <v>140</v>
      </c>
      <c r="Q4153" s="2" t="s">
        <v>41451</v>
      </c>
      <c r="R4153" s="3" t="s">
        <v>71</v>
      </c>
      <c r="S4153" s="4">
        <v>4</v>
      </c>
      <c r="T4153" s="4">
        <v>4</v>
      </c>
      <c r="U4153" s="5" t="s">
        <v>9754</v>
      </c>
      <c r="V4153" s="5" t="s">
        <v>9754</v>
      </c>
      <c r="W4153" s="5" t="s">
        <v>72</v>
      </c>
      <c r="X4153" s="5" t="s">
        <v>72</v>
      </c>
      <c r="Y4153" s="4">
        <v>23</v>
      </c>
      <c r="Z4153" s="4">
        <v>3</v>
      </c>
      <c r="AA4153" s="4">
        <v>3</v>
      </c>
      <c r="AB4153" s="4">
        <v>1</v>
      </c>
      <c r="AC4153" s="4">
        <v>1</v>
      </c>
      <c r="AD4153" s="4">
        <v>17</v>
      </c>
      <c r="AE4153" s="4">
        <v>17</v>
      </c>
      <c r="AF4153" s="4">
        <v>0</v>
      </c>
      <c r="AG4153" s="4">
        <v>0</v>
      </c>
      <c r="AH4153" s="4">
        <v>16</v>
      </c>
      <c r="AI4153" s="4">
        <v>16</v>
      </c>
      <c r="AJ4153" s="4">
        <v>1</v>
      </c>
      <c r="AK4153" s="4">
        <v>1</v>
      </c>
      <c r="AL4153" s="4">
        <v>16</v>
      </c>
      <c r="AM4153" s="4">
        <v>16</v>
      </c>
      <c r="AN4153" s="4">
        <v>0</v>
      </c>
      <c r="AO4153" s="4">
        <v>0</v>
      </c>
      <c r="AP4153" s="4">
        <v>1</v>
      </c>
      <c r="AQ4153" s="4">
        <v>1</v>
      </c>
      <c r="AR4153" s="3" t="s">
        <v>65</v>
      </c>
      <c r="AS4153" s="3" t="s">
        <v>65</v>
      </c>
      <c r="AT4153" s="3" t="s">
        <v>65</v>
      </c>
      <c r="AV4153" s="6" t="str">
        <f>HYPERLINK("http://mcgill.on.worldcat.org/oclc/60437118","Catalog Record")</f>
        <v>Catalog Record</v>
      </c>
      <c r="AW4153" s="6" t="str">
        <f>HYPERLINK("http://www.worldcat.org/oclc/60437118","WorldCat Record")</f>
        <v>WorldCat Record</v>
      </c>
      <c r="AX4153" s="3" t="s">
        <v>41452</v>
      </c>
      <c r="AY4153" s="3" t="s">
        <v>41453</v>
      </c>
      <c r="AZ4153" s="3" t="s">
        <v>41454</v>
      </c>
      <c r="BA4153" s="3" t="s">
        <v>41454</v>
      </c>
      <c r="BB4153" s="3" t="s">
        <v>41455</v>
      </c>
      <c r="BC4153" s="3" t="s">
        <v>77</v>
      </c>
      <c r="BD4153" s="3" t="s">
        <v>106</v>
      </c>
      <c r="BE4153" s="3" t="s">
        <v>41456</v>
      </c>
      <c r="BF4153" s="3" t="s">
        <v>41455</v>
      </c>
      <c r="BG4153" s="3" t="s">
        <v>41457</v>
      </c>
    </row>
    <row r="4154" spans="1:59" ht="58" x14ac:dyDescent="0.35">
      <c r="A4154" s="2" t="s">
        <v>59</v>
      </c>
      <c r="B4154" s="2" t="s">
        <v>60</v>
      </c>
      <c r="C4154" s="2" t="s">
        <v>41458</v>
      </c>
      <c r="D4154" s="2" t="s">
        <v>41459</v>
      </c>
      <c r="E4154" s="2" t="s">
        <v>41460</v>
      </c>
      <c r="G4154" s="3" t="s">
        <v>65</v>
      </c>
      <c r="I4154" s="3" t="s">
        <v>65</v>
      </c>
      <c r="J4154" s="3" t="s">
        <v>65</v>
      </c>
      <c r="K4154" s="3" t="s">
        <v>66</v>
      </c>
      <c r="L4154" s="2" t="s">
        <v>41461</v>
      </c>
      <c r="M4154" s="2" t="s">
        <v>41462</v>
      </c>
      <c r="N4154" s="3" t="s">
        <v>525</v>
      </c>
      <c r="P4154" s="3" t="s">
        <v>140</v>
      </c>
      <c r="Q4154" s="2" t="s">
        <v>41463</v>
      </c>
      <c r="R4154" s="3" t="s">
        <v>71</v>
      </c>
      <c r="S4154" s="4">
        <v>6</v>
      </c>
      <c r="T4154" s="4">
        <v>6</v>
      </c>
      <c r="U4154" s="5" t="s">
        <v>9754</v>
      </c>
      <c r="V4154" s="5" t="s">
        <v>9754</v>
      </c>
      <c r="W4154" s="5" t="s">
        <v>72</v>
      </c>
      <c r="X4154" s="5" t="s">
        <v>72</v>
      </c>
      <c r="Y4154" s="4">
        <v>26</v>
      </c>
      <c r="Z4154" s="4">
        <v>3</v>
      </c>
      <c r="AA4154" s="4">
        <v>3</v>
      </c>
      <c r="AB4154" s="4">
        <v>1</v>
      </c>
      <c r="AC4154" s="4">
        <v>1</v>
      </c>
      <c r="AD4154" s="4">
        <v>17</v>
      </c>
      <c r="AE4154" s="4">
        <v>17</v>
      </c>
      <c r="AF4154" s="4">
        <v>0</v>
      </c>
      <c r="AG4154" s="4">
        <v>0</v>
      </c>
      <c r="AH4154" s="4">
        <v>16</v>
      </c>
      <c r="AI4154" s="4">
        <v>16</v>
      </c>
      <c r="AJ4154" s="4">
        <v>1</v>
      </c>
      <c r="AK4154" s="4">
        <v>1</v>
      </c>
      <c r="AL4154" s="4">
        <v>14</v>
      </c>
      <c r="AM4154" s="4">
        <v>14</v>
      </c>
      <c r="AN4154" s="4">
        <v>0</v>
      </c>
      <c r="AO4154" s="4">
        <v>0</v>
      </c>
      <c r="AP4154" s="4">
        <v>1</v>
      </c>
      <c r="AQ4154" s="4">
        <v>1</v>
      </c>
      <c r="AR4154" s="3" t="s">
        <v>65</v>
      </c>
      <c r="AS4154" s="3" t="s">
        <v>65</v>
      </c>
      <c r="AT4154" s="3" t="s">
        <v>65</v>
      </c>
      <c r="AV4154" s="6" t="str">
        <f>HYPERLINK("http://mcgill.on.worldcat.org/oclc/56974082","Catalog Record")</f>
        <v>Catalog Record</v>
      </c>
      <c r="AW4154" s="6" t="str">
        <f>HYPERLINK("http://www.worldcat.org/oclc/56974082","WorldCat Record")</f>
        <v>WorldCat Record</v>
      </c>
      <c r="AX4154" s="3" t="s">
        <v>41464</v>
      </c>
      <c r="AY4154" s="3" t="s">
        <v>41465</v>
      </c>
      <c r="AZ4154" s="3" t="s">
        <v>41466</v>
      </c>
      <c r="BA4154" s="3" t="s">
        <v>41466</v>
      </c>
      <c r="BB4154" s="3" t="s">
        <v>41467</v>
      </c>
      <c r="BC4154" s="3" t="s">
        <v>77</v>
      </c>
      <c r="BD4154" s="3" t="s">
        <v>106</v>
      </c>
      <c r="BE4154" s="3" t="s">
        <v>41468</v>
      </c>
      <c r="BF4154" s="3" t="s">
        <v>41467</v>
      </c>
      <c r="BG4154" s="3" t="s">
        <v>41469</v>
      </c>
    </row>
    <row r="4155" spans="1:59" ht="58" x14ac:dyDescent="0.35">
      <c r="A4155" s="2" t="s">
        <v>59</v>
      </c>
      <c r="B4155" s="2" t="s">
        <v>60</v>
      </c>
      <c r="C4155" s="2" t="s">
        <v>41470</v>
      </c>
      <c r="D4155" s="2" t="s">
        <v>41471</v>
      </c>
      <c r="E4155" s="2" t="s">
        <v>41472</v>
      </c>
      <c r="G4155" s="3" t="s">
        <v>65</v>
      </c>
      <c r="I4155" s="3" t="s">
        <v>65</v>
      </c>
      <c r="J4155" s="3" t="s">
        <v>65</v>
      </c>
      <c r="K4155" s="3" t="s">
        <v>66</v>
      </c>
      <c r="L4155" s="2" t="s">
        <v>41473</v>
      </c>
      <c r="M4155" s="2" t="s">
        <v>41474</v>
      </c>
      <c r="N4155" s="3" t="s">
        <v>188</v>
      </c>
      <c r="O4155" s="2" t="s">
        <v>235</v>
      </c>
      <c r="P4155" s="3" t="s">
        <v>140</v>
      </c>
      <c r="Q4155" s="2" t="s">
        <v>41475</v>
      </c>
      <c r="R4155" s="3" t="s">
        <v>71</v>
      </c>
      <c r="S4155" s="4">
        <v>0</v>
      </c>
      <c r="T4155" s="4">
        <v>0</v>
      </c>
      <c r="W4155" s="5" t="s">
        <v>72</v>
      </c>
      <c r="X4155" s="5" t="s">
        <v>72</v>
      </c>
      <c r="Y4155" s="4">
        <v>5</v>
      </c>
      <c r="Z4155" s="4">
        <v>1</v>
      </c>
      <c r="AA4155" s="4">
        <v>1</v>
      </c>
      <c r="AB4155" s="4">
        <v>1</v>
      </c>
      <c r="AC4155" s="4">
        <v>1</v>
      </c>
      <c r="AD4155" s="4">
        <v>2</v>
      </c>
      <c r="AE4155" s="4">
        <v>2</v>
      </c>
      <c r="AF4155" s="4">
        <v>0</v>
      </c>
      <c r="AG4155" s="4">
        <v>0</v>
      </c>
      <c r="AH4155" s="4">
        <v>2</v>
      </c>
      <c r="AI4155" s="4">
        <v>2</v>
      </c>
      <c r="AJ4155" s="4">
        <v>0</v>
      </c>
      <c r="AK4155" s="4">
        <v>0</v>
      </c>
      <c r="AL4155" s="4">
        <v>2</v>
      </c>
      <c r="AM4155" s="4">
        <v>2</v>
      </c>
      <c r="AN4155" s="4">
        <v>0</v>
      </c>
      <c r="AO4155" s="4">
        <v>0</v>
      </c>
      <c r="AP4155" s="4">
        <v>0</v>
      </c>
      <c r="AQ4155" s="4">
        <v>0</v>
      </c>
      <c r="AR4155" s="3" t="s">
        <v>65</v>
      </c>
      <c r="AS4155" s="3" t="s">
        <v>65</v>
      </c>
      <c r="AT4155" s="3" t="s">
        <v>65</v>
      </c>
      <c r="AV4155" s="6" t="str">
        <f>HYPERLINK("http://mcgill.on.worldcat.org/oclc/1001495286","Catalog Record")</f>
        <v>Catalog Record</v>
      </c>
      <c r="AW4155" s="6" t="str">
        <f>HYPERLINK("http://www.worldcat.org/oclc/1001495286","WorldCat Record")</f>
        <v>WorldCat Record</v>
      </c>
      <c r="AX4155" s="3" t="s">
        <v>41476</v>
      </c>
      <c r="AY4155" s="3" t="s">
        <v>41477</v>
      </c>
      <c r="AZ4155" s="3" t="s">
        <v>41478</v>
      </c>
      <c r="BA4155" s="3" t="s">
        <v>41478</v>
      </c>
      <c r="BB4155" s="3" t="s">
        <v>41479</v>
      </c>
      <c r="BC4155" s="3" t="s">
        <v>77</v>
      </c>
      <c r="BD4155" s="3" t="s">
        <v>78</v>
      </c>
      <c r="BE4155" s="3" t="s">
        <v>41480</v>
      </c>
      <c r="BF4155" s="3" t="s">
        <v>41479</v>
      </c>
      <c r="BG4155" s="3" t="s">
        <v>41481</v>
      </c>
    </row>
    <row r="4156" spans="1:59" ht="58" x14ac:dyDescent="0.35">
      <c r="A4156" s="2" t="s">
        <v>59</v>
      </c>
      <c r="B4156" s="2" t="s">
        <v>60</v>
      </c>
      <c r="C4156" s="2" t="s">
        <v>41482</v>
      </c>
      <c r="D4156" s="2" t="s">
        <v>41483</v>
      </c>
      <c r="E4156" s="2" t="s">
        <v>41484</v>
      </c>
      <c r="G4156" s="3" t="s">
        <v>65</v>
      </c>
      <c r="I4156" s="3" t="s">
        <v>65</v>
      </c>
      <c r="J4156" s="3" t="s">
        <v>65</v>
      </c>
      <c r="K4156" s="3" t="s">
        <v>66</v>
      </c>
      <c r="L4156" s="2" t="s">
        <v>41485</v>
      </c>
      <c r="M4156" s="2" t="s">
        <v>41486</v>
      </c>
      <c r="N4156" s="3" t="s">
        <v>1944</v>
      </c>
      <c r="P4156" s="3" t="s">
        <v>616</v>
      </c>
      <c r="R4156" s="3" t="s">
        <v>71</v>
      </c>
      <c r="S4156" s="4">
        <v>1</v>
      </c>
      <c r="T4156" s="4">
        <v>1</v>
      </c>
      <c r="U4156" s="5" t="s">
        <v>9558</v>
      </c>
      <c r="V4156" s="5" t="s">
        <v>9558</v>
      </c>
      <c r="W4156" s="5" t="s">
        <v>72</v>
      </c>
      <c r="X4156" s="5" t="s">
        <v>72</v>
      </c>
      <c r="Y4156" s="4">
        <v>1</v>
      </c>
      <c r="Z4156" s="4">
        <v>1</v>
      </c>
      <c r="AA4156" s="4">
        <v>2</v>
      </c>
      <c r="AB4156" s="4">
        <v>1</v>
      </c>
      <c r="AC4156" s="4">
        <v>2</v>
      </c>
      <c r="AD4156" s="4">
        <v>0</v>
      </c>
      <c r="AE4156" s="4">
        <v>0</v>
      </c>
      <c r="AF4156" s="4">
        <v>0</v>
      </c>
      <c r="AG4156" s="4">
        <v>0</v>
      </c>
      <c r="AH4156" s="4">
        <v>0</v>
      </c>
      <c r="AI4156" s="4">
        <v>0</v>
      </c>
      <c r="AJ4156" s="4">
        <v>0</v>
      </c>
      <c r="AK4156" s="4">
        <v>0</v>
      </c>
      <c r="AL4156" s="4">
        <v>0</v>
      </c>
      <c r="AM4156" s="4">
        <v>0</v>
      </c>
      <c r="AN4156" s="4">
        <v>0</v>
      </c>
      <c r="AO4156" s="4">
        <v>0</v>
      </c>
      <c r="AP4156" s="4">
        <v>0</v>
      </c>
      <c r="AQ4156" s="4">
        <v>0</v>
      </c>
      <c r="AR4156" s="3" t="s">
        <v>65</v>
      </c>
      <c r="AS4156" s="3" t="s">
        <v>65</v>
      </c>
      <c r="AT4156" s="3" t="s">
        <v>65</v>
      </c>
      <c r="AV4156" s="6" t="str">
        <f>HYPERLINK("http://mcgill.on.worldcat.org/oclc/1055765197","Catalog Record")</f>
        <v>Catalog Record</v>
      </c>
      <c r="AW4156" s="6" t="str">
        <f>HYPERLINK("http://www.worldcat.org/oclc/1055765197","WorldCat Record")</f>
        <v>WorldCat Record</v>
      </c>
      <c r="AX4156" s="3" t="s">
        <v>41487</v>
      </c>
      <c r="AY4156" s="3" t="s">
        <v>41488</v>
      </c>
      <c r="AZ4156" s="3" t="s">
        <v>41489</v>
      </c>
      <c r="BA4156" s="3" t="s">
        <v>41489</v>
      </c>
      <c r="BB4156" s="3" t="s">
        <v>41490</v>
      </c>
      <c r="BC4156" s="3" t="s">
        <v>77</v>
      </c>
      <c r="BD4156" s="3" t="s">
        <v>78</v>
      </c>
      <c r="BE4156" s="3" t="s">
        <v>41491</v>
      </c>
      <c r="BF4156" s="3" t="s">
        <v>41490</v>
      </c>
      <c r="BG4156" s="3" t="s">
        <v>41492</v>
      </c>
    </row>
    <row r="4157" spans="1:59" ht="58" x14ac:dyDescent="0.35">
      <c r="A4157" s="2" t="s">
        <v>59</v>
      </c>
      <c r="B4157" s="2" t="s">
        <v>60</v>
      </c>
      <c r="C4157" s="2" t="s">
        <v>41493</v>
      </c>
      <c r="D4157" s="2" t="s">
        <v>41494</v>
      </c>
      <c r="E4157" s="2" t="s">
        <v>41495</v>
      </c>
      <c r="G4157" s="3" t="s">
        <v>65</v>
      </c>
      <c r="I4157" s="3" t="s">
        <v>65</v>
      </c>
      <c r="J4157" s="3" t="s">
        <v>65</v>
      </c>
      <c r="K4157" s="3" t="s">
        <v>66</v>
      </c>
      <c r="L4157" s="2" t="s">
        <v>41496</v>
      </c>
      <c r="M4157" s="2" t="s">
        <v>41497</v>
      </c>
      <c r="N4157" s="3" t="s">
        <v>7187</v>
      </c>
      <c r="P4157" s="3" t="s">
        <v>140</v>
      </c>
      <c r="R4157" s="3" t="s">
        <v>71</v>
      </c>
      <c r="S4157" s="4">
        <v>4</v>
      </c>
      <c r="T4157" s="4">
        <v>4</v>
      </c>
      <c r="U4157" s="5" t="s">
        <v>36797</v>
      </c>
      <c r="V4157" s="5" t="s">
        <v>36797</v>
      </c>
      <c r="W4157" s="5" t="s">
        <v>72</v>
      </c>
      <c r="X4157" s="5" t="s">
        <v>72</v>
      </c>
      <c r="Y4157" s="4">
        <v>37</v>
      </c>
      <c r="Z4157" s="4">
        <v>5</v>
      </c>
      <c r="AA4157" s="4">
        <v>5</v>
      </c>
      <c r="AB4157" s="4">
        <v>1</v>
      </c>
      <c r="AC4157" s="4">
        <v>1</v>
      </c>
      <c r="AD4157" s="4">
        <v>21</v>
      </c>
      <c r="AE4157" s="4">
        <v>21</v>
      </c>
      <c r="AF4157" s="4">
        <v>0</v>
      </c>
      <c r="AG4157" s="4">
        <v>0</v>
      </c>
      <c r="AH4157" s="4">
        <v>19</v>
      </c>
      <c r="AI4157" s="4">
        <v>19</v>
      </c>
      <c r="AJ4157" s="4">
        <v>2</v>
      </c>
      <c r="AK4157" s="4">
        <v>2</v>
      </c>
      <c r="AL4157" s="4">
        <v>14</v>
      </c>
      <c r="AM4157" s="4">
        <v>14</v>
      </c>
      <c r="AN4157" s="4">
        <v>0</v>
      </c>
      <c r="AO4157" s="4">
        <v>0</v>
      </c>
      <c r="AP4157" s="4">
        <v>2</v>
      </c>
      <c r="AQ4157" s="4">
        <v>2</v>
      </c>
      <c r="AR4157" s="3" t="s">
        <v>65</v>
      </c>
      <c r="AS4157" s="3" t="s">
        <v>65</v>
      </c>
      <c r="AT4157" s="3" t="s">
        <v>65</v>
      </c>
      <c r="AV4157" s="6" t="str">
        <f>HYPERLINK("http://mcgill.on.worldcat.org/oclc/4000879","Catalog Record")</f>
        <v>Catalog Record</v>
      </c>
      <c r="AW4157" s="6" t="str">
        <f>HYPERLINK("http://www.worldcat.org/oclc/4000879","WorldCat Record")</f>
        <v>WorldCat Record</v>
      </c>
      <c r="AX4157" s="3" t="s">
        <v>41498</v>
      </c>
      <c r="AY4157" s="3" t="s">
        <v>41499</v>
      </c>
      <c r="AZ4157" s="3" t="s">
        <v>41500</v>
      </c>
      <c r="BA4157" s="3" t="s">
        <v>41500</v>
      </c>
      <c r="BB4157" s="3" t="s">
        <v>41501</v>
      </c>
      <c r="BC4157" s="3" t="s">
        <v>77</v>
      </c>
      <c r="BD4157" s="3" t="s">
        <v>78</v>
      </c>
      <c r="BF4157" s="3" t="s">
        <v>41501</v>
      </c>
      <c r="BG4157" s="3" t="s">
        <v>41502</v>
      </c>
    </row>
    <row r="4158" spans="1:59" ht="58" x14ac:dyDescent="0.35">
      <c r="A4158" s="2" t="s">
        <v>59</v>
      </c>
      <c r="B4158" s="2" t="s">
        <v>60</v>
      </c>
      <c r="C4158" s="2" t="s">
        <v>41503</v>
      </c>
      <c r="D4158" s="2" t="s">
        <v>41504</v>
      </c>
      <c r="E4158" s="2" t="s">
        <v>41505</v>
      </c>
      <c r="G4158" s="3" t="s">
        <v>65</v>
      </c>
      <c r="I4158" s="3" t="s">
        <v>65</v>
      </c>
      <c r="J4158" s="3" t="s">
        <v>65</v>
      </c>
      <c r="K4158" s="3" t="s">
        <v>66</v>
      </c>
      <c r="L4158" s="2" t="s">
        <v>41506</v>
      </c>
      <c r="M4158" s="2" t="s">
        <v>41507</v>
      </c>
      <c r="N4158" s="3" t="s">
        <v>7187</v>
      </c>
      <c r="P4158" s="3" t="s">
        <v>140</v>
      </c>
      <c r="Q4158" s="2" t="s">
        <v>41508</v>
      </c>
      <c r="R4158" s="3" t="s">
        <v>71</v>
      </c>
      <c r="S4158" s="4">
        <v>7</v>
      </c>
      <c r="T4158" s="4">
        <v>7</v>
      </c>
      <c r="U4158" s="5" t="s">
        <v>36797</v>
      </c>
      <c r="V4158" s="5" t="s">
        <v>36797</v>
      </c>
      <c r="W4158" s="5" t="s">
        <v>72</v>
      </c>
      <c r="X4158" s="5" t="s">
        <v>72</v>
      </c>
      <c r="Y4158" s="4">
        <v>51</v>
      </c>
      <c r="Z4158" s="4">
        <v>7</v>
      </c>
      <c r="AA4158" s="4">
        <v>7</v>
      </c>
      <c r="AB4158" s="4">
        <v>1</v>
      </c>
      <c r="AC4158" s="4">
        <v>1</v>
      </c>
      <c r="AD4158" s="4">
        <v>30</v>
      </c>
      <c r="AE4158" s="4">
        <v>38</v>
      </c>
      <c r="AF4158" s="4">
        <v>0</v>
      </c>
      <c r="AG4158" s="4">
        <v>0</v>
      </c>
      <c r="AH4158" s="4">
        <v>27</v>
      </c>
      <c r="AI4158" s="4">
        <v>35</v>
      </c>
      <c r="AJ4158" s="4">
        <v>4</v>
      </c>
      <c r="AK4158" s="4">
        <v>4</v>
      </c>
      <c r="AL4158" s="4">
        <v>18</v>
      </c>
      <c r="AM4158" s="4">
        <v>25</v>
      </c>
      <c r="AN4158" s="4">
        <v>0</v>
      </c>
      <c r="AO4158" s="4">
        <v>0</v>
      </c>
      <c r="AP4158" s="4">
        <v>4</v>
      </c>
      <c r="AQ4158" s="4">
        <v>4</v>
      </c>
      <c r="AR4158" s="3" t="s">
        <v>65</v>
      </c>
      <c r="AS4158" s="3" t="s">
        <v>65</v>
      </c>
      <c r="AT4158" s="3" t="s">
        <v>209</v>
      </c>
      <c r="AU4158" s="6" t="str">
        <f>HYPERLINK("http://catalog.hathitrust.org/Record/007862416","HathiTrust Record")</f>
        <v>HathiTrust Record</v>
      </c>
      <c r="AV4158" s="6" t="str">
        <f>HYPERLINK("http://mcgill.on.worldcat.org/oclc/3345083","Catalog Record")</f>
        <v>Catalog Record</v>
      </c>
      <c r="AW4158" s="6" t="str">
        <f>HYPERLINK("http://www.worldcat.org/oclc/3345083","WorldCat Record")</f>
        <v>WorldCat Record</v>
      </c>
      <c r="AX4158" s="3" t="s">
        <v>41509</v>
      </c>
      <c r="AY4158" s="3" t="s">
        <v>41510</v>
      </c>
      <c r="AZ4158" s="3" t="s">
        <v>41511</v>
      </c>
      <c r="BA4158" s="3" t="s">
        <v>41511</v>
      </c>
      <c r="BB4158" s="3" t="s">
        <v>41512</v>
      </c>
      <c r="BC4158" s="3" t="s">
        <v>77</v>
      </c>
      <c r="BD4158" s="3" t="s">
        <v>78</v>
      </c>
      <c r="BF4158" s="3" t="s">
        <v>41512</v>
      </c>
      <c r="BG4158" s="3" t="s">
        <v>41513</v>
      </c>
    </row>
    <row r="4159" spans="1:59" ht="72.5" x14ac:dyDescent="0.35">
      <c r="A4159" s="2" t="s">
        <v>59</v>
      </c>
      <c r="B4159" s="2" t="s">
        <v>60</v>
      </c>
      <c r="C4159" s="2" t="s">
        <v>41514</v>
      </c>
      <c r="D4159" s="2" t="s">
        <v>41515</v>
      </c>
      <c r="E4159" s="2" t="s">
        <v>41516</v>
      </c>
      <c r="G4159" s="3" t="s">
        <v>65</v>
      </c>
      <c r="I4159" s="3" t="s">
        <v>65</v>
      </c>
      <c r="J4159" s="3" t="s">
        <v>65</v>
      </c>
      <c r="K4159" s="3" t="s">
        <v>66</v>
      </c>
      <c r="L4159" s="2" t="s">
        <v>30455</v>
      </c>
      <c r="M4159" s="2" t="s">
        <v>33881</v>
      </c>
      <c r="N4159" s="3" t="s">
        <v>126</v>
      </c>
      <c r="P4159" s="3" t="s">
        <v>140</v>
      </c>
      <c r="Q4159" s="2" t="s">
        <v>41517</v>
      </c>
      <c r="R4159" s="3" t="s">
        <v>71</v>
      </c>
      <c r="S4159" s="4">
        <v>0</v>
      </c>
      <c r="T4159" s="4">
        <v>0</v>
      </c>
      <c r="W4159" s="5" t="s">
        <v>72</v>
      </c>
      <c r="X4159" s="5" t="s">
        <v>72</v>
      </c>
      <c r="Y4159" s="4">
        <v>14</v>
      </c>
      <c r="Z4159" s="4">
        <v>3</v>
      </c>
      <c r="AA4159" s="4">
        <v>3</v>
      </c>
      <c r="AB4159" s="4">
        <v>1</v>
      </c>
      <c r="AC4159" s="4">
        <v>1</v>
      </c>
      <c r="AD4159" s="4">
        <v>10</v>
      </c>
      <c r="AE4159" s="4">
        <v>10</v>
      </c>
      <c r="AF4159" s="4">
        <v>0</v>
      </c>
      <c r="AG4159" s="4">
        <v>0</v>
      </c>
      <c r="AH4159" s="4">
        <v>10</v>
      </c>
      <c r="AI4159" s="4">
        <v>10</v>
      </c>
      <c r="AJ4159" s="4">
        <v>1</v>
      </c>
      <c r="AK4159" s="4">
        <v>1</v>
      </c>
      <c r="AL4159" s="4">
        <v>8</v>
      </c>
      <c r="AM4159" s="4">
        <v>8</v>
      </c>
      <c r="AN4159" s="4">
        <v>0</v>
      </c>
      <c r="AO4159" s="4">
        <v>0</v>
      </c>
      <c r="AP4159" s="4">
        <v>1</v>
      </c>
      <c r="AQ4159" s="4">
        <v>1</v>
      </c>
      <c r="AR4159" s="3" t="s">
        <v>65</v>
      </c>
      <c r="AS4159" s="3" t="s">
        <v>65</v>
      </c>
      <c r="AT4159" s="3" t="s">
        <v>65</v>
      </c>
      <c r="AV4159" s="6" t="str">
        <f>HYPERLINK("http://mcgill.on.worldcat.org/oclc/732280605","Catalog Record")</f>
        <v>Catalog Record</v>
      </c>
      <c r="AW4159" s="6" t="str">
        <f>HYPERLINK("http://www.worldcat.org/oclc/732280605","WorldCat Record")</f>
        <v>WorldCat Record</v>
      </c>
      <c r="AX4159" s="3" t="s">
        <v>41518</v>
      </c>
      <c r="AY4159" s="3" t="s">
        <v>41519</v>
      </c>
      <c r="AZ4159" s="3" t="s">
        <v>41520</v>
      </c>
      <c r="BA4159" s="3" t="s">
        <v>41520</v>
      </c>
      <c r="BB4159" s="3" t="s">
        <v>41521</v>
      </c>
      <c r="BC4159" s="3" t="s">
        <v>77</v>
      </c>
      <c r="BD4159" s="3" t="s">
        <v>78</v>
      </c>
      <c r="BE4159" s="3" t="s">
        <v>41522</v>
      </c>
      <c r="BF4159" s="3" t="s">
        <v>41521</v>
      </c>
      <c r="BG4159" s="3" t="s">
        <v>41523</v>
      </c>
    </row>
    <row r="4160" spans="1:59" ht="72.5" x14ac:dyDescent="0.35">
      <c r="A4160" s="2" t="s">
        <v>59</v>
      </c>
      <c r="B4160" s="2" t="s">
        <v>60</v>
      </c>
      <c r="C4160" s="2" t="s">
        <v>41514</v>
      </c>
      <c r="D4160" s="2" t="s">
        <v>41515</v>
      </c>
      <c r="E4160" s="2" t="s">
        <v>41524</v>
      </c>
      <c r="G4160" s="3" t="s">
        <v>65</v>
      </c>
      <c r="I4160" s="3" t="s">
        <v>65</v>
      </c>
      <c r="J4160" s="3" t="s">
        <v>65</v>
      </c>
      <c r="K4160" s="3" t="s">
        <v>66</v>
      </c>
      <c r="M4160" s="2" t="s">
        <v>41525</v>
      </c>
      <c r="N4160" s="3" t="s">
        <v>126</v>
      </c>
      <c r="P4160" s="3" t="s">
        <v>140</v>
      </c>
      <c r="Q4160" s="2" t="s">
        <v>41526</v>
      </c>
      <c r="R4160" s="3" t="s">
        <v>71</v>
      </c>
      <c r="S4160" s="4">
        <v>0</v>
      </c>
      <c r="T4160" s="4">
        <v>0</v>
      </c>
      <c r="W4160" s="5" t="s">
        <v>72</v>
      </c>
      <c r="X4160" s="5" t="s">
        <v>72</v>
      </c>
      <c r="Y4160" s="4">
        <v>26</v>
      </c>
      <c r="Z4160" s="4">
        <v>3</v>
      </c>
      <c r="AA4160" s="4">
        <v>3</v>
      </c>
      <c r="AB4160" s="4">
        <v>1</v>
      </c>
      <c r="AC4160" s="4">
        <v>1</v>
      </c>
      <c r="AD4160" s="4">
        <v>17</v>
      </c>
      <c r="AE4160" s="4">
        <v>17</v>
      </c>
      <c r="AF4160" s="4">
        <v>0</v>
      </c>
      <c r="AG4160" s="4">
        <v>0</v>
      </c>
      <c r="AH4160" s="4">
        <v>16</v>
      </c>
      <c r="AI4160" s="4">
        <v>16</v>
      </c>
      <c r="AJ4160" s="4">
        <v>1</v>
      </c>
      <c r="AK4160" s="4">
        <v>1</v>
      </c>
      <c r="AL4160" s="4">
        <v>14</v>
      </c>
      <c r="AM4160" s="4">
        <v>14</v>
      </c>
      <c r="AN4160" s="4">
        <v>0</v>
      </c>
      <c r="AO4160" s="4">
        <v>0</v>
      </c>
      <c r="AP4160" s="4">
        <v>1</v>
      </c>
      <c r="AQ4160" s="4">
        <v>1</v>
      </c>
      <c r="AR4160" s="3" t="s">
        <v>65</v>
      </c>
      <c r="AS4160" s="3" t="s">
        <v>65</v>
      </c>
      <c r="AT4160" s="3" t="s">
        <v>65</v>
      </c>
      <c r="AV4160" s="6" t="str">
        <f>HYPERLINK("http://mcgill.on.worldcat.org/oclc/727704950","Catalog Record")</f>
        <v>Catalog Record</v>
      </c>
      <c r="AW4160" s="6" t="str">
        <f>HYPERLINK("http://www.worldcat.org/oclc/727704950","WorldCat Record")</f>
        <v>WorldCat Record</v>
      </c>
      <c r="AX4160" s="3" t="s">
        <v>41527</v>
      </c>
      <c r="AY4160" s="3" t="s">
        <v>41528</v>
      </c>
      <c r="AZ4160" s="3" t="s">
        <v>41529</v>
      </c>
      <c r="BA4160" s="3" t="s">
        <v>41529</v>
      </c>
      <c r="BB4160" s="3" t="s">
        <v>41530</v>
      </c>
      <c r="BC4160" s="3" t="s">
        <v>77</v>
      </c>
      <c r="BD4160" s="3" t="s">
        <v>78</v>
      </c>
      <c r="BE4160" s="3" t="s">
        <v>41531</v>
      </c>
      <c r="BF4160" s="3" t="s">
        <v>41530</v>
      </c>
      <c r="BG4160" s="3" t="s">
        <v>41532</v>
      </c>
    </row>
    <row r="4161" spans="1:59" ht="58" x14ac:dyDescent="0.35">
      <c r="A4161" s="2" t="s">
        <v>59</v>
      </c>
      <c r="B4161" s="2" t="s">
        <v>60</v>
      </c>
      <c r="C4161" s="2" t="s">
        <v>41533</v>
      </c>
      <c r="D4161" s="2" t="s">
        <v>41534</v>
      </c>
      <c r="E4161" s="2" t="s">
        <v>41535</v>
      </c>
      <c r="G4161" s="3" t="s">
        <v>65</v>
      </c>
      <c r="I4161" s="3" t="s">
        <v>65</v>
      </c>
      <c r="J4161" s="3" t="s">
        <v>65</v>
      </c>
      <c r="K4161" s="3" t="s">
        <v>66</v>
      </c>
      <c r="L4161" s="2" t="s">
        <v>41536</v>
      </c>
      <c r="M4161" s="2" t="s">
        <v>41537</v>
      </c>
      <c r="N4161" s="3" t="s">
        <v>86</v>
      </c>
      <c r="P4161" s="3" t="s">
        <v>140</v>
      </c>
      <c r="Q4161" s="2" t="s">
        <v>41538</v>
      </c>
      <c r="R4161" s="3" t="s">
        <v>71</v>
      </c>
      <c r="S4161" s="4">
        <v>0</v>
      </c>
      <c r="T4161" s="4">
        <v>0</v>
      </c>
      <c r="W4161" s="5" t="s">
        <v>4229</v>
      </c>
      <c r="X4161" s="5" t="s">
        <v>4229</v>
      </c>
      <c r="Y4161" s="4">
        <v>17</v>
      </c>
      <c r="Z4161" s="4">
        <v>1</v>
      </c>
      <c r="AA4161" s="4">
        <v>1</v>
      </c>
      <c r="AB4161" s="4">
        <v>1</v>
      </c>
      <c r="AC4161" s="4">
        <v>1</v>
      </c>
      <c r="AD4161" s="4">
        <v>13</v>
      </c>
      <c r="AE4161" s="4">
        <v>13</v>
      </c>
      <c r="AF4161" s="4">
        <v>0</v>
      </c>
      <c r="AG4161" s="4">
        <v>0</v>
      </c>
      <c r="AH4161" s="4">
        <v>13</v>
      </c>
      <c r="AI4161" s="4">
        <v>13</v>
      </c>
      <c r="AJ4161" s="4">
        <v>0</v>
      </c>
      <c r="AK4161" s="4">
        <v>0</v>
      </c>
      <c r="AL4161" s="4">
        <v>11</v>
      </c>
      <c r="AM4161" s="4">
        <v>11</v>
      </c>
      <c r="AN4161" s="4">
        <v>0</v>
      </c>
      <c r="AO4161" s="4">
        <v>0</v>
      </c>
      <c r="AP4161" s="4">
        <v>0</v>
      </c>
      <c r="AQ4161" s="4">
        <v>0</v>
      </c>
      <c r="AR4161" s="3" t="s">
        <v>65</v>
      </c>
      <c r="AS4161" s="3" t="s">
        <v>65</v>
      </c>
      <c r="AT4161" s="3" t="s">
        <v>65</v>
      </c>
      <c r="AV4161" s="6" t="str">
        <f>HYPERLINK("http://mcgill.on.worldcat.org/oclc/1043684696","Catalog Record")</f>
        <v>Catalog Record</v>
      </c>
      <c r="AW4161" s="6" t="str">
        <f>HYPERLINK("http://www.worldcat.org/oclc/1043684696","WorldCat Record")</f>
        <v>WorldCat Record</v>
      </c>
      <c r="AX4161" s="3" t="s">
        <v>41539</v>
      </c>
      <c r="AY4161" s="3" t="s">
        <v>41540</v>
      </c>
      <c r="AZ4161" s="3" t="s">
        <v>41541</v>
      </c>
      <c r="BA4161" s="3" t="s">
        <v>41541</v>
      </c>
      <c r="BB4161" s="3" t="s">
        <v>41542</v>
      </c>
      <c r="BC4161" s="3" t="s">
        <v>77</v>
      </c>
      <c r="BD4161" s="3" t="s">
        <v>78</v>
      </c>
      <c r="BE4161" s="3" t="s">
        <v>41543</v>
      </c>
      <c r="BF4161" s="3" t="s">
        <v>41542</v>
      </c>
      <c r="BG4161" s="3" t="s">
        <v>41544</v>
      </c>
    </row>
    <row r="4162" spans="1:59" ht="58" x14ac:dyDescent="0.35">
      <c r="A4162" s="2" t="s">
        <v>59</v>
      </c>
      <c r="B4162" s="2" t="s">
        <v>60</v>
      </c>
      <c r="C4162" s="2" t="s">
        <v>41545</v>
      </c>
      <c r="D4162" s="2" t="s">
        <v>41546</v>
      </c>
      <c r="E4162" s="2" t="s">
        <v>41547</v>
      </c>
      <c r="F4162" s="3" t="s">
        <v>245</v>
      </c>
      <c r="G4162" s="3" t="s">
        <v>209</v>
      </c>
      <c r="I4162" s="3" t="s">
        <v>65</v>
      </c>
      <c r="J4162" s="3" t="s">
        <v>65</v>
      </c>
      <c r="K4162" s="3" t="s">
        <v>66</v>
      </c>
      <c r="L4162" s="2" t="s">
        <v>41548</v>
      </c>
      <c r="M4162" s="2" t="s">
        <v>41549</v>
      </c>
      <c r="N4162" s="3" t="s">
        <v>392</v>
      </c>
      <c r="O4162" s="2" t="s">
        <v>365</v>
      </c>
      <c r="P4162" s="3" t="s">
        <v>140</v>
      </c>
      <c r="R4162" s="3" t="s">
        <v>71</v>
      </c>
      <c r="S4162" s="4">
        <v>4</v>
      </c>
      <c r="T4162" s="4">
        <v>6</v>
      </c>
      <c r="U4162" s="5" t="s">
        <v>31855</v>
      </c>
      <c r="V4162" s="5" t="s">
        <v>31855</v>
      </c>
      <c r="W4162" s="5" t="s">
        <v>72</v>
      </c>
      <c r="X4162" s="5" t="s">
        <v>72</v>
      </c>
      <c r="Y4162" s="4">
        <v>28</v>
      </c>
      <c r="Z4162" s="4">
        <v>5</v>
      </c>
      <c r="AA4162" s="4">
        <v>5</v>
      </c>
      <c r="AB4162" s="4">
        <v>2</v>
      </c>
      <c r="AC4162" s="4">
        <v>2</v>
      </c>
      <c r="AD4162" s="4">
        <v>16</v>
      </c>
      <c r="AE4162" s="4">
        <v>16</v>
      </c>
      <c r="AF4162" s="4">
        <v>0</v>
      </c>
      <c r="AG4162" s="4">
        <v>0</v>
      </c>
      <c r="AH4162" s="4">
        <v>16</v>
      </c>
      <c r="AI4162" s="4">
        <v>16</v>
      </c>
      <c r="AJ4162" s="4">
        <v>2</v>
      </c>
      <c r="AK4162" s="4">
        <v>2</v>
      </c>
      <c r="AL4162" s="4">
        <v>9</v>
      </c>
      <c r="AM4162" s="4">
        <v>9</v>
      </c>
      <c r="AN4162" s="4">
        <v>0</v>
      </c>
      <c r="AO4162" s="4">
        <v>0</v>
      </c>
      <c r="AP4162" s="4">
        <v>2</v>
      </c>
      <c r="AQ4162" s="4">
        <v>2</v>
      </c>
      <c r="AR4162" s="3" t="s">
        <v>65</v>
      </c>
      <c r="AS4162" s="3" t="s">
        <v>65</v>
      </c>
      <c r="AT4162" s="3" t="s">
        <v>209</v>
      </c>
      <c r="AU4162" s="6" t="str">
        <f>HYPERLINK("http://catalog.hathitrust.org/Record/007968051","HathiTrust Record")</f>
        <v>HathiTrust Record</v>
      </c>
      <c r="AV4162" s="6" t="str">
        <f>HYPERLINK("http://mcgill.on.worldcat.org/oclc/23900509","Catalog Record")</f>
        <v>Catalog Record</v>
      </c>
      <c r="AW4162" s="6" t="str">
        <f>HYPERLINK("http://www.worldcat.org/oclc/23900509","WorldCat Record")</f>
        <v>WorldCat Record</v>
      </c>
      <c r="AX4162" s="3" t="s">
        <v>41550</v>
      </c>
      <c r="AY4162" s="3" t="s">
        <v>41551</v>
      </c>
      <c r="AZ4162" s="3" t="s">
        <v>41552</v>
      </c>
      <c r="BA4162" s="3" t="s">
        <v>41552</v>
      </c>
      <c r="BB4162" s="3" t="s">
        <v>41553</v>
      </c>
      <c r="BC4162" s="3" t="s">
        <v>77</v>
      </c>
      <c r="BD4162" s="3" t="s">
        <v>78</v>
      </c>
      <c r="BE4162" s="3" t="s">
        <v>41554</v>
      </c>
      <c r="BF4162" s="3" t="s">
        <v>41553</v>
      </c>
      <c r="BG4162" s="3" t="s">
        <v>41555</v>
      </c>
    </row>
    <row r="4163" spans="1:59" ht="58" x14ac:dyDescent="0.35">
      <c r="A4163" s="2" t="s">
        <v>59</v>
      </c>
      <c r="B4163" s="2" t="s">
        <v>60</v>
      </c>
      <c r="C4163" s="2" t="s">
        <v>41545</v>
      </c>
      <c r="D4163" s="2" t="s">
        <v>41546</v>
      </c>
      <c r="E4163" s="2" t="s">
        <v>41547</v>
      </c>
      <c r="F4163" s="3" t="s">
        <v>258</v>
      </c>
      <c r="G4163" s="3" t="s">
        <v>209</v>
      </c>
      <c r="I4163" s="3" t="s">
        <v>65</v>
      </c>
      <c r="J4163" s="3" t="s">
        <v>65</v>
      </c>
      <c r="K4163" s="3" t="s">
        <v>66</v>
      </c>
      <c r="L4163" s="2" t="s">
        <v>41548</v>
      </c>
      <c r="M4163" s="2" t="s">
        <v>41549</v>
      </c>
      <c r="N4163" s="3" t="s">
        <v>392</v>
      </c>
      <c r="O4163" s="2" t="s">
        <v>365</v>
      </c>
      <c r="P4163" s="3" t="s">
        <v>140</v>
      </c>
      <c r="R4163" s="3" t="s">
        <v>71</v>
      </c>
      <c r="S4163" s="4">
        <v>2</v>
      </c>
      <c r="T4163" s="4">
        <v>6</v>
      </c>
      <c r="U4163" s="5" t="s">
        <v>31855</v>
      </c>
      <c r="V4163" s="5" t="s">
        <v>31855</v>
      </c>
      <c r="W4163" s="5" t="s">
        <v>72</v>
      </c>
      <c r="X4163" s="5" t="s">
        <v>72</v>
      </c>
      <c r="Y4163" s="4">
        <v>28</v>
      </c>
      <c r="Z4163" s="4">
        <v>5</v>
      </c>
      <c r="AA4163" s="4">
        <v>5</v>
      </c>
      <c r="AB4163" s="4">
        <v>2</v>
      </c>
      <c r="AC4163" s="4">
        <v>2</v>
      </c>
      <c r="AD4163" s="4">
        <v>16</v>
      </c>
      <c r="AE4163" s="4">
        <v>16</v>
      </c>
      <c r="AF4163" s="4">
        <v>0</v>
      </c>
      <c r="AG4163" s="4">
        <v>0</v>
      </c>
      <c r="AH4163" s="4">
        <v>16</v>
      </c>
      <c r="AI4163" s="4">
        <v>16</v>
      </c>
      <c r="AJ4163" s="4">
        <v>2</v>
      </c>
      <c r="AK4163" s="4">
        <v>2</v>
      </c>
      <c r="AL4163" s="4">
        <v>9</v>
      </c>
      <c r="AM4163" s="4">
        <v>9</v>
      </c>
      <c r="AN4163" s="4">
        <v>0</v>
      </c>
      <c r="AO4163" s="4">
        <v>0</v>
      </c>
      <c r="AP4163" s="4">
        <v>2</v>
      </c>
      <c r="AQ4163" s="4">
        <v>2</v>
      </c>
      <c r="AR4163" s="3" t="s">
        <v>65</v>
      </c>
      <c r="AS4163" s="3" t="s">
        <v>65</v>
      </c>
      <c r="AT4163" s="3" t="s">
        <v>209</v>
      </c>
      <c r="AU4163" s="6" t="str">
        <f>HYPERLINK("http://catalog.hathitrust.org/Record/007968051","HathiTrust Record")</f>
        <v>HathiTrust Record</v>
      </c>
      <c r="AV4163" s="6" t="str">
        <f>HYPERLINK("http://mcgill.on.worldcat.org/oclc/23900509","Catalog Record")</f>
        <v>Catalog Record</v>
      </c>
      <c r="AW4163" s="6" t="str">
        <f>HYPERLINK("http://www.worldcat.org/oclc/23900509","WorldCat Record")</f>
        <v>WorldCat Record</v>
      </c>
      <c r="AX4163" s="3" t="s">
        <v>41550</v>
      </c>
      <c r="AY4163" s="3" t="s">
        <v>41551</v>
      </c>
      <c r="AZ4163" s="3" t="s">
        <v>41552</v>
      </c>
      <c r="BA4163" s="3" t="s">
        <v>41552</v>
      </c>
      <c r="BB4163" s="3" t="s">
        <v>41556</v>
      </c>
      <c r="BC4163" s="3" t="s">
        <v>77</v>
      </c>
      <c r="BD4163" s="3" t="s">
        <v>78</v>
      </c>
      <c r="BE4163" s="3" t="s">
        <v>41554</v>
      </c>
      <c r="BF4163" s="3" t="s">
        <v>41556</v>
      </c>
      <c r="BG4163" s="3" t="s">
        <v>41557</v>
      </c>
    </row>
    <row r="4164" spans="1:59" ht="58" x14ac:dyDescent="0.35">
      <c r="A4164" s="2" t="s">
        <v>59</v>
      </c>
      <c r="B4164" s="2" t="s">
        <v>60</v>
      </c>
      <c r="C4164" s="2" t="s">
        <v>41558</v>
      </c>
      <c r="D4164" s="2" t="s">
        <v>41559</v>
      </c>
      <c r="E4164" s="2" t="s">
        <v>41560</v>
      </c>
      <c r="G4164" s="3" t="s">
        <v>65</v>
      </c>
      <c r="I4164" s="3" t="s">
        <v>209</v>
      </c>
      <c r="J4164" s="3" t="s">
        <v>65</v>
      </c>
      <c r="K4164" s="3" t="s">
        <v>66</v>
      </c>
      <c r="L4164" s="2" t="s">
        <v>11875</v>
      </c>
      <c r="M4164" s="2" t="s">
        <v>41561</v>
      </c>
      <c r="N4164" s="3" t="s">
        <v>831</v>
      </c>
      <c r="P4164" s="3" t="s">
        <v>140</v>
      </c>
      <c r="Q4164" s="2" t="s">
        <v>41562</v>
      </c>
      <c r="R4164" s="3" t="s">
        <v>71</v>
      </c>
      <c r="S4164" s="4">
        <v>0</v>
      </c>
      <c r="T4164" s="4">
        <v>2</v>
      </c>
      <c r="V4164" s="5" t="s">
        <v>41563</v>
      </c>
      <c r="W4164" s="5" t="s">
        <v>72</v>
      </c>
      <c r="X4164" s="5" t="s">
        <v>72</v>
      </c>
      <c r="Y4164" s="4">
        <v>11</v>
      </c>
      <c r="Z4164" s="4">
        <v>1</v>
      </c>
      <c r="AA4164" s="4">
        <v>1</v>
      </c>
      <c r="AB4164" s="4">
        <v>1</v>
      </c>
      <c r="AC4164" s="4">
        <v>1</v>
      </c>
      <c r="AD4164" s="4">
        <v>4</v>
      </c>
      <c r="AE4164" s="4">
        <v>4</v>
      </c>
      <c r="AF4164" s="4">
        <v>0</v>
      </c>
      <c r="AG4164" s="4">
        <v>0</v>
      </c>
      <c r="AH4164" s="4">
        <v>4</v>
      </c>
      <c r="AI4164" s="4">
        <v>4</v>
      </c>
      <c r="AJ4164" s="4">
        <v>0</v>
      </c>
      <c r="AK4164" s="4">
        <v>0</v>
      </c>
      <c r="AL4164" s="4">
        <v>3</v>
      </c>
      <c r="AM4164" s="4">
        <v>3</v>
      </c>
      <c r="AN4164" s="4">
        <v>0</v>
      </c>
      <c r="AO4164" s="4">
        <v>0</v>
      </c>
      <c r="AP4164" s="4">
        <v>0</v>
      </c>
      <c r="AQ4164" s="4">
        <v>0</v>
      </c>
      <c r="AR4164" s="3" t="s">
        <v>65</v>
      </c>
      <c r="AS4164" s="3" t="s">
        <v>65</v>
      </c>
      <c r="AT4164" s="3" t="s">
        <v>209</v>
      </c>
      <c r="AU4164" s="6" t="str">
        <f>HYPERLINK("http://catalog.hathitrust.org/Record/007968099","HathiTrust Record")</f>
        <v>HathiTrust Record</v>
      </c>
      <c r="AV4164" s="6" t="str">
        <f>HYPERLINK("http://mcgill.on.worldcat.org/oclc/21436684","Catalog Record")</f>
        <v>Catalog Record</v>
      </c>
      <c r="AW4164" s="6" t="str">
        <f>HYPERLINK("http://www.worldcat.org/oclc/21436684","WorldCat Record")</f>
        <v>WorldCat Record</v>
      </c>
      <c r="AX4164" s="3" t="s">
        <v>41564</v>
      </c>
      <c r="AY4164" s="3" t="s">
        <v>41565</v>
      </c>
      <c r="AZ4164" s="3" t="s">
        <v>41566</v>
      </c>
      <c r="BA4164" s="3" t="s">
        <v>41566</v>
      </c>
      <c r="BB4164" s="3" t="s">
        <v>41567</v>
      </c>
      <c r="BC4164" s="3" t="s">
        <v>77</v>
      </c>
      <c r="BD4164" s="3" t="s">
        <v>78</v>
      </c>
      <c r="BF4164" s="3" t="s">
        <v>41567</v>
      </c>
      <c r="BG4164" s="3" t="s">
        <v>41568</v>
      </c>
    </row>
    <row r="4165" spans="1:59" ht="58" x14ac:dyDescent="0.35">
      <c r="A4165" s="2" t="s">
        <v>59</v>
      </c>
      <c r="B4165" s="2" t="s">
        <v>60</v>
      </c>
      <c r="C4165" s="2" t="s">
        <v>41558</v>
      </c>
      <c r="D4165" s="2" t="s">
        <v>41559</v>
      </c>
      <c r="E4165" s="2" t="s">
        <v>41560</v>
      </c>
      <c r="G4165" s="3" t="s">
        <v>65</v>
      </c>
      <c r="I4165" s="3" t="s">
        <v>209</v>
      </c>
      <c r="J4165" s="3" t="s">
        <v>65</v>
      </c>
      <c r="K4165" s="3" t="s">
        <v>66</v>
      </c>
      <c r="L4165" s="2" t="s">
        <v>11875</v>
      </c>
      <c r="M4165" s="2" t="s">
        <v>41561</v>
      </c>
      <c r="N4165" s="3" t="s">
        <v>831</v>
      </c>
      <c r="P4165" s="3" t="s">
        <v>140</v>
      </c>
      <c r="Q4165" s="2" t="s">
        <v>41562</v>
      </c>
      <c r="R4165" s="3" t="s">
        <v>71</v>
      </c>
      <c r="S4165" s="4">
        <v>2</v>
      </c>
      <c r="T4165" s="4">
        <v>2</v>
      </c>
      <c r="U4165" s="5" t="s">
        <v>41563</v>
      </c>
      <c r="V4165" s="5" t="s">
        <v>41563</v>
      </c>
      <c r="W4165" s="5" t="s">
        <v>72</v>
      </c>
      <c r="X4165" s="5" t="s">
        <v>72</v>
      </c>
      <c r="Y4165" s="4">
        <v>11</v>
      </c>
      <c r="Z4165" s="4">
        <v>1</v>
      </c>
      <c r="AA4165" s="4">
        <v>1</v>
      </c>
      <c r="AB4165" s="4">
        <v>1</v>
      </c>
      <c r="AC4165" s="4">
        <v>1</v>
      </c>
      <c r="AD4165" s="4">
        <v>4</v>
      </c>
      <c r="AE4165" s="4">
        <v>4</v>
      </c>
      <c r="AF4165" s="4">
        <v>0</v>
      </c>
      <c r="AG4165" s="4">
        <v>0</v>
      </c>
      <c r="AH4165" s="4">
        <v>4</v>
      </c>
      <c r="AI4165" s="4">
        <v>4</v>
      </c>
      <c r="AJ4165" s="4">
        <v>0</v>
      </c>
      <c r="AK4165" s="4">
        <v>0</v>
      </c>
      <c r="AL4165" s="4">
        <v>3</v>
      </c>
      <c r="AM4165" s="4">
        <v>3</v>
      </c>
      <c r="AN4165" s="4">
        <v>0</v>
      </c>
      <c r="AO4165" s="4">
        <v>0</v>
      </c>
      <c r="AP4165" s="4">
        <v>0</v>
      </c>
      <c r="AQ4165" s="4">
        <v>0</v>
      </c>
      <c r="AR4165" s="3" t="s">
        <v>65</v>
      </c>
      <c r="AS4165" s="3" t="s">
        <v>65</v>
      </c>
      <c r="AT4165" s="3" t="s">
        <v>209</v>
      </c>
      <c r="AU4165" s="6" t="str">
        <f>HYPERLINK("http://catalog.hathitrust.org/Record/007968099","HathiTrust Record")</f>
        <v>HathiTrust Record</v>
      </c>
      <c r="AV4165" s="6" t="str">
        <f>HYPERLINK("http://mcgill.on.worldcat.org/oclc/21436684","Catalog Record")</f>
        <v>Catalog Record</v>
      </c>
      <c r="AW4165" s="6" t="str">
        <f>HYPERLINK("http://www.worldcat.org/oclc/21436684","WorldCat Record")</f>
        <v>WorldCat Record</v>
      </c>
      <c r="AX4165" s="3" t="s">
        <v>41564</v>
      </c>
      <c r="AY4165" s="3" t="s">
        <v>41565</v>
      </c>
      <c r="AZ4165" s="3" t="s">
        <v>41566</v>
      </c>
      <c r="BA4165" s="3" t="s">
        <v>41566</v>
      </c>
      <c r="BB4165" s="3" t="s">
        <v>41569</v>
      </c>
      <c r="BC4165" s="3" t="s">
        <v>77</v>
      </c>
      <c r="BD4165" s="3" t="s">
        <v>78</v>
      </c>
      <c r="BF4165" s="3" t="s">
        <v>41569</v>
      </c>
      <c r="BG4165" s="3" t="s">
        <v>41570</v>
      </c>
    </row>
    <row r="4166" spans="1:59" ht="58" x14ac:dyDescent="0.35">
      <c r="A4166" s="2" t="s">
        <v>59</v>
      </c>
      <c r="B4166" s="2" t="s">
        <v>60</v>
      </c>
      <c r="C4166" s="2" t="s">
        <v>41571</v>
      </c>
      <c r="D4166" s="2" t="s">
        <v>41572</v>
      </c>
      <c r="E4166" s="2" t="s">
        <v>41573</v>
      </c>
      <c r="G4166" s="3" t="s">
        <v>65</v>
      </c>
      <c r="I4166" s="3" t="s">
        <v>65</v>
      </c>
      <c r="J4166" s="3" t="s">
        <v>65</v>
      </c>
      <c r="K4166" s="3" t="s">
        <v>66</v>
      </c>
      <c r="M4166" s="2" t="s">
        <v>41574</v>
      </c>
      <c r="N4166" s="3" t="s">
        <v>113</v>
      </c>
      <c r="P4166" s="3" t="s">
        <v>140</v>
      </c>
      <c r="Q4166" s="2" t="s">
        <v>41575</v>
      </c>
      <c r="R4166" s="3" t="s">
        <v>71</v>
      </c>
      <c r="S4166" s="4">
        <v>0</v>
      </c>
      <c r="T4166" s="4">
        <v>0</v>
      </c>
      <c r="W4166" s="5" t="s">
        <v>72</v>
      </c>
      <c r="X4166" s="5" t="s">
        <v>72</v>
      </c>
      <c r="Y4166" s="4">
        <v>29</v>
      </c>
      <c r="Z4166" s="4">
        <v>3</v>
      </c>
      <c r="AA4166" s="4">
        <v>3</v>
      </c>
      <c r="AB4166" s="4">
        <v>1</v>
      </c>
      <c r="AC4166" s="4">
        <v>1</v>
      </c>
      <c r="AD4166" s="4">
        <v>21</v>
      </c>
      <c r="AE4166" s="4">
        <v>21</v>
      </c>
      <c r="AF4166" s="4">
        <v>0</v>
      </c>
      <c r="AG4166" s="4">
        <v>0</v>
      </c>
      <c r="AH4166" s="4">
        <v>20</v>
      </c>
      <c r="AI4166" s="4">
        <v>20</v>
      </c>
      <c r="AJ4166" s="4">
        <v>1</v>
      </c>
      <c r="AK4166" s="4">
        <v>1</v>
      </c>
      <c r="AL4166" s="4">
        <v>18</v>
      </c>
      <c r="AM4166" s="4">
        <v>18</v>
      </c>
      <c r="AN4166" s="4">
        <v>0</v>
      </c>
      <c r="AO4166" s="4">
        <v>0</v>
      </c>
      <c r="AP4166" s="4">
        <v>1</v>
      </c>
      <c r="AQ4166" s="4">
        <v>1</v>
      </c>
      <c r="AR4166" s="3" t="s">
        <v>65</v>
      </c>
      <c r="AS4166" s="3" t="s">
        <v>65</v>
      </c>
      <c r="AT4166" s="3" t="s">
        <v>65</v>
      </c>
      <c r="AV4166" s="6" t="str">
        <f>HYPERLINK("http://mcgill.on.worldcat.org/oclc/650438846","Catalog Record")</f>
        <v>Catalog Record</v>
      </c>
      <c r="AW4166" s="6" t="str">
        <f>HYPERLINK("http://www.worldcat.org/oclc/650438846","WorldCat Record")</f>
        <v>WorldCat Record</v>
      </c>
      <c r="AX4166" s="3" t="s">
        <v>41576</v>
      </c>
      <c r="AY4166" s="3" t="s">
        <v>41577</v>
      </c>
      <c r="AZ4166" s="3" t="s">
        <v>41578</v>
      </c>
      <c r="BA4166" s="3" t="s">
        <v>41578</v>
      </c>
      <c r="BB4166" s="3" t="s">
        <v>41579</v>
      </c>
      <c r="BC4166" s="3" t="s">
        <v>77</v>
      </c>
      <c r="BD4166" s="3" t="s">
        <v>78</v>
      </c>
      <c r="BE4166" s="3" t="s">
        <v>41580</v>
      </c>
      <c r="BF4166" s="3" t="s">
        <v>41579</v>
      </c>
      <c r="BG4166" s="3" t="s">
        <v>41581</v>
      </c>
    </row>
    <row r="4167" spans="1:59" ht="58" x14ac:dyDescent="0.35">
      <c r="A4167" s="2" t="s">
        <v>59</v>
      </c>
      <c r="B4167" s="2" t="s">
        <v>60</v>
      </c>
      <c r="C4167" s="2" t="s">
        <v>41582</v>
      </c>
      <c r="D4167" s="2" t="s">
        <v>41583</v>
      </c>
      <c r="E4167" s="2" t="s">
        <v>41584</v>
      </c>
      <c r="F4167" s="3" t="s">
        <v>490</v>
      </c>
      <c r="G4167" s="3" t="s">
        <v>209</v>
      </c>
      <c r="I4167" s="3" t="s">
        <v>65</v>
      </c>
      <c r="J4167" s="3" t="s">
        <v>65</v>
      </c>
      <c r="K4167" s="3" t="s">
        <v>66</v>
      </c>
      <c r="M4167" s="2" t="s">
        <v>41585</v>
      </c>
      <c r="N4167" s="3" t="s">
        <v>1835</v>
      </c>
      <c r="P4167" s="3" t="s">
        <v>140</v>
      </c>
      <c r="R4167" s="3" t="s">
        <v>71</v>
      </c>
      <c r="S4167" s="4">
        <v>2</v>
      </c>
      <c r="T4167" s="4">
        <v>3</v>
      </c>
      <c r="U4167" s="5" t="s">
        <v>41563</v>
      </c>
      <c r="V4167" s="5" t="s">
        <v>41563</v>
      </c>
      <c r="W4167" s="5" t="s">
        <v>72</v>
      </c>
      <c r="X4167" s="5" t="s">
        <v>72</v>
      </c>
      <c r="Y4167" s="4">
        <v>31</v>
      </c>
      <c r="Z4167" s="4">
        <v>2</v>
      </c>
      <c r="AA4167" s="4">
        <v>3</v>
      </c>
      <c r="AB4167" s="4">
        <v>1</v>
      </c>
      <c r="AC4167" s="4">
        <v>2</v>
      </c>
      <c r="AD4167" s="4">
        <v>21</v>
      </c>
      <c r="AE4167" s="4">
        <v>22</v>
      </c>
      <c r="AF4167" s="4">
        <v>0</v>
      </c>
      <c r="AG4167" s="4">
        <v>1</v>
      </c>
      <c r="AH4167" s="4">
        <v>20</v>
      </c>
      <c r="AI4167" s="4">
        <v>20</v>
      </c>
      <c r="AJ4167" s="4">
        <v>1</v>
      </c>
      <c r="AK4167" s="4">
        <v>2</v>
      </c>
      <c r="AL4167" s="4">
        <v>19</v>
      </c>
      <c r="AM4167" s="4">
        <v>19</v>
      </c>
      <c r="AN4167" s="4">
        <v>0</v>
      </c>
      <c r="AO4167" s="4">
        <v>0</v>
      </c>
      <c r="AP4167" s="4">
        <v>1</v>
      </c>
      <c r="AQ4167" s="4">
        <v>1</v>
      </c>
      <c r="AR4167" s="3" t="s">
        <v>65</v>
      </c>
      <c r="AS4167" s="3" t="s">
        <v>65</v>
      </c>
      <c r="AT4167" s="3" t="s">
        <v>209</v>
      </c>
      <c r="AU4167" s="6" t="str">
        <f>HYPERLINK("http://catalog.hathitrust.org/Record/006681765","HathiTrust Record")</f>
        <v>HathiTrust Record</v>
      </c>
      <c r="AV4167" s="6" t="str">
        <f>HYPERLINK("http://mcgill.on.worldcat.org/oclc/10845968","Catalog Record")</f>
        <v>Catalog Record</v>
      </c>
      <c r="AW4167" s="6" t="str">
        <f>HYPERLINK("http://www.worldcat.org/oclc/10845968","WorldCat Record")</f>
        <v>WorldCat Record</v>
      </c>
      <c r="AX4167" s="3" t="s">
        <v>41586</v>
      </c>
      <c r="AY4167" s="3" t="s">
        <v>41587</v>
      </c>
      <c r="AZ4167" s="3" t="s">
        <v>41588</v>
      </c>
      <c r="BA4167" s="3" t="s">
        <v>41588</v>
      </c>
      <c r="BB4167" s="3" t="s">
        <v>41589</v>
      </c>
      <c r="BC4167" s="3" t="s">
        <v>77</v>
      </c>
      <c r="BD4167" s="3" t="s">
        <v>78</v>
      </c>
      <c r="BF4167" s="3" t="s">
        <v>41589</v>
      </c>
      <c r="BG4167" s="3" t="s">
        <v>41590</v>
      </c>
    </row>
    <row r="4168" spans="1:59" ht="58" x14ac:dyDescent="0.35">
      <c r="A4168" s="2" t="s">
        <v>59</v>
      </c>
      <c r="B4168" s="2" t="s">
        <v>60</v>
      </c>
      <c r="C4168" s="2" t="s">
        <v>41582</v>
      </c>
      <c r="D4168" s="2" t="s">
        <v>41583</v>
      </c>
      <c r="E4168" s="2" t="s">
        <v>41584</v>
      </c>
      <c r="F4168" s="3" t="s">
        <v>503</v>
      </c>
      <c r="G4168" s="3" t="s">
        <v>209</v>
      </c>
      <c r="I4168" s="3" t="s">
        <v>65</v>
      </c>
      <c r="J4168" s="3" t="s">
        <v>65</v>
      </c>
      <c r="K4168" s="3" t="s">
        <v>66</v>
      </c>
      <c r="M4168" s="2" t="s">
        <v>41585</v>
      </c>
      <c r="N4168" s="3" t="s">
        <v>1835</v>
      </c>
      <c r="P4168" s="3" t="s">
        <v>140</v>
      </c>
      <c r="R4168" s="3" t="s">
        <v>71</v>
      </c>
      <c r="S4168" s="4">
        <v>1</v>
      </c>
      <c r="T4168" s="4">
        <v>3</v>
      </c>
      <c r="U4168" s="5" t="s">
        <v>41591</v>
      </c>
      <c r="V4168" s="5" t="s">
        <v>41563</v>
      </c>
      <c r="W4168" s="5" t="s">
        <v>72</v>
      </c>
      <c r="X4168" s="5" t="s">
        <v>72</v>
      </c>
      <c r="Y4168" s="4">
        <v>31</v>
      </c>
      <c r="Z4168" s="4">
        <v>2</v>
      </c>
      <c r="AA4168" s="4">
        <v>3</v>
      </c>
      <c r="AB4168" s="4">
        <v>1</v>
      </c>
      <c r="AC4168" s="4">
        <v>2</v>
      </c>
      <c r="AD4168" s="4">
        <v>21</v>
      </c>
      <c r="AE4168" s="4">
        <v>22</v>
      </c>
      <c r="AF4168" s="4">
        <v>0</v>
      </c>
      <c r="AG4168" s="4">
        <v>1</v>
      </c>
      <c r="AH4168" s="4">
        <v>20</v>
      </c>
      <c r="AI4168" s="4">
        <v>20</v>
      </c>
      <c r="AJ4168" s="4">
        <v>1</v>
      </c>
      <c r="AK4168" s="4">
        <v>2</v>
      </c>
      <c r="AL4168" s="4">
        <v>19</v>
      </c>
      <c r="AM4168" s="4">
        <v>19</v>
      </c>
      <c r="AN4168" s="4">
        <v>0</v>
      </c>
      <c r="AO4168" s="4">
        <v>0</v>
      </c>
      <c r="AP4168" s="4">
        <v>1</v>
      </c>
      <c r="AQ4168" s="4">
        <v>1</v>
      </c>
      <c r="AR4168" s="3" t="s">
        <v>65</v>
      </c>
      <c r="AS4168" s="3" t="s">
        <v>65</v>
      </c>
      <c r="AT4168" s="3" t="s">
        <v>209</v>
      </c>
      <c r="AU4168" s="6" t="str">
        <f>HYPERLINK("http://catalog.hathitrust.org/Record/006681765","HathiTrust Record")</f>
        <v>HathiTrust Record</v>
      </c>
      <c r="AV4168" s="6" t="str">
        <f>HYPERLINK("http://mcgill.on.worldcat.org/oclc/10845968","Catalog Record")</f>
        <v>Catalog Record</v>
      </c>
      <c r="AW4168" s="6" t="str">
        <f>HYPERLINK("http://www.worldcat.org/oclc/10845968","WorldCat Record")</f>
        <v>WorldCat Record</v>
      </c>
      <c r="AX4168" s="3" t="s">
        <v>41586</v>
      </c>
      <c r="AY4168" s="3" t="s">
        <v>41587</v>
      </c>
      <c r="AZ4168" s="3" t="s">
        <v>41588</v>
      </c>
      <c r="BA4168" s="3" t="s">
        <v>41588</v>
      </c>
      <c r="BB4168" s="3" t="s">
        <v>41592</v>
      </c>
      <c r="BC4168" s="3" t="s">
        <v>77</v>
      </c>
      <c r="BD4168" s="3" t="s">
        <v>78</v>
      </c>
      <c r="BF4168" s="3" t="s">
        <v>41592</v>
      </c>
      <c r="BG4168" s="3" t="s">
        <v>41593</v>
      </c>
    </row>
    <row r="4169" spans="1:59" ht="58" x14ac:dyDescent="0.35">
      <c r="A4169" s="2" t="s">
        <v>59</v>
      </c>
      <c r="B4169" s="2" t="s">
        <v>60</v>
      </c>
      <c r="C4169" s="2" t="s">
        <v>41594</v>
      </c>
      <c r="D4169" s="2" t="s">
        <v>41595</v>
      </c>
      <c r="E4169" s="2" t="s">
        <v>41596</v>
      </c>
      <c r="F4169" s="3" t="s">
        <v>20286</v>
      </c>
      <c r="G4169" s="3" t="s">
        <v>209</v>
      </c>
      <c r="I4169" s="3" t="s">
        <v>65</v>
      </c>
      <c r="J4169" s="3" t="s">
        <v>65</v>
      </c>
      <c r="K4169" s="3" t="s">
        <v>66</v>
      </c>
      <c r="M4169" s="2" t="s">
        <v>41597</v>
      </c>
      <c r="N4169" s="3" t="s">
        <v>1932</v>
      </c>
      <c r="P4169" s="3" t="s">
        <v>140</v>
      </c>
      <c r="Q4169" s="2" t="s">
        <v>41598</v>
      </c>
      <c r="R4169" s="3" t="s">
        <v>71</v>
      </c>
      <c r="S4169" s="4">
        <v>0</v>
      </c>
      <c r="T4169" s="4">
        <v>3</v>
      </c>
      <c r="V4169" s="5" t="s">
        <v>36797</v>
      </c>
      <c r="W4169" s="5" t="s">
        <v>72</v>
      </c>
      <c r="X4169" s="5" t="s">
        <v>72</v>
      </c>
      <c r="Y4169" s="4">
        <v>24</v>
      </c>
      <c r="Z4169" s="4">
        <v>4</v>
      </c>
      <c r="AA4169" s="4">
        <v>4</v>
      </c>
      <c r="AB4169" s="4">
        <v>1</v>
      </c>
      <c r="AC4169" s="4">
        <v>1</v>
      </c>
      <c r="AD4169" s="4">
        <v>10</v>
      </c>
      <c r="AE4169" s="4">
        <v>10</v>
      </c>
      <c r="AF4169" s="4">
        <v>0</v>
      </c>
      <c r="AG4169" s="4">
        <v>0</v>
      </c>
      <c r="AH4169" s="4">
        <v>10</v>
      </c>
      <c r="AI4169" s="4">
        <v>10</v>
      </c>
      <c r="AJ4169" s="4">
        <v>2</v>
      </c>
      <c r="AK4169" s="4">
        <v>2</v>
      </c>
      <c r="AL4169" s="4">
        <v>7</v>
      </c>
      <c r="AM4169" s="4">
        <v>7</v>
      </c>
      <c r="AN4169" s="4">
        <v>0</v>
      </c>
      <c r="AO4169" s="4">
        <v>0</v>
      </c>
      <c r="AP4169" s="4">
        <v>2</v>
      </c>
      <c r="AQ4169" s="4">
        <v>2</v>
      </c>
      <c r="AR4169" s="3" t="s">
        <v>65</v>
      </c>
      <c r="AS4169" s="3" t="s">
        <v>65</v>
      </c>
      <c r="AT4169" s="3" t="s">
        <v>65</v>
      </c>
      <c r="AV4169" s="6" t="str">
        <f>HYPERLINK("http://mcgill.on.worldcat.org/oclc/34810125","Catalog Record")</f>
        <v>Catalog Record</v>
      </c>
      <c r="AW4169" s="6" t="str">
        <f>HYPERLINK("http://www.worldcat.org/oclc/34810125","WorldCat Record")</f>
        <v>WorldCat Record</v>
      </c>
      <c r="AX4169" s="3" t="s">
        <v>41599</v>
      </c>
      <c r="AY4169" s="3" t="s">
        <v>41600</v>
      </c>
      <c r="AZ4169" s="3" t="s">
        <v>41601</v>
      </c>
      <c r="BA4169" s="3" t="s">
        <v>41601</v>
      </c>
      <c r="BB4169" s="3" t="s">
        <v>41602</v>
      </c>
      <c r="BC4169" s="3" t="s">
        <v>77</v>
      </c>
      <c r="BD4169" s="3" t="s">
        <v>78</v>
      </c>
      <c r="BE4169" s="3" t="s">
        <v>41603</v>
      </c>
      <c r="BF4169" s="3" t="s">
        <v>41602</v>
      </c>
      <c r="BG4169" s="3" t="s">
        <v>41604</v>
      </c>
    </row>
    <row r="4170" spans="1:59" ht="58" x14ac:dyDescent="0.35">
      <c r="A4170" s="2" t="s">
        <v>59</v>
      </c>
      <c r="B4170" s="2" t="s">
        <v>60</v>
      </c>
      <c r="C4170" s="2" t="s">
        <v>41594</v>
      </c>
      <c r="D4170" s="2" t="s">
        <v>41595</v>
      </c>
      <c r="E4170" s="2" t="s">
        <v>41596</v>
      </c>
      <c r="F4170" s="3" t="s">
        <v>41605</v>
      </c>
      <c r="G4170" s="3" t="s">
        <v>209</v>
      </c>
      <c r="I4170" s="3" t="s">
        <v>65</v>
      </c>
      <c r="J4170" s="3" t="s">
        <v>65</v>
      </c>
      <c r="K4170" s="3" t="s">
        <v>66</v>
      </c>
      <c r="M4170" s="2" t="s">
        <v>41597</v>
      </c>
      <c r="N4170" s="3" t="s">
        <v>1932</v>
      </c>
      <c r="P4170" s="3" t="s">
        <v>140</v>
      </c>
      <c r="Q4170" s="2" t="s">
        <v>41598</v>
      </c>
      <c r="R4170" s="3" t="s">
        <v>71</v>
      </c>
      <c r="S4170" s="4">
        <v>0</v>
      </c>
      <c r="T4170" s="4">
        <v>3</v>
      </c>
      <c r="V4170" s="5" t="s">
        <v>36797</v>
      </c>
      <c r="W4170" s="5" t="s">
        <v>72</v>
      </c>
      <c r="X4170" s="5" t="s">
        <v>72</v>
      </c>
      <c r="Y4170" s="4">
        <v>24</v>
      </c>
      <c r="Z4170" s="4">
        <v>4</v>
      </c>
      <c r="AA4170" s="4">
        <v>4</v>
      </c>
      <c r="AB4170" s="4">
        <v>1</v>
      </c>
      <c r="AC4170" s="4">
        <v>1</v>
      </c>
      <c r="AD4170" s="4">
        <v>10</v>
      </c>
      <c r="AE4170" s="4">
        <v>10</v>
      </c>
      <c r="AF4170" s="4">
        <v>0</v>
      </c>
      <c r="AG4170" s="4">
        <v>0</v>
      </c>
      <c r="AH4170" s="4">
        <v>10</v>
      </c>
      <c r="AI4170" s="4">
        <v>10</v>
      </c>
      <c r="AJ4170" s="4">
        <v>2</v>
      </c>
      <c r="AK4170" s="4">
        <v>2</v>
      </c>
      <c r="AL4170" s="4">
        <v>7</v>
      </c>
      <c r="AM4170" s="4">
        <v>7</v>
      </c>
      <c r="AN4170" s="4">
        <v>0</v>
      </c>
      <c r="AO4170" s="4">
        <v>0</v>
      </c>
      <c r="AP4170" s="4">
        <v>2</v>
      </c>
      <c r="AQ4170" s="4">
        <v>2</v>
      </c>
      <c r="AR4170" s="3" t="s">
        <v>65</v>
      </c>
      <c r="AS4170" s="3" t="s">
        <v>65</v>
      </c>
      <c r="AT4170" s="3" t="s">
        <v>65</v>
      </c>
      <c r="AV4170" s="6" t="str">
        <f>HYPERLINK("http://mcgill.on.worldcat.org/oclc/34810125","Catalog Record")</f>
        <v>Catalog Record</v>
      </c>
      <c r="AW4170" s="6" t="str">
        <f>HYPERLINK("http://www.worldcat.org/oclc/34810125","WorldCat Record")</f>
        <v>WorldCat Record</v>
      </c>
      <c r="AX4170" s="3" t="s">
        <v>41599</v>
      </c>
      <c r="AY4170" s="3" t="s">
        <v>41600</v>
      </c>
      <c r="AZ4170" s="3" t="s">
        <v>41601</v>
      </c>
      <c r="BA4170" s="3" t="s">
        <v>41601</v>
      </c>
      <c r="BB4170" s="3" t="s">
        <v>41606</v>
      </c>
      <c r="BC4170" s="3" t="s">
        <v>77</v>
      </c>
      <c r="BD4170" s="3" t="s">
        <v>78</v>
      </c>
      <c r="BE4170" s="3" t="s">
        <v>41603</v>
      </c>
      <c r="BF4170" s="3" t="s">
        <v>41606</v>
      </c>
      <c r="BG4170" s="3" t="s">
        <v>41607</v>
      </c>
    </row>
    <row r="4171" spans="1:59" ht="58" x14ac:dyDescent="0.35">
      <c r="A4171" s="2" t="s">
        <v>59</v>
      </c>
      <c r="B4171" s="2" t="s">
        <v>60</v>
      </c>
      <c r="C4171" s="2" t="s">
        <v>41594</v>
      </c>
      <c r="D4171" s="2" t="s">
        <v>41595</v>
      </c>
      <c r="E4171" s="2" t="s">
        <v>41596</v>
      </c>
      <c r="F4171" s="3" t="s">
        <v>245</v>
      </c>
      <c r="G4171" s="3" t="s">
        <v>209</v>
      </c>
      <c r="I4171" s="3" t="s">
        <v>65</v>
      </c>
      <c r="J4171" s="3" t="s">
        <v>65</v>
      </c>
      <c r="K4171" s="3" t="s">
        <v>66</v>
      </c>
      <c r="M4171" s="2" t="s">
        <v>41597</v>
      </c>
      <c r="N4171" s="3" t="s">
        <v>1932</v>
      </c>
      <c r="P4171" s="3" t="s">
        <v>140</v>
      </c>
      <c r="Q4171" s="2" t="s">
        <v>41598</v>
      </c>
      <c r="R4171" s="3" t="s">
        <v>71</v>
      </c>
      <c r="S4171" s="4">
        <v>3</v>
      </c>
      <c r="T4171" s="4">
        <v>3</v>
      </c>
      <c r="U4171" s="5" t="s">
        <v>36797</v>
      </c>
      <c r="V4171" s="5" t="s">
        <v>36797</v>
      </c>
      <c r="W4171" s="5" t="s">
        <v>72</v>
      </c>
      <c r="X4171" s="5" t="s">
        <v>72</v>
      </c>
      <c r="Y4171" s="4">
        <v>24</v>
      </c>
      <c r="Z4171" s="4">
        <v>4</v>
      </c>
      <c r="AA4171" s="4">
        <v>4</v>
      </c>
      <c r="AB4171" s="4">
        <v>1</v>
      </c>
      <c r="AC4171" s="4">
        <v>1</v>
      </c>
      <c r="AD4171" s="4">
        <v>10</v>
      </c>
      <c r="AE4171" s="4">
        <v>10</v>
      </c>
      <c r="AF4171" s="4">
        <v>0</v>
      </c>
      <c r="AG4171" s="4">
        <v>0</v>
      </c>
      <c r="AH4171" s="4">
        <v>10</v>
      </c>
      <c r="AI4171" s="4">
        <v>10</v>
      </c>
      <c r="AJ4171" s="4">
        <v>2</v>
      </c>
      <c r="AK4171" s="4">
        <v>2</v>
      </c>
      <c r="AL4171" s="4">
        <v>7</v>
      </c>
      <c r="AM4171" s="4">
        <v>7</v>
      </c>
      <c r="AN4171" s="4">
        <v>0</v>
      </c>
      <c r="AO4171" s="4">
        <v>0</v>
      </c>
      <c r="AP4171" s="4">
        <v>2</v>
      </c>
      <c r="AQ4171" s="4">
        <v>2</v>
      </c>
      <c r="AR4171" s="3" t="s">
        <v>65</v>
      </c>
      <c r="AS4171" s="3" t="s">
        <v>65</v>
      </c>
      <c r="AT4171" s="3" t="s">
        <v>65</v>
      </c>
      <c r="AV4171" s="6" t="str">
        <f>HYPERLINK("http://mcgill.on.worldcat.org/oclc/34810125","Catalog Record")</f>
        <v>Catalog Record</v>
      </c>
      <c r="AW4171" s="6" t="str">
        <f>HYPERLINK("http://www.worldcat.org/oclc/34810125","WorldCat Record")</f>
        <v>WorldCat Record</v>
      </c>
      <c r="AX4171" s="3" t="s">
        <v>41599</v>
      </c>
      <c r="AY4171" s="3" t="s">
        <v>41600</v>
      </c>
      <c r="AZ4171" s="3" t="s">
        <v>41601</v>
      </c>
      <c r="BA4171" s="3" t="s">
        <v>41601</v>
      </c>
      <c r="BB4171" s="3" t="s">
        <v>41608</v>
      </c>
      <c r="BC4171" s="3" t="s">
        <v>77</v>
      </c>
      <c r="BD4171" s="3" t="s">
        <v>78</v>
      </c>
      <c r="BE4171" s="3" t="s">
        <v>41603</v>
      </c>
      <c r="BF4171" s="3" t="s">
        <v>41608</v>
      </c>
      <c r="BG4171" s="3" t="s">
        <v>41609</v>
      </c>
    </row>
    <row r="4172" spans="1:59" ht="58" x14ac:dyDescent="0.35">
      <c r="A4172" s="2" t="s">
        <v>59</v>
      </c>
      <c r="B4172" s="2" t="s">
        <v>60</v>
      </c>
      <c r="C4172" s="2" t="s">
        <v>41594</v>
      </c>
      <c r="D4172" s="2" t="s">
        <v>41595</v>
      </c>
      <c r="E4172" s="2" t="s">
        <v>41596</v>
      </c>
      <c r="F4172" s="3" t="s">
        <v>20299</v>
      </c>
      <c r="G4172" s="3" t="s">
        <v>209</v>
      </c>
      <c r="I4172" s="3" t="s">
        <v>65</v>
      </c>
      <c r="J4172" s="3" t="s">
        <v>65</v>
      </c>
      <c r="K4172" s="3" t="s">
        <v>66</v>
      </c>
      <c r="M4172" s="2" t="s">
        <v>41597</v>
      </c>
      <c r="N4172" s="3" t="s">
        <v>1932</v>
      </c>
      <c r="P4172" s="3" t="s">
        <v>140</v>
      </c>
      <c r="Q4172" s="2" t="s">
        <v>41598</v>
      </c>
      <c r="R4172" s="3" t="s">
        <v>71</v>
      </c>
      <c r="S4172" s="4">
        <v>0</v>
      </c>
      <c r="T4172" s="4">
        <v>3</v>
      </c>
      <c r="V4172" s="5" t="s">
        <v>36797</v>
      </c>
      <c r="W4172" s="5" t="s">
        <v>72</v>
      </c>
      <c r="X4172" s="5" t="s">
        <v>72</v>
      </c>
      <c r="Y4172" s="4">
        <v>24</v>
      </c>
      <c r="Z4172" s="4">
        <v>4</v>
      </c>
      <c r="AA4172" s="4">
        <v>4</v>
      </c>
      <c r="AB4172" s="4">
        <v>1</v>
      </c>
      <c r="AC4172" s="4">
        <v>1</v>
      </c>
      <c r="AD4172" s="4">
        <v>10</v>
      </c>
      <c r="AE4172" s="4">
        <v>10</v>
      </c>
      <c r="AF4172" s="4">
        <v>0</v>
      </c>
      <c r="AG4172" s="4">
        <v>0</v>
      </c>
      <c r="AH4172" s="4">
        <v>10</v>
      </c>
      <c r="AI4172" s="4">
        <v>10</v>
      </c>
      <c r="AJ4172" s="4">
        <v>2</v>
      </c>
      <c r="AK4172" s="4">
        <v>2</v>
      </c>
      <c r="AL4172" s="4">
        <v>7</v>
      </c>
      <c r="AM4172" s="4">
        <v>7</v>
      </c>
      <c r="AN4172" s="4">
        <v>0</v>
      </c>
      <c r="AO4172" s="4">
        <v>0</v>
      </c>
      <c r="AP4172" s="4">
        <v>2</v>
      </c>
      <c r="AQ4172" s="4">
        <v>2</v>
      </c>
      <c r="AR4172" s="3" t="s">
        <v>65</v>
      </c>
      <c r="AS4172" s="3" t="s">
        <v>65</v>
      </c>
      <c r="AT4172" s="3" t="s">
        <v>65</v>
      </c>
      <c r="AV4172" s="6" t="str">
        <f>HYPERLINK("http://mcgill.on.worldcat.org/oclc/34810125","Catalog Record")</f>
        <v>Catalog Record</v>
      </c>
      <c r="AW4172" s="6" t="str">
        <f>HYPERLINK("http://www.worldcat.org/oclc/34810125","WorldCat Record")</f>
        <v>WorldCat Record</v>
      </c>
      <c r="AX4172" s="3" t="s">
        <v>41599</v>
      </c>
      <c r="AY4172" s="3" t="s">
        <v>41600</v>
      </c>
      <c r="AZ4172" s="3" t="s">
        <v>41601</v>
      </c>
      <c r="BA4172" s="3" t="s">
        <v>41601</v>
      </c>
      <c r="BB4172" s="3" t="s">
        <v>41610</v>
      </c>
      <c r="BC4172" s="3" t="s">
        <v>77</v>
      </c>
      <c r="BD4172" s="3" t="s">
        <v>78</v>
      </c>
      <c r="BE4172" s="3" t="s">
        <v>41603</v>
      </c>
      <c r="BF4172" s="3" t="s">
        <v>41610</v>
      </c>
      <c r="BG4172" s="3" t="s">
        <v>41611</v>
      </c>
    </row>
    <row r="4173" spans="1:59" ht="58" x14ac:dyDescent="0.35">
      <c r="A4173" s="2" t="s">
        <v>59</v>
      </c>
      <c r="B4173" s="2" t="s">
        <v>60</v>
      </c>
      <c r="C4173" s="2" t="s">
        <v>41594</v>
      </c>
      <c r="D4173" s="2" t="s">
        <v>41595</v>
      </c>
      <c r="E4173" s="2" t="s">
        <v>41596</v>
      </c>
      <c r="F4173" s="3" t="s">
        <v>41612</v>
      </c>
      <c r="G4173" s="3" t="s">
        <v>209</v>
      </c>
      <c r="I4173" s="3" t="s">
        <v>65</v>
      </c>
      <c r="J4173" s="3" t="s">
        <v>65</v>
      </c>
      <c r="K4173" s="3" t="s">
        <v>66</v>
      </c>
      <c r="M4173" s="2" t="s">
        <v>41597</v>
      </c>
      <c r="N4173" s="3" t="s">
        <v>1932</v>
      </c>
      <c r="P4173" s="3" t="s">
        <v>140</v>
      </c>
      <c r="Q4173" s="2" t="s">
        <v>41598</v>
      </c>
      <c r="R4173" s="3" t="s">
        <v>71</v>
      </c>
      <c r="S4173" s="4">
        <v>0</v>
      </c>
      <c r="T4173" s="4">
        <v>3</v>
      </c>
      <c r="V4173" s="5" t="s">
        <v>36797</v>
      </c>
      <c r="W4173" s="5" t="s">
        <v>72</v>
      </c>
      <c r="X4173" s="5" t="s">
        <v>72</v>
      </c>
      <c r="Y4173" s="4">
        <v>24</v>
      </c>
      <c r="Z4173" s="4">
        <v>4</v>
      </c>
      <c r="AA4173" s="4">
        <v>4</v>
      </c>
      <c r="AB4173" s="4">
        <v>1</v>
      </c>
      <c r="AC4173" s="4">
        <v>1</v>
      </c>
      <c r="AD4173" s="4">
        <v>10</v>
      </c>
      <c r="AE4173" s="4">
        <v>10</v>
      </c>
      <c r="AF4173" s="4">
        <v>0</v>
      </c>
      <c r="AG4173" s="4">
        <v>0</v>
      </c>
      <c r="AH4173" s="4">
        <v>10</v>
      </c>
      <c r="AI4173" s="4">
        <v>10</v>
      </c>
      <c r="AJ4173" s="4">
        <v>2</v>
      </c>
      <c r="AK4173" s="4">
        <v>2</v>
      </c>
      <c r="AL4173" s="4">
        <v>7</v>
      </c>
      <c r="AM4173" s="4">
        <v>7</v>
      </c>
      <c r="AN4173" s="4">
        <v>0</v>
      </c>
      <c r="AO4173" s="4">
        <v>0</v>
      </c>
      <c r="AP4173" s="4">
        <v>2</v>
      </c>
      <c r="AQ4173" s="4">
        <v>2</v>
      </c>
      <c r="AR4173" s="3" t="s">
        <v>65</v>
      </c>
      <c r="AS4173" s="3" t="s">
        <v>65</v>
      </c>
      <c r="AT4173" s="3" t="s">
        <v>65</v>
      </c>
      <c r="AV4173" s="6" t="str">
        <f>HYPERLINK("http://mcgill.on.worldcat.org/oclc/34810125","Catalog Record")</f>
        <v>Catalog Record</v>
      </c>
      <c r="AW4173" s="6" t="str">
        <f>HYPERLINK("http://www.worldcat.org/oclc/34810125","WorldCat Record")</f>
        <v>WorldCat Record</v>
      </c>
      <c r="AX4173" s="3" t="s">
        <v>41599</v>
      </c>
      <c r="AY4173" s="3" t="s">
        <v>41600</v>
      </c>
      <c r="AZ4173" s="3" t="s">
        <v>41601</v>
      </c>
      <c r="BA4173" s="3" t="s">
        <v>41601</v>
      </c>
      <c r="BB4173" s="3" t="s">
        <v>41613</v>
      </c>
      <c r="BC4173" s="3" t="s">
        <v>77</v>
      </c>
      <c r="BD4173" s="3" t="s">
        <v>78</v>
      </c>
      <c r="BE4173" s="3" t="s">
        <v>41603</v>
      </c>
      <c r="BF4173" s="3" t="s">
        <v>41613</v>
      </c>
      <c r="BG4173" s="3" t="s">
        <v>41614</v>
      </c>
    </row>
    <row r="4174" spans="1:59" ht="58" x14ac:dyDescent="0.35">
      <c r="A4174" s="2" t="s">
        <v>59</v>
      </c>
      <c r="B4174" s="2" t="s">
        <v>60</v>
      </c>
      <c r="C4174" s="2" t="s">
        <v>41615</v>
      </c>
      <c r="D4174" s="2" t="s">
        <v>41616</v>
      </c>
      <c r="E4174" s="2" t="s">
        <v>41617</v>
      </c>
      <c r="G4174" s="3" t="s">
        <v>65</v>
      </c>
      <c r="I4174" s="3" t="s">
        <v>65</v>
      </c>
      <c r="J4174" s="3" t="s">
        <v>65</v>
      </c>
      <c r="K4174" s="3" t="s">
        <v>66</v>
      </c>
      <c r="L4174" s="2" t="s">
        <v>41618</v>
      </c>
      <c r="M4174" s="2" t="s">
        <v>21232</v>
      </c>
      <c r="N4174" s="3" t="s">
        <v>139</v>
      </c>
      <c r="P4174" s="3" t="s">
        <v>140</v>
      </c>
      <c r="Q4174" s="2" t="s">
        <v>41619</v>
      </c>
      <c r="R4174" s="3" t="s">
        <v>71</v>
      </c>
      <c r="S4174" s="4">
        <v>0</v>
      </c>
      <c r="T4174" s="4">
        <v>0</v>
      </c>
      <c r="W4174" s="5" t="s">
        <v>72</v>
      </c>
      <c r="X4174" s="5" t="s">
        <v>72</v>
      </c>
      <c r="Y4174" s="4">
        <v>28</v>
      </c>
      <c r="Z4174" s="4">
        <v>3</v>
      </c>
      <c r="AA4174" s="4">
        <v>3</v>
      </c>
      <c r="AB4174" s="4">
        <v>1</v>
      </c>
      <c r="AC4174" s="4">
        <v>1</v>
      </c>
      <c r="AD4174" s="4">
        <v>20</v>
      </c>
      <c r="AE4174" s="4">
        <v>20</v>
      </c>
      <c r="AF4174" s="4">
        <v>0</v>
      </c>
      <c r="AG4174" s="4">
        <v>0</v>
      </c>
      <c r="AH4174" s="4">
        <v>19</v>
      </c>
      <c r="AI4174" s="4">
        <v>19</v>
      </c>
      <c r="AJ4174" s="4">
        <v>1</v>
      </c>
      <c r="AK4174" s="4">
        <v>1</v>
      </c>
      <c r="AL4174" s="4">
        <v>16</v>
      </c>
      <c r="AM4174" s="4">
        <v>16</v>
      </c>
      <c r="AN4174" s="4">
        <v>0</v>
      </c>
      <c r="AO4174" s="4">
        <v>0</v>
      </c>
      <c r="AP4174" s="4">
        <v>1</v>
      </c>
      <c r="AQ4174" s="4">
        <v>1</v>
      </c>
      <c r="AR4174" s="3" t="s">
        <v>65</v>
      </c>
      <c r="AS4174" s="3" t="s">
        <v>65</v>
      </c>
      <c r="AT4174" s="3" t="s">
        <v>65</v>
      </c>
      <c r="AV4174" s="6" t="str">
        <f>HYPERLINK("http://mcgill.on.worldcat.org/oclc/825554682","Catalog Record")</f>
        <v>Catalog Record</v>
      </c>
      <c r="AW4174" s="6" t="str">
        <f>HYPERLINK("http://www.worldcat.org/oclc/825554682","WorldCat Record")</f>
        <v>WorldCat Record</v>
      </c>
      <c r="AX4174" s="3" t="s">
        <v>41620</v>
      </c>
      <c r="AY4174" s="3" t="s">
        <v>41621</v>
      </c>
      <c r="AZ4174" s="3" t="s">
        <v>41622</v>
      </c>
      <c r="BA4174" s="3" t="s">
        <v>41622</v>
      </c>
      <c r="BB4174" s="3" t="s">
        <v>41623</v>
      </c>
      <c r="BC4174" s="3" t="s">
        <v>77</v>
      </c>
      <c r="BD4174" s="3" t="s">
        <v>78</v>
      </c>
      <c r="BE4174" s="3" t="s">
        <v>41624</v>
      </c>
      <c r="BF4174" s="3" t="s">
        <v>41623</v>
      </c>
      <c r="BG4174" s="3" t="s">
        <v>41625</v>
      </c>
    </row>
    <row r="4175" spans="1:59" ht="58" x14ac:dyDescent="0.35">
      <c r="A4175" s="2" t="s">
        <v>59</v>
      </c>
      <c r="B4175" s="2" t="s">
        <v>60</v>
      </c>
      <c r="C4175" s="2" t="s">
        <v>41626</v>
      </c>
      <c r="D4175" s="2" t="s">
        <v>41627</v>
      </c>
      <c r="E4175" s="2" t="s">
        <v>41628</v>
      </c>
      <c r="G4175" s="3" t="s">
        <v>65</v>
      </c>
      <c r="I4175" s="3" t="s">
        <v>65</v>
      </c>
      <c r="J4175" s="3" t="s">
        <v>65</v>
      </c>
      <c r="K4175" s="3" t="s">
        <v>66</v>
      </c>
      <c r="L4175" s="2" t="s">
        <v>41629</v>
      </c>
      <c r="M4175" s="2" t="s">
        <v>41630</v>
      </c>
      <c r="N4175" s="3" t="s">
        <v>176</v>
      </c>
      <c r="O4175" s="2" t="s">
        <v>1410</v>
      </c>
      <c r="P4175" s="3" t="s">
        <v>140</v>
      </c>
      <c r="Q4175" s="2" t="s">
        <v>41631</v>
      </c>
      <c r="R4175" s="3" t="s">
        <v>71</v>
      </c>
      <c r="S4175" s="4">
        <v>0</v>
      </c>
      <c r="T4175" s="4">
        <v>0</v>
      </c>
      <c r="W4175" s="5" t="s">
        <v>72</v>
      </c>
      <c r="X4175" s="5" t="s">
        <v>72</v>
      </c>
      <c r="Y4175" s="4">
        <v>40</v>
      </c>
      <c r="Z4175" s="4">
        <v>4</v>
      </c>
      <c r="AA4175" s="4">
        <v>4</v>
      </c>
      <c r="AB4175" s="4">
        <v>1</v>
      </c>
      <c r="AC4175" s="4">
        <v>1</v>
      </c>
      <c r="AD4175" s="4">
        <v>25</v>
      </c>
      <c r="AE4175" s="4">
        <v>25</v>
      </c>
      <c r="AF4175" s="4">
        <v>0</v>
      </c>
      <c r="AG4175" s="4">
        <v>0</v>
      </c>
      <c r="AH4175" s="4">
        <v>24</v>
      </c>
      <c r="AI4175" s="4">
        <v>24</v>
      </c>
      <c r="AJ4175" s="4">
        <v>2</v>
      </c>
      <c r="AK4175" s="4">
        <v>2</v>
      </c>
      <c r="AL4175" s="4">
        <v>19</v>
      </c>
      <c r="AM4175" s="4">
        <v>19</v>
      </c>
      <c r="AN4175" s="4">
        <v>0</v>
      </c>
      <c r="AO4175" s="4">
        <v>0</v>
      </c>
      <c r="AP4175" s="4">
        <v>2</v>
      </c>
      <c r="AQ4175" s="4">
        <v>2</v>
      </c>
      <c r="AR4175" s="3" t="s">
        <v>65</v>
      </c>
      <c r="AS4175" s="3" t="s">
        <v>65</v>
      </c>
      <c r="AT4175" s="3" t="s">
        <v>65</v>
      </c>
      <c r="AV4175" s="6" t="str">
        <f>HYPERLINK("http://mcgill.on.worldcat.org/oclc/939396552","Catalog Record")</f>
        <v>Catalog Record</v>
      </c>
      <c r="AW4175" s="6" t="str">
        <f>HYPERLINK("http://www.worldcat.org/oclc/939396552","WorldCat Record")</f>
        <v>WorldCat Record</v>
      </c>
      <c r="AX4175" s="3" t="s">
        <v>41632</v>
      </c>
      <c r="AY4175" s="3" t="s">
        <v>41633</v>
      </c>
      <c r="AZ4175" s="3" t="s">
        <v>41634</v>
      </c>
      <c r="BA4175" s="3" t="s">
        <v>41634</v>
      </c>
      <c r="BB4175" s="3" t="s">
        <v>41635</v>
      </c>
      <c r="BC4175" s="3" t="s">
        <v>77</v>
      </c>
      <c r="BD4175" s="3" t="s">
        <v>78</v>
      </c>
      <c r="BE4175" s="3" t="s">
        <v>41636</v>
      </c>
      <c r="BF4175" s="3" t="s">
        <v>41635</v>
      </c>
      <c r="BG4175" s="3" t="s">
        <v>41637</v>
      </c>
    </row>
    <row r="4176" spans="1:59" ht="58" x14ac:dyDescent="0.35">
      <c r="A4176" s="2" t="s">
        <v>59</v>
      </c>
      <c r="B4176" s="2" t="s">
        <v>60</v>
      </c>
      <c r="C4176" s="2" t="s">
        <v>41638</v>
      </c>
      <c r="D4176" s="2" t="s">
        <v>41639</v>
      </c>
      <c r="E4176" s="2" t="s">
        <v>41640</v>
      </c>
      <c r="G4176" s="3" t="s">
        <v>65</v>
      </c>
      <c r="I4176" s="3" t="s">
        <v>65</v>
      </c>
      <c r="J4176" s="3" t="s">
        <v>65</v>
      </c>
      <c r="K4176" s="3" t="s">
        <v>66</v>
      </c>
      <c r="L4176" s="2" t="s">
        <v>41641</v>
      </c>
      <c r="M4176" s="2" t="s">
        <v>41642</v>
      </c>
      <c r="N4176" s="3" t="s">
        <v>1196</v>
      </c>
      <c r="P4176" s="3" t="s">
        <v>69</v>
      </c>
      <c r="Q4176" s="2" t="s">
        <v>41643</v>
      </c>
      <c r="R4176" s="3" t="s">
        <v>71</v>
      </c>
      <c r="S4176" s="4">
        <v>5</v>
      </c>
      <c r="T4176" s="4">
        <v>5</v>
      </c>
      <c r="U4176" s="5" t="s">
        <v>9389</v>
      </c>
      <c r="V4176" s="5" t="s">
        <v>9389</v>
      </c>
      <c r="W4176" s="5" t="s">
        <v>72</v>
      </c>
      <c r="X4176" s="5" t="s">
        <v>72</v>
      </c>
      <c r="Y4176" s="4">
        <v>300</v>
      </c>
      <c r="Z4176" s="4">
        <v>21</v>
      </c>
      <c r="AA4176" s="4">
        <v>36</v>
      </c>
      <c r="AB4176" s="4">
        <v>1</v>
      </c>
      <c r="AC4176" s="4">
        <v>4</v>
      </c>
      <c r="AD4176" s="4">
        <v>104</v>
      </c>
      <c r="AE4176" s="4">
        <v>118</v>
      </c>
      <c r="AF4176" s="4">
        <v>0</v>
      </c>
      <c r="AG4176" s="4">
        <v>0</v>
      </c>
      <c r="AH4176" s="4">
        <v>95</v>
      </c>
      <c r="AI4176" s="4">
        <v>104</v>
      </c>
      <c r="AJ4176" s="4">
        <v>15</v>
      </c>
      <c r="AK4176" s="4">
        <v>16</v>
      </c>
      <c r="AL4176" s="4">
        <v>52</v>
      </c>
      <c r="AM4176" s="4">
        <v>56</v>
      </c>
      <c r="AN4176" s="4">
        <v>0</v>
      </c>
      <c r="AO4176" s="4">
        <v>0</v>
      </c>
      <c r="AP4176" s="4">
        <v>16</v>
      </c>
      <c r="AQ4176" s="4">
        <v>23</v>
      </c>
      <c r="AR4176" s="3" t="s">
        <v>65</v>
      </c>
      <c r="AS4176" s="3" t="s">
        <v>65</v>
      </c>
      <c r="AT4176" s="3" t="s">
        <v>209</v>
      </c>
      <c r="AU4176" s="6" t="str">
        <f>HYPERLINK("http://catalog.hathitrust.org/Record/005079933","HathiTrust Record")</f>
        <v>HathiTrust Record</v>
      </c>
      <c r="AV4176" s="6" t="str">
        <f>HYPERLINK("http://mcgill.on.worldcat.org/oclc/57641673","Catalog Record")</f>
        <v>Catalog Record</v>
      </c>
      <c r="AW4176" s="6" t="str">
        <f>HYPERLINK("http://www.worldcat.org/oclc/57641673","WorldCat Record")</f>
        <v>WorldCat Record</v>
      </c>
      <c r="AX4176" s="3" t="s">
        <v>41644</v>
      </c>
      <c r="AY4176" s="3" t="s">
        <v>41645</v>
      </c>
      <c r="AZ4176" s="3" t="s">
        <v>41646</v>
      </c>
      <c r="BA4176" s="3" t="s">
        <v>41646</v>
      </c>
      <c r="BB4176" s="3" t="s">
        <v>41647</v>
      </c>
      <c r="BC4176" s="3" t="s">
        <v>77</v>
      </c>
      <c r="BD4176" s="3" t="s">
        <v>106</v>
      </c>
      <c r="BE4176" s="3" t="s">
        <v>41648</v>
      </c>
      <c r="BF4176" s="3" t="s">
        <v>41647</v>
      </c>
      <c r="BG4176" s="3" t="s">
        <v>41649</v>
      </c>
    </row>
    <row r="4177" spans="1:59" ht="58" x14ac:dyDescent="0.35">
      <c r="A4177" s="2" t="s">
        <v>59</v>
      </c>
      <c r="B4177" s="2" t="s">
        <v>60</v>
      </c>
      <c r="C4177" s="2" t="s">
        <v>41650</v>
      </c>
      <c r="D4177" s="2" t="s">
        <v>41651</v>
      </c>
      <c r="E4177" s="2" t="s">
        <v>41652</v>
      </c>
      <c r="G4177" s="3" t="s">
        <v>65</v>
      </c>
      <c r="I4177" s="3" t="s">
        <v>65</v>
      </c>
      <c r="J4177" s="3" t="s">
        <v>65</v>
      </c>
      <c r="K4177" s="3" t="s">
        <v>66</v>
      </c>
      <c r="L4177" s="2" t="s">
        <v>41653</v>
      </c>
      <c r="M4177" s="2" t="s">
        <v>5699</v>
      </c>
      <c r="N4177" s="3" t="s">
        <v>188</v>
      </c>
      <c r="P4177" s="3" t="s">
        <v>140</v>
      </c>
      <c r="Q4177" s="2" t="s">
        <v>41654</v>
      </c>
      <c r="R4177" s="3" t="s">
        <v>71</v>
      </c>
      <c r="S4177" s="4">
        <v>0</v>
      </c>
      <c r="T4177" s="4">
        <v>0</v>
      </c>
      <c r="W4177" s="5" t="s">
        <v>72</v>
      </c>
      <c r="X4177" s="5" t="s">
        <v>72</v>
      </c>
      <c r="Y4177" s="4">
        <v>22</v>
      </c>
      <c r="Z4177" s="4">
        <v>1</v>
      </c>
      <c r="AA4177" s="4">
        <v>1</v>
      </c>
      <c r="AB4177" s="4">
        <v>1</v>
      </c>
      <c r="AC4177" s="4">
        <v>1</v>
      </c>
      <c r="AD4177" s="4">
        <v>14</v>
      </c>
      <c r="AE4177" s="4">
        <v>14</v>
      </c>
      <c r="AF4177" s="4">
        <v>0</v>
      </c>
      <c r="AG4177" s="4">
        <v>0</v>
      </c>
      <c r="AH4177" s="4">
        <v>13</v>
      </c>
      <c r="AI4177" s="4">
        <v>13</v>
      </c>
      <c r="AJ4177" s="4">
        <v>0</v>
      </c>
      <c r="AK4177" s="4">
        <v>0</v>
      </c>
      <c r="AL4177" s="4">
        <v>10</v>
      </c>
      <c r="AM4177" s="4">
        <v>10</v>
      </c>
      <c r="AN4177" s="4">
        <v>0</v>
      </c>
      <c r="AO4177" s="4">
        <v>0</v>
      </c>
      <c r="AP4177" s="4">
        <v>0</v>
      </c>
      <c r="AQ4177" s="4">
        <v>0</v>
      </c>
      <c r="AR4177" s="3" t="s">
        <v>65</v>
      </c>
      <c r="AS4177" s="3" t="s">
        <v>65</v>
      </c>
      <c r="AT4177" s="3" t="s">
        <v>65</v>
      </c>
      <c r="AV4177" s="6" t="str">
        <f>HYPERLINK("http://mcgill.on.worldcat.org/oclc/1022084006","Catalog Record")</f>
        <v>Catalog Record</v>
      </c>
      <c r="AW4177" s="6" t="str">
        <f>HYPERLINK("http://www.worldcat.org/oclc/1022084006","WorldCat Record")</f>
        <v>WorldCat Record</v>
      </c>
      <c r="AX4177" s="3" t="s">
        <v>41655</v>
      </c>
      <c r="AY4177" s="3" t="s">
        <v>41656</v>
      </c>
      <c r="AZ4177" s="3" t="s">
        <v>41657</v>
      </c>
      <c r="BA4177" s="3" t="s">
        <v>41657</v>
      </c>
      <c r="BB4177" s="3" t="s">
        <v>41658</v>
      </c>
      <c r="BC4177" s="3" t="s">
        <v>77</v>
      </c>
      <c r="BD4177" s="3" t="s">
        <v>78</v>
      </c>
      <c r="BE4177" s="3" t="s">
        <v>41659</v>
      </c>
      <c r="BF4177" s="3" t="s">
        <v>41658</v>
      </c>
      <c r="BG4177" s="3" t="s">
        <v>41660</v>
      </c>
    </row>
    <row r="4178" spans="1:59" ht="58" x14ac:dyDescent="0.35">
      <c r="A4178" s="2" t="s">
        <v>59</v>
      </c>
      <c r="B4178" s="2" t="s">
        <v>60</v>
      </c>
      <c r="C4178" s="2" t="s">
        <v>41661</v>
      </c>
      <c r="D4178" s="2" t="s">
        <v>41662</v>
      </c>
      <c r="E4178" s="2" t="s">
        <v>41663</v>
      </c>
      <c r="G4178" s="3" t="s">
        <v>65</v>
      </c>
      <c r="I4178" s="3" t="s">
        <v>65</v>
      </c>
      <c r="J4178" s="3" t="s">
        <v>65</v>
      </c>
      <c r="K4178" s="3" t="s">
        <v>66</v>
      </c>
      <c r="L4178" s="2" t="s">
        <v>41664</v>
      </c>
      <c r="M4178" s="2" t="s">
        <v>21232</v>
      </c>
      <c r="N4178" s="3" t="s">
        <v>139</v>
      </c>
      <c r="P4178" s="3" t="s">
        <v>140</v>
      </c>
      <c r="Q4178" s="2" t="s">
        <v>41665</v>
      </c>
      <c r="R4178" s="3" t="s">
        <v>71</v>
      </c>
      <c r="S4178" s="4">
        <v>0</v>
      </c>
      <c r="T4178" s="4">
        <v>0</v>
      </c>
      <c r="W4178" s="5" t="s">
        <v>72</v>
      </c>
      <c r="X4178" s="5" t="s">
        <v>72</v>
      </c>
      <c r="Y4178" s="4">
        <v>24</v>
      </c>
      <c r="Z4178" s="4">
        <v>1</v>
      </c>
      <c r="AA4178" s="4">
        <v>1</v>
      </c>
      <c r="AB4178" s="4">
        <v>1</v>
      </c>
      <c r="AC4178" s="4">
        <v>1</v>
      </c>
      <c r="AD4178" s="4">
        <v>16</v>
      </c>
      <c r="AE4178" s="4">
        <v>16</v>
      </c>
      <c r="AF4178" s="4">
        <v>0</v>
      </c>
      <c r="AG4178" s="4">
        <v>0</v>
      </c>
      <c r="AH4178" s="4">
        <v>15</v>
      </c>
      <c r="AI4178" s="4">
        <v>15</v>
      </c>
      <c r="AJ4178" s="4">
        <v>0</v>
      </c>
      <c r="AK4178" s="4">
        <v>0</v>
      </c>
      <c r="AL4178" s="4">
        <v>12</v>
      </c>
      <c r="AM4178" s="4">
        <v>12</v>
      </c>
      <c r="AN4178" s="4">
        <v>0</v>
      </c>
      <c r="AO4178" s="4">
        <v>0</v>
      </c>
      <c r="AP4178" s="4">
        <v>0</v>
      </c>
      <c r="AQ4178" s="4">
        <v>0</v>
      </c>
      <c r="AR4178" s="3" t="s">
        <v>65</v>
      </c>
      <c r="AS4178" s="3" t="s">
        <v>65</v>
      </c>
      <c r="AT4178" s="3" t="s">
        <v>65</v>
      </c>
      <c r="AV4178" s="6" t="str">
        <f>HYPERLINK("http://mcgill.on.worldcat.org/oclc/805054506","Catalog Record")</f>
        <v>Catalog Record</v>
      </c>
      <c r="AW4178" s="6" t="str">
        <f>HYPERLINK("http://www.worldcat.org/oclc/805054506","WorldCat Record")</f>
        <v>WorldCat Record</v>
      </c>
      <c r="AX4178" s="3" t="s">
        <v>41666</v>
      </c>
      <c r="AY4178" s="3" t="s">
        <v>41667</v>
      </c>
      <c r="AZ4178" s="3" t="s">
        <v>41668</v>
      </c>
      <c r="BA4178" s="3" t="s">
        <v>41668</v>
      </c>
      <c r="BB4178" s="3" t="s">
        <v>41669</v>
      </c>
      <c r="BC4178" s="3" t="s">
        <v>77</v>
      </c>
      <c r="BD4178" s="3" t="s">
        <v>78</v>
      </c>
      <c r="BE4178" s="3" t="s">
        <v>41670</v>
      </c>
      <c r="BF4178" s="3" t="s">
        <v>41669</v>
      </c>
      <c r="BG4178" s="3" t="s">
        <v>41671</v>
      </c>
    </row>
    <row r="4179" spans="1:59" ht="58" x14ac:dyDescent="0.35">
      <c r="A4179" s="2" t="s">
        <v>59</v>
      </c>
      <c r="B4179" s="2" t="s">
        <v>60</v>
      </c>
      <c r="C4179" s="2" t="s">
        <v>41672</v>
      </c>
      <c r="D4179" s="2" t="s">
        <v>41673</v>
      </c>
      <c r="E4179" s="2" t="s">
        <v>41674</v>
      </c>
      <c r="G4179" s="3" t="s">
        <v>65</v>
      </c>
      <c r="I4179" s="3" t="s">
        <v>65</v>
      </c>
      <c r="J4179" s="3" t="s">
        <v>65</v>
      </c>
      <c r="K4179" s="3" t="s">
        <v>66</v>
      </c>
      <c r="L4179" s="2" t="s">
        <v>41675</v>
      </c>
      <c r="M4179" s="2" t="s">
        <v>3148</v>
      </c>
      <c r="N4179" s="3" t="s">
        <v>113</v>
      </c>
      <c r="P4179" s="3" t="s">
        <v>69</v>
      </c>
      <c r="Q4179" s="2" t="s">
        <v>1197</v>
      </c>
      <c r="R4179" s="3" t="s">
        <v>71</v>
      </c>
      <c r="S4179" s="4">
        <v>0</v>
      </c>
      <c r="T4179" s="4">
        <v>0</v>
      </c>
      <c r="W4179" s="5" t="s">
        <v>72</v>
      </c>
      <c r="X4179" s="5" t="s">
        <v>72</v>
      </c>
      <c r="Y4179" s="4">
        <v>122</v>
      </c>
      <c r="Z4179" s="4">
        <v>20</v>
      </c>
      <c r="AA4179" s="4">
        <v>96</v>
      </c>
      <c r="AB4179" s="4">
        <v>1</v>
      </c>
      <c r="AC4179" s="4">
        <v>17</v>
      </c>
      <c r="AD4179" s="4">
        <v>68</v>
      </c>
      <c r="AE4179" s="4">
        <v>122</v>
      </c>
      <c r="AF4179" s="4">
        <v>0</v>
      </c>
      <c r="AG4179" s="4">
        <v>8</v>
      </c>
      <c r="AH4179" s="4">
        <v>58</v>
      </c>
      <c r="AI4179" s="4">
        <v>83</v>
      </c>
      <c r="AJ4179" s="4">
        <v>14</v>
      </c>
      <c r="AK4179" s="4">
        <v>26</v>
      </c>
      <c r="AL4179" s="4">
        <v>36</v>
      </c>
      <c r="AM4179" s="4">
        <v>45</v>
      </c>
      <c r="AN4179" s="4">
        <v>0</v>
      </c>
      <c r="AO4179" s="4">
        <v>0</v>
      </c>
      <c r="AP4179" s="4">
        <v>15</v>
      </c>
      <c r="AQ4179" s="4">
        <v>48</v>
      </c>
      <c r="AR4179" s="3" t="s">
        <v>209</v>
      </c>
      <c r="AS4179" s="3" t="s">
        <v>65</v>
      </c>
      <c r="AT4179" s="3" t="s">
        <v>65</v>
      </c>
      <c r="AV4179" s="6" t="str">
        <f>HYPERLINK("http://mcgill.on.worldcat.org/oclc/455791684","Catalog Record")</f>
        <v>Catalog Record</v>
      </c>
      <c r="AW4179" s="6" t="str">
        <f>HYPERLINK("http://www.worldcat.org/oclc/455791684","WorldCat Record")</f>
        <v>WorldCat Record</v>
      </c>
      <c r="AX4179" s="3" t="s">
        <v>41676</v>
      </c>
      <c r="AY4179" s="3" t="s">
        <v>41677</v>
      </c>
      <c r="AZ4179" s="3" t="s">
        <v>41678</v>
      </c>
      <c r="BA4179" s="3" t="s">
        <v>41678</v>
      </c>
      <c r="BB4179" s="3" t="s">
        <v>41679</v>
      </c>
      <c r="BC4179" s="3" t="s">
        <v>77</v>
      </c>
      <c r="BD4179" s="3" t="s">
        <v>78</v>
      </c>
      <c r="BE4179" s="3" t="s">
        <v>41680</v>
      </c>
      <c r="BF4179" s="3" t="s">
        <v>41679</v>
      </c>
      <c r="BG4179" s="3" t="s">
        <v>41681</v>
      </c>
    </row>
    <row r="4180" spans="1:59" ht="58" x14ac:dyDescent="0.35">
      <c r="A4180" s="2" t="s">
        <v>59</v>
      </c>
      <c r="B4180" s="2" t="s">
        <v>60</v>
      </c>
      <c r="C4180" s="2" t="s">
        <v>41682</v>
      </c>
      <c r="D4180" s="2" t="s">
        <v>41683</v>
      </c>
      <c r="E4180" s="2" t="s">
        <v>41684</v>
      </c>
      <c r="G4180" s="3" t="s">
        <v>65</v>
      </c>
      <c r="I4180" s="3" t="s">
        <v>65</v>
      </c>
      <c r="J4180" s="3" t="s">
        <v>65</v>
      </c>
      <c r="K4180" s="3" t="s">
        <v>66</v>
      </c>
      <c r="M4180" s="2" t="s">
        <v>41685</v>
      </c>
      <c r="N4180" s="3" t="s">
        <v>615</v>
      </c>
      <c r="P4180" s="3" t="s">
        <v>140</v>
      </c>
      <c r="Q4180" s="2" t="s">
        <v>41686</v>
      </c>
      <c r="R4180" s="3" t="s">
        <v>71</v>
      </c>
      <c r="S4180" s="4">
        <v>2</v>
      </c>
      <c r="T4180" s="4">
        <v>2</v>
      </c>
      <c r="U4180" s="5" t="s">
        <v>1933</v>
      </c>
      <c r="V4180" s="5" t="s">
        <v>1933</v>
      </c>
      <c r="W4180" s="5" t="s">
        <v>72</v>
      </c>
      <c r="X4180" s="5" t="s">
        <v>72</v>
      </c>
      <c r="Y4180" s="4">
        <v>62</v>
      </c>
      <c r="Z4180" s="4">
        <v>5</v>
      </c>
      <c r="AA4180" s="4">
        <v>5</v>
      </c>
      <c r="AB4180" s="4">
        <v>1</v>
      </c>
      <c r="AC4180" s="4">
        <v>1</v>
      </c>
      <c r="AD4180" s="4">
        <v>35</v>
      </c>
      <c r="AE4180" s="4">
        <v>35</v>
      </c>
      <c r="AF4180" s="4">
        <v>0</v>
      </c>
      <c r="AG4180" s="4">
        <v>0</v>
      </c>
      <c r="AH4180" s="4">
        <v>34</v>
      </c>
      <c r="AI4180" s="4">
        <v>34</v>
      </c>
      <c r="AJ4180" s="4">
        <v>3</v>
      </c>
      <c r="AK4180" s="4">
        <v>3</v>
      </c>
      <c r="AL4180" s="4">
        <v>28</v>
      </c>
      <c r="AM4180" s="4">
        <v>28</v>
      </c>
      <c r="AN4180" s="4">
        <v>0</v>
      </c>
      <c r="AO4180" s="4">
        <v>0</v>
      </c>
      <c r="AP4180" s="4">
        <v>3</v>
      </c>
      <c r="AQ4180" s="4">
        <v>3</v>
      </c>
      <c r="AR4180" s="3" t="s">
        <v>65</v>
      </c>
      <c r="AS4180" s="3" t="s">
        <v>65</v>
      </c>
      <c r="AT4180" s="3" t="s">
        <v>209</v>
      </c>
      <c r="AU4180" s="6" t="str">
        <f>HYPERLINK("http://catalog.hathitrust.org/Record/007968106","HathiTrust Record")</f>
        <v>HathiTrust Record</v>
      </c>
      <c r="AV4180" s="6" t="str">
        <f>HYPERLINK("http://mcgill.on.worldcat.org/oclc/12962874","Catalog Record")</f>
        <v>Catalog Record</v>
      </c>
      <c r="AW4180" s="6" t="str">
        <f>HYPERLINK("http://www.worldcat.org/oclc/12962874","WorldCat Record")</f>
        <v>WorldCat Record</v>
      </c>
      <c r="AX4180" s="3" t="s">
        <v>41687</v>
      </c>
      <c r="AY4180" s="3" t="s">
        <v>41688</v>
      </c>
      <c r="AZ4180" s="3" t="s">
        <v>41689</v>
      </c>
      <c r="BA4180" s="3" t="s">
        <v>41689</v>
      </c>
      <c r="BB4180" s="3" t="s">
        <v>41690</v>
      </c>
      <c r="BC4180" s="3" t="s">
        <v>77</v>
      </c>
      <c r="BD4180" s="3" t="s">
        <v>106</v>
      </c>
      <c r="BF4180" s="3" t="s">
        <v>41690</v>
      </c>
      <c r="BG4180" s="3" t="s">
        <v>41691</v>
      </c>
    </row>
    <row r="4181" spans="1:59" ht="58" x14ac:dyDescent="0.35">
      <c r="A4181" s="2" t="s">
        <v>59</v>
      </c>
      <c r="B4181" s="2" t="s">
        <v>60</v>
      </c>
      <c r="C4181" s="2" t="s">
        <v>41692</v>
      </c>
      <c r="D4181" s="2" t="s">
        <v>41693</v>
      </c>
      <c r="E4181" s="2" t="s">
        <v>41694</v>
      </c>
      <c r="G4181" s="3" t="s">
        <v>65</v>
      </c>
      <c r="I4181" s="3" t="s">
        <v>65</v>
      </c>
      <c r="J4181" s="3" t="s">
        <v>65</v>
      </c>
      <c r="K4181" s="3" t="s">
        <v>66</v>
      </c>
      <c r="L4181" s="2" t="s">
        <v>41695</v>
      </c>
      <c r="M4181" s="2" t="s">
        <v>41696</v>
      </c>
      <c r="N4181" s="3" t="s">
        <v>1944</v>
      </c>
      <c r="P4181" s="3" t="s">
        <v>140</v>
      </c>
      <c r="Q4181" s="2" t="s">
        <v>41697</v>
      </c>
      <c r="R4181" s="3" t="s">
        <v>71</v>
      </c>
      <c r="S4181" s="4">
        <v>3</v>
      </c>
      <c r="T4181" s="4">
        <v>3</v>
      </c>
      <c r="U4181" s="5" t="s">
        <v>705</v>
      </c>
      <c r="V4181" s="5" t="s">
        <v>705</v>
      </c>
      <c r="W4181" s="5" t="s">
        <v>72</v>
      </c>
      <c r="X4181" s="5" t="s">
        <v>72</v>
      </c>
      <c r="Y4181" s="4">
        <v>56</v>
      </c>
      <c r="Z4181" s="4">
        <v>3</v>
      </c>
      <c r="AA4181" s="4">
        <v>3</v>
      </c>
      <c r="AB4181" s="4">
        <v>1</v>
      </c>
      <c r="AC4181" s="4">
        <v>1</v>
      </c>
      <c r="AD4181" s="4">
        <v>32</v>
      </c>
      <c r="AE4181" s="4">
        <v>32</v>
      </c>
      <c r="AF4181" s="4">
        <v>0</v>
      </c>
      <c r="AG4181" s="4">
        <v>0</v>
      </c>
      <c r="AH4181" s="4">
        <v>31</v>
      </c>
      <c r="AI4181" s="4">
        <v>31</v>
      </c>
      <c r="AJ4181" s="4">
        <v>1</v>
      </c>
      <c r="AK4181" s="4">
        <v>1</v>
      </c>
      <c r="AL4181" s="4">
        <v>26</v>
      </c>
      <c r="AM4181" s="4">
        <v>26</v>
      </c>
      <c r="AN4181" s="4">
        <v>0</v>
      </c>
      <c r="AO4181" s="4">
        <v>0</v>
      </c>
      <c r="AP4181" s="4">
        <v>1</v>
      </c>
      <c r="AQ4181" s="4">
        <v>1</v>
      </c>
      <c r="AR4181" s="3" t="s">
        <v>65</v>
      </c>
      <c r="AS4181" s="3" t="s">
        <v>65</v>
      </c>
      <c r="AT4181" s="3" t="s">
        <v>209</v>
      </c>
      <c r="AU4181" s="6" t="str">
        <f>HYPERLINK("http://catalog.hathitrust.org/Record/003550233","HathiTrust Record")</f>
        <v>HathiTrust Record</v>
      </c>
      <c r="AV4181" s="6" t="str">
        <f>HYPERLINK("http://mcgill.on.worldcat.org/oclc/44836416","Catalog Record")</f>
        <v>Catalog Record</v>
      </c>
      <c r="AW4181" s="6" t="str">
        <f>HYPERLINK("http://www.worldcat.org/oclc/44836416","WorldCat Record")</f>
        <v>WorldCat Record</v>
      </c>
      <c r="AX4181" s="3" t="s">
        <v>41698</v>
      </c>
      <c r="AY4181" s="3" t="s">
        <v>41699</v>
      </c>
      <c r="AZ4181" s="3" t="s">
        <v>41700</v>
      </c>
      <c r="BA4181" s="3" t="s">
        <v>41700</v>
      </c>
      <c r="BB4181" s="3" t="s">
        <v>41701</v>
      </c>
      <c r="BC4181" s="3" t="s">
        <v>77</v>
      </c>
      <c r="BD4181" s="3" t="s">
        <v>78</v>
      </c>
      <c r="BE4181" s="3" t="s">
        <v>41702</v>
      </c>
      <c r="BF4181" s="3" t="s">
        <v>41701</v>
      </c>
      <c r="BG4181" s="3" t="s">
        <v>41703</v>
      </c>
    </row>
    <row r="4182" spans="1:59" ht="58" x14ac:dyDescent="0.35">
      <c r="A4182" s="2" t="s">
        <v>59</v>
      </c>
      <c r="B4182" s="2" t="s">
        <v>60</v>
      </c>
      <c r="C4182" s="2" t="s">
        <v>41704</v>
      </c>
      <c r="D4182" s="2" t="s">
        <v>41705</v>
      </c>
      <c r="E4182" s="2" t="s">
        <v>41706</v>
      </c>
      <c r="G4182" s="3" t="s">
        <v>65</v>
      </c>
      <c r="I4182" s="3" t="s">
        <v>65</v>
      </c>
      <c r="J4182" s="3" t="s">
        <v>65</v>
      </c>
      <c r="K4182" s="3" t="s">
        <v>66</v>
      </c>
      <c r="L4182" s="2" t="s">
        <v>41707</v>
      </c>
      <c r="M4182" s="2" t="s">
        <v>41708</v>
      </c>
      <c r="N4182" s="3" t="s">
        <v>68</v>
      </c>
      <c r="P4182" s="3" t="s">
        <v>69</v>
      </c>
      <c r="R4182" s="3" t="s">
        <v>71</v>
      </c>
      <c r="S4182" s="4">
        <v>0</v>
      </c>
      <c r="T4182" s="4">
        <v>0</v>
      </c>
      <c r="W4182" s="5" t="s">
        <v>72</v>
      </c>
      <c r="X4182" s="5" t="s">
        <v>72</v>
      </c>
      <c r="Y4182" s="4">
        <v>47</v>
      </c>
      <c r="Z4182" s="4">
        <v>6</v>
      </c>
      <c r="AA4182" s="4">
        <v>73</v>
      </c>
      <c r="AB4182" s="4">
        <v>1</v>
      </c>
      <c r="AC4182" s="4">
        <v>14</v>
      </c>
      <c r="AD4182" s="4">
        <v>30</v>
      </c>
      <c r="AE4182" s="4">
        <v>89</v>
      </c>
      <c r="AF4182" s="4">
        <v>0</v>
      </c>
      <c r="AG4182" s="4">
        <v>8</v>
      </c>
      <c r="AH4182" s="4">
        <v>30</v>
      </c>
      <c r="AI4182" s="4">
        <v>60</v>
      </c>
      <c r="AJ4182" s="4">
        <v>3</v>
      </c>
      <c r="AK4182" s="4">
        <v>17</v>
      </c>
      <c r="AL4182" s="4">
        <v>21</v>
      </c>
      <c r="AM4182" s="4">
        <v>34</v>
      </c>
      <c r="AN4182" s="4">
        <v>0</v>
      </c>
      <c r="AO4182" s="4">
        <v>0</v>
      </c>
      <c r="AP4182" s="4">
        <v>3</v>
      </c>
      <c r="AQ4182" s="4">
        <v>36</v>
      </c>
      <c r="AR4182" s="3" t="s">
        <v>65</v>
      </c>
      <c r="AS4182" s="3" t="s">
        <v>65</v>
      </c>
      <c r="AT4182" s="3" t="s">
        <v>65</v>
      </c>
      <c r="AV4182" s="6" t="str">
        <f>HYPERLINK("http://mcgill.on.worldcat.org/oclc/933722799","Catalog Record")</f>
        <v>Catalog Record</v>
      </c>
      <c r="AW4182" s="6" t="str">
        <f>HYPERLINK("http://www.worldcat.org/oclc/933722799","WorldCat Record")</f>
        <v>WorldCat Record</v>
      </c>
      <c r="AX4182" s="3" t="s">
        <v>41709</v>
      </c>
      <c r="AY4182" s="3" t="s">
        <v>41710</v>
      </c>
      <c r="AZ4182" s="3" t="s">
        <v>41711</v>
      </c>
      <c r="BA4182" s="3" t="s">
        <v>41711</v>
      </c>
      <c r="BB4182" s="3" t="s">
        <v>41712</v>
      </c>
      <c r="BC4182" s="3" t="s">
        <v>77</v>
      </c>
      <c r="BD4182" s="3" t="s">
        <v>78</v>
      </c>
      <c r="BE4182" s="3" t="s">
        <v>41713</v>
      </c>
      <c r="BF4182" s="3" t="s">
        <v>41712</v>
      </c>
      <c r="BG4182" s="3" t="s">
        <v>41714</v>
      </c>
    </row>
    <row r="4183" spans="1:59" ht="58" x14ac:dyDescent="0.35">
      <c r="A4183" s="2" t="s">
        <v>59</v>
      </c>
      <c r="B4183" s="2" t="s">
        <v>60</v>
      </c>
      <c r="C4183" s="2" t="s">
        <v>41715</v>
      </c>
      <c r="D4183" s="2" t="s">
        <v>41716</v>
      </c>
      <c r="E4183" s="2" t="s">
        <v>41717</v>
      </c>
      <c r="G4183" s="3" t="s">
        <v>65</v>
      </c>
      <c r="I4183" s="3" t="s">
        <v>65</v>
      </c>
      <c r="J4183" s="3" t="s">
        <v>65</v>
      </c>
      <c r="K4183" s="3" t="s">
        <v>66</v>
      </c>
      <c r="L4183" s="2" t="s">
        <v>41718</v>
      </c>
      <c r="M4183" s="2" t="s">
        <v>41719</v>
      </c>
      <c r="N4183" s="3" t="s">
        <v>364</v>
      </c>
      <c r="P4183" s="3" t="s">
        <v>69</v>
      </c>
      <c r="R4183" s="3" t="s">
        <v>71</v>
      </c>
      <c r="S4183" s="4">
        <v>13</v>
      </c>
      <c r="T4183" s="4">
        <v>13</v>
      </c>
      <c r="U4183" s="5" t="s">
        <v>29322</v>
      </c>
      <c r="V4183" s="5" t="s">
        <v>29322</v>
      </c>
      <c r="W4183" s="5" t="s">
        <v>72</v>
      </c>
      <c r="X4183" s="5" t="s">
        <v>72</v>
      </c>
      <c r="Y4183" s="4">
        <v>77</v>
      </c>
      <c r="Z4183" s="4">
        <v>8</v>
      </c>
      <c r="AA4183" s="4">
        <v>92</v>
      </c>
      <c r="AB4183" s="4">
        <v>2</v>
      </c>
      <c r="AC4183" s="4">
        <v>18</v>
      </c>
      <c r="AD4183" s="4">
        <v>36</v>
      </c>
      <c r="AE4183" s="4">
        <v>104</v>
      </c>
      <c r="AF4183" s="4">
        <v>0</v>
      </c>
      <c r="AG4183" s="4">
        <v>8</v>
      </c>
      <c r="AH4183" s="4">
        <v>34</v>
      </c>
      <c r="AI4183" s="4">
        <v>69</v>
      </c>
      <c r="AJ4183" s="4">
        <v>5</v>
      </c>
      <c r="AK4183" s="4">
        <v>20</v>
      </c>
      <c r="AL4183" s="4">
        <v>24</v>
      </c>
      <c r="AM4183" s="4">
        <v>35</v>
      </c>
      <c r="AN4183" s="4">
        <v>0</v>
      </c>
      <c r="AO4183" s="4">
        <v>0</v>
      </c>
      <c r="AP4183" s="4">
        <v>5</v>
      </c>
      <c r="AQ4183" s="4">
        <v>43</v>
      </c>
      <c r="AR4183" s="3" t="s">
        <v>65</v>
      </c>
      <c r="AS4183" s="3" t="s">
        <v>65</v>
      </c>
      <c r="AT4183" s="3" t="s">
        <v>65</v>
      </c>
      <c r="AV4183" s="6" t="str">
        <f>HYPERLINK("http://mcgill.on.worldcat.org/oclc/59470601","Catalog Record")</f>
        <v>Catalog Record</v>
      </c>
      <c r="AW4183" s="6" t="str">
        <f>HYPERLINK("http://www.worldcat.org/oclc/59470601","WorldCat Record")</f>
        <v>WorldCat Record</v>
      </c>
      <c r="AX4183" s="3" t="s">
        <v>41720</v>
      </c>
      <c r="AY4183" s="3" t="s">
        <v>41721</v>
      </c>
      <c r="AZ4183" s="3" t="s">
        <v>41722</v>
      </c>
      <c r="BA4183" s="3" t="s">
        <v>41722</v>
      </c>
      <c r="BB4183" s="3" t="s">
        <v>41723</v>
      </c>
      <c r="BC4183" s="3" t="s">
        <v>77</v>
      </c>
      <c r="BD4183" s="3" t="s">
        <v>78</v>
      </c>
      <c r="BE4183" s="3" t="s">
        <v>41724</v>
      </c>
      <c r="BF4183" s="3" t="s">
        <v>41723</v>
      </c>
      <c r="BG4183" s="3" t="s">
        <v>41725</v>
      </c>
    </row>
    <row r="4184" spans="1:59" ht="58" x14ac:dyDescent="0.35">
      <c r="A4184" s="2" t="s">
        <v>59</v>
      </c>
      <c r="B4184" s="2" t="s">
        <v>60</v>
      </c>
      <c r="C4184" s="2" t="s">
        <v>41726</v>
      </c>
      <c r="D4184" s="2" t="s">
        <v>41727</v>
      </c>
      <c r="E4184" s="2" t="s">
        <v>41728</v>
      </c>
      <c r="G4184" s="3" t="s">
        <v>65</v>
      </c>
      <c r="I4184" s="3" t="s">
        <v>65</v>
      </c>
      <c r="J4184" s="3" t="s">
        <v>65</v>
      </c>
      <c r="K4184" s="3" t="s">
        <v>66</v>
      </c>
      <c r="M4184" s="2" t="s">
        <v>3198</v>
      </c>
      <c r="N4184" s="3" t="s">
        <v>552</v>
      </c>
      <c r="P4184" s="3" t="s">
        <v>140</v>
      </c>
      <c r="Q4184" s="2" t="s">
        <v>41729</v>
      </c>
      <c r="R4184" s="3" t="s">
        <v>71</v>
      </c>
      <c r="S4184" s="4">
        <v>2</v>
      </c>
      <c r="T4184" s="4">
        <v>2</v>
      </c>
      <c r="U4184" s="5" t="s">
        <v>17749</v>
      </c>
      <c r="V4184" s="5" t="s">
        <v>17749</v>
      </c>
      <c r="W4184" s="5" t="s">
        <v>72</v>
      </c>
      <c r="X4184" s="5" t="s">
        <v>72</v>
      </c>
      <c r="Y4184" s="4">
        <v>54</v>
      </c>
      <c r="Z4184" s="4">
        <v>6</v>
      </c>
      <c r="AA4184" s="4">
        <v>6</v>
      </c>
      <c r="AB4184" s="4">
        <v>1</v>
      </c>
      <c r="AC4184" s="4">
        <v>1</v>
      </c>
      <c r="AD4184" s="4">
        <v>28</v>
      </c>
      <c r="AE4184" s="4">
        <v>28</v>
      </c>
      <c r="AF4184" s="4">
        <v>0</v>
      </c>
      <c r="AG4184" s="4">
        <v>0</v>
      </c>
      <c r="AH4184" s="4">
        <v>26</v>
      </c>
      <c r="AI4184" s="4">
        <v>26</v>
      </c>
      <c r="AJ4184" s="4">
        <v>4</v>
      </c>
      <c r="AK4184" s="4">
        <v>4</v>
      </c>
      <c r="AL4184" s="4">
        <v>22</v>
      </c>
      <c r="AM4184" s="4">
        <v>22</v>
      </c>
      <c r="AN4184" s="4">
        <v>2</v>
      </c>
      <c r="AO4184" s="4">
        <v>2</v>
      </c>
      <c r="AP4184" s="4">
        <v>4</v>
      </c>
      <c r="AQ4184" s="4">
        <v>4</v>
      </c>
      <c r="AR4184" s="3" t="s">
        <v>65</v>
      </c>
      <c r="AS4184" s="3" t="s">
        <v>65</v>
      </c>
      <c r="AT4184" s="3" t="s">
        <v>209</v>
      </c>
      <c r="AU4184" s="6" t="str">
        <f>HYPERLINK("http://catalog.hathitrust.org/Record/007135608","HathiTrust Record")</f>
        <v>HathiTrust Record</v>
      </c>
      <c r="AV4184" s="6" t="str">
        <f>HYPERLINK("http://mcgill.on.worldcat.org/oclc/38218677","Catalog Record")</f>
        <v>Catalog Record</v>
      </c>
      <c r="AW4184" s="6" t="str">
        <f>HYPERLINK("http://www.worldcat.org/oclc/38218677","WorldCat Record")</f>
        <v>WorldCat Record</v>
      </c>
      <c r="AX4184" s="3" t="s">
        <v>41730</v>
      </c>
      <c r="AY4184" s="3" t="s">
        <v>41731</v>
      </c>
      <c r="AZ4184" s="3" t="s">
        <v>41732</v>
      </c>
      <c r="BA4184" s="3" t="s">
        <v>41732</v>
      </c>
      <c r="BB4184" s="3" t="s">
        <v>41733</v>
      </c>
      <c r="BC4184" s="3" t="s">
        <v>77</v>
      </c>
      <c r="BD4184" s="3" t="s">
        <v>78</v>
      </c>
      <c r="BE4184" s="3" t="s">
        <v>41734</v>
      </c>
      <c r="BF4184" s="3" t="s">
        <v>41733</v>
      </c>
      <c r="BG4184" s="3" t="s">
        <v>41735</v>
      </c>
    </row>
    <row r="4185" spans="1:59" ht="58" x14ac:dyDescent="0.35">
      <c r="A4185" s="2" t="s">
        <v>208</v>
      </c>
      <c r="B4185" s="2" t="s">
        <v>41736</v>
      </c>
      <c r="C4185" s="2" t="s">
        <v>41737</v>
      </c>
      <c r="D4185" s="2" t="s">
        <v>41738</v>
      </c>
      <c r="E4185" s="2" t="s">
        <v>41739</v>
      </c>
      <c r="G4185" s="3" t="s">
        <v>65</v>
      </c>
      <c r="I4185" s="3" t="s">
        <v>65</v>
      </c>
      <c r="J4185" s="3" t="s">
        <v>65</v>
      </c>
      <c r="K4185" s="3" t="s">
        <v>66</v>
      </c>
      <c r="L4185" s="2" t="s">
        <v>41740</v>
      </c>
      <c r="M4185" s="2" t="s">
        <v>41741</v>
      </c>
      <c r="N4185" s="3" t="s">
        <v>7187</v>
      </c>
      <c r="O4185" s="2" t="s">
        <v>2086</v>
      </c>
      <c r="P4185" s="3" t="s">
        <v>69</v>
      </c>
      <c r="R4185" s="3" t="s">
        <v>71</v>
      </c>
      <c r="S4185" s="4">
        <v>1</v>
      </c>
      <c r="T4185" s="4">
        <v>1</v>
      </c>
      <c r="U4185" s="5" t="s">
        <v>17633</v>
      </c>
      <c r="V4185" s="5" t="s">
        <v>17633</v>
      </c>
      <c r="W4185" s="5" t="s">
        <v>72</v>
      </c>
      <c r="X4185" s="5" t="s">
        <v>72</v>
      </c>
      <c r="Y4185" s="4">
        <v>377</v>
      </c>
      <c r="Z4185" s="4">
        <v>15</v>
      </c>
      <c r="AA4185" s="4">
        <v>15</v>
      </c>
      <c r="AB4185" s="4">
        <v>1</v>
      </c>
      <c r="AC4185" s="4">
        <v>1</v>
      </c>
      <c r="AD4185" s="4">
        <v>76</v>
      </c>
      <c r="AE4185" s="4">
        <v>76</v>
      </c>
      <c r="AF4185" s="4">
        <v>0</v>
      </c>
      <c r="AG4185" s="4">
        <v>0</v>
      </c>
      <c r="AH4185" s="4">
        <v>67</v>
      </c>
      <c r="AI4185" s="4">
        <v>67</v>
      </c>
      <c r="AJ4185" s="4">
        <v>10</v>
      </c>
      <c r="AK4185" s="4">
        <v>10</v>
      </c>
      <c r="AL4185" s="4">
        <v>33</v>
      </c>
      <c r="AM4185" s="4">
        <v>33</v>
      </c>
      <c r="AN4185" s="4">
        <v>0</v>
      </c>
      <c r="AO4185" s="4">
        <v>0</v>
      </c>
      <c r="AP4185" s="4">
        <v>9</v>
      </c>
      <c r="AQ4185" s="4">
        <v>9</v>
      </c>
      <c r="AR4185" s="3" t="s">
        <v>65</v>
      </c>
      <c r="AS4185" s="3" t="s">
        <v>65</v>
      </c>
      <c r="AT4185" s="3" t="s">
        <v>209</v>
      </c>
      <c r="AU4185" s="6" t="str">
        <f>HYPERLINK("http://catalog.hathitrust.org/Record/006490867","HathiTrust Record")</f>
        <v>HathiTrust Record</v>
      </c>
      <c r="AV4185" s="6" t="str">
        <f>HYPERLINK("http://mcgill.on.worldcat.org/oclc/2983746","Catalog Record")</f>
        <v>Catalog Record</v>
      </c>
      <c r="AW4185" s="6" t="str">
        <f>HYPERLINK("http://www.worldcat.org/oclc/2983746","WorldCat Record")</f>
        <v>WorldCat Record</v>
      </c>
      <c r="AX4185" s="3" t="s">
        <v>41742</v>
      </c>
      <c r="AY4185" s="3" t="s">
        <v>41743</v>
      </c>
      <c r="AZ4185" s="3" t="s">
        <v>41744</v>
      </c>
      <c r="BA4185" s="3" t="s">
        <v>41744</v>
      </c>
      <c r="BB4185" s="3" t="s">
        <v>41745</v>
      </c>
      <c r="BC4185" s="3" t="s">
        <v>77</v>
      </c>
      <c r="BD4185" s="3" t="s">
        <v>41746</v>
      </c>
      <c r="BE4185" s="3" t="s">
        <v>41747</v>
      </c>
      <c r="BF4185" s="3" t="s">
        <v>41745</v>
      </c>
      <c r="BG4185" s="3" t="s">
        <v>41748</v>
      </c>
    </row>
    <row r="4186" spans="1:59" ht="58" x14ac:dyDescent="0.35">
      <c r="A4186" s="2" t="s">
        <v>59</v>
      </c>
      <c r="B4186" s="2" t="s">
        <v>60</v>
      </c>
      <c r="C4186" s="2" t="s">
        <v>41749</v>
      </c>
      <c r="D4186" s="2" t="s">
        <v>41750</v>
      </c>
      <c r="E4186" s="2" t="s">
        <v>41751</v>
      </c>
      <c r="G4186" s="3" t="s">
        <v>65</v>
      </c>
      <c r="I4186" s="3" t="s">
        <v>65</v>
      </c>
      <c r="J4186" s="3" t="s">
        <v>65</v>
      </c>
      <c r="K4186" s="3" t="s">
        <v>66</v>
      </c>
      <c r="L4186" s="2" t="s">
        <v>41752</v>
      </c>
      <c r="M4186" s="2" t="s">
        <v>41753</v>
      </c>
      <c r="N4186" s="3" t="s">
        <v>86</v>
      </c>
      <c r="P4186" s="3" t="s">
        <v>140</v>
      </c>
      <c r="Q4186" s="2" t="s">
        <v>41754</v>
      </c>
      <c r="R4186" s="3" t="s">
        <v>71</v>
      </c>
      <c r="S4186" s="4">
        <v>0</v>
      </c>
      <c r="T4186" s="4">
        <v>0</v>
      </c>
      <c r="W4186" s="5" t="s">
        <v>72</v>
      </c>
      <c r="X4186" s="5" t="s">
        <v>72</v>
      </c>
      <c r="Y4186" s="4">
        <v>4</v>
      </c>
      <c r="Z4186" s="4">
        <v>1</v>
      </c>
      <c r="AA4186" s="4">
        <v>1</v>
      </c>
      <c r="AB4186" s="4">
        <v>1</v>
      </c>
      <c r="AC4186" s="4">
        <v>1</v>
      </c>
      <c r="AD4186" s="4">
        <v>1</v>
      </c>
      <c r="AE4186" s="4">
        <v>1</v>
      </c>
      <c r="AF4186" s="4">
        <v>0</v>
      </c>
      <c r="AG4186" s="4">
        <v>0</v>
      </c>
      <c r="AH4186" s="4">
        <v>1</v>
      </c>
      <c r="AI4186" s="4">
        <v>1</v>
      </c>
      <c r="AJ4186" s="4">
        <v>0</v>
      </c>
      <c r="AK4186" s="4">
        <v>0</v>
      </c>
      <c r="AL4186" s="4">
        <v>1</v>
      </c>
      <c r="AM4186" s="4">
        <v>1</v>
      </c>
      <c r="AN4186" s="4">
        <v>0</v>
      </c>
      <c r="AO4186" s="4">
        <v>0</v>
      </c>
      <c r="AP4186" s="4">
        <v>0</v>
      </c>
      <c r="AQ4186" s="4">
        <v>0</v>
      </c>
      <c r="AR4186" s="3" t="s">
        <v>65</v>
      </c>
      <c r="AS4186" s="3" t="s">
        <v>65</v>
      </c>
      <c r="AT4186" s="3" t="s">
        <v>65</v>
      </c>
      <c r="AV4186" s="6" t="str">
        <f>HYPERLINK("http://mcgill.on.worldcat.org/oclc/1030977818","Catalog Record")</f>
        <v>Catalog Record</v>
      </c>
      <c r="AW4186" s="6" t="str">
        <f>HYPERLINK("http://www.worldcat.org/oclc/1030977818","WorldCat Record")</f>
        <v>WorldCat Record</v>
      </c>
      <c r="AX4186" s="3" t="s">
        <v>41755</v>
      </c>
      <c r="AY4186" s="3" t="s">
        <v>41756</v>
      </c>
      <c r="AZ4186" s="3" t="s">
        <v>41757</v>
      </c>
      <c r="BA4186" s="3" t="s">
        <v>41757</v>
      </c>
      <c r="BB4186" s="3" t="s">
        <v>41758</v>
      </c>
      <c r="BC4186" s="3" t="s">
        <v>77</v>
      </c>
      <c r="BD4186" s="3" t="s">
        <v>78</v>
      </c>
      <c r="BE4186" s="3" t="s">
        <v>41759</v>
      </c>
      <c r="BF4186" s="3" t="s">
        <v>41758</v>
      </c>
      <c r="BG4186" s="3" t="s">
        <v>41760</v>
      </c>
    </row>
    <row r="4187" spans="1:59" ht="58" x14ac:dyDescent="0.35">
      <c r="A4187" s="2" t="s">
        <v>59</v>
      </c>
      <c r="B4187" s="2" t="s">
        <v>60</v>
      </c>
      <c r="C4187" s="2" t="s">
        <v>41761</v>
      </c>
      <c r="D4187" s="2" t="s">
        <v>41762</v>
      </c>
      <c r="E4187" s="2" t="s">
        <v>41763</v>
      </c>
      <c r="F4187" s="3" t="s">
        <v>245</v>
      </c>
      <c r="G4187" s="3" t="s">
        <v>209</v>
      </c>
      <c r="I4187" s="3" t="s">
        <v>209</v>
      </c>
      <c r="J4187" s="3" t="s">
        <v>209</v>
      </c>
      <c r="K4187" s="3" t="s">
        <v>66</v>
      </c>
      <c r="L4187" s="2" t="s">
        <v>9005</v>
      </c>
      <c r="M4187" s="2" t="s">
        <v>41764</v>
      </c>
      <c r="N4187" s="3" t="s">
        <v>756</v>
      </c>
      <c r="P4187" s="3" t="s">
        <v>69</v>
      </c>
      <c r="R4187" s="3" t="s">
        <v>71</v>
      </c>
      <c r="S4187" s="4">
        <v>0</v>
      </c>
      <c r="T4187" s="4">
        <v>6</v>
      </c>
      <c r="V4187" s="5" t="s">
        <v>34476</v>
      </c>
      <c r="W4187" s="5" t="s">
        <v>72</v>
      </c>
      <c r="X4187" s="5" t="s">
        <v>72</v>
      </c>
      <c r="Y4187" s="4">
        <v>327</v>
      </c>
      <c r="Z4187" s="4">
        <v>22</v>
      </c>
      <c r="AA4187" s="4">
        <v>87</v>
      </c>
      <c r="AB4187" s="4">
        <v>1</v>
      </c>
      <c r="AC4187" s="4">
        <v>8</v>
      </c>
      <c r="AD4187" s="4">
        <v>75</v>
      </c>
      <c r="AE4187" s="4">
        <v>150</v>
      </c>
      <c r="AF4187" s="4">
        <v>0</v>
      </c>
      <c r="AG4187" s="4">
        <v>3</v>
      </c>
      <c r="AH4187" s="4">
        <v>66</v>
      </c>
      <c r="AI4187" s="4">
        <v>112</v>
      </c>
      <c r="AJ4187" s="4">
        <v>9</v>
      </c>
      <c r="AK4187" s="4">
        <v>25</v>
      </c>
      <c r="AL4187" s="4">
        <v>37</v>
      </c>
      <c r="AM4187" s="4">
        <v>62</v>
      </c>
      <c r="AN4187" s="4">
        <v>0</v>
      </c>
      <c r="AO4187" s="4">
        <v>5</v>
      </c>
      <c r="AP4187" s="4">
        <v>12</v>
      </c>
      <c r="AQ4187" s="4">
        <v>43</v>
      </c>
      <c r="AR4187" s="3" t="s">
        <v>65</v>
      </c>
      <c r="AS4187" s="3" t="s">
        <v>65</v>
      </c>
      <c r="AT4187" s="3" t="s">
        <v>65</v>
      </c>
      <c r="AV4187" s="6" t="str">
        <f>HYPERLINK("http://mcgill.on.worldcat.org/oclc/118115","Catalog Record")</f>
        <v>Catalog Record</v>
      </c>
      <c r="AW4187" s="6" t="str">
        <f>HYPERLINK("http://www.worldcat.org/oclc/118115","WorldCat Record")</f>
        <v>WorldCat Record</v>
      </c>
      <c r="AX4187" s="3" t="s">
        <v>41765</v>
      </c>
      <c r="AY4187" s="3" t="s">
        <v>41766</v>
      </c>
      <c r="AZ4187" s="3" t="s">
        <v>41767</v>
      </c>
      <c r="BA4187" s="3" t="s">
        <v>41767</v>
      </c>
      <c r="BB4187" s="3" t="s">
        <v>41768</v>
      </c>
      <c r="BC4187" s="3" t="s">
        <v>77</v>
      </c>
      <c r="BD4187" s="3" t="s">
        <v>78</v>
      </c>
      <c r="BF4187" s="3" t="s">
        <v>41768</v>
      </c>
      <c r="BG4187" s="3" t="s">
        <v>41769</v>
      </c>
    </row>
    <row r="4188" spans="1:59" ht="58" x14ac:dyDescent="0.35">
      <c r="A4188" s="2" t="s">
        <v>59</v>
      </c>
      <c r="B4188" s="2" t="s">
        <v>60</v>
      </c>
      <c r="C4188" s="2" t="s">
        <v>41761</v>
      </c>
      <c r="D4188" s="2" t="s">
        <v>41762</v>
      </c>
      <c r="E4188" s="2" t="s">
        <v>41763</v>
      </c>
      <c r="F4188" s="3" t="s">
        <v>258</v>
      </c>
      <c r="G4188" s="3" t="s">
        <v>209</v>
      </c>
      <c r="I4188" s="3" t="s">
        <v>209</v>
      </c>
      <c r="J4188" s="3" t="s">
        <v>209</v>
      </c>
      <c r="K4188" s="3" t="s">
        <v>66</v>
      </c>
      <c r="L4188" s="2" t="s">
        <v>9005</v>
      </c>
      <c r="M4188" s="2" t="s">
        <v>41764</v>
      </c>
      <c r="N4188" s="3" t="s">
        <v>756</v>
      </c>
      <c r="P4188" s="3" t="s">
        <v>69</v>
      </c>
      <c r="R4188" s="3" t="s">
        <v>71</v>
      </c>
      <c r="S4188" s="4">
        <v>0</v>
      </c>
      <c r="T4188" s="4">
        <v>6</v>
      </c>
      <c r="V4188" s="5" t="s">
        <v>34476</v>
      </c>
      <c r="W4188" s="5" t="s">
        <v>72</v>
      </c>
      <c r="X4188" s="5" t="s">
        <v>72</v>
      </c>
      <c r="Y4188" s="4">
        <v>327</v>
      </c>
      <c r="Z4188" s="4">
        <v>22</v>
      </c>
      <c r="AA4188" s="4">
        <v>87</v>
      </c>
      <c r="AB4188" s="4">
        <v>1</v>
      </c>
      <c r="AC4188" s="4">
        <v>8</v>
      </c>
      <c r="AD4188" s="4">
        <v>75</v>
      </c>
      <c r="AE4188" s="4">
        <v>150</v>
      </c>
      <c r="AF4188" s="4">
        <v>0</v>
      </c>
      <c r="AG4188" s="4">
        <v>3</v>
      </c>
      <c r="AH4188" s="4">
        <v>66</v>
      </c>
      <c r="AI4188" s="4">
        <v>112</v>
      </c>
      <c r="AJ4188" s="4">
        <v>9</v>
      </c>
      <c r="AK4188" s="4">
        <v>25</v>
      </c>
      <c r="AL4188" s="4">
        <v>37</v>
      </c>
      <c r="AM4188" s="4">
        <v>62</v>
      </c>
      <c r="AN4188" s="4">
        <v>0</v>
      </c>
      <c r="AO4188" s="4">
        <v>5</v>
      </c>
      <c r="AP4188" s="4">
        <v>12</v>
      </c>
      <c r="AQ4188" s="4">
        <v>43</v>
      </c>
      <c r="AR4188" s="3" t="s">
        <v>65</v>
      </c>
      <c r="AS4188" s="3" t="s">
        <v>65</v>
      </c>
      <c r="AT4188" s="3" t="s">
        <v>65</v>
      </c>
      <c r="AV4188" s="6" t="str">
        <f>HYPERLINK("http://mcgill.on.worldcat.org/oclc/118115","Catalog Record")</f>
        <v>Catalog Record</v>
      </c>
      <c r="AW4188" s="6" t="str">
        <f>HYPERLINK("http://www.worldcat.org/oclc/118115","WorldCat Record")</f>
        <v>WorldCat Record</v>
      </c>
      <c r="AX4188" s="3" t="s">
        <v>41765</v>
      </c>
      <c r="AY4188" s="3" t="s">
        <v>41766</v>
      </c>
      <c r="AZ4188" s="3" t="s">
        <v>41767</v>
      </c>
      <c r="BA4188" s="3" t="s">
        <v>41767</v>
      </c>
      <c r="BB4188" s="3" t="s">
        <v>41770</v>
      </c>
      <c r="BC4188" s="3" t="s">
        <v>77</v>
      </c>
      <c r="BD4188" s="3" t="s">
        <v>78</v>
      </c>
      <c r="BF4188" s="3" t="s">
        <v>41770</v>
      </c>
      <c r="BG4188" s="3" t="s">
        <v>41771</v>
      </c>
    </row>
    <row r="4189" spans="1:59" ht="58" x14ac:dyDescent="0.35">
      <c r="A4189" s="2" t="s">
        <v>59</v>
      </c>
      <c r="B4189" s="2" t="s">
        <v>60</v>
      </c>
      <c r="C4189" s="2" t="s">
        <v>41761</v>
      </c>
      <c r="D4189" s="2" t="s">
        <v>41762</v>
      </c>
      <c r="E4189" s="2" t="s">
        <v>41763</v>
      </c>
      <c r="F4189" s="3" t="s">
        <v>255</v>
      </c>
      <c r="G4189" s="3" t="s">
        <v>209</v>
      </c>
      <c r="I4189" s="3" t="s">
        <v>209</v>
      </c>
      <c r="J4189" s="3" t="s">
        <v>209</v>
      </c>
      <c r="K4189" s="3" t="s">
        <v>66</v>
      </c>
      <c r="L4189" s="2" t="s">
        <v>9005</v>
      </c>
      <c r="M4189" s="2" t="s">
        <v>41764</v>
      </c>
      <c r="N4189" s="3" t="s">
        <v>756</v>
      </c>
      <c r="P4189" s="3" t="s">
        <v>69</v>
      </c>
      <c r="R4189" s="3" t="s">
        <v>71</v>
      </c>
      <c r="S4189" s="4">
        <v>0</v>
      </c>
      <c r="T4189" s="4">
        <v>6</v>
      </c>
      <c r="V4189" s="5" t="s">
        <v>34476</v>
      </c>
      <c r="W4189" s="5" t="s">
        <v>72</v>
      </c>
      <c r="X4189" s="5" t="s">
        <v>72</v>
      </c>
      <c r="Y4189" s="4">
        <v>327</v>
      </c>
      <c r="Z4189" s="4">
        <v>22</v>
      </c>
      <c r="AA4189" s="4">
        <v>87</v>
      </c>
      <c r="AB4189" s="4">
        <v>1</v>
      </c>
      <c r="AC4189" s="4">
        <v>8</v>
      </c>
      <c r="AD4189" s="4">
        <v>75</v>
      </c>
      <c r="AE4189" s="4">
        <v>150</v>
      </c>
      <c r="AF4189" s="4">
        <v>0</v>
      </c>
      <c r="AG4189" s="4">
        <v>3</v>
      </c>
      <c r="AH4189" s="4">
        <v>66</v>
      </c>
      <c r="AI4189" s="4">
        <v>112</v>
      </c>
      <c r="AJ4189" s="4">
        <v>9</v>
      </c>
      <c r="AK4189" s="4">
        <v>25</v>
      </c>
      <c r="AL4189" s="4">
        <v>37</v>
      </c>
      <c r="AM4189" s="4">
        <v>62</v>
      </c>
      <c r="AN4189" s="4">
        <v>0</v>
      </c>
      <c r="AO4189" s="4">
        <v>5</v>
      </c>
      <c r="AP4189" s="4">
        <v>12</v>
      </c>
      <c r="AQ4189" s="4">
        <v>43</v>
      </c>
      <c r="AR4189" s="3" t="s">
        <v>65</v>
      </c>
      <c r="AS4189" s="3" t="s">
        <v>65</v>
      </c>
      <c r="AT4189" s="3" t="s">
        <v>65</v>
      </c>
      <c r="AV4189" s="6" t="str">
        <f>HYPERLINK("http://mcgill.on.worldcat.org/oclc/118115","Catalog Record")</f>
        <v>Catalog Record</v>
      </c>
      <c r="AW4189" s="6" t="str">
        <f>HYPERLINK("http://www.worldcat.org/oclc/118115","WorldCat Record")</f>
        <v>WorldCat Record</v>
      </c>
      <c r="AX4189" s="3" t="s">
        <v>41765</v>
      </c>
      <c r="AY4189" s="3" t="s">
        <v>41766</v>
      </c>
      <c r="AZ4189" s="3" t="s">
        <v>41767</v>
      </c>
      <c r="BA4189" s="3" t="s">
        <v>41767</v>
      </c>
      <c r="BB4189" s="3" t="s">
        <v>41772</v>
      </c>
      <c r="BC4189" s="3" t="s">
        <v>77</v>
      </c>
      <c r="BD4189" s="3" t="s">
        <v>78</v>
      </c>
      <c r="BF4189" s="3" t="s">
        <v>41772</v>
      </c>
      <c r="BG4189" s="3" t="s">
        <v>41773</v>
      </c>
    </row>
    <row r="4190" spans="1:59" ht="72.5" x14ac:dyDescent="0.35">
      <c r="A4190" s="2" t="s">
        <v>59</v>
      </c>
      <c r="B4190" s="2" t="s">
        <v>5411</v>
      </c>
      <c r="C4190" s="2" t="s">
        <v>41774</v>
      </c>
      <c r="D4190" s="2" t="s">
        <v>41775</v>
      </c>
      <c r="E4190" s="2" t="s">
        <v>41776</v>
      </c>
      <c r="G4190" s="3" t="s">
        <v>65</v>
      </c>
      <c r="I4190" s="3" t="s">
        <v>209</v>
      </c>
      <c r="J4190" s="3" t="s">
        <v>65</v>
      </c>
      <c r="K4190" s="3" t="s">
        <v>66</v>
      </c>
      <c r="L4190" s="2" t="s">
        <v>9005</v>
      </c>
      <c r="M4190" s="2" t="s">
        <v>41777</v>
      </c>
      <c r="N4190" s="3" t="s">
        <v>12171</v>
      </c>
      <c r="P4190" s="3" t="s">
        <v>69</v>
      </c>
      <c r="R4190" s="3" t="s">
        <v>71</v>
      </c>
      <c r="S4190" s="4">
        <v>0</v>
      </c>
      <c r="T4190" s="4">
        <v>9</v>
      </c>
      <c r="V4190" s="5" t="s">
        <v>41778</v>
      </c>
      <c r="W4190" s="5" t="s">
        <v>72</v>
      </c>
      <c r="X4190" s="5" t="s">
        <v>72</v>
      </c>
      <c r="Y4190" s="4">
        <v>1597</v>
      </c>
      <c r="Z4190" s="4">
        <v>51</v>
      </c>
      <c r="AA4190" s="4">
        <v>60</v>
      </c>
      <c r="AB4190" s="4">
        <v>2</v>
      </c>
      <c r="AC4190" s="4">
        <v>6</v>
      </c>
      <c r="AD4190" s="4">
        <v>127</v>
      </c>
      <c r="AE4190" s="4">
        <v>133</v>
      </c>
      <c r="AF4190" s="4">
        <v>1</v>
      </c>
      <c r="AG4190" s="4">
        <v>4</v>
      </c>
      <c r="AH4190" s="4">
        <v>104</v>
      </c>
      <c r="AI4190" s="4">
        <v>106</v>
      </c>
      <c r="AJ4190" s="4">
        <v>20</v>
      </c>
      <c r="AK4190" s="4">
        <v>24</v>
      </c>
      <c r="AL4190" s="4">
        <v>55</v>
      </c>
      <c r="AM4190" s="4">
        <v>56</v>
      </c>
      <c r="AN4190" s="4">
        <v>0</v>
      </c>
      <c r="AO4190" s="4">
        <v>0</v>
      </c>
      <c r="AP4190" s="4">
        <v>31</v>
      </c>
      <c r="AQ4190" s="4">
        <v>35</v>
      </c>
      <c r="AR4190" s="3" t="s">
        <v>65</v>
      </c>
      <c r="AS4190" s="3" t="s">
        <v>65</v>
      </c>
      <c r="AT4190" s="3" t="s">
        <v>209</v>
      </c>
      <c r="AU4190" s="6" t="str">
        <f>HYPERLINK("http://catalog.hathitrust.org/Record/000845578","HathiTrust Record")</f>
        <v>HathiTrust Record</v>
      </c>
      <c r="AV4190" s="6" t="str">
        <f>HYPERLINK("http://mcgill.on.worldcat.org/oclc/241751","Catalog Record")</f>
        <v>Catalog Record</v>
      </c>
      <c r="AW4190" s="6" t="str">
        <f>HYPERLINK("http://www.worldcat.org/oclc/241751","WorldCat Record")</f>
        <v>WorldCat Record</v>
      </c>
      <c r="AX4190" s="3" t="s">
        <v>41779</v>
      </c>
      <c r="AY4190" s="3" t="s">
        <v>41780</v>
      </c>
      <c r="AZ4190" s="3" t="s">
        <v>41781</v>
      </c>
      <c r="BA4190" s="3" t="s">
        <v>41781</v>
      </c>
      <c r="BB4190" s="3" t="s">
        <v>41782</v>
      </c>
      <c r="BC4190" s="3" t="s">
        <v>77</v>
      </c>
      <c r="BD4190" s="3" t="s">
        <v>78</v>
      </c>
      <c r="BF4190" s="3" t="s">
        <v>41782</v>
      </c>
      <c r="BG4190" s="3" t="s">
        <v>41783</v>
      </c>
    </row>
    <row r="4191" spans="1:59" ht="58" x14ac:dyDescent="0.35">
      <c r="A4191" s="2" t="s">
        <v>59</v>
      </c>
      <c r="B4191" s="2" t="s">
        <v>60</v>
      </c>
      <c r="C4191" s="2" t="s">
        <v>41784</v>
      </c>
      <c r="D4191" s="2" t="s">
        <v>41785</v>
      </c>
      <c r="E4191" s="2" t="s">
        <v>41786</v>
      </c>
      <c r="G4191" s="3" t="s">
        <v>65</v>
      </c>
      <c r="I4191" s="3" t="s">
        <v>209</v>
      </c>
      <c r="J4191" s="3" t="s">
        <v>65</v>
      </c>
      <c r="K4191" s="3" t="s">
        <v>66</v>
      </c>
      <c r="L4191" s="2" t="s">
        <v>41787</v>
      </c>
      <c r="M4191" s="2" t="s">
        <v>41788</v>
      </c>
      <c r="N4191" s="3" t="s">
        <v>552</v>
      </c>
      <c r="P4191" s="3" t="s">
        <v>69</v>
      </c>
      <c r="R4191" s="3" t="s">
        <v>71</v>
      </c>
      <c r="S4191" s="4">
        <v>16</v>
      </c>
      <c r="T4191" s="4">
        <v>16</v>
      </c>
      <c r="U4191" s="5" t="s">
        <v>16453</v>
      </c>
      <c r="V4191" s="5" t="s">
        <v>16453</v>
      </c>
      <c r="W4191" s="5" t="s">
        <v>72</v>
      </c>
      <c r="X4191" s="5" t="s">
        <v>72</v>
      </c>
      <c r="Y4191" s="4">
        <v>489</v>
      </c>
      <c r="Z4191" s="4">
        <v>21</v>
      </c>
      <c r="AA4191" s="4">
        <v>21</v>
      </c>
      <c r="AB4191" s="4">
        <v>1</v>
      </c>
      <c r="AC4191" s="4">
        <v>1</v>
      </c>
      <c r="AD4191" s="4">
        <v>110</v>
      </c>
      <c r="AE4191" s="4">
        <v>110</v>
      </c>
      <c r="AF4191" s="4">
        <v>0</v>
      </c>
      <c r="AG4191" s="4">
        <v>0</v>
      </c>
      <c r="AH4191" s="4">
        <v>99</v>
      </c>
      <c r="AI4191" s="4">
        <v>99</v>
      </c>
      <c r="AJ4191" s="4">
        <v>10</v>
      </c>
      <c r="AK4191" s="4">
        <v>10</v>
      </c>
      <c r="AL4191" s="4">
        <v>57</v>
      </c>
      <c r="AM4191" s="4">
        <v>57</v>
      </c>
      <c r="AN4191" s="4">
        <v>0</v>
      </c>
      <c r="AO4191" s="4">
        <v>0</v>
      </c>
      <c r="AP4191" s="4">
        <v>14</v>
      </c>
      <c r="AQ4191" s="4">
        <v>14</v>
      </c>
      <c r="AR4191" s="3" t="s">
        <v>65</v>
      </c>
      <c r="AS4191" s="3" t="s">
        <v>65</v>
      </c>
      <c r="AT4191" s="3" t="s">
        <v>65</v>
      </c>
      <c r="AV4191" s="6" t="str">
        <f>HYPERLINK("http://mcgill.on.worldcat.org/oclc/35832097","Catalog Record")</f>
        <v>Catalog Record</v>
      </c>
      <c r="AW4191" s="6" t="str">
        <f>HYPERLINK("http://www.worldcat.org/oclc/35832097","WorldCat Record")</f>
        <v>WorldCat Record</v>
      </c>
      <c r="AX4191" s="3" t="s">
        <v>41789</v>
      </c>
      <c r="AY4191" s="3" t="s">
        <v>41790</v>
      </c>
      <c r="AZ4191" s="3" t="s">
        <v>41791</v>
      </c>
      <c r="BA4191" s="3" t="s">
        <v>41791</v>
      </c>
      <c r="BB4191" s="3" t="s">
        <v>41792</v>
      </c>
      <c r="BC4191" s="3" t="s">
        <v>77</v>
      </c>
      <c r="BD4191" s="3" t="s">
        <v>78</v>
      </c>
      <c r="BE4191" s="3" t="s">
        <v>41793</v>
      </c>
      <c r="BF4191" s="3" t="s">
        <v>41792</v>
      </c>
      <c r="BG4191" s="3" t="s">
        <v>41794</v>
      </c>
    </row>
    <row r="4192" spans="1:59" ht="72.5" x14ac:dyDescent="0.35">
      <c r="A4192" s="2" t="s">
        <v>59</v>
      </c>
      <c r="B4192" s="2" t="s">
        <v>60</v>
      </c>
      <c r="C4192" s="2" t="s">
        <v>41795</v>
      </c>
      <c r="D4192" s="2" t="s">
        <v>41796</v>
      </c>
      <c r="E4192" s="2" t="s">
        <v>41797</v>
      </c>
      <c r="G4192" s="3" t="s">
        <v>65</v>
      </c>
      <c r="I4192" s="3" t="s">
        <v>65</v>
      </c>
      <c r="J4192" s="3" t="s">
        <v>65</v>
      </c>
      <c r="K4192" s="3" t="s">
        <v>66</v>
      </c>
      <c r="M4192" s="2" t="s">
        <v>41798</v>
      </c>
      <c r="N4192" s="3" t="s">
        <v>1151</v>
      </c>
      <c r="P4192" s="3" t="s">
        <v>140</v>
      </c>
      <c r="R4192" s="3" t="s">
        <v>71</v>
      </c>
      <c r="S4192" s="4">
        <v>1</v>
      </c>
      <c r="T4192" s="4">
        <v>1</v>
      </c>
      <c r="U4192" s="5" t="s">
        <v>16831</v>
      </c>
      <c r="V4192" s="5" t="s">
        <v>16831</v>
      </c>
      <c r="W4192" s="5" t="s">
        <v>72</v>
      </c>
      <c r="X4192" s="5" t="s">
        <v>72</v>
      </c>
      <c r="Y4192" s="4">
        <v>32</v>
      </c>
      <c r="Z4192" s="4">
        <v>5</v>
      </c>
      <c r="AA4192" s="4">
        <v>5</v>
      </c>
      <c r="AB4192" s="4">
        <v>1</v>
      </c>
      <c r="AC4192" s="4">
        <v>1</v>
      </c>
      <c r="AD4192" s="4">
        <v>20</v>
      </c>
      <c r="AE4192" s="4">
        <v>20</v>
      </c>
      <c r="AF4192" s="4">
        <v>0</v>
      </c>
      <c r="AG4192" s="4">
        <v>0</v>
      </c>
      <c r="AH4192" s="4">
        <v>19</v>
      </c>
      <c r="AI4192" s="4">
        <v>19</v>
      </c>
      <c r="AJ4192" s="4">
        <v>3</v>
      </c>
      <c r="AK4192" s="4">
        <v>3</v>
      </c>
      <c r="AL4192" s="4">
        <v>13</v>
      </c>
      <c r="AM4192" s="4">
        <v>13</v>
      </c>
      <c r="AN4192" s="4">
        <v>0</v>
      </c>
      <c r="AO4192" s="4">
        <v>0</v>
      </c>
      <c r="AP4192" s="4">
        <v>3</v>
      </c>
      <c r="AQ4192" s="4">
        <v>3</v>
      </c>
      <c r="AR4192" s="3" t="s">
        <v>65</v>
      </c>
      <c r="AS4192" s="3" t="s">
        <v>65</v>
      </c>
      <c r="AT4192" s="3" t="s">
        <v>65</v>
      </c>
      <c r="AV4192" s="6" t="str">
        <f>HYPERLINK("http://mcgill.on.worldcat.org/oclc/3846376","Catalog Record")</f>
        <v>Catalog Record</v>
      </c>
      <c r="AW4192" s="6" t="str">
        <f>HYPERLINK("http://www.worldcat.org/oclc/3846376","WorldCat Record")</f>
        <v>WorldCat Record</v>
      </c>
      <c r="AX4192" s="3" t="s">
        <v>41799</v>
      </c>
      <c r="AY4192" s="3" t="s">
        <v>41800</v>
      </c>
      <c r="AZ4192" s="3" t="s">
        <v>41801</v>
      </c>
      <c r="BA4192" s="3" t="s">
        <v>41801</v>
      </c>
      <c r="BB4192" s="3" t="s">
        <v>41802</v>
      </c>
      <c r="BC4192" s="3" t="s">
        <v>77</v>
      </c>
      <c r="BD4192" s="3" t="s">
        <v>78</v>
      </c>
      <c r="BF4192" s="3" t="s">
        <v>41802</v>
      </c>
      <c r="BG4192" s="3" t="s">
        <v>41803</v>
      </c>
    </row>
    <row r="4193" spans="1:59" ht="87" x14ac:dyDescent="0.35">
      <c r="A4193" s="2" t="s">
        <v>59</v>
      </c>
      <c r="B4193" s="2" t="s">
        <v>60</v>
      </c>
      <c r="C4193" s="2" t="s">
        <v>41804</v>
      </c>
      <c r="D4193" s="2" t="s">
        <v>41805</v>
      </c>
      <c r="E4193" s="2" t="s">
        <v>41806</v>
      </c>
      <c r="G4193" s="3" t="s">
        <v>65</v>
      </c>
      <c r="I4193" s="3" t="s">
        <v>65</v>
      </c>
      <c r="J4193" s="3" t="s">
        <v>65</v>
      </c>
      <c r="K4193" s="3" t="s">
        <v>66</v>
      </c>
      <c r="L4193" s="2" t="s">
        <v>18364</v>
      </c>
      <c r="M4193" s="2" t="s">
        <v>41807</v>
      </c>
      <c r="N4193" s="3" t="s">
        <v>113</v>
      </c>
      <c r="O4193" s="2" t="s">
        <v>41808</v>
      </c>
      <c r="P4193" s="3" t="s">
        <v>140</v>
      </c>
      <c r="Q4193" s="2" t="s">
        <v>41809</v>
      </c>
      <c r="R4193" s="3" t="s">
        <v>71</v>
      </c>
      <c r="S4193" s="4">
        <v>1</v>
      </c>
      <c r="T4193" s="4">
        <v>1</v>
      </c>
      <c r="U4193" s="5" t="s">
        <v>8801</v>
      </c>
      <c r="V4193" s="5" t="s">
        <v>8801</v>
      </c>
      <c r="W4193" s="5" t="s">
        <v>72</v>
      </c>
      <c r="X4193" s="5" t="s">
        <v>72</v>
      </c>
      <c r="Y4193" s="4">
        <v>25</v>
      </c>
      <c r="Z4193" s="4">
        <v>1</v>
      </c>
      <c r="AA4193" s="4">
        <v>1</v>
      </c>
      <c r="AB4193" s="4">
        <v>1</v>
      </c>
      <c r="AC4193" s="4">
        <v>1</v>
      </c>
      <c r="AD4193" s="4">
        <v>17</v>
      </c>
      <c r="AE4193" s="4">
        <v>17</v>
      </c>
      <c r="AF4193" s="4">
        <v>0</v>
      </c>
      <c r="AG4193" s="4">
        <v>0</v>
      </c>
      <c r="AH4193" s="4">
        <v>17</v>
      </c>
      <c r="AI4193" s="4">
        <v>17</v>
      </c>
      <c r="AJ4193" s="4">
        <v>0</v>
      </c>
      <c r="AK4193" s="4">
        <v>0</v>
      </c>
      <c r="AL4193" s="4">
        <v>13</v>
      </c>
      <c r="AM4193" s="4">
        <v>13</v>
      </c>
      <c r="AN4193" s="4">
        <v>0</v>
      </c>
      <c r="AO4193" s="4">
        <v>0</v>
      </c>
      <c r="AP4193" s="4">
        <v>0</v>
      </c>
      <c r="AQ4193" s="4">
        <v>0</v>
      </c>
      <c r="AR4193" s="3" t="s">
        <v>65</v>
      </c>
      <c r="AS4193" s="3" t="s">
        <v>65</v>
      </c>
      <c r="AT4193" s="3" t="s">
        <v>65</v>
      </c>
      <c r="AV4193" s="6" t="str">
        <f>HYPERLINK("http://mcgill.on.worldcat.org/oclc/613309303","Catalog Record")</f>
        <v>Catalog Record</v>
      </c>
      <c r="AW4193" s="6" t="str">
        <f>HYPERLINK("http://www.worldcat.org/oclc/613309303","WorldCat Record")</f>
        <v>WorldCat Record</v>
      </c>
      <c r="AX4193" s="3" t="s">
        <v>41810</v>
      </c>
      <c r="AY4193" s="3" t="s">
        <v>41811</v>
      </c>
      <c r="AZ4193" s="3" t="s">
        <v>41812</v>
      </c>
      <c r="BA4193" s="3" t="s">
        <v>41812</v>
      </c>
      <c r="BB4193" s="3" t="s">
        <v>41813</v>
      </c>
      <c r="BC4193" s="3" t="s">
        <v>77</v>
      </c>
      <c r="BD4193" s="3" t="s">
        <v>78</v>
      </c>
      <c r="BE4193" s="3" t="s">
        <v>41814</v>
      </c>
      <c r="BF4193" s="3" t="s">
        <v>41813</v>
      </c>
      <c r="BG4193" s="3" t="s">
        <v>41815</v>
      </c>
    </row>
    <row r="4194" spans="1:59" ht="72.5" x14ac:dyDescent="0.35">
      <c r="A4194" s="2" t="s">
        <v>59</v>
      </c>
      <c r="B4194" s="2" t="s">
        <v>60</v>
      </c>
      <c r="C4194" s="2" t="s">
        <v>41816</v>
      </c>
      <c r="D4194" s="2" t="s">
        <v>41817</v>
      </c>
      <c r="E4194" s="2" t="s">
        <v>41818</v>
      </c>
      <c r="G4194" s="3" t="s">
        <v>65</v>
      </c>
      <c r="I4194" s="3" t="s">
        <v>65</v>
      </c>
      <c r="J4194" s="3" t="s">
        <v>65</v>
      </c>
      <c r="K4194" s="3" t="s">
        <v>66</v>
      </c>
      <c r="L4194" s="2" t="s">
        <v>41819</v>
      </c>
      <c r="M4194" s="2" t="s">
        <v>41820</v>
      </c>
      <c r="N4194" s="3" t="s">
        <v>139</v>
      </c>
      <c r="P4194" s="3" t="s">
        <v>140</v>
      </c>
      <c r="R4194" s="3" t="s">
        <v>71</v>
      </c>
      <c r="S4194" s="4">
        <v>0</v>
      </c>
      <c r="T4194" s="4">
        <v>0</v>
      </c>
      <c r="W4194" s="5" t="s">
        <v>72</v>
      </c>
      <c r="X4194" s="5" t="s">
        <v>72</v>
      </c>
      <c r="Y4194" s="4">
        <v>30</v>
      </c>
      <c r="Z4194" s="4">
        <v>5</v>
      </c>
      <c r="AA4194" s="4">
        <v>5</v>
      </c>
      <c r="AB4194" s="4">
        <v>1</v>
      </c>
      <c r="AC4194" s="4">
        <v>1</v>
      </c>
      <c r="AD4194" s="4">
        <v>23</v>
      </c>
      <c r="AE4194" s="4">
        <v>23</v>
      </c>
      <c r="AF4194" s="4">
        <v>0</v>
      </c>
      <c r="AG4194" s="4">
        <v>0</v>
      </c>
      <c r="AH4194" s="4">
        <v>22</v>
      </c>
      <c r="AI4194" s="4">
        <v>22</v>
      </c>
      <c r="AJ4194" s="4">
        <v>3</v>
      </c>
      <c r="AK4194" s="4">
        <v>3</v>
      </c>
      <c r="AL4194" s="4">
        <v>17</v>
      </c>
      <c r="AM4194" s="4">
        <v>17</v>
      </c>
      <c r="AN4194" s="4">
        <v>0</v>
      </c>
      <c r="AO4194" s="4">
        <v>0</v>
      </c>
      <c r="AP4194" s="4">
        <v>3</v>
      </c>
      <c r="AQ4194" s="4">
        <v>3</v>
      </c>
      <c r="AR4194" s="3" t="s">
        <v>65</v>
      </c>
      <c r="AS4194" s="3" t="s">
        <v>65</v>
      </c>
      <c r="AT4194" s="3" t="s">
        <v>65</v>
      </c>
      <c r="AV4194" s="6" t="str">
        <f>HYPERLINK("http://mcgill.on.worldcat.org/oclc/795755407","Catalog Record")</f>
        <v>Catalog Record</v>
      </c>
      <c r="AW4194" s="6" t="str">
        <f>HYPERLINK("http://www.worldcat.org/oclc/795755407","WorldCat Record")</f>
        <v>WorldCat Record</v>
      </c>
      <c r="AX4194" s="3" t="s">
        <v>41821</v>
      </c>
      <c r="AY4194" s="3" t="s">
        <v>41822</v>
      </c>
      <c r="AZ4194" s="3" t="s">
        <v>41823</v>
      </c>
      <c r="BA4194" s="3" t="s">
        <v>41823</v>
      </c>
      <c r="BB4194" s="3" t="s">
        <v>41824</v>
      </c>
      <c r="BC4194" s="3" t="s">
        <v>77</v>
      </c>
      <c r="BD4194" s="3" t="s">
        <v>78</v>
      </c>
      <c r="BE4194" s="3" t="s">
        <v>41825</v>
      </c>
      <c r="BF4194" s="3" t="s">
        <v>41824</v>
      </c>
      <c r="BG4194" s="3" t="s">
        <v>41826</v>
      </c>
    </row>
    <row r="4195" spans="1:59" ht="130.5" x14ac:dyDescent="0.35">
      <c r="A4195" s="2" t="s">
        <v>59</v>
      </c>
      <c r="B4195" s="2" t="s">
        <v>33266</v>
      </c>
      <c r="C4195" s="2" t="s">
        <v>41827</v>
      </c>
      <c r="D4195" s="2" t="s">
        <v>41828</v>
      </c>
      <c r="E4195" s="2" t="s">
        <v>33269</v>
      </c>
      <c r="G4195" s="3" t="s">
        <v>65</v>
      </c>
      <c r="I4195" s="3" t="s">
        <v>209</v>
      </c>
      <c r="J4195" s="3" t="s">
        <v>209</v>
      </c>
      <c r="K4195" s="3" t="s">
        <v>66</v>
      </c>
      <c r="M4195" s="2" t="s">
        <v>33270</v>
      </c>
      <c r="N4195" s="3" t="s">
        <v>1944</v>
      </c>
      <c r="P4195" s="3" t="s">
        <v>69</v>
      </c>
      <c r="R4195" s="3" t="s">
        <v>71</v>
      </c>
      <c r="S4195" s="4">
        <v>116</v>
      </c>
      <c r="T4195" s="4">
        <v>116</v>
      </c>
      <c r="U4195" s="5" t="s">
        <v>33271</v>
      </c>
      <c r="V4195" s="5" t="s">
        <v>33271</v>
      </c>
      <c r="W4195" s="5" t="s">
        <v>72</v>
      </c>
      <c r="X4195" s="5" t="s">
        <v>72</v>
      </c>
      <c r="Y4195" s="4">
        <v>95</v>
      </c>
      <c r="Z4195" s="4">
        <v>2</v>
      </c>
      <c r="AA4195" s="4">
        <v>7</v>
      </c>
      <c r="AB4195" s="4">
        <v>1</v>
      </c>
      <c r="AC4195" s="4">
        <v>3</v>
      </c>
      <c r="AD4195" s="4">
        <v>32</v>
      </c>
      <c r="AE4195" s="4">
        <v>38</v>
      </c>
      <c r="AF4195" s="4">
        <v>0</v>
      </c>
      <c r="AG4195" s="4">
        <v>2</v>
      </c>
      <c r="AH4195" s="4">
        <v>31</v>
      </c>
      <c r="AI4195" s="4">
        <v>36</v>
      </c>
      <c r="AJ4195" s="4">
        <v>1</v>
      </c>
      <c r="AK4195" s="4">
        <v>4</v>
      </c>
      <c r="AL4195" s="4">
        <v>20</v>
      </c>
      <c r="AM4195" s="4">
        <v>22</v>
      </c>
      <c r="AN4195" s="4">
        <v>0</v>
      </c>
      <c r="AO4195" s="4">
        <v>0</v>
      </c>
      <c r="AP4195" s="4">
        <v>1</v>
      </c>
      <c r="AQ4195" s="4">
        <v>4</v>
      </c>
      <c r="AR4195" s="3" t="s">
        <v>65</v>
      </c>
      <c r="AS4195" s="3" t="s">
        <v>65</v>
      </c>
      <c r="AT4195" s="3" t="s">
        <v>65</v>
      </c>
      <c r="AV4195" s="6" t="str">
        <f>HYPERLINK("http://mcgill.on.worldcat.org/oclc/45000889","Catalog Record")</f>
        <v>Catalog Record</v>
      </c>
      <c r="AW4195" s="6" t="str">
        <f>HYPERLINK("http://www.worldcat.org/oclc/45000889","WorldCat Record")</f>
        <v>WorldCat Record</v>
      </c>
      <c r="AX4195" s="3" t="s">
        <v>33272</v>
      </c>
      <c r="AY4195" s="3" t="s">
        <v>33273</v>
      </c>
      <c r="AZ4195" s="3" t="s">
        <v>33274</v>
      </c>
      <c r="BA4195" s="3" t="s">
        <v>33274</v>
      </c>
      <c r="BB4195" s="3" t="s">
        <v>41829</v>
      </c>
      <c r="BC4195" s="3" t="s">
        <v>8222</v>
      </c>
      <c r="BD4195" s="3" t="s">
        <v>78</v>
      </c>
      <c r="BF4195" s="3" t="s">
        <v>41829</v>
      </c>
      <c r="BG4195" s="3" t="s">
        <v>41830</v>
      </c>
    </row>
    <row r="4196" spans="1:59" ht="87" x14ac:dyDescent="0.35">
      <c r="A4196" s="2" t="s">
        <v>59</v>
      </c>
      <c r="B4196" s="2" t="s">
        <v>33266</v>
      </c>
      <c r="C4196" s="2" t="s">
        <v>41831</v>
      </c>
      <c r="D4196" s="2" t="s">
        <v>41832</v>
      </c>
      <c r="E4196" s="2" t="s">
        <v>41833</v>
      </c>
      <c r="G4196" s="3" t="s">
        <v>65</v>
      </c>
      <c r="I4196" s="3" t="s">
        <v>65</v>
      </c>
      <c r="J4196" s="3" t="s">
        <v>65</v>
      </c>
      <c r="K4196" s="3" t="s">
        <v>66</v>
      </c>
      <c r="L4196" s="2" t="s">
        <v>41834</v>
      </c>
      <c r="M4196" s="2" t="s">
        <v>41835</v>
      </c>
      <c r="N4196" s="3" t="s">
        <v>364</v>
      </c>
      <c r="P4196" s="3" t="s">
        <v>69</v>
      </c>
      <c r="Q4196" s="2" t="s">
        <v>41836</v>
      </c>
      <c r="R4196" s="3" t="s">
        <v>71</v>
      </c>
      <c r="S4196" s="4">
        <v>50</v>
      </c>
      <c r="T4196" s="4">
        <v>50</v>
      </c>
      <c r="U4196" s="5" t="s">
        <v>41837</v>
      </c>
      <c r="V4196" s="5" t="s">
        <v>41837</v>
      </c>
      <c r="W4196" s="5" t="s">
        <v>72</v>
      </c>
      <c r="X4196" s="5" t="s">
        <v>72</v>
      </c>
      <c r="Y4196" s="4">
        <v>55</v>
      </c>
      <c r="Z4196" s="4">
        <v>2</v>
      </c>
      <c r="AA4196" s="4">
        <v>2</v>
      </c>
      <c r="AB4196" s="4">
        <v>2</v>
      </c>
      <c r="AC4196" s="4">
        <v>2</v>
      </c>
      <c r="AD4196" s="4">
        <v>16</v>
      </c>
      <c r="AE4196" s="4">
        <v>16</v>
      </c>
      <c r="AF4196" s="4">
        <v>0</v>
      </c>
      <c r="AG4196" s="4">
        <v>0</v>
      </c>
      <c r="AH4196" s="4">
        <v>15</v>
      </c>
      <c r="AI4196" s="4">
        <v>15</v>
      </c>
      <c r="AJ4196" s="4">
        <v>0</v>
      </c>
      <c r="AK4196" s="4">
        <v>0</v>
      </c>
      <c r="AL4196" s="4">
        <v>11</v>
      </c>
      <c r="AM4196" s="4">
        <v>11</v>
      </c>
      <c r="AN4196" s="4">
        <v>0</v>
      </c>
      <c r="AO4196" s="4">
        <v>0</v>
      </c>
      <c r="AP4196" s="4">
        <v>0</v>
      </c>
      <c r="AQ4196" s="4">
        <v>0</v>
      </c>
      <c r="AR4196" s="3" t="s">
        <v>65</v>
      </c>
      <c r="AS4196" s="3" t="s">
        <v>65</v>
      </c>
      <c r="AT4196" s="3" t="s">
        <v>65</v>
      </c>
      <c r="AV4196" s="6" t="str">
        <f>HYPERLINK("http://mcgill.on.worldcat.org/oclc/53116266","Catalog Record")</f>
        <v>Catalog Record</v>
      </c>
      <c r="AW4196" s="6" t="str">
        <f>HYPERLINK("http://www.worldcat.org/oclc/53116266","WorldCat Record")</f>
        <v>WorldCat Record</v>
      </c>
      <c r="AX4196" s="3" t="s">
        <v>41838</v>
      </c>
      <c r="AY4196" s="3" t="s">
        <v>41839</v>
      </c>
      <c r="AZ4196" s="3" t="s">
        <v>41840</v>
      </c>
      <c r="BA4196" s="3" t="s">
        <v>41840</v>
      </c>
      <c r="BB4196" s="3" t="s">
        <v>41841</v>
      </c>
      <c r="BC4196" s="3" t="s">
        <v>8222</v>
      </c>
      <c r="BD4196" s="3" t="s">
        <v>78</v>
      </c>
      <c r="BE4196" s="3" t="s">
        <v>41842</v>
      </c>
      <c r="BF4196" s="3" t="s">
        <v>41841</v>
      </c>
      <c r="BG4196" s="3" t="s">
        <v>41843</v>
      </c>
    </row>
    <row r="4197" spans="1:59" ht="87" x14ac:dyDescent="0.35">
      <c r="A4197" s="2" t="s">
        <v>59</v>
      </c>
      <c r="B4197" s="2" t="s">
        <v>33266</v>
      </c>
      <c r="C4197" s="2" t="s">
        <v>41844</v>
      </c>
      <c r="D4197" s="2" t="s">
        <v>41845</v>
      </c>
      <c r="E4197" s="2" t="s">
        <v>41846</v>
      </c>
      <c r="G4197" s="3" t="s">
        <v>65</v>
      </c>
      <c r="I4197" s="3" t="s">
        <v>65</v>
      </c>
      <c r="J4197" s="3" t="s">
        <v>65</v>
      </c>
      <c r="K4197" s="3" t="s">
        <v>66</v>
      </c>
      <c r="L4197" s="2" t="s">
        <v>41847</v>
      </c>
      <c r="M4197" s="2" t="s">
        <v>41848</v>
      </c>
      <c r="N4197" s="3" t="s">
        <v>364</v>
      </c>
      <c r="P4197" s="3" t="s">
        <v>140</v>
      </c>
      <c r="Q4197" s="2" t="s">
        <v>41849</v>
      </c>
      <c r="R4197" s="3" t="s">
        <v>71</v>
      </c>
      <c r="S4197" s="4">
        <v>44</v>
      </c>
      <c r="T4197" s="4">
        <v>44</v>
      </c>
      <c r="U4197" s="5" t="s">
        <v>314</v>
      </c>
      <c r="V4197" s="5" t="s">
        <v>314</v>
      </c>
      <c r="W4197" s="5" t="s">
        <v>72</v>
      </c>
      <c r="X4197" s="5" t="s">
        <v>72</v>
      </c>
      <c r="Y4197" s="4">
        <v>599</v>
      </c>
      <c r="Z4197" s="4">
        <v>15</v>
      </c>
      <c r="AA4197" s="4">
        <v>23</v>
      </c>
      <c r="AB4197" s="4">
        <v>2</v>
      </c>
      <c r="AC4197" s="4">
        <v>4</v>
      </c>
      <c r="AD4197" s="4">
        <v>82</v>
      </c>
      <c r="AE4197" s="4">
        <v>98</v>
      </c>
      <c r="AF4197" s="4">
        <v>0</v>
      </c>
      <c r="AG4197" s="4">
        <v>2</v>
      </c>
      <c r="AH4197" s="4">
        <v>77</v>
      </c>
      <c r="AI4197" s="4">
        <v>91</v>
      </c>
      <c r="AJ4197" s="4">
        <v>5</v>
      </c>
      <c r="AK4197" s="4">
        <v>8</v>
      </c>
      <c r="AL4197" s="4">
        <v>50</v>
      </c>
      <c r="AM4197" s="4">
        <v>55</v>
      </c>
      <c r="AN4197" s="4">
        <v>0</v>
      </c>
      <c r="AO4197" s="4">
        <v>0</v>
      </c>
      <c r="AP4197" s="4">
        <v>5</v>
      </c>
      <c r="AQ4197" s="4">
        <v>10</v>
      </c>
      <c r="AR4197" s="3" t="s">
        <v>65</v>
      </c>
      <c r="AS4197" s="3" t="s">
        <v>65</v>
      </c>
      <c r="AT4197" s="3" t="s">
        <v>65</v>
      </c>
      <c r="AV4197" s="6" t="str">
        <f>HYPERLINK("http://mcgill.on.worldcat.org/oclc/47667637","Catalog Record")</f>
        <v>Catalog Record</v>
      </c>
      <c r="AW4197" s="6" t="str">
        <f>HYPERLINK("http://www.worldcat.org/oclc/47667637","WorldCat Record")</f>
        <v>WorldCat Record</v>
      </c>
      <c r="AX4197" s="3" t="s">
        <v>41850</v>
      </c>
      <c r="AY4197" s="3" t="s">
        <v>41851</v>
      </c>
      <c r="AZ4197" s="3" t="s">
        <v>41852</v>
      </c>
      <c r="BA4197" s="3" t="s">
        <v>41852</v>
      </c>
      <c r="BB4197" s="3" t="s">
        <v>41853</v>
      </c>
      <c r="BC4197" s="3" t="s">
        <v>8222</v>
      </c>
      <c r="BD4197" s="3" t="s">
        <v>78</v>
      </c>
      <c r="BE4197" s="3" t="s">
        <v>41854</v>
      </c>
      <c r="BF4197" s="3" t="s">
        <v>41853</v>
      </c>
      <c r="BG4197" s="3" t="s">
        <v>41855</v>
      </c>
    </row>
    <row r="4198" spans="1:59" ht="87" x14ac:dyDescent="0.35">
      <c r="A4198" s="2" t="s">
        <v>59</v>
      </c>
      <c r="B4198" s="2" t="s">
        <v>33266</v>
      </c>
      <c r="C4198" s="2" t="s">
        <v>41856</v>
      </c>
      <c r="D4198" s="2" t="s">
        <v>41857</v>
      </c>
      <c r="E4198" s="2" t="s">
        <v>41858</v>
      </c>
      <c r="G4198" s="3" t="s">
        <v>65</v>
      </c>
      <c r="I4198" s="3" t="s">
        <v>65</v>
      </c>
      <c r="J4198" s="3" t="s">
        <v>65</v>
      </c>
      <c r="K4198" s="3" t="s">
        <v>66</v>
      </c>
      <c r="M4198" s="2" t="s">
        <v>41859</v>
      </c>
      <c r="N4198" s="3" t="s">
        <v>552</v>
      </c>
      <c r="P4198" s="3" t="s">
        <v>69</v>
      </c>
      <c r="R4198" s="3" t="s">
        <v>71</v>
      </c>
      <c r="S4198" s="4">
        <v>32</v>
      </c>
      <c r="T4198" s="4">
        <v>32</v>
      </c>
      <c r="U4198" s="5" t="s">
        <v>29138</v>
      </c>
      <c r="V4198" s="5" t="s">
        <v>29138</v>
      </c>
      <c r="W4198" s="5" t="s">
        <v>72</v>
      </c>
      <c r="X4198" s="5" t="s">
        <v>72</v>
      </c>
      <c r="Y4198" s="4">
        <v>39</v>
      </c>
      <c r="Z4198" s="4">
        <v>4</v>
      </c>
      <c r="AA4198" s="4">
        <v>13</v>
      </c>
      <c r="AB4198" s="4">
        <v>1</v>
      </c>
      <c r="AC4198" s="4">
        <v>5</v>
      </c>
      <c r="AD4198" s="4">
        <v>7</v>
      </c>
      <c r="AE4198" s="4">
        <v>68</v>
      </c>
      <c r="AF4198" s="4">
        <v>0</v>
      </c>
      <c r="AG4198" s="4">
        <v>3</v>
      </c>
      <c r="AH4198" s="4">
        <v>5</v>
      </c>
      <c r="AI4198" s="4">
        <v>60</v>
      </c>
      <c r="AJ4198" s="4">
        <v>2</v>
      </c>
      <c r="AK4198" s="4">
        <v>8</v>
      </c>
      <c r="AL4198" s="4">
        <v>2</v>
      </c>
      <c r="AM4198" s="4">
        <v>35</v>
      </c>
      <c r="AN4198" s="4">
        <v>0</v>
      </c>
      <c r="AO4198" s="4">
        <v>0</v>
      </c>
      <c r="AP4198" s="4">
        <v>3</v>
      </c>
      <c r="AQ4198" s="4">
        <v>11</v>
      </c>
      <c r="AR4198" s="3" t="s">
        <v>65</v>
      </c>
      <c r="AS4198" s="3" t="s">
        <v>65</v>
      </c>
      <c r="AT4198" s="3" t="s">
        <v>65</v>
      </c>
      <c r="AV4198" s="6" t="str">
        <f>HYPERLINK("http://mcgill.on.worldcat.org/oclc/61737738","Catalog Record")</f>
        <v>Catalog Record</v>
      </c>
      <c r="AW4198" s="6" t="str">
        <f>HYPERLINK("http://www.worldcat.org/oclc/61737738","WorldCat Record")</f>
        <v>WorldCat Record</v>
      </c>
      <c r="AX4198" s="3" t="s">
        <v>41860</v>
      </c>
      <c r="AY4198" s="3" t="s">
        <v>41861</v>
      </c>
      <c r="AZ4198" s="3" t="s">
        <v>41862</v>
      </c>
      <c r="BA4198" s="3" t="s">
        <v>41862</v>
      </c>
      <c r="BB4198" s="3" t="s">
        <v>41863</v>
      </c>
      <c r="BC4198" s="3" t="s">
        <v>8222</v>
      </c>
      <c r="BD4198" s="3" t="s">
        <v>78</v>
      </c>
      <c r="BF4198" s="3" t="s">
        <v>41863</v>
      </c>
      <c r="BG4198" s="3" t="s">
        <v>41864</v>
      </c>
    </row>
    <row r="4199" spans="1:59" ht="101.5" x14ac:dyDescent="0.35">
      <c r="A4199" s="2" t="s">
        <v>59</v>
      </c>
      <c r="B4199" s="2" t="s">
        <v>33266</v>
      </c>
      <c r="C4199" s="2" t="s">
        <v>41865</v>
      </c>
      <c r="D4199" s="2" t="s">
        <v>41866</v>
      </c>
      <c r="E4199" s="2" t="s">
        <v>41867</v>
      </c>
      <c r="G4199" s="3" t="s">
        <v>65</v>
      </c>
      <c r="I4199" s="3" t="s">
        <v>65</v>
      </c>
      <c r="J4199" s="3" t="s">
        <v>65</v>
      </c>
      <c r="K4199" s="3" t="s">
        <v>66</v>
      </c>
      <c r="M4199" s="2" t="s">
        <v>41868</v>
      </c>
      <c r="N4199" s="3" t="s">
        <v>221</v>
      </c>
      <c r="P4199" s="3" t="s">
        <v>69</v>
      </c>
      <c r="R4199" s="3" t="s">
        <v>71</v>
      </c>
      <c r="S4199" s="4">
        <v>34</v>
      </c>
      <c r="T4199" s="4">
        <v>34</v>
      </c>
      <c r="U4199" s="5" t="s">
        <v>41869</v>
      </c>
      <c r="V4199" s="5" t="s">
        <v>41869</v>
      </c>
      <c r="W4199" s="5" t="s">
        <v>72</v>
      </c>
      <c r="X4199" s="5" t="s">
        <v>72</v>
      </c>
      <c r="Y4199" s="4">
        <v>173</v>
      </c>
      <c r="Z4199" s="4">
        <v>7</v>
      </c>
      <c r="AA4199" s="4">
        <v>33</v>
      </c>
      <c r="AB4199" s="4">
        <v>3</v>
      </c>
      <c r="AC4199" s="4">
        <v>3</v>
      </c>
      <c r="AD4199" s="4">
        <v>33</v>
      </c>
      <c r="AE4199" s="4">
        <v>51</v>
      </c>
      <c r="AF4199" s="4">
        <v>1</v>
      </c>
      <c r="AG4199" s="4">
        <v>1</v>
      </c>
      <c r="AH4199" s="4">
        <v>29</v>
      </c>
      <c r="AI4199" s="4">
        <v>40</v>
      </c>
      <c r="AJ4199" s="4">
        <v>3</v>
      </c>
      <c r="AK4199" s="4">
        <v>6</v>
      </c>
      <c r="AL4199" s="4">
        <v>17</v>
      </c>
      <c r="AM4199" s="4">
        <v>20</v>
      </c>
      <c r="AN4199" s="4">
        <v>0</v>
      </c>
      <c r="AO4199" s="4">
        <v>0</v>
      </c>
      <c r="AP4199" s="4">
        <v>4</v>
      </c>
      <c r="AQ4199" s="4">
        <v>14</v>
      </c>
      <c r="AR4199" s="3" t="s">
        <v>65</v>
      </c>
      <c r="AS4199" s="3" t="s">
        <v>65</v>
      </c>
      <c r="AT4199" s="3" t="s">
        <v>65</v>
      </c>
      <c r="AV4199" s="6" t="str">
        <f>HYPERLINK("http://mcgill.on.worldcat.org/oclc/187046971","Catalog Record")</f>
        <v>Catalog Record</v>
      </c>
      <c r="AW4199" s="6" t="str">
        <f>HYPERLINK("http://www.worldcat.org/oclc/187046971","WorldCat Record")</f>
        <v>WorldCat Record</v>
      </c>
      <c r="AX4199" s="3" t="s">
        <v>41870</v>
      </c>
      <c r="AY4199" s="3" t="s">
        <v>41871</v>
      </c>
      <c r="AZ4199" s="3" t="s">
        <v>41872</v>
      </c>
      <c r="BA4199" s="3" t="s">
        <v>41872</v>
      </c>
      <c r="BB4199" s="3" t="s">
        <v>41873</v>
      </c>
      <c r="BC4199" s="3" t="s">
        <v>8222</v>
      </c>
      <c r="BD4199" s="3" t="s">
        <v>78</v>
      </c>
      <c r="BF4199" s="3" t="s">
        <v>41873</v>
      </c>
      <c r="BG4199" s="3" t="s">
        <v>41874</v>
      </c>
    </row>
    <row r="4200" spans="1:59" ht="87" x14ac:dyDescent="0.35">
      <c r="A4200" s="2" t="s">
        <v>59</v>
      </c>
      <c r="B4200" s="2" t="s">
        <v>33266</v>
      </c>
      <c r="C4200" s="2" t="s">
        <v>41875</v>
      </c>
      <c r="D4200" s="2" t="s">
        <v>41876</v>
      </c>
      <c r="E4200" s="2" t="s">
        <v>41877</v>
      </c>
      <c r="G4200" s="3" t="s">
        <v>65</v>
      </c>
      <c r="I4200" s="3" t="s">
        <v>65</v>
      </c>
      <c r="J4200" s="3" t="s">
        <v>65</v>
      </c>
      <c r="K4200" s="3" t="s">
        <v>66</v>
      </c>
      <c r="M4200" s="2" t="s">
        <v>41878</v>
      </c>
      <c r="P4200" s="3" t="s">
        <v>69</v>
      </c>
      <c r="R4200" s="3" t="s">
        <v>71</v>
      </c>
      <c r="S4200" s="4">
        <v>14</v>
      </c>
      <c r="T4200" s="4">
        <v>14</v>
      </c>
      <c r="U4200" s="5" t="s">
        <v>14878</v>
      </c>
      <c r="V4200" s="5" t="s">
        <v>14878</v>
      </c>
      <c r="W4200" s="5" t="s">
        <v>72</v>
      </c>
      <c r="X4200" s="5" t="s">
        <v>72</v>
      </c>
      <c r="Y4200" s="4">
        <v>109</v>
      </c>
      <c r="Z4200" s="4">
        <v>9</v>
      </c>
      <c r="AA4200" s="4">
        <v>17</v>
      </c>
      <c r="AB4200" s="4">
        <v>1</v>
      </c>
      <c r="AC4200" s="4">
        <v>3</v>
      </c>
      <c r="AD4200" s="4">
        <v>25</v>
      </c>
      <c r="AE4200" s="4">
        <v>45</v>
      </c>
      <c r="AF4200" s="4">
        <v>0</v>
      </c>
      <c r="AG4200" s="4">
        <v>2</v>
      </c>
      <c r="AH4200" s="4">
        <v>19</v>
      </c>
      <c r="AI4200" s="4">
        <v>33</v>
      </c>
      <c r="AJ4200" s="4">
        <v>2</v>
      </c>
      <c r="AK4200" s="4">
        <v>6</v>
      </c>
      <c r="AL4200" s="4">
        <v>10</v>
      </c>
      <c r="AM4200" s="4">
        <v>19</v>
      </c>
      <c r="AN4200" s="4">
        <v>0</v>
      </c>
      <c r="AO4200" s="4">
        <v>0</v>
      </c>
      <c r="AP4200" s="4">
        <v>7</v>
      </c>
      <c r="AQ4200" s="4">
        <v>13</v>
      </c>
      <c r="AR4200" s="3" t="s">
        <v>65</v>
      </c>
      <c r="AS4200" s="3" t="s">
        <v>65</v>
      </c>
      <c r="AT4200" s="3" t="s">
        <v>65</v>
      </c>
      <c r="AV4200" s="6" t="str">
        <f>HYPERLINK("http://mcgill.on.worldcat.org/oclc/64692245","Catalog Record")</f>
        <v>Catalog Record</v>
      </c>
      <c r="AW4200" s="6" t="str">
        <f>HYPERLINK("http://www.worldcat.org/oclc/64692245","WorldCat Record")</f>
        <v>WorldCat Record</v>
      </c>
      <c r="AX4200" s="3" t="s">
        <v>41879</v>
      </c>
      <c r="AY4200" s="3" t="s">
        <v>41880</v>
      </c>
      <c r="AZ4200" s="3" t="s">
        <v>41881</v>
      </c>
      <c r="BA4200" s="3" t="s">
        <v>41881</v>
      </c>
      <c r="BB4200" s="3" t="s">
        <v>41882</v>
      </c>
      <c r="BC4200" s="3" t="s">
        <v>8222</v>
      </c>
      <c r="BD4200" s="3" t="s">
        <v>78</v>
      </c>
      <c r="BF4200" s="3" t="s">
        <v>41882</v>
      </c>
      <c r="BG4200" s="3" t="s">
        <v>41883</v>
      </c>
    </row>
    <row r="4201" spans="1:59" ht="87" x14ac:dyDescent="0.35">
      <c r="A4201" s="2" t="s">
        <v>59</v>
      </c>
      <c r="B4201" s="2" t="s">
        <v>33266</v>
      </c>
      <c r="C4201" s="2" t="s">
        <v>41884</v>
      </c>
      <c r="D4201" s="2" t="s">
        <v>41885</v>
      </c>
      <c r="E4201" s="2" t="s">
        <v>8214</v>
      </c>
      <c r="F4201" s="3" t="s">
        <v>41886</v>
      </c>
      <c r="G4201" s="3" t="s">
        <v>209</v>
      </c>
      <c r="I4201" s="3" t="s">
        <v>65</v>
      </c>
      <c r="J4201" s="3" t="s">
        <v>65</v>
      </c>
      <c r="K4201" s="3" t="s">
        <v>66</v>
      </c>
      <c r="L4201" s="2" t="s">
        <v>904</v>
      </c>
      <c r="M4201" s="2" t="s">
        <v>8216</v>
      </c>
      <c r="N4201" s="3" t="s">
        <v>525</v>
      </c>
      <c r="P4201" s="3" t="s">
        <v>140</v>
      </c>
      <c r="R4201" s="3" t="s">
        <v>71</v>
      </c>
      <c r="S4201" s="4">
        <v>0</v>
      </c>
      <c r="T4201" s="4">
        <v>15</v>
      </c>
      <c r="V4201" s="5" t="s">
        <v>8217</v>
      </c>
      <c r="W4201" s="5" t="s">
        <v>72</v>
      </c>
      <c r="X4201" s="5" t="s">
        <v>72</v>
      </c>
      <c r="Y4201" s="4">
        <v>4</v>
      </c>
      <c r="Z4201" s="4">
        <v>1</v>
      </c>
      <c r="AA4201" s="4">
        <v>1</v>
      </c>
      <c r="AB4201" s="4">
        <v>1</v>
      </c>
      <c r="AC4201" s="4">
        <v>1</v>
      </c>
      <c r="AD4201" s="4">
        <v>1</v>
      </c>
      <c r="AE4201" s="4">
        <v>1</v>
      </c>
      <c r="AF4201" s="4">
        <v>0</v>
      </c>
      <c r="AG4201" s="4">
        <v>0</v>
      </c>
      <c r="AH4201" s="4">
        <v>1</v>
      </c>
      <c r="AI4201" s="4">
        <v>1</v>
      </c>
      <c r="AJ4201" s="4">
        <v>0</v>
      </c>
      <c r="AK4201" s="4">
        <v>0</v>
      </c>
      <c r="AL4201" s="4">
        <v>1</v>
      </c>
      <c r="AM4201" s="4">
        <v>1</v>
      </c>
      <c r="AN4201" s="4">
        <v>0</v>
      </c>
      <c r="AO4201" s="4">
        <v>0</v>
      </c>
      <c r="AP4201" s="4">
        <v>0</v>
      </c>
      <c r="AQ4201" s="4">
        <v>0</v>
      </c>
      <c r="AR4201" s="3" t="s">
        <v>65</v>
      </c>
      <c r="AS4201" s="3" t="s">
        <v>65</v>
      </c>
      <c r="AT4201" s="3" t="s">
        <v>65</v>
      </c>
      <c r="AV4201" s="6" t="str">
        <f t="shared" ref="AV4201:AV4215" si="54">HYPERLINK("http://mcgill.on.worldcat.org/oclc/252564464","Catalog Record")</f>
        <v>Catalog Record</v>
      </c>
      <c r="AW4201" s="6" t="str">
        <f t="shared" ref="AW4201:AW4215" si="55">HYPERLINK("http://www.worldcat.org/oclc/252564464","WorldCat Record")</f>
        <v>WorldCat Record</v>
      </c>
      <c r="AX4201" s="3" t="s">
        <v>8218</v>
      </c>
      <c r="AY4201" s="3" t="s">
        <v>8219</v>
      </c>
      <c r="AZ4201" s="3" t="s">
        <v>8220</v>
      </c>
      <c r="BA4201" s="3" t="s">
        <v>8220</v>
      </c>
      <c r="BB4201" s="3" t="s">
        <v>41887</v>
      </c>
      <c r="BC4201" s="3" t="s">
        <v>8222</v>
      </c>
      <c r="BD4201" s="3" t="s">
        <v>78</v>
      </c>
      <c r="BF4201" s="3" t="s">
        <v>41887</v>
      </c>
      <c r="BG4201" s="3" t="s">
        <v>41888</v>
      </c>
    </row>
    <row r="4202" spans="1:59" ht="87" x14ac:dyDescent="0.35">
      <c r="A4202" s="2" t="s">
        <v>59</v>
      </c>
      <c r="B4202" s="2" t="s">
        <v>33266</v>
      </c>
      <c r="C4202" s="2" t="s">
        <v>41884</v>
      </c>
      <c r="D4202" s="2" t="s">
        <v>41885</v>
      </c>
      <c r="E4202" s="2" t="s">
        <v>8214</v>
      </c>
      <c r="F4202" s="3" t="s">
        <v>41889</v>
      </c>
      <c r="G4202" s="3" t="s">
        <v>209</v>
      </c>
      <c r="I4202" s="3" t="s">
        <v>65</v>
      </c>
      <c r="J4202" s="3" t="s">
        <v>65</v>
      </c>
      <c r="K4202" s="3" t="s">
        <v>66</v>
      </c>
      <c r="L4202" s="2" t="s">
        <v>904</v>
      </c>
      <c r="M4202" s="2" t="s">
        <v>8216</v>
      </c>
      <c r="N4202" s="3" t="s">
        <v>525</v>
      </c>
      <c r="P4202" s="3" t="s">
        <v>140</v>
      </c>
      <c r="R4202" s="3" t="s">
        <v>71</v>
      </c>
      <c r="S4202" s="4">
        <v>0</v>
      </c>
      <c r="T4202" s="4">
        <v>15</v>
      </c>
      <c r="V4202" s="5" t="s">
        <v>8217</v>
      </c>
      <c r="W4202" s="5" t="s">
        <v>72</v>
      </c>
      <c r="X4202" s="5" t="s">
        <v>72</v>
      </c>
      <c r="Y4202" s="4">
        <v>4</v>
      </c>
      <c r="Z4202" s="4">
        <v>1</v>
      </c>
      <c r="AA4202" s="4">
        <v>1</v>
      </c>
      <c r="AB4202" s="4">
        <v>1</v>
      </c>
      <c r="AC4202" s="4">
        <v>1</v>
      </c>
      <c r="AD4202" s="4">
        <v>1</v>
      </c>
      <c r="AE4202" s="4">
        <v>1</v>
      </c>
      <c r="AF4202" s="4">
        <v>0</v>
      </c>
      <c r="AG4202" s="4">
        <v>0</v>
      </c>
      <c r="AH4202" s="4">
        <v>1</v>
      </c>
      <c r="AI4202" s="4">
        <v>1</v>
      </c>
      <c r="AJ4202" s="4">
        <v>0</v>
      </c>
      <c r="AK4202" s="4">
        <v>0</v>
      </c>
      <c r="AL4202" s="4">
        <v>1</v>
      </c>
      <c r="AM4202" s="4">
        <v>1</v>
      </c>
      <c r="AN4202" s="4">
        <v>0</v>
      </c>
      <c r="AO4202" s="4">
        <v>0</v>
      </c>
      <c r="AP4202" s="4">
        <v>0</v>
      </c>
      <c r="AQ4202" s="4">
        <v>0</v>
      </c>
      <c r="AR4202" s="3" t="s">
        <v>65</v>
      </c>
      <c r="AS4202" s="3" t="s">
        <v>65</v>
      </c>
      <c r="AT4202" s="3" t="s">
        <v>65</v>
      </c>
      <c r="AV4202" s="6" t="str">
        <f t="shared" si="54"/>
        <v>Catalog Record</v>
      </c>
      <c r="AW4202" s="6" t="str">
        <f t="shared" si="55"/>
        <v>WorldCat Record</v>
      </c>
      <c r="AX4202" s="3" t="s">
        <v>8218</v>
      </c>
      <c r="AY4202" s="3" t="s">
        <v>8219</v>
      </c>
      <c r="AZ4202" s="3" t="s">
        <v>8220</v>
      </c>
      <c r="BA4202" s="3" t="s">
        <v>8220</v>
      </c>
      <c r="BB4202" s="3" t="s">
        <v>41890</v>
      </c>
      <c r="BC4202" s="3" t="s">
        <v>8222</v>
      </c>
      <c r="BD4202" s="3" t="s">
        <v>78</v>
      </c>
      <c r="BF4202" s="3" t="s">
        <v>41890</v>
      </c>
      <c r="BG4202" s="3" t="s">
        <v>41891</v>
      </c>
    </row>
    <row r="4203" spans="1:59" ht="87" x14ac:dyDescent="0.35">
      <c r="A4203" s="2" t="s">
        <v>59</v>
      </c>
      <c r="B4203" s="2" t="s">
        <v>33266</v>
      </c>
      <c r="C4203" s="2" t="s">
        <v>41884</v>
      </c>
      <c r="D4203" s="2" t="s">
        <v>41885</v>
      </c>
      <c r="E4203" s="2" t="s">
        <v>8214</v>
      </c>
      <c r="F4203" s="3" t="s">
        <v>41892</v>
      </c>
      <c r="G4203" s="3" t="s">
        <v>209</v>
      </c>
      <c r="I4203" s="3" t="s">
        <v>65</v>
      </c>
      <c r="J4203" s="3" t="s">
        <v>65</v>
      </c>
      <c r="K4203" s="3" t="s">
        <v>66</v>
      </c>
      <c r="L4203" s="2" t="s">
        <v>904</v>
      </c>
      <c r="M4203" s="2" t="s">
        <v>8216</v>
      </c>
      <c r="N4203" s="3" t="s">
        <v>525</v>
      </c>
      <c r="P4203" s="3" t="s">
        <v>140</v>
      </c>
      <c r="R4203" s="3" t="s">
        <v>71</v>
      </c>
      <c r="S4203" s="4">
        <v>0</v>
      </c>
      <c r="T4203" s="4">
        <v>15</v>
      </c>
      <c r="V4203" s="5" t="s">
        <v>8217</v>
      </c>
      <c r="W4203" s="5" t="s">
        <v>72</v>
      </c>
      <c r="X4203" s="5" t="s">
        <v>72</v>
      </c>
      <c r="Y4203" s="4">
        <v>4</v>
      </c>
      <c r="Z4203" s="4">
        <v>1</v>
      </c>
      <c r="AA4203" s="4">
        <v>1</v>
      </c>
      <c r="AB4203" s="4">
        <v>1</v>
      </c>
      <c r="AC4203" s="4">
        <v>1</v>
      </c>
      <c r="AD4203" s="4">
        <v>1</v>
      </c>
      <c r="AE4203" s="4">
        <v>1</v>
      </c>
      <c r="AF4203" s="4">
        <v>0</v>
      </c>
      <c r="AG4203" s="4">
        <v>0</v>
      </c>
      <c r="AH4203" s="4">
        <v>1</v>
      </c>
      <c r="AI4203" s="4">
        <v>1</v>
      </c>
      <c r="AJ4203" s="4">
        <v>0</v>
      </c>
      <c r="AK4203" s="4">
        <v>0</v>
      </c>
      <c r="AL4203" s="4">
        <v>1</v>
      </c>
      <c r="AM4203" s="4">
        <v>1</v>
      </c>
      <c r="AN4203" s="4">
        <v>0</v>
      </c>
      <c r="AO4203" s="4">
        <v>0</v>
      </c>
      <c r="AP4203" s="4">
        <v>0</v>
      </c>
      <c r="AQ4203" s="4">
        <v>0</v>
      </c>
      <c r="AR4203" s="3" t="s">
        <v>65</v>
      </c>
      <c r="AS4203" s="3" t="s">
        <v>65</v>
      </c>
      <c r="AT4203" s="3" t="s">
        <v>65</v>
      </c>
      <c r="AV4203" s="6" t="str">
        <f t="shared" si="54"/>
        <v>Catalog Record</v>
      </c>
      <c r="AW4203" s="6" t="str">
        <f t="shared" si="55"/>
        <v>WorldCat Record</v>
      </c>
      <c r="AX4203" s="3" t="s">
        <v>8218</v>
      </c>
      <c r="AY4203" s="3" t="s">
        <v>8219</v>
      </c>
      <c r="AZ4203" s="3" t="s">
        <v>8220</v>
      </c>
      <c r="BA4203" s="3" t="s">
        <v>8220</v>
      </c>
      <c r="BB4203" s="3" t="s">
        <v>41893</v>
      </c>
      <c r="BC4203" s="3" t="s">
        <v>8222</v>
      </c>
      <c r="BD4203" s="3" t="s">
        <v>78</v>
      </c>
      <c r="BF4203" s="3" t="s">
        <v>41893</v>
      </c>
      <c r="BG4203" s="3" t="s">
        <v>41894</v>
      </c>
    </row>
    <row r="4204" spans="1:59" ht="87" x14ac:dyDescent="0.35">
      <c r="A4204" s="2" t="s">
        <v>59</v>
      </c>
      <c r="B4204" s="2" t="s">
        <v>33266</v>
      </c>
      <c r="C4204" s="2" t="s">
        <v>41884</v>
      </c>
      <c r="D4204" s="2" t="s">
        <v>41885</v>
      </c>
      <c r="E4204" s="2" t="s">
        <v>8214</v>
      </c>
      <c r="F4204" s="3" t="s">
        <v>41895</v>
      </c>
      <c r="G4204" s="3" t="s">
        <v>209</v>
      </c>
      <c r="I4204" s="3" t="s">
        <v>65</v>
      </c>
      <c r="J4204" s="3" t="s">
        <v>65</v>
      </c>
      <c r="K4204" s="3" t="s">
        <v>66</v>
      </c>
      <c r="L4204" s="2" t="s">
        <v>904</v>
      </c>
      <c r="M4204" s="2" t="s">
        <v>8216</v>
      </c>
      <c r="N4204" s="3" t="s">
        <v>525</v>
      </c>
      <c r="P4204" s="3" t="s">
        <v>140</v>
      </c>
      <c r="R4204" s="3" t="s">
        <v>71</v>
      </c>
      <c r="S4204" s="4">
        <v>0</v>
      </c>
      <c r="T4204" s="4">
        <v>15</v>
      </c>
      <c r="V4204" s="5" t="s">
        <v>8217</v>
      </c>
      <c r="W4204" s="5" t="s">
        <v>72</v>
      </c>
      <c r="X4204" s="5" t="s">
        <v>72</v>
      </c>
      <c r="Y4204" s="4">
        <v>4</v>
      </c>
      <c r="Z4204" s="4">
        <v>1</v>
      </c>
      <c r="AA4204" s="4">
        <v>1</v>
      </c>
      <c r="AB4204" s="4">
        <v>1</v>
      </c>
      <c r="AC4204" s="4">
        <v>1</v>
      </c>
      <c r="AD4204" s="4">
        <v>1</v>
      </c>
      <c r="AE4204" s="4">
        <v>1</v>
      </c>
      <c r="AF4204" s="4">
        <v>0</v>
      </c>
      <c r="AG4204" s="4">
        <v>0</v>
      </c>
      <c r="AH4204" s="4">
        <v>1</v>
      </c>
      <c r="AI4204" s="4">
        <v>1</v>
      </c>
      <c r="AJ4204" s="4">
        <v>0</v>
      </c>
      <c r="AK4204" s="4">
        <v>0</v>
      </c>
      <c r="AL4204" s="4">
        <v>1</v>
      </c>
      <c r="AM4204" s="4">
        <v>1</v>
      </c>
      <c r="AN4204" s="4">
        <v>0</v>
      </c>
      <c r="AO4204" s="4">
        <v>0</v>
      </c>
      <c r="AP4204" s="4">
        <v>0</v>
      </c>
      <c r="AQ4204" s="4">
        <v>0</v>
      </c>
      <c r="AR4204" s="3" t="s">
        <v>65</v>
      </c>
      <c r="AS4204" s="3" t="s">
        <v>65</v>
      </c>
      <c r="AT4204" s="3" t="s">
        <v>65</v>
      </c>
      <c r="AV4204" s="6" t="str">
        <f t="shared" si="54"/>
        <v>Catalog Record</v>
      </c>
      <c r="AW4204" s="6" t="str">
        <f t="shared" si="55"/>
        <v>WorldCat Record</v>
      </c>
      <c r="AX4204" s="3" t="s">
        <v>8218</v>
      </c>
      <c r="AY4204" s="3" t="s">
        <v>8219</v>
      </c>
      <c r="AZ4204" s="3" t="s">
        <v>8220</v>
      </c>
      <c r="BA4204" s="3" t="s">
        <v>8220</v>
      </c>
      <c r="BB4204" s="3" t="s">
        <v>41896</v>
      </c>
      <c r="BC4204" s="3" t="s">
        <v>8222</v>
      </c>
      <c r="BD4204" s="3" t="s">
        <v>78</v>
      </c>
      <c r="BF4204" s="3" t="s">
        <v>41896</v>
      </c>
      <c r="BG4204" s="3" t="s">
        <v>41897</v>
      </c>
    </row>
    <row r="4205" spans="1:59" ht="87" x14ac:dyDescent="0.35">
      <c r="A4205" s="2" t="s">
        <v>59</v>
      </c>
      <c r="B4205" s="2" t="s">
        <v>33266</v>
      </c>
      <c r="C4205" s="2" t="s">
        <v>41884</v>
      </c>
      <c r="D4205" s="2" t="s">
        <v>41885</v>
      </c>
      <c r="E4205" s="2" t="s">
        <v>8214</v>
      </c>
      <c r="F4205" s="3" t="s">
        <v>41898</v>
      </c>
      <c r="G4205" s="3" t="s">
        <v>209</v>
      </c>
      <c r="I4205" s="3" t="s">
        <v>65</v>
      </c>
      <c r="J4205" s="3" t="s">
        <v>65</v>
      </c>
      <c r="K4205" s="3" t="s">
        <v>66</v>
      </c>
      <c r="L4205" s="2" t="s">
        <v>904</v>
      </c>
      <c r="M4205" s="2" t="s">
        <v>8216</v>
      </c>
      <c r="N4205" s="3" t="s">
        <v>525</v>
      </c>
      <c r="P4205" s="3" t="s">
        <v>140</v>
      </c>
      <c r="R4205" s="3" t="s">
        <v>71</v>
      </c>
      <c r="S4205" s="4">
        <v>0</v>
      </c>
      <c r="T4205" s="4">
        <v>15</v>
      </c>
      <c r="V4205" s="5" t="s">
        <v>8217</v>
      </c>
      <c r="W4205" s="5" t="s">
        <v>72</v>
      </c>
      <c r="X4205" s="5" t="s">
        <v>72</v>
      </c>
      <c r="Y4205" s="4">
        <v>4</v>
      </c>
      <c r="Z4205" s="4">
        <v>1</v>
      </c>
      <c r="AA4205" s="4">
        <v>1</v>
      </c>
      <c r="AB4205" s="4">
        <v>1</v>
      </c>
      <c r="AC4205" s="4">
        <v>1</v>
      </c>
      <c r="AD4205" s="4">
        <v>1</v>
      </c>
      <c r="AE4205" s="4">
        <v>1</v>
      </c>
      <c r="AF4205" s="4">
        <v>0</v>
      </c>
      <c r="AG4205" s="4">
        <v>0</v>
      </c>
      <c r="AH4205" s="4">
        <v>1</v>
      </c>
      <c r="AI4205" s="4">
        <v>1</v>
      </c>
      <c r="AJ4205" s="4">
        <v>0</v>
      </c>
      <c r="AK4205" s="4">
        <v>0</v>
      </c>
      <c r="AL4205" s="4">
        <v>1</v>
      </c>
      <c r="AM4205" s="4">
        <v>1</v>
      </c>
      <c r="AN4205" s="4">
        <v>0</v>
      </c>
      <c r="AO4205" s="4">
        <v>0</v>
      </c>
      <c r="AP4205" s="4">
        <v>0</v>
      </c>
      <c r="AQ4205" s="4">
        <v>0</v>
      </c>
      <c r="AR4205" s="3" t="s">
        <v>65</v>
      </c>
      <c r="AS4205" s="3" t="s">
        <v>65</v>
      </c>
      <c r="AT4205" s="3" t="s">
        <v>65</v>
      </c>
      <c r="AV4205" s="6" t="str">
        <f t="shared" si="54"/>
        <v>Catalog Record</v>
      </c>
      <c r="AW4205" s="6" t="str">
        <f t="shared" si="55"/>
        <v>WorldCat Record</v>
      </c>
      <c r="AX4205" s="3" t="s">
        <v>8218</v>
      </c>
      <c r="AY4205" s="3" t="s">
        <v>8219</v>
      </c>
      <c r="AZ4205" s="3" t="s">
        <v>8220</v>
      </c>
      <c r="BA4205" s="3" t="s">
        <v>8220</v>
      </c>
      <c r="BB4205" s="3" t="s">
        <v>41899</v>
      </c>
      <c r="BC4205" s="3" t="s">
        <v>8222</v>
      </c>
      <c r="BD4205" s="3" t="s">
        <v>78</v>
      </c>
      <c r="BF4205" s="3" t="s">
        <v>41899</v>
      </c>
      <c r="BG4205" s="3" t="s">
        <v>41900</v>
      </c>
    </row>
    <row r="4206" spans="1:59" ht="87" x14ac:dyDescent="0.35">
      <c r="A4206" s="2" t="s">
        <v>59</v>
      </c>
      <c r="B4206" s="2" t="s">
        <v>33266</v>
      </c>
      <c r="C4206" s="2" t="s">
        <v>41884</v>
      </c>
      <c r="D4206" s="2" t="s">
        <v>41885</v>
      </c>
      <c r="E4206" s="2" t="s">
        <v>8214</v>
      </c>
      <c r="F4206" s="3" t="s">
        <v>41901</v>
      </c>
      <c r="G4206" s="3" t="s">
        <v>209</v>
      </c>
      <c r="I4206" s="3" t="s">
        <v>65</v>
      </c>
      <c r="J4206" s="3" t="s">
        <v>65</v>
      </c>
      <c r="K4206" s="3" t="s">
        <v>66</v>
      </c>
      <c r="L4206" s="2" t="s">
        <v>904</v>
      </c>
      <c r="M4206" s="2" t="s">
        <v>8216</v>
      </c>
      <c r="N4206" s="3" t="s">
        <v>525</v>
      </c>
      <c r="P4206" s="3" t="s">
        <v>140</v>
      </c>
      <c r="R4206" s="3" t="s">
        <v>71</v>
      </c>
      <c r="S4206" s="4">
        <v>3</v>
      </c>
      <c r="T4206" s="4">
        <v>15</v>
      </c>
      <c r="U4206" s="5" t="s">
        <v>41902</v>
      </c>
      <c r="V4206" s="5" t="s">
        <v>8217</v>
      </c>
      <c r="W4206" s="5" t="s">
        <v>72</v>
      </c>
      <c r="X4206" s="5" t="s">
        <v>72</v>
      </c>
      <c r="Y4206" s="4">
        <v>4</v>
      </c>
      <c r="Z4206" s="4">
        <v>1</v>
      </c>
      <c r="AA4206" s="4">
        <v>1</v>
      </c>
      <c r="AB4206" s="4">
        <v>1</v>
      </c>
      <c r="AC4206" s="4">
        <v>1</v>
      </c>
      <c r="AD4206" s="4">
        <v>1</v>
      </c>
      <c r="AE4206" s="4">
        <v>1</v>
      </c>
      <c r="AF4206" s="4">
        <v>0</v>
      </c>
      <c r="AG4206" s="4">
        <v>0</v>
      </c>
      <c r="AH4206" s="4">
        <v>1</v>
      </c>
      <c r="AI4206" s="4">
        <v>1</v>
      </c>
      <c r="AJ4206" s="4">
        <v>0</v>
      </c>
      <c r="AK4206" s="4">
        <v>0</v>
      </c>
      <c r="AL4206" s="4">
        <v>1</v>
      </c>
      <c r="AM4206" s="4">
        <v>1</v>
      </c>
      <c r="AN4206" s="4">
        <v>0</v>
      </c>
      <c r="AO4206" s="4">
        <v>0</v>
      </c>
      <c r="AP4206" s="4">
        <v>0</v>
      </c>
      <c r="AQ4206" s="4">
        <v>0</v>
      </c>
      <c r="AR4206" s="3" t="s">
        <v>65</v>
      </c>
      <c r="AS4206" s="3" t="s">
        <v>65</v>
      </c>
      <c r="AT4206" s="3" t="s">
        <v>65</v>
      </c>
      <c r="AV4206" s="6" t="str">
        <f t="shared" si="54"/>
        <v>Catalog Record</v>
      </c>
      <c r="AW4206" s="6" t="str">
        <f t="shared" si="55"/>
        <v>WorldCat Record</v>
      </c>
      <c r="AX4206" s="3" t="s">
        <v>8218</v>
      </c>
      <c r="AY4206" s="3" t="s">
        <v>8219</v>
      </c>
      <c r="AZ4206" s="3" t="s">
        <v>8220</v>
      </c>
      <c r="BA4206" s="3" t="s">
        <v>8220</v>
      </c>
      <c r="BB4206" s="3" t="s">
        <v>41903</v>
      </c>
      <c r="BC4206" s="3" t="s">
        <v>8222</v>
      </c>
      <c r="BD4206" s="3" t="s">
        <v>78</v>
      </c>
      <c r="BF4206" s="3" t="s">
        <v>41903</v>
      </c>
      <c r="BG4206" s="3" t="s">
        <v>41904</v>
      </c>
    </row>
    <row r="4207" spans="1:59" ht="87" x14ac:dyDescent="0.35">
      <c r="A4207" s="2" t="s">
        <v>59</v>
      </c>
      <c r="B4207" s="2" t="s">
        <v>33266</v>
      </c>
      <c r="C4207" s="2" t="s">
        <v>41884</v>
      </c>
      <c r="D4207" s="2" t="s">
        <v>41885</v>
      </c>
      <c r="E4207" s="2" t="s">
        <v>8214</v>
      </c>
      <c r="F4207" s="3" t="s">
        <v>41905</v>
      </c>
      <c r="G4207" s="3" t="s">
        <v>209</v>
      </c>
      <c r="I4207" s="3" t="s">
        <v>65</v>
      </c>
      <c r="J4207" s="3" t="s">
        <v>65</v>
      </c>
      <c r="K4207" s="3" t="s">
        <v>66</v>
      </c>
      <c r="L4207" s="2" t="s">
        <v>904</v>
      </c>
      <c r="M4207" s="2" t="s">
        <v>8216</v>
      </c>
      <c r="N4207" s="3" t="s">
        <v>525</v>
      </c>
      <c r="P4207" s="3" t="s">
        <v>140</v>
      </c>
      <c r="R4207" s="3" t="s">
        <v>71</v>
      </c>
      <c r="S4207" s="4">
        <v>0</v>
      </c>
      <c r="T4207" s="4">
        <v>15</v>
      </c>
      <c r="V4207" s="5" t="s">
        <v>8217</v>
      </c>
      <c r="W4207" s="5" t="s">
        <v>72</v>
      </c>
      <c r="X4207" s="5" t="s">
        <v>72</v>
      </c>
      <c r="Y4207" s="4">
        <v>4</v>
      </c>
      <c r="Z4207" s="4">
        <v>1</v>
      </c>
      <c r="AA4207" s="4">
        <v>1</v>
      </c>
      <c r="AB4207" s="4">
        <v>1</v>
      </c>
      <c r="AC4207" s="4">
        <v>1</v>
      </c>
      <c r="AD4207" s="4">
        <v>1</v>
      </c>
      <c r="AE4207" s="4">
        <v>1</v>
      </c>
      <c r="AF4207" s="4">
        <v>0</v>
      </c>
      <c r="AG4207" s="4">
        <v>0</v>
      </c>
      <c r="AH4207" s="4">
        <v>1</v>
      </c>
      <c r="AI4207" s="4">
        <v>1</v>
      </c>
      <c r="AJ4207" s="4">
        <v>0</v>
      </c>
      <c r="AK4207" s="4">
        <v>0</v>
      </c>
      <c r="AL4207" s="4">
        <v>1</v>
      </c>
      <c r="AM4207" s="4">
        <v>1</v>
      </c>
      <c r="AN4207" s="4">
        <v>0</v>
      </c>
      <c r="AO4207" s="4">
        <v>0</v>
      </c>
      <c r="AP4207" s="4">
        <v>0</v>
      </c>
      <c r="AQ4207" s="4">
        <v>0</v>
      </c>
      <c r="AR4207" s="3" t="s">
        <v>65</v>
      </c>
      <c r="AS4207" s="3" t="s">
        <v>65</v>
      </c>
      <c r="AT4207" s="3" t="s">
        <v>65</v>
      </c>
      <c r="AV4207" s="6" t="str">
        <f t="shared" si="54"/>
        <v>Catalog Record</v>
      </c>
      <c r="AW4207" s="6" t="str">
        <f t="shared" si="55"/>
        <v>WorldCat Record</v>
      </c>
      <c r="AX4207" s="3" t="s">
        <v>8218</v>
      </c>
      <c r="AY4207" s="3" t="s">
        <v>8219</v>
      </c>
      <c r="AZ4207" s="3" t="s">
        <v>8220</v>
      </c>
      <c r="BA4207" s="3" t="s">
        <v>8220</v>
      </c>
      <c r="BB4207" s="3" t="s">
        <v>41906</v>
      </c>
      <c r="BC4207" s="3" t="s">
        <v>8222</v>
      </c>
      <c r="BD4207" s="3" t="s">
        <v>78</v>
      </c>
      <c r="BF4207" s="3" t="s">
        <v>41906</v>
      </c>
      <c r="BG4207" s="3" t="s">
        <v>41907</v>
      </c>
    </row>
    <row r="4208" spans="1:59" ht="87" x14ac:dyDescent="0.35">
      <c r="A4208" s="2" t="s">
        <v>59</v>
      </c>
      <c r="B4208" s="2" t="s">
        <v>33266</v>
      </c>
      <c r="C4208" s="2" t="s">
        <v>41884</v>
      </c>
      <c r="D4208" s="2" t="s">
        <v>41885</v>
      </c>
      <c r="E4208" s="2" t="s">
        <v>8214</v>
      </c>
      <c r="F4208" s="3" t="s">
        <v>41908</v>
      </c>
      <c r="G4208" s="3" t="s">
        <v>209</v>
      </c>
      <c r="I4208" s="3" t="s">
        <v>65</v>
      </c>
      <c r="J4208" s="3" t="s">
        <v>65</v>
      </c>
      <c r="K4208" s="3" t="s">
        <v>66</v>
      </c>
      <c r="L4208" s="2" t="s">
        <v>904</v>
      </c>
      <c r="M4208" s="2" t="s">
        <v>8216</v>
      </c>
      <c r="N4208" s="3" t="s">
        <v>525</v>
      </c>
      <c r="P4208" s="3" t="s">
        <v>140</v>
      </c>
      <c r="R4208" s="3" t="s">
        <v>71</v>
      </c>
      <c r="S4208" s="4">
        <v>9</v>
      </c>
      <c r="T4208" s="4">
        <v>15</v>
      </c>
      <c r="U4208" s="5" t="s">
        <v>8217</v>
      </c>
      <c r="V4208" s="5" t="s">
        <v>8217</v>
      </c>
      <c r="W4208" s="5" t="s">
        <v>72</v>
      </c>
      <c r="X4208" s="5" t="s">
        <v>72</v>
      </c>
      <c r="Y4208" s="4">
        <v>4</v>
      </c>
      <c r="Z4208" s="4">
        <v>1</v>
      </c>
      <c r="AA4208" s="4">
        <v>1</v>
      </c>
      <c r="AB4208" s="4">
        <v>1</v>
      </c>
      <c r="AC4208" s="4">
        <v>1</v>
      </c>
      <c r="AD4208" s="4">
        <v>1</v>
      </c>
      <c r="AE4208" s="4">
        <v>1</v>
      </c>
      <c r="AF4208" s="4">
        <v>0</v>
      </c>
      <c r="AG4208" s="4">
        <v>0</v>
      </c>
      <c r="AH4208" s="4">
        <v>1</v>
      </c>
      <c r="AI4208" s="4">
        <v>1</v>
      </c>
      <c r="AJ4208" s="4">
        <v>0</v>
      </c>
      <c r="AK4208" s="4">
        <v>0</v>
      </c>
      <c r="AL4208" s="4">
        <v>1</v>
      </c>
      <c r="AM4208" s="4">
        <v>1</v>
      </c>
      <c r="AN4208" s="4">
        <v>0</v>
      </c>
      <c r="AO4208" s="4">
        <v>0</v>
      </c>
      <c r="AP4208" s="4">
        <v>0</v>
      </c>
      <c r="AQ4208" s="4">
        <v>0</v>
      </c>
      <c r="AR4208" s="3" t="s">
        <v>65</v>
      </c>
      <c r="AS4208" s="3" t="s">
        <v>65</v>
      </c>
      <c r="AT4208" s="3" t="s">
        <v>65</v>
      </c>
      <c r="AV4208" s="6" t="str">
        <f t="shared" si="54"/>
        <v>Catalog Record</v>
      </c>
      <c r="AW4208" s="6" t="str">
        <f t="shared" si="55"/>
        <v>WorldCat Record</v>
      </c>
      <c r="AX4208" s="3" t="s">
        <v>8218</v>
      </c>
      <c r="AY4208" s="3" t="s">
        <v>8219</v>
      </c>
      <c r="AZ4208" s="3" t="s">
        <v>8220</v>
      </c>
      <c r="BA4208" s="3" t="s">
        <v>8220</v>
      </c>
      <c r="BB4208" s="3" t="s">
        <v>41909</v>
      </c>
      <c r="BC4208" s="3" t="s">
        <v>8222</v>
      </c>
      <c r="BD4208" s="3" t="s">
        <v>78</v>
      </c>
      <c r="BF4208" s="3" t="s">
        <v>41909</v>
      </c>
      <c r="BG4208" s="3" t="s">
        <v>41910</v>
      </c>
    </row>
    <row r="4209" spans="1:59" ht="87" x14ac:dyDescent="0.35">
      <c r="A4209" s="2" t="s">
        <v>59</v>
      </c>
      <c r="B4209" s="2" t="s">
        <v>33266</v>
      </c>
      <c r="C4209" s="2" t="s">
        <v>41884</v>
      </c>
      <c r="D4209" s="2" t="s">
        <v>41885</v>
      </c>
      <c r="E4209" s="2" t="s">
        <v>8214</v>
      </c>
      <c r="F4209" s="3" t="s">
        <v>41911</v>
      </c>
      <c r="G4209" s="3" t="s">
        <v>209</v>
      </c>
      <c r="I4209" s="3" t="s">
        <v>65</v>
      </c>
      <c r="J4209" s="3" t="s">
        <v>65</v>
      </c>
      <c r="K4209" s="3" t="s">
        <v>66</v>
      </c>
      <c r="L4209" s="2" t="s">
        <v>904</v>
      </c>
      <c r="M4209" s="2" t="s">
        <v>8216</v>
      </c>
      <c r="N4209" s="3" t="s">
        <v>525</v>
      </c>
      <c r="P4209" s="3" t="s">
        <v>140</v>
      </c>
      <c r="R4209" s="3" t="s">
        <v>71</v>
      </c>
      <c r="S4209" s="4">
        <v>0</v>
      </c>
      <c r="T4209" s="4">
        <v>15</v>
      </c>
      <c r="V4209" s="5" t="s">
        <v>8217</v>
      </c>
      <c r="W4209" s="5" t="s">
        <v>72</v>
      </c>
      <c r="X4209" s="5" t="s">
        <v>72</v>
      </c>
      <c r="Y4209" s="4">
        <v>4</v>
      </c>
      <c r="Z4209" s="4">
        <v>1</v>
      </c>
      <c r="AA4209" s="4">
        <v>1</v>
      </c>
      <c r="AB4209" s="4">
        <v>1</v>
      </c>
      <c r="AC4209" s="4">
        <v>1</v>
      </c>
      <c r="AD4209" s="4">
        <v>1</v>
      </c>
      <c r="AE4209" s="4">
        <v>1</v>
      </c>
      <c r="AF4209" s="4">
        <v>0</v>
      </c>
      <c r="AG4209" s="4">
        <v>0</v>
      </c>
      <c r="AH4209" s="4">
        <v>1</v>
      </c>
      <c r="AI4209" s="4">
        <v>1</v>
      </c>
      <c r="AJ4209" s="4">
        <v>0</v>
      </c>
      <c r="AK4209" s="4">
        <v>0</v>
      </c>
      <c r="AL4209" s="4">
        <v>1</v>
      </c>
      <c r="AM4209" s="4">
        <v>1</v>
      </c>
      <c r="AN4209" s="4">
        <v>0</v>
      </c>
      <c r="AO4209" s="4">
        <v>0</v>
      </c>
      <c r="AP4209" s="4">
        <v>0</v>
      </c>
      <c r="AQ4209" s="4">
        <v>0</v>
      </c>
      <c r="AR4209" s="3" t="s">
        <v>65</v>
      </c>
      <c r="AS4209" s="3" t="s">
        <v>65</v>
      </c>
      <c r="AT4209" s="3" t="s">
        <v>65</v>
      </c>
      <c r="AV4209" s="6" t="str">
        <f t="shared" si="54"/>
        <v>Catalog Record</v>
      </c>
      <c r="AW4209" s="6" t="str">
        <f t="shared" si="55"/>
        <v>WorldCat Record</v>
      </c>
      <c r="AX4209" s="3" t="s">
        <v>8218</v>
      </c>
      <c r="AY4209" s="3" t="s">
        <v>8219</v>
      </c>
      <c r="AZ4209" s="3" t="s">
        <v>8220</v>
      </c>
      <c r="BA4209" s="3" t="s">
        <v>8220</v>
      </c>
      <c r="BB4209" s="3" t="s">
        <v>41912</v>
      </c>
      <c r="BC4209" s="3" t="s">
        <v>8222</v>
      </c>
      <c r="BD4209" s="3" t="s">
        <v>78</v>
      </c>
      <c r="BF4209" s="3" t="s">
        <v>41912</v>
      </c>
      <c r="BG4209" s="3" t="s">
        <v>41913</v>
      </c>
    </row>
    <row r="4210" spans="1:59" ht="87" x14ac:dyDescent="0.35">
      <c r="A4210" s="2" t="s">
        <v>59</v>
      </c>
      <c r="B4210" s="2" t="s">
        <v>33266</v>
      </c>
      <c r="C4210" s="2" t="s">
        <v>41884</v>
      </c>
      <c r="D4210" s="2" t="s">
        <v>41885</v>
      </c>
      <c r="E4210" s="2" t="s">
        <v>8214</v>
      </c>
      <c r="F4210" s="3" t="s">
        <v>41914</v>
      </c>
      <c r="G4210" s="3" t="s">
        <v>209</v>
      </c>
      <c r="I4210" s="3" t="s">
        <v>65</v>
      </c>
      <c r="J4210" s="3" t="s">
        <v>65</v>
      </c>
      <c r="K4210" s="3" t="s">
        <v>66</v>
      </c>
      <c r="L4210" s="2" t="s">
        <v>904</v>
      </c>
      <c r="M4210" s="2" t="s">
        <v>8216</v>
      </c>
      <c r="N4210" s="3" t="s">
        <v>525</v>
      </c>
      <c r="P4210" s="3" t="s">
        <v>140</v>
      </c>
      <c r="R4210" s="3" t="s">
        <v>71</v>
      </c>
      <c r="S4210" s="4">
        <v>0</v>
      </c>
      <c r="T4210" s="4">
        <v>15</v>
      </c>
      <c r="V4210" s="5" t="s">
        <v>8217</v>
      </c>
      <c r="W4210" s="5" t="s">
        <v>72</v>
      </c>
      <c r="X4210" s="5" t="s">
        <v>72</v>
      </c>
      <c r="Y4210" s="4">
        <v>4</v>
      </c>
      <c r="Z4210" s="4">
        <v>1</v>
      </c>
      <c r="AA4210" s="4">
        <v>1</v>
      </c>
      <c r="AB4210" s="4">
        <v>1</v>
      </c>
      <c r="AC4210" s="4">
        <v>1</v>
      </c>
      <c r="AD4210" s="4">
        <v>1</v>
      </c>
      <c r="AE4210" s="4">
        <v>1</v>
      </c>
      <c r="AF4210" s="4">
        <v>0</v>
      </c>
      <c r="AG4210" s="4">
        <v>0</v>
      </c>
      <c r="AH4210" s="4">
        <v>1</v>
      </c>
      <c r="AI4210" s="4">
        <v>1</v>
      </c>
      <c r="AJ4210" s="4">
        <v>0</v>
      </c>
      <c r="AK4210" s="4">
        <v>0</v>
      </c>
      <c r="AL4210" s="4">
        <v>1</v>
      </c>
      <c r="AM4210" s="4">
        <v>1</v>
      </c>
      <c r="AN4210" s="4">
        <v>0</v>
      </c>
      <c r="AO4210" s="4">
        <v>0</v>
      </c>
      <c r="AP4210" s="4">
        <v>0</v>
      </c>
      <c r="AQ4210" s="4">
        <v>0</v>
      </c>
      <c r="AR4210" s="3" t="s">
        <v>65</v>
      </c>
      <c r="AS4210" s="3" t="s">
        <v>65</v>
      </c>
      <c r="AT4210" s="3" t="s">
        <v>65</v>
      </c>
      <c r="AV4210" s="6" t="str">
        <f t="shared" si="54"/>
        <v>Catalog Record</v>
      </c>
      <c r="AW4210" s="6" t="str">
        <f t="shared" si="55"/>
        <v>WorldCat Record</v>
      </c>
      <c r="AX4210" s="3" t="s">
        <v>8218</v>
      </c>
      <c r="AY4210" s="3" t="s">
        <v>8219</v>
      </c>
      <c r="AZ4210" s="3" t="s">
        <v>8220</v>
      </c>
      <c r="BA4210" s="3" t="s">
        <v>8220</v>
      </c>
      <c r="BB4210" s="3" t="s">
        <v>41915</v>
      </c>
      <c r="BC4210" s="3" t="s">
        <v>8222</v>
      </c>
      <c r="BD4210" s="3" t="s">
        <v>78</v>
      </c>
      <c r="BF4210" s="3" t="s">
        <v>41915</v>
      </c>
      <c r="BG4210" s="3" t="s">
        <v>41916</v>
      </c>
    </row>
    <row r="4211" spans="1:59" ht="87" x14ac:dyDescent="0.35">
      <c r="A4211" s="2" t="s">
        <v>59</v>
      </c>
      <c r="B4211" s="2" t="s">
        <v>33266</v>
      </c>
      <c r="C4211" s="2" t="s">
        <v>41884</v>
      </c>
      <c r="D4211" s="2" t="s">
        <v>41885</v>
      </c>
      <c r="E4211" s="2" t="s">
        <v>8214</v>
      </c>
      <c r="F4211" s="3" t="s">
        <v>41917</v>
      </c>
      <c r="G4211" s="3" t="s">
        <v>209</v>
      </c>
      <c r="I4211" s="3" t="s">
        <v>65</v>
      </c>
      <c r="J4211" s="3" t="s">
        <v>65</v>
      </c>
      <c r="K4211" s="3" t="s">
        <v>66</v>
      </c>
      <c r="L4211" s="2" t="s">
        <v>904</v>
      </c>
      <c r="M4211" s="2" t="s">
        <v>8216</v>
      </c>
      <c r="N4211" s="3" t="s">
        <v>525</v>
      </c>
      <c r="P4211" s="3" t="s">
        <v>140</v>
      </c>
      <c r="R4211" s="3" t="s">
        <v>71</v>
      </c>
      <c r="S4211" s="4">
        <v>2</v>
      </c>
      <c r="T4211" s="4">
        <v>15</v>
      </c>
      <c r="U4211" s="5" t="s">
        <v>41918</v>
      </c>
      <c r="V4211" s="5" t="s">
        <v>8217</v>
      </c>
      <c r="W4211" s="5" t="s">
        <v>72</v>
      </c>
      <c r="X4211" s="5" t="s">
        <v>72</v>
      </c>
      <c r="Y4211" s="4">
        <v>4</v>
      </c>
      <c r="Z4211" s="4">
        <v>1</v>
      </c>
      <c r="AA4211" s="4">
        <v>1</v>
      </c>
      <c r="AB4211" s="4">
        <v>1</v>
      </c>
      <c r="AC4211" s="4">
        <v>1</v>
      </c>
      <c r="AD4211" s="4">
        <v>1</v>
      </c>
      <c r="AE4211" s="4">
        <v>1</v>
      </c>
      <c r="AF4211" s="4">
        <v>0</v>
      </c>
      <c r="AG4211" s="4">
        <v>0</v>
      </c>
      <c r="AH4211" s="4">
        <v>1</v>
      </c>
      <c r="AI4211" s="4">
        <v>1</v>
      </c>
      <c r="AJ4211" s="4">
        <v>0</v>
      </c>
      <c r="AK4211" s="4">
        <v>0</v>
      </c>
      <c r="AL4211" s="4">
        <v>1</v>
      </c>
      <c r="AM4211" s="4">
        <v>1</v>
      </c>
      <c r="AN4211" s="4">
        <v>0</v>
      </c>
      <c r="AO4211" s="4">
        <v>0</v>
      </c>
      <c r="AP4211" s="4">
        <v>0</v>
      </c>
      <c r="AQ4211" s="4">
        <v>0</v>
      </c>
      <c r="AR4211" s="3" t="s">
        <v>65</v>
      </c>
      <c r="AS4211" s="3" t="s">
        <v>65</v>
      </c>
      <c r="AT4211" s="3" t="s">
        <v>65</v>
      </c>
      <c r="AV4211" s="6" t="str">
        <f t="shared" si="54"/>
        <v>Catalog Record</v>
      </c>
      <c r="AW4211" s="6" t="str">
        <f t="shared" si="55"/>
        <v>WorldCat Record</v>
      </c>
      <c r="AX4211" s="3" t="s">
        <v>8218</v>
      </c>
      <c r="AY4211" s="3" t="s">
        <v>8219</v>
      </c>
      <c r="AZ4211" s="3" t="s">
        <v>8220</v>
      </c>
      <c r="BA4211" s="3" t="s">
        <v>8220</v>
      </c>
      <c r="BB4211" s="3" t="s">
        <v>41919</v>
      </c>
      <c r="BC4211" s="3" t="s">
        <v>8222</v>
      </c>
      <c r="BD4211" s="3" t="s">
        <v>78</v>
      </c>
      <c r="BF4211" s="3" t="s">
        <v>41919</v>
      </c>
      <c r="BG4211" s="3" t="s">
        <v>41920</v>
      </c>
    </row>
    <row r="4212" spans="1:59" ht="87" x14ac:dyDescent="0.35">
      <c r="A4212" s="2" t="s">
        <v>59</v>
      </c>
      <c r="B4212" s="2" t="s">
        <v>33266</v>
      </c>
      <c r="C4212" s="2" t="s">
        <v>41884</v>
      </c>
      <c r="D4212" s="2" t="s">
        <v>41885</v>
      </c>
      <c r="E4212" s="2" t="s">
        <v>8214</v>
      </c>
      <c r="F4212" s="3" t="s">
        <v>41921</v>
      </c>
      <c r="G4212" s="3" t="s">
        <v>209</v>
      </c>
      <c r="I4212" s="3" t="s">
        <v>65</v>
      </c>
      <c r="J4212" s="3" t="s">
        <v>65</v>
      </c>
      <c r="K4212" s="3" t="s">
        <v>66</v>
      </c>
      <c r="L4212" s="2" t="s">
        <v>904</v>
      </c>
      <c r="M4212" s="2" t="s">
        <v>8216</v>
      </c>
      <c r="N4212" s="3" t="s">
        <v>525</v>
      </c>
      <c r="P4212" s="3" t="s">
        <v>140</v>
      </c>
      <c r="R4212" s="3" t="s">
        <v>71</v>
      </c>
      <c r="S4212" s="4">
        <v>1</v>
      </c>
      <c r="T4212" s="4">
        <v>15</v>
      </c>
      <c r="U4212" s="5" t="s">
        <v>28300</v>
      </c>
      <c r="V4212" s="5" t="s">
        <v>8217</v>
      </c>
      <c r="W4212" s="5" t="s">
        <v>72</v>
      </c>
      <c r="X4212" s="5" t="s">
        <v>72</v>
      </c>
      <c r="Y4212" s="4">
        <v>4</v>
      </c>
      <c r="Z4212" s="4">
        <v>1</v>
      </c>
      <c r="AA4212" s="4">
        <v>1</v>
      </c>
      <c r="AB4212" s="4">
        <v>1</v>
      </c>
      <c r="AC4212" s="4">
        <v>1</v>
      </c>
      <c r="AD4212" s="4">
        <v>1</v>
      </c>
      <c r="AE4212" s="4">
        <v>1</v>
      </c>
      <c r="AF4212" s="4">
        <v>0</v>
      </c>
      <c r="AG4212" s="4">
        <v>0</v>
      </c>
      <c r="AH4212" s="4">
        <v>1</v>
      </c>
      <c r="AI4212" s="4">
        <v>1</v>
      </c>
      <c r="AJ4212" s="4">
        <v>0</v>
      </c>
      <c r="AK4212" s="4">
        <v>0</v>
      </c>
      <c r="AL4212" s="4">
        <v>1</v>
      </c>
      <c r="AM4212" s="4">
        <v>1</v>
      </c>
      <c r="AN4212" s="4">
        <v>0</v>
      </c>
      <c r="AO4212" s="4">
        <v>0</v>
      </c>
      <c r="AP4212" s="4">
        <v>0</v>
      </c>
      <c r="AQ4212" s="4">
        <v>0</v>
      </c>
      <c r="AR4212" s="3" t="s">
        <v>65</v>
      </c>
      <c r="AS4212" s="3" t="s">
        <v>65</v>
      </c>
      <c r="AT4212" s="3" t="s">
        <v>65</v>
      </c>
      <c r="AV4212" s="6" t="str">
        <f t="shared" si="54"/>
        <v>Catalog Record</v>
      </c>
      <c r="AW4212" s="6" t="str">
        <f t="shared" si="55"/>
        <v>WorldCat Record</v>
      </c>
      <c r="AX4212" s="3" t="s">
        <v>8218</v>
      </c>
      <c r="AY4212" s="3" t="s">
        <v>8219</v>
      </c>
      <c r="AZ4212" s="3" t="s">
        <v>8220</v>
      </c>
      <c r="BA4212" s="3" t="s">
        <v>8220</v>
      </c>
      <c r="BB4212" s="3" t="s">
        <v>41922</v>
      </c>
      <c r="BC4212" s="3" t="s">
        <v>8222</v>
      </c>
      <c r="BD4212" s="3" t="s">
        <v>78</v>
      </c>
      <c r="BF4212" s="3" t="s">
        <v>41922</v>
      </c>
      <c r="BG4212" s="3" t="s">
        <v>41923</v>
      </c>
    </row>
    <row r="4213" spans="1:59" ht="87" x14ac:dyDescent="0.35">
      <c r="A4213" s="2" t="s">
        <v>59</v>
      </c>
      <c r="B4213" s="2" t="s">
        <v>33266</v>
      </c>
      <c r="C4213" s="2" t="s">
        <v>41884</v>
      </c>
      <c r="D4213" s="2" t="s">
        <v>41885</v>
      </c>
      <c r="E4213" s="2" t="s">
        <v>8214</v>
      </c>
      <c r="F4213" s="3" t="s">
        <v>41924</v>
      </c>
      <c r="G4213" s="3" t="s">
        <v>209</v>
      </c>
      <c r="I4213" s="3" t="s">
        <v>65</v>
      </c>
      <c r="J4213" s="3" t="s">
        <v>65</v>
      </c>
      <c r="K4213" s="3" t="s">
        <v>66</v>
      </c>
      <c r="L4213" s="2" t="s">
        <v>904</v>
      </c>
      <c r="M4213" s="2" t="s">
        <v>8216</v>
      </c>
      <c r="N4213" s="3" t="s">
        <v>525</v>
      </c>
      <c r="P4213" s="3" t="s">
        <v>140</v>
      </c>
      <c r="R4213" s="3" t="s">
        <v>71</v>
      </c>
      <c r="S4213" s="4">
        <v>0</v>
      </c>
      <c r="T4213" s="4">
        <v>15</v>
      </c>
      <c r="V4213" s="5" t="s">
        <v>8217</v>
      </c>
      <c r="W4213" s="5" t="s">
        <v>72</v>
      </c>
      <c r="X4213" s="5" t="s">
        <v>72</v>
      </c>
      <c r="Y4213" s="4">
        <v>4</v>
      </c>
      <c r="Z4213" s="4">
        <v>1</v>
      </c>
      <c r="AA4213" s="4">
        <v>1</v>
      </c>
      <c r="AB4213" s="4">
        <v>1</v>
      </c>
      <c r="AC4213" s="4">
        <v>1</v>
      </c>
      <c r="AD4213" s="4">
        <v>1</v>
      </c>
      <c r="AE4213" s="4">
        <v>1</v>
      </c>
      <c r="AF4213" s="4">
        <v>0</v>
      </c>
      <c r="AG4213" s="4">
        <v>0</v>
      </c>
      <c r="AH4213" s="4">
        <v>1</v>
      </c>
      <c r="AI4213" s="4">
        <v>1</v>
      </c>
      <c r="AJ4213" s="4">
        <v>0</v>
      </c>
      <c r="AK4213" s="4">
        <v>0</v>
      </c>
      <c r="AL4213" s="4">
        <v>1</v>
      </c>
      <c r="AM4213" s="4">
        <v>1</v>
      </c>
      <c r="AN4213" s="4">
        <v>0</v>
      </c>
      <c r="AO4213" s="4">
        <v>0</v>
      </c>
      <c r="AP4213" s="4">
        <v>0</v>
      </c>
      <c r="AQ4213" s="4">
        <v>0</v>
      </c>
      <c r="AR4213" s="3" t="s">
        <v>65</v>
      </c>
      <c r="AS4213" s="3" t="s">
        <v>65</v>
      </c>
      <c r="AT4213" s="3" t="s">
        <v>65</v>
      </c>
      <c r="AV4213" s="6" t="str">
        <f t="shared" si="54"/>
        <v>Catalog Record</v>
      </c>
      <c r="AW4213" s="6" t="str">
        <f t="shared" si="55"/>
        <v>WorldCat Record</v>
      </c>
      <c r="AX4213" s="3" t="s">
        <v>8218</v>
      </c>
      <c r="AY4213" s="3" t="s">
        <v>8219</v>
      </c>
      <c r="AZ4213" s="3" t="s">
        <v>8220</v>
      </c>
      <c r="BA4213" s="3" t="s">
        <v>8220</v>
      </c>
      <c r="BB4213" s="3" t="s">
        <v>41925</v>
      </c>
      <c r="BC4213" s="3" t="s">
        <v>8222</v>
      </c>
      <c r="BD4213" s="3" t="s">
        <v>78</v>
      </c>
      <c r="BF4213" s="3" t="s">
        <v>41925</v>
      </c>
      <c r="BG4213" s="3" t="s">
        <v>41926</v>
      </c>
    </row>
    <row r="4214" spans="1:59" ht="87" x14ac:dyDescent="0.35">
      <c r="A4214" s="2" t="s">
        <v>59</v>
      </c>
      <c r="B4214" s="2" t="s">
        <v>33266</v>
      </c>
      <c r="C4214" s="2" t="s">
        <v>41884</v>
      </c>
      <c r="D4214" s="2" t="s">
        <v>41885</v>
      </c>
      <c r="E4214" s="2" t="s">
        <v>8214</v>
      </c>
      <c r="F4214" s="3" t="s">
        <v>41927</v>
      </c>
      <c r="G4214" s="3" t="s">
        <v>209</v>
      </c>
      <c r="I4214" s="3" t="s">
        <v>65</v>
      </c>
      <c r="J4214" s="3" t="s">
        <v>65</v>
      </c>
      <c r="K4214" s="3" t="s">
        <v>66</v>
      </c>
      <c r="L4214" s="2" t="s">
        <v>904</v>
      </c>
      <c r="M4214" s="2" t="s">
        <v>8216</v>
      </c>
      <c r="N4214" s="3" t="s">
        <v>525</v>
      </c>
      <c r="P4214" s="3" t="s">
        <v>140</v>
      </c>
      <c r="R4214" s="3" t="s">
        <v>71</v>
      </c>
      <c r="S4214" s="4">
        <v>0</v>
      </c>
      <c r="T4214" s="4">
        <v>15</v>
      </c>
      <c r="V4214" s="5" t="s">
        <v>8217</v>
      </c>
      <c r="W4214" s="5" t="s">
        <v>72</v>
      </c>
      <c r="X4214" s="5" t="s">
        <v>72</v>
      </c>
      <c r="Y4214" s="4">
        <v>4</v>
      </c>
      <c r="Z4214" s="4">
        <v>1</v>
      </c>
      <c r="AA4214" s="4">
        <v>1</v>
      </c>
      <c r="AB4214" s="4">
        <v>1</v>
      </c>
      <c r="AC4214" s="4">
        <v>1</v>
      </c>
      <c r="AD4214" s="4">
        <v>1</v>
      </c>
      <c r="AE4214" s="4">
        <v>1</v>
      </c>
      <c r="AF4214" s="4">
        <v>0</v>
      </c>
      <c r="AG4214" s="4">
        <v>0</v>
      </c>
      <c r="AH4214" s="4">
        <v>1</v>
      </c>
      <c r="AI4214" s="4">
        <v>1</v>
      </c>
      <c r="AJ4214" s="4">
        <v>0</v>
      </c>
      <c r="AK4214" s="4">
        <v>0</v>
      </c>
      <c r="AL4214" s="4">
        <v>1</v>
      </c>
      <c r="AM4214" s="4">
        <v>1</v>
      </c>
      <c r="AN4214" s="4">
        <v>0</v>
      </c>
      <c r="AO4214" s="4">
        <v>0</v>
      </c>
      <c r="AP4214" s="4">
        <v>0</v>
      </c>
      <c r="AQ4214" s="4">
        <v>0</v>
      </c>
      <c r="AR4214" s="3" t="s">
        <v>65</v>
      </c>
      <c r="AS4214" s="3" t="s">
        <v>65</v>
      </c>
      <c r="AT4214" s="3" t="s">
        <v>65</v>
      </c>
      <c r="AV4214" s="6" t="str">
        <f t="shared" si="54"/>
        <v>Catalog Record</v>
      </c>
      <c r="AW4214" s="6" t="str">
        <f t="shared" si="55"/>
        <v>WorldCat Record</v>
      </c>
      <c r="AX4214" s="3" t="s">
        <v>8218</v>
      </c>
      <c r="AY4214" s="3" t="s">
        <v>8219</v>
      </c>
      <c r="AZ4214" s="3" t="s">
        <v>8220</v>
      </c>
      <c r="BA4214" s="3" t="s">
        <v>8220</v>
      </c>
      <c r="BB4214" s="3" t="s">
        <v>41928</v>
      </c>
      <c r="BC4214" s="3" t="s">
        <v>8222</v>
      </c>
      <c r="BD4214" s="3" t="s">
        <v>78</v>
      </c>
      <c r="BF4214" s="3" t="s">
        <v>41928</v>
      </c>
      <c r="BG4214" s="3" t="s">
        <v>41929</v>
      </c>
    </row>
    <row r="4215" spans="1:59" ht="87" x14ac:dyDescent="0.35">
      <c r="A4215" s="2" t="s">
        <v>59</v>
      </c>
      <c r="B4215" s="2" t="s">
        <v>33266</v>
      </c>
      <c r="C4215" s="2" t="s">
        <v>41884</v>
      </c>
      <c r="D4215" s="2" t="s">
        <v>41885</v>
      </c>
      <c r="E4215" s="2" t="s">
        <v>8214</v>
      </c>
      <c r="F4215" s="3" t="s">
        <v>41930</v>
      </c>
      <c r="G4215" s="3" t="s">
        <v>209</v>
      </c>
      <c r="I4215" s="3" t="s">
        <v>65</v>
      </c>
      <c r="J4215" s="3" t="s">
        <v>65</v>
      </c>
      <c r="K4215" s="3" t="s">
        <v>66</v>
      </c>
      <c r="L4215" s="2" t="s">
        <v>904</v>
      </c>
      <c r="M4215" s="2" t="s">
        <v>8216</v>
      </c>
      <c r="N4215" s="3" t="s">
        <v>525</v>
      </c>
      <c r="P4215" s="3" t="s">
        <v>140</v>
      </c>
      <c r="R4215" s="3" t="s">
        <v>71</v>
      </c>
      <c r="S4215" s="4">
        <v>0</v>
      </c>
      <c r="T4215" s="4">
        <v>15</v>
      </c>
      <c r="V4215" s="5" t="s">
        <v>8217</v>
      </c>
      <c r="W4215" s="5" t="s">
        <v>72</v>
      </c>
      <c r="X4215" s="5" t="s">
        <v>72</v>
      </c>
      <c r="Y4215" s="4">
        <v>4</v>
      </c>
      <c r="Z4215" s="4">
        <v>1</v>
      </c>
      <c r="AA4215" s="4">
        <v>1</v>
      </c>
      <c r="AB4215" s="4">
        <v>1</v>
      </c>
      <c r="AC4215" s="4">
        <v>1</v>
      </c>
      <c r="AD4215" s="4">
        <v>1</v>
      </c>
      <c r="AE4215" s="4">
        <v>1</v>
      </c>
      <c r="AF4215" s="4">
        <v>0</v>
      </c>
      <c r="AG4215" s="4">
        <v>0</v>
      </c>
      <c r="AH4215" s="4">
        <v>1</v>
      </c>
      <c r="AI4215" s="4">
        <v>1</v>
      </c>
      <c r="AJ4215" s="4">
        <v>0</v>
      </c>
      <c r="AK4215" s="4">
        <v>0</v>
      </c>
      <c r="AL4215" s="4">
        <v>1</v>
      </c>
      <c r="AM4215" s="4">
        <v>1</v>
      </c>
      <c r="AN4215" s="4">
        <v>0</v>
      </c>
      <c r="AO4215" s="4">
        <v>0</v>
      </c>
      <c r="AP4215" s="4">
        <v>0</v>
      </c>
      <c r="AQ4215" s="4">
        <v>0</v>
      </c>
      <c r="AR4215" s="3" t="s">
        <v>65</v>
      </c>
      <c r="AS4215" s="3" t="s">
        <v>65</v>
      </c>
      <c r="AT4215" s="3" t="s">
        <v>65</v>
      </c>
      <c r="AV4215" s="6" t="str">
        <f t="shared" si="54"/>
        <v>Catalog Record</v>
      </c>
      <c r="AW4215" s="6" t="str">
        <f t="shared" si="55"/>
        <v>WorldCat Record</v>
      </c>
      <c r="AX4215" s="3" t="s">
        <v>8218</v>
      </c>
      <c r="AY4215" s="3" t="s">
        <v>8219</v>
      </c>
      <c r="AZ4215" s="3" t="s">
        <v>8220</v>
      </c>
      <c r="BA4215" s="3" t="s">
        <v>8220</v>
      </c>
      <c r="BB4215" s="3" t="s">
        <v>41931</v>
      </c>
      <c r="BC4215" s="3" t="s">
        <v>8222</v>
      </c>
      <c r="BD4215" s="3" t="s">
        <v>78</v>
      </c>
      <c r="BF4215" s="3" t="s">
        <v>41931</v>
      </c>
      <c r="BG4215" s="3" t="s">
        <v>41932</v>
      </c>
    </row>
    <row r="4216" spans="1:59" ht="58" x14ac:dyDescent="0.35">
      <c r="A4216" s="2" t="s">
        <v>59</v>
      </c>
      <c r="B4216" s="2" t="s">
        <v>60</v>
      </c>
      <c r="C4216" s="2" t="s">
        <v>41933</v>
      </c>
      <c r="D4216" s="2" t="s">
        <v>41934</v>
      </c>
      <c r="E4216" s="2" t="s">
        <v>41935</v>
      </c>
      <c r="G4216" s="3" t="s">
        <v>65</v>
      </c>
      <c r="I4216" s="3" t="s">
        <v>65</v>
      </c>
      <c r="J4216" s="3" t="s">
        <v>65</v>
      </c>
      <c r="K4216" s="3" t="s">
        <v>66</v>
      </c>
      <c r="L4216" s="2" t="s">
        <v>41936</v>
      </c>
      <c r="M4216" s="2" t="s">
        <v>18312</v>
      </c>
      <c r="N4216" s="3" t="s">
        <v>126</v>
      </c>
      <c r="P4216" s="3" t="s">
        <v>140</v>
      </c>
      <c r="Q4216" s="2" t="s">
        <v>34040</v>
      </c>
      <c r="R4216" s="3" t="s">
        <v>71</v>
      </c>
      <c r="S4216" s="4">
        <v>0</v>
      </c>
      <c r="T4216" s="4">
        <v>0</v>
      </c>
      <c r="W4216" s="5" t="s">
        <v>72</v>
      </c>
      <c r="X4216" s="5" t="s">
        <v>72</v>
      </c>
      <c r="Y4216" s="4">
        <v>10</v>
      </c>
      <c r="Z4216" s="4">
        <v>1</v>
      </c>
      <c r="AA4216" s="4">
        <v>1</v>
      </c>
      <c r="AB4216" s="4">
        <v>1</v>
      </c>
      <c r="AC4216" s="4">
        <v>1</v>
      </c>
      <c r="AD4216" s="4">
        <v>3</v>
      </c>
      <c r="AE4216" s="4">
        <v>3</v>
      </c>
      <c r="AF4216" s="4">
        <v>0</v>
      </c>
      <c r="AG4216" s="4">
        <v>0</v>
      </c>
      <c r="AH4216" s="4">
        <v>3</v>
      </c>
      <c r="AI4216" s="4">
        <v>3</v>
      </c>
      <c r="AJ4216" s="4">
        <v>0</v>
      </c>
      <c r="AK4216" s="4">
        <v>0</v>
      </c>
      <c r="AL4216" s="4">
        <v>2</v>
      </c>
      <c r="AM4216" s="4">
        <v>2</v>
      </c>
      <c r="AN4216" s="4">
        <v>0</v>
      </c>
      <c r="AO4216" s="4">
        <v>0</v>
      </c>
      <c r="AP4216" s="4">
        <v>0</v>
      </c>
      <c r="AQ4216" s="4">
        <v>0</v>
      </c>
      <c r="AR4216" s="3" t="s">
        <v>65</v>
      </c>
      <c r="AS4216" s="3" t="s">
        <v>65</v>
      </c>
      <c r="AT4216" s="3" t="s">
        <v>65</v>
      </c>
      <c r="AV4216" s="6" t="str">
        <f>HYPERLINK("http://mcgill.on.worldcat.org/oclc/704509741","Catalog Record")</f>
        <v>Catalog Record</v>
      </c>
      <c r="AW4216" s="6" t="str">
        <f>HYPERLINK("http://www.worldcat.org/oclc/704509741","WorldCat Record")</f>
        <v>WorldCat Record</v>
      </c>
      <c r="AX4216" s="3" t="s">
        <v>41937</v>
      </c>
      <c r="AY4216" s="3" t="s">
        <v>41938</v>
      </c>
      <c r="AZ4216" s="3" t="s">
        <v>41939</v>
      </c>
      <c r="BA4216" s="3" t="s">
        <v>41939</v>
      </c>
      <c r="BB4216" s="3" t="s">
        <v>41940</v>
      </c>
      <c r="BC4216" s="3" t="s">
        <v>77</v>
      </c>
      <c r="BD4216" s="3" t="s">
        <v>78</v>
      </c>
      <c r="BE4216" s="3" t="s">
        <v>41941</v>
      </c>
      <c r="BF4216" s="3" t="s">
        <v>41940</v>
      </c>
      <c r="BG4216" s="3" t="s">
        <v>41942</v>
      </c>
    </row>
  </sheetData>
  <autoFilter ref="A1:BG4216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7223C378089942809A7943C4880DE6" ma:contentTypeVersion="12" ma:contentTypeDescription="Create a new document." ma:contentTypeScope="" ma:versionID="36d975042bf97339687dfe0e10a71455">
  <xsd:schema xmlns:xsd="http://www.w3.org/2001/XMLSchema" xmlns:xs="http://www.w3.org/2001/XMLSchema" xmlns:p="http://schemas.microsoft.com/office/2006/metadata/properties" xmlns:ns3="8fa821e5-be0b-4978-8cb3-cce5e1f24c34" xmlns:ns4="8b7c810d-c9c3-4987-b0d7-7c20b69da642" targetNamespace="http://schemas.microsoft.com/office/2006/metadata/properties" ma:root="true" ma:fieldsID="358779577b353762824036ff6a96c571" ns3:_="" ns4:_="">
    <xsd:import namespace="8fa821e5-be0b-4978-8cb3-cce5e1f24c34"/>
    <xsd:import namespace="8b7c810d-c9c3-4987-b0d7-7c20b69da64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a821e5-be0b-4978-8cb3-cce5e1f24c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7c810d-c9c3-4987-b0d7-7c20b69da64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8DA3169-A7BE-4098-8FD9-5CFD791C12E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D58FF60-381D-40D3-AF3C-1781D2E4315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fa821e5-be0b-4978-8cb3-cce5e1f24c34"/>
    <ds:schemaRef ds:uri="8b7c810d-c9c3-4987-b0d7-7c20b69da64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DC57D2C-BA7F-4C36-8EFE-C9FA580FB00D}">
  <ds:schemaRefs>
    <ds:schemaRef ds:uri="http://purl.org/dc/elements/1.1/"/>
    <ds:schemaRef ds:uri="http://schemas.microsoft.com/office/2006/metadata/properties"/>
    <ds:schemaRef ds:uri="8fa821e5-be0b-4978-8cb3-cce5e1f24c34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8b7c810d-c9c3-4987-b0d7-7c20b69da642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Print Books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Louis Houle</dc:creator>
  <cp:lastModifiedBy>Eamon Duffy, Mr.</cp:lastModifiedBy>
  <dcterms:created xsi:type="dcterms:W3CDTF">2020-07-21T08:43:31Z</dcterms:created>
  <dcterms:modified xsi:type="dcterms:W3CDTF">2020-12-13T20:36:03Z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0x010100627223C378089942809A7943C4880DE6</vt:lpwstr>
  </property>
</Properties>
</file>